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revisions/userNames.xml" ContentType="application/vnd.openxmlformats-officedocument.spreadsheetml.userNames+xml"/>
  <Override PartName="/xl/revisions/revisionHeaders.xml" ContentType="application/vnd.openxmlformats-officedocument.spreadsheetml.revisionHeader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evisions/revisionLog2.xml" ContentType="application/vnd.openxmlformats-officedocument.spreadsheetml.revisionLog+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0490" windowHeight="7755" tabRatio="946"/>
  </bookViews>
  <sheets>
    <sheet name="Monitoring Workbook" sheetId="1" r:id="rId1"/>
    <sheet name="Service Backup Plan" sheetId="2" r:id="rId2"/>
    <sheet name="IWP01" sheetId="3" r:id="rId3"/>
    <sheet name="IWP02" sheetId="4" r:id="rId4"/>
    <sheet name="IWP03" sheetId="5" r:id="rId5"/>
    <sheet name="IWP04" sheetId="6" r:id="rId6"/>
    <sheet name="IWP05" sheetId="7" r:id="rId7"/>
    <sheet name="IWP06" sheetId="8" r:id="rId8"/>
    <sheet name="IWP07" sheetId="9" r:id="rId9"/>
    <sheet name="IWP08" sheetId="10" r:id="rId10"/>
    <sheet name="IWP09" sheetId="11" r:id="rId11"/>
    <sheet name="IWP10" sheetId="12" r:id="rId12"/>
    <sheet name="IWP11" sheetId="13" r:id="rId13"/>
    <sheet name="IWP12" sheetId="14" r:id="rId14"/>
    <sheet name="IWP13" sheetId="15" r:id="rId15"/>
    <sheet name="IWP14" sheetId="16" r:id="rId16"/>
    <sheet name="IWP15" sheetId="17" r:id="rId17"/>
    <sheet name="IWP16" sheetId="18" r:id="rId18"/>
    <sheet name="IWP17" sheetId="19" r:id="rId19"/>
    <sheet name="IWP18" sheetId="20" r:id="rId20"/>
    <sheet name="IWP19" sheetId="21" r:id="rId21"/>
    <sheet name="IWP20" sheetId="22" r:id="rId22"/>
    <sheet name="IWP21" sheetId="23" r:id="rId23"/>
    <sheet name="IWP22" sheetId="24" r:id="rId24"/>
    <sheet name="IWP23" sheetId="25" r:id="rId25"/>
    <sheet name="IWP24" sheetId="26" r:id="rId26"/>
    <sheet name="IWP25" sheetId="27" r:id="rId27"/>
    <sheet name="IWP26" sheetId="28" r:id="rId28"/>
    <sheet name="IWP27" sheetId="29" r:id="rId29"/>
    <sheet name="IWP28" sheetId="30" r:id="rId30"/>
    <sheet name="IWP29" sheetId="31" r:id="rId31"/>
    <sheet name="IWP30" sheetId="32" r:id="rId32"/>
    <sheet name="Compliance Summary (PRINT)" sheetId="33" r:id="rId33"/>
    <sheet name="Demand for Payment (PRINT)" sheetId="34" r:id="rId34"/>
    <sheet name="Amt Due Emp Employer (PRINT)" sheetId="35" state="hidden" r:id="rId35"/>
    <sheet name="Samples (PRINT)" sheetId="36" r:id="rId36"/>
    <sheet name="Notes (Print)" sheetId="37" r:id="rId37"/>
    <sheet name="Data" sheetId="38" state="hidden" r:id="rId38"/>
  </sheets>
  <definedNames>
    <definedName name="AmtDueDads" localSheetId="33">'Demand for Payment (PRINT)'!$I$22</definedName>
    <definedName name="AmtDueEmployees" localSheetId="34">'Amt Due Emp Employer (PRINT)'!$C$22</definedName>
    <definedName name="AmtDueEmployeesDetails" localSheetId="34">'Amt Due Emp Employer (PRINT)'!$C$14:$M$21</definedName>
    <definedName name="AmtDueEmployer" localSheetId="34">'Amt Due Emp Employer (PRINT)'!$C$33</definedName>
    <definedName name="AmtDueEmployerDetails" localSheetId="34">'Amt Due Emp Employer (PRINT)'!$C$25:$M$32</definedName>
    <definedName name="BackgroundChecks" localSheetId="2">'IWP01'!$A$62:$O$81</definedName>
    <definedName name="BackgroundChecks" localSheetId="3">'IWP02'!$A$62:$N$81</definedName>
    <definedName name="BackgroundChecks" localSheetId="4">'IWP03'!$A$62:$N$81</definedName>
    <definedName name="BackgroundChecks" localSheetId="5">'IWP04'!$A$62:$N$81</definedName>
    <definedName name="BackgroundChecks" localSheetId="6">'IWP05'!$A$62:$N$81</definedName>
    <definedName name="BackgroundChecks" localSheetId="7">'IWP06'!$A$62:$N$81</definedName>
    <definedName name="BackgroundChecks" localSheetId="8">'IWP07'!$A$62:$N$81</definedName>
    <definedName name="BackgroundChecks" localSheetId="9">'IWP08'!$A$62:$N$81</definedName>
    <definedName name="BackgroundChecks" localSheetId="10">'IWP09'!$A$62:$N$81</definedName>
    <definedName name="BackgroundChecks" localSheetId="11">'IWP10'!$A$62:$N$81</definedName>
    <definedName name="BackgroundChecks" localSheetId="12">'IWP11'!$A$62:$N$81</definedName>
    <definedName name="BackgroundChecks" localSheetId="13">'IWP12'!$A$62:$N$81</definedName>
    <definedName name="BackgroundChecks" localSheetId="14">'IWP13'!$A$62:$N$81</definedName>
    <definedName name="BackgroundChecks" localSheetId="15">'IWP14'!$A$62:$N$81</definedName>
    <definedName name="BackgroundChecks" localSheetId="16">'IWP15'!$A$62:$N$81</definedName>
    <definedName name="BackgroundChecks" localSheetId="17">'IWP16'!$A$62:$N$81</definedName>
    <definedName name="BackgroundChecks" localSheetId="18">'IWP17'!$A$62:$N$81</definedName>
    <definedName name="BackgroundChecks" localSheetId="19">'IWP18'!$A$62:$N$81</definedName>
    <definedName name="BackgroundChecks" localSheetId="20">'IWP19'!$A$62:$N$81</definedName>
    <definedName name="BackgroundChecks" localSheetId="21">'IWP20'!$A$62:$N$81</definedName>
    <definedName name="BackgroundChecks" localSheetId="22">'IWP21'!$A$62:$N$81</definedName>
    <definedName name="BackgroundChecks" localSheetId="23">'IWP22'!$A$62:$N$81</definedName>
    <definedName name="BackgroundChecks" localSheetId="24">'IWP23'!$A$62:$N$81</definedName>
    <definedName name="BackgroundChecks" localSheetId="25">'IWP24'!$A$62:$N$81</definedName>
    <definedName name="BackgroundChecks" localSheetId="26">'IWP25'!$A$62:$N$81</definedName>
    <definedName name="BackgroundChecks" localSheetId="27">'IWP26'!$A$62:$N$81</definedName>
    <definedName name="BackgroundChecks" localSheetId="28">'IWP27'!$A$62:$N$81</definedName>
    <definedName name="BackgroundChecks" localSheetId="29">'IWP28'!$A$62:$N$81</definedName>
    <definedName name="BackgroundChecks" localSheetId="30">'IWP29'!$A$62:$N$81</definedName>
    <definedName name="BackgroundChecks" localSheetId="31">'IWP30'!$A$62:$N$81</definedName>
    <definedName name="Budget1BeginDate" localSheetId="2">'IWP01'!$K$181</definedName>
    <definedName name="Budget1BeginDate" localSheetId="3">'IWP02'!$K$181</definedName>
    <definedName name="Budget1BeginDate" localSheetId="4">'IWP03'!$K$181</definedName>
    <definedName name="Budget1BeginDate" localSheetId="5">'IWP04'!$K$181</definedName>
    <definedName name="Budget1BeginDate" localSheetId="6">'IWP05'!$K$181</definedName>
    <definedName name="Budget1BeginDate" localSheetId="7">'IWP06'!$K$181</definedName>
    <definedName name="Budget1BeginDate" localSheetId="8">'IWP07'!$K$181</definedName>
    <definedName name="Budget1BeginDate" localSheetId="9">'IWP08'!$K$181</definedName>
    <definedName name="Budget1BeginDate" localSheetId="10">'IWP09'!$K$181</definedName>
    <definedName name="Budget1BeginDate" localSheetId="11">'IWP10'!$K$181</definedName>
    <definedName name="Budget1BeginDate" localSheetId="12">'IWP11'!$K$181</definedName>
    <definedName name="Budget1BeginDate" localSheetId="13">'IWP12'!$K$181</definedName>
    <definedName name="Budget1BeginDate" localSheetId="14">'IWP13'!$K$181</definedName>
    <definedName name="Budget1BeginDate" localSheetId="15">'IWP14'!$K$181</definedName>
    <definedName name="Budget1BeginDate" localSheetId="16">'IWP15'!$K$181</definedName>
    <definedName name="Budget1BeginDate" localSheetId="17">'IWP16'!$K$181</definedName>
    <definedName name="Budget1BeginDate" localSheetId="18">'IWP17'!$K$181</definedName>
    <definedName name="Budget1BeginDate" localSheetId="19">'IWP18'!$K$181</definedName>
    <definedName name="Budget1BeginDate" localSheetId="20">'IWP19'!$K$181</definedName>
    <definedName name="Budget1BeginDate" localSheetId="21">'IWP20'!$K$181</definedName>
    <definedName name="Budget1BeginDate" localSheetId="22">'IWP21'!$K$181</definedName>
    <definedName name="Budget1BeginDate" localSheetId="23">'IWP22'!$K$181</definedName>
    <definedName name="Budget1BeginDate" localSheetId="24">'IWP23'!$K$181</definedName>
    <definedName name="Budget1BeginDate" localSheetId="25">'IWP24'!$K$181</definedName>
    <definedName name="Budget1BeginDate" localSheetId="26">'IWP25'!$K$181</definedName>
    <definedName name="Budget1BeginDate" localSheetId="27">'IWP26'!$K$181</definedName>
    <definedName name="Budget1BeginDate" localSheetId="28">'IWP27'!$K$181</definedName>
    <definedName name="Budget1BeginDate" localSheetId="29">'IWP28'!$K$181</definedName>
    <definedName name="Budget1BeginDate" localSheetId="30">'IWP29'!$K$181</definedName>
    <definedName name="Budget1BeginDate" localSheetId="31">'IWP30'!$K$181</definedName>
    <definedName name="Budget1EndDate" localSheetId="2">'IWP01'!$L$181</definedName>
    <definedName name="Budget1EndDate" localSheetId="3">'IWP02'!$L$181</definedName>
    <definedName name="Budget1EndDate" localSheetId="4">'IWP03'!$L$181</definedName>
    <definedName name="Budget1EndDate" localSheetId="5">'IWP04'!$L$181</definedName>
    <definedName name="Budget1EndDate" localSheetId="6">'IWP05'!$L$181</definedName>
    <definedName name="Budget1EndDate" localSheetId="7">'IWP06'!$L$181</definedName>
    <definedName name="Budget1EndDate" localSheetId="8">'IWP07'!$L$181</definedName>
    <definedName name="Budget1EndDate" localSheetId="9">'IWP08'!$L$181</definedName>
    <definedName name="Budget1EndDate" localSheetId="10">'IWP09'!$L$181</definedName>
    <definedName name="Budget1EndDate" localSheetId="11">'IWP10'!$L$181</definedName>
    <definedName name="Budget1EndDate" localSheetId="12">'IWP11'!$L$181</definedName>
    <definedName name="Budget1EndDate" localSheetId="13">'IWP12'!$L$181</definedName>
    <definedName name="Budget1EndDate" localSheetId="14">'IWP13'!$L$181</definedName>
    <definedName name="Budget1EndDate" localSheetId="15">'IWP14'!$L$181</definedName>
    <definedName name="Budget1EndDate" localSheetId="16">'IWP15'!$L$181</definedName>
    <definedName name="Budget1EndDate" localSheetId="17">'IWP16'!$L$181</definedName>
    <definedName name="Budget1EndDate" localSheetId="18">'IWP17'!$L$181</definedName>
    <definedName name="Budget1EndDate" localSheetId="19">'IWP18'!$L$181</definedName>
    <definedName name="Budget1EndDate" localSheetId="20">'IWP19'!$L$181</definedName>
    <definedName name="Budget1EndDate" localSheetId="21">'IWP20'!$L$181</definedName>
    <definedName name="Budget1EndDate" localSheetId="22">'IWP21'!$L$181</definedName>
    <definedName name="Budget1EndDate" localSheetId="23">'IWP22'!$L$181</definedName>
    <definedName name="Budget1EndDate" localSheetId="24">'IWP23'!$L$181</definedName>
    <definedName name="Budget1EndDate" localSheetId="25">'IWP24'!$L$181</definedName>
    <definedName name="Budget1EndDate" localSheetId="26">'IWP25'!$L$181</definedName>
    <definedName name="Budget1EndDate" localSheetId="27">'IWP26'!$L$181</definedName>
    <definedName name="Budget1EndDate" localSheetId="28">'IWP27'!$L$181</definedName>
    <definedName name="Budget1EndDate" localSheetId="29">'IWP28'!$L$181</definedName>
    <definedName name="Budget1EndDate" localSheetId="30">'IWP29'!$L$181</definedName>
    <definedName name="Budget1EndDate" localSheetId="31">'IWP30'!$L$181</definedName>
    <definedName name="Budget2BeginDate" localSheetId="2">'IWP01'!$M$181</definedName>
    <definedName name="Budget2BeginDate" localSheetId="3">'IWP02'!$M$181</definedName>
    <definedName name="Budget2BeginDate" localSheetId="4">'IWP03'!$M$181</definedName>
    <definedName name="Budget2BeginDate" localSheetId="5">'IWP04'!$M$181</definedName>
    <definedName name="Budget2BeginDate" localSheetId="6">'IWP05'!$M$181</definedName>
    <definedName name="Budget2BeginDate" localSheetId="7">'IWP06'!$M$181</definedName>
    <definedName name="Budget2BeginDate" localSheetId="8">'IWP07'!$M$181</definedName>
    <definedName name="Budget2BeginDate" localSheetId="9">'IWP08'!$M$181</definedName>
    <definedName name="Budget2BeginDate" localSheetId="10">'IWP09'!$M$181</definedName>
    <definedName name="Budget2BeginDate" localSheetId="11">'IWP10'!$M$181</definedName>
    <definedName name="Budget2BeginDate" localSheetId="12">'IWP11'!$M$181</definedName>
    <definedName name="Budget2BeginDate" localSheetId="13">'IWP12'!$M$181</definedName>
    <definedName name="Budget2BeginDate" localSheetId="14">'IWP13'!$M$181</definedName>
    <definedName name="Budget2BeginDate" localSheetId="15">'IWP14'!$M$181</definedName>
    <definedName name="Budget2BeginDate" localSheetId="16">'IWP15'!$M$181</definedName>
    <definedName name="Budget2BeginDate" localSheetId="17">'IWP16'!$M$181</definedName>
    <definedName name="Budget2BeginDate" localSheetId="18">'IWP17'!$M$181</definedName>
    <definedName name="Budget2BeginDate" localSheetId="19">'IWP18'!$M$181</definedName>
    <definedName name="Budget2BeginDate" localSheetId="20">'IWP19'!$M$181</definedName>
    <definedName name="Budget2BeginDate" localSheetId="21">'IWP20'!$M$181</definedName>
    <definedName name="Budget2BeginDate" localSheetId="22">'IWP21'!$M$181</definedName>
    <definedName name="Budget2BeginDate" localSheetId="23">'IWP22'!$M$181</definedName>
    <definedName name="Budget2BeginDate" localSheetId="24">'IWP23'!$M$181</definedName>
    <definedName name="Budget2BeginDate" localSheetId="25">'IWP24'!$M$181</definedName>
    <definedName name="Budget2BeginDate" localSheetId="26">'IWP25'!$M$181</definedName>
    <definedName name="Budget2BeginDate" localSheetId="27">'IWP26'!$M$181</definedName>
    <definedName name="Budget2BeginDate" localSheetId="28">'IWP27'!$M$181</definedName>
    <definedName name="Budget2BeginDate" localSheetId="29">'IWP28'!$M$181</definedName>
    <definedName name="Budget2BeginDate" localSheetId="30">'IWP29'!$M$181</definedName>
    <definedName name="Budget2BeginDate" localSheetId="31">'IWP30'!$M$181</definedName>
    <definedName name="Budget2EndDate" localSheetId="2">'IWP01'!$N$181</definedName>
    <definedName name="Budget2EndDate" localSheetId="3">'IWP02'!$N$181</definedName>
    <definedName name="Budget2EndDate" localSheetId="4">'IWP03'!$N$181</definedName>
    <definedName name="Budget2EndDate" localSheetId="5">'IWP04'!$N$181</definedName>
    <definedName name="Budget2EndDate" localSheetId="6">'IWP05'!$N$181</definedName>
    <definedName name="Budget2EndDate" localSheetId="7">'IWP06'!$N$181</definedName>
    <definedName name="Budget2EndDate" localSheetId="8">'IWP07'!$N$181</definedName>
    <definedName name="Budget2EndDate" localSheetId="9">'IWP08'!$N$181</definedName>
    <definedName name="Budget2EndDate" localSheetId="10">'IWP09'!$N$181</definedName>
    <definedName name="Budget2EndDate" localSheetId="11">'IWP10'!$N$181</definedName>
    <definedName name="Budget2EndDate" localSheetId="12">'IWP11'!$N$181</definedName>
    <definedName name="Budget2EndDate" localSheetId="13">'IWP12'!$N$181</definedName>
    <definedName name="Budget2EndDate" localSheetId="14">'IWP13'!$N$181</definedName>
    <definedName name="Budget2EndDate" localSheetId="15">'IWP14'!$N$181</definedName>
    <definedName name="Budget2EndDate" localSheetId="16">'IWP15'!$N$181</definedName>
    <definedName name="Budget2EndDate" localSheetId="17">'IWP16'!$N$181</definedName>
    <definedName name="Budget2EndDate" localSheetId="18">'IWP17'!$N$181</definedName>
    <definedName name="Budget2EndDate" localSheetId="19">'IWP18'!$N$181</definedName>
    <definedName name="Budget2EndDate" localSheetId="20">'IWP19'!$N$181</definedName>
    <definedName name="Budget2EndDate" localSheetId="21">'IWP20'!$N$181</definedName>
    <definedName name="Budget2EndDate" localSheetId="22">'IWP21'!$N$181</definedName>
    <definedName name="Budget2EndDate" localSheetId="23">'IWP22'!$N$181</definedName>
    <definedName name="Budget2EndDate" localSheetId="24">'IWP23'!$N$181</definedName>
    <definedName name="Budget2EndDate" localSheetId="25">'IWP24'!$N$181</definedName>
    <definedName name="Budget2EndDate" localSheetId="26">'IWP25'!$N$181</definedName>
    <definedName name="Budget2EndDate" localSheetId="27">'IWP26'!$N$181</definedName>
    <definedName name="Budget2EndDate" localSheetId="28">'IWP27'!$N$181</definedName>
    <definedName name="Budget2EndDate" localSheetId="29">'IWP28'!$N$181</definedName>
    <definedName name="Budget2EndDate" localSheetId="30">'IWP29'!$N$181</definedName>
    <definedName name="Budget2EndDate" localSheetId="31">'IWP30'!$N$181</definedName>
    <definedName name="Budget3BeginDate" localSheetId="2">'IWP01'!$O$181</definedName>
    <definedName name="Budget3BeginDate" localSheetId="3">'IWP02'!$O$181</definedName>
    <definedName name="Budget3BeginDate" localSheetId="4">'IWP03'!$O$181</definedName>
    <definedName name="Budget3BeginDate" localSheetId="5">'IWP04'!$O$181</definedName>
    <definedName name="Budget3BeginDate" localSheetId="6">'IWP05'!$O$181</definedName>
    <definedName name="Budget3BeginDate" localSheetId="7">'IWP06'!$O$181</definedName>
    <definedName name="Budget3BeginDate" localSheetId="8">'IWP07'!$O$181</definedName>
    <definedName name="Budget3BeginDate" localSheetId="9">'IWP08'!$O$181</definedName>
    <definedName name="Budget3BeginDate" localSheetId="10">'IWP09'!$O$181</definedName>
    <definedName name="Budget3BeginDate" localSheetId="11">'IWP10'!$O$181</definedName>
    <definedName name="Budget3BeginDate" localSheetId="12">'IWP11'!$O$181</definedName>
    <definedName name="Budget3BeginDate" localSheetId="13">'IWP12'!$O$181</definedName>
    <definedName name="Budget3BeginDate" localSheetId="14">'IWP13'!$O$181</definedName>
    <definedName name="Budget3BeginDate" localSheetId="15">'IWP14'!$O$181</definedName>
    <definedName name="Budget3BeginDate" localSheetId="16">'IWP15'!$O$181</definedName>
    <definedName name="Budget3BeginDate" localSheetId="17">'IWP16'!$O$181</definedName>
    <definedName name="Budget3BeginDate" localSheetId="18">'IWP17'!$O$181</definedName>
    <definedName name="Budget3BeginDate" localSheetId="19">'IWP18'!$O$181</definedName>
    <definedName name="Budget3BeginDate" localSheetId="20">'IWP19'!$O$181</definedName>
    <definedName name="Budget3BeginDate" localSheetId="21">'IWP20'!$O$181</definedName>
    <definedName name="Budget3BeginDate" localSheetId="22">'IWP21'!$O$181</definedName>
    <definedName name="Budget3BeginDate" localSheetId="23">'IWP22'!$O$181</definedName>
    <definedName name="Budget3BeginDate" localSheetId="24">'IWP23'!$O$181</definedName>
    <definedName name="Budget3BeginDate" localSheetId="25">'IWP24'!$O$181</definedName>
    <definedName name="Budget3BeginDate" localSheetId="26">'IWP25'!$O$181</definedName>
    <definedName name="Budget3BeginDate" localSheetId="27">'IWP26'!$O$181</definedName>
    <definedName name="Budget3BeginDate" localSheetId="28">'IWP27'!$O$181</definedName>
    <definedName name="Budget3BeginDate" localSheetId="29">'IWP28'!$O$181</definedName>
    <definedName name="Budget3BeginDate" localSheetId="30">'IWP29'!$O$181</definedName>
    <definedName name="Budget3BeginDate" localSheetId="31">'IWP30'!$O$181</definedName>
    <definedName name="Budget3EndDate" localSheetId="2">'IWP01'!$P$181</definedName>
    <definedName name="Budget3EndDate" localSheetId="3">'IWP02'!$P$181</definedName>
    <definedName name="Budget3EndDate" localSheetId="4">'IWP03'!$P$181</definedName>
    <definedName name="Budget3EndDate" localSheetId="5">'IWP04'!$P$181</definedName>
    <definedName name="Budget3EndDate" localSheetId="6">'IWP05'!$P$181</definedName>
    <definedName name="Budget3EndDate" localSheetId="7">'IWP06'!$P$181</definedName>
    <definedName name="Budget3EndDate" localSheetId="8">'IWP07'!$P$181</definedName>
    <definedName name="Budget3EndDate" localSheetId="9">'IWP08'!$P$181</definedName>
    <definedName name="Budget3EndDate" localSheetId="10">'IWP09'!$P$181</definedName>
    <definedName name="Budget3EndDate" localSheetId="11">'IWP10'!$P$181</definedName>
    <definedName name="Budget3EndDate" localSheetId="12">'IWP11'!$P$181</definedName>
    <definedName name="Budget3EndDate" localSheetId="13">'IWP12'!$P$181</definedName>
    <definedName name="Budget3EndDate" localSheetId="14">'IWP13'!$P$181</definedName>
    <definedName name="Budget3EndDate" localSheetId="15">'IWP14'!$P$181</definedName>
    <definedName name="Budget3EndDate" localSheetId="16">'IWP15'!$P$181</definedName>
    <definedName name="Budget3EndDate" localSheetId="17">'IWP16'!$P$181</definedName>
    <definedName name="Budget3EndDate" localSheetId="18">'IWP17'!$P$181</definedName>
    <definedName name="Budget3EndDate" localSheetId="19">'IWP18'!$P$181</definedName>
    <definedName name="Budget3EndDate" localSheetId="20">'IWP19'!$P$181</definedName>
    <definedName name="Budget3EndDate" localSheetId="21">'IWP20'!$P$181</definedName>
    <definedName name="Budget3EndDate" localSheetId="22">'IWP21'!$P$181</definedName>
    <definedName name="Budget3EndDate" localSheetId="23">'IWP22'!$P$181</definedName>
    <definedName name="Budget3EndDate" localSheetId="24">'IWP23'!$P$181</definedName>
    <definedName name="Budget3EndDate" localSheetId="25">'IWP24'!$P$181</definedName>
    <definedName name="Budget3EndDate" localSheetId="26">'IWP25'!$P$181</definedName>
    <definedName name="Budget3EndDate" localSheetId="27">'IWP26'!$P$181</definedName>
    <definedName name="Budget3EndDate" localSheetId="28">'IWP27'!$P$181</definedName>
    <definedName name="Budget3EndDate" localSheetId="29">'IWP28'!$P$181</definedName>
    <definedName name="Budget3EndDate" localSheetId="30">'IWP29'!$P$181</definedName>
    <definedName name="Budget3EndDate" localSheetId="31">'IWP30'!$P$181</definedName>
    <definedName name="Budget4BeginDate" localSheetId="2">'IWP01'!$Q$181</definedName>
    <definedName name="Budget4BeginDate" localSheetId="3">'IWP02'!$Q$181</definedName>
    <definedName name="Budget4BeginDate" localSheetId="4">'IWP03'!$Q$181</definedName>
    <definedName name="Budget4BeginDate" localSheetId="5">'IWP04'!$Q$181</definedName>
    <definedName name="Budget4BeginDate" localSheetId="6">'IWP05'!$Q$181</definedName>
    <definedName name="Budget4BeginDate" localSheetId="7">'IWP06'!$Q$181</definedName>
    <definedName name="Budget4BeginDate" localSheetId="8">'IWP07'!$Q$181</definedName>
    <definedName name="Budget4BeginDate" localSheetId="9">'IWP08'!$Q$181</definedName>
    <definedName name="Budget4BeginDate" localSheetId="10">'IWP09'!$Q$181</definedName>
    <definedName name="Budget4BeginDate" localSheetId="11">'IWP10'!$Q$181</definedName>
    <definedName name="Budget4BeginDate" localSheetId="12">'IWP11'!$Q$181</definedName>
    <definedName name="Budget4BeginDate" localSheetId="13">'IWP12'!$Q$181</definedName>
    <definedName name="Budget4BeginDate" localSheetId="14">'IWP13'!$Q$181</definedName>
    <definedName name="Budget4BeginDate" localSheetId="15">'IWP14'!$Q$181</definedName>
    <definedName name="Budget4BeginDate" localSheetId="16">'IWP15'!$Q$181</definedName>
    <definedName name="Budget4BeginDate" localSheetId="17">'IWP16'!$Q$181</definedName>
    <definedName name="Budget4BeginDate" localSheetId="18">'IWP17'!$Q$181</definedName>
    <definedName name="Budget4BeginDate" localSheetId="19">'IWP18'!$Q$181</definedName>
    <definedName name="Budget4BeginDate" localSheetId="20">'IWP19'!$Q$181</definedName>
    <definedName name="Budget4BeginDate" localSheetId="21">'IWP20'!$Q$181</definedName>
    <definedName name="Budget4BeginDate" localSheetId="22">'IWP21'!$Q$181</definedName>
    <definedName name="Budget4BeginDate" localSheetId="23">'IWP22'!$Q$181</definedName>
    <definedName name="Budget4BeginDate" localSheetId="24">'IWP23'!$Q$181</definedName>
    <definedName name="Budget4BeginDate" localSheetId="25">'IWP24'!$Q$181</definedName>
    <definedName name="Budget4BeginDate" localSheetId="26">'IWP25'!$Q$181</definedName>
    <definedName name="Budget4BeginDate" localSheetId="27">'IWP26'!$Q$181</definedName>
    <definedName name="Budget4BeginDate" localSheetId="28">'IWP27'!$Q$181</definedName>
    <definedName name="Budget4BeginDate" localSheetId="29">'IWP28'!$Q$181</definedName>
    <definedName name="Budget4BeginDate" localSheetId="30">'IWP29'!$Q$181</definedName>
    <definedName name="Budget4BeginDate" localSheetId="31">'IWP30'!$Q$181</definedName>
    <definedName name="Budget4EndDate" localSheetId="2">'IWP01'!$R$181</definedName>
    <definedName name="Budget4EndDate" localSheetId="3">'IWP02'!$R$181</definedName>
    <definedName name="Budget4EndDate" localSheetId="4">'IWP03'!$R$181</definedName>
    <definedName name="Budget4EndDate" localSheetId="5">'IWP04'!$R$181</definedName>
    <definedName name="Budget4EndDate" localSheetId="6">'IWP05'!$R$181</definedName>
    <definedName name="Budget4EndDate" localSheetId="7">'IWP06'!$R$181</definedName>
    <definedName name="Budget4EndDate" localSheetId="8">'IWP07'!$R$181</definedName>
    <definedName name="Budget4EndDate" localSheetId="9">'IWP08'!$R$181</definedName>
    <definedName name="Budget4EndDate" localSheetId="10">'IWP09'!$R$181</definedName>
    <definedName name="Budget4EndDate" localSheetId="11">'IWP10'!$R$181</definedName>
    <definedName name="Budget4EndDate" localSheetId="12">'IWP11'!$R$181</definedName>
    <definedName name="Budget4EndDate" localSheetId="13">'IWP12'!$R$181</definedName>
    <definedName name="Budget4EndDate" localSheetId="14">'IWP13'!$R$181</definedName>
    <definedName name="Budget4EndDate" localSheetId="15">'IWP14'!$R$181</definedName>
    <definedName name="Budget4EndDate" localSheetId="16">'IWP15'!$R$181</definedName>
    <definedName name="Budget4EndDate" localSheetId="17">'IWP16'!$R$181</definedName>
    <definedName name="Budget4EndDate" localSheetId="18">'IWP17'!$R$181</definedName>
    <definedName name="Budget4EndDate" localSheetId="19">'IWP18'!$R$181</definedName>
    <definedName name="Budget4EndDate" localSheetId="20">'IWP19'!$R$181</definedName>
    <definedName name="Budget4EndDate" localSheetId="21">'IWP20'!$R$181</definedName>
    <definedName name="Budget4EndDate" localSheetId="22">'IWP21'!$R$181</definedName>
    <definedName name="Budget4EndDate" localSheetId="23">'IWP22'!$R$181</definedName>
    <definedName name="Budget4EndDate" localSheetId="24">'IWP23'!$R$181</definedName>
    <definedName name="Budget4EndDate" localSheetId="25">'IWP24'!$R$181</definedName>
    <definedName name="Budget4EndDate" localSheetId="26">'IWP25'!$R$181</definedName>
    <definedName name="Budget4EndDate" localSheetId="27">'IWP26'!$R$181</definedName>
    <definedName name="Budget4EndDate" localSheetId="28">'IWP27'!$R$181</definedName>
    <definedName name="Budget4EndDate" localSheetId="29">'IWP28'!$R$181</definedName>
    <definedName name="Budget4EndDate" localSheetId="30">'IWP29'!$R$181</definedName>
    <definedName name="Budget4EndDate" localSheetId="31">'IWP30'!$R$181</definedName>
    <definedName name="CdsCbaAmountDue">'Demand for Payment (PRINT)'!$F$9</definedName>
    <definedName name="CdsCbaContractNumber">'Monitoring Workbook'!$C$7</definedName>
    <definedName name="CdsClassAmountDue">'Demand for Payment (PRINT)'!$F$10</definedName>
    <definedName name="CdsClassContractNumber">'Monitoring Workbook'!$C$8</definedName>
    <definedName name="CdsContractNumber">'Monitoring Workbook'!$C$7</definedName>
    <definedName name="CdsDbmdAmountDue">'Demand for Payment (PRINT)'!$F$11</definedName>
    <definedName name="CdsDbmdContractNumber">'Monitoring Workbook'!$C$9</definedName>
    <definedName name="CdsHcsAmountDue01">'Demand for Payment (PRINT)'!$F$14</definedName>
    <definedName name="CdsHcsAmountDue02">'Demand for Payment (PRINT)'!$F$15</definedName>
    <definedName name="CdsHcsAmountDue03">'Demand for Payment (PRINT)'!$F$16</definedName>
    <definedName name="CdsHcsAmountDue04">'Demand for Payment (PRINT)'!$F$17</definedName>
    <definedName name="CdsHcsAmountDue05">'Demand for Payment (PRINT)'!$F$18</definedName>
    <definedName name="CdsHcsAmountDue06">'Demand for Payment (PRINT)'!$F$19</definedName>
    <definedName name="CdsHcsAmountDue07">'Demand for Payment (PRINT)'!$F$20</definedName>
    <definedName name="CdsHcsAmountDue08">'Demand for Payment (PRINT)'!$M$9</definedName>
    <definedName name="CdsHcsAmountDue09">'Demand for Payment (PRINT)'!$M$10</definedName>
    <definedName name="CdsHcsContractNumber01">'Monitoring Workbook'!$C$12</definedName>
    <definedName name="CdsHcsContractNumber02">'Monitoring Workbook'!$C$13</definedName>
    <definedName name="CdsHcsContractNumber03">'Monitoring Workbook'!$C$14</definedName>
    <definedName name="CdsHcsContractNumber04">'Monitoring Workbook'!$C$15</definedName>
    <definedName name="CdsHcsContractNumber05">'Monitoring Workbook'!$C$16</definedName>
    <definedName name="CdsHcsContractNumber06">'Monitoring Workbook'!$C$17</definedName>
    <definedName name="CdsHcsContractNumber07">'Monitoring Workbook'!$C$18</definedName>
    <definedName name="CdsHcsContractNumber08">'Monitoring Workbook'!$H$7</definedName>
    <definedName name="CdsHcsContractNumber09">'Monitoring Workbook'!$H$8</definedName>
    <definedName name="CdsMdcpAmountDue">'Demand for Payment (PRINT)'!$F$12</definedName>
    <definedName name="CdsMdcpContractNumber">'Monitoring Workbook'!$C$10</definedName>
    <definedName name="CdsPhcAmountDue">'Demand for Payment (PRINT)'!$F$13</definedName>
    <definedName name="CdsPhcFcCasContractNumber">'Monitoring Workbook'!$C$11</definedName>
    <definedName name="CdsTxhmlAmountDue01">'Demand for Payment (PRINT)'!$M$11</definedName>
    <definedName name="CdsTxhmlAmountDue02">'Demand for Payment (PRINT)'!$M$12</definedName>
    <definedName name="CdsTxhmlAmountDue03">'Demand for Payment (PRINT)'!$M$13</definedName>
    <definedName name="CdsTxhmlAmountDue04">'Demand for Payment (PRINT)'!$M$14</definedName>
    <definedName name="CdsTxhmlAmountDue05">'Demand for Payment (PRINT)'!$M$15</definedName>
    <definedName name="CdsTxhmlAmountDue06">'Demand for Payment (PRINT)'!$M$16</definedName>
    <definedName name="CdsTxhmlAmountDue07">'Demand for Payment (PRINT)'!$M$17</definedName>
    <definedName name="CdsTxhmlAmountDue08">'Demand for Payment (PRINT)'!$M$18</definedName>
    <definedName name="CdsTxhmlAmountDue09">'Demand for Payment (PRINT)'!$M$19</definedName>
    <definedName name="CdsTxHmlContractNumber01">'Monitoring Workbook'!$H$9</definedName>
    <definedName name="CdsTxHmlContractNumber02">'Monitoring Workbook'!$H$10</definedName>
    <definedName name="CdsTxHmlContractNumber03">'Monitoring Workbook'!$H$11</definedName>
    <definedName name="CdsTxHmlContractNumber04">'Monitoring Workbook'!$H$12</definedName>
    <definedName name="CdsTxHmlContractNumber05">'Monitoring Workbook'!$H$13</definedName>
    <definedName name="CdsTxHmlContractNumber06">'Monitoring Workbook'!$H$14</definedName>
    <definedName name="CdsTxHmlContractNumber07">'Monitoring Workbook'!$H$15</definedName>
    <definedName name="CdsTxHmlContractNumber08">'Monitoring Workbook'!$H$16</definedName>
    <definedName name="CdsTxHmlContractNumber09">'Monitoring Workbook'!$H$17</definedName>
    <definedName name="ClientFirstName" localSheetId="2">'IWP01'!$T$6</definedName>
    <definedName name="ClientFirstName" localSheetId="3">'IWP02'!$T$6</definedName>
    <definedName name="ClientFirstName" localSheetId="4">'IWP03'!$T$6</definedName>
    <definedName name="ClientFirstName" localSheetId="5">'IWP04'!$T$6</definedName>
    <definedName name="ClientFirstName" localSheetId="6">'IWP05'!$T$6</definedName>
    <definedName name="ClientFirstName" localSheetId="7">'IWP06'!$T$6</definedName>
    <definedName name="ClientFirstName" localSheetId="8">'IWP07'!$T$6</definedName>
    <definedName name="ClientFirstName" localSheetId="9">'IWP08'!$T$6</definedName>
    <definedName name="ClientFirstName" localSheetId="10">'IWP09'!$T$6</definedName>
    <definedName name="ClientFirstName" localSheetId="11">'IWP10'!$T$6</definedName>
    <definedName name="ClientFirstName" localSheetId="12">'IWP11'!$T$6</definedName>
    <definedName name="ClientFirstName" localSheetId="13">'IWP12'!$T$6</definedName>
    <definedName name="ClientFirstName" localSheetId="14">'IWP13'!$T$6</definedName>
    <definedName name="ClientFirstName" localSheetId="15">'IWP14'!$T$6</definedName>
    <definedName name="ClientFirstName" localSheetId="16">'IWP15'!$T$6</definedName>
    <definedName name="ClientFirstName" localSheetId="17">'IWP16'!$T$6</definedName>
    <definedName name="ClientFirstName" localSheetId="18">'IWP17'!$T$6</definedName>
    <definedName name="ClientFirstName" localSheetId="19">'IWP18'!$T$6</definedName>
    <definedName name="ClientFirstName" localSheetId="20">'IWP19'!$T$6</definedName>
    <definedName name="ClientFirstName" localSheetId="21">'IWP20'!$T$6</definedName>
    <definedName name="ClientFirstName" localSheetId="22">'IWP21'!$T$6</definedName>
    <definedName name="ClientFirstName" localSheetId="23">'IWP22'!$T$6</definedName>
    <definedName name="ClientFirstName" localSheetId="24">'IWP23'!$T$6</definedName>
    <definedName name="ClientFirstName" localSheetId="25">'IWP24'!$T$6</definedName>
    <definedName name="ClientFirstName" localSheetId="26">'IWP25'!$T$6</definedName>
    <definedName name="ClientFirstName" localSheetId="27">'IWP26'!$T$6</definedName>
    <definedName name="ClientFirstName" localSheetId="28">'IWP27'!$T$6</definedName>
    <definedName name="ClientFirstName" localSheetId="29">'IWP28'!$T$6</definedName>
    <definedName name="ClientFirstName" localSheetId="30">'IWP29'!$T$6</definedName>
    <definedName name="ClientFirstName" localSheetId="31">'IWP30'!$T$6</definedName>
    <definedName name="ClientID" localSheetId="2">'IWP01'!$T$2</definedName>
    <definedName name="ClientID" localSheetId="3">'IWP02'!$T$2</definedName>
    <definedName name="ClientID" localSheetId="4">'IWP03'!$T$2</definedName>
    <definedName name="ClientID" localSheetId="5">'IWP04'!$T$2</definedName>
    <definedName name="ClientID" localSheetId="6">'IWP05'!$T$2</definedName>
    <definedName name="ClientID" localSheetId="7">'IWP06'!$T$2</definedName>
    <definedName name="ClientID" localSheetId="8">'IWP07'!$T$2</definedName>
    <definedName name="ClientID" localSheetId="9">'IWP08'!$T$2</definedName>
    <definedName name="ClientID" localSheetId="10">'IWP09'!$T$2</definedName>
    <definedName name="ClientID" localSheetId="11">'IWP10'!$T$2</definedName>
    <definedName name="ClientID" localSheetId="12">'IWP11'!$T$2</definedName>
    <definedName name="ClientID" localSheetId="13">'IWP12'!$T$2</definedName>
    <definedName name="ClientID" localSheetId="14">'IWP13'!$T$2</definedName>
    <definedName name="ClientID" localSheetId="15">'IWP14'!$T$2</definedName>
    <definedName name="ClientID" localSheetId="16">'IWP15'!$T$2</definedName>
    <definedName name="ClientID" localSheetId="17">'IWP16'!$T$2</definedName>
    <definedName name="ClientID" localSheetId="18">'IWP17'!$T$2</definedName>
    <definedName name="ClientID" localSheetId="19">'IWP18'!$T$2</definedName>
    <definedName name="ClientID" localSheetId="20">'IWP19'!$T$2</definedName>
    <definedName name="ClientID" localSheetId="21">'IWP20'!$T$2</definedName>
    <definedName name="ClientID" localSheetId="22">'IWP21'!$T$2</definedName>
    <definedName name="ClientID" localSheetId="23">'IWP22'!$T$2</definedName>
    <definedName name="ClientID" localSheetId="24">'IWP23'!$T$2</definedName>
    <definedName name="ClientID" localSheetId="25">'IWP24'!$T$2</definedName>
    <definedName name="ClientID" localSheetId="26">'IWP25'!$T$2</definedName>
    <definedName name="ClientID" localSheetId="27">'IWP26'!$T$2</definedName>
    <definedName name="ClientID" localSheetId="28">'IWP27'!$T$2</definedName>
    <definedName name="ClientID" localSheetId="29">'IWP28'!$T$2</definedName>
    <definedName name="ClientID" localSheetId="30">'IWP29'!$T$2</definedName>
    <definedName name="ClientID" localSheetId="31">'IWP30'!$T$2</definedName>
    <definedName name="ClientLastName" localSheetId="2">'IWP01'!$T$4</definedName>
    <definedName name="ClientLastName" localSheetId="3">'IWP02'!$T$4</definedName>
    <definedName name="ClientLastName" localSheetId="4">'IWP03'!$T$4</definedName>
    <definedName name="ClientLastName" localSheetId="5">'IWP04'!$T$4</definedName>
    <definedName name="ClientLastName" localSheetId="6">'IWP05'!$T$4</definedName>
    <definedName name="ClientLastName" localSheetId="7">'IWP06'!$T$4</definedName>
    <definedName name="ClientLastName" localSheetId="8">'IWP07'!$T$4</definedName>
    <definedName name="ClientLastName" localSheetId="9">'IWP08'!$T$4</definedName>
    <definedName name="ClientLastName" localSheetId="10">'IWP09'!$T$4</definedName>
    <definedName name="ClientLastName" localSheetId="11">'IWP10'!$T$4</definedName>
    <definedName name="ClientLastName" localSheetId="12">'IWP11'!$T$4</definedName>
    <definedName name="ClientLastName" localSheetId="13">'IWP12'!$T$4</definedName>
    <definedName name="ClientLastName" localSheetId="14">'IWP13'!$T$4</definedName>
    <definedName name="ClientLastName" localSheetId="15">'IWP14'!$T$4</definedName>
    <definedName name="ClientLastName" localSheetId="16">'IWP15'!$T$4</definedName>
    <definedName name="ClientLastName" localSheetId="17">'IWP16'!$T$4</definedName>
    <definedName name="ClientLastName" localSheetId="18">'IWP17'!$T$4</definedName>
    <definedName name="ClientLastName" localSheetId="19">'IWP18'!$T$4</definedName>
    <definedName name="ClientLastName" localSheetId="20">'IWP19'!$T$4</definedName>
    <definedName name="ClientLastName" localSheetId="21">'IWP20'!$T$4</definedName>
    <definedName name="ClientLastName" localSheetId="22">'IWP21'!$T$4</definedName>
    <definedName name="ClientLastName" localSheetId="23">'IWP22'!$T$4</definedName>
    <definedName name="ClientLastName" localSheetId="24">'IWP23'!$T$4</definedName>
    <definedName name="ClientLastName" localSheetId="25">'IWP24'!$T$4</definedName>
    <definedName name="ClientLastName" localSheetId="26">'IWP25'!$T$4</definedName>
    <definedName name="ClientLastName" localSheetId="27">'IWP26'!$T$4</definedName>
    <definedName name="ClientLastName" localSheetId="28">'IWP27'!$T$4</definedName>
    <definedName name="ClientLastName" localSheetId="29">'IWP28'!$T$4</definedName>
    <definedName name="ClientLastName" localSheetId="30">'IWP29'!$T$4</definedName>
    <definedName name="ClientLastName" localSheetId="31">'IWP30'!$T$4</definedName>
    <definedName name="CompletedByFirstName" localSheetId="2">'IWP01'!$D$4</definedName>
    <definedName name="CompletedByFirstName" localSheetId="3">'IWP02'!$D$4</definedName>
    <definedName name="CompletedByFirstName" localSheetId="4">'IWP03'!$D$4</definedName>
    <definedName name="CompletedByFirstName" localSheetId="5">'IWP04'!$D$4</definedName>
    <definedName name="CompletedByFirstName" localSheetId="6">'IWP05'!$D$4</definedName>
    <definedName name="CompletedByFirstName" localSheetId="7">'IWP06'!$D$4</definedName>
    <definedName name="CompletedByFirstName" localSheetId="8">'IWP07'!$D$4</definedName>
    <definedName name="CompletedByFirstName" localSheetId="9">'IWP08'!$D$4</definedName>
    <definedName name="CompletedByFirstName" localSheetId="10">'IWP09'!$D$4</definedName>
    <definedName name="CompletedByFirstName" localSheetId="11">'IWP10'!$D$4</definedName>
    <definedName name="CompletedByFirstName" localSheetId="12">'IWP11'!$D$4</definedName>
    <definedName name="CompletedByFirstName" localSheetId="13">'IWP12'!$D$4</definedName>
    <definedName name="CompletedByFirstName" localSheetId="14">'IWP13'!$D$4</definedName>
    <definedName name="CompletedByFirstName" localSheetId="15">'IWP14'!$D$4</definedName>
    <definedName name="CompletedByFirstName" localSheetId="16">'IWP15'!$D$4</definedName>
    <definedName name="CompletedByFirstName" localSheetId="17">'IWP16'!$D$4</definedName>
    <definedName name="CompletedByFirstName" localSheetId="18">'IWP17'!$D$4</definedName>
    <definedName name="CompletedByFirstName" localSheetId="19">'IWP18'!$D$4</definedName>
    <definedName name="CompletedByFirstName" localSheetId="20">'IWP19'!$D$4</definedName>
    <definedName name="CompletedByFirstName" localSheetId="21">'IWP20'!$D$4</definedName>
    <definedName name="CompletedByFirstName" localSheetId="22">'IWP21'!$D$4</definedName>
    <definedName name="CompletedByFirstName" localSheetId="23">'IWP22'!$D$4</definedName>
    <definedName name="CompletedByFirstName" localSheetId="24">'IWP23'!$D$4</definedName>
    <definedName name="CompletedByFirstName" localSheetId="25">'IWP24'!$D$4</definedName>
    <definedName name="CompletedByFirstName" localSheetId="26">'IWP25'!$D$4</definedName>
    <definedName name="CompletedByFirstName" localSheetId="27">'IWP26'!$D$4</definedName>
    <definedName name="CompletedByFirstName" localSheetId="28">'IWP27'!$D$4</definedName>
    <definedName name="CompletedByFirstName" localSheetId="29">'IWP28'!$D$4</definedName>
    <definedName name="CompletedByFirstName" localSheetId="30">'IWP29'!$D$4</definedName>
    <definedName name="CompletedByFirstName" localSheetId="31">'IWP30'!$D$4</definedName>
    <definedName name="CompletedByFirstName">'Monitoring Workbook'!$B$5</definedName>
    <definedName name="CompletedByLastName" localSheetId="2">'IWP01'!$D$3</definedName>
    <definedName name="CompletedByLastName" localSheetId="3">'IWP02'!$D$3</definedName>
    <definedName name="CompletedByLastName" localSheetId="4">'IWP03'!$D$3</definedName>
    <definedName name="CompletedByLastName" localSheetId="5">'IWP04'!$D$3</definedName>
    <definedName name="CompletedByLastName" localSheetId="6">'IWP05'!$D$3</definedName>
    <definedName name="CompletedByLastName" localSheetId="7">'IWP06'!$D$3</definedName>
    <definedName name="CompletedByLastName" localSheetId="8">'IWP07'!$D$3</definedName>
    <definedName name="CompletedByLastName" localSheetId="9">'IWP08'!$D$3</definedName>
    <definedName name="CompletedByLastName" localSheetId="10">'IWP09'!$D$3</definedName>
    <definedName name="CompletedByLastName" localSheetId="11">'IWP10'!$D$3</definedName>
    <definedName name="CompletedByLastName" localSheetId="12">'IWP11'!$D$3</definedName>
    <definedName name="CompletedByLastName" localSheetId="13">'IWP12'!$D$3</definedName>
    <definedName name="CompletedByLastName" localSheetId="14">'IWP13'!$D$3</definedName>
    <definedName name="CompletedByLastName" localSheetId="15">'IWP14'!$D$3</definedName>
    <definedName name="CompletedByLastName" localSheetId="16">'IWP15'!$D$3</definedName>
    <definedName name="CompletedByLastName" localSheetId="17">'IWP16'!$D$3</definedName>
    <definedName name="CompletedByLastName" localSheetId="18">'IWP17'!$D$3</definedName>
    <definedName name="CompletedByLastName" localSheetId="19">'IWP18'!$D$3</definedName>
    <definedName name="CompletedByLastName" localSheetId="20">'IWP19'!$D$3</definedName>
    <definedName name="CompletedByLastName" localSheetId="21">'IWP20'!$D$3</definedName>
    <definedName name="CompletedByLastName" localSheetId="22">'IWP21'!$D$3</definedName>
    <definedName name="CompletedByLastName" localSheetId="23">'IWP22'!$D$3</definedName>
    <definedName name="CompletedByLastName" localSheetId="24">'IWP23'!$D$3</definedName>
    <definedName name="CompletedByLastName" localSheetId="25">'IWP24'!$D$3</definedName>
    <definedName name="CompletedByLastName" localSheetId="26">'IWP25'!$D$3</definedName>
    <definedName name="CompletedByLastName" localSheetId="27">'IWP26'!$D$3</definedName>
    <definedName name="CompletedByLastName" localSheetId="28">'IWP27'!$D$3</definedName>
    <definedName name="CompletedByLastName" localSheetId="29">'IWP28'!$D$3</definedName>
    <definedName name="CompletedByLastName" localSheetId="30">'IWP29'!$D$3</definedName>
    <definedName name="CompletedByLastName" localSheetId="31">'IWP30'!$D$3</definedName>
    <definedName name="CompletedByLastName">'Monitoring Workbook'!$B$4</definedName>
    <definedName name="ContractNumber" localSheetId="2">'IWP01'!$B$2</definedName>
    <definedName name="ContractNumber" localSheetId="3">'IWP02'!$B$2</definedName>
    <definedName name="ContractNumber" localSheetId="4">'IWP03'!$B$2</definedName>
    <definedName name="ContractNumber" localSheetId="5">'IWP04'!$B$2</definedName>
    <definedName name="ContractNumber" localSheetId="6">'IWP05'!$B$2</definedName>
    <definedName name="ContractNumber" localSheetId="7">'IWP06'!$B$2</definedName>
    <definedName name="ContractNumber" localSheetId="8">'IWP07'!$B$2</definedName>
    <definedName name="ContractNumber" localSheetId="9">'IWP08'!$B$2</definedName>
    <definedName name="ContractNumber" localSheetId="10">'IWP09'!$B$2</definedName>
    <definedName name="ContractNumber" localSheetId="11">'IWP10'!$B$2</definedName>
    <definedName name="ContractNumber" localSheetId="12">'IWP11'!$B$2</definedName>
    <definedName name="ContractNumber" localSheetId="13">'IWP12'!$B$2</definedName>
    <definedName name="ContractNumber" localSheetId="14">'IWP13'!$B$2</definedName>
    <definedName name="ContractNumber" localSheetId="15">'IWP14'!$B$2</definedName>
    <definedName name="ContractNumber" localSheetId="16">'IWP15'!$B$2</definedName>
    <definedName name="ContractNumber" localSheetId="17">'IWP16'!$B$2</definedName>
    <definedName name="ContractNumber" localSheetId="18">'IWP17'!$B$2</definedName>
    <definedName name="ContractNumber" localSheetId="19">'IWP18'!$B$2</definedName>
    <definedName name="ContractNumber" localSheetId="20">'IWP19'!$B$2</definedName>
    <definedName name="ContractNumber" localSheetId="21">'IWP20'!$B$2</definedName>
    <definedName name="ContractNumber" localSheetId="22">'IWP21'!$B$2</definedName>
    <definedName name="ContractNumber" localSheetId="23">'IWP22'!$B$2</definedName>
    <definedName name="ContractNumber" localSheetId="24">'IWP23'!$B$2</definedName>
    <definedName name="ContractNumber" localSheetId="25">'IWP24'!$B$2</definedName>
    <definedName name="ContractNumber" localSheetId="26">'IWP25'!$B$2</definedName>
    <definedName name="ContractNumber" localSheetId="27">'IWP26'!$B$2</definedName>
    <definedName name="ContractNumber" localSheetId="28">'IWP27'!$B$2</definedName>
    <definedName name="ContractNumber" localSheetId="29">'IWP28'!$B$2</definedName>
    <definedName name="ContractNumber" localSheetId="30">'IWP29'!$B$2</definedName>
    <definedName name="ContractNumber" localSheetId="31">'IWP30'!$B$2</definedName>
    <definedName name="ContractNumbers" localSheetId="37">Data!$A$6:$B$13</definedName>
    <definedName name="ContractType" localSheetId="2">'IWP01'!$D$2</definedName>
    <definedName name="ContractType" localSheetId="3">'IWP02'!$D$2</definedName>
    <definedName name="ContractType" localSheetId="4">'IWP03'!$D$2</definedName>
    <definedName name="ContractType" localSheetId="5">'IWP04'!$D$2</definedName>
    <definedName name="ContractType" localSheetId="6">'IWP05'!$D$2</definedName>
    <definedName name="ContractType" localSheetId="7">'IWP06'!$D$2</definedName>
    <definedName name="ContractType" localSheetId="8">'IWP07'!$D$2</definedName>
    <definedName name="ContractType" localSheetId="9">'IWP08'!$D$2</definedName>
    <definedName name="ContractType" localSheetId="10">'IWP09'!$D$2</definedName>
    <definedName name="ContractType" localSheetId="11">'IWP10'!$D$2</definedName>
    <definedName name="ContractType" localSheetId="12">'IWP11'!$D$2</definedName>
    <definedName name="ContractType" localSheetId="13">'IWP12'!$D$2</definedName>
    <definedName name="ContractType" localSheetId="14">'IWP13'!$D$2</definedName>
    <definedName name="ContractType" localSheetId="15">'IWP14'!$D$2</definedName>
    <definedName name="ContractType" localSheetId="16">'IWP15'!$D$2</definedName>
    <definedName name="ContractType" localSheetId="17">'IWP16'!$D$2</definedName>
    <definedName name="ContractType" localSheetId="18">'IWP17'!$D$2</definedName>
    <definedName name="ContractType" localSheetId="19">'IWP18'!$D$2</definedName>
    <definedName name="ContractType" localSheetId="20">'IWP19'!$D$2</definedName>
    <definedName name="ContractType" localSheetId="21">'IWP20'!$D$2</definedName>
    <definedName name="ContractType" localSheetId="22">'IWP21'!$D$2</definedName>
    <definedName name="ContractType" localSheetId="23">'IWP22'!$D$2</definedName>
    <definedName name="ContractType" localSheetId="24">'IWP23'!$D$2</definedName>
    <definedName name="ContractType" localSheetId="25">'IWP24'!$D$2</definedName>
    <definedName name="ContractType" localSheetId="26">'IWP25'!$D$2</definedName>
    <definedName name="ContractType" localSheetId="27">'IWP26'!$D$2</definedName>
    <definedName name="ContractType" localSheetId="28">'IWP27'!$D$2</definedName>
    <definedName name="ContractType" localSheetId="29">'IWP28'!$D$2</definedName>
    <definedName name="ContractType" localSheetId="30">'IWP29'!$D$2</definedName>
    <definedName name="ContractType" localSheetId="31">'IWP30'!$D$2</definedName>
    <definedName name="DateCompleted" localSheetId="2">'IWP01'!$G$4</definedName>
    <definedName name="DateCompleted" localSheetId="3">'IWP02'!$G$4</definedName>
    <definedName name="DateCompleted" localSheetId="4">'IWP03'!$G$4</definedName>
    <definedName name="DateCompleted" localSheetId="5">'IWP04'!$G$4</definedName>
    <definedName name="DateCompleted" localSheetId="6">'IWP05'!$G$4</definedName>
    <definedName name="DateCompleted" localSheetId="7">'IWP06'!$G$4</definedName>
    <definedName name="DateCompleted" localSheetId="8">'IWP07'!$G$4</definedName>
    <definedName name="DateCompleted" localSheetId="9">'IWP08'!$G$4</definedName>
    <definedName name="DateCompleted" localSheetId="10">'IWP09'!$G$4</definedName>
    <definedName name="DateCompleted" localSheetId="11">'IWP10'!$G$4</definedName>
    <definedName name="DateCompleted" localSheetId="12">'IWP11'!$G$4</definedName>
    <definedName name="DateCompleted" localSheetId="13">'IWP12'!$G$4</definedName>
    <definedName name="DateCompleted" localSheetId="14">'IWP13'!$G$4</definedName>
    <definedName name="DateCompleted" localSheetId="15">'IWP14'!$G$4</definedName>
    <definedName name="DateCompleted" localSheetId="16">'IWP15'!$G$4</definedName>
    <definedName name="DateCompleted" localSheetId="17">'IWP16'!$G$4</definedName>
    <definedName name="DateCompleted" localSheetId="18">'IWP17'!$G$4</definedName>
    <definedName name="DateCompleted" localSheetId="19">'IWP18'!$G$4</definedName>
    <definedName name="DateCompleted" localSheetId="20">'IWP19'!$G$4</definedName>
    <definedName name="DateCompleted" localSheetId="21">'IWP20'!$G$4</definedName>
    <definedName name="DateCompleted" localSheetId="22">'IWP21'!$G$4</definedName>
    <definedName name="DateCompleted" localSheetId="23">'IWP22'!$G$4</definedName>
    <definedName name="DateCompleted" localSheetId="24">'IWP23'!$G$4</definedName>
    <definedName name="DateCompleted" localSheetId="25">'IWP24'!$G$4</definedName>
    <definedName name="DateCompleted" localSheetId="26">'IWP25'!$G$4</definedName>
    <definedName name="DateCompleted" localSheetId="27">'IWP26'!$G$4</definedName>
    <definedName name="DateCompleted" localSheetId="28">'IWP27'!$G$4</definedName>
    <definedName name="DateCompleted" localSheetId="29">'IWP28'!$G$4</definedName>
    <definedName name="DateCompleted" localSheetId="30">'IWP29'!$G$4</definedName>
    <definedName name="DateCompleted" localSheetId="31">'IWP30'!$G$4</definedName>
    <definedName name="DateOfEntrance">'Monitoring Workbook'!$C$5</definedName>
    <definedName name="DateOfExit">'Monitoring Workbook'!$E$5</definedName>
    <definedName name="DateOfExitRevised">'Monitoring Workbook'!$G$5</definedName>
    <definedName name="DemantForPmt" localSheetId="33">'Demand for Payment (PRINT)'!$A$33:$N$182</definedName>
    <definedName name="MINVALDBL">-99999.99</definedName>
    <definedName name="MonitoringPeriodBeginDate">'Samples (PRINT)'!$B$2</definedName>
    <definedName name="MonitoringPeriodEndDate">'Samples (PRINT)'!$D$2</definedName>
    <definedName name="NameOfLegalEntity">'Monitoring Workbook'!$A$2</definedName>
    <definedName name="Overall_Score" localSheetId="32">'Compliance Summary (PRINT)'!$J$36</definedName>
    <definedName name="Overall_Total" localSheetId="32">'Compliance Summary (PRINT)'!$I$36</definedName>
    <definedName name="Overall_Total_No" localSheetId="32">'Compliance Summary (PRINT)'!$H$36</definedName>
    <definedName name="Overall_Total_Yes" localSheetId="32">'Compliance Summary (PRINT)'!$G$36</definedName>
    <definedName name="_xlnm.Print_Area" localSheetId="34">'Amt Due Emp Employer (PRINT)'!$A$1:$M$43</definedName>
    <definedName name="_xlnm.Print_Area" localSheetId="32">'Compliance Summary (PRINT)'!$A$1:$J$46</definedName>
    <definedName name="_xlnm.Print_Area" localSheetId="2">'IWP01'!$A$1:$R$630</definedName>
    <definedName name="_xlnm.Print_Area" localSheetId="3">'IWP02'!$A$1:$R$630</definedName>
    <definedName name="_xlnm.Print_Area" localSheetId="4">'IWP03'!$A$1:$R$630</definedName>
    <definedName name="_xlnm.Print_Area" localSheetId="5">'IWP04'!$A$1:$R$630</definedName>
    <definedName name="_xlnm.Print_Area" localSheetId="6">'IWP05'!$A$1:$R$630</definedName>
    <definedName name="_xlnm.Print_Area" localSheetId="7">'IWP06'!$A$1:$R$630</definedName>
    <definedName name="_xlnm.Print_Area" localSheetId="8">'IWP07'!$A$1:$R$630</definedName>
    <definedName name="_xlnm.Print_Area" localSheetId="9">'IWP08'!$A$1:$R$630</definedName>
    <definedName name="_xlnm.Print_Area" localSheetId="10">'IWP09'!$A$1:$R$630</definedName>
    <definedName name="_xlnm.Print_Area" localSheetId="11">'IWP10'!$A$1:$R$630</definedName>
    <definedName name="_xlnm.Print_Area" localSheetId="12">'IWP11'!$A$1:$R$630</definedName>
    <definedName name="_xlnm.Print_Area" localSheetId="13">'IWP12'!$A$1:$R$630</definedName>
    <definedName name="_xlnm.Print_Area" localSheetId="14">'IWP13'!$A$1:$R$630</definedName>
    <definedName name="_xlnm.Print_Area" localSheetId="15">'IWP14'!$A$1:$R$630</definedName>
    <definedName name="_xlnm.Print_Area" localSheetId="16">'IWP15'!$A$1:$R$630</definedName>
    <definedName name="_xlnm.Print_Area" localSheetId="17">'IWP16'!$A$1:$R$630</definedName>
    <definedName name="_xlnm.Print_Area" localSheetId="18">'IWP17'!$A$1:$R$630</definedName>
    <definedName name="_xlnm.Print_Area" localSheetId="19">'IWP18'!$A$1:$R$630</definedName>
    <definedName name="_xlnm.Print_Area" localSheetId="20">'IWP19'!$A$1:$R$630</definedName>
    <definedName name="_xlnm.Print_Area" localSheetId="21">'IWP20'!$A$1:$R$630</definedName>
    <definedName name="_xlnm.Print_Area" localSheetId="22">'IWP21'!$A$1:$R$630</definedName>
    <definedName name="_xlnm.Print_Area" localSheetId="23">'IWP22'!$A$1:$R$630</definedName>
    <definedName name="_xlnm.Print_Area" localSheetId="24">'IWP23'!$A$1:$R$630</definedName>
    <definedName name="_xlnm.Print_Area" localSheetId="25">'IWP24'!$A$1:$R$630</definedName>
    <definedName name="_xlnm.Print_Area" localSheetId="26">'IWP25'!$A$1:$R$630</definedName>
    <definedName name="_xlnm.Print_Area" localSheetId="27">'IWP26'!$A$1:$R$630</definedName>
    <definedName name="_xlnm.Print_Area" localSheetId="28">'IWP27'!$A$1:$R$630</definedName>
    <definedName name="_xlnm.Print_Area" localSheetId="29">'IWP28'!$A$1:$R$630</definedName>
    <definedName name="_xlnm.Print_Area" localSheetId="30">'IWP29'!$A$1:$R$630</definedName>
    <definedName name="_xlnm.Print_Area" localSheetId="31">'IWP30'!$A$1:$R$630</definedName>
    <definedName name="_xlnm.Print_Area" localSheetId="0">'Monitoring Workbook'!$A$1:$J$301</definedName>
    <definedName name="_xlnm.Print_Area" localSheetId="36">'Notes (Print)'!$A$1:$L$40</definedName>
    <definedName name="_xlnm.Print_Titles" localSheetId="2">'IWP01'!$1:$4</definedName>
    <definedName name="_xlnm.Print_Titles" localSheetId="3">'IWP02'!$1:$4</definedName>
    <definedName name="_xlnm.Print_Titles" localSheetId="4">'IWP03'!$1:$4</definedName>
    <definedName name="_xlnm.Print_Titles" localSheetId="5">'IWP04'!$1:$4</definedName>
    <definedName name="_xlnm.Print_Titles" localSheetId="6">'IWP05'!$1:$4</definedName>
    <definedName name="_xlnm.Print_Titles" localSheetId="7">'IWP06'!$1:$4</definedName>
    <definedName name="_xlnm.Print_Titles" localSheetId="8">'IWP07'!$1:$4</definedName>
    <definedName name="_xlnm.Print_Titles" localSheetId="9">'IWP08'!$1:$4</definedName>
    <definedName name="_xlnm.Print_Titles" localSheetId="10">'IWP09'!$1:$4</definedName>
    <definedName name="_xlnm.Print_Titles" localSheetId="11">'IWP10'!$1:$4</definedName>
    <definedName name="_xlnm.Print_Titles" localSheetId="12">'IWP11'!$1:$4</definedName>
    <definedName name="_xlnm.Print_Titles" localSheetId="13">'IWP12'!$1:$4</definedName>
    <definedName name="_xlnm.Print_Titles" localSheetId="14">'IWP13'!$1:$4</definedName>
    <definedName name="_xlnm.Print_Titles" localSheetId="15">'IWP14'!$1:$4</definedName>
    <definedName name="_xlnm.Print_Titles" localSheetId="16">'IWP15'!$1:$4</definedName>
    <definedName name="_xlnm.Print_Titles" localSheetId="17">'IWP16'!$1:$4</definedName>
    <definedName name="_xlnm.Print_Titles" localSheetId="18">'IWP17'!$1:$4</definedName>
    <definedName name="_xlnm.Print_Titles" localSheetId="19">'IWP18'!$1:$4</definedName>
    <definedName name="_xlnm.Print_Titles" localSheetId="20">'IWP19'!$1:$4</definedName>
    <definedName name="_xlnm.Print_Titles" localSheetId="21">'IWP20'!$1:$4</definedName>
    <definedName name="_xlnm.Print_Titles" localSheetId="22">'IWP21'!$1:$4</definedName>
    <definedName name="_xlnm.Print_Titles" localSheetId="23">'IWP22'!$1:$4</definedName>
    <definedName name="_xlnm.Print_Titles" localSheetId="24">'IWP23'!$1:$4</definedName>
    <definedName name="_xlnm.Print_Titles" localSheetId="25">'IWP24'!$1:$4</definedName>
    <definedName name="_xlnm.Print_Titles" localSheetId="26">'IWP25'!$1:$4</definedName>
    <definedName name="_xlnm.Print_Titles" localSheetId="27">'IWP26'!$1:$4</definedName>
    <definedName name="_xlnm.Print_Titles" localSheetId="28">'IWP27'!$1:$4</definedName>
    <definedName name="_xlnm.Print_Titles" localSheetId="29">'IWP28'!$1:$4</definedName>
    <definedName name="_xlnm.Print_Titles" localSheetId="30">'IWP29'!$1:$4</definedName>
    <definedName name="_xlnm.Print_Titles" localSheetId="31">'IWP30'!$1:$4</definedName>
    <definedName name="_xlnm.Print_Titles" localSheetId="0">'Monitoring Workbook'!$1:$5</definedName>
    <definedName name="ReviewLevel">'Monitoring Workbook'!$F$2</definedName>
    <definedName name="ReviewPeriodBeginDate" localSheetId="2">'IWP01'!$F$2</definedName>
    <definedName name="ReviewPeriodBeginDate" localSheetId="3">'IWP02'!$F$2</definedName>
    <definedName name="ReviewPeriodBeginDate" localSheetId="4">'IWP03'!$F$2</definedName>
    <definedName name="ReviewPeriodBeginDate" localSheetId="5">'IWP04'!$F$2</definedName>
    <definedName name="ReviewPeriodBeginDate" localSheetId="6">'IWP05'!$F$2</definedName>
    <definedName name="ReviewPeriodBeginDate" localSheetId="7">'IWP06'!$F$2</definedName>
    <definedName name="ReviewPeriodBeginDate" localSheetId="8">'IWP07'!$F$2</definedName>
    <definedName name="ReviewPeriodBeginDate" localSheetId="9">'IWP08'!$F$2</definedName>
    <definedName name="ReviewPeriodBeginDate" localSheetId="10">'IWP09'!$F$2</definedName>
    <definedName name="ReviewPeriodBeginDate" localSheetId="11">'IWP10'!$F$2</definedName>
    <definedName name="ReviewPeriodBeginDate" localSheetId="12">'IWP11'!$F$2</definedName>
    <definedName name="ReviewPeriodBeginDate" localSheetId="13">'IWP12'!$F$2</definedName>
    <definedName name="ReviewPeriodBeginDate" localSheetId="14">'IWP13'!$F$2</definedName>
    <definedName name="ReviewPeriodBeginDate" localSheetId="15">'IWP14'!$F$2</definedName>
    <definedName name="ReviewPeriodBeginDate" localSheetId="16">'IWP15'!$F$2</definedName>
    <definedName name="ReviewPeriodBeginDate" localSheetId="17">'IWP16'!$F$2</definedName>
    <definedName name="ReviewPeriodBeginDate" localSheetId="18">'IWP17'!$F$2</definedName>
    <definedName name="ReviewPeriodBeginDate" localSheetId="19">'IWP18'!$F$2</definedName>
    <definedName name="ReviewPeriodBeginDate" localSheetId="20">'IWP19'!$F$2</definedName>
    <definedName name="ReviewPeriodBeginDate" localSheetId="21">'IWP20'!$F$2</definedName>
    <definedName name="ReviewPeriodBeginDate" localSheetId="22">'IWP21'!$F$2</definedName>
    <definedName name="ReviewPeriodBeginDate" localSheetId="23">'IWP22'!$F$2</definedName>
    <definedName name="ReviewPeriodBeginDate" localSheetId="24">'IWP23'!$F$2</definedName>
    <definedName name="ReviewPeriodBeginDate" localSheetId="25">'IWP24'!$F$2</definedName>
    <definedName name="ReviewPeriodBeginDate" localSheetId="26">'IWP25'!$F$2</definedName>
    <definedName name="ReviewPeriodBeginDate" localSheetId="27">'IWP26'!$F$2</definedName>
    <definedName name="ReviewPeriodBeginDate" localSheetId="28">'IWP27'!$F$2</definedName>
    <definedName name="ReviewPeriodBeginDate" localSheetId="29">'IWP28'!$F$2</definedName>
    <definedName name="ReviewPeriodBeginDate" localSheetId="30">'IWP29'!$F$2</definedName>
    <definedName name="ReviewPeriodBeginDate" localSheetId="31">'IWP30'!$F$2</definedName>
    <definedName name="ReviewPeriodEndDate" localSheetId="2">'IWP01'!$H$2</definedName>
    <definedName name="ReviewPeriodEndDate" localSheetId="3">'IWP02'!$H$2</definedName>
    <definedName name="ReviewPeriodEndDate" localSheetId="4">'IWP03'!$H$2</definedName>
    <definedName name="ReviewPeriodEndDate" localSheetId="5">'IWP04'!$H$2</definedName>
    <definedName name="ReviewPeriodEndDate" localSheetId="6">'IWP05'!$H$2</definedName>
    <definedName name="ReviewPeriodEndDate" localSheetId="7">'IWP06'!$H$2</definedName>
    <definedName name="ReviewPeriodEndDate" localSheetId="8">'IWP07'!$H$2</definedName>
    <definedName name="ReviewPeriodEndDate" localSheetId="9">'IWP08'!$H$2</definedName>
    <definedName name="ReviewPeriodEndDate" localSheetId="10">'IWP09'!$H$2</definedName>
    <definedName name="ReviewPeriodEndDate" localSheetId="11">'IWP10'!$H$2</definedName>
    <definedName name="ReviewPeriodEndDate" localSheetId="12">'IWP11'!$H$2</definedName>
    <definedName name="ReviewPeriodEndDate" localSheetId="13">'IWP12'!$H$2</definedName>
    <definedName name="ReviewPeriodEndDate" localSheetId="14">'IWP13'!$H$2</definedName>
    <definedName name="ReviewPeriodEndDate" localSheetId="15">'IWP14'!$H$2</definedName>
    <definedName name="ReviewPeriodEndDate" localSheetId="16">'IWP15'!$H$2</definedName>
    <definedName name="ReviewPeriodEndDate" localSheetId="17">'IWP16'!$H$2</definedName>
    <definedName name="ReviewPeriodEndDate" localSheetId="18">'IWP17'!$H$2</definedName>
    <definedName name="ReviewPeriodEndDate" localSheetId="19">'IWP18'!$H$2</definedName>
    <definedName name="ReviewPeriodEndDate" localSheetId="20">'IWP19'!$H$2</definedName>
    <definedName name="ReviewPeriodEndDate" localSheetId="21">'IWP20'!$H$2</definedName>
    <definedName name="ReviewPeriodEndDate" localSheetId="22">'IWP21'!$H$2</definedName>
    <definedName name="ReviewPeriodEndDate" localSheetId="23">'IWP22'!$H$2</definedName>
    <definedName name="ReviewPeriodEndDate" localSheetId="24">'IWP23'!$H$2</definedName>
    <definedName name="ReviewPeriodEndDate" localSheetId="25">'IWP24'!$H$2</definedName>
    <definedName name="ReviewPeriodEndDate" localSheetId="26">'IWP25'!$H$2</definedName>
    <definedName name="ReviewPeriodEndDate" localSheetId="27">'IWP26'!$H$2</definedName>
    <definedName name="ReviewPeriodEndDate" localSheetId="28">'IWP27'!$H$2</definedName>
    <definedName name="ReviewPeriodEndDate" localSheetId="29">'IWP28'!$H$2</definedName>
    <definedName name="ReviewPeriodEndDate" localSheetId="30">'IWP29'!$H$2</definedName>
    <definedName name="ReviewPeriodEndDate" localSheetId="31">'IWP30'!$H$2</definedName>
    <definedName name="ReviewType">'Monitoring Workbook'!$H$2</definedName>
    <definedName name="SampleNumber" localSheetId="2">'IWP01'!$A$2</definedName>
    <definedName name="SampleNumber" localSheetId="3">'IWP02'!$A$2</definedName>
    <definedName name="SampleNumber" localSheetId="4">'IWP03'!$A$2</definedName>
    <definedName name="SampleNumber" localSheetId="5">'IWP04'!$A$2</definedName>
    <definedName name="SampleNumber" localSheetId="6">'IWP05'!$A$2</definedName>
    <definedName name="SampleNumber" localSheetId="7">'IWP06'!$A$2</definedName>
    <definedName name="SampleNumber" localSheetId="8">'IWP07'!$A$2</definedName>
    <definedName name="SampleNumber" localSheetId="9">'IWP08'!$A$2</definedName>
    <definedName name="SampleNumber" localSheetId="10">'IWP09'!$A$2</definedName>
    <definedName name="SampleNumber" localSheetId="11">'IWP10'!$A$2</definedName>
    <definedName name="SampleNumber" localSheetId="12">'IWP11'!$A$2</definedName>
    <definedName name="SampleNumber" localSheetId="13">'IWP12'!$A$2</definedName>
    <definedName name="SampleNumber" localSheetId="14">'IWP13'!$A$2</definedName>
    <definedName name="SampleNumber" localSheetId="15">'IWP14'!$A$2</definedName>
    <definedName name="SampleNumber" localSheetId="16">'IWP15'!$A$2</definedName>
    <definedName name="SampleNumber" localSheetId="17">'IWP16'!$A$2</definedName>
    <definedName name="SampleNumber" localSheetId="18">'IWP17'!$A$2</definedName>
    <definedName name="SampleNumber" localSheetId="19">'IWP18'!$A$2</definedName>
    <definedName name="SampleNumber" localSheetId="20">'IWP19'!$A$2</definedName>
    <definedName name="SampleNumber" localSheetId="21">'IWP20'!$A$2</definedName>
    <definedName name="SampleNumber" localSheetId="22">'IWP21'!$A$2</definedName>
    <definedName name="SampleNumber" localSheetId="23">'IWP22'!$A$2</definedName>
    <definedName name="SampleNumber" localSheetId="24">'IWP23'!$A$2</definedName>
    <definedName name="SampleNumber" localSheetId="25">'IWP24'!$A$2</definedName>
    <definedName name="SampleNumber" localSheetId="26">'IWP25'!$A$2</definedName>
    <definedName name="SampleNumber" localSheetId="27">'IWP26'!$A$2</definedName>
    <definedName name="SampleNumber" localSheetId="28">'IWP27'!$A$2</definedName>
    <definedName name="SampleNumber" localSheetId="29">'IWP28'!$A$2</definedName>
    <definedName name="SampleNumber" localSheetId="30">'IWP29'!$A$2</definedName>
    <definedName name="SampleNumber" localSheetId="31">'IWP30'!$A$2</definedName>
    <definedName name="SpreadsheetInfo" localSheetId="37">Data!$A$2:$C$3</definedName>
    <definedName name="Standard_I_2">'Monitoring Workbook'!$J$28</definedName>
    <definedName name="Standard_I_2b">'Monitoring Workbook'!$J$34</definedName>
    <definedName name="Standard_I_2c">'Monitoring Workbook'!$J$43</definedName>
    <definedName name="Standard_I_3">'Monitoring Workbook'!$J$45</definedName>
    <definedName name="Standard_I_Comments">'Monitoring Workbook'!$B$50</definedName>
    <definedName name="Standard_I_Score" localSheetId="32">'Compliance Summary (PRINT)'!$J$22</definedName>
    <definedName name="Standard_I_Total_No">'Monitoring Workbook'!$I$51</definedName>
    <definedName name="Standard_I_Total_Yes">'Monitoring Workbook'!$G$51</definedName>
    <definedName name="Standard_II_2_Comments">'Monitoring Workbook'!$B$80</definedName>
    <definedName name="Standard_II_2_Number_No">'Monitoring Workbook'!$I$81</definedName>
    <definedName name="Standard_II_2_Number_Yes">'Monitoring Workbook'!$G$81</definedName>
    <definedName name="Standard_II_3_Comments">'Monitoring Workbook'!$B$94</definedName>
    <definedName name="Standard_II_3_Number_No">'Monitoring Workbook'!$I$95</definedName>
    <definedName name="Standard_II_3_Number_Yes">'Monitoring Workbook'!$G$95</definedName>
    <definedName name="Standard_II_4_Comments">'Monitoring Workbook'!$B$108</definedName>
    <definedName name="Standard_II_4_Number_No">'Monitoring Workbook'!$I$109</definedName>
    <definedName name="Standard_II_4_Number_Yes">'Monitoring Workbook'!$G$109</definedName>
    <definedName name="Standard_II_Score" localSheetId="32">'Compliance Summary (PRINT)'!$J$24</definedName>
    <definedName name="Standard_II_Total_No">'Monitoring Workbook'!$I$111</definedName>
    <definedName name="Standard_II_Total_Yes">'Monitoring Workbook'!$G$111</definedName>
    <definedName name="Standard_III_1_Comments">'Monitoring Workbook'!$B$126</definedName>
    <definedName name="Standard_III_2_Comments">'Monitoring Workbook'!$B$140</definedName>
    <definedName name="Standard_III_Score" localSheetId="32">'Compliance Summary (PRINT)'!$J$26</definedName>
    <definedName name="Standard_III_Total_No">'Monitoring Workbook'!$I$143</definedName>
    <definedName name="Standard_III_Total_Yes">'Monitoring Workbook'!$G$143</definedName>
    <definedName name="Standard_IV_1_Comments">'Monitoring Workbook'!$B$158</definedName>
    <definedName name="Standard_IV_1_Number_No">'Monitoring Workbook'!$I$159</definedName>
    <definedName name="Standard_IV_1_Number_Yes">'Monitoring Workbook'!$G$159</definedName>
    <definedName name="Standard_IV_2_Comments" localSheetId="3">'Monitoring Workbook'!#REF!</definedName>
    <definedName name="Standard_IV_2_Comments" localSheetId="4">'Monitoring Workbook'!#REF!</definedName>
    <definedName name="Standard_IV_2_Comments" localSheetId="5">'Monitoring Workbook'!#REF!</definedName>
    <definedName name="Standard_IV_2_Comments" localSheetId="6">'Monitoring Workbook'!#REF!</definedName>
    <definedName name="Standard_IV_2_Comments" localSheetId="7">'Monitoring Workbook'!#REF!</definedName>
    <definedName name="Standard_IV_2_Comments" localSheetId="8">'Monitoring Workbook'!#REF!</definedName>
    <definedName name="Standard_IV_2_Comments" localSheetId="9">'Monitoring Workbook'!#REF!</definedName>
    <definedName name="Standard_IV_2_Comments" localSheetId="10">'Monitoring Workbook'!#REF!</definedName>
    <definedName name="Standard_IV_2_Comments" localSheetId="11">'Monitoring Workbook'!#REF!</definedName>
    <definedName name="Standard_IV_2_Comments" localSheetId="12">'Monitoring Workbook'!#REF!</definedName>
    <definedName name="Standard_IV_2_Comments" localSheetId="13">'Monitoring Workbook'!#REF!</definedName>
    <definedName name="Standard_IV_2_Comments" localSheetId="14">'Monitoring Workbook'!#REF!</definedName>
    <definedName name="Standard_IV_2_Comments" localSheetId="15">'Monitoring Workbook'!#REF!</definedName>
    <definedName name="Standard_IV_2_Comments" localSheetId="16">'Monitoring Workbook'!#REF!</definedName>
    <definedName name="Standard_IV_2_Comments" localSheetId="17">'Monitoring Workbook'!#REF!</definedName>
    <definedName name="Standard_IV_2_Comments" localSheetId="18">'Monitoring Workbook'!#REF!</definedName>
    <definedName name="Standard_IV_2_Comments" localSheetId="19">'Monitoring Workbook'!#REF!</definedName>
    <definedName name="Standard_IV_2_Comments" localSheetId="20">'Monitoring Workbook'!#REF!</definedName>
    <definedName name="Standard_IV_2_Comments" localSheetId="21">'Monitoring Workbook'!#REF!</definedName>
    <definedName name="Standard_IV_2_Comments" localSheetId="22">'Monitoring Workbook'!#REF!</definedName>
    <definedName name="Standard_IV_2_Comments" localSheetId="23">'Monitoring Workbook'!#REF!</definedName>
    <definedName name="Standard_IV_2_Comments" localSheetId="24">'Monitoring Workbook'!#REF!</definedName>
    <definedName name="Standard_IV_2_Comments" localSheetId="25">'Monitoring Workbook'!#REF!</definedName>
    <definedName name="Standard_IV_2_Comments" localSheetId="26">'Monitoring Workbook'!#REF!</definedName>
    <definedName name="Standard_IV_2_Comments" localSheetId="27">'Monitoring Workbook'!#REF!</definedName>
    <definedName name="Standard_IV_2_Comments" localSheetId="28">'Monitoring Workbook'!#REF!</definedName>
    <definedName name="Standard_IV_2_Comments" localSheetId="29">'Monitoring Workbook'!#REF!</definedName>
    <definedName name="Standard_IV_2_Comments" localSheetId="30">'Monitoring Workbook'!#REF!</definedName>
    <definedName name="Standard_IV_2_Comments" localSheetId="31">'Monitoring Workbook'!#REF!</definedName>
    <definedName name="Standard_IV_2_Comments">'Monitoring Workbook'!#REF!</definedName>
    <definedName name="Standard_IV_2_Number_No" localSheetId="3">'Monitoring Workbook'!#REF!</definedName>
    <definedName name="Standard_IV_2_Number_No" localSheetId="4">'Monitoring Workbook'!#REF!</definedName>
    <definedName name="Standard_IV_2_Number_No" localSheetId="5">'Monitoring Workbook'!#REF!</definedName>
    <definedName name="Standard_IV_2_Number_No" localSheetId="6">'Monitoring Workbook'!#REF!</definedName>
    <definedName name="Standard_IV_2_Number_No" localSheetId="7">'Monitoring Workbook'!#REF!</definedName>
    <definedName name="Standard_IV_2_Number_No" localSheetId="8">'Monitoring Workbook'!#REF!</definedName>
    <definedName name="Standard_IV_2_Number_No" localSheetId="9">'Monitoring Workbook'!#REF!</definedName>
    <definedName name="Standard_IV_2_Number_No" localSheetId="10">'Monitoring Workbook'!#REF!</definedName>
    <definedName name="Standard_IV_2_Number_No" localSheetId="11">'Monitoring Workbook'!#REF!</definedName>
    <definedName name="Standard_IV_2_Number_No" localSheetId="12">'Monitoring Workbook'!#REF!</definedName>
    <definedName name="Standard_IV_2_Number_No" localSheetId="13">'Monitoring Workbook'!#REF!</definedName>
    <definedName name="Standard_IV_2_Number_No" localSheetId="14">'Monitoring Workbook'!#REF!</definedName>
    <definedName name="Standard_IV_2_Number_No" localSheetId="15">'Monitoring Workbook'!#REF!</definedName>
    <definedName name="Standard_IV_2_Number_No" localSheetId="16">'Monitoring Workbook'!#REF!</definedName>
    <definedName name="Standard_IV_2_Number_No" localSheetId="17">'Monitoring Workbook'!#REF!</definedName>
    <definedName name="Standard_IV_2_Number_No" localSheetId="18">'Monitoring Workbook'!#REF!</definedName>
    <definedName name="Standard_IV_2_Number_No" localSheetId="19">'Monitoring Workbook'!#REF!</definedName>
    <definedName name="Standard_IV_2_Number_No" localSheetId="20">'Monitoring Workbook'!#REF!</definedName>
    <definedName name="Standard_IV_2_Number_No" localSheetId="21">'Monitoring Workbook'!#REF!</definedName>
    <definedName name="Standard_IV_2_Number_No" localSheetId="22">'Monitoring Workbook'!#REF!</definedName>
    <definedName name="Standard_IV_2_Number_No" localSheetId="23">'Monitoring Workbook'!#REF!</definedName>
    <definedName name="Standard_IV_2_Number_No" localSheetId="24">'Monitoring Workbook'!#REF!</definedName>
    <definedName name="Standard_IV_2_Number_No" localSheetId="25">'Monitoring Workbook'!#REF!</definedName>
    <definedName name="Standard_IV_2_Number_No" localSheetId="26">'Monitoring Workbook'!#REF!</definedName>
    <definedName name="Standard_IV_2_Number_No" localSheetId="27">'Monitoring Workbook'!#REF!</definedName>
    <definedName name="Standard_IV_2_Number_No" localSheetId="28">'Monitoring Workbook'!#REF!</definedName>
    <definedName name="Standard_IV_2_Number_No" localSheetId="29">'Monitoring Workbook'!#REF!</definedName>
    <definedName name="Standard_IV_2_Number_No" localSheetId="30">'Monitoring Workbook'!#REF!</definedName>
    <definedName name="Standard_IV_2_Number_No" localSheetId="31">'Monitoring Workbook'!#REF!</definedName>
    <definedName name="Standard_IV_2_Number_No">'Monitoring Workbook'!#REF!</definedName>
    <definedName name="Standard_IV_2_Number_Yes" localSheetId="3">'Monitoring Workbook'!#REF!</definedName>
    <definedName name="Standard_IV_2_Number_Yes" localSheetId="4">'Monitoring Workbook'!#REF!</definedName>
    <definedName name="Standard_IV_2_Number_Yes" localSheetId="5">'Monitoring Workbook'!#REF!</definedName>
    <definedName name="Standard_IV_2_Number_Yes" localSheetId="6">'Monitoring Workbook'!#REF!</definedName>
    <definedName name="Standard_IV_2_Number_Yes" localSheetId="7">'Monitoring Workbook'!#REF!</definedName>
    <definedName name="Standard_IV_2_Number_Yes" localSheetId="8">'Monitoring Workbook'!#REF!</definedName>
    <definedName name="Standard_IV_2_Number_Yes" localSheetId="9">'Monitoring Workbook'!#REF!</definedName>
    <definedName name="Standard_IV_2_Number_Yes" localSheetId="10">'Monitoring Workbook'!#REF!</definedName>
    <definedName name="Standard_IV_2_Number_Yes" localSheetId="11">'Monitoring Workbook'!#REF!</definedName>
    <definedName name="Standard_IV_2_Number_Yes" localSheetId="12">'Monitoring Workbook'!#REF!</definedName>
    <definedName name="Standard_IV_2_Number_Yes" localSheetId="13">'Monitoring Workbook'!#REF!</definedName>
    <definedName name="Standard_IV_2_Number_Yes" localSheetId="14">'Monitoring Workbook'!#REF!</definedName>
    <definedName name="Standard_IV_2_Number_Yes" localSheetId="15">'Monitoring Workbook'!#REF!</definedName>
    <definedName name="Standard_IV_2_Number_Yes" localSheetId="16">'Monitoring Workbook'!#REF!</definedName>
    <definedName name="Standard_IV_2_Number_Yes" localSheetId="17">'Monitoring Workbook'!#REF!</definedName>
    <definedName name="Standard_IV_2_Number_Yes" localSheetId="18">'Monitoring Workbook'!#REF!</definedName>
    <definedName name="Standard_IV_2_Number_Yes" localSheetId="19">'Monitoring Workbook'!#REF!</definedName>
    <definedName name="Standard_IV_2_Number_Yes" localSheetId="20">'Monitoring Workbook'!#REF!</definedName>
    <definedName name="Standard_IV_2_Number_Yes" localSheetId="21">'Monitoring Workbook'!#REF!</definedName>
    <definedName name="Standard_IV_2_Number_Yes" localSheetId="22">'Monitoring Workbook'!#REF!</definedName>
    <definedName name="Standard_IV_2_Number_Yes" localSheetId="23">'Monitoring Workbook'!#REF!</definedName>
    <definedName name="Standard_IV_2_Number_Yes" localSheetId="24">'Monitoring Workbook'!#REF!</definedName>
    <definedName name="Standard_IV_2_Number_Yes" localSheetId="25">'Monitoring Workbook'!#REF!</definedName>
    <definedName name="Standard_IV_2_Number_Yes" localSheetId="26">'Monitoring Workbook'!#REF!</definedName>
    <definedName name="Standard_IV_2_Number_Yes" localSheetId="27">'Monitoring Workbook'!#REF!</definedName>
    <definedName name="Standard_IV_2_Number_Yes" localSheetId="28">'Monitoring Workbook'!#REF!</definedName>
    <definedName name="Standard_IV_2_Number_Yes" localSheetId="29">'Monitoring Workbook'!#REF!</definedName>
    <definedName name="Standard_IV_2_Number_Yes" localSheetId="30">'Monitoring Workbook'!#REF!</definedName>
    <definedName name="Standard_IV_2_Number_Yes" localSheetId="31">'Monitoring Workbook'!#REF!</definedName>
    <definedName name="Standard_IV_2_Number_Yes">'Monitoring Workbook'!#REF!</definedName>
    <definedName name="Standard_IV_3_Comments">'Monitoring Workbook'!$B$172</definedName>
    <definedName name="Standard_IV_3_Number_No">'Monitoring Workbook'!$I$173</definedName>
    <definedName name="Standard_IV_3_Number_Yes">'Monitoring Workbook'!$G$173</definedName>
    <definedName name="Standard_IV_Score" localSheetId="32">'Compliance Summary (PRINT)'!$J$28</definedName>
    <definedName name="Standard_IV_Total_No">'Monitoring Workbook'!$I$175</definedName>
    <definedName name="Standard_IV_Total_Yes">'Monitoring Workbook'!$G$175</definedName>
    <definedName name="Standard_IX_1_Comments">'Monitoring Workbook'!$B$300</definedName>
    <definedName name="Standard_IX_1_Number_No">'Monitoring Workbook'!$I$301</definedName>
    <definedName name="Standard_IX_1_Number_Yes">'Monitoring Workbook'!$G$301</definedName>
    <definedName name="Standard_V_Score" localSheetId="32">'Compliance Summary (PRINT)'!#REF!</definedName>
    <definedName name="Standard_VI_1_Comments">'Monitoring Workbook'!$B$190</definedName>
    <definedName name="Standard_VI_1_Number_No">'Monitoring Workbook'!$I$191</definedName>
    <definedName name="Standard_VI_1_Number_Yes">'Monitoring Workbook'!$G$191</definedName>
    <definedName name="Standard_VI_2_Comments">'Monitoring Workbook'!$B$204</definedName>
    <definedName name="Standard_VI_2_Number_No">'Monitoring Workbook'!$I$205</definedName>
    <definedName name="Standard_VI_2_Number_Yes">'Monitoring Workbook'!$G$205</definedName>
    <definedName name="Standard_VI_Score" localSheetId="32">'Compliance Summary (PRINT)'!$J$30</definedName>
    <definedName name="Standard_VI_Total_No">'Monitoring Workbook'!$I$207</definedName>
    <definedName name="Standard_VI_Total_Yes">'Monitoring Workbook'!$G$207</definedName>
    <definedName name="Standard_VII_1_Comments">'Monitoring Workbook'!$B$222</definedName>
    <definedName name="Standard_VII_1_Number_No">'Monitoring Workbook'!$I$223</definedName>
    <definedName name="Standard_VII_1_Number_Yes">'Monitoring Workbook'!$G$223</definedName>
    <definedName name="Standard_VII_2_Comments">'Monitoring Workbook'!$B$236</definedName>
    <definedName name="Standard_VII_Score" localSheetId="32">'Compliance Summary (PRINT)'!$J$32</definedName>
    <definedName name="Standard_VII_Total_No">'Monitoring Workbook'!$I$239</definedName>
    <definedName name="Standard_VII_Total_Yes">'Monitoring Workbook'!$G$239</definedName>
    <definedName name="Standard_VIII_1_Comments">'Monitoring Workbook'!$B$254</definedName>
    <definedName name="Standard_VIII_1_Number_No">'Monitoring Workbook'!$I$255</definedName>
    <definedName name="Standard_VIII_1_Number_Yes">'Monitoring Workbook'!$G$255</definedName>
    <definedName name="Standard_VIII_2_Comments">'Monitoring Workbook'!$B$268</definedName>
    <definedName name="Standard_VIII_2_Number_No">'Monitoring Workbook'!$I$269</definedName>
    <definedName name="Standard_VIII_2_Number_Yes">'Monitoring Workbook'!$G$269</definedName>
    <definedName name="Standard_VIII_3_Comments">'Monitoring Workbook'!$B$282</definedName>
    <definedName name="Standard_VIII_3_Number_No">'Monitoring Workbook'!$I$283</definedName>
    <definedName name="Standard_VIII_3_Number_Yes">'Monitoring Workbook'!$G$283</definedName>
    <definedName name="Standard_VIII_Score" localSheetId="32">'Compliance Summary (PRINT)'!$J$34</definedName>
    <definedName name="Standard_VIII_Total_No">'Monitoring Workbook'!$I$285</definedName>
    <definedName name="Standard_VIII_Total_Yes">'Monitoring Workbook'!$G$285</definedName>
    <definedName name="STD_II_COL_B" localSheetId="3">'IWP02'!$Y$62:$Y$81</definedName>
    <definedName name="STD_II_COL_B" localSheetId="4">'IWP03'!$Y$62:$Y$81</definedName>
    <definedName name="STD_II_COL_B" localSheetId="5">'IWP04'!$Y$62:$Y$81</definedName>
    <definedName name="STD_II_COL_B" localSheetId="6">'IWP05'!$Y$62:$Y$81</definedName>
    <definedName name="STD_II_COL_B" localSheetId="7">'IWP06'!$Y$62:$Y$81</definedName>
    <definedName name="STD_II_COL_B" localSheetId="8">'IWP07'!$Y$62:$Y$81</definedName>
    <definedName name="STD_II_COL_B" localSheetId="9">'IWP08'!$Y$62:$Y$81</definedName>
    <definedName name="STD_II_COL_B" localSheetId="10">'IWP09'!$Y$62:$Y$81</definedName>
    <definedName name="STD_II_COL_B" localSheetId="11">'IWP10'!$Y$62:$Y$81</definedName>
    <definedName name="STD_II_COL_B" localSheetId="12">'IWP11'!$Y$62:$Y$81</definedName>
    <definedName name="STD_II_COL_B" localSheetId="13">'IWP12'!$Y$62:$Y$81</definedName>
    <definedName name="STD_II_COL_B" localSheetId="14">'IWP13'!$Y$62:$Y$81</definedName>
    <definedName name="STD_II_COL_B" localSheetId="15">'IWP14'!$Y$62:$Y$81</definedName>
    <definedName name="STD_II_COL_B" localSheetId="16">'IWP15'!$Y$62:$Y$81</definedName>
    <definedName name="STD_II_COL_B" localSheetId="17">'IWP16'!$Y$62:$Y$81</definedName>
    <definedName name="STD_II_COL_B" localSheetId="18">'IWP17'!$Y$62:$Y$81</definedName>
    <definedName name="STD_II_COL_B" localSheetId="19">'IWP18'!$Y$62:$Y$81</definedName>
    <definedName name="STD_II_COL_B" localSheetId="20">'IWP19'!$Y$62:$Y$81</definedName>
    <definedName name="STD_II_COL_B" localSheetId="21">'IWP20'!$Y$62:$Y$81</definedName>
    <definedName name="STD_II_COL_B" localSheetId="22">'IWP21'!$Y$62:$Y$81</definedName>
    <definedName name="STD_II_COL_B" localSheetId="23">'IWP22'!$Y$62:$Y$81</definedName>
    <definedName name="STD_II_COL_B" localSheetId="24">'IWP23'!$Y$62:$Y$81</definedName>
    <definedName name="STD_II_COL_B" localSheetId="25">'IWP24'!$Y$62:$Y$81</definedName>
    <definedName name="STD_II_COL_B" localSheetId="26">'IWP25'!$Y$62:$Y$81</definedName>
    <definedName name="STD_II_COL_B" localSheetId="27">'IWP26'!$Y$62:$Y$81</definedName>
    <definedName name="STD_II_COL_B" localSheetId="28">'IWP27'!$Y$62:$Y$81</definedName>
    <definedName name="STD_II_COL_B" localSheetId="29">'IWP28'!$Y$62:$Y$81</definedName>
    <definedName name="STD_II_COL_B" localSheetId="30">'IWP29'!$Y$62:$Y$81</definedName>
    <definedName name="STD_II_COL_B" localSheetId="31">'IWP30'!$Y$62:$Y$81</definedName>
    <definedName name="STD_II_COL_B">'IWP01'!$Z$62:$Z$81</definedName>
    <definedName name="STD_II_COL_CE" localSheetId="2">'IWP01'!$AA$62:$AA$81</definedName>
    <definedName name="STD_II_COL_CE" localSheetId="3">'IWP02'!$AA$62:$AA$81</definedName>
    <definedName name="STD_II_COL_CE" localSheetId="4">'IWP03'!$AA$62:$AA$81</definedName>
    <definedName name="STD_II_COL_CE" localSheetId="5">'IWP04'!$AA$62:$AA$81</definedName>
    <definedName name="STD_II_COL_CE" localSheetId="6">'IWP05'!$AA$62:$AA$81</definedName>
    <definedName name="STD_II_COL_CE" localSheetId="7">'IWP06'!$AA$62:$AA$81</definedName>
    <definedName name="STD_II_COL_CE" localSheetId="8">'IWP07'!$AA$62:$AA$81</definedName>
    <definedName name="STD_II_COL_CE" localSheetId="9">'IWP08'!$AA$62:$AA$81</definedName>
    <definedName name="STD_II_COL_CE" localSheetId="10">'IWP09'!$AA$62:$AA$81</definedName>
    <definedName name="STD_II_COL_CE" localSheetId="11">'IWP10'!$AA$62:$AA$81</definedName>
    <definedName name="STD_II_COL_CE" localSheetId="12">'IWP11'!$AA$62:$AA$81</definedName>
    <definedName name="STD_II_COL_CE" localSheetId="13">'IWP12'!$AA$62:$AA$81</definedName>
    <definedName name="STD_II_COL_CE" localSheetId="14">'IWP13'!$AA$62:$AA$81</definedName>
    <definedName name="STD_II_COL_CE" localSheetId="15">'IWP14'!$AA$62:$AA$81</definedName>
    <definedName name="STD_II_COL_CE" localSheetId="16">'IWP15'!$AA$62:$AA$81</definedName>
    <definedName name="STD_II_COL_CE" localSheetId="17">'IWP16'!$AA$62:$AA$81</definedName>
    <definedName name="STD_II_COL_CE" localSheetId="18">'IWP17'!$AA$62:$AA$81</definedName>
    <definedName name="STD_II_COL_CE" localSheetId="19">'IWP18'!$AA$62:$AA$81</definedName>
    <definedName name="STD_II_COL_CE" localSheetId="20">'IWP19'!$AA$62:$AA$81</definedName>
    <definedName name="STD_II_COL_CE" localSheetId="21">'IWP20'!$AA$62:$AA$81</definedName>
    <definedName name="STD_II_COL_CE" localSheetId="22">'IWP21'!$AA$62:$AA$81</definedName>
    <definedName name="STD_II_COL_CE" localSheetId="23">'IWP22'!$AA$62:$AA$81</definedName>
    <definedName name="STD_II_COL_CE" localSheetId="24">'IWP23'!$AA$62:$AA$81</definedName>
    <definedName name="STD_II_COL_CE" localSheetId="25">'IWP24'!$AA$62:$AA$81</definedName>
    <definedName name="STD_II_COL_CE" localSheetId="26">'IWP25'!$AA$62:$AA$81</definedName>
    <definedName name="STD_II_COL_CE" localSheetId="27">'IWP26'!$AA$62:$AA$81</definedName>
    <definedName name="STD_II_COL_CE" localSheetId="28">'IWP27'!$AA$62:$AA$81</definedName>
    <definedName name="STD_II_COL_CE" localSheetId="29">'IWP28'!$AA$62:$AA$81</definedName>
    <definedName name="STD_II_COL_CE" localSheetId="30">'IWP29'!$AA$62:$AA$81</definedName>
    <definedName name="STD_II_COL_CE" localSheetId="31">'IWP30'!$AA$62:$AA$81</definedName>
    <definedName name="STD_II_COL_F" localSheetId="2">'IWP01'!$AB$62:$AB$81</definedName>
    <definedName name="STD_II_COL_F" localSheetId="3">'IWP02'!$AB$62:$AB$81</definedName>
    <definedName name="STD_II_COL_F" localSheetId="4">'IWP03'!$AB$62:$AB$81</definedName>
    <definedName name="STD_II_COL_F" localSheetId="5">'IWP04'!$AB$62:$AB$81</definedName>
    <definedName name="STD_II_COL_F" localSheetId="6">'IWP05'!$AB$62:$AB$81</definedName>
    <definedName name="STD_II_COL_F" localSheetId="7">'IWP06'!$AB$62:$AB$81</definedName>
    <definedName name="STD_II_COL_F" localSheetId="8">'IWP07'!$AB$62:$AB$81</definedName>
    <definedName name="STD_II_COL_F" localSheetId="9">'IWP08'!$AB$62:$AB$81</definedName>
    <definedName name="STD_II_COL_F" localSheetId="10">'IWP09'!$AB$62:$AB$81</definedName>
    <definedName name="STD_II_COL_F" localSheetId="11">'IWP10'!$AB$62:$AB$81</definedName>
    <definedName name="STD_II_COL_F" localSheetId="12">'IWP11'!$AB$62:$AB$81</definedName>
    <definedName name="STD_II_COL_F" localSheetId="13">'IWP12'!$AB$62:$AB$81</definedName>
    <definedName name="STD_II_COL_F" localSheetId="14">'IWP13'!$AB$62:$AB$81</definedName>
    <definedName name="STD_II_COL_F" localSheetId="15">'IWP14'!$AB$62:$AB$81</definedName>
    <definedName name="STD_II_COL_F" localSheetId="16">'IWP15'!$AB$62:$AB$81</definedName>
    <definedName name="STD_II_COL_F" localSheetId="17">'IWP16'!$AB$62:$AB$81</definedName>
    <definedName name="STD_II_COL_F" localSheetId="18">'IWP17'!$AB$62:$AB$81</definedName>
    <definedName name="STD_II_COL_F" localSheetId="19">'IWP18'!$AB$62:$AB$81</definedName>
    <definedName name="STD_II_COL_F" localSheetId="20">'IWP19'!$AB$62:$AB$81</definedName>
    <definedName name="STD_II_COL_F" localSheetId="21">'IWP20'!$AB$62:$AB$81</definedName>
    <definedName name="STD_II_COL_F" localSheetId="22">'IWP21'!$AB$62:$AB$81</definedName>
    <definedName name="STD_II_COL_F" localSheetId="23">'IWP22'!$AB$62:$AB$81</definedName>
    <definedName name="STD_II_COL_F" localSheetId="24">'IWP23'!$AB$62:$AB$81</definedName>
    <definedName name="STD_II_COL_F" localSheetId="25">'IWP24'!$AB$62:$AB$81</definedName>
    <definedName name="STD_II_COL_F" localSheetId="26">'IWP25'!$AB$62:$AB$81</definedName>
    <definedName name="STD_II_COL_F" localSheetId="27">'IWP26'!$AB$62:$AB$81</definedName>
    <definedName name="STD_II_COL_F" localSheetId="28">'IWP27'!$AB$62:$AB$81</definedName>
    <definedName name="STD_II_COL_F" localSheetId="29">'IWP28'!$AB$62:$AB$81</definedName>
    <definedName name="STD_II_COL_F" localSheetId="30">'IWP29'!$AB$62:$AB$81</definedName>
    <definedName name="STD_II_COL_F" localSheetId="31">'IWP30'!$AB$62:$AB$81</definedName>
    <definedName name="STD_II_COL_GHI" localSheetId="2">'IWP01'!$AD$62:$AD$81</definedName>
    <definedName name="STD_II_COL_GHI" localSheetId="3">'IWP02'!$AD$62:$AD$81</definedName>
    <definedName name="STD_II_COL_GHI" localSheetId="4">'IWP03'!$AD$62:$AD$81</definedName>
    <definedName name="STD_II_COL_GHI" localSheetId="5">'IWP04'!$AD$62:$AD$81</definedName>
    <definedName name="STD_II_COL_GHI" localSheetId="6">'IWP05'!$AD$62:$AD$81</definedName>
    <definedName name="STD_II_COL_GHI" localSheetId="7">'IWP06'!$AD$62:$AD$81</definedName>
    <definedName name="STD_II_COL_GHI" localSheetId="8">'IWP07'!$AD$62:$AD$81</definedName>
    <definedName name="STD_II_COL_GHI" localSheetId="9">'IWP08'!$AD$62:$AD$81</definedName>
    <definedName name="STD_II_COL_GHI" localSheetId="10">'IWP09'!$AD$62:$AD$81</definedName>
    <definedName name="STD_II_COL_GHI" localSheetId="11">'IWP10'!$AD$62:$AD$81</definedName>
    <definedName name="STD_II_COL_GHI" localSheetId="12">'IWP11'!$AD$62:$AD$81</definedName>
    <definedName name="STD_II_COL_GHI" localSheetId="13">'IWP12'!$AD$62:$AD$81</definedName>
    <definedName name="STD_II_COL_GHI" localSheetId="14">'IWP13'!$AD$62:$AD$81</definedName>
    <definedName name="STD_II_COL_GHI" localSheetId="15">'IWP14'!$AD$62:$AD$81</definedName>
    <definedName name="STD_II_COL_GHI" localSheetId="16">'IWP15'!$AD$62:$AD$81</definedName>
    <definedName name="STD_II_COL_GHI" localSheetId="17">'IWP16'!$AD$62:$AD$81</definedName>
    <definedName name="STD_II_COL_GHI" localSheetId="18">'IWP17'!$AD$62:$AD$81</definedName>
    <definedName name="STD_II_COL_GHI" localSheetId="19">'IWP18'!$AD$62:$AD$81</definedName>
    <definedName name="STD_II_COL_GHI" localSheetId="20">'IWP19'!$AD$62:$AD$81</definedName>
    <definedName name="STD_II_COL_GHI" localSheetId="21">'IWP20'!$AD$62:$AD$81</definedName>
    <definedName name="STD_II_COL_GHI" localSheetId="22">'IWP21'!$AD$62:$AD$81</definedName>
    <definedName name="STD_II_COL_GHI" localSheetId="23">'IWP22'!$AD$62:$AD$81</definedName>
    <definedName name="STD_II_COL_GHI" localSheetId="24">'IWP23'!$AD$62:$AD$81</definedName>
    <definedName name="STD_II_COL_GHI" localSheetId="25">'IWP24'!$AD$62:$AD$81</definedName>
    <definedName name="STD_II_COL_GHI" localSheetId="26">'IWP25'!$AD$62:$AD$81</definedName>
    <definedName name="STD_II_COL_GHI" localSheetId="27">'IWP26'!$AD$62:$AD$81</definedName>
    <definedName name="STD_II_COL_GHI" localSheetId="28">'IWP27'!$AD$62:$AD$81</definedName>
    <definedName name="STD_II_COL_GHI" localSheetId="29">'IWP28'!$AD$62:$AD$81</definedName>
    <definedName name="STD_II_COL_GHI" localSheetId="30">'IWP29'!$AD$62:$AD$81</definedName>
    <definedName name="STD_II_COL_GHI" localSheetId="31">'IWP30'!$AD$62:$AD$81</definedName>
    <definedName name="STD_II_COL_J" localSheetId="2">'IWP01'!$AC$62:$AC$81</definedName>
    <definedName name="STD_II_COL_J" localSheetId="3">'IWP02'!$AC$62:$AC$81</definedName>
    <definedName name="STD_II_COL_J" localSheetId="4">'IWP03'!$AC$62:$AC$81</definedName>
    <definedName name="STD_II_COL_J" localSheetId="5">'IWP04'!$AC$62:$AC$81</definedName>
    <definedName name="STD_II_COL_J" localSheetId="6">'IWP05'!$AC$62:$AC$81</definedName>
    <definedName name="STD_II_COL_J" localSheetId="7">'IWP06'!$AC$62:$AC$81</definedName>
    <definedName name="STD_II_COL_J" localSheetId="8">'IWP07'!$AC$62:$AC$81</definedName>
    <definedName name="STD_II_COL_J" localSheetId="9">'IWP08'!$AC$62:$AC$81</definedName>
    <definedName name="STD_II_COL_J" localSheetId="10">'IWP09'!$AC$62:$AC$81</definedName>
    <definedName name="STD_II_COL_J" localSheetId="11">'IWP10'!$AC$62:$AC$81</definedName>
    <definedName name="STD_II_COL_J" localSheetId="12">'IWP11'!$AC$62:$AC$81</definedName>
    <definedName name="STD_II_COL_J" localSheetId="13">'IWP12'!$AC$62:$AC$81</definedName>
    <definedName name="STD_II_COL_J" localSheetId="14">'IWP13'!$AC$62:$AC$81</definedName>
    <definedName name="STD_II_COL_J" localSheetId="15">'IWP14'!$AC$62:$AC$81</definedName>
    <definedName name="STD_II_COL_J" localSheetId="16">'IWP15'!$AC$62:$AC$81</definedName>
    <definedName name="STD_II_COL_J" localSheetId="17">'IWP16'!$AC$62:$AC$81</definedName>
    <definedName name="STD_II_COL_J" localSheetId="18">'IWP17'!$AC$62:$AC$81</definedName>
    <definedName name="STD_II_COL_J" localSheetId="19">'IWP18'!$AC$62:$AC$81</definedName>
    <definedName name="STD_II_COL_J" localSheetId="20">'IWP19'!$AC$62:$AC$81</definedName>
    <definedName name="STD_II_COL_J" localSheetId="21">'IWP20'!$AC$62:$AC$81</definedName>
    <definedName name="STD_II_COL_J" localSheetId="22">'IWP21'!$AC$62:$AC$81</definedName>
    <definedName name="STD_II_COL_J" localSheetId="23">'IWP22'!$AC$62:$AC$81</definedName>
    <definedName name="STD_II_COL_J" localSheetId="24">'IWP23'!$AC$62:$AC$81</definedName>
    <definedName name="STD_II_COL_J" localSheetId="25">'IWP24'!$AC$62:$AC$81</definedName>
    <definedName name="STD_II_COL_J" localSheetId="26">'IWP25'!$AC$62:$AC$81</definedName>
    <definedName name="STD_II_COL_J" localSheetId="27">'IWP26'!$AC$62:$AC$81</definedName>
    <definedName name="STD_II_COL_J" localSheetId="28">'IWP27'!$AC$62:$AC$81</definedName>
    <definedName name="STD_II_COL_J" localSheetId="29">'IWP28'!$AC$62:$AC$81</definedName>
    <definedName name="STD_II_COL_J" localSheetId="30">'IWP29'!$AC$62:$AC$81</definedName>
    <definedName name="STD_II_COL_J" localSheetId="31">'IWP30'!$AC$62:$AC$81</definedName>
    <definedName name="Std_II1_Qual_A" localSheetId="3">'IWP02'!$A$62:$B$81</definedName>
    <definedName name="Std_II1_Qual_A" localSheetId="4">'IWP03'!$A$62:$B$81</definedName>
    <definedName name="Std_II1_Qual_A" localSheetId="5">'IWP04'!$A$62:$B$81</definedName>
    <definedName name="Std_II1_Qual_A" localSheetId="6">'IWP05'!$A$62:$B$81</definedName>
    <definedName name="Std_II1_Qual_A" localSheetId="7">'IWP06'!$A$62:$B$81</definedName>
    <definedName name="Std_II1_Qual_A" localSheetId="8">'IWP07'!$A$62:$B$81</definedName>
    <definedName name="Std_II1_Qual_A" localSheetId="9">'IWP08'!$A$62:$B$81</definedName>
    <definedName name="Std_II1_Qual_A" localSheetId="10">'IWP09'!$A$62:$B$81</definedName>
    <definedName name="Std_II1_Qual_A" localSheetId="11">'IWP10'!$A$62:$B$81</definedName>
    <definedName name="Std_II1_Qual_A" localSheetId="12">'IWP11'!$A$62:$B$81</definedName>
    <definedName name="Std_II1_Qual_A" localSheetId="13">'IWP12'!$A$62:$B$81</definedName>
    <definedName name="Std_II1_Qual_A" localSheetId="14">'IWP13'!$A$62:$B$81</definedName>
    <definedName name="Std_II1_Qual_A" localSheetId="15">'IWP14'!$A$62:$B$81</definedName>
    <definedName name="Std_II1_Qual_A" localSheetId="16">'IWP15'!$A$62:$B$81</definedName>
    <definedName name="Std_II1_Qual_A" localSheetId="17">'IWP16'!$A$62:$B$81</definedName>
    <definedName name="Std_II1_Qual_A" localSheetId="18">'IWP17'!$A$62:$B$81</definedName>
    <definedName name="Std_II1_Qual_A" localSheetId="19">'IWP18'!$A$62:$B$81</definedName>
    <definedName name="Std_II1_Qual_A" localSheetId="20">'IWP19'!$A$62:$B$81</definedName>
    <definedName name="Std_II1_Qual_A" localSheetId="21">'IWP20'!$A$62:$B$81</definedName>
    <definedName name="Std_II1_Qual_A" localSheetId="22">'IWP21'!$A$62:$B$81</definedName>
    <definedName name="Std_II1_Qual_A" localSheetId="23">'IWP22'!$A$62:$B$81</definedName>
    <definedName name="Std_II1_Qual_A" localSheetId="24">'IWP23'!$A$62:$B$81</definedName>
    <definedName name="Std_II1_Qual_A" localSheetId="25">'IWP24'!$A$62:$B$81</definedName>
    <definedName name="Std_II1_Qual_A" localSheetId="26">'IWP25'!$A$62:$B$81</definedName>
    <definedName name="Std_II1_Qual_A" localSheetId="27">'IWP26'!$A$62:$B$81</definedName>
    <definedName name="Std_II1_Qual_A" localSheetId="28">'IWP27'!$A$62:$B$81</definedName>
    <definedName name="Std_II1_Qual_A" localSheetId="29">'IWP28'!$A$62:$B$81</definedName>
    <definedName name="Std_II1_Qual_A" localSheetId="30">'IWP29'!$A$62:$B$81</definedName>
    <definedName name="Std_II1_Qual_A" localSheetId="31">'IWP30'!$A$62:$B$81</definedName>
    <definedName name="Std_II1_Qual_A">'IWP01'!$A$62:$B$81</definedName>
    <definedName name="Std_II1_Qual_B" localSheetId="3">'IWP02'!$V$62:$V$81</definedName>
    <definedName name="Std_II1_Qual_B" localSheetId="4">'IWP03'!$V$62:$V$81</definedName>
    <definedName name="Std_II1_Qual_B" localSheetId="5">'IWP04'!$V$62:$V$81</definedName>
    <definedName name="Std_II1_Qual_B" localSheetId="6">'IWP05'!$V$62:$V$81</definedName>
    <definedName name="Std_II1_Qual_B" localSheetId="7">'IWP06'!$V$62:$V$81</definedName>
    <definedName name="Std_II1_Qual_B" localSheetId="8">'IWP07'!$V$62:$V$81</definedName>
    <definedName name="Std_II1_Qual_B" localSheetId="9">'IWP08'!$V$62:$V$81</definedName>
    <definedName name="Std_II1_Qual_B" localSheetId="10">'IWP09'!$V$62:$V$81</definedName>
    <definedName name="Std_II1_Qual_B" localSheetId="11">'IWP10'!$V$62:$V$81</definedName>
    <definedName name="Std_II1_Qual_B" localSheetId="12">'IWP11'!$V$62:$V$81</definedName>
    <definedName name="Std_II1_Qual_B" localSheetId="13">'IWP12'!$V$62:$V$81</definedName>
    <definedName name="Std_II1_Qual_B" localSheetId="14">'IWP13'!$V$62:$V$81</definedName>
    <definedName name="Std_II1_Qual_B" localSheetId="15">'IWP14'!$V$62:$V$81</definedName>
    <definedName name="Std_II1_Qual_B" localSheetId="16">'IWP15'!$V$62:$V$81</definedName>
    <definedName name="Std_II1_Qual_B" localSheetId="17">'IWP16'!$V$62:$V$81</definedName>
    <definedName name="Std_II1_Qual_B" localSheetId="18">'IWP17'!$V$62:$V$81</definedName>
    <definedName name="Std_II1_Qual_B" localSheetId="19">'IWP18'!$V$62:$V$81</definedName>
    <definedName name="Std_II1_Qual_B" localSheetId="20">'IWP19'!$V$62:$V$81</definedName>
    <definedName name="Std_II1_Qual_B" localSheetId="21">'IWP20'!$V$62:$V$81</definedName>
    <definedName name="Std_II1_Qual_B" localSheetId="22">'IWP21'!$V$62:$V$81</definedName>
    <definedName name="Std_II1_Qual_B" localSheetId="23">'IWP22'!$V$62:$V$81</definedName>
    <definedName name="Std_II1_Qual_B" localSheetId="24">'IWP23'!$V$62:$V$81</definedName>
    <definedName name="Std_II1_Qual_B" localSheetId="25">'IWP24'!$V$62:$V$81</definedName>
    <definedName name="Std_II1_Qual_B" localSheetId="26">'IWP25'!$V$62:$V$81</definedName>
    <definedName name="Std_II1_Qual_B" localSheetId="27">'IWP26'!$V$62:$V$81</definedName>
    <definedName name="Std_II1_Qual_B" localSheetId="28">'IWP27'!$V$62:$V$81</definedName>
    <definedName name="Std_II1_Qual_B" localSheetId="29">'IWP28'!$V$62:$V$81</definedName>
    <definedName name="Std_II1_Qual_B" localSheetId="30">'IWP29'!$V$62:$V$81</definedName>
    <definedName name="Std_II1_Qual_B" localSheetId="31">'IWP30'!$V$62:$V$81</definedName>
    <definedName name="Std_II1_Qual_B">'IWP01'!$W$62:$W$81</definedName>
    <definedName name="Std_II1_QualC" localSheetId="3">'IWP02'!$W$62:$W$81</definedName>
    <definedName name="Std_II1_QualC" localSheetId="4">'IWP03'!$W$62:$W$81</definedName>
    <definedName name="Std_II1_QualC" localSheetId="5">'IWP04'!$W$62:$W$81</definedName>
    <definedName name="Std_II1_QualC" localSheetId="6">'IWP05'!$W$62:$W$81</definedName>
    <definedName name="Std_II1_QualC" localSheetId="7">'IWP06'!$W$62:$W$81</definedName>
    <definedName name="Std_II1_QualC" localSheetId="8">'IWP07'!$W$62:$W$81</definedName>
    <definedName name="Std_II1_QualC" localSheetId="9">'IWP08'!$W$62:$W$81</definedName>
    <definedName name="Std_II1_QualC" localSheetId="10">'IWP09'!$W$62:$W$81</definedName>
    <definedName name="Std_II1_QualC" localSheetId="11">'IWP10'!$W$62:$W$81</definedName>
    <definedName name="Std_II1_QualC" localSheetId="12">'IWP11'!$W$62:$W$81</definedName>
    <definedName name="Std_II1_QualC" localSheetId="13">'IWP12'!$W$62:$W$81</definedName>
    <definedName name="Std_II1_QualC" localSheetId="14">'IWP13'!$W$62:$W$81</definedName>
    <definedName name="Std_II1_QualC" localSheetId="15">'IWP14'!$W$62:$W$81</definedName>
    <definedName name="Std_II1_QualC" localSheetId="16">'IWP15'!$W$62:$W$81</definedName>
    <definedName name="Std_II1_QualC" localSheetId="17">'IWP16'!$W$62:$W$81</definedName>
    <definedName name="Std_II1_QualC" localSheetId="18">'IWP17'!$W$62:$W$81</definedName>
    <definedName name="Std_II1_QualC" localSheetId="19">'IWP18'!$W$62:$W$81</definedName>
    <definedName name="Std_II1_QualC" localSheetId="20">'IWP19'!$W$62:$W$81</definedName>
    <definedName name="Std_II1_QualC" localSheetId="21">'IWP20'!$W$62:$W$81</definedName>
    <definedName name="Std_II1_QualC" localSheetId="22">'IWP21'!$W$62:$W$81</definedName>
    <definedName name="Std_II1_QualC" localSheetId="23">'IWP22'!$W$62:$W$81</definedName>
    <definedName name="Std_II1_QualC" localSheetId="24">'IWP23'!$W$62:$W$81</definedName>
    <definedName name="Std_II1_QualC" localSheetId="25">'IWP24'!$W$62:$W$81</definedName>
    <definedName name="Std_II1_QualC" localSheetId="26">'IWP25'!$W$62:$W$81</definedName>
    <definedName name="Std_II1_QualC" localSheetId="27">'IWP26'!$W$62:$W$81</definedName>
    <definedName name="Std_II1_QualC" localSheetId="28">'IWP27'!$W$62:$W$81</definedName>
    <definedName name="Std_II1_QualC" localSheetId="29">'IWP28'!$W$62:$W$81</definedName>
    <definedName name="Std_II1_QualC" localSheetId="30">'IWP29'!$W$62:$W$81</definedName>
    <definedName name="Std_II1_QualC" localSheetId="31">'IWP30'!$W$62:$W$81</definedName>
    <definedName name="Std_II1_QualC">'IWP01'!$X$62:$X$81</definedName>
    <definedName name="STD2_COLB_AGG" localSheetId="3">'IWP02'!$Y$62:$Y$81</definedName>
    <definedName name="STD2_COLB_AGG" localSheetId="4">'IWP03'!$Y$62:$Y$81</definedName>
    <definedName name="STD2_COLB_AGG" localSheetId="5">'IWP04'!$Y$62:$Y$81</definedName>
    <definedName name="STD2_COLB_AGG" localSheetId="6">'IWP05'!$Y$62:$Y$81</definedName>
    <definedName name="STD2_COLB_AGG" localSheetId="7">'IWP06'!$Y$62:$Y$81</definedName>
    <definedName name="STD2_COLB_AGG" localSheetId="8">'IWP07'!$Y$62:$Y$81</definedName>
    <definedName name="STD2_COLB_AGG" localSheetId="9">'IWP08'!$Y$62:$Y$81</definedName>
    <definedName name="STD2_COLB_AGG" localSheetId="10">'IWP09'!$Y$62:$Y$81</definedName>
    <definedName name="STD2_COLB_AGG" localSheetId="11">'IWP10'!$Y$62:$Y$81</definedName>
    <definedName name="STD2_COLB_AGG" localSheetId="12">'IWP11'!$Y$62:$Y$81</definedName>
    <definedName name="STD2_COLB_AGG" localSheetId="13">'IWP12'!$Y$62:$Y$81</definedName>
    <definedName name="STD2_COLB_AGG" localSheetId="14">'IWP13'!$Y$62:$Y$81</definedName>
    <definedName name="STD2_COLB_AGG" localSheetId="15">'IWP14'!$Y$62:$Y$81</definedName>
    <definedName name="STD2_COLB_AGG" localSheetId="16">'IWP15'!$Y$62:$Y$81</definedName>
    <definedName name="STD2_COLB_AGG" localSheetId="17">'IWP16'!$Y$62:$Y$81</definedName>
    <definedName name="STD2_COLB_AGG" localSheetId="18">'IWP17'!$Y$62:$Y$81</definedName>
    <definedName name="STD2_COLB_AGG" localSheetId="19">'IWP18'!$Y$62:$Y$81</definedName>
    <definedName name="STD2_COLB_AGG" localSheetId="20">'IWP19'!$Y$62:$Y$81</definedName>
    <definedName name="STD2_COLB_AGG" localSheetId="21">'IWP20'!$Y$62:$Y$81</definedName>
    <definedName name="STD2_COLB_AGG" localSheetId="22">'IWP21'!$Y$62:$Y$81</definedName>
    <definedName name="STD2_COLB_AGG" localSheetId="23">'IWP22'!$Y$62:$Y$81</definedName>
    <definedName name="STD2_COLB_AGG" localSheetId="24">'IWP23'!$Y$62:$Y$81</definedName>
    <definedName name="STD2_COLB_AGG" localSheetId="25">'IWP24'!$Y$62:$Y$81</definedName>
    <definedName name="STD2_COLB_AGG" localSheetId="26">'IWP25'!$Y$62:$Y$81</definedName>
    <definedName name="STD2_COLB_AGG" localSheetId="27">'IWP26'!$Y$62:$Y$81</definedName>
    <definedName name="STD2_COLB_AGG" localSheetId="28">'IWP27'!$Y$62:$Y$81</definedName>
    <definedName name="STD2_COLB_AGG" localSheetId="29">'IWP28'!$Y$62:$Y$81</definedName>
    <definedName name="STD2_COLB_AGG" localSheetId="30">'IWP29'!$Y$62:$Y$81</definedName>
    <definedName name="STD2_COLB_AGG" localSheetId="31">'IWP30'!$Y$62:$Y$81</definedName>
    <definedName name="STD2_COLB_AGG">'IWP01'!$Z$62:$Z$81</definedName>
    <definedName name="Std2ColBAllOutsideReviewPeriod" localSheetId="3">'IWP02'!$X$7</definedName>
    <definedName name="Std2ColBAllOutsideReviewPeriod" localSheetId="4">'IWP03'!$X$7</definedName>
    <definedName name="Std2ColBAllOutsideReviewPeriod" localSheetId="5">'IWP04'!$X$7</definedName>
    <definedName name="Std2ColBAllOutsideReviewPeriod" localSheetId="6">'IWP05'!$X$7</definedName>
    <definedName name="Std2ColBAllOutsideReviewPeriod" localSheetId="7">'IWP06'!$X$7</definedName>
    <definedName name="Std2ColBAllOutsideReviewPeriod" localSheetId="8">'IWP07'!$X$7</definedName>
    <definedName name="Std2ColBAllOutsideReviewPeriod" localSheetId="9">'IWP08'!$X$7</definedName>
    <definedName name="Std2ColBAllOutsideReviewPeriod" localSheetId="10">'IWP09'!$X$7</definedName>
    <definedName name="Std2ColBAllOutsideReviewPeriod" localSheetId="11">'IWP10'!$X$7</definedName>
    <definedName name="Std2ColBAllOutsideReviewPeriod" localSheetId="12">'IWP11'!$X$7</definedName>
    <definedName name="Std2ColBAllOutsideReviewPeriod" localSheetId="13">'IWP12'!$X$7</definedName>
    <definedName name="Std2ColBAllOutsideReviewPeriod" localSheetId="14">'IWP13'!$X$7</definedName>
    <definedName name="Std2ColBAllOutsideReviewPeriod" localSheetId="15">'IWP14'!$X$7</definedName>
    <definedName name="Std2ColBAllOutsideReviewPeriod" localSheetId="16">'IWP15'!$X$7</definedName>
    <definedName name="Std2ColBAllOutsideReviewPeriod" localSheetId="17">'IWP16'!$X$7</definedName>
    <definedName name="Std2ColBAllOutsideReviewPeriod" localSheetId="18">'IWP17'!$X$7</definedName>
    <definedName name="Std2ColBAllOutsideReviewPeriod" localSheetId="19">'IWP18'!$X$7</definedName>
    <definedName name="Std2ColBAllOutsideReviewPeriod" localSheetId="20">'IWP19'!$X$7</definedName>
    <definedName name="Std2ColBAllOutsideReviewPeriod" localSheetId="21">'IWP20'!$X$7</definedName>
    <definedName name="Std2ColBAllOutsideReviewPeriod" localSheetId="22">'IWP21'!$X$7</definedName>
    <definedName name="Std2ColBAllOutsideReviewPeriod" localSheetId="23">'IWP22'!$X$7</definedName>
    <definedName name="Std2ColBAllOutsideReviewPeriod" localSheetId="24">'IWP23'!$X$7</definedName>
    <definedName name="Std2ColBAllOutsideReviewPeriod" localSheetId="25">'IWP24'!$X$7</definedName>
    <definedName name="Std2ColBAllOutsideReviewPeriod" localSheetId="26">'IWP25'!$X$7</definedName>
    <definedName name="Std2ColBAllOutsideReviewPeriod" localSheetId="27">'IWP26'!$X$7</definedName>
    <definedName name="Std2ColBAllOutsideReviewPeriod" localSheetId="28">'IWP27'!$X$7</definedName>
    <definedName name="Std2ColBAllOutsideReviewPeriod" localSheetId="29">'IWP28'!$X$7</definedName>
    <definedName name="Std2ColBAllOutsideReviewPeriod" localSheetId="30">'IWP29'!$X$7</definedName>
    <definedName name="Std2ColBAllOutsideReviewPeriod" localSheetId="31">'IWP30'!$X$7</definedName>
    <definedName name="Std2ColBAllOutsideReviewPeriod">'IWP01'!$X$7</definedName>
    <definedName name="Std2ColBAllValid" localSheetId="3">'IWP02'!$X$7</definedName>
    <definedName name="Std2ColBAllValid" localSheetId="4">'IWP03'!$X$7</definedName>
    <definedName name="Std2ColBAllValid" localSheetId="5">'IWP04'!$X$7</definedName>
    <definedName name="Std2ColBAllValid" localSheetId="6">'IWP05'!$X$7</definedName>
    <definedName name="Std2ColBAllValid" localSheetId="7">'IWP06'!$X$7</definedName>
    <definedName name="Std2ColBAllValid" localSheetId="8">'IWP07'!$X$7</definedName>
    <definedName name="Std2ColBAllValid" localSheetId="9">'IWP08'!$X$7</definedName>
    <definedName name="Std2ColBAllValid" localSheetId="10">'IWP09'!$X$7</definedName>
    <definedName name="Std2ColBAllValid" localSheetId="11">'IWP10'!$X$7</definedName>
    <definedName name="Std2ColBAllValid" localSheetId="12">'IWP11'!$X$7</definedName>
    <definedName name="Std2ColBAllValid" localSheetId="13">'IWP12'!$X$7</definedName>
    <definedName name="Std2ColBAllValid" localSheetId="14">'IWP13'!$X$7</definedName>
    <definedName name="Std2ColBAllValid" localSheetId="15">'IWP14'!$X$7</definedName>
    <definedName name="Std2ColBAllValid" localSheetId="16">'IWP15'!$X$7</definedName>
    <definedName name="Std2ColBAllValid" localSheetId="17">'IWP16'!$X$7</definedName>
    <definedName name="Std2ColBAllValid" localSheetId="18">'IWP17'!$X$7</definedName>
    <definedName name="Std2ColBAllValid" localSheetId="19">'IWP18'!$X$7</definedName>
    <definedName name="Std2ColBAllValid" localSheetId="20">'IWP19'!$X$7</definedName>
    <definedName name="Std2ColBAllValid" localSheetId="21">'IWP20'!$X$7</definedName>
    <definedName name="Std2ColBAllValid" localSheetId="22">'IWP21'!$X$7</definedName>
    <definedName name="Std2ColBAllValid" localSheetId="23">'IWP22'!$X$7</definedName>
    <definedName name="Std2ColBAllValid" localSheetId="24">'IWP23'!$X$7</definedName>
    <definedName name="Std2ColBAllValid" localSheetId="25">'IWP24'!$X$7</definedName>
    <definedName name="Std2ColBAllValid" localSheetId="26">'IWP25'!$X$7</definedName>
    <definedName name="Std2ColBAllValid" localSheetId="27">'IWP26'!$X$7</definedName>
    <definedName name="Std2ColBAllValid" localSheetId="28">'IWP27'!$X$7</definedName>
    <definedName name="Std2ColBAllValid" localSheetId="29">'IWP28'!$X$7</definedName>
    <definedName name="Std2ColBAllValid" localSheetId="30">'IWP29'!$X$7</definedName>
    <definedName name="Std2ColBAllValid" localSheetId="31">'IWP30'!$X$7</definedName>
    <definedName name="Std2ColBAllValid">'IWP01'!$X$7</definedName>
    <definedName name="Std2ColBInsideReviewPeriodCount" localSheetId="3">'IWP02'!$X$83</definedName>
    <definedName name="Std2ColBInsideReviewPeriodCount" localSheetId="4">'IWP03'!$X$83</definedName>
    <definedName name="Std2ColBInsideReviewPeriodCount" localSheetId="5">'IWP04'!$X$83</definedName>
    <definedName name="Std2ColBInsideReviewPeriodCount" localSheetId="6">'IWP05'!$X$83</definedName>
    <definedName name="Std2ColBInsideReviewPeriodCount" localSheetId="7">'IWP06'!$X$83</definedName>
    <definedName name="Std2ColBInsideReviewPeriodCount" localSheetId="8">'IWP07'!$X$83</definedName>
    <definedName name="Std2ColBInsideReviewPeriodCount" localSheetId="9">'IWP08'!$X$83</definedName>
    <definedName name="Std2ColBInsideReviewPeriodCount" localSheetId="10">'IWP09'!$X$83</definedName>
    <definedName name="Std2ColBInsideReviewPeriodCount" localSheetId="11">'IWP10'!$X$83</definedName>
    <definedName name="Std2ColBInsideReviewPeriodCount" localSheetId="12">'IWP11'!$X$83</definedName>
    <definedName name="Std2ColBInsideReviewPeriodCount" localSheetId="13">'IWP12'!$X$83</definedName>
    <definedName name="Std2ColBInsideReviewPeriodCount" localSheetId="14">'IWP13'!$X$83</definedName>
    <definedName name="Std2ColBInsideReviewPeriodCount" localSheetId="15">'IWP14'!$X$83</definedName>
    <definedName name="Std2ColBInsideReviewPeriodCount" localSheetId="16">'IWP15'!$X$83</definedName>
    <definedName name="Std2ColBInsideReviewPeriodCount" localSheetId="17">'IWP16'!$X$83</definedName>
    <definedName name="Std2ColBInsideReviewPeriodCount" localSheetId="18">'IWP17'!$X$83</definedName>
    <definedName name="Std2ColBInsideReviewPeriodCount" localSheetId="19">'IWP18'!$X$83</definedName>
    <definedName name="Std2ColBInsideReviewPeriodCount" localSheetId="20">'IWP19'!$X$83</definedName>
    <definedName name="Std2ColBInsideReviewPeriodCount" localSheetId="21">'IWP20'!$X$83</definedName>
    <definedName name="Std2ColBInsideReviewPeriodCount" localSheetId="22">'IWP21'!$X$83</definedName>
    <definedName name="Std2ColBInsideReviewPeriodCount" localSheetId="23">'IWP22'!$X$83</definedName>
    <definedName name="Std2ColBInsideReviewPeriodCount" localSheetId="24">'IWP23'!$X$83</definedName>
    <definedName name="Std2ColBInsideReviewPeriodCount" localSheetId="25">'IWP24'!$X$83</definedName>
    <definedName name="Std2ColBInsideReviewPeriodCount" localSheetId="26">'IWP25'!$X$83</definedName>
    <definedName name="Std2ColBInsideReviewPeriodCount" localSheetId="27">'IWP26'!$X$83</definedName>
    <definedName name="Std2ColBInsideReviewPeriodCount" localSheetId="28">'IWP27'!$X$83</definedName>
    <definedName name="Std2ColBInsideReviewPeriodCount" localSheetId="29">'IWP28'!$X$83</definedName>
    <definedName name="Std2ColBInsideReviewPeriodCount" localSheetId="30">'IWP29'!$X$83</definedName>
    <definedName name="Std2ColBInsideReviewPeriodCount" localSheetId="31">'IWP30'!$X$83</definedName>
    <definedName name="Std2ColBInsideReviewPeriodCount">'IWP01'!$X$83</definedName>
    <definedName name="Std2ColBOutsideReviewPeriod" localSheetId="3">'IWP02'!$X$62:$X$81</definedName>
    <definedName name="Std2ColBOutsideReviewPeriod" localSheetId="4">'IWP03'!$X$62:$X$81</definedName>
    <definedName name="Std2ColBOutsideReviewPeriod" localSheetId="5">'IWP04'!$X$62:$X$81</definedName>
    <definedName name="Std2ColBOutsideReviewPeriod" localSheetId="6">'IWP05'!$X$62:$X$81</definedName>
    <definedName name="Std2ColBOutsideReviewPeriod" localSheetId="7">'IWP06'!$X$62:$X$81</definedName>
    <definedName name="Std2ColBOutsideReviewPeriod" localSheetId="8">'IWP07'!$X$62:$X$81</definedName>
    <definedName name="Std2ColBOutsideReviewPeriod" localSheetId="9">'IWP08'!$X$62:$X$81</definedName>
    <definedName name="Std2ColBOutsideReviewPeriod" localSheetId="10">'IWP09'!$X$62:$X$81</definedName>
    <definedName name="Std2ColBOutsideReviewPeriod" localSheetId="11">'IWP10'!$X$62:$X$81</definedName>
    <definedName name="Std2ColBOutsideReviewPeriod" localSheetId="12">'IWP11'!$X$62:$X$81</definedName>
    <definedName name="Std2ColBOutsideReviewPeriod" localSheetId="13">'IWP12'!$X$62:$X$81</definedName>
    <definedName name="Std2ColBOutsideReviewPeriod" localSheetId="14">'IWP13'!$X$62:$X$81</definedName>
    <definedName name="Std2ColBOutsideReviewPeriod" localSheetId="15">'IWP14'!$X$62:$X$81</definedName>
    <definedName name="Std2ColBOutsideReviewPeriod" localSheetId="16">'IWP15'!$X$62:$X$81</definedName>
    <definedName name="Std2ColBOutsideReviewPeriod" localSheetId="17">'IWP16'!$X$62:$X$81</definedName>
    <definedName name="Std2ColBOutsideReviewPeriod" localSheetId="18">'IWP17'!$X$62:$X$81</definedName>
    <definedName name="Std2ColBOutsideReviewPeriod" localSheetId="19">'IWP18'!$X$62:$X$81</definedName>
    <definedName name="Std2ColBOutsideReviewPeriod" localSheetId="20">'IWP19'!$X$62:$X$81</definedName>
    <definedName name="Std2ColBOutsideReviewPeriod" localSheetId="21">'IWP20'!$X$62:$X$81</definedName>
    <definedName name="Std2ColBOutsideReviewPeriod" localSheetId="22">'IWP21'!$X$62:$X$81</definedName>
    <definedName name="Std2ColBOutsideReviewPeriod" localSheetId="23">'IWP22'!$X$62:$X$81</definedName>
    <definedName name="Std2ColBOutsideReviewPeriod" localSheetId="24">'IWP23'!$X$62:$X$81</definedName>
    <definedName name="Std2ColBOutsideReviewPeriod" localSheetId="25">'IWP24'!$X$62:$X$81</definedName>
    <definedName name="Std2ColBOutsideReviewPeriod" localSheetId="26">'IWP25'!$X$62:$X$81</definedName>
    <definedName name="Std2ColBOutsideReviewPeriod" localSheetId="27">'IWP26'!$X$62:$X$81</definedName>
    <definedName name="Std2ColBOutsideReviewPeriod" localSheetId="28">'IWP27'!$X$62:$X$81</definedName>
    <definedName name="Std2ColBOutsideReviewPeriod" localSheetId="29">'IWP28'!$X$62:$X$81</definedName>
    <definedName name="Std2ColBOutsideReviewPeriod" localSheetId="30">'IWP29'!$X$62:$X$81</definedName>
    <definedName name="Std2ColBOutsideReviewPeriod" localSheetId="31">'IWP30'!$X$62:$X$81</definedName>
    <definedName name="Std2ColBOutsideReviewPeriod">'IWP01'!$Y$62:$Y$81</definedName>
    <definedName name="Std2ColBOutsideReviewPeriodCount" localSheetId="3">'IWP02'!$X$82</definedName>
    <definedName name="Std2ColBOutsideReviewPeriodCount" localSheetId="4">'IWP03'!$X$82</definedName>
    <definedName name="Std2ColBOutsideReviewPeriodCount" localSheetId="5">'IWP04'!$X$82</definedName>
    <definedName name="Std2ColBOutsideReviewPeriodCount" localSheetId="6">'IWP05'!$X$82</definedName>
    <definedName name="Std2ColBOutsideReviewPeriodCount" localSheetId="7">'IWP06'!$X$82</definedName>
    <definedName name="Std2ColBOutsideReviewPeriodCount" localSheetId="8">'IWP07'!$X$82</definedName>
    <definedName name="Std2ColBOutsideReviewPeriodCount" localSheetId="9">'IWP08'!$X$82</definedName>
    <definedName name="Std2ColBOutsideReviewPeriodCount" localSheetId="10">'IWP09'!$X$82</definedName>
    <definedName name="Std2ColBOutsideReviewPeriodCount" localSheetId="11">'IWP10'!$X$82</definedName>
    <definedName name="Std2ColBOutsideReviewPeriodCount" localSheetId="12">'IWP11'!$X$82</definedName>
    <definedName name="Std2ColBOutsideReviewPeriodCount" localSheetId="13">'IWP12'!$X$82</definedName>
    <definedName name="Std2ColBOutsideReviewPeriodCount" localSheetId="14">'IWP13'!$X$82</definedName>
    <definedName name="Std2ColBOutsideReviewPeriodCount" localSheetId="15">'IWP14'!$X$82</definedName>
    <definedName name="Std2ColBOutsideReviewPeriodCount" localSheetId="16">'IWP15'!$X$82</definedName>
    <definedName name="Std2ColBOutsideReviewPeriodCount" localSheetId="17">'IWP16'!$X$82</definedName>
    <definedName name="Std2ColBOutsideReviewPeriodCount" localSheetId="18">'IWP17'!$X$82</definedName>
    <definedName name="Std2ColBOutsideReviewPeriodCount" localSheetId="19">'IWP18'!$X$82</definedName>
    <definedName name="Std2ColBOutsideReviewPeriodCount" localSheetId="20">'IWP19'!$X$82</definedName>
    <definedName name="Std2ColBOutsideReviewPeriodCount" localSheetId="21">'IWP20'!$X$82</definedName>
    <definedName name="Std2ColBOutsideReviewPeriodCount" localSheetId="22">'IWP21'!$X$82</definedName>
    <definedName name="Std2ColBOutsideReviewPeriodCount" localSheetId="23">'IWP22'!$X$82</definedName>
    <definedName name="Std2ColBOutsideReviewPeriodCount" localSheetId="24">'IWP23'!$X$82</definedName>
    <definedName name="Std2ColBOutsideReviewPeriodCount" localSheetId="25">'IWP24'!$X$82</definedName>
    <definedName name="Std2ColBOutsideReviewPeriodCount" localSheetId="26">'IWP25'!$X$82</definedName>
    <definedName name="Std2ColBOutsideReviewPeriodCount" localSheetId="27">'IWP26'!$X$82</definedName>
    <definedName name="Std2ColBOutsideReviewPeriodCount" localSheetId="28">'IWP27'!$X$82</definedName>
    <definedName name="Std2ColBOutsideReviewPeriodCount" localSheetId="29">'IWP28'!$X$82</definedName>
    <definedName name="Std2ColBOutsideReviewPeriodCount" localSheetId="30">'IWP29'!$X$82</definedName>
    <definedName name="Std2ColBOutsideReviewPeriodCount" localSheetId="31">'IWP30'!$X$82</definedName>
    <definedName name="Std2ColBOutsideReviewPeriodCount">'IWP01'!$X$82</definedName>
    <definedName name="Std2ColCEAllNo" localSheetId="3">'IWP02'!$Z$83</definedName>
    <definedName name="Std2ColCEAllNo" localSheetId="4">'IWP03'!$Z$83</definedName>
    <definedName name="Std2ColCEAllNo" localSheetId="5">'IWP04'!$Z$83</definedName>
    <definedName name="Std2ColCEAllNo" localSheetId="6">'IWP05'!$Z$83</definedName>
    <definedName name="Std2ColCEAllNo" localSheetId="7">'IWP06'!$Z$83</definedName>
    <definedName name="Std2ColCEAllNo" localSheetId="8">'IWP07'!$Z$83</definedName>
    <definedName name="Std2ColCEAllNo" localSheetId="9">'IWP08'!$Z$83</definedName>
    <definedName name="Std2ColCEAllNo" localSheetId="10">'IWP09'!$Z$83</definedName>
    <definedName name="Std2ColCEAllNo" localSheetId="11">'IWP10'!$Z$83</definedName>
    <definedName name="Std2ColCEAllNo" localSheetId="12">'IWP11'!$Z$83</definedName>
    <definedName name="Std2ColCEAllNo" localSheetId="13">'IWP12'!$Z$83</definedName>
    <definedName name="Std2ColCEAllNo" localSheetId="14">'IWP13'!$Z$83</definedName>
    <definedName name="Std2ColCEAllNo" localSheetId="15">'IWP14'!$Z$83</definedName>
    <definedName name="Std2ColCEAllNo" localSheetId="16">'IWP15'!$Z$83</definedName>
    <definedName name="Std2ColCEAllNo" localSheetId="17">'IWP16'!$Z$83</definedName>
    <definedName name="Std2ColCEAllNo" localSheetId="18">'IWP17'!$Z$83</definedName>
    <definedName name="Std2ColCEAllNo" localSheetId="19">'IWP18'!$Z$83</definedName>
    <definedName name="Std2ColCEAllNo" localSheetId="20">'IWP19'!$Z$83</definedName>
    <definedName name="Std2ColCEAllNo" localSheetId="21">'IWP20'!$Z$83</definedName>
    <definedName name="Std2ColCEAllNo" localSheetId="22">'IWP21'!$Z$83</definedName>
    <definedName name="Std2ColCEAllNo" localSheetId="23">'IWP22'!$Z$83</definedName>
    <definedName name="Std2ColCEAllNo" localSheetId="24">'IWP23'!$Z$83</definedName>
    <definedName name="Std2ColCEAllNo" localSheetId="25">'IWP24'!$Z$83</definedName>
    <definedName name="Std2ColCEAllNo" localSheetId="26">'IWP25'!$Z$83</definedName>
    <definedName name="Std2ColCEAllNo" localSheetId="27">'IWP26'!$Z$83</definedName>
    <definedName name="Std2ColCEAllNo" localSheetId="28">'IWP27'!$Z$83</definedName>
    <definedName name="Std2ColCEAllNo" localSheetId="29">'IWP28'!$Z$83</definedName>
    <definedName name="Std2ColCEAllNo" localSheetId="30">'IWP29'!$Z$83</definedName>
    <definedName name="Std2ColCEAllNo" localSheetId="31">'IWP30'!$Z$83</definedName>
    <definedName name="Std2ColCEAllNo">'IWP01'!$Z$83</definedName>
    <definedName name="Std2ColCEAnyNo" localSheetId="3">'IWP02'!$Z$7</definedName>
    <definedName name="Std2ColCEAnyNo" localSheetId="4">'IWP03'!$Z$7</definedName>
    <definedName name="Std2ColCEAnyNo" localSheetId="5">'IWP04'!$Z$7</definedName>
    <definedName name="Std2ColCEAnyNo" localSheetId="6">'IWP05'!$Z$7</definedName>
    <definedName name="Std2ColCEAnyNo" localSheetId="7">'IWP06'!$Z$7</definedName>
    <definedName name="Std2ColCEAnyNo" localSheetId="8">'IWP07'!$Z$7</definedName>
    <definedName name="Std2ColCEAnyNo" localSheetId="9">'IWP08'!$Z$7</definedName>
    <definedName name="Std2ColCEAnyNo" localSheetId="10">'IWP09'!$Z$7</definedName>
    <definedName name="Std2ColCEAnyNo" localSheetId="11">'IWP10'!$Z$7</definedName>
    <definedName name="Std2ColCEAnyNo" localSheetId="12">'IWP11'!$Z$7</definedName>
    <definedName name="Std2ColCEAnyNo" localSheetId="13">'IWP12'!$Z$7</definedName>
    <definedName name="Std2ColCEAnyNo" localSheetId="14">'IWP13'!$Z$7</definedName>
    <definedName name="Std2ColCEAnyNo" localSheetId="15">'IWP14'!$Z$7</definedName>
    <definedName name="Std2ColCEAnyNo" localSheetId="16">'IWP15'!$Z$7</definedName>
    <definedName name="Std2ColCEAnyNo" localSheetId="17">'IWP16'!$Z$7</definedName>
    <definedName name="Std2ColCEAnyNo" localSheetId="18">'IWP17'!$Z$7</definedName>
    <definedName name="Std2ColCEAnyNo" localSheetId="19">'IWP18'!$Z$7</definedName>
    <definedName name="Std2ColCEAnyNo" localSheetId="20">'IWP19'!$Z$7</definedName>
    <definedName name="Std2ColCEAnyNo" localSheetId="21">'IWP20'!$Z$7</definedName>
    <definedName name="Std2ColCEAnyNo" localSheetId="22">'IWP21'!$Z$7</definedName>
    <definedName name="Std2ColCEAnyNo" localSheetId="23">'IWP22'!$Z$7</definedName>
    <definedName name="Std2ColCEAnyNo" localSheetId="24">'IWP23'!$Z$7</definedName>
    <definedName name="Std2ColCEAnyNo" localSheetId="25">'IWP24'!$Z$7</definedName>
    <definedName name="Std2ColCEAnyNo" localSheetId="26">'IWP25'!$Z$7</definedName>
    <definedName name="Std2ColCEAnyNo" localSheetId="27">'IWP26'!$Z$7</definedName>
    <definedName name="Std2ColCEAnyNo" localSheetId="28">'IWP27'!$Z$7</definedName>
    <definedName name="Std2ColCEAnyNo" localSheetId="29">'IWP28'!$Z$7</definedName>
    <definedName name="Std2ColCEAnyNo" localSheetId="30">'IWP29'!$Z$7</definedName>
    <definedName name="Std2ColCEAnyNo" localSheetId="31">'IWP30'!$Z$7</definedName>
    <definedName name="Std2ColCEAnyNo">'IWP01'!$Z$7</definedName>
    <definedName name="Std2ColCEBlanks" localSheetId="3">'IWP02'!$Z$82</definedName>
    <definedName name="Std2ColCEBlanks" localSheetId="4">'IWP03'!$Z$82</definedName>
    <definedName name="Std2ColCEBlanks" localSheetId="5">'IWP04'!$Z$82</definedName>
    <definedName name="Std2ColCEBlanks" localSheetId="6">'IWP05'!$Z$82</definedName>
    <definedName name="Std2ColCEBlanks" localSheetId="7">'IWP06'!$Z$82</definedName>
    <definedName name="Std2ColCEBlanks" localSheetId="8">'IWP07'!$Z$82</definedName>
    <definedName name="Std2ColCEBlanks" localSheetId="9">'IWP08'!$Z$82</definedName>
    <definedName name="Std2ColCEBlanks" localSheetId="10">'IWP09'!$Z$82</definedName>
    <definedName name="Std2ColCEBlanks" localSheetId="11">'IWP10'!$Z$82</definedName>
    <definedName name="Std2ColCEBlanks" localSheetId="12">'IWP11'!$Z$82</definedName>
    <definedName name="Std2ColCEBlanks" localSheetId="13">'IWP12'!$Z$82</definedName>
    <definedName name="Std2ColCEBlanks" localSheetId="14">'IWP13'!$Z$82</definedName>
    <definedName name="Std2ColCEBlanks" localSheetId="15">'IWP14'!$Z$82</definedName>
    <definedName name="Std2ColCEBlanks" localSheetId="16">'IWP15'!$Z$82</definedName>
    <definedName name="Std2ColCEBlanks" localSheetId="17">'IWP16'!$Z$82</definedName>
    <definedName name="Std2ColCEBlanks" localSheetId="18">'IWP17'!$Z$82</definedName>
    <definedName name="Std2ColCEBlanks" localSheetId="19">'IWP18'!$Z$82</definedName>
    <definedName name="Std2ColCEBlanks" localSheetId="20">'IWP19'!$Z$82</definedName>
    <definedName name="Std2ColCEBlanks" localSheetId="21">'IWP20'!$Z$82</definedName>
    <definedName name="Std2ColCEBlanks" localSheetId="22">'IWP21'!$Z$82</definedName>
    <definedName name="Std2ColCEBlanks" localSheetId="23">'IWP22'!$Z$82</definedName>
    <definedName name="Std2ColCEBlanks" localSheetId="24">'IWP23'!$Z$82</definedName>
    <definedName name="Std2ColCEBlanks" localSheetId="25">'IWP24'!$Z$82</definedName>
    <definedName name="Std2ColCEBlanks" localSheetId="26">'IWP25'!$Z$82</definedName>
    <definedName name="Std2ColCEBlanks" localSheetId="27">'IWP26'!$Z$82</definedName>
    <definedName name="Std2ColCEBlanks" localSheetId="28">'IWP27'!$Z$82</definedName>
    <definedName name="Std2ColCEBlanks" localSheetId="29">'IWP28'!$Z$82</definedName>
    <definedName name="Std2ColCEBlanks" localSheetId="30">'IWP29'!$Z$82</definedName>
    <definedName name="Std2ColCEBlanks" localSheetId="31">'IWP30'!$Z$82</definedName>
    <definedName name="Std2ColCEBlanks">'IWP01'!$Z$82</definedName>
    <definedName name="Std2ColCEErrorCount" localSheetId="3">'IWP02'!$Z$84</definedName>
    <definedName name="Std2ColCEErrorCount" localSheetId="4">'IWP03'!$Z$84</definedName>
    <definedName name="Std2ColCEErrorCount" localSheetId="5">'IWP04'!$Z$84</definedName>
    <definedName name="Std2ColCEErrorCount" localSheetId="6">'IWP05'!$Z$84</definedName>
    <definedName name="Std2ColCEErrorCount" localSheetId="7">'IWP06'!$Z$84</definedName>
    <definedName name="Std2ColCEErrorCount" localSheetId="8">'IWP07'!$Z$84</definedName>
    <definedName name="Std2ColCEErrorCount" localSheetId="9">'IWP08'!$Z$84</definedName>
    <definedName name="Std2ColCEErrorCount" localSheetId="10">'IWP09'!$Z$84</definedName>
    <definedName name="Std2ColCEErrorCount" localSheetId="11">'IWP10'!$Z$84</definedName>
    <definedName name="Std2ColCEErrorCount" localSheetId="12">'IWP11'!$Z$84</definedName>
    <definedName name="Std2ColCEErrorCount" localSheetId="13">'IWP12'!$Z$84</definedName>
    <definedName name="Std2ColCEErrorCount" localSheetId="14">'IWP13'!$Z$84</definedName>
    <definedName name="Std2ColCEErrorCount" localSheetId="15">'IWP14'!$Z$84</definedName>
    <definedName name="Std2ColCEErrorCount" localSheetId="16">'IWP15'!$Z$84</definedName>
    <definedName name="Std2ColCEErrorCount" localSheetId="17">'IWP16'!$Z$84</definedName>
    <definedName name="Std2ColCEErrorCount" localSheetId="18">'IWP17'!$Z$84</definedName>
    <definedName name="Std2ColCEErrorCount" localSheetId="19">'IWP18'!$Z$84</definedName>
    <definedName name="Std2ColCEErrorCount" localSheetId="20">'IWP19'!$Z$84</definedName>
    <definedName name="Std2ColCEErrorCount" localSheetId="21">'IWP20'!$Z$84</definedName>
    <definedName name="Std2ColCEErrorCount" localSheetId="22">'IWP21'!$Z$84</definedName>
    <definedName name="Std2ColCEErrorCount" localSheetId="23">'IWP22'!$Z$84</definedName>
    <definedName name="Std2ColCEErrorCount" localSheetId="24">'IWP23'!$Z$84</definedName>
    <definedName name="Std2ColCEErrorCount" localSheetId="25">'IWP24'!$Z$84</definedName>
    <definedName name="Std2ColCEErrorCount" localSheetId="26">'IWP25'!$Z$84</definedName>
    <definedName name="Std2ColCEErrorCount" localSheetId="27">'IWP26'!$Z$84</definedName>
    <definedName name="Std2ColCEErrorCount" localSheetId="28">'IWP27'!$Z$84</definedName>
    <definedName name="Std2ColCEErrorCount" localSheetId="29">'IWP28'!$Z$84</definedName>
    <definedName name="Std2ColCEErrorCount" localSheetId="30">'IWP29'!$Z$84</definedName>
    <definedName name="Std2ColCEErrorCount" localSheetId="31">'IWP30'!$Z$84</definedName>
    <definedName name="Std2ColCEErrorCount">'IWP01'!$Z$84</definedName>
    <definedName name="Std2ColCENACount" localSheetId="3">'IWP02'!$Z$9</definedName>
    <definedName name="Std2ColCENACount" localSheetId="4">'IWP03'!$Z$9</definedName>
    <definedName name="Std2ColCENACount" localSheetId="5">'IWP04'!$Z$9</definedName>
    <definedName name="Std2ColCENACount" localSheetId="6">'IWP05'!$Z$9</definedName>
    <definedName name="Std2ColCENACount" localSheetId="7">'IWP06'!$Z$9</definedName>
    <definedName name="Std2ColCENACount" localSheetId="8">'IWP07'!$Z$9</definedName>
    <definedName name="Std2ColCENACount" localSheetId="9">'IWP08'!$Z$9</definedName>
    <definedName name="Std2ColCENACount" localSheetId="10">'IWP09'!$Z$9</definedName>
    <definedName name="Std2ColCENACount" localSheetId="11">'IWP10'!$Z$9</definedName>
    <definedName name="Std2ColCENACount" localSheetId="12">'IWP11'!$Z$9</definedName>
    <definedName name="Std2ColCENACount" localSheetId="13">'IWP12'!$Z$9</definedName>
    <definedName name="Std2ColCENACount" localSheetId="14">'IWP13'!$Z$9</definedName>
    <definedName name="Std2ColCENACount" localSheetId="15">'IWP14'!$Z$9</definedName>
    <definedName name="Std2ColCENACount" localSheetId="16">'IWP15'!$Z$9</definedName>
    <definedName name="Std2ColCENACount" localSheetId="17">'IWP16'!$Z$9</definedName>
    <definedName name="Std2ColCENACount" localSheetId="18">'IWP17'!$Z$9</definedName>
    <definedName name="Std2ColCENACount" localSheetId="19">'IWP18'!$Z$9</definedName>
    <definedName name="Std2ColCENACount" localSheetId="20">'IWP19'!$Z$9</definedName>
    <definedName name="Std2ColCENACount" localSheetId="21">'IWP20'!$Z$9</definedName>
    <definedName name="Std2ColCENACount" localSheetId="22">'IWP21'!$Z$9</definedName>
    <definedName name="Std2ColCENACount" localSheetId="23">'IWP22'!$Z$9</definedName>
    <definedName name="Std2ColCENACount" localSheetId="24">'IWP23'!$Z$9</definedName>
    <definedName name="Std2ColCENACount" localSheetId="25">'IWP24'!$Z$9</definedName>
    <definedName name="Std2ColCENACount" localSheetId="26">'IWP25'!$Z$9</definedName>
    <definedName name="Std2ColCENACount" localSheetId="27">'IWP26'!$Z$9</definedName>
    <definedName name="Std2ColCENACount" localSheetId="28">'IWP27'!$Z$9</definedName>
    <definedName name="Std2ColCENACount" localSheetId="29">'IWP28'!$Z$9</definedName>
    <definedName name="Std2ColCENACount" localSheetId="30">'IWP29'!$Z$9</definedName>
    <definedName name="Std2ColCENACount" localSheetId="31">'IWP30'!$Z$9</definedName>
    <definedName name="Std2ColCENACount">'IWP01'!$Z$9</definedName>
    <definedName name="Std2ColCEOneYRestNA" localSheetId="3">'IWP02'!$Z$10</definedName>
    <definedName name="Std2ColCEOneYRestNA" localSheetId="4">'IWP03'!$Z$10</definedName>
    <definedName name="Std2ColCEOneYRestNA" localSheetId="5">'IWP04'!$Z$10</definedName>
    <definedName name="Std2ColCEOneYRestNA" localSheetId="6">'IWP05'!$Z$10</definedName>
    <definedName name="Std2ColCEOneYRestNA" localSheetId="7">'IWP06'!$Z$10</definedName>
    <definedName name="Std2ColCEOneYRestNA" localSheetId="8">'IWP07'!$Z$10</definedName>
    <definedName name="Std2ColCEOneYRestNA" localSheetId="9">'IWP08'!$Z$10</definedName>
    <definedName name="Std2ColCEOneYRestNA" localSheetId="10">'IWP09'!$Z$10</definedName>
    <definedName name="Std2ColCEOneYRestNA" localSheetId="11">'IWP10'!$Z$10</definedName>
    <definedName name="Std2ColCEOneYRestNA" localSheetId="12">'IWP11'!$Z$10</definedName>
    <definedName name="Std2ColCEOneYRestNA" localSheetId="13">'IWP12'!$Z$10</definedName>
    <definedName name="Std2ColCEOneYRestNA" localSheetId="14">'IWP13'!$Z$10</definedName>
    <definedName name="Std2ColCEOneYRestNA" localSheetId="15">'IWP14'!$Z$10</definedName>
    <definedName name="Std2ColCEOneYRestNA" localSheetId="16">'IWP15'!$Z$10</definedName>
    <definedName name="Std2ColCEOneYRestNA" localSheetId="17">'IWP16'!$Z$10</definedName>
    <definedName name="Std2ColCEOneYRestNA" localSheetId="18">'IWP17'!$Z$10</definedName>
    <definedName name="Std2ColCEOneYRestNA" localSheetId="19">'IWP18'!$Z$10</definedName>
    <definedName name="Std2ColCEOneYRestNA" localSheetId="20">'IWP19'!$Z$10</definedName>
    <definedName name="Std2ColCEOneYRestNA" localSheetId="21">'IWP20'!$Z$10</definedName>
    <definedName name="Std2ColCEOneYRestNA" localSheetId="22">'IWP21'!$Z$10</definedName>
    <definedName name="Std2ColCEOneYRestNA" localSheetId="23">'IWP22'!$Z$10</definedName>
    <definedName name="Std2ColCEOneYRestNA" localSheetId="24">'IWP23'!$Z$10</definedName>
    <definedName name="Std2ColCEOneYRestNA" localSheetId="25">'IWP24'!$Z$10</definedName>
    <definedName name="Std2ColCEOneYRestNA" localSheetId="26">'IWP25'!$Z$10</definedName>
    <definedName name="Std2ColCEOneYRestNA" localSheetId="27">'IWP26'!$Z$10</definedName>
    <definedName name="Std2ColCEOneYRestNA" localSheetId="28">'IWP27'!$Z$10</definedName>
    <definedName name="Std2ColCEOneYRestNA" localSheetId="29">'IWP28'!$Z$10</definedName>
    <definedName name="Std2ColCEOneYRestNA" localSheetId="30">'IWP29'!$Z$10</definedName>
    <definedName name="Std2ColCEOneYRestNA" localSheetId="31">'IWP30'!$Z$10</definedName>
    <definedName name="Std2ColCEOneYRestNA">'IWP01'!$Z$10</definedName>
    <definedName name="Std2ColCEQCount" localSheetId="3">'IWP02'!$Z$85</definedName>
    <definedName name="Std2ColCEQCount" localSheetId="4">'IWP03'!$Z$85</definedName>
    <definedName name="Std2ColCEQCount" localSheetId="5">'IWP04'!$Z$85</definedName>
    <definedName name="Std2ColCEQCount" localSheetId="6">'IWP05'!$Z$85</definedName>
    <definedName name="Std2ColCEQCount" localSheetId="7">'IWP06'!$Z$85</definedName>
    <definedName name="Std2ColCEQCount" localSheetId="8">'IWP07'!$Z$85</definedName>
    <definedName name="Std2ColCEQCount" localSheetId="9">'IWP08'!$Z$85</definedName>
    <definedName name="Std2ColCEQCount" localSheetId="10">'IWP09'!$Z$85</definedName>
    <definedName name="Std2ColCEQCount" localSheetId="11">'IWP10'!$Z$85</definedName>
    <definedName name="Std2ColCEQCount" localSheetId="12">'IWP11'!$Z$85</definedName>
    <definedName name="Std2ColCEQCount" localSheetId="13">'IWP12'!$Z$85</definedName>
    <definedName name="Std2ColCEQCount" localSheetId="14">'IWP13'!$Z$85</definedName>
    <definedName name="Std2ColCEQCount" localSheetId="15">'IWP14'!$Z$85</definedName>
    <definedName name="Std2ColCEQCount" localSheetId="16">'IWP15'!$Z$85</definedName>
    <definedName name="Std2ColCEQCount" localSheetId="17">'IWP16'!$Z$85</definedName>
    <definedName name="Std2ColCEQCount" localSheetId="18">'IWP17'!$Z$85</definedName>
    <definedName name="Std2ColCEQCount" localSheetId="19">'IWP18'!$Z$85</definedName>
    <definedName name="Std2ColCEQCount" localSheetId="20">'IWP19'!$Z$85</definedName>
    <definedName name="Std2ColCEQCount" localSheetId="21">'IWP20'!$Z$85</definedName>
    <definedName name="Std2ColCEQCount" localSheetId="22">'IWP21'!$Z$85</definedName>
    <definedName name="Std2ColCEQCount" localSheetId="23">'IWP22'!$Z$85</definedName>
    <definedName name="Std2ColCEQCount" localSheetId="24">'IWP23'!$Z$85</definedName>
    <definedName name="Std2ColCEQCount" localSheetId="25">'IWP24'!$Z$85</definedName>
    <definedName name="Std2ColCEQCount" localSheetId="26">'IWP25'!$Z$85</definedName>
    <definedName name="Std2ColCEQCount" localSheetId="27">'IWP26'!$Z$85</definedName>
    <definedName name="Std2ColCEQCount" localSheetId="28">'IWP27'!$Z$85</definedName>
    <definedName name="Std2ColCEQCount" localSheetId="29">'IWP28'!$Z$85</definedName>
    <definedName name="Std2ColCEQCount" localSheetId="30">'IWP29'!$Z$85</definedName>
    <definedName name="Std2ColCEQCount" localSheetId="31">'IWP30'!$Z$85</definedName>
    <definedName name="Std2ColCEQCount">'IWP01'!$Z$85</definedName>
    <definedName name="Std2ColCEYCount" localSheetId="3">'IWP02'!$Z$8</definedName>
    <definedName name="Std2ColCEYCount" localSheetId="4">'IWP03'!$Z$8</definedName>
    <definedName name="Std2ColCEYCount" localSheetId="5">'IWP04'!$Z$8</definedName>
    <definedName name="Std2ColCEYCount" localSheetId="6">'IWP05'!$Z$8</definedName>
    <definedName name="Std2ColCEYCount" localSheetId="7">'IWP06'!$Z$8</definedName>
    <definedName name="Std2ColCEYCount" localSheetId="8">'IWP07'!$Z$8</definedName>
    <definedName name="Std2ColCEYCount" localSheetId="9">'IWP08'!$Z$8</definedName>
    <definedName name="Std2ColCEYCount" localSheetId="10">'IWP09'!$Z$8</definedName>
    <definedName name="Std2ColCEYCount" localSheetId="11">'IWP10'!$Z$8</definedName>
    <definedName name="Std2ColCEYCount" localSheetId="12">'IWP11'!$Z$8</definedName>
    <definedName name="Std2ColCEYCount" localSheetId="13">'IWP12'!$Z$8</definedName>
    <definedName name="Std2ColCEYCount" localSheetId="14">'IWP13'!$Z$8</definedName>
    <definedName name="Std2ColCEYCount" localSheetId="15">'IWP14'!$Z$8</definedName>
    <definedName name="Std2ColCEYCount" localSheetId="16">'IWP15'!$Z$8</definedName>
    <definedName name="Std2ColCEYCount" localSheetId="17">'IWP16'!$Z$8</definedName>
    <definedName name="Std2ColCEYCount" localSheetId="18">'IWP17'!$Z$8</definedName>
    <definedName name="Std2ColCEYCount" localSheetId="19">'IWP18'!$Z$8</definedName>
    <definedName name="Std2ColCEYCount" localSheetId="20">'IWP19'!$Z$8</definedName>
    <definedName name="Std2ColCEYCount" localSheetId="21">'IWP20'!$Z$8</definedName>
    <definedName name="Std2ColCEYCount" localSheetId="22">'IWP21'!$Z$8</definedName>
    <definedName name="Std2ColCEYCount" localSheetId="23">'IWP22'!$Z$8</definedName>
    <definedName name="Std2ColCEYCount" localSheetId="24">'IWP23'!$Z$8</definedName>
    <definedName name="Std2ColCEYCount" localSheetId="25">'IWP24'!$Z$8</definedName>
    <definedName name="Std2ColCEYCount" localSheetId="26">'IWP25'!$Z$8</definedName>
    <definedName name="Std2ColCEYCount" localSheetId="27">'IWP26'!$Z$8</definedName>
    <definedName name="Std2ColCEYCount" localSheetId="28">'IWP27'!$Z$8</definedName>
    <definedName name="Std2ColCEYCount" localSheetId="29">'IWP28'!$Z$8</definedName>
    <definedName name="Std2ColCEYCount" localSheetId="30">'IWP29'!$Z$8</definedName>
    <definedName name="Std2ColCEYCount" localSheetId="31">'IWP30'!$Z$8</definedName>
    <definedName name="Std2ColCEYCount">'IWP01'!$Z$8</definedName>
    <definedName name="Std2ColFAllYes" localSheetId="3">'IWP02'!$AA$84</definedName>
    <definedName name="Std2ColFAllYes" localSheetId="4">'IWP03'!$AA$84</definedName>
    <definedName name="Std2ColFAllYes" localSheetId="5">'IWP04'!$AA$84</definedName>
    <definedName name="Std2ColFAllYes" localSheetId="6">'IWP05'!$AA$84</definedName>
    <definedName name="Std2ColFAllYes" localSheetId="7">'IWP06'!$AA$84</definedName>
    <definedName name="Std2ColFAllYes" localSheetId="8">'IWP07'!$AA$84</definedName>
    <definedName name="Std2ColFAllYes" localSheetId="9">'IWP08'!$AA$84</definedName>
    <definedName name="Std2ColFAllYes" localSheetId="10">'IWP09'!$AA$84</definedName>
    <definedName name="Std2ColFAllYes" localSheetId="11">'IWP10'!$AA$84</definedName>
    <definedName name="Std2ColFAllYes" localSheetId="12">'IWP11'!$AA$84</definedName>
    <definedName name="Std2ColFAllYes" localSheetId="13">'IWP12'!$AA$84</definedName>
    <definedName name="Std2ColFAllYes" localSheetId="14">'IWP13'!$AA$84</definedName>
    <definedName name="Std2ColFAllYes" localSheetId="15">'IWP14'!$AA$84</definedName>
    <definedName name="Std2ColFAllYes" localSheetId="16">'IWP15'!$AA$84</definedName>
    <definedName name="Std2ColFAllYes" localSheetId="17">'IWP16'!$AA$84</definedName>
    <definedName name="Std2ColFAllYes" localSheetId="18">'IWP17'!$AA$84</definedName>
    <definedName name="Std2ColFAllYes" localSheetId="19">'IWP18'!$AA$84</definedName>
    <definedName name="Std2ColFAllYes" localSheetId="20">'IWP19'!$AA$84</definedName>
    <definedName name="Std2ColFAllYes" localSheetId="21">'IWP20'!$AA$84</definedName>
    <definedName name="Std2ColFAllYes" localSheetId="22">'IWP21'!$AA$84</definedName>
    <definedName name="Std2ColFAllYes" localSheetId="23">'IWP22'!$AA$84</definedName>
    <definedName name="Std2ColFAllYes" localSheetId="24">'IWP23'!$AA$84</definedName>
    <definedName name="Std2ColFAllYes" localSheetId="25">'IWP24'!$AA$84</definedName>
    <definedName name="Std2ColFAllYes" localSheetId="26">'IWP25'!$AA$84</definedName>
    <definedName name="Std2ColFAllYes" localSheetId="27">'IWP26'!$AA$84</definedName>
    <definedName name="Std2ColFAllYes" localSheetId="28">'IWP27'!$AA$84</definedName>
    <definedName name="Std2ColFAllYes" localSheetId="29">'IWP28'!$AA$84</definedName>
    <definedName name="Std2ColFAllYes" localSheetId="30">'IWP29'!$AA$84</definedName>
    <definedName name="Std2ColFAllYes" localSheetId="31">'IWP30'!$AA$84</definedName>
    <definedName name="Std2ColFAllYes">'IWP01'!$AA$84</definedName>
    <definedName name="Std2ColFAllYesOrNA" localSheetId="3">'IWP02'!$AA$85</definedName>
    <definedName name="Std2ColFAllYesOrNA" localSheetId="4">'IWP03'!$AA$85</definedName>
    <definedName name="Std2ColFAllYesOrNA" localSheetId="5">'IWP04'!$AA$85</definedName>
    <definedName name="Std2ColFAllYesOrNA" localSheetId="6">'IWP05'!$AA$85</definedName>
    <definedName name="Std2ColFAllYesOrNA" localSheetId="7">'IWP06'!$AA$85</definedName>
    <definedName name="Std2ColFAllYesOrNA" localSheetId="8">'IWP07'!$AA$85</definedName>
    <definedName name="Std2ColFAllYesOrNA" localSheetId="9">'IWP08'!$AA$85</definedName>
    <definedName name="Std2ColFAllYesOrNA" localSheetId="10">'IWP09'!$AA$85</definedName>
    <definedName name="Std2ColFAllYesOrNA" localSheetId="11">'IWP10'!$AA$85</definedName>
    <definedName name="Std2ColFAllYesOrNA" localSheetId="12">'IWP11'!$AA$85</definedName>
    <definedName name="Std2ColFAllYesOrNA" localSheetId="13">'IWP12'!$AA$85</definedName>
    <definedName name="Std2ColFAllYesOrNA" localSheetId="14">'IWP13'!$AA$85</definedName>
    <definedName name="Std2ColFAllYesOrNA" localSheetId="15">'IWP14'!$AA$85</definedName>
    <definedName name="Std2ColFAllYesOrNA" localSheetId="16">'IWP15'!$AA$85</definedName>
    <definedName name="Std2ColFAllYesOrNA" localSheetId="17">'IWP16'!$AA$85</definedName>
    <definedName name="Std2ColFAllYesOrNA" localSheetId="18">'IWP17'!$AA$85</definedName>
    <definedName name="Std2ColFAllYesOrNA" localSheetId="19">'IWP18'!$AA$85</definedName>
    <definedName name="Std2ColFAllYesOrNA" localSheetId="20">'IWP19'!$AA$85</definedName>
    <definedName name="Std2ColFAllYesOrNA" localSheetId="21">'IWP20'!$AA$85</definedName>
    <definedName name="Std2ColFAllYesOrNA" localSheetId="22">'IWP21'!$AA$85</definedName>
    <definedName name="Std2ColFAllYesOrNA" localSheetId="23">'IWP22'!$AA$85</definedName>
    <definedName name="Std2ColFAllYesOrNA" localSheetId="24">'IWP23'!$AA$85</definedName>
    <definedName name="Std2ColFAllYesOrNA" localSheetId="25">'IWP24'!$AA$85</definedName>
    <definedName name="Std2ColFAllYesOrNA" localSheetId="26">'IWP25'!$AA$85</definedName>
    <definedName name="Std2ColFAllYesOrNA" localSheetId="27">'IWP26'!$AA$85</definedName>
    <definedName name="Std2ColFAllYesOrNA" localSheetId="28">'IWP27'!$AA$85</definedName>
    <definedName name="Std2ColFAllYesOrNA" localSheetId="29">'IWP28'!$AA$85</definedName>
    <definedName name="Std2ColFAllYesOrNA" localSheetId="30">'IWP29'!$AA$85</definedName>
    <definedName name="Std2ColFAllYesOrNA" localSheetId="31">'IWP30'!$AA$85</definedName>
    <definedName name="Std2ColFAllYesOrNA">'IWP01'!$AA$85</definedName>
    <definedName name="Std2ColFAnyN" localSheetId="3">'IWP02'!$AA$86</definedName>
    <definedName name="Std2ColFAnyN" localSheetId="4">'IWP03'!$AA$86</definedName>
    <definedName name="Std2ColFAnyN" localSheetId="5">'IWP04'!$AA$86</definedName>
    <definedName name="Std2ColFAnyN" localSheetId="6">'IWP05'!$AA$86</definedName>
    <definedName name="Std2ColFAnyN" localSheetId="7">'IWP06'!$AA$86</definedName>
    <definedName name="Std2ColFAnyN" localSheetId="8">'IWP07'!$AA$86</definedName>
    <definedName name="Std2ColFAnyN" localSheetId="9">'IWP08'!$AA$86</definedName>
    <definedName name="Std2ColFAnyN" localSheetId="10">'IWP09'!$AA$86</definedName>
    <definedName name="Std2ColFAnyN" localSheetId="11">'IWP10'!$AA$86</definedName>
    <definedName name="Std2ColFAnyN" localSheetId="12">'IWP11'!$AA$86</definedName>
    <definedName name="Std2ColFAnyN" localSheetId="13">'IWP12'!$AA$86</definedName>
    <definedName name="Std2ColFAnyN" localSheetId="14">'IWP13'!$AA$86</definedName>
    <definedName name="Std2ColFAnyN" localSheetId="15">'IWP14'!$AA$86</definedName>
    <definedName name="Std2ColFAnyN" localSheetId="16">'IWP15'!$AA$86</definedName>
    <definedName name="Std2ColFAnyN" localSheetId="17">'IWP16'!$AA$86</definedName>
    <definedName name="Std2ColFAnyN" localSheetId="18">'IWP17'!$AA$86</definedName>
    <definedName name="Std2ColFAnyN" localSheetId="19">'IWP18'!$AA$86</definedName>
    <definedName name="Std2ColFAnyN" localSheetId="20">'IWP19'!$AA$86</definedName>
    <definedName name="Std2ColFAnyN" localSheetId="21">'IWP20'!$AA$86</definedName>
    <definedName name="Std2ColFAnyN" localSheetId="22">'IWP21'!$AA$86</definedName>
    <definedName name="Std2ColFAnyN" localSheetId="23">'IWP22'!$AA$86</definedName>
    <definedName name="Std2ColFAnyN" localSheetId="24">'IWP23'!$AA$86</definedName>
    <definedName name="Std2ColFAnyN" localSheetId="25">'IWP24'!$AA$86</definedName>
    <definedName name="Std2ColFAnyN" localSheetId="26">'IWP25'!$AA$86</definedName>
    <definedName name="Std2ColFAnyN" localSheetId="27">'IWP26'!$AA$86</definedName>
    <definedName name="Std2ColFAnyN" localSheetId="28">'IWP27'!$AA$86</definedName>
    <definedName name="Std2ColFAnyN" localSheetId="29">'IWP28'!$AA$86</definedName>
    <definedName name="Std2ColFAnyN" localSheetId="30">'IWP29'!$AA$86</definedName>
    <definedName name="Std2ColFAnyN" localSheetId="31">'IWP30'!$AA$86</definedName>
    <definedName name="Std2ColFAnyN">'IWP01'!$AA$86</definedName>
    <definedName name="Std2ColFBlanks" localSheetId="3">'IWP02'!$AA$82</definedName>
    <definedName name="Std2ColFBlanks" localSheetId="4">'IWP03'!$AA$82</definedName>
    <definedName name="Std2ColFBlanks" localSheetId="5">'IWP04'!$AA$82</definedName>
    <definedName name="Std2ColFBlanks" localSheetId="6">'IWP05'!$AA$82</definedName>
    <definedName name="Std2ColFBlanks" localSheetId="7">'IWP06'!$AA$82</definedName>
    <definedName name="Std2ColFBlanks" localSheetId="8">'IWP07'!$AA$82</definedName>
    <definedName name="Std2ColFBlanks" localSheetId="9">'IWP08'!$AA$82</definedName>
    <definedName name="Std2ColFBlanks" localSheetId="10">'IWP09'!$AA$82</definedName>
    <definedName name="Std2ColFBlanks" localSheetId="11">'IWP10'!$AA$82</definedName>
    <definedName name="Std2ColFBlanks" localSheetId="12">'IWP11'!$AA$82</definedName>
    <definedName name="Std2ColFBlanks" localSheetId="13">'IWP12'!$AA$82</definedName>
    <definedName name="Std2ColFBlanks" localSheetId="14">'IWP13'!$AA$82</definedName>
    <definedName name="Std2ColFBlanks" localSheetId="15">'IWP14'!$AA$82</definedName>
    <definedName name="Std2ColFBlanks" localSheetId="16">'IWP15'!$AA$82</definedName>
    <definedName name="Std2ColFBlanks" localSheetId="17">'IWP16'!$AA$82</definedName>
    <definedName name="Std2ColFBlanks" localSheetId="18">'IWP17'!$AA$82</definedName>
    <definedName name="Std2ColFBlanks" localSheetId="19">'IWP18'!$AA$82</definedName>
    <definedName name="Std2ColFBlanks" localSheetId="20">'IWP19'!$AA$82</definedName>
    <definedName name="Std2ColFBlanks" localSheetId="21">'IWP20'!$AA$82</definedName>
    <definedName name="Std2ColFBlanks" localSheetId="22">'IWP21'!$AA$82</definedName>
    <definedName name="Std2ColFBlanks" localSheetId="23">'IWP22'!$AA$82</definedName>
    <definedName name="Std2ColFBlanks" localSheetId="24">'IWP23'!$AA$82</definedName>
    <definedName name="Std2ColFBlanks" localSheetId="25">'IWP24'!$AA$82</definedName>
    <definedName name="Std2ColFBlanks" localSheetId="26">'IWP25'!$AA$82</definedName>
    <definedName name="Std2ColFBlanks" localSheetId="27">'IWP26'!$AA$82</definedName>
    <definedName name="Std2ColFBlanks" localSheetId="28">'IWP27'!$AA$82</definedName>
    <definedName name="Std2ColFBlanks" localSheetId="29">'IWP28'!$AA$82</definedName>
    <definedName name="Std2ColFBlanks" localSheetId="30">'IWP29'!$AA$82</definedName>
    <definedName name="Std2ColFBlanks" localSheetId="31">'IWP30'!$AA$82</definedName>
    <definedName name="Std2ColFBlanks">'IWP01'!$AA$82</definedName>
    <definedName name="Std2ColFErrorCount" localSheetId="3">'IWP02'!$AA$9</definedName>
    <definedName name="Std2ColFErrorCount" localSheetId="4">'IWP03'!$AA$9</definedName>
    <definedName name="Std2ColFErrorCount" localSheetId="5">'IWP04'!$AA$9</definedName>
    <definedName name="Std2ColFErrorCount" localSheetId="6">'IWP05'!$AA$9</definedName>
    <definedName name="Std2ColFErrorCount" localSheetId="7">'IWP06'!$AA$9</definedName>
    <definedName name="Std2ColFErrorCount" localSheetId="8">'IWP07'!$AA$9</definedName>
    <definedName name="Std2ColFErrorCount" localSheetId="9">'IWP08'!$AA$9</definedName>
    <definedName name="Std2ColFErrorCount" localSheetId="10">'IWP09'!$AA$9</definedName>
    <definedName name="Std2ColFErrorCount" localSheetId="11">'IWP10'!$AA$9</definedName>
    <definedName name="Std2ColFErrorCount" localSheetId="12">'IWP11'!$AA$9</definedName>
    <definedName name="Std2ColFErrorCount" localSheetId="13">'IWP12'!$AA$9</definedName>
    <definedName name="Std2ColFErrorCount" localSheetId="14">'IWP13'!$AA$9</definedName>
    <definedName name="Std2ColFErrorCount" localSheetId="15">'IWP14'!$AA$9</definedName>
    <definedName name="Std2ColFErrorCount" localSheetId="16">'IWP15'!$AA$9</definedName>
    <definedName name="Std2ColFErrorCount" localSheetId="17">'IWP16'!$AA$9</definedName>
    <definedName name="Std2ColFErrorCount" localSheetId="18">'IWP17'!$AA$9</definedName>
    <definedName name="Std2ColFErrorCount" localSheetId="19">'IWP18'!$AA$9</definedName>
    <definedName name="Std2ColFErrorCount" localSheetId="20">'IWP19'!$AA$9</definedName>
    <definedName name="Std2ColFErrorCount" localSheetId="21">'IWP20'!$AA$9</definedName>
    <definedName name="Std2ColFErrorCount" localSheetId="22">'IWP21'!$AA$9</definedName>
    <definedName name="Std2ColFErrorCount" localSheetId="23">'IWP22'!$AA$9</definedName>
    <definedName name="Std2ColFErrorCount" localSheetId="24">'IWP23'!$AA$9</definedName>
    <definedName name="Std2ColFErrorCount" localSheetId="25">'IWP24'!$AA$9</definedName>
    <definedName name="Std2ColFErrorCount" localSheetId="26">'IWP25'!$AA$9</definedName>
    <definedName name="Std2ColFErrorCount" localSheetId="27">'IWP26'!$AA$9</definedName>
    <definedName name="Std2ColFErrorCount" localSheetId="28">'IWP27'!$AA$9</definedName>
    <definedName name="Std2ColFErrorCount" localSheetId="29">'IWP28'!$AA$9</definedName>
    <definedName name="Std2ColFErrorCount" localSheetId="30">'IWP29'!$AA$9</definedName>
    <definedName name="Std2ColFErrorCount" localSheetId="31">'IWP30'!$AA$9</definedName>
    <definedName name="Std2ColFErrorCount">'IWP01'!$AA$9</definedName>
    <definedName name="Std2ColFNoCount" localSheetId="3">'IWP02'!$AA$8</definedName>
    <definedName name="Std2ColFNoCount" localSheetId="4">'IWP03'!$AA$8</definedName>
    <definedName name="Std2ColFNoCount" localSheetId="5">'IWP04'!$AA$8</definedName>
    <definedName name="Std2ColFNoCount" localSheetId="6">'IWP05'!$AA$8</definedName>
    <definedName name="Std2ColFNoCount" localSheetId="7">'IWP06'!$AA$8</definedName>
    <definedName name="Std2ColFNoCount" localSheetId="8">'IWP07'!$AA$8</definedName>
    <definedName name="Std2ColFNoCount" localSheetId="9">'IWP08'!$AA$8</definedName>
    <definedName name="Std2ColFNoCount" localSheetId="10">'IWP09'!$AA$8</definedName>
    <definedName name="Std2ColFNoCount" localSheetId="11">'IWP10'!$AA$8</definedName>
    <definedName name="Std2ColFNoCount" localSheetId="12">'IWP11'!$AA$8</definedName>
    <definedName name="Std2ColFNoCount" localSheetId="13">'IWP12'!$AA$8</definedName>
    <definedName name="Std2ColFNoCount" localSheetId="14">'IWP13'!$AA$8</definedName>
    <definedName name="Std2ColFNoCount" localSheetId="15">'IWP14'!$AA$8</definedName>
    <definedName name="Std2ColFNoCount" localSheetId="16">'IWP15'!$AA$8</definedName>
    <definedName name="Std2ColFNoCount" localSheetId="17">'IWP16'!$AA$8</definedName>
    <definedName name="Std2ColFNoCount" localSheetId="18">'IWP17'!$AA$8</definedName>
    <definedName name="Std2ColFNoCount" localSheetId="19">'IWP18'!$AA$8</definedName>
    <definedName name="Std2ColFNoCount" localSheetId="20">'IWP19'!$AA$8</definedName>
    <definedName name="Std2ColFNoCount" localSheetId="21">'IWP20'!$AA$8</definedName>
    <definedName name="Std2ColFNoCount" localSheetId="22">'IWP21'!$AA$8</definedName>
    <definedName name="Std2ColFNoCount" localSheetId="23">'IWP22'!$AA$8</definedName>
    <definedName name="Std2ColFNoCount" localSheetId="24">'IWP23'!$AA$8</definedName>
    <definedName name="Std2ColFNoCount" localSheetId="25">'IWP24'!$AA$8</definedName>
    <definedName name="Std2ColFNoCount" localSheetId="26">'IWP25'!$AA$8</definedName>
    <definedName name="Std2ColFNoCount" localSheetId="27">'IWP26'!$AA$8</definedName>
    <definedName name="Std2ColFNoCount" localSheetId="28">'IWP27'!$AA$8</definedName>
    <definedName name="Std2ColFNoCount" localSheetId="29">'IWP28'!$AA$8</definedName>
    <definedName name="Std2ColFNoCount" localSheetId="30">'IWP29'!$AA$8</definedName>
    <definedName name="Std2ColFNoCount" localSheetId="31">'IWP30'!$AA$8</definedName>
    <definedName name="Std2ColFNoCount">'IWP01'!$AA$8</definedName>
    <definedName name="Std2ColFQCount" localSheetId="3">'IWP02'!$AA$10</definedName>
    <definedName name="Std2ColFQCount" localSheetId="4">'IWP03'!$AA$10</definedName>
    <definedName name="Std2ColFQCount" localSheetId="5">'IWP04'!$AA$10</definedName>
    <definedName name="Std2ColFQCount" localSheetId="6">'IWP05'!$AA$10</definedName>
    <definedName name="Std2ColFQCount" localSheetId="7">'IWP06'!$AA$10</definedName>
    <definedName name="Std2ColFQCount" localSheetId="8">'IWP07'!$AA$10</definedName>
    <definedName name="Std2ColFQCount" localSheetId="9">'IWP08'!$AA$10</definedName>
    <definedName name="Std2ColFQCount" localSheetId="10">'IWP09'!$AA$10</definedName>
    <definedName name="Std2ColFQCount" localSheetId="11">'IWP10'!$AA$10</definedName>
    <definedName name="Std2ColFQCount" localSheetId="12">'IWP11'!$AA$10</definedName>
    <definedName name="Std2ColFQCount" localSheetId="13">'IWP12'!$AA$10</definedName>
    <definedName name="Std2ColFQCount" localSheetId="14">'IWP13'!$AA$10</definedName>
    <definedName name="Std2ColFQCount" localSheetId="15">'IWP14'!$AA$10</definedName>
    <definedName name="Std2ColFQCount" localSheetId="16">'IWP15'!$AA$10</definedName>
    <definedName name="Std2ColFQCount" localSheetId="17">'IWP16'!$AA$10</definedName>
    <definedName name="Std2ColFQCount" localSheetId="18">'IWP17'!$AA$10</definedName>
    <definedName name="Std2ColFQCount" localSheetId="19">'IWP18'!$AA$10</definedName>
    <definedName name="Std2ColFQCount" localSheetId="20">'IWP19'!$AA$10</definedName>
    <definedName name="Std2ColFQCount" localSheetId="21">'IWP20'!$AA$10</definedName>
    <definedName name="Std2ColFQCount" localSheetId="22">'IWP21'!$AA$10</definedName>
    <definedName name="Std2ColFQCount" localSheetId="23">'IWP22'!$AA$10</definedName>
    <definedName name="Std2ColFQCount" localSheetId="24">'IWP23'!$AA$10</definedName>
    <definedName name="Std2ColFQCount" localSheetId="25">'IWP24'!$AA$10</definedName>
    <definedName name="Std2ColFQCount" localSheetId="26">'IWP25'!$AA$10</definedName>
    <definedName name="Std2ColFQCount" localSheetId="27">'IWP26'!$AA$10</definedName>
    <definedName name="Std2ColFQCount" localSheetId="28">'IWP27'!$AA$10</definedName>
    <definedName name="Std2ColFQCount" localSheetId="29">'IWP28'!$AA$10</definedName>
    <definedName name="Std2ColFQCount" localSheetId="30">'IWP29'!$AA$10</definedName>
    <definedName name="Std2ColFQCount" localSheetId="31">'IWP30'!$AA$10</definedName>
    <definedName name="Std2ColFQCount">'IWP01'!$AA$10</definedName>
    <definedName name="Std2ColFYesCount" localSheetId="3">'IWP02'!$AA$83</definedName>
    <definedName name="Std2ColFYesCount" localSheetId="4">'IWP03'!$AA$83</definedName>
    <definedName name="Std2ColFYesCount" localSheetId="5">'IWP04'!$AA$83</definedName>
    <definedName name="Std2ColFYesCount" localSheetId="6">'IWP05'!$AA$83</definedName>
    <definedName name="Std2ColFYesCount" localSheetId="7">'IWP06'!$AA$83</definedName>
    <definedName name="Std2ColFYesCount" localSheetId="8">'IWP07'!$AA$83</definedName>
    <definedName name="Std2ColFYesCount" localSheetId="9">'IWP08'!$AA$83</definedName>
    <definedName name="Std2ColFYesCount" localSheetId="10">'IWP09'!$AA$83</definedName>
    <definedName name="Std2ColFYesCount" localSheetId="11">'IWP10'!$AA$83</definedName>
    <definedName name="Std2ColFYesCount" localSheetId="12">'IWP11'!$AA$83</definedName>
    <definedName name="Std2ColFYesCount" localSheetId="13">'IWP12'!$AA$83</definedName>
    <definedName name="Std2ColFYesCount" localSheetId="14">'IWP13'!$AA$83</definedName>
    <definedName name="Std2ColFYesCount" localSheetId="15">'IWP14'!$AA$83</definedName>
    <definedName name="Std2ColFYesCount" localSheetId="16">'IWP15'!$AA$83</definedName>
    <definedName name="Std2ColFYesCount" localSheetId="17">'IWP16'!$AA$83</definedName>
    <definedName name="Std2ColFYesCount" localSheetId="18">'IWP17'!$AA$83</definedName>
    <definedName name="Std2ColFYesCount" localSheetId="19">'IWP18'!$AA$83</definedName>
    <definedName name="Std2ColFYesCount" localSheetId="20">'IWP19'!$AA$83</definedName>
    <definedName name="Std2ColFYesCount" localSheetId="21">'IWP20'!$AA$83</definedName>
    <definedName name="Std2ColFYesCount" localSheetId="22">'IWP21'!$AA$83</definedName>
    <definedName name="Std2ColFYesCount" localSheetId="23">'IWP22'!$AA$83</definedName>
    <definedName name="Std2ColFYesCount" localSheetId="24">'IWP23'!$AA$83</definedName>
    <definedName name="Std2ColFYesCount" localSheetId="25">'IWP24'!$AA$83</definedName>
    <definedName name="Std2ColFYesCount" localSheetId="26">'IWP25'!$AA$83</definedName>
    <definedName name="Std2ColFYesCount" localSheetId="27">'IWP26'!$AA$83</definedName>
    <definedName name="Std2ColFYesCount" localSheetId="28">'IWP27'!$AA$83</definedName>
    <definedName name="Std2ColFYesCount" localSheetId="29">'IWP28'!$AA$83</definedName>
    <definedName name="Std2ColFYesCount" localSheetId="30">'IWP29'!$AA$83</definedName>
    <definedName name="Std2ColFYesCount" localSheetId="31">'IWP30'!$AA$83</definedName>
    <definedName name="Std2ColFYesCount">'IWP01'!$AA$83</definedName>
    <definedName name="Std2ColFYesNACount" localSheetId="3">'IWP02'!$AA$7</definedName>
    <definedName name="Std2ColFYesNACount" localSheetId="4">'IWP03'!$AA$7</definedName>
    <definedName name="Std2ColFYesNACount" localSheetId="5">'IWP04'!$AA$7</definedName>
    <definedName name="Std2ColFYesNACount" localSheetId="6">'IWP05'!$AA$7</definedName>
    <definedName name="Std2ColFYesNACount" localSheetId="7">'IWP06'!$AA$7</definedName>
    <definedName name="Std2ColFYesNACount" localSheetId="8">'IWP07'!$AA$7</definedName>
    <definedName name="Std2ColFYesNACount" localSheetId="9">'IWP08'!$AA$7</definedName>
    <definedName name="Std2ColFYesNACount" localSheetId="10">'IWP09'!$AA$7</definedName>
    <definedName name="Std2ColFYesNACount" localSheetId="11">'IWP10'!$AA$7</definedName>
    <definedName name="Std2ColFYesNACount" localSheetId="12">'IWP11'!$AA$7</definedName>
    <definedName name="Std2ColFYesNACount" localSheetId="13">'IWP12'!$AA$7</definedName>
    <definedName name="Std2ColFYesNACount" localSheetId="14">'IWP13'!$AA$7</definedName>
    <definedName name="Std2ColFYesNACount" localSheetId="15">'IWP14'!$AA$7</definedName>
    <definedName name="Std2ColFYesNACount" localSheetId="16">'IWP15'!$AA$7</definedName>
    <definedName name="Std2ColFYesNACount" localSheetId="17">'IWP16'!$AA$7</definedName>
    <definedName name="Std2ColFYesNACount" localSheetId="18">'IWP17'!$AA$7</definedName>
    <definedName name="Std2ColFYesNACount" localSheetId="19">'IWP18'!$AA$7</definedName>
    <definedName name="Std2ColFYesNACount" localSheetId="20">'IWP19'!$AA$7</definedName>
    <definedName name="Std2ColFYesNACount" localSheetId="21">'IWP20'!$AA$7</definedName>
    <definedName name="Std2ColFYesNACount" localSheetId="22">'IWP21'!$AA$7</definedName>
    <definedName name="Std2ColFYesNACount" localSheetId="23">'IWP22'!$AA$7</definedName>
    <definedName name="Std2ColFYesNACount" localSheetId="24">'IWP23'!$AA$7</definedName>
    <definedName name="Std2ColFYesNACount" localSheetId="25">'IWP24'!$AA$7</definedName>
    <definedName name="Std2ColFYesNACount" localSheetId="26">'IWP25'!$AA$7</definedName>
    <definedName name="Std2ColFYesNACount" localSheetId="27">'IWP26'!$AA$7</definedName>
    <definedName name="Std2ColFYesNACount" localSheetId="28">'IWP27'!$AA$7</definedName>
    <definedName name="Std2ColFYesNACount" localSheetId="29">'IWP28'!$AA$7</definedName>
    <definedName name="Std2ColFYesNACount" localSheetId="30">'IWP29'!$AA$7</definedName>
    <definedName name="Std2ColFYesNACount" localSheetId="31">'IWP30'!$AA$7</definedName>
    <definedName name="Std2ColFYesNACount">'IWP01'!$AA$7</definedName>
    <definedName name="Std2ColGHIAllNA" localSheetId="3">'IWP02'!$AD$7</definedName>
    <definedName name="Std2ColGHIAllNA" localSheetId="4">'IWP03'!$AD$7</definedName>
    <definedName name="Std2ColGHIAllNA" localSheetId="5">'IWP04'!$AD$7</definedName>
    <definedName name="Std2ColGHIAllNA" localSheetId="6">'IWP05'!$AD$7</definedName>
    <definedName name="Std2ColGHIAllNA" localSheetId="7">'IWP06'!$AD$7</definedName>
    <definedName name="Std2ColGHIAllNA" localSheetId="8">'IWP07'!$AD$7</definedName>
    <definedName name="Std2ColGHIAllNA" localSheetId="9">'IWP08'!$AD$7</definedName>
    <definedName name="Std2ColGHIAllNA" localSheetId="10">'IWP09'!$AD$7</definedName>
    <definedName name="Std2ColGHIAllNA" localSheetId="11">'IWP10'!$AD$7</definedName>
    <definedName name="Std2ColGHIAllNA" localSheetId="12">'IWP11'!$AD$7</definedName>
    <definedName name="Std2ColGHIAllNA" localSheetId="13">'IWP12'!$AD$7</definedName>
    <definedName name="Std2ColGHIAllNA" localSheetId="14">'IWP13'!$AD$7</definedName>
    <definedName name="Std2ColGHIAllNA" localSheetId="15">'IWP14'!$AD$7</definedName>
    <definedName name="Std2ColGHIAllNA" localSheetId="16">'IWP15'!$AD$7</definedName>
    <definedName name="Std2ColGHIAllNA" localSheetId="17">'IWP16'!$AD$7</definedName>
    <definedName name="Std2ColGHIAllNA" localSheetId="18">'IWP17'!$AD$7</definedName>
    <definedName name="Std2ColGHIAllNA" localSheetId="19">'IWP18'!$AD$7</definedName>
    <definedName name="Std2ColGHIAllNA" localSheetId="20">'IWP19'!$AD$7</definedName>
    <definedName name="Std2ColGHIAllNA" localSheetId="21">'IWP20'!$AD$7</definedName>
    <definedName name="Std2ColGHIAllNA" localSheetId="22">'IWP21'!$AD$7</definedName>
    <definedName name="Std2ColGHIAllNA" localSheetId="23">'IWP22'!$AD$7</definedName>
    <definedName name="Std2ColGHIAllNA" localSheetId="24">'IWP23'!$AD$7</definedName>
    <definedName name="Std2ColGHIAllNA" localSheetId="25">'IWP24'!$AD$7</definedName>
    <definedName name="Std2ColGHIAllNA" localSheetId="26">'IWP25'!$AD$7</definedName>
    <definedName name="Std2ColGHIAllNA" localSheetId="27">'IWP26'!$AD$7</definedName>
    <definedName name="Std2ColGHIAllNA" localSheetId="28">'IWP27'!$AD$7</definedName>
    <definedName name="Std2ColGHIAllNA" localSheetId="29">'IWP28'!$AD$7</definedName>
    <definedName name="Std2ColGHIAllNA" localSheetId="30">'IWP29'!$AD$7</definedName>
    <definedName name="Std2ColGHIAllNA" localSheetId="31">'IWP30'!$AD$7</definedName>
    <definedName name="Std2ColGHIAllNA">'IWP01'!$AD$7</definedName>
    <definedName name="Std2ColGHIAnyN" localSheetId="3">'IWP02'!$AD$83</definedName>
    <definedName name="Std2ColGHIAnyN" localSheetId="4">'IWP03'!$AD$83</definedName>
    <definedName name="Std2ColGHIAnyN" localSheetId="5">'IWP04'!$AD$83</definedName>
    <definedName name="Std2ColGHIAnyN" localSheetId="6">'IWP05'!$AD$83</definedName>
    <definedName name="Std2ColGHIAnyN" localSheetId="7">'IWP06'!$AD$83</definedName>
    <definedName name="Std2ColGHIAnyN" localSheetId="8">'IWP07'!$AD$83</definedName>
    <definedName name="Std2ColGHIAnyN" localSheetId="9">'IWP08'!$AD$83</definedName>
    <definedName name="Std2ColGHIAnyN" localSheetId="10">'IWP09'!$AD$83</definedName>
    <definedName name="Std2ColGHIAnyN" localSheetId="11">'IWP10'!$AD$83</definedName>
    <definedName name="Std2ColGHIAnyN" localSheetId="12">'IWP11'!$AD$83</definedName>
    <definedName name="Std2ColGHIAnyN" localSheetId="13">'IWP12'!$AD$83</definedName>
    <definedName name="Std2ColGHIAnyN" localSheetId="14">'IWP13'!$AD$83</definedName>
    <definedName name="Std2ColGHIAnyN" localSheetId="15">'IWP14'!$AD$83</definedName>
    <definedName name="Std2ColGHIAnyN" localSheetId="16">'IWP15'!$AD$83</definedName>
    <definedName name="Std2ColGHIAnyN" localSheetId="17">'IWP16'!$AD$83</definedName>
    <definedName name="Std2ColGHIAnyN" localSheetId="18">'IWP17'!$AD$83</definedName>
    <definedName name="Std2ColGHIAnyN" localSheetId="19">'IWP18'!$AD$83</definedName>
    <definedName name="Std2ColGHIAnyN" localSheetId="20">'IWP19'!$AD$83</definedName>
    <definedName name="Std2ColGHIAnyN" localSheetId="21">'IWP20'!$AD$83</definedName>
    <definedName name="Std2ColGHIAnyN" localSheetId="22">'IWP21'!$AD$83</definedName>
    <definedName name="Std2ColGHIAnyN" localSheetId="23">'IWP22'!$AD$83</definedName>
    <definedName name="Std2ColGHIAnyN" localSheetId="24">'IWP23'!$AD$83</definedName>
    <definedName name="Std2ColGHIAnyN" localSheetId="25">'IWP24'!$AD$83</definedName>
    <definedName name="Std2ColGHIAnyN" localSheetId="26">'IWP25'!$AD$83</definedName>
    <definedName name="Std2ColGHIAnyN" localSheetId="27">'IWP26'!$AD$83</definedName>
    <definedName name="Std2ColGHIAnyN" localSheetId="28">'IWP27'!$AD$83</definedName>
    <definedName name="Std2ColGHIAnyN" localSheetId="29">'IWP28'!$AD$83</definedName>
    <definedName name="Std2ColGHIAnyN" localSheetId="30">'IWP29'!$AD$83</definedName>
    <definedName name="Std2ColGHIAnyN" localSheetId="31">'IWP30'!$AD$83</definedName>
    <definedName name="Std2ColGHIAnyN">'IWP01'!$AD$83</definedName>
    <definedName name="Std2ColGHIAtLeastOneYRestNA" localSheetId="3">'IWP02'!$AD$8</definedName>
    <definedName name="Std2ColGHIAtLeastOneYRestNA" localSheetId="4">'IWP03'!$AD$8</definedName>
    <definedName name="Std2ColGHIAtLeastOneYRestNA" localSheetId="5">'IWP04'!$AD$8</definedName>
    <definedName name="Std2ColGHIAtLeastOneYRestNA" localSheetId="6">'IWP05'!$AD$8</definedName>
    <definedName name="Std2ColGHIAtLeastOneYRestNA" localSheetId="7">'IWP06'!$AD$8</definedName>
    <definedName name="Std2ColGHIAtLeastOneYRestNA" localSheetId="8">'IWP07'!$AD$8</definedName>
    <definedName name="Std2ColGHIAtLeastOneYRestNA" localSheetId="9">'IWP08'!$AD$8</definedName>
    <definedName name="Std2ColGHIAtLeastOneYRestNA" localSheetId="10">'IWP09'!$AD$8</definedName>
    <definedName name="Std2ColGHIAtLeastOneYRestNA" localSheetId="11">'IWP10'!$AD$8</definedName>
    <definedName name="Std2ColGHIAtLeastOneYRestNA" localSheetId="12">'IWP11'!$AD$8</definedName>
    <definedName name="Std2ColGHIAtLeastOneYRestNA" localSheetId="13">'IWP12'!$AD$8</definedName>
    <definedName name="Std2ColGHIAtLeastOneYRestNA" localSheetId="14">'IWP13'!$AD$8</definedName>
    <definedName name="Std2ColGHIAtLeastOneYRestNA" localSheetId="15">'IWP14'!$AD$8</definedName>
    <definedName name="Std2ColGHIAtLeastOneYRestNA" localSheetId="16">'IWP15'!$AD$8</definedName>
    <definedName name="Std2ColGHIAtLeastOneYRestNA" localSheetId="17">'IWP16'!$AD$8</definedName>
    <definedName name="Std2ColGHIAtLeastOneYRestNA" localSheetId="18">'IWP17'!$AD$8</definedName>
    <definedName name="Std2ColGHIAtLeastOneYRestNA" localSheetId="19">'IWP18'!$AD$8</definedName>
    <definedName name="Std2ColGHIAtLeastOneYRestNA" localSheetId="20">'IWP19'!$AD$8</definedName>
    <definedName name="Std2ColGHIAtLeastOneYRestNA" localSheetId="21">'IWP20'!$AD$8</definedName>
    <definedName name="Std2ColGHIAtLeastOneYRestNA" localSheetId="22">'IWP21'!$AD$8</definedName>
    <definedName name="Std2ColGHIAtLeastOneYRestNA" localSheetId="23">'IWP22'!$AD$8</definedName>
    <definedName name="Std2ColGHIAtLeastOneYRestNA" localSheetId="24">'IWP23'!$AD$8</definedName>
    <definedName name="Std2ColGHIAtLeastOneYRestNA" localSheetId="25">'IWP24'!$AD$8</definedName>
    <definedName name="Std2ColGHIAtLeastOneYRestNA" localSheetId="26">'IWP25'!$AD$8</definedName>
    <definedName name="Std2ColGHIAtLeastOneYRestNA" localSheetId="27">'IWP26'!$AD$8</definedName>
    <definedName name="Std2ColGHIAtLeastOneYRestNA" localSheetId="28">'IWP27'!$AD$8</definedName>
    <definedName name="Std2ColGHIAtLeastOneYRestNA" localSheetId="29">'IWP28'!$AD$8</definedName>
    <definedName name="Std2ColGHIAtLeastOneYRestNA" localSheetId="30">'IWP29'!$AD$8</definedName>
    <definedName name="Std2ColGHIAtLeastOneYRestNA" localSheetId="31">'IWP30'!$AD$8</definedName>
    <definedName name="Std2ColGHIAtLeastOneYRestNA">'IWP01'!$AD$8</definedName>
    <definedName name="Std2ColGHIBlanks" localSheetId="3">'IWP02'!$AD$82</definedName>
    <definedName name="Std2ColGHIBlanks" localSheetId="4">'IWP03'!$AD$82</definedName>
    <definedName name="Std2ColGHIBlanks" localSheetId="5">'IWP04'!$AD$82</definedName>
    <definedName name="Std2ColGHIBlanks" localSheetId="6">'IWP05'!$AD$82</definedName>
    <definedName name="Std2ColGHIBlanks" localSheetId="7">'IWP06'!$AD$82</definedName>
    <definedName name="Std2ColGHIBlanks" localSheetId="8">'IWP07'!$AD$82</definedName>
    <definedName name="Std2ColGHIBlanks" localSheetId="9">'IWP08'!$AD$82</definedName>
    <definedName name="Std2ColGHIBlanks" localSheetId="10">'IWP09'!$AD$82</definedName>
    <definedName name="Std2ColGHIBlanks" localSheetId="11">'IWP10'!$AD$82</definedName>
    <definedName name="Std2ColGHIBlanks" localSheetId="12">'IWP11'!$AD$82</definedName>
    <definedName name="Std2ColGHIBlanks" localSheetId="13">'IWP12'!$AD$82</definedName>
    <definedName name="Std2ColGHIBlanks" localSheetId="14">'IWP13'!$AD$82</definedName>
    <definedName name="Std2ColGHIBlanks" localSheetId="15">'IWP14'!$AD$82</definedName>
    <definedName name="Std2ColGHIBlanks" localSheetId="16">'IWP15'!$AD$82</definedName>
    <definedName name="Std2ColGHIBlanks" localSheetId="17">'IWP16'!$AD$82</definedName>
    <definedName name="Std2ColGHIBlanks" localSheetId="18">'IWP17'!$AD$82</definedName>
    <definedName name="Std2ColGHIBlanks" localSheetId="19">'IWP18'!$AD$82</definedName>
    <definedName name="Std2ColGHIBlanks" localSheetId="20">'IWP19'!$AD$82</definedName>
    <definedName name="Std2ColGHIBlanks" localSheetId="21">'IWP20'!$AD$82</definedName>
    <definedName name="Std2ColGHIBlanks" localSheetId="22">'IWP21'!$AD$82</definedName>
    <definedName name="Std2ColGHIBlanks" localSheetId="23">'IWP22'!$AD$82</definedName>
    <definedName name="Std2ColGHIBlanks" localSheetId="24">'IWP23'!$AD$82</definedName>
    <definedName name="Std2ColGHIBlanks" localSheetId="25">'IWP24'!$AD$82</definedName>
    <definedName name="Std2ColGHIBlanks" localSheetId="26">'IWP25'!$AD$82</definedName>
    <definedName name="Std2ColGHIBlanks" localSheetId="27">'IWP26'!$AD$82</definedName>
    <definedName name="Std2ColGHIBlanks" localSheetId="28">'IWP27'!$AD$82</definedName>
    <definedName name="Std2ColGHIBlanks" localSheetId="29">'IWP28'!$AD$82</definedName>
    <definedName name="Std2ColGHIBlanks" localSheetId="30">'IWP29'!$AD$82</definedName>
    <definedName name="Std2ColGHIBlanks" localSheetId="31">'IWP30'!$AD$82</definedName>
    <definedName name="Std2ColGHIBlanks">'IWP01'!$AD$82</definedName>
    <definedName name="Std2ColGHIECount" localSheetId="3">'IWP02'!$AD$9</definedName>
    <definedName name="Std2ColGHIECount" localSheetId="4">'IWP03'!$AD$9</definedName>
    <definedName name="Std2ColGHIECount" localSheetId="5">'IWP04'!$AD$9</definedName>
    <definedName name="Std2ColGHIECount" localSheetId="6">'IWP05'!$AD$9</definedName>
    <definedName name="Std2ColGHIECount" localSheetId="7">'IWP06'!$AD$9</definedName>
    <definedName name="Std2ColGHIECount" localSheetId="8">'IWP07'!$AD$9</definedName>
    <definedName name="Std2ColGHIECount" localSheetId="9">'IWP08'!$AD$9</definedName>
    <definedName name="Std2ColGHIECount" localSheetId="10">'IWP09'!$AD$9</definedName>
    <definedName name="Std2ColGHIECount" localSheetId="11">'IWP10'!$AD$9</definedName>
    <definedName name="Std2ColGHIECount" localSheetId="12">'IWP11'!$AD$9</definedName>
    <definedName name="Std2ColGHIECount" localSheetId="13">'IWP12'!$AD$9</definedName>
    <definedName name="Std2ColGHIECount" localSheetId="14">'IWP13'!$AD$9</definedName>
    <definedName name="Std2ColGHIECount" localSheetId="15">'IWP14'!$AD$9</definedName>
    <definedName name="Std2ColGHIECount" localSheetId="16">'IWP15'!$AD$9</definedName>
    <definedName name="Std2ColGHIECount" localSheetId="17">'IWP16'!$AD$9</definedName>
    <definedName name="Std2ColGHIECount" localSheetId="18">'IWP17'!$AD$9</definedName>
    <definedName name="Std2ColGHIECount" localSheetId="19">'IWP18'!$AD$9</definedName>
    <definedName name="Std2ColGHIECount" localSheetId="20">'IWP19'!$AD$9</definedName>
    <definedName name="Std2ColGHIECount" localSheetId="21">'IWP20'!$AD$9</definedName>
    <definedName name="Std2ColGHIECount" localSheetId="22">'IWP21'!$AD$9</definedName>
    <definedName name="Std2ColGHIECount" localSheetId="23">'IWP22'!$AD$9</definedName>
    <definedName name="Std2ColGHIECount" localSheetId="24">'IWP23'!$AD$9</definedName>
    <definedName name="Std2ColGHIECount" localSheetId="25">'IWP24'!$AD$9</definedName>
    <definedName name="Std2ColGHIECount" localSheetId="26">'IWP25'!$AD$9</definedName>
    <definedName name="Std2ColGHIECount" localSheetId="27">'IWP26'!$AD$9</definedName>
    <definedName name="Std2ColGHIECount" localSheetId="28">'IWP27'!$AD$9</definedName>
    <definedName name="Std2ColGHIECount" localSheetId="29">'IWP28'!$AD$9</definedName>
    <definedName name="Std2ColGHIECount" localSheetId="30">'IWP29'!$AD$9</definedName>
    <definedName name="Std2ColGHIECount" localSheetId="31">'IWP30'!$AD$9</definedName>
    <definedName name="Std2ColGHIECount">'IWP01'!$AD$9</definedName>
    <definedName name="Std2ColGHIQCount" localSheetId="3">'IWP02'!$AD$10</definedName>
    <definedName name="Std2ColGHIQCount" localSheetId="4">'IWP03'!$AD$10</definedName>
    <definedName name="Std2ColGHIQCount" localSheetId="5">'IWP04'!$AD$10</definedName>
    <definedName name="Std2ColGHIQCount" localSheetId="6">'IWP05'!$AD$10</definedName>
    <definedName name="Std2ColGHIQCount" localSheetId="7">'IWP06'!$AD$10</definedName>
    <definedName name="Std2ColGHIQCount" localSheetId="8">'IWP07'!$AD$10</definedName>
    <definedName name="Std2ColGHIQCount" localSheetId="9">'IWP08'!$AD$10</definedName>
    <definedName name="Std2ColGHIQCount" localSheetId="10">'IWP09'!$AD$10</definedName>
    <definedName name="Std2ColGHIQCount" localSheetId="11">'IWP10'!$AD$10</definedName>
    <definedName name="Std2ColGHIQCount" localSheetId="12">'IWP11'!$AD$10</definedName>
    <definedName name="Std2ColGHIQCount" localSheetId="13">'IWP12'!$AD$10</definedName>
    <definedName name="Std2ColGHIQCount" localSheetId="14">'IWP13'!$AD$10</definedName>
    <definedName name="Std2ColGHIQCount" localSheetId="15">'IWP14'!$AD$10</definedName>
    <definedName name="Std2ColGHIQCount" localSheetId="16">'IWP15'!$AD$10</definedName>
    <definedName name="Std2ColGHIQCount" localSheetId="17">'IWP16'!$AD$10</definedName>
    <definedName name="Std2ColGHIQCount" localSheetId="18">'IWP17'!$AD$10</definedName>
    <definedName name="Std2ColGHIQCount" localSheetId="19">'IWP18'!$AD$10</definedName>
    <definedName name="Std2ColGHIQCount" localSheetId="20">'IWP19'!$AD$10</definedName>
    <definedName name="Std2ColGHIQCount" localSheetId="21">'IWP20'!$AD$10</definedName>
    <definedName name="Std2ColGHIQCount" localSheetId="22">'IWP21'!$AD$10</definedName>
    <definedName name="Std2ColGHIQCount" localSheetId="23">'IWP22'!$AD$10</definedName>
    <definedName name="Std2ColGHIQCount" localSheetId="24">'IWP23'!$AD$10</definedName>
    <definedName name="Std2ColGHIQCount" localSheetId="25">'IWP24'!$AD$10</definedName>
    <definedName name="Std2ColGHIQCount" localSheetId="26">'IWP25'!$AD$10</definedName>
    <definedName name="Std2ColGHIQCount" localSheetId="27">'IWP26'!$AD$10</definedName>
    <definedName name="Std2ColGHIQCount" localSheetId="28">'IWP27'!$AD$10</definedName>
    <definedName name="Std2ColGHIQCount" localSheetId="29">'IWP28'!$AD$10</definedName>
    <definedName name="Std2ColGHIQCount" localSheetId="30">'IWP29'!$AD$10</definedName>
    <definedName name="Std2ColGHIQCount" localSheetId="31">'IWP30'!$AD$10</definedName>
    <definedName name="Std2ColGHIQCount">'IWP01'!$AD$10</definedName>
    <definedName name="Std2dot1" localSheetId="2">'IWP01'!$K$84</definedName>
    <definedName name="Std2dot1" localSheetId="3">'IWP02'!$K$84</definedName>
    <definedName name="Std2dot1" localSheetId="4">'IWP03'!$K$84</definedName>
    <definedName name="Std2dot1" localSheetId="5">'IWP04'!$K$84</definedName>
    <definedName name="Std2dot1" localSheetId="6">'IWP05'!$K$84</definedName>
    <definedName name="Std2dot1" localSheetId="7">'IWP06'!$K$84</definedName>
    <definedName name="Std2dot1" localSheetId="8">'IWP07'!$K$84</definedName>
    <definedName name="Std2dot1" localSheetId="9">'IWP08'!$K$84</definedName>
    <definedName name="Std2dot1" localSheetId="10">'IWP09'!$K$84</definedName>
    <definedName name="Std2dot1" localSheetId="11">'IWP10'!$K$84</definedName>
    <definedName name="Std2dot1" localSheetId="12">'IWP11'!$K$84</definedName>
    <definedName name="Std2dot1" localSheetId="13">'IWP12'!$K$84</definedName>
    <definedName name="Std2dot1" localSheetId="14">'IWP13'!$K$84</definedName>
    <definedName name="Std2dot1" localSheetId="15">'IWP14'!$K$84</definedName>
    <definedName name="Std2dot1" localSheetId="16">'IWP15'!$K$84</definedName>
    <definedName name="Std2dot1" localSheetId="17">'IWP16'!$K$84</definedName>
    <definedName name="Std2dot1" localSheetId="18">'IWP17'!$K$84</definedName>
    <definedName name="Std2dot1" localSheetId="19">'IWP18'!$K$84</definedName>
    <definedName name="Std2dot1" localSheetId="20">'IWP19'!$K$84</definedName>
    <definedName name="Std2dot1" localSheetId="21">'IWP20'!$K$84</definedName>
    <definedName name="Std2dot1" localSheetId="22">'IWP21'!$K$84</definedName>
    <definedName name="Std2dot1" localSheetId="23">'IWP22'!$K$84</definedName>
    <definedName name="Std2dot1" localSheetId="24">'IWP23'!$K$84</definedName>
    <definedName name="Std2dot1" localSheetId="25">'IWP24'!$K$84</definedName>
    <definedName name="Std2dot1" localSheetId="26">'IWP25'!$K$84</definedName>
    <definedName name="Std2dot1" localSheetId="27">'IWP26'!$K$84</definedName>
    <definedName name="Std2dot1" localSheetId="28">'IWP27'!$K$84</definedName>
    <definedName name="Std2dot1" localSheetId="29">'IWP28'!$K$84</definedName>
    <definedName name="Std2dot1" localSheetId="30">'IWP29'!$K$84</definedName>
    <definedName name="Std2dot1" localSheetId="31">'IWP30'!$K$84</definedName>
    <definedName name="Std2dot2" localSheetId="2">'IWP01'!$K$88</definedName>
    <definedName name="Std2dot2" localSheetId="3">'IWP02'!$K$88</definedName>
    <definedName name="Std2dot2" localSheetId="4">'IWP03'!$K$88</definedName>
    <definedName name="Std2dot2" localSheetId="5">'IWP04'!$K$88</definedName>
    <definedName name="Std2dot2" localSheetId="6">'IWP05'!$K$88</definedName>
    <definedName name="Std2dot2" localSheetId="7">'IWP06'!$K$88</definedName>
    <definedName name="Std2dot2" localSheetId="8">'IWP07'!$K$88</definedName>
    <definedName name="Std2dot2" localSheetId="9">'IWP08'!$K$88</definedName>
    <definedName name="Std2dot2" localSheetId="10">'IWP09'!$K$88</definedName>
    <definedName name="Std2dot2" localSheetId="11">'IWP10'!$K$88</definedName>
    <definedName name="Std2dot2" localSheetId="12">'IWP11'!$K$88</definedName>
    <definedName name="Std2dot2" localSheetId="13">'IWP12'!$K$88</definedName>
    <definedName name="Std2dot2" localSheetId="14">'IWP13'!$K$88</definedName>
    <definedName name="Std2dot2" localSheetId="15">'IWP14'!$K$88</definedName>
    <definedName name="Std2dot2" localSheetId="16">'IWP15'!$K$88</definedName>
    <definedName name="Std2dot2" localSheetId="17">'IWP16'!$K$88</definedName>
    <definedName name="Std2dot2" localSheetId="18">'IWP17'!$K$88</definedName>
    <definedName name="Std2dot2" localSheetId="19">'IWP18'!$K$88</definedName>
    <definedName name="Std2dot2" localSheetId="20">'IWP19'!$K$88</definedName>
    <definedName name="Std2dot2" localSheetId="21">'IWP20'!$K$88</definedName>
    <definedName name="Std2dot2" localSheetId="22">'IWP21'!$K$88</definedName>
    <definedName name="Std2dot2" localSheetId="23">'IWP22'!$K$88</definedName>
    <definedName name="Std2dot2" localSheetId="24">'IWP23'!$K$88</definedName>
    <definedName name="Std2dot2" localSheetId="25">'IWP24'!$K$88</definedName>
    <definedName name="Std2dot2" localSheetId="26">'IWP25'!$K$88</definedName>
    <definedName name="Std2dot2" localSheetId="27">'IWP26'!$K$88</definedName>
    <definedName name="Std2dot2" localSheetId="28">'IWP27'!$K$88</definedName>
    <definedName name="Std2dot2" localSheetId="29">'IWP28'!$K$88</definedName>
    <definedName name="Std2dot2" localSheetId="30">'IWP29'!$K$88</definedName>
    <definedName name="Std2dot2" localSheetId="31">'IWP30'!$K$88</definedName>
    <definedName name="Std2dot3" localSheetId="2">'IWP01'!$K$89</definedName>
    <definedName name="Std2dot3" localSheetId="3">'IWP02'!$K$89</definedName>
    <definedName name="Std2dot3" localSheetId="4">'IWP03'!$K$89</definedName>
    <definedName name="Std2dot3" localSheetId="5">'IWP04'!$K$89</definedName>
    <definedName name="Std2dot3" localSheetId="6">'IWP05'!$K$89</definedName>
    <definedName name="Std2dot3" localSheetId="7">'IWP06'!$K$89</definedName>
    <definedName name="Std2dot3" localSheetId="8">'IWP07'!$K$89</definedName>
    <definedName name="Std2dot3" localSheetId="9">'IWP08'!$K$89</definedName>
    <definedName name="Std2dot3" localSheetId="10">'IWP09'!$K$89</definedName>
    <definedName name="Std2dot3" localSheetId="11">'IWP10'!$K$89</definedName>
    <definedName name="Std2dot3" localSheetId="12">'IWP11'!$K$89</definedName>
    <definedName name="Std2dot3" localSheetId="13">'IWP12'!$K$89</definedName>
    <definedName name="Std2dot3" localSheetId="14">'IWP13'!$K$89</definedName>
    <definedName name="Std2dot3" localSheetId="15">'IWP14'!$K$89</definedName>
    <definedName name="Std2dot3" localSheetId="16">'IWP15'!$K$89</definedName>
    <definedName name="Std2dot3" localSheetId="17">'IWP16'!$K$89</definedName>
    <definedName name="Std2dot3" localSheetId="18">'IWP17'!$K$89</definedName>
    <definedName name="Std2dot3" localSheetId="19">'IWP18'!$K$89</definedName>
    <definedName name="Std2dot3" localSheetId="20">'IWP19'!$K$89</definedName>
    <definedName name="Std2dot3" localSheetId="21">'IWP20'!$K$89</definedName>
    <definedName name="Std2dot3" localSheetId="22">'IWP21'!$K$89</definedName>
    <definedName name="Std2dot3" localSheetId="23">'IWP22'!$K$89</definedName>
    <definedName name="Std2dot3" localSheetId="24">'IWP23'!$K$89</definedName>
    <definedName name="Std2dot3" localSheetId="25">'IWP24'!$K$89</definedName>
    <definedName name="Std2dot3" localSheetId="26">'IWP25'!$K$89</definedName>
    <definedName name="Std2dot3" localSheetId="27">'IWP26'!$K$89</definedName>
    <definedName name="Std2dot3" localSheetId="28">'IWP27'!$K$89</definedName>
    <definedName name="Std2dot3" localSheetId="29">'IWP28'!$K$89</definedName>
    <definedName name="Std2dot3" localSheetId="30">'IWP29'!$K$89</definedName>
    <definedName name="Std2dot3" localSheetId="31">'IWP30'!$K$89</definedName>
    <definedName name="Std2dot4" localSheetId="2">'IWP01'!$K$90</definedName>
    <definedName name="Std2dot4" localSheetId="3">'IWP02'!$K$90</definedName>
    <definedName name="Std2dot4" localSheetId="4">'IWP03'!$K$90</definedName>
    <definedName name="Std2dot4" localSheetId="5">'IWP04'!$K$90</definedName>
    <definedName name="Std2dot4" localSheetId="6">'IWP05'!$K$90</definedName>
    <definedName name="Std2dot4" localSheetId="7">'IWP06'!$K$90</definedName>
    <definedName name="Std2dot4" localSheetId="8">'IWP07'!$K$90</definedName>
    <definedName name="Std2dot4" localSheetId="9">'IWP08'!$K$90</definedName>
    <definedName name="Std2dot4" localSheetId="10">'IWP09'!$K$90</definedName>
    <definedName name="Std2dot4" localSheetId="11">'IWP10'!$K$90</definedName>
    <definedName name="Std2dot4" localSheetId="12">'IWP11'!$K$90</definedName>
    <definedName name="Std2dot4" localSheetId="13">'IWP12'!$K$90</definedName>
    <definedName name="Std2dot4" localSheetId="14">'IWP13'!$K$90</definedName>
    <definedName name="Std2dot4" localSheetId="15">'IWP14'!$K$90</definedName>
    <definedName name="Std2dot4" localSheetId="16">'IWP15'!$K$90</definedName>
    <definedName name="Std2dot4" localSheetId="17">'IWP16'!$K$90</definedName>
    <definedName name="Std2dot4" localSheetId="18">'IWP17'!$K$90</definedName>
    <definedName name="Std2dot4" localSheetId="19">'IWP18'!$K$90</definedName>
    <definedName name="Std2dot4" localSheetId="20">'IWP19'!$K$90</definedName>
    <definedName name="Std2dot4" localSheetId="21">'IWP20'!$K$90</definedName>
    <definedName name="Std2dot4" localSheetId="22">'IWP21'!$K$90</definedName>
    <definedName name="Std2dot4" localSheetId="23">'IWP22'!$K$90</definedName>
    <definedName name="Std2dot4" localSheetId="24">'IWP23'!$K$90</definedName>
    <definedName name="Std2dot4" localSheetId="25">'IWP24'!$K$90</definedName>
    <definedName name="Std2dot4" localSheetId="26">'IWP25'!$K$90</definedName>
    <definedName name="Std2dot4" localSheetId="27">'IWP26'!$K$90</definedName>
    <definedName name="Std2dot4" localSheetId="28">'IWP27'!$K$90</definedName>
    <definedName name="Std2dot4" localSheetId="29">'IWP28'!$K$90</definedName>
    <definedName name="Std2dot4" localSheetId="30">'IWP29'!$K$90</definedName>
    <definedName name="Std2dot4" localSheetId="31">'IWP30'!$K$90</definedName>
    <definedName name="Std2NotCalc" localSheetId="2">'IWP01'!$K$8</definedName>
    <definedName name="Std2NotCalc" localSheetId="3">'IWP02'!$K$8</definedName>
    <definedName name="Std2NotCalc" localSheetId="4">'IWP03'!$K$8</definedName>
    <definedName name="Std2NotCalc" localSheetId="5">'IWP04'!$K$8</definedName>
    <definedName name="Std2NotCalc" localSheetId="6">'IWP05'!$K$8</definedName>
    <definedName name="Std2NotCalc" localSheetId="7">'IWP06'!$K$8</definedName>
    <definedName name="Std2NotCalc" localSheetId="8">'IWP07'!$K$8</definedName>
    <definedName name="Std2NotCalc" localSheetId="9">'IWP08'!$K$8</definedName>
    <definedName name="Std2NotCalc" localSheetId="10">'IWP09'!$K$8</definedName>
    <definedName name="Std2NotCalc" localSheetId="11">'IWP10'!$K$8</definedName>
    <definedName name="Std2NotCalc" localSheetId="12">'IWP11'!$K$8</definedName>
    <definedName name="Std2NotCalc" localSheetId="13">'IWP12'!$K$8</definedName>
    <definedName name="Std2NotCalc" localSheetId="14">'IWP13'!$K$8</definedName>
    <definedName name="Std2NotCalc" localSheetId="15">'IWP14'!$K$8</definedName>
    <definedName name="Std2NotCalc" localSheetId="16">'IWP15'!$K$8</definedName>
    <definedName name="Std2NotCalc" localSheetId="17">'IWP16'!$K$8</definedName>
    <definedName name="Std2NotCalc" localSheetId="18">'IWP17'!$K$8</definedName>
    <definedName name="Std2NotCalc" localSheetId="19">'IWP18'!$K$8</definedName>
    <definedName name="Std2NotCalc" localSheetId="20">'IWP19'!$K$8</definedName>
    <definedName name="Std2NotCalc" localSheetId="21">'IWP20'!$K$8</definedName>
    <definedName name="Std2NotCalc" localSheetId="22">'IWP21'!$K$8</definedName>
    <definedName name="Std2NotCalc" localSheetId="23">'IWP22'!$K$8</definedName>
    <definedName name="Std2NotCalc" localSheetId="24">'IWP23'!$K$8</definedName>
    <definedName name="Std2NotCalc" localSheetId="25">'IWP24'!$K$8</definedName>
    <definedName name="Std2NotCalc" localSheetId="26">'IWP25'!$K$8</definedName>
    <definedName name="Std2NotCalc" localSheetId="27">'IWP26'!$K$8</definedName>
    <definedName name="Std2NotCalc" localSheetId="28">'IWP27'!$K$8</definedName>
    <definedName name="Std2NotCalc" localSheetId="29">'IWP28'!$K$8</definedName>
    <definedName name="Std2NotCalc" localSheetId="30">'IWP29'!$K$8</definedName>
    <definedName name="Std2NotCalc" localSheetId="31">'IWP30'!$K$8</definedName>
    <definedName name="Std3dot1" localSheetId="2">'IWP01'!$K$121</definedName>
    <definedName name="Std3dot1" localSheetId="3">'IWP02'!$K$121</definedName>
    <definedName name="Std3dot1" localSheetId="4">'IWP03'!$K$121</definedName>
    <definedName name="Std3dot1" localSheetId="5">'IWP04'!$K$121</definedName>
    <definedName name="Std3dot1" localSheetId="6">'IWP05'!$K$121</definedName>
    <definedName name="Std3dot1" localSheetId="7">'IWP06'!$K$121</definedName>
    <definedName name="Std3dot1" localSheetId="8">'IWP07'!$K$121</definedName>
    <definedName name="Std3dot1" localSheetId="9">'IWP08'!$K$121</definedName>
    <definedName name="Std3dot1" localSheetId="10">'IWP09'!$K$121</definedName>
    <definedName name="Std3dot1" localSheetId="11">'IWP10'!$K$121</definedName>
    <definedName name="Std3dot1" localSheetId="12">'IWP11'!$K$121</definedName>
    <definedName name="Std3dot1" localSheetId="13">'IWP12'!$K$121</definedName>
    <definedName name="Std3dot1" localSheetId="14">'IWP13'!$K$121</definedName>
    <definedName name="Std3dot1" localSheetId="15">'IWP14'!$K$121</definedName>
    <definedName name="Std3dot1" localSheetId="16">'IWP15'!$K$121</definedName>
    <definedName name="Std3dot1" localSheetId="17">'IWP16'!$K$121</definedName>
    <definedName name="Std3dot1" localSheetId="18">'IWP17'!$K$121</definedName>
    <definedName name="Std3dot1" localSheetId="19">'IWP18'!$K$121</definedName>
    <definedName name="Std3dot1" localSheetId="20">'IWP19'!$K$121</definedName>
    <definedName name="Std3dot1" localSheetId="21">'IWP20'!$K$121</definedName>
    <definedName name="Std3dot1" localSheetId="22">'IWP21'!$K$121</definedName>
    <definedName name="Std3dot1" localSheetId="23">'IWP22'!$K$121</definedName>
    <definedName name="Std3dot1" localSheetId="24">'IWP23'!$K$121</definedName>
    <definedName name="Std3dot1" localSheetId="25">'IWP24'!$K$121</definedName>
    <definedName name="Std3dot1" localSheetId="26">'IWP25'!$K$121</definedName>
    <definedName name="Std3dot1" localSheetId="27">'IWP26'!$K$121</definedName>
    <definedName name="Std3dot1" localSheetId="28">'IWP27'!$K$121</definedName>
    <definedName name="Std3dot1" localSheetId="29">'IWP28'!$K$121</definedName>
    <definedName name="Std3dot1" localSheetId="30">'IWP29'!$K$121</definedName>
    <definedName name="Std3dot1" localSheetId="31">'IWP30'!$K$121</definedName>
    <definedName name="Std3dot2" localSheetId="2">'IWP01'!$K$122</definedName>
    <definedName name="Std3dot2" localSheetId="3">'IWP02'!$K$122</definedName>
    <definedName name="Std3dot2" localSheetId="4">'IWP03'!$K$122</definedName>
    <definedName name="Std3dot2" localSheetId="5">'IWP04'!$K$122</definedName>
    <definedName name="Std3dot2" localSheetId="6">'IWP05'!$K$122</definedName>
    <definedName name="Std3dot2" localSheetId="7">'IWP06'!$K$122</definedName>
    <definedName name="Std3dot2" localSheetId="8">'IWP07'!$K$122</definedName>
    <definedName name="Std3dot2" localSheetId="9">'IWP08'!$K$122</definedName>
    <definedName name="Std3dot2" localSheetId="10">'IWP09'!$K$122</definedName>
    <definedName name="Std3dot2" localSheetId="11">'IWP10'!$K$122</definedName>
    <definedName name="Std3dot2" localSheetId="12">'IWP11'!$K$122</definedName>
    <definedName name="Std3dot2" localSheetId="13">'IWP12'!$K$122</definedName>
    <definedName name="Std3dot2" localSheetId="14">'IWP13'!$K$122</definedName>
    <definedName name="Std3dot2" localSheetId="15">'IWP14'!$K$122</definedName>
    <definedName name="Std3dot2" localSheetId="16">'IWP15'!$K$122</definedName>
    <definedName name="Std3dot2" localSheetId="17">'IWP16'!$K$122</definedName>
    <definedName name="Std3dot2" localSheetId="18">'IWP17'!$K$122</definedName>
    <definedName name="Std3dot2" localSheetId="19">'IWP18'!$K$122</definedName>
    <definedName name="Std3dot2" localSheetId="20">'IWP19'!$K$122</definedName>
    <definedName name="Std3dot2" localSheetId="21">'IWP20'!$K$122</definedName>
    <definedName name="Std3dot2" localSheetId="22">'IWP21'!$K$122</definedName>
    <definedName name="Std3dot2" localSheetId="23">'IWP22'!$K$122</definedName>
    <definedName name="Std3dot2" localSheetId="24">'IWP23'!$K$122</definedName>
    <definedName name="Std3dot2" localSheetId="25">'IWP24'!$K$122</definedName>
    <definedName name="Std3dot2" localSheetId="26">'IWP25'!$K$122</definedName>
    <definedName name="Std3dot2" localSheetId="27">'IWP26'!$K$122</definedName>
    <definedName name="Std3dot2" localSheetId="28">'IWP27'!$K$122</definedName>
    <definedName name="Std3dot2" localSheetId="29">'IWP28'!$K$122</definedName>
    <definedName name="Std3dot2" localSheetId="30">'IWP29'!$K$122</definedName>
    <definedName name="Std3dot2" localSheetId="31">'IWP30'!$K$122</definedName>
    <definedName name="Std3LicenseInfo" localSheetId="2">'IWP01'!$A$106:$L$119</definedName>
    <definedName name="Std3LicenseInfo" localSheetId="3">'IWP02'!$A$106:$L$119</definedName>
    <definedName name="Std3LicenseInfo" localSheetId="4">'IWP03'!$A$106:$L$119</definedName>
    <definedName name="Std3LicenseInfo" localSheetId="5">'IWP04'!$A$106:$L$119</definedName>
    <definedName name="Std3LicenseInfo" localSheetId="6">'IWP05'!$A$106:$L$119</definedName>
    <definedName name="Std3LicenseInfo" localSheetId="7">'IWP06'!$A$106:$L$119</definedName>
    <definedName name="Std3LicenseInfo" localSheetId="8">'IWP07'!$A$106:$L$119</definedName>
    <definedName name="Std3LicenseInfo" localSheetId="9">'IWP08'!$A$106:$L$119</definedName>
    <definedName name="Std3LicenseInfo" localSheetId="10">'IWP09'!$A$106:$L$119</definedName>
    <definedName name="Std3LicenseInfo" localSheetId="11">'IWP10'!$A$106:$L$119</definedName>
    <definedName name="Std3LicenseInfo" localSheetId="12">'IWP11'!$A$106:$L$119</definedName>
    <definedName name="Std3LicenseInfo" localSheetId="13">'IWP12'!$A$106:$L$119</definedName>
    <definedName name="Std3LicenseInfo" localSheetId="14">'IWP13'!$A$106:$L$119</definedName>
    <definedName name="Std3LicenseInfo" localSheetId="15">'IWP14'!$A$106:$L$119</definedName>
    <definedName name="Std3LicenseInfo" localSheetId="16">'IWP15'!$A$106:$L$119</definedName>
    <definedName name="Std3LicenseInfo" localSheetId="17">'IWP16'!$A$106:$L$119</definedName>
    <definedName name="Std3LicenseInfo" localSheetId="18">'IWP17'!$A$106:$L$119</definedName>
    <definedName name="Std3LicenseInfo" localSheetId="19">'IWP18'!$A$106:$L$119</definedName>
    <definedName name="Std3LicenseInfo" localSheetId="20">'IWP19'!$A$106:$L$119</definedName>
    <definedName name="Std3LicenseInfo" localSheetId="21">'IWP20'!$A$106:$L$119</definedName>
    <definedName name="Std3LicenseInfo" localSheetId="22">'IWP21'!$A$106:$L$119</definedName>
    <definedName name="Std3LicenseInfo" localSheetId="23">'IWP22'!$A$106:$L$119</definedName>
    <definedName name="Std3LicenseInfo" localSheetId="24">'IWP23'!$A$106:$L$119</definedName>
    <definedName name="Std3LicenseInfo" localSheetId="25">'IWP24'!$A$106:$L$119</definedName>
    <definedName name="Std3LicenseInfo" localSheetId="26">'IWP25'!$A$106:$L$119</definedName>
    <definedName name="Std3LicenseInfo" localSheetId="27">'IWP26'!$A$106:$L$119</definedName>
    <definedName name="Std3LicenseInfo" localSheetId="28">'IWP27'!$A$106:$L$119</definedName>
    <definedName name="Std3LicenseInfo" localSheetId="29">'IWP28'!$A$106:$L$119</definedName>
    <definedName name="Std3LicenseInfo" localSheetId="30">'IWP29'!$A$106:$L$119</definedName>
    <definedName name="Std3LicenseInfo" localSheetId="31">'IWP30'!$A$106:$L$119</definedName>
    <definedName name="Std3NotCalc" localSheetId="2">'IWP01'!$K$94</definedName>
    <definedName name="Std3NotCalc" localSheetId="3">'IWP02'!$K$94</definedName>
    <definedName name="Std3NotCalc" localSheetId="4">'IWP03'!$K$94</definedName>
    <definedName name="Std3NotCalc" localSheetId="5">'IWP04'!$K$94</definedName>
    <definedName name="Std3NotCalc" localSheetId="6">'IWP05'!$K$94</definedName>
    <definedName name="Std3NotCalc" localSheetId="7">'IWP06'!$K$94</definedName>
    <definedName name="Std3NotCalc" localSheetId="8">'IWP07'!$K$94</definedName>
    <definedName name="Std3NotCalc" localSheetId="9">'IWP08'!$K$94</definedName>
    <definedName name="Std3NotCalc" localSheetId="10">'IWP09'!$K$94</definedName>
    <definedName name="Std3NotCalc" localSheetId="11">'IWP10'!$K$94</definedName>
    <definedName name="Std3NotCalc" localSheetId="12">'IWP11'!$K$94</definedName>
    <definedName name="Std3NotCalc" localSheetId="13">'IWP12'!$K$94</definedName>
    <definedName name="Std3NotCalc" localSheetId="14">'IWP13'!$K$94</definedName>
    <definedName name="Std3NotCalc" localSheetId="15">'IWP14'!$K$94</definedName>
    <definedName name="Std3NotCalc" localSheetId="16">'IWP15'!$K$94</definedName>
    <definedName name="Std3NotCalc" localSheetId="17">'IWP16'!$K$94</definedName>
    <definedName name="Std3NotCalc" localSheetId="18">'IWP17'!$K$94</definedName>
    <definedName name="Std3NotCalc" localSheetId="19">'IWP18'!$K$94</definedName>
    <definedName name="Std3NotCalc" localSheetId="20">'IWP19'!$K$94</definedName>
    <definedName name="Std3NotCalc" localSheetId="21">'IWP20'!$K$94</definedName>
    <definedName name="Std3NotCalc" localSheetId="22">'IWP21'!$K$94</definedName>
    <definedName name="Std3NotCalc" localSheetId="23">'IWP22'!$K$94</definedName>
    <definedName name="Std3NotCalc" localSheetId="24">'IWP23'!$K$94</definedName>
    <definedName name="Std3NotCalc" localSheetId="25">'IWP24'!$K$94</definedName>
    <definedName name="Std3NotCalc" localSheetId="26">'IWP25'!$K$94</definedName>
    <definedName name="Std3NotCalc" localSheetId="27">'IWP26'!$K$94</definedName>
    <definedName name="Std3NotCalc" localSheetId="28">'IWP27'!$K$94</definedName>
    <definedName name="Std3NotCalc" localSheetId="29">'IWP28'!$K$94</definedName>
    <definedName name="Std3NotCalc" localSheetId="30">'IWP29'!$K$94</definedName>
    <definedName name="Std3NotCalc" localSheetId="31">'IWP30'!$K$94</definedName>
    <definedName name="Std4BudgetInfo" localSheetId="2">'IWP01'!$K$181:$R$191</definedName>
    <definedName name="Std4BudgetInfo" localSheetId="3">'IWP02'!$K$181:$R$191</definedName>
    <definedName name="Std4BudgetInfo" localSheetId="4">'IWP03'!$K$181:$R$191</definedName>
    <definedName name="Std4BudgetInfo" localSheetId="5">'IWP04'!$K$181:$R$191</definedName>
    <definedName name="Std4BudgetInfo" localSheetId="6">'IWP05'!$K$181:$R$191</definedName>
    <definedName name="Std4BudgetInfo" localSheetId="7">'IWP06'!$K$181:$R$191</definedName>
    <definedName name="Std4BudgetInfo" localSheetId="8">'IWP07'!$K$181:$R$191</definedName>
    <definedName name="Std4BudgetInfo" localSheetId="9">'IWP08'!$K$181:$R$191</definedName>
    <definedName name="Std4BudgetInfo" localSheetId="10">'IWP09'!$K$181:$R$191</definedName>
    <definedName name="Std4BudgetInfo" localSheetId="11">'IWP10'!$K$181:$R$191</definedName>
    <definedName name="Std4BudgetInfo" localSheetId="12">'IWP11'!$K$181:$R$191</definedName>
    <definedName name="Std4BudgetInfo" localSheetId="13">'IWP12'!$K$181:$R$191</definedName>
    <definedName name="Std4BudgetInfo" localSheetId="14">'IWP13'!$K$181:$R$191</definedName>
    <definedName name="Std4BudgetInfo" localSheetId="15">'IWP14'!$K$181:$R$191</definedName>
    <definedName name="Std4BudgetInfo" localSheetId="16">'IWP15'!$K$181:$R$191</definedName>
    <definedName name="Std4BudgetInfo" localSheetId="17">'IWP16'!$K$181:$R$191</definedName>
    <definedName name="Std4BudgetInfo" localSheetId="18">'IWP17'!$K$181:$R$191</definedName>
    <definedName name="Std4BudgetInfo" localSheetId="19">'IWP18'!$K$181:$R$191</definedName>
    <definedName name="Std4BudgetInfo" localSheetId="20">'IWP19'!$K$181:$R$191</definedName>
    <definedName name="Std4BudgetInfo" localSheetId="21">'IWP20'!$K$181:$R$191</definedName>
    <definedName name="Std4BudgetInfo" localSheetId="22">'IWP21'!$K$181:$R$191</definedName>
    <definedName name="Std4BudgetInfo" localSheetId="23">'IWP22'!$K$181:$R$191</definedName>
    <definedName name="Std4BudgetInfo" localSheetId="24">'IWP23'!$K$181:$R$191</definedName>
    <definedName name="Std4BudgetInfo" localSheetId="25">'IWP24'!$K$181:$R$191</definedName>
    <definedName name="Std4BudgetInfo" localSheetId="26">'IWP25'!$K$181:$R$191</definedName>
    <definedName name="Std4BudgetInfo" localSheetId="27">'IWP26'!$K$181:$R$191</definedName>
    <definedName name="Std4BudgetInfo" localSheetId="28">'IWP27'!$K$181:$R$191</definedName>
    <definedName name="Std4BudgetInfo" localSheetId="29">'IWP28'!$K$181:$R$191</definedName>
    <definedName name="Std4BudgetInfo" localSheetId="30">'IWP29'!$K$181:$R$191</definedName>
    <definedName name="Std4BudgetInfo" localSheetId="31">'IWP30'!$K$181:$R$191</definedName>
    <definedName name="Std4dot1" localSheetId="2">'IWP01'!$K$136</definedName>
    <definedName name="Std4dot1" localSheetId="3">'IWP02'!$K$136</definedName>
    <definedName name="Std4dot1" localSheetId="4">'IWP03'!$K$136</definedName>
    <definedName name="Std4dot1" localSheetId="5">'IWP04'!$K$136</definedName>
    <definedName name="Std4dot1" localSheetId="6">'IWP05'!$K$136</definedName>
    <definedName name="Std4dot1" localSheetId="7">'IWP06'!$K$136</definedName>
    <definedName name="Std4dot1" localSheetId="8">'IWP07'!$K$136</definedName>
    <definedName name="Std4dot1" localSheetId="9">'IWP08'!$K$136</definedName>
    <definedName name="Std4dot1" localSheetId="10">'IWP09'!$K$136</definedName>
    <definedName name="Std4dot1" localSheetId="11">'IWP10'!$K$136</definedName>
    <definedName name="Std4dot1" localSheetId="12">'IWP11'!$K$136</definedName>
    <definedName name="Std4dot1" localSheetId="13">'IWP12'!$K$136</definedName>
    <definedName name="Std4dot1" localSheetId="14">'IWP13'!$K$136</definedName>
    <definedName name="Std4dot1" localSheetId="15">'IWP14'!$K$136</definedName>
    <definedName name="Std4dot1" localSheetId="16">'IWP15'!$K$136</definedName>
    <definedName name="Std4dot1" localSheetId="17">'IWP16'!$K$136</definedName>
    <definedName name="Std4dot1" localSheetId="18">'IWP17'!$K$136</definedName>
    <definedName name="Std4dot1" localSheetId="19">'IWP18'!$K$136</definedName>
    <definedName name="Std4dot1" localSheetId="20">'IWP19'!$K$136</definedName>
    <definedName name="Std4dot1" localSheetId="21">'IWP20'!$K$136</definedName>
    <definedName name="Std4dot1" localSheetId="22">'IWP21'!$K$136</definedName>
    <definedName name="Std4dot1" localSheetId="23">'IWP22'!$K$136</definedName>
    <definedName name="Std4dot1" localSheetId="24">'IWP23'!$K$136</definedName>
    <definedName name="Std4dot1" localSheetId="25">'IWP24'!$K$136</definedName>
    <definedName name="Std4dot1" localSheetId="26">'IWP25'!$K$136</definedName>
    <definedName name="Std4dot1" localSheetId="27">'IWP26'!$K$136</definedName>
    <definedName name="Std4dot1" localSheetId="28">'IWP27'!$K$136</definedName>
    <definedName name="Std4dot1" localSheetId="29">'IWP28'!$K$136</definedName>
    <definedName name="Std4dot1" localSheetId="30">'IWP29'!$K$136</definedName>
    <definedName name="Std4dot1" localSheetId="31">'IWP30'!$K$136</definedName>
    <definedName name="Std4dot1a" localSheetId="2">'IWP01'!$K$129</definedName>
    <definedName name="Std4dot1a" localSheetId="3">'IWP02'!$K$129</definedName>
    <definedName name="Std4dot1a" localSheetId="4">'IWP03'!$K$129</definedName>
    <definedName name="Std4dot1a" localSheetId="5">'IWP04'!$K$129</definedName>
    <definedName name="Std4dot1a" localSheetId="6">'IWP05'!$K$129</definedName>
    <definedName name="Std4dot1a" localSheetId="7">'IWP06'!$K$129</definedName>
    <definedName name="Std4dot1a" localSheetId="8">'IWP07'!$K$129</definedName>
    <definedName name="Std4dot1a" localSheetId="9">'IWP08'!$K$129</definedName>
    <definedName name="Std4dot1a" localSheetId="10">'IWP09'!$K$129</definedName>
    <definedName name="Std4dot1a" localSheetId="11">'IWP10'!$K$129</definedName>
    <definedName name="Std4dot1a" localSheetId="12">'IWP11'!$K$129</definedName>
    <definedName name="Std4dot1a" localSheetId="13">'IWP12'!$K$129</definedName>
    <definedName name="Std4dot1a" localSheetId="14">'IWP13'!$K$129</definedName>
    <definedName name="Std4dot1a" localSheetId="15">'IWP14'!$K$129</definedName>
    <definedName name="Std4dot1a" localSheetId="16">'IWP15'!$K$129</definedName>
    <definedName name="Std4dot1a" localSheetId="17">'IWP16'!$K$129</definedName>
    <definedName name="Std4dot1a" localSheetId="18">'IWP17'!$K$129</definedName>
    <definedName name="Std4dot1a" localSheetId="19">'IWP18'!$K$129</definedName>
    <definedName name="Std4dot1a" localSheetId="20">'IWP19'!$K$129</definedName>
    <definedName name="Std4dot1a" localSheetId="21">'IWP20'!$K$129</definedName>
    <definedName name="Std4dot1a" localSheetId="22">'IWP21'!$K$129</definedName>
    <definedName name="Std4dot1a" localSheetId="23">'IWP22'!$K$129</definedName>
    <definedName name="Std4dot1a" localSheetId="24">'IWP23'!$K$129</definedName>
    <definedName name="Std4dot1a" localSheetId="25">'IWP24'!$K$129</definedName>
    <definedName name="Std4dot1a" localSheetId="26">'IWP25'!$K$129</definedName>
    <definedName name="Std4dot1a" localSheetId="27">'IWP26'!$K$129</definedName>
    <definedName name="Std4dot1a" localSheetId="28">'IWP27'!$K$129</definedName>
    <definedName name="Std4dot1a" localSheetId="29">'IWP28'!$K$129</definedName>
    <definedName name="Std4dot1a" localSheetId="30">'IWP29'!$K$129</definedName>
    <definedName name="Std4dot1a" localSheetId="31">'IWP30'!$K$129</definedName>
    <definedName name="Std4dot1b" localSheetId="2">'IWP01'!$K$130</definedName>
    <definedName name="Std4dot1b" localSheetId="3">'IWP02'!$K$130</definedName>
    <definedName name="Std4dot1b" localSheetId="4">'IWP03'!$K$130</definedName>
    <definedName name="Std4dot1b" localSheetId="5">'IWP04'!$K$130</definedName>
    <definedName name="Std4dot1b" localSheetId="6">'IWP05'!$K$130</definedName>
    <definedName name="Std4dot1b" localSheetId="7">'IWP06'!$K$130</definedName>
    <definedName name="Std4dot1b" localSheetId="8">'IWP07'!$K$130</definedName>
    <definedName name="Std4dot1b" localSheetId="9">'IWP08'!$K$130</definedName>
    <definedName name="Std4dot1b" localSheetId="10">'IWP09'!$K$130</definedName>
    <definedName name="Std4dot1b" localSheetId="11">'IWP10'!$K$130</definedName>
    <definedName name="Std4dot1b" localSheetId="12">'IWP11'!$K$130</definedName>
    <definedName name="Std4dot1b" localSheetId="13">'IWP12'!$K$130</definedName>
    <definedName name="Std4dot1b" localSheetId="14">'IWP13'!$K$130</definedName>
    <definedName name="Std4dot1b" localSheetId="15">'IWP14'!$K$130</definedName>
    <definedName name="Std4dot1b" localSheetId="16">'IWP15'!$K$130</definedName>
    <definedName name="Std4dot1b" localSheetId="17">'IWP16'!$K$130</definedName>
    <definedName name="Std4dot1b" localSheetId="18">'IWP17'!$K$130</definedName>
    <definedName name="Std4dot1b" localSheetId="19">'IWP18'!$K$130</definedName>
    <definedName name="Std4dot1b" localSheetId="20">'IWP19'!$K$130</definedName>
    <definedName name="Std4dot1b" localSheetId="21">'IWP20'!$K$130</definedName>
    <definedName name="Std4dot1b" localSheetId="22">'IWP21'!$K$130</definedName>
    <definedName name="Std4dot1b" localSheetId="23">'IWP22'!$K$130</definedName>
    <definedName name="Std4dot1b" localSheetId="24">'IWP23'!$K$130</definedName>
    <definedName name="Std4dot1b" localSheetId="25">'IWP24'!$K$130</definedName>
    <definedName name="Std4dot1b" localSheetId="26">'IWP25'!$K$130</definedName>
    <definedName name="Std4dot1b" localSheetId="27">'IWP26'!$K$130</definedName>
    <definedName name="Std4dot1b" localSheetId="28">'IWP27'!$K$130</definedName>
    <definedName name="Std4dot1b" localSheetId="29">'IWP28'!$K$130</definedName>
    <definedName name="Std4dot1b" localSheetId="30">'IWP29'!$K$130</definedName>
    <definedName name="Std4dot1b" localSheetId="31">'IWP30'!$K$130</definedName>
    <definedName name="Std4dot1c" localSheetId="2">'IWP01'!$K$131</definedName>
    <definedName name="Std4dot1c" localSheetId="3">'IWP02'!$K$131</definedName>
    <definedName name="Std4dot1c" localSheetId="4">'IWP03'!$K$131</definedName>
    <definedName name="Std4dot1c" localSheetId="5">'IWP04'!$K$131</definedName>
    <definedName name="Std4dot1c" localSheetId="6">'IWP05'!$K$131</definedName>
    <definedName name="Std4dot1c" localSheetId="7">'IWP06'!$K$131</definedName>
    <definedName name="Std4dot1c" localSheetId="8">'IWP07'!$K$131</definedName>
    <definedName name="Std4dot1c" localSheetId="9">'IWP08'!$K$131</definedName>
    <definedName name="Std4dot1c" localSheetId="10">'IWP09'!$K$131</definedName>
    <definedName name="Std4dot1c" localSheetId="11">'IWP10'!$K$131</definedName>
    <definedName name="Std4dot1c" localSheetId="12">'IWP11'!$K$131</definedName>
    <definedName name="Std4dot1c" localSheetId="13">'IWP12'!$K$131</definedName>
    <definedName name="Std4dot1c" localSheetId="14">'IWP13'!$K$131</definedName>
    <definedName name="Std4dot1c" localSheetId="15">'IWP14'!$K$131</definedName>
    <definedName name="Std4dot1c" localSheetId="16">'IWP15'!$K$131</definedName>
    <definedName name="Std4dot1c" localSheetId="17">'IWP16'!$K$131</definedName>
    <definedName name="Std4dot1c" localSheetId="18">'IWP17'!$K$131</definedName>
    <definedName name="Std4dot1c" localSheetId="19">'IWP18'!$K$131</definedName>
    <definedName name="Std4dot1c" localSheetId="20">'IWP19'!$K$131</definedName>
    <definedName name="Std4dot1c" localSheetId="21">'IWP20'!$K$131</definedName>
    <definedName name="Std4dot1c" localSheetId="22">'IWP21'!$K$131</definedName>
    <definedName name="Std4dot1c" localSheetId="23">'IWP22'!$K$131</definedName>
    <definedName name="Std4dot1c" localSheetId="24">'IWP23'!$K$131</definedName>
    <definedName name="Std4dot1c" localSheetId="25">'IWP24'!$K$131</definedName>
    <definedName name="Std4dot1c" localSheetId="26">'IWP25'!$K$131</definedName>
    <definedName name="Std4dot1c" localSheetId="27">'IWP26'!$K$131</definedName>
    <definedName name="Std4dot1c" localSheetId="28">'IWP27'!$K$131</definedName>
    <definedName name="Std4dot1c" localSheetId="29">'IWP28'!$K$131</definedName>
    <definedName name="Std4dot1c" localSheetId="30">'IWP29'!$K$131</definedName>
    <definedName name="Std4dot1c" localSheetId="31">'IWP30'!$K$131</definedName>
    <definedName name="Std4dot1d" localSheetId="2">'IWP01'!$K$132</definedName>
    <definedName name="Std4dot1d" localSheetId="3">'IWP02'!$K$132</definedName>
    <definedName name="Std4dot1d" localSheetId="4">'IWP03'!$K$132</definedName>
    <definedName name="Std4dot1d" localSheetId="5">'IWP04'!$K$132</definedName>
    <definedName name="Std4dot1d" localSheetId="6">'IWP05'!$K$132</definedName>
    <definedName name="Std4dot1d" localSheetId="7">'IWP06'!$K$132</definedName>
    <definedName name="Std4dot1d" localSheetId="8">'IWP07'!$K$132</definedName>
    <definedName name="Std4dot1d" localSheetId="9">'IWP08'!$K$132</definedName>
    <definedName name="Std4dot1d" localSheetId="10">'IWP09'!$K$132</definedName>
    <definedName name="Std4dot1d" localSheetId="11">'IWP10'!$K$132</definedName>
    <definedName name="Std4dot1d" localSheetId="12">'IWP11'!$K$132</definedName>
    <definedName name="Std4dot1d" localSheetId="13">'IWP12'!$K$132</definedName>
    <definedName name="Std4dot1d" localSheetId="14">'IWP13'!$K$132</definedName>
    <definedName name="Std4dot1d" localSheetId="15">'IWP14'!$K$132</definedName>
    <definedName name="Std4dot1d" localSheetId="16">'IWP15'!$K$132</definedName>
    <definedName name="Std4dot1d" localSheetId="17">'IWP16'!$K$132</definedName>
    <definedName name="Std4dot1d" localSheetId="18">'IWP17'!$K$132</definedName>
    <definedName name="Std4dot1d" localSheetId="19">'IWP18'!$K$132</definedName>
    <definedName name="Std4dot1d" localSheetId="20">'IWP19'!$K$132</definedName>
    <definedName name="Std4dot1d" localSheetId="21">'IWP20'!$K$132</definedName>
    <definedName name="Std4dot1d" localSheetId="22">'IWP21'!$K$132</definedName>
    <definedName name="Std4dot1d" localSheetId="23">'IWP22'!$K$132</definedName>
    <definedName name="Std4dot1d" localSheetId="24">'IWP23'!$K$132</definedName>
    <definedName name="Std4dot1d" localSheetId="25">'IWP24'!$K$132</definedName>
    <definedName name="Std4dot1d" localSheetId="26">'IWP25'!$K$132</definedName>
    <definedName name="Std4dot1d" localSheetId="27">'IWP26'!$K$132</definedName>
    <definedName name="Std4dot1d" localSheetId="28">'IWP27'!$K$132</definedName>
    <definedName name="Std4dot1d" localSheetId="29">'IWP28'!$K$132</definedName>
    <definedName name="Std4dot1d" localSheetId="30">'IWP29'!$K$132</definedName>
    <definedName name="Std4dot1d" localSheetId="31">'IWP30'!$K$132</definedName>
    <definedName name="Std4dot1e" localSheetId="2">'IWP01'!$K$133</definedName>
    <definedName name="Std4dot1e" localSheetId="3">'IWP02'!$K$133</definedName>
    <definedName name="Std4dot1e" localSheetId="4">'IWP03'!$K$133</definedName>
    <definedName name="Std4dot1e" localSheetId="5">'IWP04'!$K$133</definedName>
    <definedName name="Std4dot1e" localSheetId="6">'IWP05'!$K$133</definedName>
    <definedName name="Std4dot1e" localSheetId="7">'IWP06'!$K$133</definedName>
    <definedName name="Std4dot1e" localSheetId="8">'IWP07'!$K$133</definedName>
    <definedName name="Std4dot1e" localSheetId="9">'IWP08'!$K$133</definedName>
    <definedName name="Std4dot1e" localSheetId="10">'IWP09'!$K$133</definedName>
    <definedName name="Std4dot1e" localSheetId="11">'IWP10'!$K$133</definedName>
    <definedName name="Std4dot1e" localSheetId="12">'IWP11'!$K$133</definedName>
    <definedName name="Std4dot1e" localSheetId="13">'IWP12'!$K$133</definedName>
    <definedName name="Std4dot1e" localSheetId="14">'IWP13'!$K$133</definedName>
    <definedName name="Std4dot1e" localSheetId="15">'IWP14'!$K$133</definedName>
    <definedName name="Std4dot1e" localSheetId="16">'IWP15'!$K$133</definedName>
    <definedName name="Std4dot1e" localSheetId="17">'IWP16'!$K$133</definedName>
    <definedName name="Std4dot1e" localSheetId="18">'IWP17'!$K$133</definedName>
    <definedName name="Std4dot1e" localSheetId="19">'IWP18'!$K$133</definedName>
    <definedName name="Std4dot1e" localSheetId="20">'IWP19'!$K$133</definedName>
    <definedName name="Std4dot1e" localSheetId="21">'IWP20'!$K$133</definedName>
    <definedName name="Std4dot1e" localSheetId="22">'IWP21'!$K$133</definedName>
    <definedName name="Std4dot1e" localSheetId="23">'IWP22'!$K$133</definedName>
    <definedName name="Std4dot1e" localSheetId="24">'IWP23'!$K$133</definedName>
    <definedName name="Std4dot1e" localSheetId="25">'IWP24'!$K$133</definedName>
    <definedName name="Std4dot1e" localSheetId="26">'IWP25'!$K$133</definedName>
    <definedName name="Std4dot1e" localSheetId="27">'IWP26'!$K$133</definedName>
    <definedName name="Std4dot1e" localSheetId="28">'IWP27'!$K$133</definedName>
    <definedName name="Std4dot1e" localSheetId="29">'IWP28'!$K$133</definedName>
    <definedName name="Std4dot1e" localSheetId="30">'IWP29'!$K$133</definedName>
    <definedName name="Std4dot1e" localSheetId="31">'IWP30'!$K$133</definedName>
    <definedName name="Std4dot1f" localSheetId="2">'IWP01'!$K$135</definedName>
    <definedName name="Std4dot1f" localSheetId="3">'IWP02'!$K$135</definedName>
    <definedName name="Std4dot1f" localSheetId="4">'IWP03'!$K$135</definedName>
    <definedName name="Std4dot1f" localSheetId="5">'IWP04'!$K$135</definedName>
    <definedName name="Std4dot1f" localSheetId="6">'IWP05'!$K$135</definedName>
    <definedName name="Std4dot1f" localSheetId="7">'IWP06'!$K$135</definedName>
    <definedName name="Std4dot1f" localSheetId="8">'IWP07'!$K$135</definedName>
    <definedName name="Std4dot1f" localSheetId="9">'IWP08'!$K$135</definedName>
    <definedName name="Std4dot1f" localSheetId="10">'IWP09'!$K$135</definedName>
    <definedName name="Std4dot1f" localSheetId="11">'IWP10'!$K$135</definedName>
    <definedName name="Std4dot1f" localSheetId="12">'IWP11'!$K$135</definedName>
    <definedName name="Std4dot1f" localSheetId="13">'IWP12'!$K$135</definedName>
    <definedName name="Std4dot1f" localSheetId="14">'IWP13'!$K$135</definedName>
    <definedName name="Std4dot1f" localSheetId="15">'IWP14'!$K$135</definedName>
    <definedName name="Std4dot1f" localSheetId="16">'IWP15'!$K$135</definedName>
    <definedName name="Std4dot1f" localSheetId="17">'IWP16'!$K$135</definedName>
    <definedName name="Std4dot1f" localSheetId="18">'IWP17'!$K$135</definedName>
    <definedName name="Std4dot1f" localSheetId="19">'IWP18'!$K$135</definedName>
    <definedName name="Std4dot1f" localSheetId="20">'IWP19'!$K$135</definedName>
    <definedName name="Std4dot1f" localSheetId="21">'IWP20'!$K$135</definedName>
    <definedName name="Std4dot1f" localSheetId="22">'IWP21'!$K$135</definedName>
    <definedName name="Std4dot1f" localSheetId="23">'IWP22'!$K$135</definedName>
    <definedName name="Std4dot1f" localSheetId="24">'IWP23'!$K$135</definedName>
    <definedName name="Std4dot1f" localSheetId="25">'IWP24'!$K$135</definedName>
    <definedName name="Std4dot1f" localSheetId="26">'IWP25'!$K$135</definedName>
    <definedName name="Std4dot1f" localSheetId="27">'IWP26'!$K$135</definedName>
    <definedName name="Std4dot1f" localSheetId="28">'IWP27'!$K$135</definedName>
    <definedName name="Std4dot1f" localSheetId="29">'IWP28'!$K$135</definedName>
    <definedName name="Std4dot1f" localSheetId="30">'IWP29'!$K$135</definedName>
    <definedName name="Std4dot1f" localSheetId="31">'IWP30'!$K$135</definedName>
    <definedName name="Std4dot2" localSheetId="2">'IWP01'!$K$142</definedName>
    <definedName name="Std4dot2" localSheetId="3">'IWP02'!$K$142</definedName>
    <definedName name="Std4dot2" localSheetId="4">'IWP03'!$K$142</definedName>
    <definedName name="Std4dot2" localSheetId="5">'IWP04'!$K$142</definedName>
    <definedName name="Std4dot2" localSheetId="6">'IWP05'!$K$142</definedName>
    <definedName name="Std4dot2" localSheetId="7">'IWP06'!$K$142</definedName>
    <definedName name="Std4dot2" localSheetId="8">'IWP07'!$K$142</definedName>
    <definedName name="Std4dot2" localSheetId="9">'IWP08'!$K$142</definedName>
    <definedName name="Std4dot2" localSheetId="10">'IWP09'!$K$142</definedName>
    <definedName name="Std4dot2" localSheetId="11">'IWP10'!$K$142</definedName>
    <definedName name="Std4dot2" localSheetId="12">'IWP11'!$K$142</definedName>
    <definedName name="Std4dot2" localSheetId="13">'IWP12'!$K$142</definedName>
    <definedName name="Std4dot2" localSheetId="14">'IWP13'!$K$142</definedName>
    <definedName name="Std4dot2" localSheetId="15">'IWP14'!$K$142</definedName>
    <definedName name="Std4dot2" localSheetId="16">'IWP15'!$K$142</definedName>
    <definedName name="Std4dot2" localSheetId="17">'IWP16'!$K$142</definedName>
    <definedName name="Std4dot2" localSheetId="18">'IWP17'!$K$142</definedName>
    <definedName name="Std4dot2" localSheetId="19">'IWP18'!$K$142</definedName>
    <definedName name="Std4dot2" localSheetId="20">'IWP19'!$K$142</definedName>
    <definedName name="Std4dot2" localSheetId="21">'IWP20'!$K$142</definedName>
    <definedName name="Std4dot2" localSheetId="22">'IWP21'!$K$142</definedName>
    <definedName name="Std4dot2" localSheetId="23">'IWP22'!$K$142</definedName>
    <definedName name="Std4dot2" localSheetId="24">'IWP23'!$K$142</definedName>
    <definedName name="Std4dot2" localSheetId="25">'IWP24'!$K$142</definedName>
    <definedName name="Std4dot2" localSheetId="26">'IWP25'!$K$142</definedName>
    <definedName name="Std4dot2" localSheetId="27">'IWP26'!$K$142</definedName>
    <definedName name="Std4dot2" localSheetId="28">'IWP27'!$K$142</definedName>
    <definedName name="Std4dot2" localSheetId="29">'IWP28'!$K$142</definedName>
    <definedName name="Std4dot2" localSheetId="30">'IWP29'!$K$142</definedName>
    <definedName name="Std4dot2" localSheetId="31">'IWP30'!$K$142</definedName>
    <definedName name="Std4dot2a" localSheetId="2">'IWP01'!$K$138</definedName>
    <definedName name="Std4dot2a" localSheetId="3">'IWP02'!$K$138</definedName>
    <definedName name="Std4dot2a" localSheetId="4">'IWP03'!$K$138</definedName>
    <definedName name="Std4dot2a" localSheetId="5">'IWP04'!$K$138</definedName>
    <definedName name="Std4dot2a" localSheetId="6">'IWP05'!$K$138</definedName>
    <definedName name="Std4dot2a" localSheetId="7">'IWP06'!$K$138</definedName>
    <definedName name="Std4dot2a" localSheetId="8">'IWP07'!$K$138</definedName>
    <definedName name="Std4dot2a" localSheetId="9">'IWP08'!$K$138</definedName>
    <definedName name="Std4dot2a" localSheetId="10">'IWP09'!$K$138</definedName>
    <definedName name="Std4dot2a" localSheetId="11">'IWP10'!$K$138</definedName>
    <definedName name="Std4dot2a" localSheetId="12">'IWP11'!$K$138</definedName>
    <definedName name="Std4dot2a" localSheetId="13">'IWP12'!$K$138</definedName>
    <definedName name="Std4dot2a" localSheetId="14">'IWP13'!$K$138</definedName>
    <definedName name="Std4dot2a" localSheetId="15">'IWP14'!$K$138</definedName>
    <definedName name="Std4dot2a" localSheetId="16">'IWP15'!$K$138</definedName>
    <definedName name="Std4dot2a" localSheetId="17">'IWP16'!$K$138</definedName>
    <definedName name="Std4dot2a" localSheetId="18">'IWP17'!$K$138</definedName>
    <definedName name="Std4dot2a" localSheetId="19">'IWP18'!$K$138</definedName>
    <definedName name="Std4dot2a" localSheetId="20">'IWP19'!$K$138</definedName>
    <definedName name="Std4dot2a" localSheetId="21">'IWP20'!$K$138</definedName>
    <definedName name="Std4dot2a" localSheetId="22">'IWP21'!$K$138</definedName>
    <definedName name="Std4dot2a" localSheetId="23">'IWP22'!$K$138</definedName>
    <definedName name="Std4dot2a" localSheetId="24">'IWP23'!$K$138</definedName>
    <definedName name="Std4dot2a" localSheetId="25">'IWP24'!$K$138</definedName>
    <definedName name="Std4dot2a" localSheetId="26">'IWP25'!$K$138</definedName>
    <definedName name="Std4dot2a" localSheetId="27">'IWP26'!$K$138</definedName>
    <definedName name="Std4dot2a" localSheetId="28">'IWP27'!$K$138</definedName>
    <definedName name="Std4dot2a" localSheetId="29">'IWP28'!$K$138</definedName>
    <definedName name="Std4dot2a" localSheetId="30">'IWP29'!$K$138</definedName>
    <definedName name="Std4dot2a" localSheetId="31">'IWP30'!$K$138</definedName>
    <definedName name="Std4dot2b" localSheetId="2">'IWP01'!$K$139</definedName>
    <definedName name="Std4dot2b" localSheetId="3">'IWP02'!$K$139</definedName>
    <definedName name="Std4dot2b" localSheetId="4">'IWP03'!$K$139</definedName>
    <definedName name="Std4dot2b" localSheetId="5">'IWP04'!$K$139</definedName>
    <definedName name="Std4dot2b" localSheetId="6">'IWP05'!$K$139</definedName>
    <definedName name="Std4dot2b" localSheetId="7">'IWP06'!$K$139</definedName>
    <definedName name="Std4dot2b" localSheetId="8">'IWP07'!$K$139</definedName>
    <definedName name="Std4dot2b" localSheetId="9">'IWP08'!$K$139</definedName>
    <definedName name="Std4dot2b" localSheetId="10">'IWP09'!$K$139</definedName>
    <definedName name="Std4dot2b" localSheetId="11">'IWP10'!$K$139</definedName>
    <definedName name="Std4dot2b" localSheetId="12">'IWP11'!$K$139</definedName>
    <definedName name="Std4dot2b" localSheetId="13">'IWP12'!$K$139</definedName>
    <definedName name="Std4dot2b" localSheetId="14">'IWP13'!$K$139</definedName>
    <definedName name="Std4dot2b" localSheetId="15">'IWP14'!$K$139</definedName>
    <definedName name="Std4dot2b" localSheetId="16">'IWP15'!$K$139</definedName>
    <definedName name="Std4dot2b" localSheetId="17">'IWP16'!$K$139</definedName>
    <definedName name="Std4dot2b" localSheetId="18">'IWP17'!$K$139</definedName>
    <definedName name="Std4dot2b" localSheetId="19">'IWP18'!$K$139</definedName>
    <definedName name="Std4dot2b" localSheetId="20">'IWP19'!$K$139</definedName>
    <definedName name="Std4dot2b" localSheetId="21">'IWP20'!$K$139</definedName>
    <definedName name="Std4dot2b" localSheetId="22">'IWP21'!$K$139</definedName>
    <definedName name="Std4dot2b" localSheetId="23">'IWP22'!$K$139</definedName>
    <definedName name="Std4dot2b" localSheetId="24">'IWP23'!$K$139</definedName>
    <definedName name="Std4dot2b" localSheetId="25">'IWP24'!$K$139</definedName>
    <definedName name="Std4dot2b" localSheetId="26">'IWP25'!$K$139</definedName>
    <definedName name="Std4dot2b" localSheetId="27">'IWP26'!$K$139</definedName>
    <definedName name="Std4dot2b" localSheetId="28">'IWP27'!$K$139</definedName>
    <definedName name="Std4dot2b" localSheetId="29">'IWP28'!$K$139</definedName>
    <definedName name="Std4dot2b" localSheetId="30">'IWP29'!$K$139</definedName>
    <definedName name="Std4dot2b" localSheetId="31">'IWP30'!$K$139</definedName>
    <definedName name="Std4dot2c" localSheetId="2">'IWP01'!$K$140</definedName>
    <definedName name="Std4dot2c" localSheetId="3">'IWP02'!$K$140</definedName>
    <definedName name="Std4dot2c" localSheetId="4">'IWP03'!$K$140</definedName>
    <definedName name="Std4dot2c" localSheetId="5">'IWP04'!$K$140</definedName>
    <definedName name="Std4dot2c" localSheetId="6">'IWP05'!$K$140</definedName>
    <definedName name="Std4dot2c" localSheetId="7">'IWP06'!$K$140</definedName>
    <definedName name="Std4dot2c" localSheetId="8">'IWP07'!$K$140</definedName>
    <definedName name="Std4dot2c" localSheetId="9">'IWP08'!$K$140</definedName>
    <definedName name="Std4dot2c" localSheetId="10">'IWP09'!$K$140</definedName>
    <definedName name="Std4dot2c" localSheetId="11">'IWP10'!$K$140</definedName>
    <definedName name="Std4dot2c" localSheetId="12">'IWP11'!$K$140</definedName>
    <definedName name="Std4dot2c" localSheetId="13">'IWP12'!$K$140</definedName>
    <definedName name="Std4dot2c" localSheetId="14">'IWP13'!$K$140</definedName>
    <definedName name="Std4dot2c" localSheetId="15">'IWP14'!$K$140</definedName>
    <definedName name="Std4dot2c" localSheetId="16">'IWP15'!$K$140</definedName>
    <definedName name="Std4dot2c" localSheetId="17">'IWP16'!$K$140</definedName>
    <definedName name="Std4dot2c" localSheetId="18">'IWP17'!$K$140</definedName>
    <definedName name="Std4dot2c" localSheetId="19">'IWP18'!$K$140</definedName>
    <definedName name="Std4dot2c" localSheetId="20">'IWP19'!$K$140</definedName>
    <definedName name="Std4dot2c" localSheetId="21">'IWP20'!$K$140</definedName>
    <definedName name="Std4dot2c" localSheetId="22">'IWP21'!$K$140</definedName>
    <definedName name="Std4dot2c" localSheetId="23">'IWP22'!$K$140</definedName>
    <definedName name="Std4dot2c" localSheetId="24">'IWP23'!$K$140</definedName>
    <definedName name="Std4dot2c" localSheetId="25">'IWP24'!$K$140</definedName>
    <definedName name="Std4dot2c" localSheetId="26">'IWP25'!$K$140</definedName>
    <definedName name="Std4dot2c" localSheetId="27">'IWP26'!$K$140</definedName>
    <definedName name="Std4dot2c" localSheetId="28">'IWP27'!$K$140</definedName>
    <definedName name="Std4dot2c" localSheetId="29">'IWP28'!$K$140</definedName>
    <definedName name="Std4dot2c" localSheetId="30">'IWP29'!$K$140</definedName>
    <definedName name="Std4dot2c" localSheetId="31">'IWP30'!$K$140</definedName>
    <definedName name="Std4dot2d" localSheetId="2">'IWP01'!$K$141</definedName>
    <definedName name="Std4dot2d" localSheetId="3">'IWP02'!$K$141</definedName>
    <definedName name="Std4dot2d" localSheetId="4">'IWP03'!$K$141</definedName>
    <definedName name="Std4dot2d" localSheetId="5">'IWP04'!$K$141</definedName>
    <definedName name="Std4dot2d" localSheetId="6">'IWP05'!$K$141</definedName>
    <definedName name="Std4dot2d" localSheetId="7">'IWP06'!$K$141</definedName>
    <definedName name="Std4dot2d" localSheetId="8">'IWP07'!$K$141</definedName>
    <definedName name="Std4dot2d" localSheetId="9">'IWP08'!$K$141</definedName>
    <definedName name="Std4dot2d" localSheetId="10">'IWP09'!$K$141</definedName>
    <definedName name="Std4dot2d" localSheetId="11">'IWP10'!$K$141</definedName>
    <definedName name="Std4dot2d" localSheetId="12">'IWP11'!$K$141</definedName>
    <definedName name="Std4dot2d" localSheetId="13">'IWP12'!$K$141</definedName>
    <definedName name="Std4dot2d" localSheetId="14">'IWP13'!$K$141</definedName>
    <definedName name="Std4dot2d" localSheetId="15">'IWP14'!$K$141</definedName>
    <definedName name="Std4dot2d" localSheetId="16">'IWP15'!$K$141</definedName>
    <definedName name="Std4dot2d" localSheetId="17">'IWP16'!$K$141</definedName>
    <definedName name="Std4dot2d" localSheetId="18">'IWP17'!$K$141</definedName>
    <definedName name="Std4dot2d" localSheetId="19">'IWP18'!$K$141</definedName>
    <definedName name="Std4dot2d" localSheetId="20">'IWP19'!$K$141</definedName>
    <definedName name="Std4dot2d" localSheetId="21">'IWP20'!$K$141</definedName>
    <definedName name="Std4dot2d" localSheetId="22">'IWP21'!$K$141</definedName>
    <definedName name="Std4dot2d" localSheetId="23">'IWP22'!$K$141</definedName>
    <definedName name="Std4dot2d" localSheetId="24">'IWP23'!$K$141</definedName>
    <definedName name="Std4dot2d" localSheetId="25">'IWP24'!$K$141</definedName>
    <definedName name="Std4dot2d" localSheetId="26">'IWP25'!$K$141</definedName>
    <definedName name="Std4dot2d" localSheetId="27">'IWP26'!$K$141</definedName>
    <definedName name="Std4dot2d" localSheetId="28">'IWP27'!$K$141</definedName>
    <definedName name="Std4dot2d" localSheetId="29">'IWP28'!$K$141</definedName>
    <definedName name="Std4dot2d" localSheetId="30">'IWP29'!$K$141</definedName>
    <definedName name="Std4dot2d" localSheetId="31">'IWP30'!$K$141</definedName>
    <definedName name="Std4dot3" localSheetId="2">'IWP01'!$K$157</definedName>
    <definedName name="Std4dot3" localSheetId="3">'IWP02'!$K$157</definedName>
    <definedName name="Std4dot3" localSheetId="4">'IWP03'!$K$157</definedName>
    <definedName name="Std4dot3" localSheetId="5">'IWP04'!$K$157</definedName>
    <definedName name="Std4dot3" localSheetId="6">'IWP05'!$K$157</definedName>
    <definedName name="Std4dot3" localSheetId="7">'IWP06'!$K$157</definedName>
    <definedName name="Std4dot3" localSheetId="8">'IWP07'!$K$157</definedName>
    <definedName name="Std4dot3" localSheetId="9">'IWP08'!$K$157</definedName>
    <definedName name="Std4dot3" localSheetId="10">'IWP09'!$K$157</definedName>
    <definedName name="Std4dot3" localSheetId="11">'IWP10'!$K$157</definedName>
    <definedName name="Std4dot3" localSheetId="12">'IWP11'!$K$157</definedName>
    <definedName name="Std4dot3" localSheetId="13">'IWP12'!$K$157</definedName>
    <definedName name="Std4dot3" localSheetId="14">'IWP13'!$K$157</definedName>
    <definedName name="Std4dot3" localSheetId="15">'IWP14'!$K$157</definedName>
    <definedName name="Std4dot3" localSheetId="16">'IWP15'!$K$157</definedName>
    <definedName name="Std4dot3" localSheetId="17">'IWP16'!$K$157</definedName>
    <definedName name="Std4dot3" localSheetId="18">'IWP17'!$K$157</definedName>
    <definedName name="Std4dot3" localSheetId="19">'IWP18'!$K$157</definedName>
    <definedName name="Std4dot3" localSheetId="20">'IWP19'!$K$157</definedName>
    <definedName name="Std4dot3" localSheetId="21">'IWP20'!$K$157</definedName>
    <definedName name="Std4dot3" localSheetId="22">'IWP21'!$K$157</definedName>
    <definedName name="Std4dot3" localSheetId="23">'IWP22'!$K$157</definedName>
    <definedName name="Std4dot3" localSheetId="24">'IWP23'!$K$157</definedName>
    <definedName name="Std4dot3" localSheetId="25">'IWP24'!$K$157</definedName>
    <definedName name="Std4dot3" localSheetId="26">'IWP25'!$K$157</definedName>
    <definedName name="Std4dot3" localSheetId="27">'IWP26'!$K$157</definedName>
    <definedName name="Std4dot3" localSheetId="28">'IWP27'!$K$157</definedName>
    <definedName name="Std4dot3" localSheetId="29">'IWP28'!$K$157</definedName>
    <definedName name="Std4dot3" localSheetId="30">'IWP29'!$K$157</definedName>
    <definedName name="Std4dot3" localSheetId="31">'IWP30'!$K$157</definedName>
    <definedName name="Std4dot3a" localSheetId="2">'IWP01'!$K$149</definedName>
    <definedName name="Std4dot3a" localSheetId="3">'IWP02'!$K$149</definedName>
    <definedName name="Std4dot3a" localSheetId="4">'IWP03'!$K$149</definedName>
    <definedName name="Std4dot3a" localSheetId="5">'IWP04'!$K$149</definedName>
    <definedName name="Std4dot3a" localSheetId="6">'IWP05'!$K$149</definedName>
    <definedName name="Std4dot3a" localSheetId="7">'IWP06'!$K$149</definedName>
    <definedName name="Std4dot3a" localSheetId="8">'IWP07'!$K$149</definedName>
    <definedName name="Std4dot3a" localSheetId="9">'IWP08'!$K$149</definedName>
    <definedName name="Std4dot3a" localSheetId="10">'IWP09'!$K$149</definedName>
    <definedName name="Std4dot3a" localSheetId="11">'IWP10'!$K$149</definedName>
    <definedName name="Std4dot3a" localSheetId="12">'IWP11'!$K$149</definedName>
    <definedName name="Std4dot3a" localSheetId="13">'IWP12'!$K$149</definedName>
    <definedName name="Std4dot3a" localSheetId="14">'IWP13'!$K$149</definedName>
    <definedName name="Std4dot3a" localSheetId="15">'IWP14'!$K$149</definedName>
    <definedName name="Std4dot3a" localSheetId="16">'IWP15'!$K$149</definedName>
    <definedName name="Std4dot3a" localSheetId="17">'IWP16'!$K$149</definedName>
    <definedName name="Std4dot3a" localSheetId="18">'IWP17'!$K$149</definedName>
    <definedName name="Std4dot3a" localSheetId="19">'IWP18'!$K$149</definedName>
    <definedName name="Std4dot3a" localSheetId="20">'IWP19'!$K$149</definedName>
    <definedName name="Std4dot3a" localSheetId="21">'IWP20'!$K$149</definedName>
    <definedName name="Std4dot3a" localSheetId="22">'IWP21'!$K$149</definedName>
    <definedName name="Std4dot3a" localSheetId="23">'IWP22'!$K$149</definedName>
    <definedName name="Std4dot3a" localSheetId="24">'IWP23'!$K$149</definedName>
    <definedName name="Std4dot3a" localSheetId="25">'IWP24'!$K$149</definedName>
    <definedName name="Std4dot3a" localSheetId="26">'IWP25'!$K$149</definedName>
    <definedName name="Std4dot3a" localSheetId="27">'IWP26'!$K$149</definedName>
    <definedName name="Std4dot3a" localSheetId="28">'IWP27'!$K$149</definedName>
    <definedName name="Std4dot3a" localSheetId="29">'IWP28'!$K$149</definedName>
    <definedName name="Std4dot3a" localSheetId="30">'IWP29'!$K$149</definedName>
    <definedName name="Std4dot3a" localSheetId="31">'IWP30'!$K$149</definedName>
    <definedName name="Std4dot3b" localSheetId="2">'IWP01'!$K$150</definedName>
    <definedName name="Std4dot3b" localSheetId="3">'IWP02'!$K$150</definedName>
    <definedName name="Std4dot3b" localSheetId="4">'IWP03'!$K$150</definedName>
    <definedName name="Std4dot3b" localSheetId="5">'IWP04'!$K$150</definedName>
    <definedName name="Std4dot3b" localSheetId="6">'IWP05'!$K$150</definedName>
    <definedName name="Std4dot3b" localSheetId="7">'IWP06'!$K$150</definedName>
    <definedName name="Std4dot3b" localSheetId="8">'IWP07'!$K$150</definedName>
    <definedName name="Std4dot3b" localSheetId="9">'IWP08'!$K$150</definedName>
    <definedName name="Std4dot3b" localSheetId="10">'IWP09'!$K$150</definedName>
    <definedName name="Std4dot3b" localSheetId="11">'IWP10'!$K$150</definedName>
    <definedName name="Std4dot3b" localSheetId="12">'IWP11'!$K$150</definedName>
    <definedName name="Std4dot3b" localSheetId="13">'IWP12'!$K$150</definedName>
    <definedName name="Std4dot3b" localSheetId="14">'IWP13'!$K$150</definedName>
    <definedName name="Std4dot3b" localSheetId="15">'IWP14'!$K$150</definedName>
    <definedName name="Std4dot3b" localSheetId="16">'IWP15'!$K$150</definedName>
    <definedName name="Std4dot3b" localSheetId="17">'IWP16'!$K$150</definedName>
    <definedName name="Std4dot3b" localSheetId="18">'IWP17'!$K$150</definedName>
    <definedName name="Std4dot3b" localSheetId="19">'IWP18'!$K$150</definedName>
    <definedName name="Std4dot3b" localSheetId="20">'IWP19'!$K$150</definedName>
    <definedName name="Std4dot3b" localSheetId="21">'IWP20'!$K$150</definedName>
    <definedName name="Std4dot3b" localSheetId="22">'IWP21'!$K$150</definedName>
    <definedName name="Std4dot3b" localSheetId="23">'IWP22'!$K$150</definedName>
    <definedName name="Std4dot3b" localSheetId="24">'IWP23'!$K$150</definedName>
    <definedName name="Std4dot3b" localSheetId="25">'IWP24'!$K$150</definedName>
    <definedName name="Std4dot3b" localSheetId="26">'IWP25'!$K$150</definedName>
    <definedName name="Std4dot3b" localSheetId="27">'IWP26'!$K$150</definedName>
    <definedName name="Std4dot3b" localSheetId="28">'IWP27'!$K$150</definedName>
    <definedName name="Std4dot3b" localSheetId="29">'IWP28'!$K$150</definedName>
    <definedName name="Std4dot3b" localSheetId="30">'IWP29'!$K$150</definedName>
    <definedName name="Std4dot3b" localSheetId="31">'IWP30'!$K$150</definedName>
    <definedName name="Std4dot3c" localSheetId="2">'IWP01'!$K$151</definedName>
    <definedName name="Std4dot3c" localSheetId="3">'IWP02'!$K$151</definedName>
    <definedName name="Std4dot3c" localSheetId="4">'IWP03'!$K$151</definedName>
    <definedName name="Std4dot3c" localSheetId="5">'IWP04'!$K$151</definedName>
    <definedName name="Std4dot3c" localSheetId="6">'IWP05'!$K$151</definedName>
    <definedName name="Std4dot3c" localSheetId="7">'IWP06'!$K$151</definedName>
    <definedName name="Std4dot3c" localSheetId="8">'IWP07'!$K$151</definedName>
    <definedName name="Std4dot3c" localSheetId="9">'IWP08'!$K$151</definedName>
    <definedName name="Std4dot3c" localSheetId="10">'IWP09'!$K$151</definedName>
    <definedName name="Std4dot3c" localSheetId="11">'IWP10'!$K$151</definedName>
    <definedName name="Std4dot3c" localSheetId="12">'IWP11'!$K$151</definedName>
    <definedName name="Std4dot3c" localSheetId="13">'IWP12'!$K$151</definedName>
    <definedName name="Std4dot3c" localSheetId="14">'IWP13'!$K$151</definedName>
    <definedName name="Std4dot3c" localSheetId="15">'IWP14'!$K$151</definedName>
    <definedName name="Std4dot3c" localSheetId="16">'IWP15'!$K$151</definedName>
    <definedName name="Std4dot3c" localSheetId="17">'IWP16'!$K$151</definedName>
    <definedName name="Std4dot3c" localSheetId="18">'IWP17'!$K$151</definedName>
    <definedName name="Std4dot3c" localSheetId="19">'IWP18'!$K$151</definedName>
    <definedName name="Std4dot3c" localSheetId="20">'IWP19'!$K$151</definedName>
    <definedName name="Std4dot3c" localSheetId="21">'IWP20'!$K$151</definedName>
    <definedName name="Std4dot3c" localSheetId="22">'IWP21'!$K$151</definedName>
    <definedName name="Std4dot3c" localSheetId="23">'IWP22'!$K$151</definedName>
    <definedName name="Std4dot3c" localSheetId="24">'IWP23'!$K$151</definedName>
    <definedName name="Std4dot3c" localSheetId="25">'IWP24'!$K$151</definedName>
    <definedName name="Std4dot3c" localSheetId="26">'IWP25'!$K$151</definedName>
    <definedName name="Std4dot3c" localSheetId="27">'IWP26'!$K$151</definedName>
    <definedName name="Std4dot3c" localSheetId="28">'IWP27'!$K$151</definedName>
    <definedName name="Std4dot3c" localSheetId="29">'IWP28'!$K$151</definedName>
    <definedName name="Std4dot3c" localSheetId="30">'IWP29'!$K$151</definedName>
    <definedName name="Std4dot3c" localSheetId="31">'IWP30'!$K$151</definedName>
    <definedName name="Std4dot3d" localSheetId="2">'IWP01'!$K$152</definedName>
    <definedName name="Std4dot3d" localSheetId="3">'IWP02'!$K$152</definedName>
    <definedName name="Std4dot3d" localSheetId="4">'IWP03'!$K$152</definedName>
    <definedName name="Std4dot3d" localSheetId="5">'IWP04'!$K$152</definedName>
    <definedName name="Std4dot3d" localSheetId="6">'IWP05'!$K$152</definedName>
    <definedName name="Std4dot3d" localSheetId="7">'IWP06'!$K$152</definedName>
    <definedName name="Std4dot3d" localSheetId="8">'IWP07'!$K$152</definedName>
    <definedName name="Std4dot3d" localSheetId="9">'IWP08'!$K$152</definedName>
    <definedName name="Std4dot3d" localSheetId="10">'IWP09'!$K$152</definedName>
    <definedName name="Std4dot3d" localSheetId="11">'IWP10'!$K$152</definedName>
    <definedName name="Std4dot3d" localSheetId="12">'IWP11'!$K$152</definedName>
    <definedName name="Std4dot3d" localSheetId="13">'IWP12'!$K$152</definedName>
    <definedName name="Std4dot3d" localSheetId="14">'IWP13'!$K$152</definedName>
    <definedName name="Std4dot3d" localSheetId="15">'IWP14'!$K$152</definedName>
    <definedName name="Std4dot3d" localSheetId="16">'IWP15'!$K$152</definedName>
    <definedName name="Std4dot3d" localSheetId="17">'IWP16'!$K$152</definedName>
    <definedName name="Std4dot3d" localSheetId="18">'IWP17'!$K$152</definedName>
    <definedName name="Std4dot3d" localSheetId="19">'IWP18'!$K$152</definedName>
    <definedName name="Std4dot3d" localSheetId="20">'IWP19'!$K$152</definedName>
    <definedName name="Std4dot3d" localSheetId="21">'IWP20'!$K$152</definedName>
    <definedName name="Std4dot3d" localSheetId="22">'IWP21'!$K$152</definedName>
    <definedName name="Std4dot3d" localSheetId="23">'IWP22'!$K$152</definedName>
    <definedName name="Std4dot3d" localSheetId="24">'IWP23'!$K$152</definedName>
    <definedName name="Std4dot3d" localSheetId="25">'IWP24'!$K$152</definedName>
    <definedName name="Std4dot3d" localSheetId="26">'IWP25'!$K$152</definedName>
    <definedName name="Std4dot3d" localSheetId="27">'IWP26'!$K$152</definedName>
    <definedName name="Std4dot3d" localSheetId="28">'IWP27'!$K$152</definedName>
    <definedName name="Std4dot3d" localSheetId="29">'IWP28'!$K$152</definedName>
    <definedName name="Std4dot3d" localSheetId="30">'IWP29'!$K$152</definedName>
    <definedName name="Std4dot3d" localSheetId="31">'IWP30'!$K$152</definedName>
    <definedName name="Std4dot3DateOfTransfer" localSheetId="2">'IWP01'!$K$147</definedName>
    <definedName name="Std4dot3DateOfTransfer" localSheetId="3">'IWP02'!$K$147</definedName>
    <definedName name="Std4dot3DateOfTransfer" localSheetId="4">'IWP03'!$K$147</definedName>
    <definedName name="Std4dot3DateOfTransfer" localSheetId="5">'IWP04'!$K$147</definedName>
    <definedName name="Std4dot3DateOfTransfer" localSheetId="6">'IWP05'!$K$147</definedName>
    <definedName name="Std4dot3DateOfTransfer" localSheetId="7">'IWP06'!$K$147</definedName>
    <definedName name="Std4dot3DateOfTransfer" localSheetId="8">'IWP07'!$K$147</definedName>
    <definedName name="Std4dot3DateOfTransfer" localSheetId="9">'IWP08'!$K$147</definedName>
    <definedName name="Std4dot3DateOfTransfer" localSheetId="10">'IWP09'!$K$147</definedName>
    <definedName name="Std4dot3DateOfTransfer" localSheetId="11">'IWP10'!$K$147</definedName>
    <definedName name="Std4dot3DateOfTransfer" localSheetId="12">'IWP11'!$K$147</definedName>
    <definedName name="Std4dot3DateOfTransfer" localSheetId="13">'IWP12'!$K$147</definedName>
    <definedName name="Std4dot3DateOfTransfer" localSheetId="14">'IWP13'!$K$147</definedName>
    <definedName name="Std4dot3DateOfTransfer" localSheetId="15">'IWP14'!$K$147</definedName>
    <definedName name="Std4dot3DateOfTransfer" localSheetId="16">'IWP15'!$K$147</definedName>
    <definedName name="Std4dot3DateOfTransfer" localSheetId="17">'IWP16'!$K$147</definedName>
    <definedName name="Std4dot3DateOfTransfer" localSheetId="18">'IWP17'!$K$147</definedName>
    <definedName name="Std4dot3DateOfTransfer" localSheetId="19">'IWP18'!$K$147</definedName>
    <definedName name="Std4dot3DateOfTransfer" localSheetId="20">'IWP19'!$K$147</definedName>
    <definedName name="Std4dot3DateOfTransfer" localSheetId="21">'IWP20'!$K$147</definedName>
    <definedName name="Std4dot3DateOfTransfer" localSheetId="22">'IWP21'!$K$147</definedName>
    <definedName name="Std4dot3DateOfTransfer" localSheetId="23">'IWP22'!$K$147</definedName>
    <definedName name="Std4dot3DateOfTransfer" localSheetId="24">'IWP23'!$K$147</definedName>
    <definedName name="Std4dot3DateOfTransfer" localSheetId="25">'IWP24'!$K$147</definedName>
    <definedName name="Std4dot3DateOfTransfer" localSheetId="26">'IWP25'!$K$147</definedName>
    <definedName name="Std4dot3DateOfTransfer" localSheetId="27">'IWP26'!$K$147</definedName>
    <definedName name="Std4dot3DateOfTransfer" localSheetId="28">'IWP27'!$K$147</definedName>
    <definedName name="Std4dot3DateOfTransfer" localSheetId="29">'IWP28'!$K$147</definedName>
    <definedName name="Std4dot3DateOfTransfer" localSheetId="30">'IWP29'!$K$147</definedName>
    <definedName name="Std4dot3DateOfTransfer" localSheetId="31">'IWP30'!$K$147</definedName>
    <definedName name="Std4dot3e" localSheetId="2">'IWP01'!$K$153</definedName>
    <definedName name="Std4dot3e" localSheetId="3">'IWP02'!$K$153</definedName>
    <definedName name="Std4dot3e" localSheetId="4">'IWP03'!$K$153</definedName>
    <definedName name="Std4dot3e" localSheetId="5">'IWP04'!$K$153</definedName>
    <definedName name="Std4dot3e" localSheetId="6">'IWP05'!$K$153</definedName>
    <definedName name="Std4dot3e" localSheetId="7">'IWP06'!$K$153</definedName>
    <definedName name="Std4dot3e" localSheetId="8">'IWP07'!$K$153</definedName>
    <definedName name="Std4dot3e" localSheetId="9">'IWP08'!$K$153</definedName>
    <definedName name="Std4dot3e" localSheetId="10">'IWP09'!$K$153</definedName>
    <definedName name="Std4dot3e" localSheetId="11">'IWP10'!$K$153</definedName>
    <definedName name="Std4dot3e" localSheetId="12">'IWP11'!$K$153</definedName>
    <definedName name="Std4dot3e" localSheetId="13">'IWP12'!$K$153</definedName>
    <definedName name="Std4dot3e" localSheetId="14">'IWP13'!$K$153</definedName>
    <definedName name="Std4dot3e" localSheetId="15">'IWP14'!$K$153</definedName>
    <definedName name="Std4dot3e" localSheetId="16">'IWP15'!$K$153</definedName>
    <definedName name="Std4dot3e" localSheetId="17">'IWP16'!$K$153</definedName>
    <definedName name="Std4dot3e" localSheetId="18">'IWP17'!$K$153</definedName>
    <definedName name="Std4dot3e" localSheetId="19">'IWP18'!$K$153</definedName>
    <definedName name="Std4dot3e" localSheetId="20">'IWP19'!$K$153</definedName>
    <definedName name="Std4dot3e" localSheetId="21">'IWP20'!$K$153</definedName>
    <definedName name="Std4dot3e" localSheetId="22">'IWP21'!$K$153</definedName>
    <definedName name="Std4dot3e" localSheetId="23">'IWP22'!$K$153</definedName>
    <definedName name="Std4dot3e" localSheetId="24">'IWP23'!$K$153</definedName>
    <definedName name="Std4dot3e" localSheetId="25">'IWP24'!$K$153</definedName>
    <definedName name="Std4dot3e" localSheetId="26">'IWP25'!$K$153</definedName>
    <definedName name="Std4dot3e" localSheetId="27">'IWP26'!$K$153</definedName>
    <definedName name="Std4dot3e" localSheetId="28">'IWP27'!$K$153</definedName>
    <definedName name="Std4dot3e" localSheetId="29">'IWP28'!$K$153</definedName>
    <definedName name="Std4dot3e" localSheetId="30">'IWP29'!$K$153</definedName>
    <definedName name="Std4dot3e" localSheetId="31">'IWP30'!$K$153</definedName>
    <definedName name="Std4dot3NotCalc" localSheetId="2">'IWP01'!$K$144</definedName>
    <definedName name="Std4dot3NotCalc" localSheetId="3">'IWP02'!$K$144</definedName>
    <definedName name="Std4dot3NotCalc" localSheetId="4">'IWP03'!$K$144</definedName>
    <definedName name="Std4dot3NotCalc" localSheetId="5">'IWP04'!$K$144</definedName>
    <definedName name="Std4dot3NotCalc" localSheetId="6">'IWP05'!$K$144</definedName>
    <definedName name="Std4dot3NotCalc" localSheetId="7">'IWP06'!$K$144</definedName>
    <definedName name="Std4dot3NotCalc" localSheetId="8">'IWP07'!$K$144</definedName>
    <definedName name="Std4dot3NotCalc" localSheetId="9">'IWP08'!$K$144</definedName>
    <definedName name="Std4dot3NotCalc" localSheetId="10">'IWP09'!$K$144</definedName>
    <definedName name="Std4dot3NotCalc" localSheetId="11">'IWP10'!$K$144</definedName>
    <definedName name="Std4dot3NotCalc" localSheetId="12">'IWP11'!$K$144</definedName>
    <definedName name="Std4dot3NotCalc" localSheetId="13">'IWP12'!$K$144</definedName>
    <definedName name="Std4dot3NotCalc" localSheetId="14">'IWP13'!$K$144</definedName>
    <definedName name="Std4dot3NotCalc" localSheetId="15">'IWP14'!$K$144</definedName>
    <definedName name="Std4dot3NotCalc" localSheetId="16">'IWP15'!$K$144</definedName>
    <definedName name="Std4dot3NotCalc" localSheetId="17">'IWP16'!$K$144</definedName>
    <definedName name="Std4dot3NotCalc" localSheetId="18">'IWP17'!$K$144</definedName>
    <definedName name="Std4dot3NotCalc" localSheetId="19">'IWP18'!$K$144</definedName>
    <definedName name="Std4dot3NotCalc" localSheetId="20">'IWP19'!$K$144</definedName>
    <definedName name="Std4dot3NotCalc" localSheetId="21">'IWP20'!$K$144</definedName>
    <definedName name="Std4dot3NotCalc" localSheetId="22">'IWP21'!$K$144</definedName>
    <definedName name="Std4dot3NotCalc" localSheetId="23">'IWP22'!$K$144</definedName>
    <definedName name="Std4dot3NotCalc" localSheetId="24">'IWP23'!$K$144</definedName>
    <definedName name="Std4dot3NotCalc" localSheetId="25">'IWP24'!$K$144</definedName>
    <definedName name="Std4dot3NotCalc" localSheetId="26">'IWP25'!$K$144</definedName>
    <definedName name="Std4dot3NotCalc" localSheetId="27">'IWP26'!$K$144</definedName>
    <definedName name="Std4dot3NotCalc" localSheetId="28">'IWP27'!$K$144</definedName>
    <definedName name="Std4dot3NotCalc" localSheetId="29">'IWP28'!$K$144</definedName>
    <definedName name="Std4dot3NotCalc" localSheetId="30">'IWP29'!$K$144</definedName>
    <definedName name="Std4dot3NotCalc" localSheetId="31">'IWP30'!$K$144</definedName>
    <definedName name="Std4NotCalc" localSheetId="2">'IWP01'!$K$125</definedName>
    <definedName name="Std4NotCalc" localSheetId="3">'IWP02'!$K$125</definedName>
    <definedName name="Std4NotCalc" localSheetId="4">'IWP03'!$K$125</definedName>
    <definedName name="Std4NotCalc" localSheetId="5">'IWP04'!$K$125</definedName>
    <definedName name="Std4NotCalc" localSheetId="6">'IWP05'!$K$125</definedName>
    <definedName name="Std4NotCalc" localSheetId="7">'IWP06'!$K$125</definedName>
    <definedName name="Std4NotCalc" localSheetId="8">'IWP07'!$K$125</definedName>
    <definedName name="Std4NotCalc" localSheetId="9">'IWP08'!$K$125</definedName>
    <definedName name="Std4NotCalc" localSheetId="10">'IWP09'!$K$125</definedName>
    <definedName name="Std4NotCalc" localSheetId="11">'IWP10'!$K$125</definedName>
    <definedName name="Std4NotCalc" localSheetId="12">'IWP11'!$K$125</definedName>
    <definedName name="Std4NotCalc" localSheetId="13">'IWP12'!$K$125</definedName>
    <definedName name="Std4NotCalc" localSheetId="14">'IWP13'!$K$125</definedName>
    <definedName name="Std4NotCalc" localSheetId="15">'IWP14'!$K$125</definedName>
    <definedName name="Std4NotCalc" localSheetId="16">'IWP15'!$K$125</definedName>
    <definedName name="Std4NotCalc" localSheetId="17">'IWP16'!$K$125</definedName>
    <definedName name="Std4NotCalc" localSheetId="18">'IWP17'!$K$125</definedName>
    <definedName name="Std4NotCalc" localSheetId="19">'IWP18'!$K$125</definedName>
    <definedName name="Std4NotCalc" localSheetId="20">'IWP19'!$K$125</definedName>
    <definedName name="Std4NotCalc" localSheetId="21">'IWP20'!$K$125</definedName>
    <definedName name="Std4NotCalc" localSheetId="22">'IWP21'!$K$125</definedName>
    <definedName name="Std4NotCalc" localSheetId="23">'IWP22'!$K$125</definedName>
    <definedName name="Std4NotCalc" localSheetId="24">'IWP23'!$K$125</definedName>
    <definedName name="Std4NotCalc" localSheetId="25">'IWP24'!$K$125</definedName>
    <definedName name="Std4NotCalc" localSheetId="26">'IWP25'!$K$125</definedName>
    <definedName name="Std4NotCalc" localSheetId="27">'IWP26'!$K$125</definedName>
    <definedName name="Std4NotCalc" localSheetId="28">'IWP27'!$K$125</definedName>
    <definedName name="Std4NotCalc" localSheetId="29">'IWP28'!$K$125</definedName>
    <definedName name="Std4NotCalc" localSheetId="30">'IWP29'!$K$125</definedName>
    <definedName name="Std4NotCalc" localSheetId="31">'IWP30'!$K$125</definedName>
    <definedName name="Std5dot1" localSheetId="2">'IWP01'!$K$159</definedName>
    <definedName name="Std5dot1" localSheetId="3">'IWP02'!$K$159</definedName>
    <definedName name="Std5dot1" localSheetId="4">'IWP03'!$K$159</definedName>
    <definedName name="Std5dot1" localSheetId="5">'IWP04'!$K$159</definedName>
    <definedName name="Std5dot1" localSheetId="6">'IWP05'!$K$159</definedName>
    <definedName name="Std5dot1" localSheetId="7">'IWP06'!$K$159</definedName>
    <definedName name="Std5dot1" localSheetId="8">'IWP07'!$K$159</definedName>
    <definedName name="Std5dot1" localSheetId="9">'IWP08'!$K$159</definedName>
    <definedName name="Std5dot1" localSheetId="10">'IWP09'!$K$159</definedName>
    <definedName name="Std5dot1" localSheetId="11">'IWP10'!$K$159</definedName>
    <definedName name="Std5dot1" localSheetId="12">'IWP11'!$K$159</definedName>
    <definedName name="Std5dot1" localSheetId="13">'IWP12'!$K$159</definedName>
    <definedName name="Std5dot1" localSheetId="14">'IWP13'!$K$159</definedName>
    <definedName name="Std5dot1" localSheetId="15">'IWP14'!$K$159</definedName>
    <definedName name="Std5dot1" localSheetId="16">'IWP15'!$K$159</definedName>
    <definedName name="Std5dot1" localSheetId="17">'IWP16'!$K$159</definedName>
    <definedName name="Std5dot1" localSheetId="18">'IWP17'!$K$159</definedName>
    <definedName name="Std5dot1" localSheetId="19">'IWP18'!$K$159</definedName>
    <definedName name="Std5dot1" localSheetId="20">'IWP19'!$K$159</definedName>
    <definedName name="Std5dot1" localSheetId="21">'IWP20'!$K$159</definedName>
    <definedName name="Std5dot1" localSheetId="22">'IWP21'!$K$159</definedName>
    <definedName name="Std5dot1" localSheetId="23">'IWP22'!$K$159</definedName>
    <definedName name="Std5dot1" localSheetId="24">'IWP23'!$K$159</definedName>
    <definedName name="Std5dot1" localSheetId="25">'IWP24'!$K$159</definedName>
    <definedName name="Std5dot1" localSheetId="26">'IWP25'!$K$159</definedName>
    <definedName name="Std5dot1" localSheetId="27">'IWP26'!$K$159</definedName>
    <definedName name="Std5dot1" localSheetId="28">'IWP27'!$K$159</definedName>
    <definedName name="Std5dot1" localSheetId="29">'IWP28'!$K$159</definedName>
    <definedName name="Std5dot1" localSheetId="30">'IWP29'!$K$159</definedName>
    <definedName name="Std5dot1" localSheetId="31">'IWP30'!$K$159</definedName>
    <definedName name="Std6dot1" localSheetId="2">'IWP01'!$K$193</definedName>
    <definedName name="Std6dot1" localSheetId="3">'IWP02'!$K$193</definedName>
    <definedName name="Std6dot1" localSheetId="4">'IWP03'!$K$193</definedName>
    <definedName name="Std6dot1" localSheetId="5">'IWP04'!$K$193</definedName>
    <definedName name="Std6dot1" localSheetId="6">'IWP05'!$K$193</definedName>
    <definedName name="Std6dot1" localSheetId="7">'IWP06'!$K$193</definedName>
    <definedName name="Std6dot1" localSheetId="8">'IWP07'!$K$193</definedName>
    <definedName name="Std6dot1" localSheetId="9">'IWP08'!$K$193</definedName>
    <definedName name="Std6dot1" localSheetId="10">'IWP09'!$K$193</definedName>
    <definedName name="Std6dot1" localSheetId="11">'IWP10'!$K$193</definedName>
    <definedName name="Std6dot1" localSheetId="12">'IWP11'!$K$193</definedName>
    <definedName name="Std6dot1" localSheetId="13">'IWP12'!$K$193</definedName>
    <definedName name="Std6dot1" localSheetId="14">'IWP13'!$K$193</definedName>
    <definedName name="Std6dot1" localSheetId="15">'IWP14'!$K$193</definedName>
    <definedName name="Std6dot1" localSheetId="16">'IWP15'!$K$193</definedName>
    <definedName name="Std6dot1" localSheetId="17">'IWP16'!$K$193</definedName>
    <definedName name="Std6dot1" localSheetId="18">'IWP17'!$K$193</definedName>
    <definedName name="Std6dot1" localSheetId="19">'IWP18'!$K$193</definedName>
    <definedName name="Std6dot1" localSheetId="20">'IWP19'!$K$193</definedName>
    <definedName name="Std6dot1" localSheetId="21">'IWP20'!$K$193</definedName>
    <definedName name="Std6dot1" localSheetId="22">'IWP21'!$K$193</definedName>
    <definedName name="Std6dot1" localSheetId="23">'IWP22'!$K$193</definedName>
    <definedName name="Std6dot1" localSheetId="24">'IWP23'!$K$193</definedName>
    <definedName name="Std6dot1" localSheetId="25">'IWP24'!$K$193</definedName>
    <definedName name="Std6dot1" localSheetId="26">'IWP25'!$K$193</definedName>
    <definedName name="Std6dot1" localSheetId="27">'IWP26'!$K$193</definedName>
    <definedName name="Std6dot1" localSheetId="28">'IWP27'!$K$193</definedName>
    <definedName name="Std6dot1" localSheetId="29">'IWP28'!$K$193</definedName>
    <definedName name="Std6dot1" localSheetId="30">'IWP29'!$K$193</definedName>
    <definedName name="Std6dot1" localSheetId="31">'IWP30'!$K$193</definedName>
    <definedName name="Std6dot1NotCalc" localSheetId="2">'IWP01'!$K$176</definedName>
    <definedName name="Std6dot1NotCalc" localSheetId="3">'IWP02'!$K$176</definedName>
    <definedName name="Std6dot1NotCalc" localSheetId="4">'IWP03'!$K$176</definedName>
    <definedName name="Std6dot1NotCalc" localSheetId="5">'IWP04'!$K$176</definedName>
    <definedName name="Std6dot1NotCalc" localSheetId="6">'IWP05'!$K$176</definedName>
    <definedName name="Std6dot1NotCalc" localSheetId="7">'IWP06'!$K$176</definedName>
    <definedName name="Std6dot1NotCalc" localSheetId="8">'IWP07'!$K$176</definedName>
    <definedName name="Std6dot1NotCalc" localSheetId="9">'IWP08'!$K$176</definedName>
    <definedName name="Std6dot1NotCalc" localSheetId="10">'IWP09'!$K$176</definedName>
    <definedName name="Std6dot1NotCalc" localSheetId="11">'IWP10'!$K$176</definedName>
    <definedName name="Std6dot1NotCalc" localSheetId="12">'IWP11'!$K$176</definedName>
    <definedName name="Std6dot1NotCalc" localSheetId="13">'IWP12'!$K$176</definedName>
    <definedName name="Std6dot1NotCalc" localSheetId="14">'IWP13'!$K$176</definedName>
    <definedName name="Std6dot1NotCalc" localSheetId="15">'IWP14'!$K$176</definedName>
    <definedName name="Std6dot1NotCalc" localSheetId="16">'IWP15'!$K$176</definedName>
    <definedName name="Std6dot1NotCalc" localSheetId="17">'IWP16'!$K$176</definedName>
    <definedName name="Std6dot1NotCalc" localSheetId="18">'IWP17'!$K$176</definedName>
    <definedName name="Std6dot1NotCalc" localSheetId="19">'IWP18'!$K$176</definedName>
    <definedName name="Std6dot1NotCalc" localSheetId="20">'IWP19'!$K$176</definedName>
    <definedName name="Std6dot1NotCalc" localSheetId="21">'IWP20'!$K$176</definedName>
    <definedName name="Std6dot1NotCalc" localSheetId="22">'IWP21'!$K$176</definedName>
    <definedName name="Std6dot1NotCalc" localSheetId="23">'IWP22'!$K$176</definedName>
    <definedName name="Std6dot1NotCalc" localSheetId="24">'IWP23'!$K$176</definedName>
    <definedName name="Std6dot1NotCalc" localSheetId="25">'IWP24'!$K$176</definedName>
    <definedName name="Std6dot1NotCalc" localSheetId="26">'IWP25'!$K$176</definedName>
    <definedName name="Std6dot1NotCalc" localSheetId="27">'IWP26'!$K$176</definedName>
    <definedName name="Std6dot1NotCalc" localSheetId="28">'IWP27'!$K$176</definedName>
    <definedName name="Std6dot1NotCalc" localSheetId="29">'IWP28'!$K$176</definedName>
    <definedName name="Std6dot1NotCalc" localSheetId="30">'IWP29'!$K$176</definedName>
    <definedName name="Std6dot1NotCalc" localSheetId="31">'IWP30'!$K$176</definedName>
    <definedName name="Std6dot2" localSheetId="2">'IWP01'!$K$203</definedName>
    <definedName name="Std6dot2" localSheetId="3">'IWP02'!$K$203</definedName>
    <definedName name="Std6dot2" localSheetId="4">'IWP03'!$K$203</definedName>
    <definedName name="Std6dot2" localSheetId="5">'IWP04'!$K$203</definedName>
    <definedName name="Std6dot2" localSheetId="6">'IWP05'!$K$203</definedName>
    <definedName name="Std6dot2" localSheetId="7">'IWP06'!$K$203</definedName>
    <definedName name="Std6dot2" localSheetId="8">'IWP07'!$K$203</definedName>
    <definedName name="Std6dot2" localSheetId="9">'IWP08'!$K$203</definedName>
    <definedName name="Std6dot2" localSheetId="10">'IWP09'!$K$203</definedName>
    <definedName name="Std6dot2" localSheetId="11">'IWP10'!$K$203</definedName>
    <definedName name="Std6dot2" localSheetId="12">'IWP11'!$K$203</definedName>
    <definedName name="Std6dot2" localSheetId="13">'IWP12'!$K$203</definedName>
    <definedName name="Std6dot2" localSheetId="14">'IWP13'!$K$203</definedName>
    <definedName name="Std6dot2" localSheetId="15">'IWP14'!$K$203</definedName>
    <definedName name="Std6dot2" localSheetId="16">'IWP15'!$K$203</definedName>
    <definedName name="Std6dot2" localSheetId="17">'IWP16'!$K$203</definedName>
    <definedName name="Std6dot2" localSheetId="18">'IWP17'!$K$203</definedName>
    <definedName name="Std6dot2" localSheetId="19">'IWP18'!$K$203</definedName>
    <definedName name="Std6dot2" localSheetId="20">'IWP19'!$K$203</definedName>
    <definedName name="Std6dot2" localSheetId="21">'IWP20'!$K$203</definedName>
    <definedName name="Std6dot2" localSheetId="22">'IWP21'!$K$203</definedName>
    <definedName name="Std6dot2" localSheetId="23">'IWP22'!$K$203</definedName>
    <definedName name="Std6dot2" localSheetId="24">'IWP23'!$K$203</definedName>
    <definedName name="Std6dot2" localSheetId="25">'IWP24'!$K$203</definedName>
    <definedName name="Std6dot2" localSheetId="26">'IWP25'!$K$203</definedName>
    <definedName name="Std6dot2" localSheetId="27">'IWP26'!$K$203</definedName>
    <definedName name="Std6dot2" localSheetId="28">'IWP27'!$K$203</definedName>
    <definedName name="Std6dot2" localSheetId="29">'IWP28'!$K$203</definedName>
    <definedName name="Std6dot2" localSheetId="30">'IWP29'!$K$203</definedName>
    <definedName name="Std6dot2" localSheetId="31">'IWP30'!$K$203</definedName>
    <definedName name="Std6dot2a" localSheetId="2">'IWP01'!$K$198</definedName>
    <definedName name="Std6dot2a" localSheetId="3">'IWP02'!$K$198</definedName>
    <definedName name="Std6dot2a" localSheetId="4">'IWP03'!$K$198</definedName>
    <definedName name="Std6dot2a" localSheetId="5">'IWP04'!$K$198</definedName>
    <definedName name="Std6dot2a" localSheetId="6">'IWP05'!$K$198</definedName>
    <definedName name="Std6dot2a" localSheetId="7">'IWP06'!$K$198</definedName>
    <definedName name="Std6dot2a" localSheetId="8">'IWP07'!$K$198</definedName>
    <definedName name="Std6dot2a" localSheetId="9">'IWP08'!$K$198</definedName>
    <definedName name="Std6dot2a" localSheetId="10">'IWP09'!$K$198</definedName>
    <definedName name="Std6dot2a" localSheetId="11">'IWP10'!$K$198</definedName>
    <definedName name="Std6dot2a" localSheetId="12">'IWP11'!$K$198</definedName>
    <definedName name="Std6dot2a" localSheetId="13">'IWP12'!$K$198</definedName>
    <definedName name="Std6dot2a" localSheetId="14">'IWP13'!$K$198</definedName>
    <definedName name="Std6dot2a" localSheetId="15">'IWP14'!$K$198</definedName>
    <definedName name="Std6dot2a" localSheetId="16">'IWP15'!$K$198</definedName>
    <definedName name="Std6dot2a" localSheetId="17">'IWP16'!$K$198</definedName>
    <definedName name="Std6dot2a" localSheetId="18">'IWP17'!$K$198</definedName>
    <definedName name="Std6dot2a" localSheetId="19">'IWP18'!$K$198</definedName>
    <definedName name="Std6dot2a" localSheetId="20">'IWP19'!$K$198</definedName>
    <definedName name="Std6dot2a" localSheetId="21">'IWP20'!$K$198</definedName>
    <definedName name="Std6dot2a" localSheetId="22">'IWP21'!$K$198</definedName>
    <definedName name="Std6dot2a" localSheetId="23">'IWP22'!$K$198</definedName>
    <definedName name="Std6dot2a" localSheetId="24">'IWP23'!$K$198</definedName>
    <definedName name="Std6dot2a" localSheetId="25">'IWP24'!$K$198</definedName>
    <definedName name="Std6dot2a" localSheetId="26">'IWP25'!$K$198</definedName>
    <definedName name="Std6dot2a" localSheetId="27">'IWP26'!$K$198</definedName>
    <definedName name="Std6dot2a" localSheetId="28">'IWP27'!$K$198</definedName>
    <definedName name="Std6dot2a" localSheetId="29">'IWP28'!$K$198</definedName>
    <definedName name="Std6dot2a" localSheetId="30">'IWP29'!$K$198</definedName>
    <definedName name="Std6dot2a" localSheetId="31">'IWP30'!$K$198</definedName>
    <definedName name="Std6dot2b" localSheetId="2">'IWP01'!$K$199</definedName>
    <definedName name="Std6dot2b" localSheetId="3">'IWP02'!$K$199</definedName>
    <definedName name="Std6dot2b" localSheetId="4">'IWP03'!$K$199</definedName>
    <definedName name="Std6dot2b" localSheetId="5">'IWP04'!$K$199</definedName>
    <definedName name="Std6dot2b" localSheetId="6">'IWP05'!$K$199</definedName>
    <definedName name="Std6dot2b" localSheetId="7">'IWP06'!$K$199</definedName>
    <definedName name="Std6dot2b" localSheetId="8">'IWP07'!$K$199</definedName>
    <definedName name="Std6dot2b" localSheetId="9">'IWP08'!$K$199</definedName>
    <definedName name="Std6dot2b" localSheetId="10">'IWP09'!$K$199</definedName>
    <definedName name="Std6dot2b" localSheetId="11">'IWP10'!$K$199</definedName>
    <definedName name="Std6dot2b" localSheetId="12">'IWP11'!$K$199</definedName>
    <definedName name="Std6dot2b" localSheetId="13">'IWP12'!$K$199</definedName>
    <definedName name="Std6dot2b" localSheetId="14">'IWP13'!$K$199</definedName>
    <definedName name="Std6dot2b" localSheetId="15">'IWP14'!$K$199</definedName>
    <definedName name="Std6dot2b" localSheetId="16">'IWP15'!$K$199</definedName>
    <definedName name="Std6dot2b" localSheetId="17">'IWP16'!$K$199</definedName>
    <definedName name="Std6dot2b" localSheetId="18">'IWP17'!$K$199</definedName>
    <definedName name="Std6dot2b" localSheetId="19">'IWP18'!$K$199</definedName>
    <definedName name="Std6dot2b" localSheetId="20">'IWP19'!$K$199</definedName>
    <definedName name="Std6dot2b" localSheetId="21">'IWP20'!$K$199</definedName>
    <definedName name="Std6dot2b" localSheetId="22">'IWP21'!$K$199</definedName>
    <definedName name="Std6dot2b" localSheetId="23">'IWP22'!$K$199</definedName>
    <definedName name="Std6dot2b" localSheetId="24">'IWP23'!$K$199</definedName>
    <definedName name="Std6dot2b" localSheetId="25">'IWP24'!$K$199</definedName>
    <definedName name="Std6dot2b" localSheetId="26">'IWP25'!$K$199</definedName>
    <definedName name="Std6dot2b" localSheetId="27">'IWP26'!$K$199</definedName>
    <definedName name="Std6dot2b" localSheetId="28">'IWP27'!$K$199</definedName>
    <definedName name="Std6dot2b" localSheetId="29">'IWP28'!$K$199</definedName>
    <definedName name="Std6dot2b" localSheetId="30">'IWP29'!$K$199</definedName>
    <definedName name="Std6dot2b" localSheetId="31">'IWP30'!$K$199</definedName>
    <definedName name="Std6dot2c" localSheetId="2">'IWP01'!$K$200</definedName>
    <definedName name="Std6dot2c" localSheetId="3">'IWP02'!$K$200</definedName>
    <definedName name="Std6dot2c" localSheetId="4">'IWP03'!$K$200</definedName>
    <definedName name="Std6dot2c" localSheetId="5">'IWP04'!$K$200</definedName>
    <definedName name="Std6dot2c" localSheetId="6">'IWP05'!$K$200</definedName>
    <definedName name="Std6dot2c" localSheetId="7">'IWP06'!$K$200</definedName>
    <definedName name="Std6dot2c" localSheetId="8">'IWP07'!$K$200</definedName>
    <definedName name="Std6dot2c" localSheetId="9">'IWP08'!$K$200</definedName>
    <definedName name="Std6dot2c" localSheetId="10">'IWP09'!$K$200</definedName>
    <definedName name="Std6dot2c" localSheetId="11">'IWP10'!$K$200</definedName>
    <definedName name="Std6dot2c" localSheetId="12">'IWP11'!$K$200</definedName>
    <definedName name="Std6dot2c" localSheetId="13">'IWP12'!$K$200</definedName>
    <definedName name="Std6dot2c" localSheetId="14">'IWP13'!$K$200</definedName>
    <definedName name="Std6dot2c" localSheetId="15">'IWP14'!$K$200</definedName>
    <definedName name="Std6dot2c" localSheetId="16">'IWP15'!$K$200</definedName>
    <definedName name="Std6dot2c" localSheetId="17">'IWP16'!$K$200</definedName>
    <definedName name="Std6dot2c" localSheetId="18">'IWP17'!$K$200</definedName>
    <definedName name="Std6dot2c" localSheetId="19">'IWP18'!$K$200</definedName>
    <definedName name="Std6dot2c" localSheetId="20">'IWP19'!$K$200</definedName>
    <definedName name="Std6dot2c" localSheetId="21">'IWP20'!$K$200</definedName>
    <definedName name="Std6dot2c" localSheetId="22">'IWP21'!$K$200</definedName>
    <definedName name="Std6dot2c" localSheetId="23">'IWP22'!$K$200</definedName>
    <definedName name="Std6dot2c" localSheetId="24">'IWP23'!$K$200</definedName>
    <definedName name="Std6dot2c" localSheetId="25">'IWP24'!$K$200</definedName>
    <definedName name="Std6dot2c" localSheetId="26">'IWP25'!$K$200</definedName>
    <definedName name="Std6dot2c" localSheetId="27">'IWP26'!$K$200</definedName>
    <definedName name="Std6dot2c" localSheetId="28">'IWP27'!$K$200</definedName>
    <definedName name="Std6dot2c" localSheetId="29">'IWP28'!$K$200</definedName>
    <definedName name="Std6dot2c" localSheetId="30">'IWP29'!$K$200</definedName>
    <definedName name="Std6dot2c" localSheetId="31">'IWP30'!$K$200</definedName>
    <definedName name="Std6dot2d" localSheetId="2">'IWP01'!$K$201</definedName>
    <definedName name="Std6dot2d" localSheetId="3">'IWP02'!$K$201</definedName>
    <definedName name="Std6dot2d" localSheetId="4">'IWP03'!$K$201</definedName>
    <definedName name="Std6dot2d" localSheetId="5">'IWP04'!$K$201</definedName>
    <definedName name="Std6dot2d" localSheetId="6">'IWP05'!$K$201</definedName>
    <definedName name="Std6dot2d" localSheetId="7">'IWP06'!$K$201</definedName>
    <definedName name="Std6dot2d" localSheetId="8">'IWP07'!$K$201</definedName>
    <definedName name="Std6dot2d" localSheetId="9">'IWP08'!$K$201</definedName>
    <definedName name="Std6dot2d" localSheetId="10">'IWP09'!$K$201</definedName>
    <definedName name="Std6dot2d" localSheetId="11">'IWP10'!$K$201</definedName>
    <definedName name="Std6dot2d" localSheetId="12">'IWP11'!$K$201</definedName>
    <definedName name="Std6dot2d" localSheetId="13">'IWP12'!$K$201</definedName>
    <definedName name="Std6dot2d" localSheetId="14">'IWP13'!$K$201</definedName>
    <definedName name="Std6dot2d" localSheetId="15">'IWP14'!$K$201</definedName>
    <definedName name="Std6dot2d" localSheetId="16">'IWP15'!$K$201</definedName>
    <definedName name="Std6dot2d" localSheetId="17">'IWP16'!$K$201</definedName>
    <definedName name="Std6dot2d" localSheetId="18">'IWP17'!$K$201</definedName>
    <definedName name="Std6dot2d" localSheetId="19">'IWP18'!$K$201</definedName>
    <definedName name="Std6dot2d" localSheetId="20">'IWP19'!$K$201</definedName>
    <definedName name="Std6dot2d" localSheetId="21">'IWP20'!$K$201</definedName>
    <definedName name="Std6dot2d" localSheetId="22">'IWP21'!$K$201</definedName>
    <definedName name="Std6dot2d" localSheetId="23">'IWP22'!$K$201</definedName>
    <definedName name="Std6dot2d" localSheetId="24">'IWP23'!$K$201</definedName>
    <definedName name="Std6dot2d" localSheetId="25">'IWP24'!$K$201</definedName>
    <definedName name="Std6dot2d" localSheetId="26">'IWP25'!$K$201</definedName>
    <definedName name="Std6dot2d" localSheetId="27">'IWP26'!$K$201</definedName>
    <definedName name="Std6dot2d" localSheetId="28">'IWP27'!$K$201</definedName>
    <definedName name="Std6dot2d" localSheetId="29">'IWP28'!$K$201</definedName>
    <definedName name="Std6dot2d" localSheetId="30">'IWP29'!$K$201</definedName>
    <definedName name="Std6dot2d" localSheetId="31">'IWP30'!$K$201</definedName>
    <definedName name="Std6dot2DateOfNoteOfXfer" localSheetId="2">'IWP01'!$K$197</definedName>
    <definedName name="Std6dot2DateOfNoteOfXfer" localSheetId="3">'IWP02'!$K$197</definedName>
    <definedName name="Std6dot2DateOfNoteOfXfer" localSheetId="4">'IWP03'!$K$197</definedName>
    <definedName name="Std6dot2DateOfNoteOfXfer" localSheetId="5">'IWP04'!$K$197</definedName>
    <definedName name="Std6dot2DateOfNoteOfXfer" localSheetId="6">'IWP05'!$K$197</definedName>
    <definedName name="Std6dot2DateOfNoteOfXfer" localSheetId="7">'IWP06'!$K$197</definedName>
    <definedName name="Std6dot2DateOfNoteOfXfer" localSheetId="8">'IWP07'!$K$197</definedName>
    <definedName name="Std6dot2DateOfNoteOfXfer" localSheetId="9">'IWP08'!$K$197</definedName>
    <definedName name="Std6dot2DateOfNoteOfXfer" localSheetId="10">'IWP09'!$K$197</definedName>
    <definedName name="Std6dot2DateOfNoteOfXfer" localSheetId="11">'IWP10'!$K$197</definedName>
    <definedName name="Std6dot2DateOfNoteOfXfer" localSheetId="12">'IWP11'!$K$197</definedName>
    <definedName name="Std6dot2DateOfNoteOfXfer" localSheetId="13">'IWP12'!$K$197</definedName>
    <definedName name="Std6dot2DateOfNoteOfXfer" localSheetId="14">'IWP13'!$K$197</definedName>
    <definedName name="Std6dot2DateOfNoteOfXfer" localSheetId="15">'IWP14'!$K$197</definedName>
    <definedName name="Std6dot2DateOfNoteOfXfer" localSheetId="16">'IWP15'!$K$197</definedName>
    <definedName name="Std6dot2DateOfNoteOfXfer" localSheetId="17">'IWP16'!$K$197</definedName>
    <definedName name="Std6dot2DateOfNoteOfXfer" localSheetId="18">'IWP17'!$K$197</definedName>
    <definedName name="Std6dot2DateOfNoteOfXfer" localSheetId="19">'IWP18'!$K$197</definedName>
    <definedName name="Std6dot2DateOfNoteOfXfer" localSheetId="20">'IWP19'!$K$197</definedName>
    <definedName name="Std6dot2DateOfNoteOfXfer" localSheetId="21">'IWP20'!$K$197</definedName>
    <definedName name="Std6dot2DateOfNoteOfXfer" localSheetId="22">'IWP21'!$K$197</definedName>
    <definedName name="Std6dot2DateOfNoteOfXfer" localSheetId="23">'IWP22'!$K$197</definedName>
    <definedName name="Std6dot2DateOfNoteOfXfer" localSheetId="24">'IWP23'!$K$197</definedName>
    <definedName name="Std6dot2DateOfNoteOfXfer" localSheetId="25">'IWP24'!$K$197</definedName>
    <definedName name="Std6dot2DateOfNoteOfXfer" localSheetId="26">'IWP25'!$K$197</definedName>
    <definedName name="Std6dot2DateOfNoteOfXfer" localSheetId="27">'IWP26'!$K$197</definedName>
    <definedName name="Std6dot2DateOfNoteOfXfer" localSheetId="28">'IWP27'!$K$197</definedName>
    <definedName name="Std6dot2DateOfNoteOfXfer" localSheetId="29">'IWP28'!$K$197</definedName>
    <definedName name="Std6dot2DateOfNoteOfXfer" localSheetId="30">'IWP29'!$K$197</definedName>
    <definedName name="Std6dot2DateOfNoteOfXfer" localSheetId="31">'IWP30'!$K$197</definedName>
    <definedName name="Std6dot2e" localSheetId="2">'IWP01'!$K$202</definedName>
    <definedName name="Std6dot2e" localSheetId="3">'IWP02'!$K$202</definedName>
    <definedName name="Std6dot2e" localSheetId="4">'IWP03'!$K$202</definedName>
    <definedName name="Std6dot2e" localSheetId="5">'IWP04'!$K$202</definedName>
    <definedName name="Std6dot2e" localSheetId="6">'IWP05'!$K$202</definedName>
    <definedName name="Std6dot2e" localSheetId="7">'IWP06'!$K$202</definedName>
    <definedName name="Std6dot2e" localSheetId="8">'IWP07'!$K$202</definedName>
    <definedName name="Std6dot2e" localSheetId="9">'IWP08'!$K$202</definedName>
    <definedName name="Std6dot2e" localSheetId="10">'IWP09'!$K$202</definedName>
    <definedName name="Std6dot2e" localSheetId="11">'IWP10'!$K$202</definedName>
    <definedName name="Std6dot2e" localSheetId="12">'IWP11'!$K$202</definedName>
    <definedName name="Std6dot2e" localSheetId="13">'IWP12'!$K$202</definedName>
    <definedName name="Std6dot2e" localSheetId="14">'IWP13'!$K$202</definedName>
    <definedName name="Std6dot2e" localSheetId="15">'IWP14'!$K$202</definedName>
    <definedName name="Std6dot2e" localSheetId="16">'IWP15'!$K$202</definedName>
    <definedName name="Std6dot2e" localSheetId="17">'IWP16'!$K$202</definedName>
    <definedName name="Std6dot2e" localSheetId="18">'IWP17'!$K$202</definedName>
    <definedName name="Std6dot2e" localSheetId="19">'IWP18'!$K$202</definedName>
    <definedName name="Std6dot2e" localSheetId="20">'IWP19'!$K$202</definedName>
    <definedName name="Std6dot2e" localSheetId="21">'IWP20'!$K$202</definedName>
    <definedName name="Std6dot2e" localSheetId="22">'IWP21'!$K$202</definedName>
    <definedName name="Std6dot2e" localSheetId="23">'IWP22'!$K$202</definedName>
    <definedName name="Std6dot2e" localSheetId="24">'IWP23'!$K$202</definedName>
    <definedName name="Std6dot2e" localSheetId="25">'IWP24'!$K$202</definedName>
    <definedName name="Std6dot2e" localSheetId="26">'IWP25'!$K$202</definedName>
    <definedName name="Std6dot2e" localSheetId="27">'IWP26'!$K$202</definedName>
    <definedName name="Std6dot2e" localSheetId="28">'IWP27'!$K$202</definedName>
    <definedName name="Std6dot2e" localSheetId="29">'IWP28'!$K$202</definedName>
    <definedName name="Std6dot2e" localSheetId="30">'IWP29'!$K$202</definedName>
    <definedName name="Std6dot2e" localSheetId="31">'IWP30'!$K$202</definedName>
    <definedName name="Std6dot2NotCalc" localSheetId="2">'IWP01'!$K$195</definedName>
    <definedName name="Std6dot2NotCalc" localSheetId="3">'IWP02'!$K$195</definedName>
    <definedName name="Std6dot2NotCalc" localSheetId="4">'IWP03'!$K$195</definedName>
    <definedName name="Std6dot2NotCalc" localSheetId="5">'IWP04'!$K$195</definedName>
    <definedName name="Std6dot2NotCalc" localSheetId="6">'IWP05'!$K$195</definedName>
    <definedName name="Std6dot2NotCalc" localSheetId="7">'IWP06'!$K$195</definedName>
    <definedName name="Std6dot2NotCalc" localSheetId="8">'IWP07'!$K$195</definedName>
    <definedName name="Std6dot2NotCalc" localSheetId="9">'IWP08'!$K$195</definedName>
    <definedName name="Std6dot2NotCalc" localSheetId="10">'IWP09'!$K$195</definedName>
    <definedName name="Std6dot2NotCalc" localSheetId="11">'IWP10'!$K$195</definedName>
    <definedName name="Std6dot2NotCalc" localSheetId="12">'IWP11'!$K$195</definedName>
    <definedName name="Std6dot2NotCalc" localSheetId="13">'IWP12'!$K$195</definedName>
    <definedName name="Std6dot2NotCalc" localSheetId="14">'IWP13'!$K$195</definedName>
    <definedName name="Std6dot2NotCalc" localSheetId="15">'IWP14'!$K$195</definedName>
    <definedName name="Std6dot2NotCalc" localSheetId="16">'IWP15'!$K$195</definedName>
    <definedName name="Std6dot2NotCalc" localSheetId="17">'IWP16'!$K$195</definedName>
    <definedName name="Std6dot2NotCalc" localSheetId="18">'IWP17'!$K$195</definedName>
    <definedName name="Std6dot2NotCalc" localSheetId="19">'IWP18'!$K$195</definedName>
    <definedName name="Std6dot2NotCalc" localSheetId="20">'IWP19'!$K$195</definedName>
    <definedName name="Std6dot2NotCalc" localSheetId="21">'IWP20'!$K$195</definedName>
    <definedName name="Std6dot2NotCalc" localSheetId="22">'IWP21'!$K$195</definedName>
    <definedName name="Std6dot2NotCalc" localSheetId="23">'IWP22'!$K$195</definedName>
    <definedName name="Std6dot2NotCalc" localSheetId="24">'IWP23'!$K$195</definedName>
    <definedName name="Std6dot2NotCalc" localSheetId="25">'IWP24'!$K$195</definedName>
    <definedName name="Std6dot2NotCalc" localSheetId="26">'IWP25'!$K$195</definedName>
    <definedName name="Std6dot2NotCalc" localSheetId="27">'IWP26'!$K$195</definedName>
    <definedName name="Std6dot2NotCalc" localSheetId="28">'IWP27'!$K$195</definedName>
    <definedName name="Std6dot2NotCalc" localSheetId="29">'IWP28'!$K$195</definedName>
    <definedName name="Std6dot2NotCalc" localSheetId="30">'IWP29'!$K$195</definedName>
    <definedName name="Std6dot2NotCalc" localSheetId="31">'IWP30'!$K$195</definedName>
    <definedName name="Std7dot1" localSheetId="2">'IWP01'!$K$259</definedName>
    <definedName name="Std7dot1" localSheetId="3">'IWP02'!$K$259</definedName>
    <definedName name="Std7dot1" localSheetId="4">'IWP03'!$K$259</definedName>
    <definedName name="Std7dot1" localSheetId="5">'IWP04'!$K$259</definedName>
    <definedName name="Std7dot1" localSheetId="6">'IWP05'!$K$259</definedName>
    <definedName name="Std7dot1" localSheetId="7">'IWP06'!$K$259</definedName>
    <definedName name="Std7dot1" localSheetId="8">'IWP07'!$K$259</definedName>
    <definedName name="Std7dot1" localSheetId="9">'IWP08'!$K$259</definedName>
    <definedName name="Std7dot1" localSheetId="10">'IWP09'!$K$259</definedName>
    <definedName name="Std7dot1" localSheetId="11">'IWP10'!$K$259</definedName>
    <definedName name="Std7dot1" localSheetId="12">'IWP11'!$K$259</definedName>
    <definedName name="Std7dot1" localSheetId="13">'IWP12'!$K$259</definedName>
    <definedName name="Std7dot1" localSheetId="14">'IWP13'!$K$259</definedName>
    <definedName name="Std7dot1" localSheetId="15">'IWP14'!$K$259</definedName>
    <definedName name="Std7dot1" localSheetId="16">'IWP15'!$K$259</definedName>
    <definedName name="Std7dot1" localSheetId="17">'IWP16'!$K$259</definedName>
    <definedName name="Std7dot1" localSheetId="18">'IWP17'!$K$259</definedName>
    <definedName name="Std7dot1" localSheetId="19">'IWP18'!$K$259</definedName>
    <definedName name="Std7dot1" localSheetId="20">'IWP19'!$K$259</definedName>
    <definedName name="Std7dot1" localSheetId="21">'IWP20'!$K$259</definedName>
    <definedName name="Std7dot1" localSheetId="22">'IWP21'!$K$259</definedName>
    <definedName name="Std7dot1" localSheetId="23">'IWP22'!$K$259</definedName>
    <definedName name="Std7dot1" localSheetId="24">'IWP23'!$K$259</definedName>
    <definedName name="Std7dot1" localSheetId="25">'IWP24'!$K$259</definedName>
    <definedName name="Std7dot1" localSheetId="26">'IWP25'!$K$259</definedName>
    <definedName name="Std7dot1" localSheetId="27">'IWP26'!$K$259</definedName>
    <definedName name="Std7dot1" localSheetId="28">'IWP27'!$K$259</definedName>
    <definedName name="Std7dot1" localSheetId="29">'IWP28'!$K$259</definedName>
    <definedName name="Std7dot1" localSheetId="30">'IWP29'!$K$259</definedName>
    <definedName name="Std7dot1" localSheetId="31">'IWP30'!$K$259</definedName>
    <definedName name="Std7dot2" localSheetId="2">'IWP01'!$K$260</definedName>
    <definedName name="Std7dot2" localSheetId="3">'IWP02'!$K$260</definedName>
    <definedName name="Std7dot2" localSheetId="4">'IWP03'!$K$260</definedName>
    <definedName name="Std7dot2" localSheetId="5">'IWP04'!$K$260</definedName>
    <definedName name="Std7dot2" localSheetId="6">'IWP05'!$K$260</definedName>
    <definedName name="Std7dot2" localSheetId="7">'IWP06'!$K$260</definedName>
    <definedName name="Std7dot2" localSheetId="8">'IWP07'!$K$260</definedName>
    <definedName name="Std7dot2" localSheetId="9">'IWP08'!$K$260</definedName>
    <definedName name="Std7dot2" localSheetId="10">'IWP09'!$K$260</definedName>
    <definedName name="Std7dot2" localSheetId="11">'IWP10'!$K$260</definedName>
    <definedName name="Std7dot2" localSheetId="12">'IWP11'!$K$260</definedName>
    <definedName name="Std7dot2" localSheetId="13">'IWP12'!$K$260</definedName>
    <definedName name="Std7dot2" localSheetId="14">'IWP13'!$K$260</definedName>
    <definedName name="Std7dot2" localSheetId="15">'IWP14'!$K$260</definedName>
    <definedName name="Std7dot2" localSheetId="16">'IWP15'!$K$260</definedName>
    <definedName name="Std7dot2" localSheetId="17">'IWP16'!$K$260</definedName>
    <definedName name="Std7dot2" localSheetId="18">'IWP17'!$K$260</definedName>
    <definedName name="Std7dot2" localSheetId="19">'IWP18'!$K$260</definedName>
    <definedName name="Std7dot2" localSheetId="20">'IWP19'!$K$260</definedName>
    <definedName name="Std7dot2" localSheetId="21">'IWP20'!$K$260</definedName>
    <definedName name="Std7dot2" localSheetId="22">'IWP21'!$K$260</definedName>
    <definedName name="Std7dot2" localSheetId="23">'IWP22'!$K$260</definedName>
    <definedName name="Std7dot2" localSheetId="24">'IWP23'!$K$260</definedName>
    <definedName name="Std7dot2" localSheetId="25">'IWP24'!$K$260</definedName>
    <definedName name="Std7dot2" localSheetId="26">'IWP25'!$K$260</definedName>
    <definedName name="Std7dot2" localSheetId="27">'IWP26'!$K$260</definedName>
    <definedName name="Std7dot2" localSheetId="28">'IWP27'!$K$260</definedName>
    <definedName name="Std7dot2" localSheetId="29">'IWP28'!$K$260</definedName>
    <definedName name="Std7dot2" localSheetId="30">'IWP29'!$K$260</definedName>
    <definedName name="Std7dot2" localSheetId="31">'IWP30'!$K$260</definedName>
    <definedName name="Std7NotCalc" localSheetId="2">'IWP01'!$K$206</definedName>
    <definedName name="Std7NotCalc" localSheetId="3">'IWP02'!$K$206</definedName>
    <definedName name="Std7NotCalc" localSheetId="4">'IWP03'!$K$206</definedName>
    <definedName name="Std7NotCalc" localSheetId="5">'IWP04'!$K$206</definedName>
    <definedName name="Std7NotCalc" localSheetId="6">'IWP05'!$K$206</definedName>
    <definedName name="Std7NotCalc" localSheetId="7">'IWP06'!$K$206</definedName>
    <definedName name="Std7NotCalc" localSheetId="8">'IWP07'!$K$206</definedName>
    <definedName name="Std7NotCalc" localSheetId="9">'IWP08'!$K$206</definedName>
    <definedName name="Std7NotCalc" localSheetId="10">'IWP09'!$K$206</definedName>
    <definedName name="Std7NotCalc" localSheetId="11">'IWP10'!$K$206</definedName>
    <definedName name="Std7NotCalc" localSheetId="12">'IWP11'!$K$206</definedName>
    <definedName name="Std7NotCalc" localSheetId="13">'IWP12'!$K$206</definedName>
    <definedName name="Std7NotCalc" localSheetId="14">'IWP13'!$K$206</definedName>
    <definedName name="Std7NotCalc" localSheetId="15">'IWP14'!$K$206</definedName>
    <definedName name="Std7NotCalc" localSheetId="16">'IWP15'!$K$206</definedName>
    <definedName name="Std7NotCalc" localSheetId="17">'IWP16'!$K$206</definedName>
    <definedName name="Std7NotCalc" localSheetId="18">'IWP17'!$K$206</definedName>
    <definedName name="Std7NotCalc" localSheetId="19">'IWP18'!$K$206</definedName>
    <definedName name="Std7NotCalc" localSheetId="20">'IWP19'!$K$206</definedName>
    <definedName name="Std7NotCalc" localSheetId="21">'IWP20'!$K$206</definedName>
    <definedName name="Std7NotCalc" localSheetId="22">'IWP21'!$K$206</definedName>
    <definedName name="Std7NotCalc" localSheetId="23">'IWP22'!$K$206</definedName>
    <definedName name="Std7NotCalc" localSheetId="24">'IWP23'!$K$206</definedName>
    <definedName name="Std7NotCalc" localSheetId="25">'IWP24'!$K$206</definedName>
    <definedName name="Std7NotCalc" localSheetId="26">'IWP25'!$K$206</definedName>
    <definedName name="Std7NotCalc" localSheetId="27">'IWP26'!$K$206</definedName>
    <definedName name="Std7NotCalc" localSheetId="28">'IWP27'!$K$206</definedName>
    <definedName name="Std7NotCalc" localSheetId="29">'IWP28'!$K$206</definedName>
    <definedName name="Std7NotCalc" localSheetId="30">'IWP29'!$K$206</definedName>
    <definedName name="Std7NotCalc" localSheetId="31">'IWP30'!$K$206</definedName>
    <definedName name="Std7PayrollEmploymentRequirements" localSheetId="2">'IWP01'!$A$239:$M$258</definedName>
    <definedName name="Std7PayrollEmploymentRequirements" localSheetId="3">'IWP02'!$A$239:$M$258</definedName>
    <definedName name="Std7PayrollEmploymentRequirements" localSheetId="4">'IWP03'!$A$239:$M$258</definedName>
    <definedName name="Std7PayrollEmploymentRequirements" localSheetId="5">'IWP04'!$A$239:$M$258</definedName>
    <definedName name="Std7PayrollEmploymentRequirements" localSheetId="6">'IWP05'!$A$239:$M$258</definedName>
    <definedName name="Std7PayrollEmploymentRequirements" localSheetId="7">'IWP06'!$A$239:$M$258</definedName>
    <definedName name="Std7PayrollEmploymentRequirements" localSheetId="8">'IWP07'!$A$239:$M$258</definedName>
    <definedName name="Std7PayrollEmploymentRequirements" localSheetId="9">'IWP08'!$A$239:$M$258</definedName>
    <definedName name="Std7PayrollEmploymentRequirements" localSheetId="10">'IWP09'!$A$239:$M$258</definedName>
    <definedName name="Std7PayrollEmploymentRequirements" localSheetId="11">'IWP10'!$A$239:$M$258</definedName>
    <definedName name="Std7PayrollEmploymentRequirements" localSheetId="12">'IWP11'!$A$239:$M$258</definedName>
    <definedName name="Std7PayrollEmploymentRequirements" localSheetId="13">'IWP12'!$A$239:$M$258</definedName>
    <definedName name="Std7PayrollEmploymentRequirements" localSheetId="14">'IWP13'!$A$239:$M$258</definedName>
    <definedName name="Std7PayrollEmploymentRequirements" localSheetId="15">'IWP14'!$A$239:$M$258</definedName>
    <definedName name="Std7PayrollEmploymentRequirements" localSheetId="16">'IWP15'!$A$239:$M$258</definedName>
    <definedName name="Std7PayrollEmploymentRequirements" localSheetId="17">'IWP16'!$A$239:$M$258</definedName>
    <definedName name="Std7PayrollEmploymentRequirements" localSheetId="18">'IWP17'!$A$239:$M$258</definedName>
    <definedName name="Std7PayrollEmploymentRequirements" localSheetId="19">'IWP18'!$A$239:$M$258</definedName>
    <definedName name="Std7PayrollEmploymentRequirements" localSheetId="20">'IWP19'!$A$239:$M$258</definedName>
    <definedName name="Std7PayrollEmploymentRequirements" localSheetId="21">'IWP20'!$A$239:$M$258</definedName>
    <definedName name="Std7PayrollEmploymentRequirements" localSheetId="22">'IWP21'!$A$239:$M$258</definedName>
    <definedName name="Std7PayrollEmploymentRequirements" localSheetId="23">'IWP22'!$A$239:$M$258</definedName>
    <definedName name="Std7PayrollEmploymentRequirements" localSheetId="24">'IWP23'!$A$239:$M$258</definedName>
    <definedName name="Std7PayrollEmploymentRequirements" localSheetId="25">'IWP24'!$A$239:$M$258</definedName>
    <definedName name="Std7PayrollEmploymentRequirements" localSheetId="26">'IWP25'!$A$239:$M$258</definedName>
    <definedName name="Std7PayrollEmploymentRequirements" localSheetId="27">'IWP26'!$A$239:$M$258</definedName>
    <definedName name="Std7PayrollEmploymentRequirements" localSheetId="28">'IWP27'!$A$239:$M$258</definedName>
    <definedName name="Std7PayrollEmploymentRequirements" localSheetId="29">'IWP28'!$A$239:$M$258</definedName>
    <definedName name="Std7PayrollEmploymentRequirements" localSheetId="30">'IWP29'!$A$239:$M$258</definedName>
    <definedName name="Std7PayrollEmploymentRequirements" localSheetId="31">'IWP30'!$A$239:$M$258</definedName>
    <definedName name="Std8dot1" localSheetId="2">'IWP01'!$K$270</definedName>
    <definedName name="Std8dot1" localSheetId="3">'IWP02'!$K$270</definedName>
    <definedName name="Std8dot1" localSheetId="4">'IWP03'!$K$270</definedName>
    <definedName name="Std8dot1" localSheetId="5">'IWP04'!$K$270</definedName>
    <definedName name="Std8dot1" localSheetId="6">'IWP05'!$K$270</definedName>
    <definedName name="Std8dot1" localSheetId="7">'IWP06'!$K$270</definedName>
    <definedName name="Std8dot1" localSheetId="8">'IWP07'!$K$270</definedName>
    <definedName name="Std8dot1" localSheetId="9">'IWP08'!$K$270</definedName>
    <definedName name="Std8dot1" localSheetId="10">'IWP09'!$K$270</definedName>
    <definedName name="Std8dot1" localSheetId="11">'IWP10'!$K$270</definedName>
    <definedName name="Std8dot1" localSheetId="12">'IWP11'!$K$270</definedName>
    <definedName name="Std8dot1" localSheetId="13">'IWP12'!$K$270</definedName>
    <definedName name="Std8dot1" localSheetId="14">'IWP13'!$K$270</definedName>
    <definedName name="Std8dot1" localSheetId="15">'IWP14'!$K$270</definedName>
    <definedName name="Std8dot1" localSheetId="16">'IWP15'!$K$270</definedName>
    <definedName name="Std8dot1" localSheetId="17">'IWP16'!$K$270</definedName>
    <definedName name="Std8dot1" localSheetId="18">'IWP17'!$K$270</definedName>
    <definedName name="Std8dot1" localSheetId="19">'IWP18'!$K$270</definedName>
    <definedName name="Std8dot1" localSheetId="20">'IWP19'!$K$270</definedName>
    <definedName name="Std8dot1" localSheetId="21">'IWP20'!$K$270</definedName>
    <definedName name="Std8dot1" localSheetId="22">'IWP21'!$K$270</definedName>
    <definedName name="Std8dot1" localSheetId="23">'IWP22'!$K$270</definedName>
    <definedName name="Std8dot1" localSheetId="24">'IWP23'!$K$270</definedName>
    <definedName name="Std8dot1" localSheetId="25">'IWP24'!$K$270</definedName>
    <definedName name="Std8dot1" localSheetId="26">'IWP25'!$K$270</definedName>
    <definedName name="Std8dot1" localSheetId="27">'IWP26'!$K$270</definedName>
    <definedName name="Std8dot1" localSheetId="28">'IWP27'!$K$270</definedName>
    <definedName name="Std8dot1" localSheetId="29">'IWP28'!$K$270</definedName>
    <definedName name="Std8dot1" localSheetId="30">'IWP29'!$K$270</definedName>
    <definedName name="Std8dot1" localSheetId="31">'IWP30'!$K$270</definedName>
    <definedName name="Std8dot1ReportingRequirements" localSheetId="2">'IWP01'!$G$266:$L$269</definedName>
    <definedName name="Std8dot1ReportingRequirements" localSheetId="3">'IWP02'!$G$266:$L$269</definedName>
    <definedName name="Std8dot1ReportingRequirements" localSheetId="4">'IWP03'!$G$266:$L$269</definedName>
    <definedName name="Std8dot1ReportingRequirements" localSheetId="5">'IWP04'!$G$266:$L$269</definedName>
    <definedName name="Std8dot1ReportingRequirements" localSheetId="6">'IWP05'!$G$266:$L$269</definedName>
    <definedName name="Std8dot1ReportingRequirements" localSheetId="7">'IWP06'!$G$266:$L$269</definedName>
    <definedName name="Std8dot1ReportingRequirements" localSheetId="8">'IWP07'!$G$266:$L$269</definedName>
    <definedName name="Std8dot1ReportingRequirements" localSheetId="9">'IWP08'!$G$266:$L$269</definedName>
    <definedName name="Std8dot1ReportingRequirements" localSheetId="10">'IWP09'!$G$266:$L$269</definedName>
    <definedName name="Std8dot1ReportingRequirements" localSheetId="11">'IWP10'!$G$266:$L$269</definedName>
    <definedName name="Std8dot1ReportingRequirements" localSheetId="12">'IWP11'!$G$266:$L$269</definedName>
    <definedName name="Std8dot1ReportingRequirements" localSheetId="13">'IWP12'!$G$266:$L$269</definedName>
    <definedName name="Std8dot1ReportingRequirements" localSheetId="14">'IWP13'!$G$266:$L$269</definedName>
    <definedName name="Std8dot1ReportingRequirements" localSheetId="15">'IWP14'!$G$266:$L$269</definedName>
    <definedName name="Std8dot1ReportingRequirements" localSheetId="16">'IWP15'!$G$266:$L$269</definedName>
    <definedName name="Std8dot1ReportingRequirements" localSheetId="17">'IWP16'!$G$266:$L$269</definedName>
    <definedName name="Std8dot1ReportingRequirements" localSheetId="18">'IWP17'!$G$266:$L$269</definedName>
    <definedName name="Std8dot1ReportingRequirements" localSheetId="19">'IWP18'!$G$266:$L$269</definedName>
    <definedName name="Std8dot1ReportingRequirements" localSheetId="20">'IWP19'!$G$266:$L$269</definedName>
    <definedName name="Std8dot1ReportingRequirements" localSheetId="21">'IWP20'!$G$266:$L$269</definedName>
    <definedName name="Std8dot1ReportingRequirements" localSheetId="22">'IWP21'!$G$266:$L$269</definedName>
    <definedName name="Std8dot1ReportingRequirements" localSheetId="23">'IWP22'!$G$266:$L$269</definedName>
    <definedName name="Std8dot1ReportingRequirements" localSheetId="24">'IWP23'!$G$266:$L$269</definedName>
    <definedName name="Std8dot1ReportingRequirements" localSheetId="25">'IWP24'!$G$266:$L$269</definedName>
    <definedName name="Std8dot1ReportingRequirements" localSheetId="26">'IWP25'!$G$266:$L$269</definedName>
    <definedName name="Std8dot1ReportingRequirements" localSheetId="27">'IWP26'!$G$266:$L$269</definedName>
    <definedName name="Std8dot1ReportingRequirements" localSheetId="28">'IWP27'!$G$266:$L$269</definedName>
    <definedName name="Std8dot1ReportingRequirements" localSheetId="29">'IWP28'!$G$266:$L$269</definedName>
    <definedName name="Std8dot1ReportingRequirements" localSheetId="30">'IWP29'!$G$266:$L$269</definedName>
    <definedName name="Std8dot1ReportingRequirements" localSheetId="31">'IWP30'!$G$266:$L$269</definedName>
    <definedName name="Std8dot2" localSheetId="2">'IWP01'!$K$281</definedName>
    <definedName name="Std8dot2" localSheetId="3">'IWP02'!$K$281</definedName>
    <definedName name="Std8dot2" localSheetId="4">'IWP03'!$K$281</definedName>
    <definedName name="Std8dot2" localSheetId="5">'IWP04'!$K$281</definedName>
    <definedName name="Std8dot2" localSheetId="6">'IWP05'!$K$281</definedName>
    <definedName name="Std8dot2" localSheetId="7">'IWP06'!$K$281</definedName>
    <definedName name="Std8dot2" localSheetId="8">'IWP07'!$K$281</definedName>
    <definedName name="Std8dot2" localSheetId="9">'IWP08'!$K$281</definedName>
    <definedName name="Std8dot2" localSheetId="10">'IWP09'!$K$281</definedName>
    <definedName name="Std8dot2" localSheetId="11">'IWP10'!$K$281</definedName>
    <definedName name="Std8dot2" localSheetId="12">'IWP11'!$K$281</definedName>
    <definedName name="Std8dot2" localSheetId="13">'IWP12'!$K$281</definedName>
    <definedName name="Std8dot2" localSheetId="14">'IWP13'!$K$281</definedName>
    <definedName name="Std8dot2" localSheetId="15">'IWP14'!$K$281</definedName>
    <definedName name="Std8dot2" localSheetId="16">'IWP15'!$K$281</definedName>
    <definedName name="Std8dot2" localSheetId="17">'IWP16'!$K$281</definedName>
    <definedName name="Std8dot2" localSheetId="18">'IWP17'!$K$281</definedName>
    <definedName name="Std8dot2" localSheetId="19">'IWP18'!$K$281</definedName>
    <definedName name="Std8dot2" localSheetId="20">'IWP19'!$K$281</definedName>
    <definedName name="Std8dot2" localSheetId="21">'IWP20'!$K$281</definedName>
    <definedName name="Std8dot2" localSheetId="22">'IWP21'!$K$281</definedName>
    <definedName name="Std8dot2" localSheetId="23">'IWP22'!$K$281</definedName>
    <definedName name="Std8dot2" localSheetId="24">'IWP23'!$K$281</definedName>
    <definedName name="Std8dot2" localSheetId="25">'IWP24'!$K$281</definedName>
    <definedName name="Std8dot2" localSheetId="26">'IWP25'!$K$281</definedName>
    <definedName name="Std8dot2" localSheetId="27">'IWP26'!$K$281</definedName>
    <definedName name="Std8dot2" localSheetId="28">'IWP27'!$K$281</definedName>
    <definedName name="Std8dot2" localSheetId="29">'IWP28'!$K$281</definedName>
    <definedName name="Std8dot2" localSheetId="30">'IWP29'!$K$281</definedName>
    <definedName name="Std8dot2" localSheetId="31">'IWP30'!$K$281</definedName>
    <definedName name="Std8dot2CDSABudgetInfo" localSheetId="2">'IWP01'!$C$277:$L$280</definedName>
    <definedName name="Std8dot2CDSABudgetInfo" localSheetId="3">'IWP02'!$C$277:$L$280</definedName>
    <definedName name="Std8dot2CDSABudgetInfo" localSheetId="4">'IWP03'!$C$277:$L$280</definedName>
    <definedName name="Std8dot2CDSABudgetInfo" localSheetId="5">'IWP04'!$C$277:$L$280</definedName>
    <definedName name="Std8dot2CDSABudgetInfo" localSheetId="6">'IWP05'!$C$277:$L$280</definedName>
    <definedName name="Std8dot2CDSABudgetInfo" localSheetId="7">'IWP06'!$C$277:$L$280</definedName>
    <definedName name="Std8dot2CDSABudgetInfo" localSheetId="8">'IWP07'!$C$277:$L$280</definedName>
    <definedName name="Std8dot2CDSABudgetInfo" localSheetId="9">'IWP08'!$C$277:$L$280</definedName>
    <definedName name="Std8dot2CDSABudgetInfo" localSheetId="10">'IWP09'!$C$277:$L$280</definedName>
    <definedName name="Std8dot2CDSABudgetInfo" localSheetId="11">'IWP10'!$C$277:$L$280</definedName>
    <definedName name="Std8dot2CDSABudgetInfo" localSheetId="12">'IWP11'!$C$277:$L$280</definedName>
    <definedName name="Std8dot2CDSABudgetInfo" localSheetId="13">'IWP12'!$C$277:$L$280</definedName>
    <definedName name="Std8dot2CDSABudgetInfo" localSheetId="14">'IWP13'!$C$277:$L$280</definedName>
    <definedName name="Std8dot2CDSABudgetInfo" localSheetId="15">'IWP14'!$C$277:$L$280</definedName>
    <definedName name="Std8dot2CDSABudgetInfo" localSheetId="16">'IWP15'!$C$277:$L$280</definedName>
    <definedName name="Std8dot2CDSABudgetInfo" localSheetId="17">'IWP16'!$C$277:$L$280</definedName>
    <definedName name="Std8dot2CDSABudgetInfo" localSheetId="18">'IWP17'!$C$277:$L$280</definedName>
    <definedName name="Std8dot2CDSABudgetInfo" localSheetId="19">'IWP18'!$C$277:$L$280</definedName>
    <definedName name="Std8dot2CDSABudgetInfo" localSheetId="20">'IWP19'!$C$277:$L$280</definedName>
    <definedName name="Std8dot2CDSABudgetInfo" localSheetId="21">'IWP20'!$C$277:$L$280</definedName>
    <definedName name="Std8dot2CDSABudgetInfo" localSheetId="22">'IWP21'!$C$277:$L$280</definedName>
    <definedName name="Std8dot2CDSABudgetInfo" localSheetId="23">'IWP22'!$C$277:$L$280</definedName>
    <definedName name="Std8dot2CDSABudgetInfo" localSheetId="24">'IWP23'!$C$277:$L$280</definedName>
    <definedName name="Std8dot2CDSABudgetInfo" localSheetId="25">'IWP24'!$C$277:$L$280</definedName>
    <definedName name="Std8dot2CDSABudgetInfo" localSheetId="26">'IWP25'!$C$277:$L$280</definedName>
    <definedName name="Std8dot2CDSABudgetInfo" localSheetId="27">'IWP26'!$C$277:$L$280</definedName>
    <definedName name="Std8dot2CDSABudgetInfo" localSheetId="28">'IWP27'!$C$277:$L$280</definedName>
    <definedName name="Std8dot2CDSABudgetInfo" localSheetId="29">'IWP28'!$C$277:$L$280</definedName>
    <definedName name="Std8dot2CDSABudgetInfo" localSheetId="30">'IWP29'!$C$277:$L$280</definedName>
    <definedName name="Std8dot2CDSABudgetInfo" localSheetId="31">'IWP30'!$C$277:$L$280</definedName>
    <definedName name="Std8dot2NotCalc" localSheetId="2">'IWP01'!$K$273</definedName>
    <definedName name="Std8dot2NotCalc" localSheetId="3">'IWP02'!$K$273</definedName>
    <definedName name="Std8dot2NotCalc" localSheetId="4">'IWP03'!$K$273</definedName>
    <definedName name="Std8dot2NotCalc" localSheetId="5">'IWP04'!$K$273</definedName>
    <definedName name="Std8dot2NotCalc" localSheetId="6">'IWP05'!$K$273</definedName>
    <definedName name="Std8dot2NotCalc" localSheetId="7">'IWP06'!$K$273</definedName>
    <definedName name="Std8dot2NotCalc" localSheetId="8">'IWP07'!$K$273</definedName>
    <definedName name="Std8dot2NotCalc" localSheetId="9">'IWP08'!$K$273</definedName>
    <definedName name="Std8dot2NotCalc" localSheetId="10">'IWP09'!$K$273</definedName>
    <definedName name="Std8dot2NotCalc" localSheetId="11">'IWP10'!$K$273</definedName>
    <definedName name="Std8dot2NotCalc" localSheetId="12">'IWP11'!$K$273</definedName>
    <definedName name="Std8dot2NotCalc" localSheetId="13">'IWP12'!$K$273</definedName>
    <definedName name="Std8dot2NotCalc" localSheetId="14">'IWP13'!$K$273</definedName>
    <definedName name="Std8dot2NotCalc" localSheetId="15">'IWP14'!$K$273</definedName>
    <definedName name="Std8dot2NotCalc" localSheetId="16">'IWP15'!$K$273</definedName>
    <definedName name="Std8dot2NotCalc" localSheetId="17">'IWP16'!$K$273</definedName>
    <definedName name="Std8dot2NotCalc" localSheetId="18">'IWP17'!$K$273</definedName>
    <definedName name="Std8dot2NotCalc" localSheetId="19">'IWP18'!$K$273</definedName>
    <definedName name="Std8dot2NotCalc" localSheetId="20">'IWP19'!$K$273</definedName>
    <definedName name="Std8dot2NotCalc" localSheetId="21">'IWP20'!$K$273</definedName>
    <definedName name="Std8dot2NotCalc" localSheetId="22">'IWP21'!$K$273</definedName>
    <definedName name="Std8dot2NotCalc" localSheetId="23">'IWP22'!$K$273</definedName>
    <definedName name="Std8dot2NotCalc" localSheetId="24">'IWP23'!$K$273</definedName>
    <definedName name="Std8dot2NotCalc" localSheetId="25">'IWP24'!$K$273</definedName>
    <definedName name="Std8dot2NotCalc" localSheetId="26">'IWP25'!$K$273</definedName>
    <definedName name="Std8dot2NotCalc" localSheetId="27">'IWP26'!$K$273</definedName>
    <definedName name="Std8dot2NotCalc" localSheetId="28">'IWP27'!$K$273</definedName>
    <definedName name="Std8dot2NotCalc" localSheetId="29">'IWP28'!$K$273</definedName>
    <definedName name="Std8dot2NotCalc" localSheetId="30">'IWP29'!$K$273</definedName>
    <definedName name="Std8dot2NotCalc" localSheetId="31">'IWP30'!$K$273</definedName>
    <definedName name="Std8dot3" localSheetId="2">'IWP01'!$K$293</definedName>
    <definedName name="Std8dot3" localSheetId="3">'IWP02'!$K$293</definedName>
    <definedName name="Std8dot3" localSheetId="4">'IWP03'!$K$293</definedName>
    <definedName name="Std8dot3" localSheetId="5">'IWP04'!$K$293</definedName>
    <definedName name="Std8dot3" localSheetId="6">'IWP05'!$K$293</definedName>
    <definedName name="Std8dot3" localSheetId="7">'IWP06'!$K$293</definedName>
    <definedName name="Std8dot3" localSheetId="8">'IWP07'!$K$293</definedName>
    <definedName name="Std8dot3" localSheetId="9">'IWP08'!$K$293</definedName>
    <definedName name="Std8dot3" localSheetId="10">'IWP09'!$K$293</definedName>
    <definedName name="Std8dot3" localSheetId="11">'IWP10'!$K$293</definedName>
    <definedName name="Std8dot3" localSheetId="12">'IWP11'!$K$293</definedName>
    <definedName name="Std8dot3" localSheetId="13">'IWP12'!$K$293</definedName>
    <definedName name="Std8dot3" localSheetId="14">'IWP13'!$K$293</definedName>
    <definedName name="Std8dot3" localSheetId="15">'IWP14'!$K$293</definedName>
    <definedName name="Std8dot3" localSheetId="16">'IWP15'!$K$293</definedName>
    <definedName name="Std8dot3" localSheetId="17">'IWP16'!$K$293</definedName>
    <definedName name="Std8dot3" localSheetId="18">'IWP17'!$K$293</definedName>
    <definedName name="Std8dot3" localSheetId="19">'IWP18'!$K$293</definedName>
    <definedName name="Std8dot3" localSheetId="20">'IWP19'!$K$293</definedName>
    <definedName name="Std8dot3" localSheetId="21">'IWP20'!$K$293</definedName>
    <definedName name="Std8dot3" localSheetId="22">'IWP21'!$K$293</definedName>
    <definedName name="Std8dot3" localSheetId="23">'IWP22'!$K$293</definedName>
    <definedName name="Std8dot3" localSheetId="24">'IWP23'!$K$293</definedName>
    <definedName name="Std8dot3" localSheetId="25">'IWP24'!$K$293</definedName>
    <definedName name="Std8dot3" localSheetId="26">'IWP25'!$K$293</definedName>
    <definedName name="Std8dot3" localSheetId="27">'IWP26'!$K$293</definedName>
    <definedName name="Std8dot3" localSheetId="28">'IWP27'!$K$293</definedName>
    <definedName name="Std8dot3" localSheetId="29">'IWP28'!$K$293</definedName>
    <definedName name="Std8dot3" localSheetId="30">'IWP29'!$K$293</definedName>
    <definedName name="Std8dot3" localSheetId="31">'IWP30'!$K$293</definedName>
    <definedName name="Std8dot3IssuesConcerns" localSheetId="2">'IWP01'!$I$287:$L$292</definedName>
    <definedName name="Std8dot3IssuesConcerns" localSheetId="3">'IWP02'!$I$287:$L$292</definedName>
    <definedName name="Std8dot3IssuesConcerns" localSheetId="4">'IWP03'!$I$287:$L$292</definedName>
    <definedName name="Std8dot3IssuesConcerns" localSheetId="5">'IWP04'!$I$287:$L$292</definedName>
    <definedName name="Std8dot3IssuesConcerns" localSheetId="6">'IWP05'!$I$287:$L$292</definedName>
    <definedName name="Std8dot3IssuesConcerns" localSheetId="7">'IWP06'!$I$287:$L$292</definedName>
    <definedName name="Std8dot3IssuesConcerns" localSheetId="8">'IWP07'!$I$287:$L$292</definedName>
    <definedName name="Std8dot3IssuesConcerns" localSheetId="9">'IWP08'!$I$287:$L$292</definedName>
    <definedName name="Std8dot3IssuesConcerns" localSheetId="10">'IWP09'!$I$287:$L$292</definedName>
    <definedName name="Std8dot3IssuesConcerns" localSheetId="11">'IWP10'!$I$287:$L$292</definedName>
    <definedName name="Std8dot3IssuesConcerns" localSheetId="12">'IWP11'!$I$287:$L$292</definedName>
    <definedName name="Std8dot3IssuesConcerns" localSheetId="13">'IWP12'!$I$287:$L$292</definedName>
    <definedName name="Std8dot3IssuesConcerns" localSheetId="14">'IWP13'!$I$287:$L$292</definedName>
    <definedName name="Std8dot3IssuesConcerns" localSheetId="15">'IWP14'!$I$287:$L$292</definedName>
    <definedName name="Std8dot3IssuesConcerns" localSheetId="16">'IWP15'!$I$287:$L$292</definedName>
    <definedName name="Std8dot3IssuesConcerns" localSheetId="17">'IWP16'!$I$287:$L$292</definedName>
    <definedName name="Std8dot3IssuesConcerns" localSheetId="18">'IWP17'!$I$287:$L$292</definedName>
    <definedName name="Std8dot3IssuesConcerns" localSheetId="19">'IWP18'!$I$287:$L$292</definedName>
    <definedName name="Std8dot3IssuesConcerns" localSheetId="20">'IWP19'!$I$287:$L$292</definedName>
    <definedName name="Std8dot3IssuesConcerns" localSheetId="21">'IWP20'!$I$287:$L$292</definedName>
    <definedName name="Std8dot3IssuesConcerns" localSheetId="22">'IWP21'!$I$287:$L$292</definedName>
    <definedName name="Std8dot3IssuesConcerns" localSheetId="23">'IWP22'!$I$287:$L$292</definedName>
    <definedName name="Std8dot3IssuesConcerns" localSheetId="24">'IWP23'!$I$287:$L$292</definedName>
    <definedName name="Std8dot3IssuesConcerns" localSheetId="25">'IWP24'!$I$287:$L$292</definedName>
    <definedName name="Std8dot3IssuesConcerns" localSheetId="26">'IWP25'!$I$287:$L$292</definedName>
    <definedName name="Std8dot3IssuesConcerns" localSheetId="27">'IWP26'!$I$287:$L$292</definedName>
    <definedName name="Std8dot3IssuesConcerns" localSheetId="28">'IWP27'!$I$287:$L$292</definedName>
    <definedName name="Std8dot3IssuesConcerns" localSheetId="29">'IWP28'!$I$287:$L$292</definedName>
    <definedName name="Std8dot3IssuesConcerns" localSheetId="30">'IWP29'!$I$287:$L$292</definedName>
    <definedName name="Std8dot3IssuesConcerns" localSheetId="31">'IWP30'!$I$287:$L$292</definedName>
    <definedName name="Std8dot3NotCalc" localSheetId="2">'IWP01'!$K$284</definedName>
    <definedName name="Std8dot3NotCalc" localSheetId="3">'IWP02'!$K$284</definedName>
    <definedName name="Std8dot3NotCalc" localSheetId="4">'IWP03'!$K$284</definedName>
    <definedName name="Std8dot3NotCalc" localSheetId="5">'IWP04'!$K$284</definedName>
    <definedName name="Std8dot3NotCalc" localSheetId="6">'IWP05'!$K$284</definedName>
    <definedName name="Std8dot3NotCalc" localSheetId="7">'IWP06'!$K$284</definedName>
    <definedName name="Std8dot3NotCalc" localSheetId="8">'IWP07'!$K$284</definedName>
    <definedName name="Std8dot3NotCalc" localSheetId="9">'IWP08'!$K$284</definedName>
    <definedName name="Std8dot3NotCalc" localSheetId="10">'IWP09'!$K$284</definedName>
    <definedName name="Std8dot3NotCalc" localSheetId="11">'IWP10'!$K$284</definedName>
    <definedName name="Std8dot3NotCalc" localSheetId="12">'IWP11'!$K$284</definedName>
    <definedName name="Std8dot3NotCalc" localSheetId="13">'IWP12'!$K$284</definedName>
    <definedName name="Std8dot3NotCalc" localSheetId="14">'IWP13'!$K$284</definedName>
    <definedName name="Std8dot3NotCalc" localSheetId="15">'IWP14'!$K$284</definedName>
    <definedName name="Std8dot3NotCalc" localSheetId="16">'IWP15'!$K$284</definedName>
    <definedName name="Std8dot3NotCalc" localSheetId="17">'IWP16'!$K$284</definedName>
    <definedName name="Std8dot3NotCalc" localSheetId="18">'IWP17'!$K$284</definedName>
    <definedName name="Std8dot3NotCalc" localSheetId="19">'IWP18'!$K$284</definedName>
    <definedName name="Std8dot3NotCalc" localSheetId="20">'IWP19'!$K$284</definedName>
    <definedName name="Std8dot3NotCalc" localSheetId="21">'IWP20'!$K$284</definedName>
    <definedName name="Std8dot3NotCalc" localSheetId="22">'IWP21'!$K$284</definedName>
    <definedName name="Std8dot3NotCalc" localSheetId="23">'IWP22'!$K$284</definedName>
    <definedName name="Std8dot3NotCalc" localSheetId="24">'IWP23'!$K$284</definedName>
    <definedName name="Std8dot3NotCalc" localSheetId="25">'IWP24'!$K$284</definedName>
    <definedName name="Std8dot3NotCalc" localSheetId="26">'IWP25'!$K$284</definedName>
    <definedName name="Std8dot3NotCalc" localSheetId="27">'IWP26'!$K$284</definedName>
    <definedName name="Std8dot3NotCalc" localSheetId="28">'IWP27'!$K$284</definedName>
    <definedName name="Std8dot3NotCalc" localSheetId="29">'IWP28'!$K$284</definedName>
    <definedName name="Std8dot3NotCalc" localSheetId="30">'IWP29'!$K$284</definedName>
    <definedName name="Std8dot3NotCalc" localSheetId="31">'IWP30'!$K$284</definedName>
    <definedName name="Std9BillingInfo01" localSheetId="2">'IWP01'!$A$329:$M$341</definedName>
    <definedName name="Std9BillingInfo01" localSheetId="3">'IWP02'!$A$329:$M$341</definedName>
    <definedName name="Std9BillingInfo01" localSheetId="4">'IWP03'!$A$329:$M$341</definedName>
    <definedName name="Std9BillingInfo01" localSheetId="5">'IWP04'!$A$329:$M$341</definedName>
    <definedName name="Std9BillingInfo01" localSheetId="6">'IWP05'!$A$329:$M$341</definedName>
    <definedName name="Std9BillingInfo01" localSheetId="7">'IWP06'!$A$329:$M$341</definedName>
    <definedName name="Std9BillingInfo01" localSheetId="8">'IWP07'!$A$329:$M$341</definedName>
    <definedName name="Std9BillingInfo01" localSheetId="9">'IWP08'!$A$329:$M$341</definedName>
    <definedName name="Std9BillingInfo01" localSheetId="10">'IWP09'!$A$329:$M$341</definedName>
    <definedName name="Std9BillingInfo01" localSheetId="11">'IWP10'!$A$329:$M$341</definedName>
    <definedName name="Std9BillingInfo01" localSheetId="12">'IWP11'!$A$329:$M$341</definedName>
    <definedName name="Std9BillingInfo01" localSheetId="13">'IWP12'!$A$329:$M$341</definedName>
    <definedName name="Std9BillingInfo01" localSheetId="14">'IWP13'!$A$329:$M$341</definedName>
    <definedName name="Std9BillingInfo01" localSheetId="15">'IWP14'!$A$329:$M$341</definedName>
    <definedName name="Std9BillingInfo01" localSheetId="16">'IWP15'!$A$329:$M$341</definedName>
    <definedName name="Std9BillingInfo01" localSheetId="17">'IWP16'!$A$329:$M$341</definedName>
    <definedName name="Std9BillingInfo01" localSheetId="18">'IWP17'!$A$329:$M$341</definedName>
    <definedName name="Std9BillingInfo01" localSheetId="19">'IWP18'!$A$329:$M$341</definedName>
    <definedName name="Std9BillingInfo01" localSheetId="20">'IWP19'!$A$329:$M$341</definedName>
    <definedName name="Std9BillingInfo01" localSheetId="21">'IWP20'!$A$329:$M$341</definedName>
    <definedName name="Std9BillingInfo01" localSheetId="22">'IWP21'!$A$329:$M$341</definedName>
    <definedName name="Std9BillingInfo01" localSheetId="23">'IWP22'!$A$329:$M$341</definedName>
    <definedName name="Std9BillingInfo01" localSheetId="24">'IWP23'!$A$329:$M$341</definedName>
    <definedName name="Std9BillingInfo01" localSheetId="25">'IWP24'!$A$329:$M$341</definedName>
    <definedName name="Std9BillingInfo01" localSheetId="26">'IWP25'!$A$329:$M$341</definedName>
    <definedName name="Std9BillingInfo01" localSheetId="27">'IWP26'!$A$329:$M$341</definedName>
    <definedName name="Std9BillingInfo01" localSheetId="28">'IWP27'!$A$329:$M$341</definedName>
    <definedName name="Std9BillingInfo01" localSheetId="29">'IWP28'!$A$329:$M$341</definedName>
    <definedName name="Std9BillingInfo01" localSheetId="30">'IWP29'!$A$329:$M$341</definedName>
    <definedName name="Std9BillingInfo01" localSheetId="31">'IWP30'!$A$329:$M$341</definedName>
    <definedName name="Std9BillingInfo02" localSheetId="2">'IWP01'!$A$345:$M$357</definedName>
    <definedName name="Std9BillingInfo02" localSheetId="3">'IWP02'!$A$345:$M$357</definedName>
    <definedName name="Std9BillingInfo02" localSheetId="4">'IWP03'!$A$345:$M$357</definedName>
    <definedName name="Std9BillingInfo02" localSheetId="5">'IWP04'!$A$345:$M$357</definedName>
    <definedName name="Std9BillingInfo02" localSheetId="6">'IWP05'!$A$345:$M$357</definedName>
    <definedName name="Std9BillingInfo02" localSheetId="7">'IWP06'!$A$345:$M$357</definedName>
    <definedName name="Std9BillingInfo02" localSheetId="8">'IWP07'!$A$345:$M$357</definedName>
    <definedName name="Std9BillingInfo02" localSheetId="9">'IWP08'!$A$345:$M$357</definedName>
    <definedName name="Std9BillingInfo02" localSheetId="10">'IWP09'!$A$345:$M$357</definedName>
    <definedName name="Std9BillingInfo02" localSheetId="11">'IWP10'!$A$345:$M$357</definedName>
    <definedName name="Std9BillingInfo02" localSheetId="12">'IWP11'!$A$345:$M$357</definedName>
    <definedName name="Std9BillingInfo02" localSheetId="13">'IWP12'!$A$345:$M$357</definedName>
    <definedName name="Std9BillingInfo02" localSheetId="14">'IWP13'!$A$345:$M$357</definedName>
    <definedName name="Std9BillingInfo02" localSheetId="15">'IWP14'!$A$345:$M$357</definedName>
    <definedName name="Std9BillingInfo02" localSheetId="16">'IWP15'!$A$345:$M$357</definedName>
    <definedName name="Std9BillingInfo02" localSheetId="17">'IWP16'!$A$345:$M$357</definedName>
    <definedName name="Std9BillingInfo02" localSheetId="18">'IWP17'!$A$345:$M$357</definedName>
    <definedName name="Std9BillingInfo02" localSheetId="19">'IWP18'!$A$345:$M$357</definedName>
    <definedName name="Std9BillingInfo02" localSheetId="20">'IWP19'!$A$345:$M$357</definedName>
    <definedName name="Std9BillingInfo02" localSheetId="21">'IWP20'!$A$345:$M$357</definedName>
    <definedName name="Std9BillingInfo02" localSheetId="22">'IWP21'!$A$345:$M$357</definedName>
    <definedName name="Std9BillingInfo02" localSheetId="23">'IWP22'!$A$345:$M$357</definedName>
    <definedName name="Std9BillingInfo02" localSheetId="24">'IWP23'!$A$345:$M$357</definedName>
    <definedName name="Std9BillingInfo02" localSheetId="25">'IWP24'!$A$345:$M$357</definedName>
    <definedName name="Std9BillingInfo02" localSheetId="26">'IWP25'!$A$345:$M$357</definedName>
    <definedName name="Std9BillingInfo02" localSheetId="27">'IWP26'!$A$345:$M$357</definedName>
    <definedName name="Std9BillingInfo02" localSheetId="28">'IWP27'!$A$345:$M$357</definedName>
    <definedName name="Std9BillingInfo02" localSheetId="29">'IWP28'!$A$345:$M$357</definedName>
    <definedName name="Std9BillingInfo02" localSheetId="30">'IWP29'!$A$345:$M$357</definedName>
    <definedName name="Std9BillingInfo02" localSheetId="31">'IWP30'!$A$345:$M$357</definedName>
    <definedName name="Std9BillingInfo03" localSheetId="2">'IWP01'!$A$361:$M$373</definedName>
    <definedName name="Std9BillingInfo03" localSheetId="3">'IWP02'!$A$361:$M$373</definedName>
    <definedName name="Std9BillingInfo03" localSheetId="4">'IWP03'!$A$361:$M$373</definedName>
    <definedName name="Std9BillingInfo03" localSheetId="5">'IWP04'!$A$361:$M$373</definedName>
    <definedName name="Std9BillingInfo03" localSheetId="6">'IWP05'!$A$361:$M$373</definedName>
    <definedName name="Std9BillingInfo03" localSheetId="7">'IWP06'!$A$361:$M$373</definedName>
    <definedName name="Std9BillingInfo03" localSheetId="8">'IWP07'!$A$361:$M$373</definedName>
    <definedName name="Std9BillingInfo03" localSheetId="9">'IWP08'!$A$361:$M$373</definedName>
    <definedName name="Std9BillingInfo03" localSheetId="10">'IWP09'!$A$361:$M$373</definedName>
    <definedName name="Std9BillingInfo03" localSheetId="11">'IWP10'!$A$361:$M$373</definedName>
    <definedName name="Std9BillingInfo03" localSheetId="12">'IWP11'!$A$361:$M$373</definedName>
    <definedName name="Std9BillingInfo03" localSheetId="13">'IWP12'!$A$361:$M$373</definedName>
    <definedName name="Std9BillingInfo03" localSheetId="14">'IWP13'!$A$361:$M$373</definedName>
    <definedName name="Std9BillingInfo03" localSheetId="15">'IWP14'!$A$361:$M$373</definedName>
    <definedName name="Std9BillingInfo03" localSheetId="16">'IWP15'!$A$361:$M$373</definedName>
    <definedName name="Std9BillingInfo03" localSheetId="17">'IWP16'!$A$361:$M$373</definedName>
    <definedName name="Std9BillingInfo03" localSheetId="18">'IWP17'!$A$361:$M$373</definedName>
    <definedName name="Std9BillingInfo03" localSheetId="19">'IWP18'!$A$361:$M$373</definedName>
    <definedName name="Std9BillingInfo03" localSheetId="20">'IWP19'!$A$361:$M$373</definedName>
    <definedName name="Std9BillingInfo03" localSheetId="21">'IWP20'!$A$361:$M$373</definedName>
    <definedName name="Std9BillingInfo03" localSheetId="22">'IWP21'!$A$361:$M$373</definedName>
    <definedName name="Std9BillingInfo03" localSheetId="23">'IWP22'!$A$361:$M$373</definedName>
    <definedName name="Std9BillingInfo03" localSheetId="24">'IWP23'!$A$361:$M$373</definedName>
    <definedName name="Std9BillingInfo03" localSheetId="25">'IWP24'!$A$361:$M$373</definedName>
    <definedName name="Std9BillingInfo03" localSheetId="26">'IWP25'!$A$361:$M$373</definedName>
    <definedName name="Std9BillingInfo03" localSheetId="27">'IWP26'!$A$361:$M$373</definedName>
    <definedName name="Std9BillingInfo03" localSheetId="28">'IWP27'!$A$361:$M$373</definedName>
    <definedName name="Std9BillingInfo03" localSheetId="29">'IWP28'!$A$361:$M$373</definedName>
    <definedName name="Std9BillingInfo03" localSheetId="30">'IWP29'!$A$361:$M$373</definedName>
    <definedName name="Std9BillingInfo03" localSheetId="31">'IWP30'!$A$361:$M$373</definedName>
    <definedName name="Std9BillingInfo04" localSheetId="2">'IWP01'!$A$377:$M$389</definedName>
    <definedName name="Std9BillingInfo04" localSheetId="3">'IWP02'!$A$377:$M$389</definedName>
    <definedName name="Std9BillingInfo04" localSheetId="4">'IWP03'!$A$377:$M$389</definedName>
    <definedName name="Std9BillingInfo04" localSheetId="5">'IWP04'!$A$377:$M$389</definedName>
    <definedName name="Std9BillingInfo04" localSheetId="6">'IWP05'!$A$377:$M$389</definedName>
    <definedName name="Std9BillingInfo04" localSheetId="7">'IWP06'!$A$377:$M$389</definedName>
    <definedName name="Std9BillingInfo04" localSheetId="8">'IWP07'!$A$377:$M$389</definedName>
    <definedName name="Std9BillingInfo04" localSheetId="9">'IWP08'!$A$377:$M$389</definedName>
    <definedName name="Std9BillingInfo04" localSheetId="10">'IWP09'!$A$377:$M$389</definedName>
    <definedName name="Std9BillingInfo04" localSheetId="11">'IWP10'!$A$377:$M$389</definedName>
    <definedName name="Std9BillingInfo04" localSheetId="12">'IWP11'!$A$377:$M$389</definedName>
    <definedName name="Std9BillingInfo04" localSheetId="13">'IWP12'!$A$377:$M$389</definedName>
    <definedName name="Std9BillingInfo04" localSheetId="14">'IWP13'!$A$377:$M$389</definedName>
    <definedName name="Std9BillingInfo04" localSheetId="15">'IWP14'!$A$377:$M$389</definedName>
    <definedName name="Std9BillingInfo04" localSheetId="16">'IWP15'!$A$377:$M$389</definedName>
    <definedName name="Std9BillingInfo04" localSheetId="17">'IWP16'!$A$377:$M$389</definedName>
    <definedName name="Std9BillingInfo04" localSheetId="18">'IWP17'!$A$377:$M$389</definedName>
    <definedName name="Std9BillingInfo04" localSheetId="19">'IWP18'!$A$377:$M$389</definedName>
    <definedName name="Std9BillingInfo04" localSheetId="20">'IWP19'!$A$377:$M$389</definedName>
    <definedName name="Std9BillingInfo04" localSheetId="21">'IWP20'!$A$377:$M$389</definedName>
    <definedName name="Std9BillingInfo04" localSheetId="22">'IWP21'!$A$377:$M$389</definedName>
    <definedName name="Std9BillingInfo04" localSheetId="23">'IWP22'!$A$377:$M$389</definedName>
    <definedName name="Std9BillingInfo04" localSheetId="24">'IWP23'!$A$377:$M$389</definedName>
    <definedName name="Std9BillingInfo04" localSheetId="25">'IWP24'!$A$377:$M$389</definedName>
    <definedName name="Std9BillingInfo04" localSheetId="26">'IWP25'!$A$377:$M$389</definedName>
    <definedName name="Std9BillingInfo04" localSheetId="27">'IWP26'!$A$377:$M$389</definedName>
    <definedName name="Std9BillingInfo04" localSheetId="28">'IWP27'!$A$377:$M$389</definedName>
    <definedName name="Std9BillingInfo04" localSheetId="29">'IWP28'!$A$377:$M$389</definedName>
    <definedName name="Std9BillingInfo04" localSheetId="30">'IWP29'!$A$377:$M$389</definedName>
    <definedName name="Std9BillingInfo04" localSheetId="31">'IWP30'!$A$377:$M$389</definedName>
    <definedName name="Std9BillingInfo05" localSheetId="2">'IWP01'!$A$393:$M$405</definedName>
    <definedName name="Std9BillingInfo05" localSheetId="3">'IWP02'!$A$393:$M$405</definedName>
    <definedName name="Std9BillingInfo05" localSheetId="4">'IWP03'!$A$393:$M$405</definedName>
    <definedName name="Std9BillingInfo05" localSheetId="5">'IWP04'!$A$393:$M$405</definedName>
    <definedName name="Std9BillingInfo05" localSheetId="6">'IWP05'!$A$393:$M$405</definedName>
    <definedName name="Std9BillingInfo05" localSheetId="7">'IWP06'!$A$393:$M$405</definedName>
    <definedName name="Std9BillingInfo05" localSheetId="8">'IWP07'!$A$393:$M$405</definedName>
    <definedName name="Std9BillingInfo05" localSheetId="9">'IWP08'!$A$393:$M$405</definedName>
    <definedName name="Std9BillingInfo05" localSheetId="10">'IWP09'!$A$393:$M$405</definedName>
    <definedName name="Std9BillingInfo05" localSheetId="11">'IWP10'!$A$393:$M$405</definedName>
    <definedName name="Std9BillingInfo05" localSheetId="12">'IWP11'!$A$393:$M$405</definedName>
    <definedName name="Std9BillingInfo05" localSheetId="13">'IWP12'!$A$393:$M$405</definedName>
    <definedName name="Std9BillingInfo05" localSheetId="14">'IWP13'!$A$393:$M$405</definedName>
    <definedName name="Std9BillingInfo05" localSheetId="15">'IWP14'!$A$393:$M$405</definedName>
    <definedName name="Std9BillingInfo05" localSheetId="16">'IWP15'!$A$393:$M$405</definedName>
    <definedName name="Std9BillingInfo05" localSheetId="17">'IWP16'!$A$393:$M$405</definedName>
    <definedName name="Std9BillingInfo05" localSheetId="18">'IWP17'!$A$393:$M$405</definedName>
    <definedName name="Std9BillingInfo05" localSheetId="19">'IWP18'!$A$393:$M$405</definedName>
    <definedName name="Std9BillingInfo05" localSheetId="20">'IWP19'!$A$393:$M$405</definedName>
    <definedName name="Std9BillingInfo05" localSheetId="21">'IWP20'!$A$393:$M$405</definedName>
    <definedName name="Std9BillingInfo05" localSheetId="22">'IWP21'!$A$393:$M$405</definedName>
    <definedName name="Std9BillingInfo05" localSheetId="23">'IWP22'!$A$393:$M$405</definedName>
    <definedName name="Std9BillingInfo05" localSheetId="24">'IWP23'!$A$393:$M$405</definedName>
    <definedName name="Std9BillingInfo05" localSheetId="25">'IWP24'!$A$393:$M$405</definedName>
    <definedName name="Std9BillingInfo05" localSheetId="26">'IWP25'!$A$393:$M$405</definedName>
    <definedName name="Std9BillingInfo05" localSheetId="27">'IWP26'!$A$393:$M$405</definedName>
    <definedName name="Std9BillingInfo05" localSheetId="28">'IWP27'!$A$393:$M$405</definedName>
    <definedName name="Std9BillingInfo05" localSheetId="29">'IWP28'!$A$393:$M$405</definedName>
    <definedName name="Std9BillingInfo05" localSheetId="30">'IWP29'!$A$393:$M$405</definedName>
    <definedName name="Std9BillingInfo05" localSheetId="31">'IWP30'!$A$393:$M$405</definedName>
    <definedName name="Std9BillingInfo06" localSheetId="2">'IWP01'!$A$409:$M$421</definedName>
    <definedName name="Std9BillingInfo06" localSheetId="3">'IWP02'!$A$409:$M$421</definedName>
    <definedName name="Std9BillingInfo06" localSheetId="4">'IWP03'!$A$409:$M$421</definedName>
    <definedName name="Std9BillingInfo06" localSheetId="5">'IWP04'!$A$409:$M$421</definedName>
    <definedName name="Std9BillingInfo06" localSheetId="6">'IWP05'!$A$409:$M$421</definedName>
    <definedName name="Std9BillingInfo06" localSheetId="7">'IWP06'!$A$409:$M$421</definedName>
    <definedName name="Std9BillingInfo06" localSheetId="8">'IWP07'!$A$409:$M$421</definedName>
    <definedName name="Std9BillingInfo06" localSheetId="9">'IWP08'!$A$409:$M$421</definedName>
    <definedName name="Std9BillingInfo06" localSheetId="10">'IWP09'!$A$409:$M$421</definedName>
    <definedName name="Std9BillingInfo06" localSheetId="11">'IWP10'!$A$409:$M$421</definedName>
    <definedName name="Std9BillingInfo06" localSheetId="12">'IWP11'!$A$409:$M$421</definedName>
    <definedName name="Std9BillingInfo06" localSheetId="13">'IWP12'!$A$409:$M$421</definedName>
    <definedName name="Std9BillingInfo06" localSheetId="14">'IWP13'!$A$409:$M$421</definedName>
    <definedName name="Std9BillingInfo06" localSheetId="15">'IWP14'!$A$409:$M$421</definedName>
    <definedName name="Std9BillingInfo06" localSheetId="16">'IWP15'!$A$409:$M$421</definedName>
    <definedName name="Std9BillingInfo06" localSheetId="17">'IWP16'!$A$409:$M$421</definedName>
    <definedName name="Std9BillingInfo06" localSheetId="18">'IWP17'!$A$409:$M$421</definedName>
    <definedName name="Std9BillingInfo06" localSheetId="19">'IWP18'!$A$409:$M$421</definedName>
    <definedName name="Std9BillingInfo06" localSheetId="20">'IWP19'!$A$409:$M$421</definedName>
    <definedName name="Std9BillingInfo06" localSheetId="21">'IWP20'!$A$409:$M$421</definedName>
    <definedName name="Std9BillingInfo06" localSheetId="22">'IWP21'!$A$409:$M$421</definedName>
    <definedName name="Std9BillingInfo06" localSheetId="23">'IWP22'!$A$409:$M$421</definedName>
    <definedName name="Std9BillingInfo06" localSheetId="24">'IWP23'!$A$409:$M$421</definedName>
    <definedName name="Std9BillingInfo06" localSheetId="25">'IWP24'!$A$409:$M$421</definedName>
    <definedName name="Std9BillingInfo06" localSheetId="26">'IWP25'!$A$409:$M$421</definedName>
    <definedName name="Std9BillingInfo06" localSheetId="27">'IWP26'!$A$409:$M$421</definedName>
    <definedName name="Std9BillingInfo06" localSheetId="28">'IWP27'!$A$409:$M$421</definedName>
    <definedName name="Std9BillingInfo06" localSheetId="29">'IWP28'!$A$409:$M$421</definedName>
    <definedName name="Std9BillingInfo06" localSheetId="30">'IWP29'!$A$409:$M$421</definedName>
    <definedName name="Std9BillingInfo06" localSheetId="31">'IWP30'!$A$409:$M$421</definedName>
    <definedName name="Std9BillingInfo07" localSheetId="2">'IWP01'!$A$425:$M$437</definedName>
    <definedName name="Std9BillingInfo07" localSheetId="3">'IWP02'!$A$425:$M$437</definedName>
    <definedName name="Std9BillingInfo07" localSheetId="4">'IWP03'!$A$425:$M$437</definedName>
    <definedName name="Std9BillingInfo07" localSheetId="5">'IWP04'!$A$425:$M$437</definedName>
    <definedName name="Std9BillingInfo07" localSheetId="6">'IWP05'!$A$425:$M$437</definedName>
    <definedName name="Std9BillingInfo07" localSheetId="7">'IWP06'!$A$425:$M$437</definedName>
    <definedName name="Std9BillingInfo07" localSheetId="8">'IWP07'!$A$425:$M$437</definedName>
    <definedName name="Std9BillingInfo07" localSheetId="9">'IWP08'!$A$425:$M$437</definedName>
    <definedName name="Std9BillingInfo07" localSheetId="10">'IWP09'!$A$425:$M$437</definedName>
    <definedName name="Std9BillingInfo07" localSheetId="11">'IWP10'!$A$425:$M$437</definedName>
    <definedName name="Std9BillingInfo07" localSheetId="12">'IWP11'!$A$425:$M$437</definedName>
    <definedName name="Std9BillingInfo07" localSheetId="13">'IWP12'!$A$425:$M$437</definedName>
    <definedName name="Std9BillingInfo07" localSheetId="14">'IWP13'!$A$425:$M$437</definedName>
    <definedName name="Std9BillingInfo07" localSheetId="15">'IWP14'!$A$425:$M$437</definedName>
    <definedName name="Std9BillingInfo07" localSheetId="16">'IWP15'!$A$425:$M$437</definedName>
    <definedName name="Std9BillingInfo07" localSheetId="17">'IWP16'!$A$425:$M$437</definedName>
    <definedName name="Std9BillingInfo07" localSheetId="18">'IWP17'!$A$425:$M$437</definedName>
    <definedName name="Std9BillingInfo07" localSheetId="19">'IWP18'!$A$425:$M$437</definedName>
    <definedName name="Std9BillingInfo07" localSheetId="20">'IWP19'!$A$425:$M$437</definedName>
    <definedName name="Std9BillingInfo07" localSheetId="21">'IWP20'!$A$425:$M$437</definedName>
    <definedName name="Std9BillingInfo07" localSheetId="22">'IWP21'!$A$425:$M$437</definedName>
    <definedName name="Std9BillingInfo07" localSheetId="23">'IWP22'!$A$425:$M$437</definedName>
    <definedName name="Std9BillingInfo07" localSheetId="24">'IWP23'!$A$425:$M$437</definedName>
    <definedName name="Std9BillingInfo07" localSheetId="25">'IWP24'!$A$425:$M$437</definedName>
    <definedName name="Std9BillingInfo07" localSheetId="26">'IWP25'!$A$425:$M$437</definedName>
    <definedName name="Std9BillingInfo07" localSheetId="27">'IWP26'!$A$425:$M$437</definedName>
    <definedName name="Std9BillingInfo07" localSheetId="28">'IWP27'!$A$425:$M$437</definedName>
    <definedName name="Std9BillingInfo07" localSheetId="29">'IWP28'!$A$425:$M$437</definedName>
    <definedName name="Std9BillingInfo07" localSheetId="30">'IWP29'!$A$425:$M$437</definedName>
    <definedName name="Std9BillingInfo07" localSheetId="31">'IWP30'!$A$425:$M$437</definedName>
    <definedName name="Std9BillingInfo08" localSheetId="2">'IWP01'!$A$441:$M$453</definedName>
    <definedName name="Std9BillingInfo08" localSheetId="3">'IWP02'!$A$441:$M$453</definedName>
    <definedName name="Std9BillingInfo08" localSheetId="4">'IWP03'!$A$441:$M$453</definedName>
    <definedName name="Std9BillingInfo08" localSheetId="5">'IWP04'!$A$441:$M$453</definedName>
    <definedName name="Std9BillingInfo08" localSheetId="6">'IWP05'!$A$441:$M$453</definedName>
    <definedName name="Std9BillingInfo08" localSheetId="7">'IWP06'!$A$441:$M$453</definedName>
    <definedName name="Std9BillingInfo08" localSheetId="8">'IWP07'!$A$441:$M$453</definedName>
    <definedName name="Std9BillingInfo08" localSheetId="9">'IWP08'!$A$441:$M$453</definedName>
    <definedName name="Std9BillingInfo08" localSheetId="10">'IWP09'!$A$441:$M$453</definedName>
    <definedName name="Std9BillingInfo08" localSheetId="11">'IWP10'!$A$441:$M$453</definedName>
    <definedName name="Std9BillingInfo08" localSheetId="12">'IWP11'!$A$441:$M$453</definedName>
    <definedName name="Std9BillingInfo08" localSheetId="13">'IWP12'!$A$441:$M$453</definedName>
    <definedName name="Std9BillingInfo08" localSheetId="14">'IWP13'!$A$441:$M$453</definedName>
    <definedName name="Std9BillingInfo08" localSheetId="15">'IWP14'!$A$441:$M$453</definedName>
    <definedName name="Std9BillingInfo08" localSheetId="16">'IWP15'!$A$441:$M$453</definedName>
    <definedName name="Std9BillingInfo08" localSheetId="17">'IWP16'!$A$441:$M$453</definedName>
    <definedName name="Std9BillingInfo08" localSheetId="18">'IWP17'!$A$441:$M$453</definedName>
    <definedName name="Std9BillingInfo08" localSheetId="19">'IWP18'!$A$441:$M$453</definedName>
    <definedName name="Std9BillingInfo08" localSheetId="20">'IWP19'!$A$441:$M$453</definedName>
    <definedName name="Std9BillingInfo08" localSheetId="21">'IWP20'!$A$441:$M$453</definedName>
    <definedName name="Std9BillingInfo08" localSheetId="22">'IWP21'!$A$441:$M$453</definedName>
    <definedName name="Std9BillingInfo08" localSheetId="23">'IWP22'!$A$441:$M$453</definedName>
    <definedName name="Std9BillingInfo08" localSheetId="24">'IWP23'!$A$441:$M$453</definedName>
    <definedName name="Std9BillingInfo08" localSheetId="25">'IWP24'!$A$441:$M$453</definedName>
    <definedName name="Std9BillingInfo08" localSheetId="26">'IWP25'!$A$441:$M$453</definedName>
    <definedName name="Std9BillingInfo08" localSheetId="27">'IWP26'!$A$441:$M$453</definedName>
    <definedName name="Std9BillingInfo08" localSheetId="28">'IWP27'!$A$441:$M$453</definedName>
    <definedName name="Std9BillingInfo08" localSheetId="29">'IWP28'!$A$441:$M$453</definedName>
    <definedName name="Std9BillingInfo08" localSheetId="30">'IWP29'!$A$441:$M$453</definedName>
    <definedName name="Std9BillingInfo08" localSheetId="31">'IWP30'!$A$441:$M$453</definedName>
    <definedName name="Std9BillingInfo09" localSheetId="2">'IWP01'!$A$457:$M$469</definedName>
    <definedName name="Std9BillingInfo09" localSheetId="3">'IWP02'!$A$457:$M$469</definedName>
    <definedName name="Std9BillingInfo09" localSheetId="4">'IWP03'!$A$457:$M$469</definedName>
    <definedName name="Std9BillingInfo09" localSheetId="5">'IWP04'!$A$457:$M$469</definedName>
    <definedName name="Std9BillingInfo09" localSheetId="6">'IWP05'!$A$457:$M$469</definedName>
    <definedName name="Std9BillingInfo09" localSheetId="7">'IWP06'!$A$457:$M$469</definedName>
    <definedName name="Std9BillingInfo09" localSheetId="8">'IWP07'!$A$457:$M$469</definedName>
    <definedName name="Std9BillingInfo09" localSheetId="9">'IWP08'!$A$457:$M$469</definedName>
    <definedName name="Std9BillingInfo09" localSheetId="10">'IWP09'!$A$457:$M$469</definedName>
    <definedName name="Std9BillingInfo09" localSheetId="11">'IWP10'!$A$457:$M$469</definedName>
    <definedName name="Std9BillingInfo09" localSheetId="12">'IWP11'!$A$457:$M$469</definedName>
    <definedName name="Std9BillingInfo09" localSheetId="13">'IWP12'!$A$457:$M$469</definedName>
    <definedName name="Std9BillingInfo09" localSheetId="14">'IWP13'!$A$457:$M$469</definedName>
    <definedName name="Std9BillingInfo09" localSheetId="15">'IWP14'!$A$457:$M$469</definedName>
    <definedName name="Std9BillingInfo09" localSheetId="16">'IWP15'!$A$457:$M$469</definedName>
    <definedName name="Std9BillingInfo09" localSheetId="17">'IWP16'!$A$457:$M$469</definedName>
    <definedName name="Std9BillingInfo09" localSheetId="18">'IWP17'!$A$457:$M$469</definedName>
    <definedName name="Std9BillingInfo09" localSheetId="19">'IWP18'!$A$457:$M$469</definedName>
    <definedName name="Std9BillingInfo09" localSheetId="20">'IWP19'!$A$457:$M$469</definedName>
    <definedName name="Std9BillingInfo09" localSheetId="21">'IWP20'!$A$457:$M$469</definedName>
    <definedName name="Std9BillingInfo09" localSheetId="22">'IWP21'!$A$457:$M$469</definedName>
    <definedName name="Std9BillingInfo09" localSheetId="23">'IWP22'!$A$457:$M$469</definedName>
    <definedName name="Std9BillingInfo09" localSheetId="24">'IWP23'!$A$457:$M$469</definedName>
    <definedName name="Std9BillingInfo09" localSheetId="25">'IWP24'!$A$457:$M$469</definedName>
    <definedName name="Std9BillingInfo09" localSheetId="26">'IWP25'!$A$457:$M$469</definedName>
    <definedName name="Std9BillingInfo09" localSheetId="27">'IWP26'!$A$457:$M$469</definedName>
    <definedName name="Std9BillingInfo09" localSheetId="28">'IWP27'!$A$457:$M$469</definedName>
    <definedName name="Std9BillingInfo09" localSheetId="29">'IWP28'!$A$457:$M$469</definedName>
    <definedName name="Std9BillingInfo09" localSheetId="30">'IWP29'!$A$457:$M$469</definedName>
    <definedName name="Std9BillingInfo09" localSheetId="31">'IWP30'!$A$457:$M$469</definedName>
    <definedName name="Std9BillingInfo10" localSheetId="2">'IWP01'!$A$473:$M$485</definedName>
    <definedName name="Std9BillingInfo10" localSheetId="3">'IWP02'!$A$473:$M$485</definedName>
    <definedName name="Std9BillingInfo10" localSheetId="4">'IWP03'!$A$473:$M$485</definedName>
    <definedName name="Std9BillingInfo10" localSheetId="5">'IWP04'!$A$473:$M$485</definedName>
    <definedName name="Std9BillingInfo10" localSheetId="6">'IWP05'!$A$473:$M$485</definedName>
    <definedName name="Std9BillingInfo10" localSheetId="7">'IWP06'!$A$473:$M$485</definedName>
    <definedName name="Std9BillingInfo10" localSheetId="8">'IWP07'!$A$473:$M$485</definedName>
    <definedName name="Std9BillingInfo10" localSheetId="9">'IWP08'!$A$473:$M$485</definedName>
    <definedName name="Std9BillingInfo10" localSheetId="10">'IWP09'!$A$473:$M$485</definedName>
    <definedName name="Std9BillingInfo10" localSheetId="11">'IWP10'!$A$473:$M$485</definedName>
    <definedName name="Std9BillingInfo10" localSheetId="12">'IWP11'!$A$473:$M$485</definedName>
    <definedName name="Std9BillingInfo10" localSheetId="13">'IWP12'!$A$473:$M$485</definedName>
    <definedName name="Std9BillingInfo10" localSheetId="14">'IWP13'!$A$473:$M$485</definedName>
    <definedName name="Std9BillingInfo10" localSheetId="15">'IWP14'!$A$473:$M$485</definedName>
    <definedName name="Std9BillingInfo10" localSheetId="16">'IWP15'!$A$473:$M$485</definedName>
    <definedName name="Std9BillingInfo10" localSheetId="17">'IWP16'!$A$473:$M$485</definedName>
    <definedName name="Std9BillingInfo10" localSheetId="18">'IWP17'!$A$473:$M$485</definedName>
    <definedName name="Std9BillingInfo10" localSheetId="19">'IWP18'!$A$473:$M$485</definedName>
    <definedName name="Std9BillingInfo10" localSheetId="20">'IWP19'!$A$473:$M$485</definedName>
    <definedName name="Std9BillingInfo10" localSheetId="21">'IWP20'!$A$473:$M$485</definedName>
    <definedName name="Std9BillingInfo10" localSheetId="22">'IWP21'!$A$473:$M$485</definedName>
    <definedName name="Std9BillingInfo10" localSheetId="23">'IWP22'!$A$473:$M$485</definedName>
    <definedName name="Std9BillingInfo10" localSheetId="24">'IWP23'!$A$473:$M$485</definedName>
    <definedName name="Std9BillingInfo10" localSheetId="25">'IWP24'!$A$473:$M$485</definedName>
    <definedName name="Std9BillingInfo10" localSheetId="26">'IWP25'!$A$473:$M$485</definedName>
    <definedName name="Std9BillingInfo10" localSheetId="27">'IWP26'!$A$473:$M$485</definedName>
    <definedName name="Std9BillingInfo10" localSheetId="28">'IWP27'!$A$473:$M$485</definedName>
    <definedName name="Std9BillingInfo10" localSheetId="29">'IWP28'!$A$473:$M$485</definedName>
    <definedName name="Std9BillingInfo10" localSheetId="30">'IWP29'!$A$473:$M$485</definedName>
    <definedName name="Std9BillingInfo10" localSheetId="31">'IWP30'!$A$473:$M$485</definedName>
    <definedName name="Std9BillingInfo11" localSheetId="2">'IWP01'!$A$489:$M$501</definedName>
    <definedName name="Std9BillingInfo11" localSheetId="3">'IWP02'!$A$489:$M$501</definedName>
    <definedName name="Std9BillingInfo11" localSheetId="4">'IWP03'!$A$489:$M$501</definedName>
    <definedName name="Std9BillingInfo11" localSheetId="5">'IWP04'!$A$489:$M$501</definedName>
    <definedName name="Std9BillingInfo11" localSheetId="6">'IWP05'!$A$489:$M$501</definedName>
    <definedName name="Std9BillingInfo11" localSheetId="7">'IWP06'!$A$489:$M$501</definedName>
    <definedName name="Std9BillingInfo11" localSheetId="8">'IWP07'!$A$489:$M$501</definedName>
    <definedName name="Std9BillingInfo11" localSheetId="9">'IWP08'!$A$489:$M$501</definedName>
    <definedName name="Std9BillingInfo11" localSheetId="10">'IWP09'!$A$489:$M$501</definedName>
    <definedName name="Std9BillingInfo11" localSheetId="11">'IWP10'!$A$489:$M$501</definedName>
    <definedName name="Std9BillingInfo11" localSheetId="12">'IWP11'!$A$489:$M$501</definedName>
    <definedName name="Std9BillingInfo11" localSheetId="13">'IWP12'!$A$489:$M$501</definedName>
    <definedName name="Std9BillingInfo11" localSheetId="14">'IWP13'!$A$489:$M$501</definedName>
    <definedName name="Std9BillingInfo11" localSheetId="15">'IWP14'!$A$489:$M$501</definedName>
    <definedName name="Std9BillingInfo11" localSheetId="16">'IWP15'!$A$489:$M$501</definedName>
    <definedName name="Std9BillingInfo11" localSheetId="17">'IWP16'!$A$489:$M$501</definedName>
    <definedName name="Std9BillingInfo11" localSheetId="18">'IWP17'!$A$489:$M$501</definedName>
    <definedName name="Std9BillingInfo11" localSheetId="19">'IWP18'!$A$489:$M$501</definedName>
    <definedName name="Std9BillingInfo11" localSheetId="20">'IWP19'!$A$489:$M$501</definedName>
    <definedName name="Std9BillingInfo11" localSheetId="21">'IWP20'!$A$489:$M$501</definedName>
    <definedName name="Std9BillingInfo11" localSheetId="22">'IWP21'!$A$489:$M$501</definedName>
    <definedName name="Std9BillingInfo11" localSheetId="23">'IWP22'!$A$489:$M$501</definedName>
    <definedName name="Std9BillingInfo11" localSheetId="24">'IWP23'!$A$489:$M$501</definedName>
    <definedName name="Std9BillingInfo11" localSheetId="25">'IWP24'!$A$489:$M$501</definedName>
    <definedName name="Std9BillingInfo11" localSheetId="26">'IWP25'!$A$489:$M$501</definedName>
    <definedName name="Std9BillingInfo11" localSheetId="27">'IWP26'!$A$489:$M$501</definedName>
    <definedName name="Std9BillingInfo11" localSheetId="28">'IWP27'!$A$489:$M$501</definedName>
    <definedName name="Std9BillingInfo11" localSheetId="29">'IWP28'!$A$489:$M$501</definedName>
    <definedName name="Std9BillingInfo11" localSheetId="30">'IWP29'!$A$489:$M$501</definedName>
    <definedName name="Std9BillingInfo11" localSheetId="31">'IWP30'!$A$489:$M$501</definedName>
    <definedName name="Std9BillingInfo12" localSheetId="2">'IWP01'!$A$505:$M$517</definedName>
    <definedName name="Std9BillingInfo12" localSheetId="3">'IWP02'!$A$505:$M$517</definedName>
    <definedName name="Std9BillingInfo12" localSheetId="4">'IWP03'!$A$505:$M$517</definedName>
    <definedName name="Std9BillingInfo12" localSheetId="5">'IWP04'!$A$505:$M$517</definedName>
    <definedName name="Std9BillingInfo12" localSheetId="6">'IWP05'!$A$505:$M$517</definedName>
    <definedName name="Std9BillingInfo12" localSheetId="7">'IWP06'!$A$505:$M$517</definedName>
    <definedName name="Std9BillingInfo12" localSheetId="8">'IWP07'!$A$505:$M$517</definedName>
    <definedName name="Std9BillingInfo12" localSheetId="9">'IWP08'!$A$505:$M$517</definedName>
    <definedName name="Std9BillingInfo12" localSheetId="10">'IWP09'!$A$505:$M$517</definedName>
    <definedName name="Std9BillingInfo12" localSheetId="11">'IWP10'!$A$505:$M$517</definedName>
    <definedName name="Std9BillingInfo12" localSheetId="12">'IWP11'!$A$505:$M$517</definedName>
    <definedName name="Std9BillingInfo12" localSheetId="13">'IWP12'!$A$505:$M$517</definedName>
    <definedName name="Std9BillingInfo12" localSheetId="14">'IWP13'!$A$505:$M$517</definedName>
    <definedName name="Std9BillingInfo12" localSheetId="15">'IWP14'!$A$505:$M$517</definedName>
    <definedName name="Std9BillingInfo12" localSheetId="16">'IWP15'!$A$505:$M$517</definedName>
    <definedName name="Std9BillingInfo12" localSheetId="17">'IWP16'!$A$505:$M$517</definedName>
    <definedName name="Std9BillingInfo12" localSheetId="18">'IWP17'!$A$505:$M$517</definedName>
    <definedName name="Std9BillingInfo12" localSheetId="19">'IWP18'!$A$505:$M$517</definedName>
    <definedName name="Std9BillingInfo12" localSheetId="20">'IWP19'!$A$505:$M$517</definedName>
    <definedName name="Std9BillingInfo12" localSheetId="21">'IWP20'!$A$505:$M$517</definedName>
    <definedName name="Std9BillingInfo12" localSheetId="22">'IWP21'!$A$505:$M$517</definedName>
    <definedName name="Std9BillingInfo12" localSheetId="23">'IWP22'!$A$505:$M$517</definedName>
    <definedName name="Std9BillingInfo12" localSheetId="24">'IWP23'!$A$505:$M$517</definedName>
    <definedName name="Std9BillingInfo12" localSheetId="25">'IWP24'!$A$505:$M$517</definedName>
    <definedName name="Std9BillingInfo12" localSheetId="26">'IWP25'!$A$505:$M$517</definedName>
    <definedName name="Std9BillingInfo12" localSheetId="27">'IWP26'!$A$505:$M$517</definedName>
    <definedName name="Std9BillingInfo12" localSheetId="28">'IWP27'!$A$505:$M$517</definedName>
    <definedName name="Std9BillingInfo12" localSheetId="29">'IWP28'!$A$505:$M$517</definedName>
    <definedName name="Std9BillingInfo12" localSheetId="30">'IWP29'!$A$505:$M$517</definedName>
    <definedName name="Std9BillingInfo12" localSheetId="31">'IWP30'!$A$505:$M$517</definedName>
    <definedName name="Std9BillingInfo13" localSheetId="2">'IWP01'!$A$521:$M$533</definedName>
    <definedName name="Std9BillingInfo13" localSheetId="3">'IWP02'!$A$521:$M$533</definedName>
    <definedName name="Std9BillingInfo13" localSheetId="4">'IWP03'!$A$521:$M$533</definedName>
    <definedName name="Std9BillingInfo13" localSheetId="5">'IWP04'!$A$521:$M$533</definedName>
    <definedName name="Std9BillingInfo13" localSheetId="6">'IWP05'!$A$521:$M$533</definedName>
    <definedName name="Std9BillingInfo13" localSheetId="7">'IWP06'!$A$521:$M$533</definedName>
    <definedName name="Std9BillingInfo13" localSheetId="8">'IWP07'!$A$521:$M$533</definedName>
    <definedName name="Std9BillingInfo13" localSheetId="9">'IWP08'!$A$521:$M$533</definedName>
    <definedName name="Std9BillingInfo13" localSheetId="10">'IWP09'!$A$521:$M$533</definedName>
    <definedName name="Std9BillingInfo13" localSheetId="11">'IWP10'!$A$521:$M$533</definedName>
    <definedName name="Std9BillingInfo13" localSheetId="12">'IWP11'!$A$521:$M$533</definedName>
    <definedName name="Std9BillingInfo13" localSheetId="13">'IWP12'!$A$521:$M$533</definedName>
    <definedName name="Std9BillingInfo13" localSheetId="14">'IWP13'!$A$521:$M$533</definedName>
    <definedName name="Std9BillingInfo13" localSheetId="15">'IWP14'!$A$521:$M$533</definedName>
    <definedName name="Std9BillingInfo13" localSheetId="16">'IWP15'!$A$521:$M$533</definedName>
    <definedName name="Std9BillingInfo13" localSheetId="17">'IWP16'!$A$521:$M$533</definedName>
    <definedName name="Std9BillingInfo13" localSheetId="18">'IWP17'!$A$521:$M$533</definedName>
    <definedName name="Std9BillingInfo13" localSheetId="19">'IWP18'!$A$521:$M$533</definedName>
    <definedName name="Std9BillingInfo13" localSheetId="20">'IWP19'!$A$521:$M$533</definedName>
    <definedName name="Std9BillingInfo13" localSheetId="21">'IWP20'!$A$521:$M$533</definedName>
    <definedName name="Std9BillingInfo13" localSheetId="22">'IWP21'!$A$521:$M$533</definedName>
    <definedName name="Std9BillingInfo13" localSheetId="23">'IWP22'!$A$521:$M$533</definedName>
    <definedName name="Std9BillingInfo13" localSheetId="24">'IWP23'!$A$521:$M$533</definedName>
    <definedName name="Std9BillingInfo13" localSheetId="25">'IWP24'!$A$521:$M$533</definedName>
    <definedName name="Std9BillingInfo13" localSheetId="26">'IWP25'!$A$521:$M$533</definedName>
    <definedName name="Std9BillingInfo13" localSheetId="27">'IWP26'!$A$521:$M$533</definedName>
    <definedName name="Std9BillingInfo13" localSheetId="28">'IWP27'!$A$521:$M$533</definedName>
    <definedName name="Std9BillingInfo13" localSheetId="29">'IWP28'!$A$521:$M$533</definedName>
    <definedName name="Std9BillingInfo13" localSheetId="30">'IWP29'!$A$521:$M$533</definedName>
    <definedName name="Std9BillingInfo13" localSheetId="31">'IWP30'!$A$521:$M$533</definedName>
    <definedName name="Std9BillingInfo14" localSheetId="2">'IWP01'!$A$537:$M$549</definedName>
    <definedName name="Std9BillingInfo14" localSheetId="3">'IWP02'!$A$537:$M$549</definedName>
    <definedName name="Std9BillingInfo14" localSheetId="4">'IWP03'!$A$537:$M$549</definedName>
    <definedName name="Std9BillingInfo14" localSheetId="5">'IWP04'!$A$537:$M$549</definedName>
    <definedName name="Std9BillingInfo14" localSheetId="6">'IWP05'!$A$537:$M$549</definedName>
    <definedName name="Std9BillingInfo14" localSheetId="7">'IWP06'!$A$537:$M$549</definedName>
    <definedName name="Std9BillingInfo14" localSheetId="8">'IWP07'!$A$537:$M$549</definedName>
    <definedName name="Std9BillingInfo14" localSheetId="9">'IWP08'!$A$537:$M$549</definedName>
    <definedName name="Std9BillingInfo14" localSheetId="10">'IWP09'!$A$537:$M$549</definedName>
    <definedName name="Std9BillingInfo14" localSheetId="11">'IWP10'!$A$537:$M$549</definedName>
    <definedName name="Std9BillingInfo14" localSheetId="12">'IWP11'!$A$537:$M$549</definedName>
    <definedName name="Std9BillingInfo14" localSheetId="13">'IWP12'!$A$537:$M$549</definedName>
    <definedName name="Std9BillingInfo14" localSheetId="14">'IWP13'!$A$537:$M$549</definedName>
    <definedName name="Std9BillingInfo14" localSheetId="15">'IWP14'!$A$537:$M$549</definedName>
    <definedName name="Std9BillingInfo14" localSheetId="16">'IWP15'!$A$537:$M$549</definedName>
    <definedName name="Std9BillingInfo14" localSheetId="17">'IWP16'!$A$537:$M$549</definedName>
    <definedName name="Std9BillingInfo14" localSheetId="18">'IWP17'!$A$537:$M$549</definedName>
    <definedName name="Std9BillingInfo14" localSheetId="19">'IWP18'!$A$537:$M$549</definedName>
    <definedName name="Std9BillingInfo14" localSheetId="20">'IWP19'!$A$537:$M$549</definedName>
    <definedName name="Std9BillingInfo14" localSheetId="21">'IWP20'!$A$537:$M$549</definedName>
    <definedName name="Std9BillingInfo14" localSheetId="22">'IWP21'!$A$537:$M$549</definedName>
    <definedName name="Std9BillingInfo14" localSheetId="23">'IWP22'!$A$537:$M$549</definedName>
    <definedName name="Std9BillingInfo14" localSheetId="24">'IWP23'!$A$537:$M$549</definedName>
    <definedName name="Std9BillingInfo14" localSheetId="25">'IWP24'!$A$537:$M$549</definedName>
    <definedName name="Std9BillingInfo14" localSheetId="26">'IWP25'!$A$537:$M$549</definedName>
    <definedName name="Std9BillingInfo14" localSheetId="27">'IWP26'!$A$537:$M$549</definedName>
    <definedName name="Std9BillingInfo14" localSheetId="28">'IWP27'!$A$537:$M$549</definedName>
    <definedName name="Std9BillingInfo14" localSheetId="29">'IWP28'!$A$537:$M$549</definedName>
    <definedName name="Std9BillingInfo14" localSheetId="30">'IWP29'!$A$537:$M$549</definedName>
    <definedName name="Std9BillingInfo14" localSheetId="31">'IWP30'!$A$537:$M$549</definedName>
    <definedName name="Std9BillingInfo15" localSheetId="2">'IWP01'!$A$553:$M$565</definedName>
    <definedName name="Std9BillingInfo15" localSheetId="3">'IWP02'!$A$553:$M$565</definedName>
    <definedName name="Std9BillingInfo15" localSheetId="4">'IWP03'!$A$553:$M$565</definedName>
    <definedName name="Std9BillingInfo15" localSheetId="5">'IWP04'!$A$553:$M$565</definedName>
    <definedName name="Std9BillingInfo15" localSheetId="6">'IWP05'!$A$553:$M$565</definedName>
    <definedName name="Std9BillingInfo15" localSheetId="7">'IWP06'!$A$553:$M$565</definedName>
    <definedName name="Std9BillingInfo15" localSheetId="8">'IWP07'!$A$553:$M$565</definedName>
    <definedName name="Std9BillingInfo15" localSheetId="9">'IWP08'!$A$553:$M$565</definedName>
    <definedName name="Std9BillingInfo15" localSheetId="10">'IWP09'!$A$553:$M$565</definedName>
    <definedName name="Std9BillingInfo15" localSheetId="11">'IWP10'!$A$553:$M$565</definedName>
    <definedName name="Std9BillingInfo15" localSheetId="12">'IWP11'!$A$553:$M$565</definedName>
    <definedName name="Std9BillingInfo15" localSheetId="13">'IWP12'!$A$553:$M$565</definedName>
    <definedName name="Std9BillingInfo15" localSheetId="14">'IWP13'!$A$553:$M$565</definedName>
    <definedName name="Std9BillingInfo15" localSheetId="15">'IWP14'!$A$553:$M$565</definedName>
    <definedName name="Std9BillingInfo15" localSheetId="16">'IWP15'!$A$553:$M$565</definedName>
    <definedName name="Std9BillingInfo15" localSheetId="17">'IWP16'!$A$553:$M$565</definedName>
    <definedName name="Std9BillingInfo15" localSheetId="18">'IWP17'!$A$553:$M$565</definedName>
    <definedName name="Std9BillingInfo15" localSheetId="19">'IWP18'!$A$553:$M$565</definedName>
    <definedName name="Std9BillingInfo15" localSheetId="20">'IWP19'!$A$553:$M$565</definedName>
    <definedName name="Std9BillingInfo15" localSheetId="21">'IWP20'!$A$553:$M$565</definedName>
    <definedName name="Std9BillingInfo15" localSheetId="22">'IWP21'!$A$553:$M$565</definedName>
    <definedName name="Std9BillingInfo15" localSheetId="23">'IWP22'!$A$553:$M$565</definedName>
    <definedName name="Std9BillingInfo15" localSheetId="24">'IWP23'!$A$553:$M$565</definedName>
    <definedName name="Std9BillingInfo15" localSheetId="25">'IWP24'!$A$553:$M$565</definedName>
    <definedName name="Std9BillingInfo15" localSheetId="26">'IWP25'!$A$553:$M$565</definedName>
    <definedName name="Std9BillingInfo15" localSheetId="27">'IWP26'!$A$553:$M$565</definedName>
    <definedName name="Std9BillingInfo15" localSheetId="28">'IWP27'!$A$553:$M$565</definedName>
    <definedName name="Std9BillingInfo15" localSheetId="29">'IWP28'!$A$553:$M$565</definedName>
    <definedName name="Std9BillingInfo15" localSheetId="30">'IWP29'!$A$553:$M$565</definedName>
    <definedName name="Std9BillingInfo15" localSheetId="31">'IWP30'!$A$553:$M$565</definedName>
    <definedName name="Std9BillingInfo16" localSheetId="2">'IWP01'!$A$569:$M$581</definedName>
    <definedName name="Std9BillingInfo16" localSheetId="3">'IWP02'!$A$569:$M$581</definedName>
    <definedName name="Std9BillingInfo16" localSheetId="4">'IWP03'!$A$569:$M$581</definedName>
    <definedName name="Std9BillingInfo16" localSheetId="5">'IWP04'!$A$569:$M$581</definedName>
    <definedName name="Std9BillingInfo16" localSheetId="6">'IWP05'!$A$569:$M$581</definedName>
    <definedName name="Std9BillingInfo16" localSheetId="7">'IWP06'!$A$569:$M$581</definedName>
    <definedName name="Std9BillingInfo16" localSheetId="8">'IWP07'!$A$569:$M$581</definedName>
    <definedName name="Std9BillingInfo16" localSheetId="9">'IWP08'!$A$569:$M$581</definedName>
    <definedName name="Std9BillingInfo16" localSheetId="10">'IWP09'!$A$569:$M$581</definedName>
    <definedName name="Std9BillingInfo16" localSheetId="11">'IWP10'!$A$569:$M$581</definedName>
    <definedName name="Std9BillingInfo16" localSheetId="12">'IWP11'!$A$569:$M$581</definedName>
    <definedName name="Std9BillingInfo16" localSheetId="13">'IWP12'!$A$569:$M$581</definedName>
    <definedName name="Std9BillingInfo16" localSheetId="14">'IWP13'!$A$569:$M$581</definedName>
    <definedName name="Std9BillingInfo16" localSheetId="15">'IWP14'!$A$569:$M$581</definedName>
    <definedName name="Std9BillingInfo16" localSheetId="16">'IWP15'!$A$569:$M$581</definedName>
    <definedName name="Std9BillingInfo16" localSheetId="17">'IWP16'!$A$569:$M$581</definedName>
    <definedName name="Std9BillingInfo16" localSheetId="18">'IWP17'!$A$569:$M$581</definedName>
    <definedName name="Std9BillingInfo16" localSheetId="19">'IWP18'!$A$569:$M$581</definedName>
    <definedName name="Std9BillingInfo16" localSheetId="20">'IWP19'!$A$569:$M$581</definedName>
    <definedName name="Std9BillingInfo16" localSheetId="21">'IWP20'!$A$569:$M$581</definedName>
    <definedName name="Std9BillingInfo16" localSheetId="22">'IWP21'!$A$569:$M$581</definedName>
    <definedName name="Std9BillingInfo16" localSheetId="23">'IWP22'!$A$569:$M$581</definedName>
    <definedName name="Std9BillingInfo16" localSheetId="24">'IWP23'!$A$569:$M$581</definedName>
    <definedName name="Std9BillingInfo16" localSheetId="25">'IWP24'!$A$569:$M$581</definedName>
    <definedName name="Std9BillingInfo16" localSheetId="26">'IWP25'!$A$569:$M$581</definedName>
    <definedName name="Std9BillingInfo16" localSheetId="27">'IWP26'!$A$569:$M$581</definedName>
    <definedName name="Std9BillingInfo16" localSheetId="28">'IWP27'!$A$569:$M$581</definedName>
    <definedName name="Std9BillingInfo16" localSheetId="29">'IWP28'!$A$569:$M$581</definedName>
    <definedName name="Std9BillingInfo16" localSheetId="30">'IWP29'!$A$569:$M$581</definedName>
    <definedName name="Std9BillingInfo16" localSheetId="31">'IWP30'!$A$569:$M$581</definedName>
    <definedName name="Std9BillingInfo17" localSheetId="2">'IWP01'!$A$585:$M$597</definedName>
    <definedName name="Std9BillingInfo17" localSheetId="3">'IWP02'!$A$585:$M$597</definedName>
    <definedName name="Std9BillingInfo17" localSheetId="4">'IWP03'!$A$585:$M$597</definedName>
    <definedName name="Std9BillingInfo17" localSheetId="5">'IWP04'!$A$585:$M$597</definedName>
    <definedName name="Std9BillingInfo17" localSheetId="6">'IWP05'!$A$585:$M$597</definedName>
    <definedName name="Std9BillingInfo17" localSheetId="7">'IWP06'!$A$585:$M$597</definedName>
    <definedName name="Std9BillingInfo17" localSheetId="8">'IWP07'!$A$585:$M$597</definedName>
    <definedName name="Std9BillingInfo17" localSheetId="9">'IWP08'!$A$585:$M$597</definedName>
    <definedName name="Std9BillingInfo17" localSheetId="10">'IWP09'!$A$585:$M$597</definedName>
    <definedName name="Std9BillingInfo17" localSheetId="11">'IWP10'!$A$585:$M$597</definedName>
    <definedName name="Std9BillingInfo17" localSheetId="12">'IWP11'!$A$585:$M$597</definedName>
    <definedName name="Std9BillingInfo17" localSheetId="13">'IWP12'!$A$585:$M$597</definedName>
    <definedName name="Std9BillingInfo17" localSheetId="14">'IWP13'!$A$585:$M$597</definedName>
    <definedName name="Std9BillingInfo17" localSheetId="15">'IWP14'!$A$585:$M$597</definedName>
    <definedName name="Std9BillingInfo17" localSheetId="16">'IWP15'!$A$585:$M$597</definedName>
    <definedName name="Std9BillingInfo17" localSheetId="17">'IWP16'!$A$585:$M$597</definedName>
    <definedName name="Std9BillingInfo17" localSheetId="18">'IWP17'!$A$585:$M$597</definedName>
    <definedName name="Std9BillingInfo17" localSheetId="19">'IWP18'!$A$585:$M$597</definedName>
    <definedName name="Std9BillingInfo17" localSheetId="20">'IWP19'!$A$585:$M$597</definedName>
    <definedName name="Std9BillingInfo17" localSheetId="21">'IWP20'!$A$585:$M$597</definedName>
    <definedName name="Std9BillingInfo17" localSheetId="22">'IWP21'!$A$585:$M$597</definedName>
    <definedName name="Std9BillingInfo17" localSheetId="23">'IWP22'!$A$585:$M$597</definedName>
    <definedName name="Std9BillingInfo17" localSheetId="24">'IWP23'!$A$585:$M$597</definedName>
    <definedName name="Std9BillingInfo17" localSheetId="25">'IWP24'!$A$585:$M$597</definedName>
    <definedName name="Std9BillingInfo17" localSheetId="26">'IWP25'!$A$585:$M$597</definedName>
    <definedName name="Std9BillingInfo17" localSheetId="27">'IWP26'!$A$585:$M$597</definedName>
    <definedName name="Std9BillingInfo17" localSheetId="28">'IWP27'!$A$585:$M$597</definedName>
    <definedName name="Std9BillingInfo17" localSheetId="29">'IWP28'!$A$585:$M$597</definedName>
    <definedName name="Std9BillingInfo17" localSheetId="30">'IWP29'!$A$585:$M$597</definedName>
    <definedName name="Std9BillingInfo17" localSheetId="31">'IWP30'!$A$585:$M$597</definedName>
    <definedName name="Std9BillingInfo18" localSheetId="2">'IWP01'!$A$601:$M$613</definedName>
    <definedName name="Std9BillingInfo18" localSheetId="3">'IWP02'!$A$601:$M$613</definedName>
    <definedName name="Std9BillingInfo18" localSheetId="4">'IWP03'!$A$601:$M$613</definedName>
    <definedName name="Std9BillingInfo18" localSheetId="5">'IWP04'!$A$601:$M$613</definedName>
    <definedName name="Std9BillingInfo18" localSheetId="6">'IWP05'!$A$601:$M$613</definedName>
    <definedName name="Std9BillingInfo18" localSheetId="7">'IWP06'!$A$601:$M$613</definedName>
    <definedName name="Std9BillingInfo18" localSheetId="8">'IWP07'!$A$601:$M$613</definedName>
    <definedName name="Std9BillingInfo18" localSheetId="9">'IWP08'!$A$601:$M$613</definedName>
    <definedName name="Std9BillingInfo18" localSheetId="10">'IWP09'!$A$601:$M$613</definedName>
    <definedName name="Std9BillingInfo18" localSheetId="11">'IWP10'!$A$601:$M$613</definedName>
    <definedName name="Std9BillingInfo18" localSheetId="12">'IWP11'!$A$601:$M$613</definedName>
    <definedName name="Std9BillingInfo18" localSheetId="13">'IWP12'!$A$601:$M$613</definedName>
    <definedName name="Std9BillingInfo18" localSheetId="14">'IWP13'!$A$601:$M$613</definedName>
    <definedName name="Std9BillingInfo18" localSheetId="15">'IWP14'!$A$601:$M$613</definedName>
    <definedName name="Std9BillingInfo18" localSheetId="16">'IWP15'!$A$601:$M$613</definedName>
    <definedName name="Std9BillingInfo18" localSheetId="17">'IWP16'!$A$601:$M$613</definedName>
    <definedName name="Std9BillingInfo18" localSheetId="18">'IWP17'!$A$601:$M$613</definedName>
    <definedName name="Std9BillingInfo18" localSheetId="19">'IWP18'!$A$601:$M$613</definedName>
    <definedName name="Std9BillingInfo18" localSheetId="20">'IWP19'!$A$601:$M$613</definedName>
    <definedName name="Std9BillingInfo18" localSheetId="21">'IWP20'!$A$601:$M$613</definedName>
    <definedName name="Std9BillingInfo18" localSheetId="22">'IWP21'!$A$601:$M$613</definedName>
    <definedName name="Std9BillingInfo18" localSheetId="23">'IWP22'!$A$601:$M$613</definedName>
    <definedName name="Std9BillingInfo18" localSheetId="24">'IWP23'!$A$601:$M$613</definedName>
    <definedName name="Std9BillingInfo18" localSheetId="25">'IWP24'!$A$601:$M$613</definedName>
    <definedName name="Std9BillingInfo18" localSheetId="26">'IWP25'!$A$601:$M$613</definedName>
    <definedName name="Std9BillingInfo18" localSheetId="27">'IWP26'!$A$601:$M$613</definedName>
    <definedName name="Std9BillingInfo18" localSheetId="28">'IWP27'!$A$601:$M$613</definedName>
    <definedName name="Std9BillingInfo18" localSheetId="29">'IWP28'!$A$601:$M$613</definedName>
    <definedName name="Std9BillingInfo18" localSheetId="30">'IWP29'!$A$601:$M$613</definedName>
    <definedName name="Std9BillingInfo18" localSheetId="31">'IWP30'!$A$601:$M$613</definedName>
    <definedName name="Std9dot1" localSheetId="2">'IWP01'!$K$616</definedName>
    <definedName name="Std9dot1" localSheetId="3">'IWP02'!$K$616</definedName>
    <definedName name="Std9dot1" localSheetId="4">'IWP03'!$K$616</definedName>
    <definedName name="Std9dot1" localSheetId="5">'IWP04'!$K$616</definedName>
    <definedName name="Std9dot1" localSheetId="6">'IWP05'!$K$616</definedName>
    <definedName name="Std9dot1" localSheetId="7">'IWP06'!$K$616</definedName>
    <definedName name="Std9dot1" localSheetId="8">'IWP07'!$K$616</definedName>
    <definedName name="Std9dot1" localSheetId="9">'IWP08'!$K$616</definedName>
    <definedName name="Std9dot1" localSheetId="10">'IWP09'!$K$616</definedName>
    <definedName name="Std9dot1" localSheetId="11">'IWP10'!$K$616</definedName>
    <definedName name="Std9dot1" localSheetId="12">'IWP11'!$K$616</definedName>
    <definedName name="Std9dot1" localSheetId="13">'IWP12'!$K$616</definedName>
    <definedName name="Std9dot1" localSheetId="14">'IWP13'!$K$616</definedName>
    <definedName name="Std9dot1" localSheetId="15">'IWP14'!$K$616</definedName>
    <definedName name="Std9dot1" localSheetId="16">'IWP15'!$K$616</definedName>
    <definedName name="Std9dot1" localSheetId="17">'IWP16'!$K$616</definedName>
    <definedName name="Std9dot1" localSheetId="18">'IWP17'!$K$616</definedName>
    <definedName name="Std9dot1" localSheetId="19">'IWP18'!$K$616</definedName>
    <definedName name="Std9dot1" localSheetId="20">'IWP19'!$K$616</definedName>
    <definedName name="Std9dot1" localSheetId="21">'IWP20'!$K$616</definedName>
    <definedName name="Std9dot1" localSheetId="22">'IWP21'!$K$616</definedName>
    <definedName name="Std9dot1" localSheetId="23">'IWP22'!$K$616</definedName>
    <definedName name="Std9dot1" localSheetId="24">'IWP23'!$K$616</definedName>
    <definedName name="Std9dot1" localSheetId="25">'IWP24'!$K$616</definedName>
    <definedName name="Std9dot1" localSheetId="26">'IWP25'!$K$616</definedName>
    <definedName name="Std9dot1" localSheetId="27">'IWP26'!$K$616</definedName>
    <definedName name="Std9dot1" localSheetId="28">'IWP27'!$K$616</definedName>
    <definedName name="Std9dot1" localSheetId="29">'IWP28'!$K$616</definedName>
    <definedName name="Std9dot1" localSheetId="30">'IWP29'!$K$616</definedName>
    <definedName name="Std9dot1" localSheetId="31">'IWP30'!$K$616</definedName>
    <definedName name="Std9dot2" localSheetId="2">'IWP01'!$K$621</definedName>
    <definedName name="Std9dot2" localSheetId="3">'IWP02'!$K$621</definedName>
    <definedName name="Std9dot2" localSheetId="4">'IWP03'!$K$621</definedName>
    <definedName name="Std9dot2" localSheetId="5">'IWP04'!$K$621</definedName>
    <definedName name="Std9dot2" localSheetId="6">'IWP05'!$K$621</definedName>
    <definedName name="Std9dot2" localSheetId="7">'IWP06'!$K$621</definedName>
    <definedName name="Std9dot2" localSheetId="8">'IWP07'!$K$621</definedName>
    <definedName name="Std9dot2" localSheetId="9">'IWP08'!$K$621</definedName>
    <definedName name="Std9dot2" localSheetId="10">'IWP09'!$K$621</definedName>
    <definedName name="Std9dot2" localSheetId="11">'IWP10'!$K$621</definedName>
    <definedName name="Std9dot2" localSheetId="12">'IWP11'!$K$621</definedName>
    <definedName name="Std9dot2" localSheetId="13">'IWP12'!$K$621</definedName>
    <definedName name="Std9dot2" localSheetId="14">'IWP13'!$K$621</definedName>
    <definedName name="Std9dot2" localSheetId="15">'IWP14'!$K$621</definedName>
    <definedName name="Std9dot2" localSheetId="16">'IWP15'!$K$621</definedName>
    <definedName name="Std9dot2" localSheetId="17">'IWP16'!$K$621</definedName>
    <definedName name="Std9dot2" localSheetId="18">'IWP17'!$K$621</definedName>
    <definedName name="Std9dot2" localSheetId="19">'IWP18'!$K$621</definedName>
    <definedName name="Std9dot2" localSheetId="20">'IWP19'!$K$621</definedName>
    <definedName name="Std9dot2" localSheetId="21">'IWP20'!$K$621</definedName>
    <definedName name="Std9dot2" localSheetId="22">'IWP21'!$K$621</definedName>
    <definedName name="Std9dot2" localSheetId="23">'IWP22'!$K$621</definedName>
    <definedName name="Std9dot2" localSheetId="24">'IWP23'!$K$621</definedName>
    <definedName name="Std9dot2" localSheetId="25">'IWP24'!$K$621</definedName>
    <definedName name="Std9dot2" localSheetId="26">'IWP25'!$K$621</definedName>
    <definedName name="Std9dot2" localSheetId="27">'IWP26'!$K$621</definedName>
    <definedName name="Std9dot2" localSheetId="28">'IWP27'!$K$621</definedName>
    <definedName name="Std9dot2" localSheetId="29">'IWP28'!$K$621</definedName>
    <definedName name="Std9dot2" localSheetId="30">'IWP29'!$K$621</definedName>
    <definedName name="Std9dot2" localSheetId="31">'IWP30'!$K$621</definedName>
    <definedName name="Std9dot3" localSheetId="2">'IWP01'!$K$626</definedName>
    <definedName name="Std9dot3" localSheetId="3">'IWP02'!$K$626</definedName>
    <definedName name="Std9dot3" localSheetId="4">'IWP03'!$K$626</definedName>
    <definedName name="Std9dot3" localSheetId="5">'IWP04'!$K$626</definedName>
    <definedName name="Std9dot3" localSheetId="6">'IWP05'!$K$626</definedName>
    <definedName name="Std9dot3" localSheetId="7">'IWP06'!$K$626</definedName>
    <definedName name="Std9dot3" localSheetId="8">'IWP07'!$K$626</definedName>
    <definedName name="Std9dot3" localSheetId="9">'IWP08'!$K$626</definedName>
    <definedName name="Std9dot3" localSheetId="10">'IWP09'!$K$626</definedName>
    <definedName name="Std9dot3" localSheetId="11">'IWP10'!$K$626</definedName>
    <definedName name="Std9dot3" localSheetId="12">'IWP11'!$K$626</definedName>
    <definedName name="Std9dot3" localSheetId="13">'IWP12'!$K$626</definedName>
    <definedName name="Std9dot3" localSheetId="14">'IWP13'!$K$626</definedName>
    <definedName name="Std9dot3" localSheetId="15">'IWP14'!$K$626</definedName>
    <definedName name="Std9dot3" localSheetId="16">'IWP15'!$K$626</definedName>
    <definedName name="Std9dot3" localSheetId="17">'IWP16'!$K$626</definedName>
    <definedName name="Std9dot3" localSheetId="18">'IWP17'!$K$626</definedName>
    <definedName name="Std9dot3" localSheetId="19">'IWP18'!$K$626</definedName>
    <definedName name="Std9dot3" localSheetId="20">'IWP19'!$K$626</definedName>
    <definedName name="Std9dot3" localSheetId="21">'IWP20'!$K$626</definedName>
    <definedName name="Std9dot3" localSheetId="22">'IWP21'!$K$626</definedName>
    <definedName name="Std9dot3" localSheetId="23">'IWP22'!$K$626</definedName>
    <definedName name="Std9dot3" localSheetId="24">'IWP23'!$K$626</definedName>
    <definedName name="Std9dot3" localSheetId="25">'IWP24'!$K$626</definedName>
    <definedName name="Std9dot3" localSheetId="26">'IWP25'!$K$626</definedName>
    <definedName name="Std9dot3" localSheetId="27">'IWP26'!$K$626</definedName>
    <definedName name="Std9dot3" localSheetId="28">'IWP27'!$K$626</definedName>
    <definedName name="Std9dot3" localSheetId="29">'IWP28'!$K$626</definedName>
    <definedName name="Std9dot3" localSheetId="30">'IWP29'!$K$626</definedName>
    <definedName name="Std9dot3" localSheetId="31">'IWP30'!$K$626</definedName>
    <definedName name="StdII1_Qual_E" localSheetId="3">'IWP02'!$O$61:$O$81</definedName>
    <definedName name="StdII1_Qual_E" localSheetId="4">'IWP03'!$O$61:$O$81</definedName>
    <definedName name="StdII1_Qual_E" localSheetId="5">'IWP04'!$O$61:$O$81</definedName>
    <definedName name="StdII1_Qual_E" localSheetId="6">'IWP05'!$O$61:$O$81</definedName>
    <definedName name="StdII1_Qual_E" localSheetId="7">'IWP06'!$O$61:$O$81</definedName>
    <definedName name="StdII1_Qual_E" localSheetId="8">'IWP07'!$O$61:$O$81</definedName>
    <definedName name="StdII1_Qual_E" localSheetId="9">'IWP08'!$O$61:$O$81</definedName>
    <definedName name="StdII1_Qual_E" localSheetId="10">'IWP09'!$O$61:$O$81</definedName>
    <definedName name="StdII1_Qual_E" localSheetId="11">'IWP10'!$O$61:$O$81</definedName>
    <definedName name="StdII1_Qual_E" localSheetId="12">'IWP11'!$O$61:$O$81</definedName>
    <definedName name="StdII1_Qual_E" localSheetId="13">'IWP12'!$O$61:$O$81</definedName>
    <definedName name="StdII1_Qual_E" localSheetId="14">'IWP13'!$O$61:$O$81</definedName>
    <definedName name="StdII1_Qual_E" localSheetId="15">'IWP14'!$O$61:$O$81</definedName>
    <definedName name="StdII1_Qual_E" localSheetId="16">'IWP15'!$O$61:$O$81</definedName>
    <definedName name="StdII1_Qual_E" localSheetId="17">'IWP16'!$O$61:$O$81</definedName>
    <definedName name="StdII1_Qual_E" localSheetId="18">'IWP17'!$O$61:$O$81</definedName>
    <definedName name="StdII1_Qual_E" localSheetId="19">'IWP18'!$O$61:$O$81</definedName>
    <definedName name="StdII1_Qual_E" localSheetId="20">'IWP19'!$O$61:$O$81</definedName>
    <definedName name="StdII1_Qual_E" localSheetId="21">'IWP20'!$O$61:$O$81</definedName>
    <definedName name="StdII1_Qual_E" localSheetId="22">'IWP21'!$O$61:$O$81</definedName>
    <definedName name="StdII1_Qual_E" localSheetId="23">'IWP22'!$O$61:$O$81</definedName>
    <definedName name="StdII1_Qual_E" localSheetId="24">'IWP23'!$O$61:$O$81</definedName>
    <definedName name="StdII1_Qual_E" localSheetId="25">'IWP24'!$O$61:$O$81</definedName>
    <definedName name="StdII1_Qual_E" localSheetId="26">'IWP25'!$O$61:$O$81</definedName>
    <definedName name="StdII1_Qual_E" localSheetId="27">'IWP26'!$O$61:$O$81</definedName>
    <definedName name="StdII1_Qual_E" localSheetId="28">'IWP27'!$O$61:$O$81</definedName>
    <definedName name="StdII1_Qual_E" localSheetId="29">'IWP28'!$O$61:$O$81</definedName>
    <definedName name="StdII1_Qual_E" localSheetId="30">'IWP29'!$O$61:$O$81</definedName>
    <definedName name="StdII1_Qual_E" localSheetId="31">'IWP30'!$O$61:$O$81</definedName>
    <definedName name="StdII1_Qual_E">'IWP01'!$P$61:$P$81</definedName>
    <definedName name="StdII1_Qual_F" localSheetId="3">'IWP02'!$P$62:$P$81</definedName>
    <definedName name="StdII1_Qual_F" localSheetId="4">'IWP03'!$P$62:$P$81</definedName>
    <definedName name="StdII1_Qual_F" localSheetId="5">'IWP04'!$P$62:$P$81</definedName>
    <definedName name="StdII1_Qual_F" localSheetId="6">'IWP05'!$P$62:$P$81</definedName>
    <definedName name="StdII1_Qual_F" localSheetId="7">'IWP06'!$P$62:$P$81</definedName>
    <definedName name="StdII1_Qual_F" localSheetId="8">'IWP07'!$P$62:$P$81</definedName>
    <definedName name="StdII1_Qual_F" localSheetId="9">'IWP08'!$P$62:$P$81</definedName>
    <definedName name="StdII1_Qual_F" localSheetId="10">'IWP09'!$P$62:$P$81</definedName>
    <definedName name="StdII1_Qual_F" localSheetId="11">'IWP10'!$P$62:$P$81</definedName>
    <definedName name="StdII1_Qual_F" localSheetId="12">'IWP11'!$P$62:$P$81</definedName>
    <definedName name="StdII1_Qual_F" localSheetId="13">'IWP12'!$P$62:$P$81</definedName>
    <definedName name="StdII1_Qual_F" localSheetId="14">'IWP13'!$P$62:$P$81</definedName>
    <definedName name="StdII1_Qual_F" localSheetId="15">'IWP14'!$P$62:$P$81</definedName>
    <definedName name="StdII1_Qual_F" localSheetId="16">'IWP15'!$P$62:$P$81</definedName>
    <definedName name="StdII1_Qual_F" localSheetId="17">'IWP16'!$P$62:$P$81</definedName>
    <definedName name="StdII1_Qual_F" localSheetId="18">'IWP17'!$P$62:$P$81</definedName>
    <definedName name="StdII1_Qual_F" localSheetId="19">'IWP18'!$P$62:$P$81</definedName>
    <definedName name="StdII1_Qual_F" localSheetId="20">'IWP19'!$P$62:$P$81</definedName>
    <definedName name="StdII1_Qual_F" localSheetId="21">'IWP20'!$P$62:$P$81</definedName>
    <definedName name="StdII1_Qual_F" localSheetId="22">'IWP21'!$P$62:$P$81</definedName>
    <definedName name="StdII1_Qual_F" localSheetId="23">'IWP22'!$P$62:$P$81</definedName>
    <definedName name="StdII1_Qual_F" localSheetId="24">'IWP23'!$P$62:$P$81</definedName>
    <definedName name="StdII1_Qual_F" localSheetId="25">'IWP24'!$P$62:$P$81</definedName>
    <definedName name="StdII1_Qual_F" localSheetId="26">'IWP25'!$P$62:$P$81</definedName>
    <definedName name="StdII1_Qual_F" localSheetId="27">'IWP26'!$P$62:$P$81</definedName>
    <definedName name="StdII1_Qual_F" localSheetId="28">'IWP27'!$P$62:$P$81</definedName>
    <definedName name="StdII1_Qual_F" localSheetId="29">'IWP28'!$P$62:$P$81</definedName>
    <definedName name="StdII1_Qual_F" localSheetId="30">'IWP29'!$P$62:$P$81</definedName>
    <definedName name="StdII1_Qual_F" localSheetId="31">'IWP30'!$P$62:$P$81</definedName>
    <definedName name="StdII1_Qual_F">'IWP01'!$Q$62:$Q$81</definedName>
    <definedName name="StdII1_Qual_G" localSheetId="3">'IWP02'!$Q$62:$Q$81</definedName>
    <definedName name="StdII1_Qual_G" localSheetId="4">'IWP03'!$Q$62:$Q$81</definedName>
    <definedName name="StdII1_Qual_G" localSheetId="5">'IWP04'!$Q$62:$Q$81</definedName>
    <definedName name="StdII1_Qual_G" localSheetId="6">'IWP05'!$Q$62:$Q$81</definedName>
    <definedName name="StdII1_Qual_G" localSheetId="7">'IWP06'!$Q$62:$Q$81</definedName>
    <definedName name="StdII1_Qual_G" localSheetId="8">'IWP07'!$Q$62:$Q$81</definedName>
    <definedName name="StdII1_Qual_G" localSheetId="9">'IWP08'!$Q$62:$Q$81</definedName>
    <definedName name="StdII1_Qual_G" localSheetId="10">'IWP09'!$Q$62:$Q$81</definedName>
    <definedName name="StdII1_Qual_G" localSheetId="11">'IWP10'!$Q$62:$Q$81</definedName>
    <definedName name="StdII1_Qual_G" localSheetId="12">'IWP11'!$Q$62:$Q$81</definedName>
    <definedName name="StdII1_Qual_G" localSheetId="13">'IWP12'!$Q$62:$Q$81</definedName>
    <definedName name="StdII1_Qual_G" localSheetId="14">'IWP13'!$Q$62:$Q$81</definedName>
    <definedName name="StdII1_Qual_G" localSheetId="15">'IWP14'!$Q$62:$Q$81</definedName>
    <definedName name="StdII1_Qual_G" localSheetId="16">'IWP15'!$Q$62:$Q$81</definedName>
    <definedName name="StdII1_Qual_G" localSheetId="17">'IWP16'!$Q$62:$Q$81</definedName>
    <definedName name="StdII1_Qual_G" localSheetId="18">'IWP17'!$Q$62:$Q$81</definedName>
    <definedName name="StdII1_Qual_G" localSheetId="19">'IWP18'!$Q$62:$Q$81</definedName>
    <definedName name="StdII1_Qual_G" localSheetId="20">'IWP19'!$Q$62:$Q$81</definedName>
    <definedName name="StdII1_Qual_G" localSheetId="21">'IWP20'!$Q$62:$Q$81</definedName>
    <definedName name="StdII1_Qual_G" localSheetId="22">'IWP21'!$Q$62:$Q$81</definedName>
    <definedName name="StdII1_Qual_G" localSheetId="23">'IWP22'!$Q$62:$Q$81</definedName>
    <definedName name="StdII1_Qual_G" localSheetId="24">'IWP23'!$Q$62:$Q$81</definedName>
    <definedName name="StdII1_Qual_G" localSheetId="25">'IWP24'!$Q$62:$Q$81</definedName>
    <definedName name="StdII1_Qual_G" localSheetId="26">'IWP25'!$Q$62:$Q$81</definedName>
    <definedName name="StdII1_Qual_G" localSheetId="27">'IWP26'!$Q$62:$Q$81</definedName>
    <definedName name="StdII1_Qual_G" localSheetId="28">'IWP27'!$Q$62:$Q$81</definedName>
    <definedName name="StdII1_Qual_G" localSheetId="29">'IWP28'!$Q$62:$Q$81</definedName>
    <definedName name="StdII1_Qual_G" localSheetId="30">'IWP29'!$Q$62:$Q$81</definedName>
    <definedName name="StdII1_Qual_G" localSheetId="31">'IWP30'!$Q$62:$Q$81</definedName>
    <definedName name="StdII1_Qual_G">'IWP01'!$R$62:$R$81</definedName>
    <definedName name="StdII1_Qual_HI" localSheetId="3">'IWP02'!$R$62:$T$81</definedName>
    <definedName name="StdII1_Qual_HI" localSheetId="4">'IWP03'!$R$62:$T$81</definedName>
    <definedName name="StdII1_Qual_HI" localSheetId="5">'IWP04'!$R$62:$T$81</definedName>
    <definedName name="StdII1_Qual_HI" localSheetId="6">'IWP05'!$R$62:$T$81</definedName>
    <definedName name="StdII1_Qual_HI" localSheetId="7">'IWP06'!$R$62:$T$81</definedName>
    <definedName name="StdII1_Qual_HI" localSheetId="8">'IWP07'!$R$62:$T$81</definedName>
    <definedName name="StdII1_Qual_HI" localSheetId="9">'IWP08'!$R$62:$T$81</definedName>
    <definedName name="StdII1_Qual_HI" localSheetId="10">'IWP09'!$R$62:$T$81</definedName>
    <definedName name="StdII1_Qual_HI" localSheetId="11">'IWP10'!$R$62:$T$81</definedName>
    <definedName name="StdII1_Qual_HI" localSheetId="12">'IWP11'!$R$62:$T$81</definedName>
    <definedName name="StdII1_Qual_HI" localSheetId="13">'IWP12'!$R$62:$T$81</definedName>
    <definedName name="StdII1_Qual_HI" localSheetId="14">'IWP13'!$R$62:$T$81</definedName>
    <definedName name="StdII1_Qual_HI" localSheetId="15">'IWP14'!$R$62:$T$81</definedName>
    <definedName name="StdII1_Qual_HI" localSheetId="16">'IWP15'!$R$62:$T$81</definedName>
    <definedName name="StdII1_Qual_HI" localSheetId="17">'IWP16'!$R$62:$T$81</definedName>
    <definedName name="StdII1_Qual_HI" localSheetId="18">'IWP17'!$R$62:$T$81</definedName>
    <definedName name="StdII1_Qual_HI" localSheetId="19">'IWP18'!$R$62:$T$81</definedName>
    <definedName name="StdII1_Qual_HI" localSheetId="20">'IWP19'!$R$62:$T$81</definedName>
    <definedName name="StdII1_Qual_HI" localSheetId="21">'IWP20'!$R$62:$T$81</definedName>
    <definedName name="StdII1_Qual_HI" localSheetId="22">'IWP21'!$R$62:$T$81</definedName>
    <definedName name="StdII1_Qual_HI" localSheetId="23">'IWP22'!$R$62:$T$81</definedName>
    <definedName name="StdII1_Qual_HI" localSheetId="24">'IWP23'!$R$62:$T$81</definedName>
    <definedName name="StdII1_Qual_HI" localSheetId="25">'IWP24'!$R$62:$T$81</definedName>
    <definedName name="StdII1_Qual_HI" localSheetId="26">'IWP25'!$R$62:$T$81</definedName>
    <definedName name="StdII1_Qual_HI" localSheetId="27">'IWP26'!$R$62:$T$81</definedName>
    <definedName name="StdII1_Qual_HI" localSheetId="28">'IWP27'!$R$62:$T$81</definedName>
    <definedName name="StdII1_Qual_HI" localSheetId="29">'IWP28'!$R$62:$T$81</definedName>
    <definedName name="StdII1_Qual_HI" localSheetId="30">'IWP29'!$R$62:$T$81</definedName>
    <definedName name="StdII1_Qual_HI" localSheetId="31">'IWP30'!$R$62:$T$81</definedName>
    <definedName name="StdII1_Qual_HI">'IWP01'!$S$62:$U$81</definedName>
    <definedName name="StdII1_Qual_HIJ" localSheetId="3">'IWP02'!$R$62:$U$81</definedName>
    <definedName name="StdII1_Qual_HIJ" localSheetId="4">'IWP03'!$R$62:$U$81</definedName>
    <definedName name="StdII1_Qual_HIJ" localSheetId="5">'IWP04'!$R$62:$U$81</definedName>
    <definedName name="StdII1_Qual_HIJ" localSheetId="6">'IWP05'!$R$62:$U$81</definedName>
    <definedName name="StdII1_Qual_HIJ" localSheetId="7">'IWP06'!$R$62:$U$81</definedName>
    <definedName name="StdII1_Qual_HIJ" localSheetId="8">'IWP07'!$R$62:$U$81</definedName>
    <definedName name="StdII1_Qual_HIJ" localSheetId="9">'IWP08'!$R$62:$U$81</definedName>
    <definedName name="StdII1_Qual_HIJ" localSheetId="10">'IWP09'!$R$62:$U$81</definedName>
    <definedName name="StdII1_Qual_HIJ" localSheetId="11">'IWP10'!$R$62:$U$81</definedName>
    <definedName name="StdII1_Qual_HIJ" localSheetId="12">'IWP11'!$R$62:$U$81</definedName>
    <definedName name="StdII1_Qual_HIJ" localSheetId="13">'IWP12'!$R$62:$U$81</definedName>
    <definedName name="StdII1_Qual_HIJ" localSheetId="14">'IWP13'!$R$62:$U$81</definedName>
    <definedName name="StdII1_Qual_HIJ" localSheetId="15">'IWP14'!$R$62:$U$81</definedName>
    <definedName name="StdII1_Qual_HIJ" localSheetId="16">'IWP15'!$R$62:$U$81</definedName>
    <definedName name="StdII1_Qual_HIJ" localSheetId="17">'IWP16'!$R$62:$U$81</definedName>
    <definedName name="StdII1_Qual_HIJ" localSheetId="18">'IWP17'!$R$62:$U$81</definedName>
    <definedName name="StdII1_Qual_HIJ" localSheetId="19">'IWP18'!$R$62:$U$81</definedName>
    <definedName name="StdII1_Qual_HIJ" localSheetId="20">'IWP19'!$R$62:$U$81</definedName>
    <definedName name="StdII1_Qual_HIJ" localSheetId="21">'IWP20'!$R$62:$U$81</definedName>
    <definedName name="StdII1_Qual_HIJ" localSheetId="22">'IWP21'!$R$62:$U$81</definedName>
    <definedName name="StdII1_Qual_HIJ" localSheetId="23">'IWP22'!$R$62:$U$81</definedName>
    <definedName name="StdII1_Qual_HIJ" localSheetId="24">'IWP23'!$R$62:$U$81</definedName>
    <definedName name="StdII1_Qual_HIJ" localSheetId="25">'IWP24'!$R$62:$U$81</definedName>
    <definedName name="StdII1_Qual_HIJ" localSheetId="26">'IWP25'!$R$62:$U$81</definedName>
    <definedName name="StdII1_Qual_HIJ" localSheetId="27">'IWP26'!$R$62:$U$81</definedName>
    <definedName name="StdII1_Qual_HIJ" localSheetId="28">'IWP27'!$R$62:$U$81</definedName>
    <definedName name="StdII1_Qual_HIJ" localSheetId="29">'IWP28'!$R$62:$U$81</definedName>
    <definedName name="StdII1_Qual_HIJ" localSheetId="30">'IWP29'!$R$62:$U$81</definedName>
    <definedName name="StdII1_Qual_HIJ" localSheetId="31">'IWP30'!$R$62:$U$81</definedName>
    <definedName name="StdII1_Qual_HIJ">'IWP01'!$S$62:$V$81</definedName>
    <definedName name="StdIII1_Qual_F" localSheetId="3">'IWP02'!$M$106:$M$119</definedName>
    <definedName name="StdIII1_Qual_F" localSheetId="4">'IWP03'!$M$106:$M$119</definedName>
    <definedName name="StdIII1_Qual_F" localSheetId="5">'IWP04'!$M$106:$M$119</definedName>
    <definedName name="StdIII1_Qual_F" localSheetId="6">'IWP05'!$M$106:$M$119</definedName>
    <definedName name="StdIII1_Qual_F" localSheetId="7">'IWP06'!$M$106:$M$119</definedName>
    <definedName name="StdIII1_Qual_F" localSheetId="8">'IWP07'!$M$106:$M$119</definedName>
    <definedName name="StdIII1_Qual_F" localSheetId="9">'IWP08'!$M$106:$M$119</definedName>
    <definedName name="StdIII1_Qual_F" localSheetId="10">'IWP09'!$M$106:$M$119</definedName>
    <definedName name="StdIII1_Qual_F" localSheetId="11">'IWP10'!$M$106:$M$119</definedName>
    <definedName name="StdIII1_Qual_F" localSheetId="12">'IWP11'!$M$106:$M$119</definedName>
    <definedName name="StdIII1_Qual_F" localSheetId="13">'IWP12'!$M$106:$M$119</definedName>
    <definedName name="StdIII1_Qual_F" localSheetId="14">'IWP13'!$M$106:$M$119</definedName>
    <definedName name="StdIII1_Qual_F" localSheetId="15">'IWP14'!$M$106:$M$119</definedName>
    <definedName name="StdIII1_Qual_F" localSheetId="16">'IWP15'!$M$106:$M$119</definedName>
    <definedName name="StdIII1_Qual_F" localSheetId="17">'IWP16'!$M$106:$M$119</definedName>
    <definedName name="StdIII1_Qual_F" localSheetId="18">'IWP17'!$M$106:$M$119</definedName>
    <definedName name="StdIII1_Qual_F" localSheetId="19">'IWP18'!$M$106:$M$119</definedName>
    <definedName name="StdIII1_Qual_F" localSheetId="20">'IWP19'!$M$106:$M$119</definedName>
    <definedName name="StdIII1_Qual_F" localSheetId="21">'IWP20'!$M$106:$M$119</definedName>
    <definedName name="StdIII1_Qual_F" localSheetId="22">'IWP21'!$M$106:$M$119</definedName>
    <definedName name="StdIII1_Qual_F" localSheetId="23">'IWP22'!$M$106:$M$119</definedName>
    <definedName name="StdIII1_Qual_F" localSheetId="24">'IWP23'!$M$106:$M$119</definedName>
    <definedName name="StdIII1_Qual_F" localSheetId="25">'IWP24'!$M$106:$M$119</definedName>
    <definedName name="StdIII1_Qual_F" localSheetId="26">'IWP25'!$M$106:$M$119</definedName>
    <definedName name="StdIII1_Qual_F" localSheetId="27">'IWP26'!$M$106:$M$119</definedName>
    <definedName name="StdIII1_Qual_F" localSheetId="28">'IWP27'!$M$106:$M$119</definedName>
    <definedName name="StdIII1_Qual_F" localSheetId="29">'IWP28'!$M$106:$M$119</definedName>
    <definedName name="StdIII1_Qual_F" localSheetId="30">'IWP29'!$M$106:$M$119</definedName>
    <definedName name="StdIII1_Qual_F" localSheetId="31">'IWP30'!$M$106:$M$119</definedName>
    <definedName name="StdIII1_Qual_F">'IWP01'!$M$106:$M$119</definedName>
    <definedName name="TotalDueCdsCba" localSheetId="33">'Demand for Payment (PRINT)'!$C$23</definedName>
    <definedName name="TotalDueCdsClass" localSheetId="33">'Demand for Payment (PRINT)'!$H$24</definedName>
    <definedName name="TotalDueCdsCmpas" localSheetId="33">'Demand for Payment (PRINT)'!$C$26</definedName>
    <definedName name="TotalDueCdsDbmd" localSheetId="33">'Demand for Payment (PRINT)'!$H$23</definedName>
    <definedName name="TotalDueCdsHcs" localSheetId="33">'Demand for Payment (PRINT)'!$H$25</definedName>
    <definedName name="TotalDueCdsMdcp" localSheetId="33">'Demand for Payment (PRINT)'!$C$25</definedName>
    <definedName name="TotalDueCdsPhc" localSheetId="33">'Demand for Payment (PRINT)'!$C$24</definedName>
    <definedName name="TotalDueCdsTxhml" localSheetId="33">'Demand for Payment (PRINT)'!$H$26</definedName>
    <definedName name="TotalDueDads" localSheetId="33">'Demand for Payment (PRINT)'!$H$22</definedName>
    <definedName name="XcdsAmtDueEmployeesDetails" localSheetId="37">Data!$A$26:$F$34</definedName>
    <definedName name="XcdsAmtDueEmployerDetails" localSheetId="37">Data!$A$37:$E$45</definedName>
    <definedName name="XcdsComplianceSummary" localSheetId="37">Data!$A$20:$Z$21</definedName>
    <definedName name="XcdsIwpData" localSheetId="37">Data!$A$49:$BK$79</definedName>
    <definedName name="XcdsIwpStd2BkgndChks" localSheetId="37">Data!$A$82:$N$682</definedName>
    <definedName name="XcdsIwpStd3LicenseInfo" localSheetId="37">Data!$A$686:$G$1106</definedName>
    <definedName name="XcdsIwpStd4BudgetInfo" localSheetId="37">Data!$A$1109:$M$1229</definedName>
    <definedName name="XcdsIwpStd7PyrllEmplReqs" localSheetId="37">Data!$A$1233:$I$1713</definedName>
    <definedName name="XcdsIwpStd8dot1RptgReqs" localSheetId="37">Data!$A$1716:$D$1836</definedName>
    <definedName name="XcdsIwpStd8dot2BudgetInfo" localSheetId="37">Data!$A$1839:$G$1959</definedName>
    <definedName name="XcdsIwpStd8dot3Issues" localSheetId="37">Data!$A$1962:$E$2142</definedName>
    <definedName name="XcdsIwpStd9BlngInfo" localSheetId="37">Data!$A$2690:$J$8090</definedName>
    <definedName name="XcdsIwpStd9BlngInfoSmry" localSheetId="37">Data!$A$2147:$L$2687</definedName>
    <definedName name="XcdsMonitoringWbk1" localSheetId="37">Data!$A$16:$DB$17</definedName>
    <definedName name="XcdsServiceBackupPlan" localSheetId="37">Data!$A$8094:$H$8095</definedName>
    <definedName name="XcdsSvcBackupPlanSamples" localSheetId="37">Data!$A$8098:$C$8128</definedName>
    <definedName name="Z_341C6106_BE79_4CDE_A40C_FC24AA59D1EA_.wvu.Cols" localSheetId="2" hidden="1">'IWP01'!$S:$AD</definedName>
    <definedName name="Z_341C6106_BE79_4CDE_A40C_FC24AA59D1EA_.wvu.Cols" localSheetId="3" hidden="1">'IWP02'!$S:$AD</definedName>
    <definedName name="Z_341C6106_BE79_4CDE_A40C_FC24AA59D1EA_.wvu.Cols" localSheetId="4" hidden="1">'IWP03'!$S:$AD</definedName>
    <definedName name="Z_341C6106_BE79_4CDE_A40C_FC24AA59D1EA_.wvu.Cols" localSheetId="5" hidden="1">'IWP04'!$S:$AD</definedName>
    <definedName name="Z_341C6106_BE79_4CDE_A40C_FC24AA59D1EA_.wvu.Cols" localSheetId="6" hidden="1">'IWP05'!$S:$AD</definedName>
    <definedName name="Z_341C6106_BE79_4CDE_A40C_FC24AA59D1EA_.wvu.Cols" localSheetId="7" hidden="1">'IWP06'!$S:$AD</definedName>
    <definedName name="Z_341C6106_BE79_4CDE_A40C_FC24AA59D1EA_.wvu.Cols" localSheetId="8" hidden="1">'IWP07'!$S:$AD</definedName>
    <definedName name="Z_341C6106_BE79_4CDE_A40C_FC24AA59D1EA_.wvu.Cols" localSheetId="9" hidden="1">'IWP08'!$S:$AD</definedName>
    <definedName name="Z_341C6106_BE79_4CDE_A40C_FC24AA59D1EA_.wvu.Cols" localSheetId="10" hidden="1">'IWP09'!$S:$AD</definedName>
    <definedName name="Z_341C6106_BE79_4CDE_A40C_FC24AA59D1EA_.wvu.Cols" localSheetId="11" hidden="1">'IWP10'!$S:$AD</definedName>
    <definedName name="Z_341C6106_BE79_4CDE_A40C_FC24AA59D1EA_.wvu.Cols" localSheetId="12" hidden="1">'IWP11'!$S:$AD</definedName>
    <definedName name="Z_341C6106_BE79_4CDE_A40C_FC24AA59D1EA_.wvu.Cols" localSheetId="13" hidden="1">'IWP12'!$S:$AD</definedName>
    <definedName name="Z_341C6106_BE79_4CDE_A40C_FC24AA59D1EA_.wvu.Cols" localSheetId="14" hidden="1">'IWP13'!$S:$AD</definedName>
    <definedName name="Z_341C6106_BE79_4CDE_A40C_FC24AA59D1EA_.wvu.Cols" localSheetId="15" hidden="1">'IWP14'!$S:$AD</definedName>
    <definedName name="Z_341C6106_BE79_4CDE_A40C_FC24AA59D1EA_.wvu.Cols" localSheetId="16" hidden="1">'IWP15'!$S:$AD</definedName>
    <definedName name="Z_341C6106_BE79_4CDE_A40C_FC24AA59D1EA_.wvu.Cols" localSheetId="17" hidden="1">'IWP16'!$S:$AD</definedName>
    <definedName name="Z_341C6106_BE79_4CDE_A40C_FC24AA59D1EA_.wvu.Cols" localSheetId="18" hidden="1">'IWP17'!$S:$AD</definedName>
    <definedName name="Z_341C6106_BE79_4CDE_A40C_FC24AA59D1EA_.wvu.Cols" localSheetId="19" hidden="1">'IWP18'!$S:$AD</definedName>
    <definedName name="Z_341C6106_BE79_4CDE_A40C_FC24AA59D1EA_.wvu.Cols" localSheetId="20" hidden="1">'IWP19'!$S:$AD</definedName>
    <definedName name="Z_341C6106_BE79_4CDE_A40C_FC24AA59D1EA_.wvu.Cols" localSheetId="21" hidden="1">'IWP20'!$S:$AD</definedName>
    <definedName name="Z_341C6106_BE79_4CDE_A40C_FC24AA59D1EA_.wvu.Cols" localSheetId="22" hidden="1">'IWP21'!$S:$AD</definedName>
    <definedName name="Z_341C6106_BE79_4CDE_A40C_FC24AA59D1EA_.wvu.Cols" localSheetId="23" hidden="1">'IWP22'!$S:$AD</definedName>
    <definedName name="Z_341C6106_BE79_4CDE_A40C_FC24AA59D1EA_.wvu.Cols" localSheetId="24" hidden="1">'IWP23'!$S:$AD</definedName>
    <definedName name="Z_341C6106_BE79_4CDE_A40C_FC24AA59D1EA_.wvu.Cols" localSheetId="25" hidden="1">'IWP24'!$S:$AD</definedName>
    <definedName name="Z_341C6106_BE79_4CDE_A40C_FC24AA59D1EA_.wvu.Cols" localSheetId="26" hidden="1">'IWP25'!$S:$AD</definedName>
    <definedName name="Z_341C6106_BE79_4CDE_A40C_FC24AA59D1EA_.wvu.Cols" localSheetId="27" hidden="1">'IWP26'!$S:$AD</definedName>
    <definedName name="Z_341C6106_BE79_4CDE_A40C_FC24AA59D1EA_.wvu.Cols" localSheetId="28" hidden="1">'IWP27'!$S:$AD</definedName>
    <definedName name="Z_341C6106_BE79_4CDE_A40C_FC24AA59D1EA_.wvu.Cols" localSheetId="29" hidden="1">'IWP28'!$S:$AD</definedName>
    <definedName name="Z_341C6106_BE79_4CDE_A40C_FC24AA59D1EA_.wvu.Cols" localSheetId="30" hidden="1">'IWP29'!$S:$AD</definedName>
    <definedName name="Z_341C6106_BE79_4CDE_A40C_FC24AA59D1EA_.wvu.Cols" localSheetId="31" hidden="1">'IWP30'!$S:$AD</definedName>
    <definedName name="Z_341C6106_BE79_4CDE_A40C_FC24AA59D1EA_.wvu.PrintArea" localSheetId="34" hidden="1">'Amt Due Emp Employer (PRINT)'!$A$1:$M$43</definedName>
    <definedName name="Z_341C6106_BE79_4CDE_A40C_FC24AA59D1EA_.wvu.PrintArea" localSheetId="32" hidden="1">'Compliance Summary (PRINT)'!$A$1:$J$46</definedName>
    <definedName name="Z_341C6106_BE79_4CDE_A40C_FC24AA59D1EA_.wvu.PrintArea" localSheetId="2" hidden="1">'IWP01'!$A$1:$R$630</definedName>
    <definedName name="Z_341C6106_BE79_4CDE_A40C_FC24AA59D1EA_.wvu.PrintArea" localSheetId="3" hidden="1">'IWP02'!$A$1:$R$630</definedName>
    <definedName name="Z_341C6106_BE79_4CDE_A40C_FC24AA59D1EA_.wvu.PrintArea" localSheetId="4" hidden="1">'IWP03'!$A$1:$R$630</definedName>
    <definedName name="Z_341C6106_BE79_4CDE_A40C_FC24AA59D1EA_.wvu.PrintArea" localSheetId="5" hidden="1">'IWP04'!$A$1:$R$630</definedName>
    <definedName name="Z_341C6106_BE79_4CDE_A40C_FC24AA59D1EA_.wvu.PrintArea" localSheetId="6" hidden="1">'IWP05'!$A$1:$R$630</definedName>
    <definedName name="Z_341C6106_BE79_4CDE_A40C_FC24AA59D1EA_.wvu.PrintArea" localSheetId="7" hidden="1">'IWP06'!$A$1:$R$630</definedName>
    <definedName name="Z_341C6106_BE79_4CDE_A40C_FC24AA59D1EA_.wvu.PrintArea" localSheetId="8" hidden="1">'IWP07'!$A$1:$R$630</definedName>
    <definedName name="Z_341C6106_BE79_4CDE_A40C_FC24AA59D1EA_.wvu.PrintArea" localSheetId="9" hidden="1">'IWP08'!$A$1:$R$630</definedName>
    <definedName name="Z_341C6106_BE79_4CDE_A40C_FC24AA59D1EA_.wvu.PrintArea" localSheetId="10" hidden="1">'IWP09'!$A$1:$R$630</definedName>
    <definedName name="Z_341C6106_BE79_4CDE_A40C_FC24AA59D1EA_.wvu.PrintArea" localSheetId="11" hidden="1">'IWP10'!$A$1:$R$630</definedName>
    <definedName name="Z_341C6106_BE79_4CDE_A40C_FC24AA59D1EA_.wvu.PrintArea" localSheetId="12" hidden="1">'IWP11'!$A$1:$R$630</definedName>
    <definedName name="Z_341C6106_BE79_4CDE_A40C_FC24AA59D1EA_.wvu.PrintArea" localSheetId="13" hidden="1">'IWP12'!$A$1:$R$630</definedName>
    <definedName name="Z_341C6106_BE79_4CDE_A40C_FC24AA59D1EA_.wvu.PrintArea" localSheetId="14" hidden="1">'IWP13'!$A$1:$R$630</definedName>
    <definedName name="Z_341C6106_BE79_4CDE_A40C_FC24AA59D1EA_.wvu.PrintArea" localSheetId="15" hidden="1">'IWP14'!$A$1:$R$630</definedName>
    <definedName name="Z_341C6106_BE79_4CDE_A40C_FC24AA59D1EA_.wvu.PrintArea" localSheetId="16" hidden="1">'IWP15'!$A$1:$R$630</definedName>
    <definedName name="Z_341C6106_BE79_4CDE_A40C_FC24AA59D1EA_.wvu.PrintArea" localSheetId="17" hidden="1">'IWP16'!$A$1:$R$630</definedName>
    <definedName name="Z_341C6106_BE79_4CDE_A40C_FC24AA59D1EA_.wvu.PrintArea" localSheetId="18" hidden="1">'IWP17'!$A$1:$R$630</definedName>
    <definedName name="Z_341C6106_BE79_4CDE_A40C_FC24AA59D1EA_.wvu.PrintArea" localSheetId="19" hidden="1">'IWP18'!$A$1:$R$630</definedName>
    <definedName name="Z_341C6106_BE79_4CDE_A40C_FC24AA59D1EA_.wvu.PrintArea" localSheetId="20" hidden="1">'IWP19'!$A$1:$R$630</definedName>
    <definedName name="Z_341C6106_BE79_4CDE_A40C_FC24AA59D1EA_.wvu.PrintArea" localSheetId="21" hidden="1">'IWP20'!$A$1:$R$630</definedName>
    <definedName name="Z_341C6106_BE79_4CDE_A40C_FC24AA59D1EA_.wvu.PrintArea" localSheetId="22" hidden="1">'IWP21'!$A$1:$R$630</definedName>
    <definedName name="Z_341C6106_BE79_4CDE_A40C_FC24AA59D1EA_.wvu.PrintArea" localSheetId="23" hidden="1">'IWP22'!$A$1:$R$630</definedName>
    <definedName name="Z_341C6106_BE79_4CDE_A40C_FC24AA59D1EA_.wvu.PrintArea" localSheetId="24" hidden="1">'IWP23'!$A$1:$R$630</definedName>
    <definedName name="Z_341C6106_BE79_4CDE_A40C_FC24AA59D1EA_.wvu.PrintArea" localSheetId="25" hidden="1">'IWP24'!$A$1:$R$630</definedName>
    <definedName name="Z_341C6106_BE79_4CDE_A40C_FC24AA59D1EA_.wvu.PrintArea" localSheetId="26" hidden="1">'IWP25'!$A$1:$R$630</definedName>
    <definedName name="Z_341C6106_BE79_4CDE_A40C_FC24AA59D1EA_.wvu.PrintArea" localSheetId="27" hidden="1">'IWP26'!$A$1:$R$630</definedName>
    <definedName name="Z_341C6106_BE79_4CDE_A40C_FC24AA59D1EA_.wvu.PrintArea" localSheetId="28" hidden="1">'IWP27'!$A$1:$R$630</definedName>
    <definedName name="Z_341C6106_BE79_4CDE_A40C_FC24AA59D1EA_.wvu.PrintArea" localSheetId="29" hidden="1">'IWP28'!$A$1:$R$630</definedName>
    <definedName name="Z_341C6106_BE79_4CDE_A40C_FC24AA59D1EA_.wvu.PrintArea" localSheetId="30" hidden="1">'IWP29'!$A$1:$R$630</definedName>
    <definedName name="Z_341C6106_BE79_4CDE_A40C_FC24AA59D1EA_.wvu.PrintArea" localSheetId="31" hidden="1">'IWP30'!$A$1:$R$630</definedName>
    <definedName name="Z_341C6106_BE79_4CDE_A40C_FC24AA59D1EA_.wvu.PrintArea" localSheetId="0" hidden="1">'Monitoring Workbook'!$A$1:$J$301</definedName>
    <definedName name="Z_341C6106_BE79_4CDE_A40C_FC24AA59D1EA_.wvu.PrintArea" localSheetId="36" hidden="1">'Notes (Print)'!$A$1:$L$40</definedName>
    <definedName name="Z_341C6106_BE79_4CDE_A40C_FC24AA59D1EA_.wvu.PrintTitles" localSheetId="2" hidden="1">'IWP01'!$1:$4</definedName>
    <definedName name="Z_341C6106_BE79_4CDE_A40C_FC24AA59D1EA_.wvu.PrintTitles" localSheetId="3" hidden="1">'IWP02'!$1:$4</definedName>
    <definedName name="Z_341C6106_BE79_4CDE_A40C_FC24AA59D1EA_.wvu.PrintTitles" localSheetId="4" hidden="1">'IWP03'!$1:$4</definedName>
    <definedName name="Z_341C6106_BE79_4CDE_A40C_FC24AA59D1EA_.wvu.PrintTitles" localSheetId="5" hidden="1">'IWP04'!$1:$4</definedName>
    <definedName name="Z_341C6106_BE79_4CDE_A40C_FC24AA59D1EA_.wvu.PrintTitles" localSheetId="6" hidden="1">'IWP05'!$1:$4</definedName>
    <definedName name="Z_341C6106_BE79_4CDE_A40C_FC24AA59D1EA_.wvu.PrintTitles" localSheetId="7" hidden="1">'IWP06'!$1:$4</definedName>
    <definedName name="Z_341C6106_BE79_4CDE_A40C_FC24AA59D1EA_.wvu.PrintTitles" localSheetId="8" hidden="1">'IWP07'!$1:$4</definedName>
    <definedName name="Z_341C6106_BE79_4CDE_A40C_FC24AA59D1EA_.wvu.PrintTitles" localSheetId="9" hidden="1">'IWP08'!$1:$4</definedName>
    <definedName name="Z_341C6106_BE79_4CDE_A40C_FC24AA59D1EA_.wvu.PrintTitles" localSheetId="10" hidden="1">'IWP09'!$1:$4</definedName>
    <definedName name="Z_341C6106_BE79_4CDE_A40C_FC24AA59D1EA_.wvu.PrintTitles" localSheetId="11" hidden="1">'IWP10'!$1:$4</definedName>
    <definedName name="Z_341C6106_BE79_4CDE_A40C_FC24AA59D1EA_.wvu.PrintTitles" localSheetId="12" hidden="1">'IWP11'!$1:$4</definedName>
    <definedName name="Z_341C6106_BE79_4CDE_A40C_FC24AA59D1EA_.wvu.PrintTitles" localSheetId="13" hidden="1">'IWP12'!$1:$4</definedName>
    <definedName name="Z_341C6106_BE79_4CDE_A40C_FC24AA59D1EA_.wvu.PrintTitles" localSheetId="14" hidden="1">'IWP13'!$1:$4</definedName>
    <definedName name="Z_341C6106_BE79_4CDE_A40C_FC24AA59D1EA_.wvu.PrintTitles" localSheetId="15" hidden="1">'IWP14'!$1:$4</definedName>
    <definedName name="Z_341C6106_BE79_4CDE_A40C_FC24AA59D1EA_.wvu.PrintTitles" localSheetId="16" hidden="1">'IWP15'!$1:$4</definedName>
    <definedName name="Z_341C6106_BE79_4CDE_A40C_FC24AA59D1EA_.wvu.PrintTitles" localSheetId="17" hidden="1">'IWP16'!$1:$4</definedName>
    <definedName name="Z_341C6106_BE79_4CDE_A40C_FC24AA59D1EA_.wvu.PrintTitles" localSheetId="18" hidden="1">'IWP17'!$1:$4</definedName>
    <definedName name="Z_341C6106_BE79_4CDE_A40C_FC24AA59D1EA_.wvu.PrintTitles" localSheetId="19" hidden="1">'IWP18'!$1:$4</definedName>
    <definedName name="Z_341C6106_BE79_4CDE_A40C_FC24AA59D1EA_.wvu.PrintTitles" localSheetId="20" hidden="1">'IWP19'!$1:$4</definedName>
    <definedName name="Z_341C6106_BE79_4CDE_A40C_FC24AA59D1EA_.wvu.PrintTitles" localSheetId="21" hidden="1">'IWP20'!$1:$4</definedName>
    <definedName name="Z_341C6106_BE79_4CDE_A40C_FC24AA59D1EA_.wvu.PrintTitles" localSheetId="22" hidden="1">'IWP21'!$1:$4</definedName>
    <definedName name="Z_341C6106_BE79_4CDE_A40C_FC24AA59D1EA_.wvu.PrintTitles" localSheetId="23" hidden="1">'IWP22'!$1:$4</definedName>
    <definedName name="Z_341C6106_BE79_4CDE_A40C_FC24AA59D1EA_.wvu.PrintTitles" localSheetId="24" hidden="1">'IWP23'!$1:$4</definedName>
    <definedName name="Z_341C6106_BE79_4CDE_A40C_FC24AA59D1EA_.wvu.PrintTitles" localSheetId="25" hidden="1">'IWP24'!$1:$4</definedName>
    <definedName name="Z_341C6106_BE79_4CDE_A40C_FC24AA59D1EA_.wvu.PrintTitles" localSheetId="26" hidden="1">'IWP25'!$1:$4</definedName>
    <definedName name="Z_341C6106_BE79_4CDE_A40C_FC24AA59D1EA_.wvu.PrintTitles" localSheetId="27" hidden="1">'IWP26'!$1:$4</definedName>
    <definedName name="Z_341C6106_BE79_4CDE_A40C_FC24AA59D1EA_.wvu.PrintTitles" localSheetId="28" hidden="1">'IWP27'!$1:$4</definedName>
    <definedName name="Z_341C6106_BE79_4CDE_A40C_FC24AA59D1EA_.wvu.PrintTitles" localSheetId="29" hidden="1">'IWP28'!$1:$4</definedName>
    <definedName name="Z_341C6106_BE79_4CDE_A40C_FC24AA59D1EA_.wvu.PrintTitles" localSheetId="30" hidden="1">'IWP29'!$1:$4</definedName>
    <definedName name="Z_341C6106_BE79_4CDE_A40C_FC24AA59D1EA_.wvu.PrintTitles" localSheetId="31" hidden="1">'IWP30'!$1:$4</definedName>
    <definedName name="Z_341C6106_BE79_4CDE_A40C_FC24AA59D1EA_.wvu.PrintTitles" localSheetId="0" hidden="1">'Monitoring Workbook'!$1:$5</definedName>
    <definedName name="Z_341C6106_BE79_4CDE_A40C_FC24AA59D1EA_.wvu.Rows" localSheetId="32" hidden="1">'Compliance Summary (PRINT)'!$39:$46</definedName>
    <definedName name="Z_341C6106_BE79_4CDE_A40C_FC24AA59D1EA_.wvu.Rows" localSheetId="33" hidden="1">'Demand for Payment (PRINT)'!$23:$26</definedName>
    <definedName name="Z_341C6106_BE79_4CDE_A40C_FC24AA59D1EA_.wvu.Rows" localSheetId="2" hidden="1">'IWP01'!$18:$18,'IWP01'!$22:$22,'IWP01'!$42:$46,'IWP01'!$84:$87,'IWP01'!$130:$130,'IWP01'!$135:$135,'IWP01'!$137:$142,'IWP01'!$148:$155,'IWP01'!$158:$161,'IWP01'!$171:$172,'IWP01'!$192:$192,'IWP01'!$200:$202,'IWP01'!$210:$211,'IWP01'!$213:$214,'IWP01'!$216:$218,'IWP01'!$220:$220,'IWP01'!$230:$237,'IWP01'!$294:$630</definedName>
    <definedName name="Z_341C6106_BE79_4CDE_A40C_FC24AA59D1EA_.wvu.Rows" localSheetId="3" hidden="1">'IWP02'!$18:$18,'IWP02'!$22:$22,'IWP02'!$42:$46,'IWP02'!$84:$87,'IWP02'!$130:$130,'IWP02'!$135:$135,'IWP02'!$137:$142,'IWP02'!$148:$155,'IWP02'!$158:$161,'IWP02'!$171:$172,'IWP02'!$192:$192,'IWP02'!$200:$202,'IWP02'!$210:$211,'IWP02'!$213:$214,'IWP02'!$216:$218,'IWP02'!$220:$220,'IWP02'!$230:$237,'IWP02'!$294:$630</definedName>
    <definedName name="Z_341C6106_BE79_4CDE_A40C_FC24AA59D1EA_.wvu.Rows" localSheetId="4" hidden="1">'IWP03'!$18:$18,'IWP03'!$22:$22,'IWP03'!$42:$46,'IWP03'!$84:$87,'IWP03'!$130:$130,'IWP03'!$135:$135,'IWP03'!$137:$142,'IWP03'!$148:$155,'IWP03'!$158:$161,'IWP03'!$171:$172,'IWP03'!$192:$192,'IWP03'!$200:$202,'IWP03'!$210:$211,'IWP03'!$213:$214,'IWP03'!$216:$218,'IWP03'!$220:$220,'IWP03'!$230:$237,'IWP03'!$294:$630</definedName>
    <definedName name="Z_341C6106_BE79_4CDE_A40C_FC24AA59D1EA_.wvu.Rows" localSheetId="5" hidden="1">'IWP04'!$18:$18,'IWP04'!$22:$22,'IWP04'!$42:$46,'IWP04'!$84:$87,'IWP04'!$130:$130,'IWP04'!$135:$135,'IWP04'!$137:$142,'IWP04'!$148:$155,'IWP04'!$158:$161,'IWP04'!$171:$172,'IWP04'!$192:$192,'IWP04'!$200:$202,'IWP04'!$210:$211,'IWP04'!$213:$214,'IWP04'!$216:$218,'IWP04'!$220:$220,'IWP04'!$230:$237,'IWP04'!$294:$630</definedName>
    <definedName name="Z_341C6106_BE79_4CDE_A40C_FC24AA59D1EA_.wvu.Rows" localSheetId="6" hidden="1">'IWP05'!$18:$18,'IWP05'!$22:$22,'IWP05'!$42:$46,'IWP05'!$84:$87,'IWP05'!$130:$130,'IWP05'!$135:$135,'IWP05'!$137:$142,'IWP05'!$148:$155,'IWP05'!$158:$161,'IWP05'!$171:$172,'IWP05'!$192:$192,'IWP05'!$200:$202,'IWP05'!$210:$211,'IWP05'!$213:$214,'IWP05'!$216:$218,'IWP05'!$220:$220,'IWP05'!$230:$237,'IWP05'!$294:$630</definedName>
    <definedName name="Z_341C6106_BE79_4CDE_A40C_FC24AA59D1EA_.wvu.Rows" localSheetId="7" hidden="1">'IWP06'!$18:$18,'IWP06'!$22:$22,'IWP06'!$42:$46,'IWP06'!$84:$87,'IWP06'!$130:$130,'IWP06'!$135:$135,'IWP06'!$137:$142,'IWP06'!$148:$155,'IWP06'!$158:$161,'IWP06'!$171:$172,'IWP06'!$192:$192,'IWP06'!$200:$202,'IWP06'!$210:$211,'IWP06'!$213:$214,'IWP06'!$216:$218,'IWP06'!$220:$220,'IWP06'!$230:$237,'IWP06'!$294:$630</definedName>
    <definedName name="Z_341C6106_BE79_4CDE_A40C_FC24AA59D1EA_.wvu.Rows" localSheetId="8" hidden="1">'IWP07'!$18:$18,'IWP07'!$22:$22,'IWP07'!$42:$46,'IWP07'!$84:$87,'IWP07'!$130:$130,'IWP07'!$135:$135,'IWP07'!$137:$142,'IWP07'!$148:$155,'IWP07'!$158:$161,'IWP07'!$171:$172,'IWP07'!$192:$192,'IWP07'!$200:$202,'IWP07'!$210:$211,'IWP07'!$213:$214,'IWP07'!$216:$218,'IWP07'!$220:$220,'IWP07'!$230:$237,'IWP07'!$294:$630</definedName>
    <definedName name="Z_341C6106_BE79_4CDE_A40C_FC24AA59D1EA_.wvu.Rows" localSheetId="9" hidden="1">'IWP08'!$18:$18,'IWP08'!$22:$22,'IWP08'!$42:$46,'IWP08'!$84:$87,'IWP08'!$130:$130,'IWP08'!$135:$135,'IWP08'!$137:$142,'IWP08'!$148:$155,'IWP08'!$158:$161,'IWP08'!$171:$172,'IWP08'!$192:$192,'IWP08'!$200:$202,'IWP08'!$210:$211,'IWP08'!$213:$214,'IWP08'!$216:$218,'IWP08'!$220:$220,'IWP08'!$230:$237,'IWP08'!$294:$630</definedName>
    <definedName name="Z_341C6106_BE79_4CDE_A40C_FC24AA59D1EA_.wvu.Rows" localSheetId="10" hidden="1">'IWP09'!$18:$18,'IWP09'!$22:$22,'IWP09'!$42:$46,'IWP09'!$84:$87,'IWP09'!$130:$130,'IWP09'!$135:$135,'IWP09'!$137:$142,'IWP09'!$148:$155,'IWP09'!$158:$161,'IWP09'!$171:$172,'IWP09'!$192:$192,'IWP09'!$200:$202,'IWP09'!$210:$211,'IWP09'!$213:$214,'IWP09'!$216:$218,'IWP09'!$220:$220,'IWP09'!$230:$237,'IWP09'!$294:$630</definedName>
    <definedName name="Z_341C6106_BE79_4CDE_A40C_FC24AA59D1EA_.wvu.Rows" localSheetId="11" hidden="1">'IWP10'!$18:$18,'IWP10'!$22:$22,'IWP10'!$42:$46,'IWP10'!$84:$87,'IWP10'!$130:$130,'IWP10'!$135:$135,'IWP10'!$137:$142,'IWP10'!$148:$155,'IWP10'!$158:$161,'IWP10'!$171:$172,'IWP10'!$192:$192,'IWP10'!$200:$202,'IWP10'!$210:$211,'IWP10'!$213:$214,'IWP10'!$216:$218,'IWP10'!$220:$220,'IWP10'!$230:$237,'IWP10'!$294:$630</definedName>
    <definedName name="Z_341C6106_BE79_4CDE_A40C_FC24AA59D1EA_.wvu.Rows" localSheetId="12" hidden="1">'IWP11'!$18:$18,'IWP11'!$22:$22,'IWP11'!$42:$46,'IWP11'!$84:$87,'IWP11'!$130:$130,'IWP11'!$135:$135,'IWP11'!$137:$142,'IWP11'!$148:$155,'IWP11'!$158:$161,'IWP11'!$171:$172,'IWP11'!$192:$192,'IWP11'!$200:$202,'IWP11'!$210:$211,'IWP11'!$213:$214,'IWP11'!$216:$218,'IWP11'!$220:$220,'IWP11'!$230:$237,'IWP11'!$294:$630</definedName>
    <definedName name="Z_341C6106_BE79_4CDE_A40C_FC24AA59D1EA_.wvu.Rows" localSheetId="13" hidden="1">'IWP12'!$18:$18,'IWP12'!$22:$22,'IWP12'!$42:$46,'IWP12'!$84:$87,'IWP12'!$130:$130,'IWP12'!$135:$135,'IWP12'!$137:$142,'IWP12'!$148:$155,'IWP12'!$158:$161,'IWP12'!$171:$172,'IWP12'!$192:$192,'IWP12'!$200:$202,'IWP12'!$210:$211,'IWP12'!$213:$214,'IWP12'!$216:$218,'IWP12'!$220:$220,'IWP12'!$230:$237,'IWP12'!$294:$630</definedName>
    <definedName name="Z_341C6106_BE79_4CDE_A40C_FC24AA59D1EA_.wvu.Rows" localSheetId="14" hidden="1">'IWP13'!$18:$18,'IWP13'!$22:$22,'IWP13'!$42:$46,'IWP13'!$84:$87,'IWP13'!$130:$130,'IWP13'!$135:$135,'IWP13'!$137:$142,'IWP13'!$148:$155,'IWP13'!$158:$161,'IWP13'!$171:$172,'IWP13'!$192:$192,'IWP13'!$200:$202,'IWP13'!$210:$211,'IWP13'!$213:$214,'IWP13'!$216:$218,'IWP13'!$220:$220,'IWP13'!$230:$237,'IWP13'!$294:$630</definedName>
    <definedName name="Z_341C6106_BE79_4CDE_A40C_FC24AA59D1EA_.wvu.Rows" localSheetId="15" hidden="1">'IWP14'!$18:$18,'IWP14'!$22:$22,'IWP14'!$42:$46,'IWP14'!$84:$87,'IWP14'!$130:$130,'IWP14'!$135:$135,'IWP14'!$137:$142,'IWP14'!$148:$155,'IWP14'!$158:$161,'IWP14'!$171:$172,'IWP14'!$192:$192,'IWP14'!$200:$202,'IWP14'!$210:$211,'IWP14'!$213:$214,'IWP14'!$216:$218,'IWP14'!$220:$220,'IWP14'!$230:$237,'IWP14'!$294:$630</definedName>
    <definedName name="Z_341C6106_BE79_4CDE_A40C_FC24AA59D1EA_.wvu.Rows" localSheetId="16" hidden="1">'IWP15'!$18:$18,'IWP15'!$22:$22,'IWP15'!$42:$46,'IWP15'!$84:$87,'IWP15'!$130:$130,'IWP15'!$135:$135,'IWP15'!$137:$142,'IWP15'!$148:$155,'IWP15'!$158:$161,'IWP15'!$171:$172,'IWP15'!$192:$192,'IWP15'!$200:$202,'IWP15'!$210:$211,'IWP15'!$213:$214,'IWP15'!$216:$218,'IWP15'!$220:$220,'IWP15'!$230:$237,'IWP15'!$294:$630</definedName>
    <definedName name="Z_341C6106_BE79_4CDE_A40C_FC24AA59D1EA_.wvu.Rows" localSheetId="17" hidden="1">'IWP16'!$18:$18,'IWP16'!$22:$22,'IWP16'!$42:$46,'IWP16'!$84:$87,'IWP16'!$130:$130,'IWP16'!$135:$135,'IWP16'!$137:$142,'IWP16'!$148:$155,'IWP16'!$158:$161,'IWP16'!$171:$172,'IWP16'!$192:$192,'IWP16'!$200:$202,'IWP16'!$210:$211,'IWP16'!$213:$214,'IWP16'!$216:$218,'IWP16'!$220:$220,'IWP16'!$230:$237,'IWP16'!$294:$630</definedName>
    <definedName name="Z_341C6106_BE79_4CDE_A40C_FC24AA59D1EA_.wvu.Rows" localSheetId="18" hidden="1">'IWP17'!$18:$18,'IWP17'!$22:$22,'IWP17'!$42:$46,'IWP17'!$84:$87,'IWP17'!$130:$130,'IWP17'!$135:$135,'IWP17'!$137:$142,'IWP17'!$148:$155,'IWP17'!$158:$161,'IWP17'!$171:$172,'IWP17'!$192:$192,'IWP17'!$200:$202,'IWP17'!$210:$211,'IWP17'!$213:$214,'IWP17'!$216:$218,'IWP17'!$220:$220,'IWP17'!$230:$237,'IWP17'!$294:$630</definedName>
    <definedName name="Z_341C6106_BE79_4CDE_A40C_FC24AA59D1EA_.wvu.Rows" localSheetId="19" hidden="1">'IWP18'!$18:$18,'IWP18'!$22:$22,'IWP18'!$42:$46,'IWP18'!$84:$87,'IWP18'!$130:$130,'IWP18'!$135:$135,'IWP18'!$137:$142,'IWP18'!$148:$155,'IWP18'!$158:$161,'IWP18'!$171:$172,'IWP18'!$192:$192,'IWP18'!$200:$202,'IWP18'!$210:$211,'IWP18'!$213:$214,'IWP18'!$216:$218,'IWP18'!$220:$220,'IWP18'!$230:$237,'IWP18'!$294:$630</definedName>
    <definedName name="Z_341C6106_BE79_4CDE_A40C_FC24AA59D1EA_.wvu.Rows" localSheetId="20" hidden="1">'IWP19'!$18:$18,'IWP19'!$22:$22,'IWP19'!$42:$46,'IWP19'!$84:$87,'IWP19'!$130:$130,'IWP19'!$135:$135,'IWP19'!$137:$142,'IWP19'!$148:$155,'IWP19'!$158:$161,'IWP19'!$171:$172,'IWP19'!$192:$192,'IWP19'!$200:$202,'IWP19'!$210:$211,'IWP19'!$213:$214,'IWP19'!$216:$218,'IWP19'!$220:$220,'IWP19'!$230:$237,'IWP19'!$294:$630</definedName>
    <definedName name="Z_341C6106_BE79_4CDE_A40C_FC24AA59D1EA_.wvu.Rows" localSheetId="21" hidden="1">'IWP20'!$18:$18,'IWP20'!$22:$22,'IWP20'!$42:$46,'IWP20'!$84:$87,'IWP20'!$130:$130,'IWP20'!$135:$135,'IWP20'!$137:$142,'IWP20'!$148:$155,'IWP20'!$158:$161,'IWP20'!$171:$172,'IWP20'!$192:$192,'IWP20'!$200:$202,'IWP20'!$210:$211,'IWP20'!$213:$214,'IWP20'!$216:$218,'IWP20'!$220:$220,'IWP20'!$230:$237,'IWP20'!$294:$630</definedName>
    <definedName name="Z_341C6106_BE79_4CDE_A40C_FC24AA59D1EA_.wvu.Rows" localSheetId="22" hidden="1">'IWP21'!$18:$18,'IWP21'!$22:$22,'IWP21'!$42:$46,'IWP21'!$84:$87,'IWP21'!$130:$130,'IWP21'!$135:$135,'IWP21'!$137:$142,'IWP21'!$148:$155,'IWP21'!$158:$161,'IWP21'!$171:$172,'IWP21'!$192:$192,'IWP21'!$200:$202,'IWP21'!$210:$211,'IWP21'!$213:$214,'IWP21'!$216:$218,'IWP21'!$220:$220,'IWP21'!$230:$237,'IWP21'!$294:$630</definedName>
    <definedName name="Z_341C6106_BE79_4CDE_A40C_FC24AA59D1EA_.wvu.Rows" localSheetId="23" hidden="1">'IWP22'!$18:$18,'IWP22'!$22:$22,'IWP22'!$42:$46,'IWP22'!$84:$87,'IWP22'!$130:$130,'IWP22'!$135:$135,'IWP22'!$137:$142,'IWP22'!$148:$155,'IWP22'!$158:$161,'IWP22'!$171:$172,'IWP22'!$192:$192,'IWP22'!$200:$202,'IWP22'!$210:$211,'IWP22'!$213:$214,'IWP22'!$216:$218,'IWP22'!$220:$220,'IWP22'!$230:$237,'IWP22'!$294:$630</definedName>
    <definedName name="Z_341C6106_BE79_4CDE_A40C_FC24AA59D1EA_.wvu.Rows" localSheetId="24" hidden="1">'IWP23'!$18:$18,'IWP23'!$22:$22,'IWP23'!$42:$46,'IWP23'!$84:$87,'IWP23'!$130:$130,'IWP23'!$135:$135,'IWP23'!$137:$142,'IWP23'!$148:$155,'IWP23'!$158:$161,'IWP23'!$171:$172,'IWP23'!$192:$192,'IWP23'!$200:$202,'IWP23'!$210:$211,'IWP23'!$213:$214,'IWP23'!$216:$218,'IWP23'!$220:$220,'IWP23'!$230:$237,'IWP23'!$294:$630</definedName>
    <definedName name="Z_341C6106_BE79_4CDE_A40C_FC24AA59D1EA_.wvu.Rows" localSheetId="25" hidden="1">'IWP24'!$18:$18,'IWP24'!$22:$22,'IWP24'!$42:$46,'IWP24'!$84:$87,'IWP24'!$130:$130,'IWP24'!$135:$135,'IWP24'!$137:$142,'IWP24'!$148:$155,'IWP24'!$158:$161,'IWP24'!$171:$172,'IWP24'!$192:$192,'IWP24'!$200:$202,'IWP24'!$210:$211,'IWP24'!$213:$214,'IWP24'!$216:$218,'IWP24'!$220:$220,'IWP24'!$230:$237,'IWP24'!$294:$630</definedName>
    <definedName name="Z_341C6106_BE79_4CDE_A40C_FC24AA59D1EA_.wvu.Rows" localSheetId="26" hidden="1">'IWP25'!$18:$18,'IWP25'!$22:$22,'IWP25'!$42:$46,'IWP25'!$84:$87,'IWP25'!$130:$130,'IWP25'!$135:$135,'IWP25'!$137:$142,'IWP25'!$148:$155,'IWP25'!$158:$161,'IWP25'!$171:$172,'IWP25'!$192:$192,'IWP25'!$200:$202,'IWP25'!$210:$211,'IWP25'!$213:$214,'IWP25'!$216:$218,'IWP25'!$220:$220,'IWP25'!$230:$237,'IWP25'!$294:$630</definedName>
    <definedName name="Z_341C6106_BE79_4CDE_A40C_FC24AA59D1EA_.wvu.Rows" localSheetId="27" hidden="1">'IWP26'!$18:$18,'IWP26'!$22:$22,'IWP26'!$42:$46,'IWP26'!$84:$87,'IWP26'!$130:$130,'IWP26'!$135:$135,'IWP26'!$137:$142,'IWP26'!$148:$155,'IWP26'!$158:$161,'IWP26'!$171:$172,'IWP26'!$192:$192,'IWP26'!$200:$202,'IWP26'!$210:$211,'IWP26'!$213:$214,'IWP26'!$216:$218,'IWP26'!$220:$220,'IWP26'!$230:$237,'IWP26'!$294:$630</definedName>
    <definedName name="Z_341C6106_BE79_4CDE_A40C_FC24AA59D1EA_.wvu.Rows" localSheetId="28" hidden="1">'IWP27'!$18:$18,'IWP27'!$22:$22,'IWP27'!$42:$46,'IWP27'!$84:$87,'IWP27'!$130:$130,'IWP27'!$135:$135,'IWP27'!$137:$142,'IWP27'!$148:$155,'IWP27'!$158:$161,'IWP27'!$171:$172,'IWP27'!$192:$192,'IWP27'!$200:$202,'IWP27'!$210:$211,'IWP27'!$213:$214,'IWP27'!$216:$218,'IWP27'!$220:$220,'IWP27'!$230:$237,'IWP27'!$294:$630</definedName>
    <definedName name="Z_341C6106_BE79_4CDE_A40C_FC24AA59D1EA_.wvu.Rows" localSheetId="29" hidden="1">'IWP28'!$18:$18,'IWP28'!$22:$22,'IWP28'!$42:$46,'IWP28'!$84:$87,'IWP28'!$130:$130,'IWP28'!$135:$135,'IWP28'!$137:$142,'IWP28'!$148:$155,'IWP28'!$158:$161,'IWP28'!$171:$172,'IWP28'!$192:$192,'IWP28'!$200:$202,'IWP28'!$210:$211,'IWP28'!$213:$214,'IWP28'!$216:$218,'IWP28'!$220:$220,'IWP28'!$230:$237,'IWP28'!$294:$630</definedName>
    <definedName name="Z_341C6106_BE79_4CDE_A40C_FC24AA59D1EA_.wvu.Rows" localSheetId="30" hidden="1">'IWP29'!$18:$18,'IWP29'!$22:$22,'IWP29'!$42:$46,'IWP29'!$84:$87,'IWP29'!$130:$130,'IWP29'!$135:$135,'IWP29'!$137:$142,'IWP29'!$148:$155,'IWP29'!$158:$161,'IWP29'!$171:$172,'IWP29'!$192:$192,'IWP29'!$200:$202,'IWP29'!$210:$211,'IWP29'!$213:$214,'IWP29'!$216:$218,'IWP29'!$220:$220,'IWP29'!$230:$237,'IWP29'!$294:$630</definedName>
    <definedName name="Z_341C6106_BE79_4CDE_A40C_FC24AA59D1EA_.wvu.Rows" localSheetId="31" hidden="1">'IWP30'!$18:$18,'IWP30'!$22:$22,'IWP30'!$42:$46,'IWP30'!$84:$87,'IWP30'!$130:$130,'IWP30'!$135:$135,'IWP30'!$137:$142,'IWP30'!$148:$155,'IWP30'!$158:$161,'IWP30'!$171:$172,'IWP30'!$192:$192,'IWP30'!$200:$202,'IWP30'!$210:$211,'IWP30'!$213:$214,'IWP30'!$216:$218,'IWP30'!$220:$220,'IWP30'!$230:$237,'IWP30'!$294:$630</definedName>
    <definedName name="Z_341C6106_BE79_4CDE_A40C_FC24AA59D1EA_.wvu.Rows" localSheetId="0" hidden="1">'Monitoring Workbook'!$54:$67,'Monitoring Workbook'!$286:$301</definedName>
    <definedName name="Z_99F5D17F_5AC0_418F_9D70_825920124F2C_.wvu.Cols" localSheetId="2" hidden="1">'IWP01'!$T:$T</definedName>
    <definedName name="Z_99F5D17F_5AC0_418F_9D70_825920124F2C_.wvu.Cols" localSheetId="3" hidden="1">'IWP02'!$T:$T</definedName>
    <definedName name="Z_99F5D17F_5AC0_418F_9D70_825920124F2C_.wvu.Cols" localSheetId="4" hidden="1">'IWP03'!$T:$T</definedName>
    <definedName name="Z_99F5D17F_5AC0_418F_9D70_825920124F2C_.wvu.Cols" localSheetId="5" hidden="1">'IWP04'!$T:$T</definedName>
    <definedName name="Z_99F5D17F_5AC0_418F_9D70_825920124F2C_.wvu.Cols" localSheetId="6" hidden="1">'IWP05'!$T:$T</definedName>
    <definedName name="Z_99F5D17F_5AC0_418F_9D70_825920124F2C_.wvu.Cols" localSheetId="7" hidden="1">'IWP06'!$T:$T</definedName>
    <definedName name="Z_99F5D17F_5AC0_418F_9D70_825920124F2C_.wvu.Cols" localSheetId="8" hidden="1">'IWP07'!$T:$T</definedName>
    <definedName name="Z_99F5D17F_5AC0_418F_9D70_825920124F2C_.wvu.Cols" localSheetId="9" hidden="1">'IWP08'!$T:$T</definedName>
    <definedName name="Z_99F5D17F_5AC0_418F_9D70_825920124F2C_.wvu.Cols" localSheetId="10" hidden="1">'IWP09'!$T:$T</definedName>
    <definedName name="Z_99F5D17F_5AC0_418F_9D70_825920124F2C_.wvu.Cols" localSheetId="11" hidden="1">'IWP10'!$T:$T</definedName>
    <definedName name="Z_99F5D17F_5AC0_418F_9D70_825920124F2C_.wvu.Cols" localSheetId="12" hidden="1">'IWP11'!$T:$T</definedName>
    <definedName name="Z_99F5D17F_5AC0_418F_9D70_825920124F2C_.wvu.Cols" localSheetId="13" hidden="1">'IWP12'!$T:$T</definedName>
    <definedName name="Z_99F5D17F_5AC0_418F_9D70_825920124F2C_.wvu.Cols" localSheetId="14" hidden="1">'IWP13'!$T:$T</definedName>
    <definedName name="Z_99F5D17F_5AC0_418F_9D70_825920124F2C_.wvu.Cols" localSheetId="15" hidden="1">'IWP14'!$T:$T</definedName>
    <definedName name="Z_99F5D17F_5AC0_418F_9D70_825920124F2C_.wvu.Cols" localSheetId="16" hidden="1">'IWP15'!$T:$T</definedName>
    <definedName name="Z_99F5D17F_5AC0_418F_9D70_825920124F2C_.wvu.Cols" localSheetId="17" hidden="1">'IWP16'!$T:$T</definedName>
    <definedName name="Z_99F5D17F_5AC0_418F_9D70_825920124F2C_.wvu.Cols" localSheetId="18" hidden="1">'IWP17'!$T:$T</definedName>
    <definedName name="Z_99F5D17F_5AC0_418F_9D70_825920124F2C_.wvu.Cols" localSheetId="19" hidden="1">'IWP18'!$T:$T</definedName>
    <definedName name="Z_99F5D17F_5AC0_418F_9D70_825920124F2C_.wvu.Cols" localSheetId="20" hidden="1">'IWP19'!$T:$T</definedName>
    <definedName name="Z_99F5D17F_5AC0_418F_9D70_825920124F2C_.wvu.Cols" localSheetId="21" hidden="1">'IWP20'!$T:$T</definedName>
    <definedName name="Z_99F5D17F_5AC0_418F_9D70_825920124F2C_.wvu.Cols" localSheetId="22" hidden="1">'IWP21'!$T:$T</definedName>
    <definedName name="Z_99F5D17F_5AC0_418F_9D70_825920124F2C_.wvu.Cols" localSheetId="23" hidden="1">'IWP22'!$T:$T</definedName>
    <definedName name="Z_99F5D17F_5AC0_418F_9D70_825920124F2C_.wvu.Cols" localSheetId="24" hidden="1">'IWP23'!$T:$T</definedName>
    <definedName name="Z_99F5D17F_5AC0_418F_9D70_825920124F2C_.wvu.Cols" localSheetId="25" hidden="1">'IWP24'!$T:$T</definedName>
    <definedName name="Z_99F5D17F_5AC0_418F_9D70_825920124F2C_.wvu.Cols" localSheetId="26" hidden="1">'IWP25'!$T:$T</definedName>
    <definedName name="Z_99F5D17F_5AC0_418F_9D70_825920124F2C_.wvu.Cols" localSheetId="27" hidden="1">'IWP26'!$T:$T</definedName>
    <definedName name="Z_99F5D17F_5AC0_418F_9D70_825920124F2C_.wvu.Cols" localSheetId="28" hidden="1">'IWP27'!$T:$T</definedName>
    <definedName name="Z_99F5D17F_5AC0_418F_9D70_825920124F2C_.wvu.Cols" localSheetId="29" hidden="1">'IWP28'!$T:$T</definedName>
    <definedName name="Z_99F5D17F_5AC0_418F_9D70_825920124F2C_.wvu.Cols" localSheetId="30" hidden="1">'IWP29'!$T:$T</definedName>
    <definedName name="Z_99F5D17F_5AC0_418F_9D70_825920124F2C_.wvu.Cols" localSheetId="31" hidden="1">'IWP30'!$T:$T</definedName>
    <definedName name="Z_99F5D17F_5AC0_418F_9D70_825920124F2C_.wvu.PrintArea" localSheetId="34" hidden="1">'Amt Due Emp Employer (PRINT)'!$A$1:$M$43</definedName>
    <definedName name="Z_99F5D17F_5AC0_418F_9D70_825920124F2C_.wvu.PrintArea" localSheetId="32" hidden="1">'Compliance Summary (PRINT)'!$A$1:$J$46</definedName>
    <definedName name="Z_99F5D17F_5AC0_418F_9D70_825920124F2C_.wvu.PrintArea" localSheetId="2" hidden="1">'IWP01'!$A$1:$R$630</definedName>
    <definedName name="Z_99F5D17F_5AC0_418F_9D70_825920124F2C_.wvu.PrintArea" localSheetId="3" hidden="1">'IWP02'!$A$1:$R$630</definedName>
    <definedName name="Z_99F5D17F_5AC0_418F_9D70_825920124F2C_.wvu.PrintArea" localSheetId="4" hidden="1">'IWP03'!$A$1:$R$630</definedName>
    <definedName name="Z_99F5D17F_5AC0_418F_9D70_825920124F2C_.wvu.PrintArea" localSheetId="5" hidden="1">'IWP04'!$A$1:$R$630</definedName>
    <definedName name="Z_99F5D17F_5AC0_418F_9D70_825920124F2C_.wvu.PrintArea" localSheetId="6" hidden="1">'IWP05'!$A$1:$R$630</definedName>
    <definedName name="Z_99F5D17F_5AC0_418F_9D70_825920124F2C_.wvu.PrintArea" localSheetId="7" hidden="1">'IWP06'!$A$1:$R$630</definedName>
    <definedName name="Z_99F5D17F_5AC0_418F_9D70_825920124F2C_.wvu.PrintArea" localSheetId="8" hidden="1">'IWP07'!$A$1:$R$630</definedName>
    <definedName name="Z_99F5D17F_5AC0_418F_9D70_825920124F2C_.wvu.PrintArea" localSheetId="9" hidden="1">'IWP08'!$A$1:$R$630</definedName>
    <definedName name="Z_99F5D17F_5AC0_418F_9D70_825920124F2C_.wvu.PrintArea" localSheetId="10" hidden="1">'IWP09'!$A$1:$R$630</definedName>
    <definedName name="Z_99F5D17F_5AC0_418F_9D70_825920124F2C_.wvu.PrintArea" localSheetId="11" hidden="1">'IWP10'!$A$1:$R$630</definedName>
    <definedName name="Z_99F5D17F_5AC0_418F_9D70_825920124F2C_.wvu.PrintArea" localSheetId="12" hidden="1">'IWP11'!$A$1:$R$630</definedName>
    <definedName name="Z_99F5D17F_5AC0_418F_9D70_825920124F2C_.wvu.PrintArea" localSheetId="13" hidden="1">'IWP12'!$A$1:$R$630</definedName>
    <definedName name="Z_99F5D17F_5AC0_418F_9D70_825920124F2C_.wvu.PrintArea" localSheetId="14" hidden="1">'IWP13'!$A$1:$R$630</definedName>
    <definedName name="Z_99F5D17F_5AC0_418F_9D70_825920124F2C_.wvu.PrintArea" localSheetId="15" hidden="1">'IWP14'!$A$1:$R$630</definedName>
    <definedName name="Z_99F5D17F_5AC0_418F_9D70_825920124F2C_.wvu.PrintArea" localSheetId="16" hidden="1">'IWP15'!$A$1:$R$630</definedName>
    <definedName name="Z_99F5D17F_5AC0_418F_9D70_825920124F2C_.wvu.PrintArea" localSheetId="17" hidden="1">'IWP16'!$A$1:$R$630</definedName>
    <definedName name="Z_99F5D17F_5AC0_418F_9D70_825920124F2C_.wvu.PrintArea" localSheetId="18" hidden="1">'IWP17'!$A$1:$R$630</definedName>
    <definedName name="Z_99F5D17F_5AC0_418F_9D70_825920124F2C_.wvu.PrintArea" localSheetId="19" hidden="1">'IWP18'!$A$1:$R$630</definedName>
    <definedName name="Z_99F5D17F_5AC0_418F_9D70_825920124F2C_.wvu.PrintArea" localSheetId="20" hidden="1">'IWP19'!$A$1:$R$630</definedName>
    <definedName name="Z_99F5D17F_5AC0_418F_9D70_825920124F2C_.wvu.PrintArea" localSheetId="21" hidden="1">'IWP20'!$A$1:$R$630</definedName>
    <definedName name="Z_99F5D17F_5AC0_418F_9D70_825920124F2C_.wvu.PrintArea" localSheetId="22" hidden="1">'IWP21'!$A$1:$R$630</definedName>
    <definedName name="Z_99F5D17F_5AC0_418F_9D70_825920124F2C_.wvu.PrintArea" localSheetId="23" hidden="1">'IWP22'!$A$1:$R$630</definedName>
    <definedName name="Z_99F5D17F_5AC0_418F_9D70_825920124F2C_.wvu.PrintArea" localSheetId="24" hidden="1">'IWP23'!$A$1:$R$630</definedName>
    <definedName name="Z_99F5D17F_5AC0_418F_9D70_825920124F2C_.wvu.PrintArea" localSheetId="25" hidden="1">'IWP24'!$A$1:$R$630</definedName>
    <definedName name="Z_99F5D17F_5AC0_418F_9D70_825920124F2C_.wvu.PrintArea" localSheetId="26" hidden="1">'IWP25'!$A$1:$R$630</definedName>
    <definedName name="Z_99F5D17F_5AC0_418F_9D70_825920124F2C_.wvu.PrintArea" localSheetId="27" hidden="1">'IWP26'!$A$1:$R$630</definedName>
    <definedName name="Z_99F5D17F_5AC0_418F_9D70_825920124F2C_.wvu.PrintArea" localSheetId="28" hidden="1">'IWP27'!$A$1:$R$630</definedName>
    <definedName name="Z_99F5D17F_5AC0_418F_9D70_825920124F2C_.wvu.PrintArea" localSheetId="29" hidden="1">'IWP28'!$A$1:$R$630</definedName>
    <definedName name="Z_99F5D17F_5AC0_418F_9D70_825920124F2C_.wvu.PrintArea" localSheetId="30" hidden="1">'IWP29'!$A$1:$R$630</definedName>
    <definedName name="Z_99F5D17F_5AC0_418F_9D70_825920124F2C_.wvu.PrintArea" localSheetId="31" hidden="1">'IWP30'!$A$1:$R$630</definedName>
    <definedName name="Z_99F5D17F_5AC0_418F_9D70_825920124F2C_.wvu.PrintArea" localSheetId="0" hidden="1">'Monitoring Workbook'!$A$1:$J$301</definedName>
    <definedName name="Z_99F5D17F_5AC0_418F_9D70_825920124F2C_.wvu.PrintTitles" localSheetId="2" hidden="1">'IWP01'!$1:$4</definedName>
    <definedName name="Z_99F5D17F_5AC0_418F_9D70_825920124F2C_.wvu.PrintTitles" localSheetId="3" hidden="1">'IWP02'!$1:$4</definedName>
    <definedName name="Z_99F5D17F_5AC0_418F_9D70_825920124F2C_.wvu.PrintTitles" localSheetId="4" hidden="1">'IWP03'!$1:$4</definedName>
    <definedName name="Z_99F5D17F_5AC0_418F_9D70_825920124F2C_.wvu.PrintTitles" localSheetId="5" hidden="1">'IWP04'!$1:$4</definedName>
    <definedName name="Z_99F5D17F_5AC0_418F_9D70_825920124F2C_.wvu.PrintTitles" localSheetId="6" hidden="1">'IWP05'!$1:$4</definedName>
    <definedName name="Z_99F5D17F_5AC0_418F_9D70_825920124F2C_.wvu.PrintTitles" localSheetId="7" hidden="1">'IWP06'!$1:$4</definedName>
    <definedName name="Z_99F5D17F_5AC0_418F_9D70_825920124F2C_.wvu.PrintTitles" localSheetId="8" hidden="1">'IWP07'!$1:$4</definedName>
    <definedName name="Z_99F5D17F_5AC0_418F_9D70_825920124F2C_.wvu.PrintTitles" localSheetId="9" hidden="1">'IWP08'!$1:$4</definedName>
    <definedName name="Z_99F5D17F_5AC0_418F_9D70_825920124F2C_.wvu.PrintTitles" localSheetId="10" hidden="1">'IWP09'!$1:$4</definedName>
    <definedName name="Z_99F5D17F_5AC0_418F_9D70_825920124F2C_.wvu.PrintTitles" localSheetId="11" hidden="1">'IWP10'!$1:$4</definedName>
    <definedName name="Z_99F5D17F_5AC0_418F_9D70_825920124F2C_.wvu.PrintTitles" localSheetId="12" hidden="1">'IWP11'!$1:$4</definedName>
    <definedName name="Z_99F5D17F_5AC0_418F_9D70_825920124F2C_.wvu.PrintTitles" localSheetId="13" hidden="1">'IWP12'!$1:$4</definedName>
    <definedName name="Z_99F5D17F_5AC0_418F_9D70_825920124F2C_.wvu.PrintTitles" localSheetId="14" hidden="1">'IWP13'!$1:$4</definedName>
    <definedName name="Z_99F5D17F_5AC0_418F_9D70_825920124F2C_.wvu.PrintTitles" localSheetId="15" hidden="1">'IWP14'!$1:$4</definedName>
    <definedName name="Z_99F5D17F_5AC0_418F_9D70_825920124F2C_.wvu.PrintTitles" localSheetId="16" hidden="1">'IWP15'!$1:$4</definedName>
    <definedName name="Z_99F5D17F_5AC0_418F_9D70_825920124F2C_.wvu.PrintTitles" localSheetId="17" hidden="1">'IWP16'!$1:$4</definedName>
    <definedName name="Z_99F5D17F_5AC0_418F_9D70_825920124F2C_.wvu.PrintTitles" localSheetId="18" hidden="1">'IWP17'!$1:$4</definedName>
    <definedName name="Z_99F5D17F_5AC0_418F_9D70_825920124F2C_.wvu.PrintTitles" localSheetId="19" hidden="1">'IWP18'!$1:$4</definedName>
    <definedName name="Z_99F5D17F_5AC0_418F_9D70_825920124F2C_.wvu.PrintTitles" localSheetId="20" hidden="1">'IWP19'!$1:$4</definedName>
    <definedName name="Z_99F5D17F_5AC0_418F_9D70_825920124F2C_.wvu.PrintTitles" localSheetId="21" hidden="1">'IWP20'!$1:$4</definedName>
    <definedName name="Z_99F5D17F_5AC0_418F_9D70_825920124F2C_.wvu.PrintTitles" localSheetId="22" hidden="1">'IWP21'!$1:$4</definedName>
    <definedName name="Z_99F5D17F_5AC0_418F_9D70_825920124F2C_.wvu.PrintTitles" localSheetId="23" hidden="1">'IWP22'!$1:$4</definedName>
    <definedName name="Z_99F5D17F_5AC0_418F_9D70_825920124F2C_.wvu.PrintTitles" localSheetId="24" hidden="1">'IWP23'!$1:$4</definedName>
    <definedName name="Z_99F5D17F_5AC0_418F_9D70_825920124F2C_.wvu.PrintTitles" localSheetId="25" hidden="1">'IWP24'!$1:$4</definedName>
    <definedName name="Z_99F5D17F_5AC0_418F_9D70_825920124F2C_.wvu.PrintTitles" localSheetId="26" hidden="1">'IWP25'!$1:$4</definedName>
    <definedName name="Z_99F5D17F_5AC0_418F_9D70_825920124F2C_.wvu.PrintTitles" localSheetId="27" hidden="1">'IWP26'!$1:$4</definedName>
    <definedName name="Z_99F5D17F_5AC0_418F_9D70_825920124F2C_.wvu.PrintTitles" localSheetId="28" hidden="1">'IWP27'!$1:$4</definedName>
    <definedName name="Z_99F5D17F_5AC0_418F_9D70_825920124F2C_.wvu.PrintTitles" localSheetId="29" hidden="1">'IWP28'!$1:$4</definedName>
    <definedName name="Z_99F5D17F_5AC0_418F_9D70_825920124F2C_.wvu.PrintTitles" localSheetId="30" hidden="1">'IWP29'!$1:$4</definedName>
    <definedName name="Z_99F5D17F_5AC0_418F_9D70_825920124F2C_.wvu.PrintTitles" localSheetId="31" hidden="1">'IWP30'!$1:$4</definedName>
    <definedName name="Z_99F5D17F_5AC0_418F_9D70_825920124F2C_.wvu.PrintTitles" localSheetId="0" hidden="1">'Monitoring Workbook'!$1:$19</definedName>
    <definedName name="Z_99F5D17F_5AC0_418F_9D70_825920124F2C_.wvu.Rows" localSheetId="2" hidden="1">'IWP01'!$192:$192</definedName>
    <definedName name="Z_99F5D17F_5AC0_418F_9D70_825920124F2C_.wvu.Rows" localSheetId="3" hidden="1">'IWP02'!$192:$192</definedName>
    <definedName name="Z_99F5D17F_5AC0_418F_9D70_825920124F2C_.wvu.Rows" localSheetId="4" hidden="1">'IWP03'!$192:$192</definedName>
    <definedName name="Z_99F5D17F_5AC0_418F_9D70_825920124F2C_.wvu.Rows" localSheetId="5" hidden="1">'IWP04'!$192:$192</definedName>
    <definedName name="Z_99F5D17F_5AC0_418F_9D70_825920124F2C_.wvu.Rows" localSheetId="6" hidden="1">'IWP05'!$192:$192</definedName>
    <definedName name="Z_99F5D17F_5AC0_418F_9D70_825920124F2C_.wvu.Rows" localSheetId="7" hidden="1">'IWP06'!$192:$192</definedName>
    <definedName name="Z_99F5D17F_5AC0_418F_9D70_825920124F2C_.wvu.Rows" localSheetId="8" hidden="1">'IWP07'!$192:$192</definedName>
    <definedName name="Z_99F5D17F_5AC0_418F_9D70_825920124F2C_.wvu.Rows" localSheetId="9" hidden="1">'IWP08'!$192:$192</definedName>
    <definedName name="Z_99F5D17F_5AC0_418F_9D70_825920124F2C_.wvu.Rows" localSheetId="10" hidden="1">'IWP09'!$192:$192</definedName>
    <definedName name="Z_99F5D17F_5AC0_418F_9D70_825920124F2C_.wvu.Rows" localSheetId="11" hidden="1">'IWP10'!$192:$192</definedName>
    <definedName name="Z_99F5D17F_5AC0_418F_9D70_825920124F2C_.wvu.Rows" localSheetId="12" hidden="1">'IWP11'!$192:$192</definedName>
    <definedName name="Z_99F5D17F_5AC0_418F_9D70_825920124F2C_.wvu.Rows" localSheetId="13" hidden="1">'IWP12'!$192:$192</definedName>
    <definedName name="Z_99F5D17F_5AC0_418F_9D70_825920124F2C_.wvu.Rows" localSheetId="14" hidden="1">'IWP13'!$192:$192</definedName>
    <definedName name="Z_99F5D17F_5AC0_418F_9D70_825920124F2C_.wvu.Rows" localSheetId="15" hidden="1">'IWP14'!$192:$192</definedName>
    <definedName name="Z_99F5D17F_5AC0_418F_9D70_825920124F2C_.wvu.Rows" localSheetId="16" hidden="1">'IWP15'!$192:$192</definedName>
    <definedName name="Z_99F5D17F_5AC0_418F_9D70_825920124F2C_.wvu.Rows" localSheetId="17" hidden="1">'IWP16'!$192:$192</definedName>
    <definedName name="Z_99F5D17F_5AC0_418F_9D70_825920124F2C_.wvu.Rows" localSheetId="18" hidden="1">'IWP17'!$192:$192</definedName>
    <definedName name="Z_99F5D17F_5AC0_418F_9D70_825920124F2C_.wvu.Rows" localSheetId="19" hidden="1">'IWP18'!$192:$192</definedName>
    <definedName name="Z_99F5D17F_5AC0_418F_9D70_825920124F2C_.wvu.Rows" localSheetId="20" hidden="1">'IWP19'!$192:$192</definedName>
    <definedName name="Z_99F5D17F_5AC0_418F_9D70_825920124F2C_.wvu.Rows" localSheetId="21" hidden="1">'IWP20'!$192:$192</definedName>
    <definedName name="Z_99F5D17F_5AC0_418F_9D70_825920124F2C_.wvu.Rows" localSheetId="22" hidden="1">'IWP21'!$192:$192</definedName>
    <definedName name="Z_99F5D17F_5AC0_418F_9D70_825920124F2C_.wvu.Rows" localSheetId="23" hidden="1">'IWP22'!$192:$192</definedName>
    <definedName name="Z_99F5D17F_5AC0_418F_9D70_825920124F2C_.wvu.Rows" localSheetId="24" hidden="1">'IWP23'!$192:$192</definedName>
    <definedName name="Z_99F5D17F_5AC0_418F_9D70_825920124F2C_.wvu.Rows" localSheetId="25" hidden="1">'IWP24'!$192:$192</definedName>
    <definedName name="Z_99F5D17F_5AC0_418F_9D70_825920124F2C_.wvu.Rows" localSheetId="26" hidden="1">'IWP25'!$192:$192</definedName>
    <definedName name="Z_99F5D17F_5AC0_418F_9D70_825920124F2C_.wvu.Rows" localSheetId="27" hidden="1">'IWP26'!$192:$192</definedName>
    <definedName name="Z_99F5D17F_5AC0_418F_9D70_825920124F2C_.wvu.Rows" localSheetId="28" hidden="1">'IWP27'!$192:$192</definedName>
    <definedName name="Z_99F5D17F_5AC0_418F_9D70_825920124F2C_.wvu.Rows" localSheetId="29" hidden="1">'IWP28'!$192:$192</definedName>
    <definedName name="Z_99F5D17F_5AC0_418F_9D70_825920124F2C_.wvu.Rows" localSheetId="30" hidden="1">'IWP29'!$192:$192</definedName>
    <definedName name="Z_99F5D17F_5AC0_418F_9D70_825920124F2C_.wvu.Rows" localSheetId="31" hidden="1">'IWP30'!$192:$192</definedName>
    <definedName name="Z_A316F603_36BB_45F0_8A3D_94F56F16B8BC_.wvu.Cols" localSheetId="2" hidden="1">'IWP01'!$S:$AD</definedName>
    <definedName name="Z_A316F603_36BB_45F0_8A3D_94F56F16B8BC_.wvu.Cols" localSheetId="3" hidden="1">'IWP02'!$S:$AD</definedName>
    <definedName name="Z_A316F603_36BB_45F0_8A3D_94F56F16B8BC_.wvu.Cols" localSheetId="4" hidden="1">'IWP03'!$S:$AD</definedName>
    <definedName name="Z_A316F603_36BB_45F0_8A3D_94F56F16B8BC_.wvu.Cols" localSheetId="5" hidden="1">'IWP04'!$S:$AD</definedName>
    <definedName name="Z_A316F603_36BB_45F0_8A3D_94F56F16B8BC_.wvu.Cols" localSheetId="6" hidden="1">'IWP05'!$S:$AD</definedName>
    <definedName name="Z_A316F603_36BB_45F0_8A3D_94F56F16B8BC_.wvu.Cols" localSheetId="7" hidden="1">'IWP06'!$S:$AD</definedName>
    <definedName name="Z_A316F603_36BB_45F0_8A3D_94F56F16B8BC_.wvu.Cols" localSheetId="8" hidden="1">'IWP07'!$S:$AD</definedName>
    <definedName name="Z_A316F603_36BB_45F0_8A3D_94F56F16B8BC_.wvu.Cols" localSheetId="9" hidden="1">'IWP08'!$S:$AD</definedName>
    <definedName name="Z_A316F603_36BB_45F0_8A3D_94F56F16B8BC_.wvu.Cols" localSheetId="10" hidden="1">'IWP09'!$S:$AD</definedName>
    <definedName name="Z_A316F603_36BB_45F0_8A3D_94F56F16B8BC_.wvu.Cols" localSheetId="11" hidden="1">'IWP10'!$S:$AD</definedName>
    <definedName name="Z_A316F603_36BB_45F0_8A3D_94F56F16B8BC_.wvu.Cols" localSheetId="12" hidden="1">'IWP11'!$S:$AD</definedName>
    <definedName name="Z_A316F603_36BB_45F0_8A3D_94F56F16B8BC_.wvu.Cols" localSheetId="13" hidden="1">'IWP12'!$S:$AD</definedName>
    <definedName name="Z_A316F603_36BB_45F0_8A3D_94F56F16B8BC_.wvu.Cols" localSheetId="14" hidden="1">'IWP13'!$S:$AD</definedName>
    <definedName name="Z_A316F603_36BB_45F0_8A3D_94F56F16B8BC_.wvu.Cols" localSheetId="15" hidden="1">'IWP14'!$S:$AD</definedName>
    <definedName name="Z_A316F603_36BB_45F0_8A3D_94F56F16B8BC_.wvu.Cols" localSheetId="16" hidden="1">'IWP15'!$S:$AD</definedName>
    <definedName name="Z_A316F603_36BB_45F0_8A3D_94F56F16B8BC_.wvu.Cols" localSheetId="17" hidden="1">'IWP16'!$S:$AD</definedName>
    <definedName name="Z_A316F603_36BB_45F0_8A3D_94F56F16B8BC_.wvu.Cols" localSheetId="18" hidden="1">'IWP17'!$S:$AD</definedName>
    <definedName name="Z_A316F603_36BB_45F0_8A3D_94F56F16B8BC_.wvu.Cols" localSheetId="19" hidden="1">'IWP18'!$S:$AD</definedName>
    <definedName name="Z_A316F603_36BB_45F0_8A3D_94F56F16B8BC_.wvu.Cols" localSheetId="20" hidden="1">'IWP19'!$S:$AD</definedName>
    <definedName name="Z_A316F603_36BB_45F0_8A3D_94F56F16B8BC_.wvu.Cols" localSheetId="21" hidden="1">'IWP20'!$S:$AD</definedName>
    <definedName name="Z_A316F603_36BB_45F0_8A3D_94F56F16B8BC_.wvu.Cols" localSheetId="22" hidden="1">'IWP21'!$S:$AD</definedName>
    <definedName name="Z_A316F603_36BB_45F0_8A3D_94F56F16B8BC_.wvu.Cols" localSheetId="23" hidden="1">'IWP22'!$S:$AD</definedName>
    <definedName name="Z_A316F603_36BB_45F0_8A3D_94F56F16B8BC_.wvu.Cols" localSheetId="24" hidden="1">'IWP23'!$S:$AD</definedName>
    <definedName name="Z_A316F603_36BB_45F0_8A3D_94F56F16B8BC_.wvu.Cols" localSheetId="25" hidden="1">'IWP24'!$S:$AD</definedName>
    <definedName name="Z_A316F603_36BB_45F0_8A3D_94F56F16B8BC_.wvu.Cols" localSheetId="26" hidden="1">'IWP25'!$S:$AD</definedName>
    <definedName name="Z_A316F603_36BB_45F0_8A3D_94F56F16B8BC_.wvu.Cols" localSheetId="27" hidden="1">'IWP26'!$S:$AD</definedName>
    <definedName name="Z_A316F603_36BB_45F0_8A3D_94F56F16B8BC_.wvu.Cols" localSheetId="28" hidden="1">'IWP27'!$S:$AD</definedName>
    <definedName name="Z_A316F603_36BB_45F0_8A3D_94F56F16B8BC_.wvu.Cols" localSheetId="29" hidden="1">'IWP28'!$S:$AD</definedName>
    <definedName name="Z_A316F603_36BB_45F0_8A3D_94F56F16B8BC_.wvu.Cols" localSheetId="30" hidden="1">'IWP29'!$S:$AD</definedName>
    <definedName name="Z_A316F603_36BB_45F0_8A3D_94F56F16B8BC_.wvu.Cols" localSheetId="31" hidden="1">'IWP30'!$S:$AD</definedName>
    <definedName name="Z_A316F603_36BB_45F0_8A3D_94F56F16B8BC_.wvu.PrintArea" localSheetId="34" hidden="1">'Amt Due Emp Employer (PRINT)'!$A$1:$M$43</definedName>
    <definedName name="Z_A316F603_36BB_45F0_8A3D_94F56F16B8BC_.wvu.PrintArea" localSheetId="32" hidden="1">'Compliance Summary (PRINT)'!$A$1:$J$46</definedName>
    <definedName name="Z_A316F603_36BB_45F0_8A3D_94F56F16B8BC_.wvu.PrintArea" localSheetId="2" hidden="1">'IWP01'!$A$1:$R$630</definedName>
    <definedName name="Z_A316F603_36BB_45F0_8A3D_94F56F16B8BC_.wvu.PrintArea" localSheetId="3" hidden="1">'IWP02'!$A$1:$R$630</definedName>
    <definedName name="Z_A316F603_36BB_45F0_8A3D_94F56F16B8BC_.wvu.PrintArea" localSheetId="4" hidden="1">'IWP03'!$A$1:$R$630</definedName>
    <definedName name="Z_A316F603_36BB_45F0_8A3D_94F56F16B8BC_.wvu.PrintArea" localSheetId="5" hidden="1">'IWP04'!$A$1:$R$630</definedName>
    <definedName name="Z_A316F603_36BB_45F0_8A3D_94F56F16B8BC_.wvu.PrintArea" localSheetId="6" hidden="1">'IWP05'!$A$1:$R$630</definedName>
    <definedName name="Z_A316F603_36BB_45F0_8A3D_94F56F16B8BC_.wvu.PrintArea" localSheetId="7" hidden="1">'IWP06'!$A$1:$R$630</definedName>
    <definedName name="Z_A316F603_36BB_45F0_8A3D_94F56F16B8BC_.wvu.PrintArea" localSheetId="8" hidden="1">'IWP07'!$A$1:$R$630</definedName>
    <definedName name="Z_A316F603_36BB_45F0_8A3D_94F56F16B8BC_.wvu.PrintArea" localSheetId="9" hidden="1">'IWP08'!$A$1:$R$630</definedName>
    <definedName name="Z_A316F603_36BB_45F0_8A3D_94F56F16B8BC_.wvu.PrintArea" localSheetId="10" hidden="1">'IWP09'!$A$1:$R$630</definedName>
    <definedName name="Z_A316F603_36BB_45F0_8A3D_94F56F16B8BC_.wvu.PrintArea" localSheetId="11" hidden="1">'IWP10'!$A$1:$R$630</definedName>
    <definedName name="Z_A316F603_36BB_45F0_8A3D_94F56F16B8BC_.wvu.PrintArea" localSheetId="12" hidden="1">'IWP11'!$A$1:$R$630</definedName>
    <definedName name="Z_A316F603_36BB_45F0_8A3D_94F56F16B8BC_.wvu.PrintArea" localSheetId="13" hidden="1">'IWP12'!$A$1:$R$630</definedName>
    <definedName name="Z_A316F603_36BB_45F0_8A3D_94F56F16B8BC_.wvu.PrintArea" localSheetId="14" hidden="1">'IWP13'!$A$1:$R$630</definedName>
    <definedName name="Z_A316F603_36BB_45F0_8A3D_94F56F16B8BC_.wvu.PrintArea" localSheetId="15" hidden="1">'IWP14'!$A$1:$R$630</definedName>
    <definedName name="Z_A316F603_36BB_45F0_8A3D_94F56F16B8BC_.wvu.PrintArea" localSheetId="16" hidden="1">'IWP15'!$A$1:$R$630</definedName>
    <definedName name="Z_A316F603_36BB_45F0_8A3D_94F56F16B8BC_.wvu.PrintArea" localSheetId="17" hidden="1">'IWP16'!$A$1:$R$630</definedName>
    <definedName name="Z_A316F603_36BB_45F0_8A3D_94F56F16B8BC_.wvu.PrintArea" localSheetId="18" hidden="1">'IWP17'!$A$1:$R$630</definedName>
    <definedName name="Z_A316F603_36BB_45F0_8A3D_94F56F16B8BC_.wvu.PrintArea" localSheetId="19" hidden="1">'IWP18'!$A$1:$R$630</definedName>
    <definedName name="Z_A316F603_36BB_45F0_8A3D_94F56F16B8BC_.wvu.PrintArea" localSheetId="20" hidden="1">'IWP19'!$A$1:$R$630</definedName>
    <definedName name="Z_A316F603_36BB_45F0_8A3D_94F56F16B8BC_.wvu.PrintArea" localSheetId="21" hidden="1">'IWP20'!$A$1:$R$630</definedName>
    <definedName name="Z_A316F603_36BB_45F0_8A3D_94F56F16B8BC_.wvu.PrintArea" localSheetId="22" hidden="1">'IWP21'!$A$1:$R$630</definedName>
    <definedName name="Z_A316F603_36BB_45F0_8A3D_94F56F16B8BC_.wvu.PrintArea" localSheetId="23" hidden="1">'IWP22'!$A$1:$R$630</definedName>
    <definedName name="Z_A316F603_36BB_45F0_8A3D_94F56F16B8BC_.wvu.PrintArea" localSheetId="24" hidden="1">'IWP23'!$A$1:$R$630</definedName>
    <definedName name="Z_A316F603_36BB_45F0_8A3D_94F56F16B8BC_.wvu.PrintArea" localSheetId="25" hidden="1">'IWP24'!$A$1:$R$630</definedName>
    <definedName name="Z_A316F603_36BB_45F0_8A3D_94F56F16B8BC_.wvu.PrintArea" localSheetId="26" hidden="1">'IWP25'!$A$1:$R$630</definedName>
    <definedName name="Z_A316F603_36BB_45F0_8A3D_94F56F16B8BC_.wvu.PrintArea" localSheetId="27" hidden="1">'IWP26'!$A$1:$R$630</definedName>
    <definedName name="Z_A316F603_36BB_45F0_8A3D_94F56F16B8BC_.wvu.PrintArea" localSheetId="28" hidden="1">'IWP27'!$A$1:$R$630</definedName>
    <definedName name="Z_A316F603_36BB_45F0_8A3D_94F56F16B8BC_.wvu.PrintArea" localSheetId="29" hidden="1">'IWP28'!$A$1:$R$630</definedName>
    <definedName name="Z_A316F603_36BB_45F0_8A3D_94F56F16B8BC_.wvu.PrintArea" localSheetId="30" hidden="1">'IWP29'!$A$1:$R$630</definedName>
    <definedName name="Z_A316F603_36BB_45F0_8A3D_94F56F16B8BC_.wvu.PrintArea" localSheetId="31" hidden="1">'IWP30'!$A$1:$R$630</definedName>
    <definedName name="Z_A316F603_36BB_45F0_8A3D_94F56F16B8BC_.wvu.PrintArea" localSheetId="0" hidden="1">'Monitoring Workbook'!$A$1:$J$301</definedName>
    <definedName name="Z_A316F603_36BB_45F0_8A3D_94F56F16B8BC_.wvu.PrintArea" localSheetId="36" hidden="1">'Notes (Print)'!$A$1:$L$40</definedName>
    <definedName name="Z_A316F603_36BB_45F0_8A3D_94F56F16B8BC_.wvu.PrintTitles" localSheetId="2" hidden="1">'IWP01'!$1:$4</definedName>
    <definedName name="Z_A316F603_36BB_45F0_8A3D_94F56F16B8BC_.wvu.PrintTitles" localSheetId="3" hidden="1">'IWP02'!$1:$4</definedName>
    <definedName name="Z_A316F603_36BB_45F0_8A3D_94F56F16B8BC_.wvu.PrintTitles" localSheetId="4" hidden="1">'IWP03'!$1:$4</definedName>
    <definedName name="Z_A316F603_36BB_45F0_8A3D_94F56F16B8BC_.wvu.PrintTitles" localSheetId="5" hidden="1">'IWP04'!$1:$4</definedName>
    <definedName name="Z_A316F603_36BB_45F0_8A3D_94F56F16B8BC_.wvu.PrintTitles" localSheetId="6" hidden="1">'IWP05'!$1:$4</definedName>
    <definedName name="Z_A316F603_36BB_45F0_8A3D_94F56F16B8BC_.wvu.PrintTitles" localSheetId="7" hidden="1">'IWP06'!$1:$4</definedName>
    <definedName name="Z_A316F603_36BB_45F0_8A3D_94F56F16B8BC_.wvu.PrintTitles" localSheetId="8" hidden="1">'IWP07'!$1:$4</definedName>
    <definedName name="Z_A316F603_36BB_45F0_8A3D_94F56F16B8BC_.wvu.PrintTitles" localSheetId="9" hidden="1">'IWP08'!$1:$4</definedName>
    <definedName name="Z_A316F603_36BB_45F0_8A3D_94F56F16B8BC_.wvu.PrintTitles" localSheetId="10" hidden="1">'IWP09'!$1:$4</definedName>
    <definedName name="Z_A316F603_36BB_45F0_8A3D_94F56F16B8BC_.wvu.PrintTitles" localSheetId="11" hidden="1">'IWP10'!$1:$4</definedName>
    <definedName name="Z_A316F603_36BB_45F0_8A3D_94F56F16B8BC_.wvu.PrintTitles" localSheetId="12" hidden="1">'IWP11'!$1:$4</definedName>
    <definedName name="Z_A316F603_36BB_45F0_8A3D_94F56F16B8BC_.wvu.PrintTitles" localSheetId="13" hidden="1">'IWP12'!$1:$4</definedName>
    <definedName name="Z_A316F603_36BB_45F0_8A3D_94F56F16B8BC_.wvu.PrintTitles" localSheetId="14" hidden="1">'IWP13'!$1:$4</definedName>
    <definedName name="Z_A316F603_36BB_45F0_8A3D_94F56F16B8BC_.wvu.PrintTitles" localSheetId="15" hidden="1">'IWP14'!$1:$4</definedName>
    <definedName name="Z_A316F603_36BB_45F0_8A3D_94F56F16B8BC_.wvu.PrintTitles" localSheetId="16" hidden="1">'IWP15'!$1:$4</definedName>
    <definedName name="Z_A316F603_36BB_45F0_8A3D_94F56F16B8BC_.wvu.PrintTitles" localSheetId="17" hidden="1">'IWP16'!$1:$4</definedName>
    <definedName name="Z_A316F603_36BB_45F0_8A3D_94F56F16B8BC_.wvu.PrintTitles" localSheetId="18" hidden="1">'IWP17'!$1:$4</definedName>
    <definedName name="Z_A316F603_36BB_45F0_8A3D_94F56F16B8BC_.wvu.PrintTitles" localSheetId="19" hidden="1">'IWP18'!$1:$4</definedName>
    <definedName name="Z_A316F603_36BB_45F0_8A3D_94F56F16B8BC_.wvu.PrintTitles" localSheetId="20" hidden="1">'IWP19'!$1:$4</definedName>
    <definedName name="Z_A316F603_36BB_45F0_8A3D_94F56F16B8BC_.wvu.PrintTitles" localSheetId="21" hidden="1">'IWP20'!$1:$4</definedName>
    <definedName name="Z_A316F603_36BB_45F0_8A3D_94F56F16B8BC_.wvu.PrintTitles" localSheetId="22" hidden="1">'IWP21'!$1:$4</definedName>
    <definedName name="Z_A316F603_36BB_45F0_8A3D_94F56F16B8BC_.wvu.PrintTitles" localSheetId="23" hidden="1">'IWP22'!$1:$4</definedName>
    <definedName name="Z_A316F603_36BB_45F0_8A3D_94F56F16B8BC_.wvu.PrintTitles" localSheetId="24" hidden="1">'IWP23'!$1:$4</definedName>
    <definedName name="Z_A316F603_36BB_45F0_8A3D_94F56F16B8BC_.wvu.PrintTitles" localSheetId="25" hidden="1">'IWP24'!$1:$4</definedName>
    <definedName name="Z_A316F603_36BB_45F0_8A3D_94F56F16B8BC_.wvu.PrintTitles" localSheetId="26" hidden="1">'IWP25'!$1:$4</definedName>
    <definedName name="Z_A316F603_36BB_45F0_8A3D_94F56F16B8BC_.wvu.PrintTitles" localSheetId="27" hidden="1">'IWP26'!$1:$4</definedName>
    <definedName name="Z_A316F603_36BB_45F0_8A3D_94F56F16B8BC_.wvu.PrintTitles" localSheetId="28" hidden="1">'IWP27'!$1:$4</definedName>
    <definedName name="Z_A316F603_36BB_45F0_8A3D_94F56F16B8BC_.wvu.PrintTitles" localSheetId="29" hidden="1">'IWP28'!$1:$4</definedName>
    <definedName name="Z_A316F603_36BB_45F0_8A3D_94F56F16B8BC_.wvu.PrintTitles" localSheetId="30" hidden="1">'IWP29'!$1:$4</definedName>
    <definedName name="Z_A316F603_36BB_45F0_8A3D_94F56F16B8BC_.wvu.PrintTitles" localSheetId="31" hidden="1">'IWP30'!$1:$4</definedName>
    <definedName name="Z_A316F603_36BB_45F0_8A3D_94F56F16B8BC_.wvu.PrintTitles" localSheetId="0" hidden="1">'Monitoring Workbook'!$1:$5</definedName>
    <definedName name="Z_A316F603_36BB_45F0_8A3D_94F56F16B8BC_.wvu.Rows" localSheetId="32" hidden="1">'Compliance Summary (PRINT)'!$39:$46</definedName>
    <definedName name="Z_A316F603_36BB_45F0_8A3D_94F56F16B8BC_.wvu.Rows" localSheetId="33" hidden="1">'Demand for Payment (PRINT)'!$23:$26</definedName>
    <definedName name="Z_A316F603_36BB_45F0_8A3D_94F56F16B8BC_.wvu.Rows" localSheetId="2" hidden="1">'IWP01'!$18:$18,'IWP01'!$22:$22,'IWP01'!$42:$46,'IWP01'!$84:$87,'IWP01'!$130:$130,'IWP01'!$135:$135,'IWP01'!$137:$142,'IWP01'!$148:$155,'IWP01'!$158:$161,'IWP01'!$171:$172,'IWP01'!$192:$192,'IWP01'!$200:$202,'IWP01'!$210:$211,'IWP01'!$213:$214,'IWP01'!$216:$218,'IWP01'!$220:$220,'IWP01'!$230:$237,'IWP01'!$294:$630</definedName>
    <definedName name="Z_A316F603_36BB_45F0_8A3D_94F56F16B8BC_.wvu.Rows" localSheetId="3" hidden="1">'IWP02'!$18:$18,'IWP02'!$22:$22,'IWP02'!$42:$46,'IWP02'!$84:$87,'IWP02'!$130:$130,'IWP02'!$135:$135,'IWP02'!$137:$142,'IWP02'!$148:$155,'IWP02'!$158:$161,'IWP02'!$171:$172,'IWP02'!$192:$192,'IWP02'!$200:$202,'IWP02'!$210:$211,'IWP02'!$213:$214,'IWP02'!$216:$218,'IWP02'!$220:$220,'IWP02'!$230:$237,'IWP02'!$294:$630</definedName>
    <definedName name="Z_A316F603_36BB_45F0_8A3D_94F56F16B8BC_.wvu.Rows" localSheetId="4" hidden="1">'IWP03'!$18:$18,'IWP03'!$22:$22,'IWP03'!$42:$46,'IWP03'!$84:$87,'IWP03'!$130:$130,'IWP03'!$135:$135,'IWP03'!$137:$142,'IWP03'!$148:$155,'IWP03'!$158:$161,'IWP03'!$171:$172,'IWP03'!$192:$192,'IWP03'!$200:$202,'IWP03'!$210:$211,'IWP03'!$213:$214,'IWP03'!$216:$218,'IWP03'!$220:$220,'IWP03'!$230:$237,'IWP03'!$294:$630</definedName>
    <definedName name="Z_A316F603_36BB_45F0_8A3D_94F56F16B8BC_.wvu.Rows" localSheetId="5" hidden="1">'IWP04'!$18:$18,'IWP04'!$22:$22,'IWP04'!$42:$46,'IWP04'!$84:$87,'IWP04'!$130:$130,'IWP04'!$135:$135,'IWP04'!$137:$142,'IWP04'!$148:$155,'IWP04'!$158:$161,'IWP04'!$171:$172,'IWP04'!$192:$192,'IWP04'!$200:$202,'IWP04'!$210:$211,'IWP04'!$213:$214,'IWP04'!$216:$218,'IWP04'!$220:$220,'IWP04'!$230:$237,'IWP04'!$294:$630</definedName>
    <definedName name="Z_A316F603_36BB_45F0_8A3D_94F56F16B8BC_.wvu.Rows" localSheetId="6" hidden="1">'IWP05'!$18:$18,'IWP05'!$22:$22,'IWP05'!$42:$46,'IWP05'!$84:$87,'IWP05'!$130:$130,'IWP05'!$135:$135,'IWP05'!$137:$142,'IWP05'!$148:$155,'IWP05'!$158:$161,'IWP05'!$171:$172,'IWP05'!$192:$192,'IWP05'!$200:$202,'IWP05'!$210:$211,'IWP05'!$213:$214,'IWP05'!$216:$218,'IWP05'!$220:$220,'IWP05'!$230:$237,'IWP05'!$294:$630</definedName>
    <definedName name="Z_A316F603_36BB_45F0_8A3D_94F56F16B8BC_.wvu.Rows" localSheetId="7" hidden="1">'IWP06'!$18:$18,'IWP06'!$22:$22,'IWP06'!$42:$46,'IWP06'!$84:$87,'IWP06'!$130:$130,'IWP06'!$135:$135,'IWP06'!$137:$142,'IWP06'!$148:$155,'IWP06'!$158:$161,'IWP06'!$171:$172,'IWP06'!$192:$192,'IWP06'!$200:$202,'IWP06'!$210:$211,'IWP06'!$213:$214,'IWP06'!$216:$218,'IWP06'!$220:$220,'IWP06'!$230:$237,'IWP06'!$294:$630</definedName>
    <definedName name="Z_A316F603_36BB_45F0_8A3D_94F56F16B8BC_.wvu.Rows" localSheetId="8" hidden="1">'IWP07'!$18:$18,'IWP07'!$22:$22,'IWP07'!$42:$46,'IWP07'!$84:$87,'IWP07'!$130:$130,'IWP07'!$135:$135,'IWP07'!$137:$142,'IWP07'!$148:$155,'IWP07'!$158:$161,'IWP07'!$171:$172,'IWP07'!$192:$192,'IWP07'!$200:$202,'IWP07'!$210:$211,'IWP07'!$213:$214,'IWP07'!$216:$218,'IWP07'!$220:$220,'IWP07'!$230:$237,'IWP07'!$294:$630</definedName>
    <definedName name="Z_A316F603_36BB_45F0_8A3D_94F56F16B8BC_.wvu.Rows" localSheetId="9" hidden="1">'IWP08'!$18:$18,'IWP08'!$22:$22,'IWP08'!$42:$46,'IWP08'!$84:$87,'IWP08'!$130:$130,'IWP08'!$135:$135,'IWP08'!$137:$142,'IWP08'!$148:$155,'IWP08'!$158:$161,'IWP08'!$171:$172,'IWP08'!$192:$192,'IWP08'!$200:$202,'IWP08'!$210:$211,'IWP08'!$213:$214,'IWP08'!$216:$218,'IWP08'!$220:$220,'IWP08'!$230:$237,'IWP08'!$294:$630</definedName>
    <definedName name="Z_A316F603_36BB_45F0_8A3D_94F56F16B8BC_.wvu.Rows" localSheetId="10" hidden="1">'IWP09'!$18:$18,'IWP09'!$22:$22,'IWP09'!$42:$46,'IWP09'!$84:$87,'IWP09'!$130:$130,'IWP09'!$135:$135,'IWP09'!$137:$142,'IWP09'!$148:$155,'IWP09'!$158:$161,'IWP09'!$171:$172,'IWP09'!$192:$192,'IWP09'!$200:$202,'IWP09'!$210:$211,'IWP09'!$213:$214,'IWP09'!$216:$218,'IWP09'!$220:$220,'IWP09'!$230:$237,'IWP09'!$294:$630</definedName>
    <definedName name="Z_A316F603_36BB_45F0_8A3D_94F56F16B8BC_.wvu.Rows" localSheetId="11" hidden="1">'IWP10'!$18:$18,'IWP10'!$22:$22,'IWP10'!$42:$46,'IWP10'!$84:$87,'IWP10'!$130:$130,'IWP10'!$135:$135,'IWP10'!$137:$142,'IWP10'!$148:$155,'IWP10'!$158:$161,'IWP10'!$171:$172,'IWP10'!$192:$192,'IWP10'!$200:$202,'IWP10'!$210:$211,'IWP10'!$213:$214,'IWP10'!$216:$218,'IWP10'!$220:$220,'IWP10'!$230:$237,'IWP10'!$294:$630</definedName>
    <definedName name="Z_A316F603_36BB_45F0_8A3D_94F56F16B8BC_.wvu.Rows" localSheetId="12" hidden="1">'IWP11'!$18:$18,'IWP11'!$22:$22,'IWP11'!$42:$46,'IWP11'!$84:$87,'IWP11'!$130:$130,'IWP11'!$135:$135,'IWP11'!$137:$142,'IWP11'!$148:$155,'IWP11'!$158:$161,'IWP11'!$171:$172,'IWP11'!$192:$192,'IWP11'!$200:$202,'IWP11'!$210:$211,'IWP11'!$213:$214,'IWP11'!$216:$218,'IWP11'!$220:$220,'IWP11'!$230:$237,'IWP11'!$294:$630</definedName>
    <definedName name="Z_A316F603_36BB_45F0_8A3D_94F56F16B8BC_.wvu.Rows" localSheetId="13" hidden="1">'IWP12'!$18:$18,'IWP12'!$22:$22,'IWP12'!$42:$46,'IWP12'!$84:$87,'IWP12'!$130:$130,'IWP12'!$135:$135,'IWP12'!$137:$142,'IWP12'!$148:$155,'IWP12'!$158:$161,'IWP12'!$171:$172,'IWP12'!$192:$192,'IWP12'!$200:$202,'IWP12'!$210:$211,'IWP12'!$213:$214,'IWP12'!$216:$218,'IWP12'!$220:$220,'IWP12'!$230:$237,'IWP12'!$294:$630</definedName>
    <definedName name="Z_A316F603_36BB_45F0_8A3D_94F56F16B8BC_.wvu.Rows" localSheetId="14" hidden="1">'IWP13'!$18:$18,'IWP13'!$22:$22,'IWP13'!$42:$46,'IWP13'!$84:$87,'IWP13'!$130:$130,'IWP13'!$135:$135,'IWP13'!$137:$142,'IWP13'!$148:$155,'IWP13'!$158:$161,'IWP13'!$171:$172,'IWP13'!$192:$192,'IWP13'!$200:$202,'IWP13'!$210:$211,'IWP13'!$213:$214,'IWP13'!$216:$218,'IWP13'!$220:$220,'IWP13'!$230:$237,'IWP13'!$294:$630</definedName>
    <definedName name="Z_A316F603_36BB_45F0_8A3D_94F56F16B8BC_.wvu.Rows" localSheetId="15" hidden="1">'IWP14'!$18:$18,'IWP14'!$22:$22,'IWP14'!$42:$46,'IWP14'!$84:$87,'IWP14'!$130:$130,'IWP14'!$135:$135,'IWP14'!$137:$142,'IWP14'!$148:$155,'IWP14'!$158:$161,'IWP14'!$171:$172,'IWP14'!$192:$192,'IWP14'!$200:$202,'IWP14'!$210:$211,'IWP14'!$213:$214,'IWP14'!$216:$218,'IWP14'!$220:$220,'IWP14'!$230:$237,'IWP14'!$294:$630</definedName>
    <definedName name="Z_A316F603_36BB_45F0_8A3D_94F56F16B8BC_.wvu.Rows" localSheetId="16" hidden="1">'IWP15'!$18:$18,'IWP15'!$22:$22,'IWP15'!$42:$46,'IWP15'!$84:$87,'IWP15'!$130:$130,'IWP15'!$135:$135,'IWP15'!$137:$142,'IWP15'!$148:$155,'IWP15'!$158:$161,'IWP15'!$171:$172,'IWP15'!$192:$192,'IWP15'!$200:$202,'IWP15'!$210:$211,'IWP15'!$213:$214,'IWP15'!$216:$218,'IWP15'!$220:$220,'IWP15'!$230:$237,'IWP15'!$294:$630</definedName>
    <definedName name="Z_A316F603_36BB_45F0_8A3D_94F56F16B8BC_.wvu.Rows" localSheetId="17" hidden="1">'IWP16'!$18:$18,'IWP16'!$22:$22,'IWP16'!$42:$46,'IWP16'!$84:$87,'IWP16'!$130:$130,'IWP16'!$135:$135,'IWP16'!$137:$142,'IWP16'!$148:$155,'IWP16'!$158:$161,'IWP16'!$171:$172,'IWP16'!$192:$192,'IWP16'!$200:$202,'IWP16'!$210:$211,'IWP16'!$213:$214,'IWP16'!$216:$218,'IWP16'!$220:$220,'IWP16'!$230:$237,'IWP16'!$294:$630</definedName>
    <definedName name="Z_A316F603_36BB_45F0_8A3D_94F56F16B8BC_.wvu.Rows" localSheetId="18" hidden="1">'IWP17'!$18:$18,'IWP17'!$22:$22,'IWP17'!$42:$46,'IWP17'!$84:$87,'IWP17'!$130:$130,'IWP17'!$135:$135,'IWP17'!$137:$142,'IWP17'!$148:$155,'IWP17'!$158:$161,'IWP17'!$171:$172,'IWP17'!$192:$192,'IWP17'!$200:$202,'IWP17'!$210:$211,'IWP17'!$213:$214,'IWP17'!$216:$218,'IWP17'!$220:$220,'IWP17'!$230:$237,'IWP17'!$294:$630</definedName>
    <definedName name="Z_A316F603_36BB_45F0_8A3D_94F56F16B8BC_.wvu.Rows" localSheetId="19" hidden="1">'IWP18'!$18:$18,'IWP18'!$22:$22,'IWP18'!$42:$46,'IWP18'!$84:$87,'IWP18'!$130:$130,'IWP18'!$135:$135,'IWP18'!$137:$142,'IWP18'!$148:$155,'IWP18'!$158:$161,'IWP18'!$171:$172,'IWP18'!$192:$192,'IWP18'!$200:$202,'IWP18'!$210:$211,'IWP18'!$213:$214,'IWP18'!$216:$218,'IWP18'!$220:$220,'IWP18'!$230:$237,'IWP18'!$294:$630</definedName>
    <definedName name="Z_A316F603_36BB_45F0_8A3D_94F56F16B8BC_.wvu.Rows" localSheetId="20" hidden="1">'IWP19'!$18:$18,'IWP19'!$22:$22,'IWP19'!$42:$46,'IWP19'!$84:$87,'IWP19'!$130:$130,'IWP19'!$135:$135,'IWP19'!$137:$142,'IWP19'!$148:$155,'IWP19'!$158:$161,'IWP19'!$171:$172,'IWP19'!$192:$192,'IWP19'!$200:$202,'IWP19'!$210:$211,'IWP19'!$213:$214,'IWP19'!$216:$218,'IWP19'!$220:$220,'IWP19'!$230:$237,'IWP19'!$294:$630</definedName>
    <definedName name="Z_A316F603_36BB_45F0_8A3D_94F56F16B8BC_.wvu.Rows" localSheetId="21" hidden="1">'IWP20'!$18:$18,'IWP20'!$22:$22,'IWP20'!$42:$46,'IWP20'!$84:$87,'IWP20'!$130:$130,'IWP20'!$135:$135,'IWP20'!$137:$142,'IWP20'!$148:$155,'IWP20'!$158:$161,'IWP20'!$171:$172,'IWP20'!$192:$192,'IWP20'!$200:$202,'IWP20'!$210:$211,'IWP20'!$213:$214,'IWP20'!$216:$218,'IWP20'!$220:$220,'IWP20'!$230:$237,'IWP20'!$294:$630</definedName>
    <definedName name="Z_A316F603_36BB_45F0_8A3D_94F56F16B8BC_.wvu.Rows" localSheetId="22" hidden="1">'IWP21'!$18:$18,'IWP21'!$22:$22,'IWP21'!$42:$46,'IWP21'!$84:$87,'IWP21'!$130:$130,'IWP21'!$135:$135,'IWP21'!$137:$142,'IWP21'!$148:$155,'IWP21'!$158:$161,'IWP21'!$171:$172,'IWP21'!$192:$192,'IWP21'!$200:$202,'IWP21'!$210:$211,'IWP21'!$213:$214,'IWP21'!$216:$218,'IWP21'!$220:$220,'IWP21'!$230:$237,'IWP21'!$294:$630</definedName>
    <definedName name="Z_A316F603_36BB_45F0_8A3D_94F56F16B8BC_.wvu.Rows" localSheetId="23" hidden="1">'IWP22'!$18:$18,'IWP22'!$22:$22,'IWP22'!$42:$46,'IWP22'!$84:$87,'IWP22'!$130:$130,'IWP22'!$135:$135,'IWP22'!$137:$142,'IWP22'!$148:$155,'IWP22'!$158:$161,'IWP22'!$171:$172,'IWP22'!$192:$192,'IWP22'!$200:$202,'IWP22'!$210:$211,'IWP22'!$213:$214,'IWP22'!$216:$218,'IWP22'!$220:$220,'IWP22'!$230:$237,'IWP22'!$294:$630</definedName>
    <definedName name="Z_A316F603_36BB_45F0_8A3D_94F56F16B8BC_.wvu.Rows" localSheetId="24" hidden="1">'IWP23'!$18:$18,'IWP23'!$22:$22,'IWP23'!$42:$46,'IWP23'!$84:$87,'IWP23'!$130:$130,'IWP23'!$135:$135,'IWP23'!$137:$142,'IWP23'!$148:$155,'IWP23'!$158:$161,'IWP23'!$171:$172,'IWP23'!$192:$192,'IWP23'!$200:$202,'IWP23'!$210:$211,'IWP23'!$213:$214,'IWP23'!$216:$218,'IWP23'!$220:$220,'IWP23'!$230:$237,'IWP23'!$294:$630</definedName>
    <definedName name="Z_A316F603_36BB_45F0_8A3D_94F56F16B8BC_.wvu.Rows" localSheetId="25" hidden="1">'IWP24'!$18:$18,'IWP24'!$22:$22,'IWP24'!$42:$46,'IWP24'!$84:$87,'IWP24'!$130:$130,'IWP24'!$135:$135,'IWP24'!$137:$142,'IWP24'!$148:$155,'IWP24'!$158:$161,'IWP24'!$171:$172,'IWP24'!$192:$192,'IWP24'!$200:$202,'IWP24'!$210:$211,'IWP24'!$213:$214,'IWP24'!$216:$218,'IWP24'!$220:$220,'IWP24'!$230:$237,'IWP24'!$294:$630</definedName>
    <definedName name="Z_A316F603_36BB_45F0_8A3D_94F56F16B8BC_.wvu.Rows" localSheetId="26" hidden="1">'IWP25'!$18:$18,'IWP25'!$22:$22,'IWP25'!$42:$46,'IWP25'!$84:$87,'IWP25'!$130:$130,'IWP25'!$135:$135,'IWP25'!$137:$142,'IWP25'!$148:$155,'IWP25'!$158:$161,'IWP25'!$171:$172,'IWP25'!$192:$192,'IWP25'!$200:$202,'IWP25'!$210:$211,'IWP25'!$213:$214,'IWP25'!$216:$218,'IWP25'!$220:$220,'IWP25'!$230:$237,'IWP25'!$294:$630</definedName>
    <definedName name="Z_A316F603_36BB_45F0_8A3D_94F56F16B8BC_.wvu.Rows" localSheetId="27" hidden="1">'IWP26'!$18:$18,'IWP26'!$22:$22,'IWP26'!$42:$46,'IWP26'!$84:$87,'IWP26'!$130:$130,'IWP26'!$135:$135,'IWP26'!$137:$142,'IWP26'!$148:$155,'IWP26'!$158:$161,'IWP26'!$171:$172,'IWP26'!$192:$192,'IWP26'!$200:$202,'IWP26'!$210:$211,'IWP26'!$213:$214,'IWP26'!$216:$218,'IWP26'!$220:$220,'IWP26'!$230:$237,'IWP26'!$294:$630</definedName>
    <definedName name="Z_A316F603_36BB_45F0_8A3D_94F56F16B8BC_.wvu.Rows" localSheetId="28" hidden="1">'IWP27'!$18:$18,'IWP27'!$22:$22,'IWP27'!$42:$46,'IWP27'!$84:$87,'IWP27'!$130:$130,'IWP27'!$135:$135,'IWP27'!$137:$142,'IWP27'!$148:$155,'IWP27'!$158:$161,'IWP27'!$171:$172,'IWP27'!$192:$192,'IWP27'!$200:$202,'IWP27'!$210:$211,'IWP27'!$213:$214,'IWP27'!$216:$218,'IWP27'!$220:$220,'IWP27'!$230:$237,'IWP27'!$294:$630</definedName>
    <definedName name="Z_A316F603_36BB_45F0_8A3D_94F56F16B8BC_.wvu.Rows" localSheetId="29" hidden="1">'IWP28'!$18:$18,'IWP28'!$22:$22,'IWP28'!$42:$46,'IWP28'!$84:$87,'IWP28'!$130:$130,'IWP28'!$135:$135,'IWP28'!$137:$142,'IWP28'!$148:$155,'IWP28'!$158:$161,'IWP28'!$171:$172,'IWP28'!$192:$192,'IWP28'!$200:$202,'IWP28'!$210:$211,'IWP28'!$213:$214,'IWP28'!$216:$218,'IWP28'!$220:$220,'IWP28'!$230:$237,'IWP28'!$294:$630</definedName>
    <definedName name="Z_A316F603_36BB_45F0_8A3D_94F56F16B8BC_.wvu.Rows" localSheetId="30" hidden="1">'IWP29'!$18:$18,'IWP29'!$22:$22,'IWP29'!$42:$46,'IWP29'!$84:$87,'IWP29'!$130:$130,'IWP29'!$135:$135,'IWP29'!$137:$142,'IWP29'!$148:$155,'IWP29'!$158:$161,'IWP29'!$171:$172,'IWP29'!$192:$192,'IWP29'!$200:$202,'IWP29'!$210:$211,'IWP29'!$213:$214,'IWP29'!$216:$218,'IWP29'!$220:$220,'IWP29'!$230:$237,'IWP29'!$294:$630</definedName>
    <definedName name="Z_A316F603_36BB_45F0_8A3D_94F56F16B8BC_.wvu.Rows" localSheetId="31" hidden="1">'IWP30'!$18:$18,'IWP30'!$22:$22,'IWP30'!$42:$46,'IWP30'!$84:$87,'IWP30'!$130:$130,'IWP30'!$135:$135,'IWP30'!$137:$142,'IWP30'!$148:$155,'IWP30'!$158:$161,'IWP30'!$171:$172,'IWP30'!$192:$192,'IWP30'!$200:$202,'IWP30'!$210:$211,'IWP30'!$213:$214,'IWP30'!$216:$218,'IWP30'!$220:$220,'IWP30'!$230:$237,'IWP30'!$294:$630</definedName>
    <definedName name="Z_A316F603_36BB_45F0_8A3D_94F56F16B8BC_.wvu.Rows" localSheetId="0" hidden="1">'Monitoring Workbook'!$54:$67,'Monitoring Workbook'!$286:$301</definedName>
  </definedNames>
  <calcPr calcId="145621"/>
  <customWorkbookViews>
    <customWorkbookView name="Garcia,Tish (DADS) - Personal View" guid="{A316F603-36BB-45F0-8A3D-94F56F16B8BC}" mergeInterval="0" personalView="1" xWindow="10" yWindow="32" windowWidth="1346" windowHeight="475" tabRatio="946" activeSheetId="1"/>
    <customWorkbookView name="Alaniz-Villarreal,Leticia (DADS) - Personal View" guid="{99F5D17F-5AC0-418F-9D70-825920124F2C}" mergeInterval="0" personalView="1" maximized="1" windowWidth="1020" windowHeight="519" tabRatio="912" activeSheetId="1" showFormulaBar="0"/>
    <customWorkbookView name="Crawford,Leveta (DADS) - Personal View" guid="{341C6106-BE79-4CDE-A40C-FC24AA59D1EA}" mergeInterval="0" personalView="1" maximized="1" windowWidth="1920" windowHeight="855" tabRatio="946" activeSheetId="1"/>
  </customWorkbookViews>
</workbook>
</file>

<file path=xl/calcChain.xml><?xml version="1.0" encoding="utf-8"?>
<calcChain xmlns="http://schemas.openxmlformats.org/spreadsheetml/2006/main">
  <c r="K122" i="32" l="1"/>
  <c r="K122" i="31"/>
  <c r="K122" i="30"/>
  <c r="K122" i="29"/>
  <c r="K122" i="28"/>
  <c r="K122" i="27"/>
  <c r="K122" i="26"/>
  <c r="K122" i="25"/>
  <c r="K122" i="24"/>
  <c r="K122" i="23"/>
  <c r="K122" i="22"/>
  <c r="K122" i="21"/>
  <c r="K122" i="20"/>
  <c r="K122" i="19"/>
  <c r="K122" i="18"/>
  <c r="K122" i="17"/>
  <c r="K122" i="16"/>
  <c r="K122" i="15"/>
  <c r="K122" i="14"/>
  <c r="K122" i="13"/>
  <c r="K122" i="12"/>
  <c r="K122" i="11"/>
  <c r="K122" i="10"/>
  <c r="K122" i="9"/>
  <c r="K122" i="8"/>
  <c r="K122" i="7"/>
  <c r="K122" i="6"/>
  <c r="K122" i="5"/>
  <c r="K122" i="4"/>
  <c r="K122" i="3"/>
  <c r="K89" i="32" l="1"/>
  <c r="K89" i="31"/>
  <c r="K89" i="30"/>
  <c r="K89" i="29"/>
  <c r="K89" i="28"/>
  <c r="K89" i="27"/>
  <c r="K89" i="26"/>
  <c r="K89" i="25"/>
  <c r="K89" i="24"/>
  <c r="K89" i="23"/>
  <c r="K89" i="22"/>
  <c r="K89" i="21"/>
  <c r="K89" i="20"/>
  <c r="K89" i="19"/>
  <c r="K89" i="18"/>
  <c r="K89" i="17"/>
  <c r="K89" i="16"/>
  <c r="K89" i="15"/>
  <c r="K89" i="14"/>
  <c r="K89" i="13"/>
  <c r="K89" i="12"/>
  <c r="K89" i="11"/>
  <c r="K89" i="10"/>
  <c r="K89" i="9"/>
  <c r="K89" i="8"/>
  <c r="K89" i="7"/>
  <c r="K89" i="6"/>
  <c r="K89" i="5"/>
  <c r="K89" i="4"/>
  <c r="K90" i="32" l="1"/>
  <c r="K90" i="31"/>
  <c r="K90" i="30"/>
  <c r="K90" i="29"/>
  <c r="K90" i="28"/>
  <c r="K90" i="27"/>
  <c r="K90" i="26"/>
  <c r="K90" i="25"/>
  <c r="K90" i="24"/>
  <c r="K90" i="23"/>
  <c r="K90" i="22"/>
  <c r="K90" i="21"/>
  <c r="K90" i="20"/>
  <c r="K90" i="19"/>
  <c r="K90" i="18"/>
  <c r="K90" i="17"/>
  <c r="K90" i="16"/>
  <c r="K90" i="15"/>
  <c r="K90" i="14"/>
  <c r="K90" i="13"/>
  <c r="K90" i="12"/>
  <c r="K90" i="11"/>
  <c r="K90" i="10"/>
  <c r="K90" i="9"/>
  <c r="K90" i="8"/>
  <c r="K90" i="7"/>
  <c r="K90" i="6"/>
  <c r="K90" i="4"/>
  <c r="AD81" i="32"/>
  <c r="AD80" i="32"/>
  <c r="AD79" i="32"/>
  <c r="AD78" i="32"/>
  <c r="AD77" i="32"/>
  <c r="AD76" i="32"/>
  <c r="AD75" i="32"/>
  <c r="AD74" i="32"/>
  <c r="AD73" i="32"/>
  <c r="AD72" i="32"/>
  <c r="AD71" i="32"/>
  <c r="AD70" i="32"/>
  <c r="AD69" i="32"/>
  <c r="AD68" i="32"/>
  <c r="AD67" i="32"/>
  <c r="AD66" i="32"/>
  <c r="AD65" i="32"/>
  <c r="AD64" i="32"/>
  <c r="AD63" i="32"/>
  <c r="AD62" i="32"/>
  <c r="AD81" i="31"/>
  <c r="AD80" i="31"/>
  <c r="AD79" i="31"/>
  <c r="AD78" i="31"/>
  <c r="AD77" i="31"/>
  <c r="AD76" i="31"/>
  <c r="AD75" i="31"/>
  <c r="AD74" i="31"/>
  <c r="AD73" i="31"/>
  <c r="AD72" i="31"/>
  <c r="AD71" i="31"/>
  <c r="AD70" i="31"/>
  <c r="AD69" i="31"/>
  <c r="AD68" i="31"/>
  <c r="AD67" i="31"/>
  <c r="AD66" i="31"/>
  <c r="AD65" i="31"/>
  <c r="AD64" i="31"/>
  <c r="AD63" i="31"/>
  <c r="AD62" i="31"/>
  <c r="AD81" i="30"/>
  <c r="AD80" i="30"/>
  <c r="AD79" i="30"/>
  <c r="AD78" i="30"/>
  <c r="AD77" i="30"/>
  <c r="AD76" i="30"/>
  <c r="AD75" i="30"/>
  <c r="AD74" i="30"/>
  <c r="AD73" i="30"/>
  <c r="AD72" i="30"/>
  <c r="AD71" i="30"/>
  <c r="AD70" i="30"/>
  <c r="AD69" i="30"/>
  <c r="AD68" i="30"/>
  <c r="AD67" i="30"/>
  <c r="AD66" i="30"/>
  <c r="AD65" i="30"/>
  <c r="AD64" i="30"/>
  <c r="AD63" i="30"/>
  <c r="AD62" i="30"/>
  <c r="AD81" i="29"/>
  <c r="AD80" i="29"/>
  <c r="AD79" i="29"/>
  <c r="AD78" i="29"/>
  <c r="AD77" i="29"/>
  <c r="AD76" i="29"/>
  <c r="AD75" i="29"/>
  <c r="AD74" i="29"/>
  <c r="AD73" i="29"/>
  <c r="AD72" i="29"/>
  <c r="AD71" i="29"/>
  <c r="AD70" i="29"/>
  <c r="AD69" i="29"/>
  <c r="AD68" i="29"/>
  <c r="AD67" i="29"/>
  <c r="AD66" i="29"/>
  <c r="AD65" i="29"/>
  <c r="AD64" i="29"/>
  <c r="AD63" i="29"/>
  <c r="AD62" i="29"/>
  <c r="AD81" i="28"/>
  <c r="AD80" i="28"/>
  <c r="AD79" i="28"/>
  <c r="AD78" i="28"/>
  <c r="AD77" i="28"/>
  <c r="AD76" i="28"/>
  <c r="AD75" i="28"/>
  <c r="AD74" i="28"/>
  <c r="AD73" i="28"/>
  <c r="AD72" i="28"/>
  <c r="AD71" i="28"/>
  <c r="AD70" i="28"/>
  <c r="AD69" i="28"/>
  <c r="AD68" i="28"/>
  <c r="AD67" i="28"/>
  <c r="AD66" i="28"/>
  <c r="AD65" i="28"/>
  <c r="AD64" i="28"/>
  <c r="AD63" i="28"/>
  <c r="AD62" i="28"/>
  <c r="AD81" i="27"/>
  <c r="AD80" i="27"/>
  <c r="AD79" i="27"/>
  <c r="AD78" i="27"/>
  <c r="AD77" i="27"/>
  <c r="AD76" i="27"/>
  <c r="AD75" i="27"/>
  <c r="AD74" i="27"/>
  <c r="AD73" i="27"/>
  <c r="AD72" i="27"/>
  <c r="AD71" i="27"/>
  <c r="AD70" i="27"/>
  <c r="AD69" i="27"/>
  <c r="AD68" i="27"/>
  <c r="AD67" i="27"/>
  <c r="AD66" i="27"/>
  <c r="AD65" i="27"/>
  <c r="AD64" i="27"/>
  <c r="AD63" i="27"/>
  <c r="AD62" i="27"/>
  <c r="AD81" i="26"/>
  <c r="AD80" i="26"/>
  <c r="AD79" i="26"/>
  <c r="AD78" i="26"/>
  <c r="AD77" i="26"/>
  <c r="AD76" i="26"/>
  <c r="AD75" i="26"/>
  <c r="AD74" i="26"/>
  <c r="AD73" i="26"/>
  <c r="AD72" i="26"/>
  <c r="AD71" i="26"/>
  <c r="AD70" i="26"/>
  <c r="AD69" i="26"/>
  <c r="AD68" i="26"/>
  <c r="AD67" i="26"/>
  <c r="AD66" i="26"/>
  <c r="AD65" i="26"/>
  <c r="AD64" i="26"/>
  <c r="AD63" i="26"/>
  <c r="AD62" i="26"/>
  <c r="AD81" i="25"/>
  <c r="AD80" i="25"/>
  <c r="AD79" i="25"/>
  <c r="AD78" i="25"/>
  <c r="AD77" i="25"/>
  <c r="AD76" i="25"/>
  <c r="AD75" i="25"/>
  <c r="AD74" i="25"/>
  <c r="AD73" i="25"/>
  <c r="AD72" i="25"/>
  <c r="AD71" i="25"/>
  <c r="AD70" i="25"/>
  <c r="AD69" i="25"/>
  <c r="AD68" i="25"/>
  <c r="AD67" i="25"/>
  <c r="AD66" i="25"/>
  <c r="AD65" i="25"/>
  <c r="AD64" i="25"/>
  <c r="AD63" i="25"/>
  <c r="AD62" i="25"/>
  <c r="AD81" i="24"/>
  <c r="AD80" i="24"/>
  <c r="AD79" i="24"/>
  <c r="AD78" i="24"/>
  <c r="AD77" i="24"/>
  <c r="AD76" i="24"/>
  <c r="AD75" i="24"/>
  <c r="AD74" i="24"/>
  <c r="AD73" i="24"/>
  <c r="AD72" i="24"/>
  <c r="AD71" i="24"/>
  <c r="AD70" i="24"/>
  <c r="AD69" i="24"/>
  <c r="AD68" i="24"/>
  <c r="AD67" i="24"/>
  <c r="AD66" i="24"/>
  <c r="AD65" i="24"/>
  <c r="AD64" i="24"/>
  <c r="AD63" i="24"/>
  <c r="AD62" i="24"/>
  <c r="AD81" i="23"/>
  <c r="AD80" i="23"/>
  <c r="AD79" i="23"/>
  <c r="AD78" i="23"/>
  <c r="AD77" i="23"/>
  <c r="AD76" i="23"/>
  <c r="AD75" i="23"/>
  <c r="AD74" i="23"/>
  <c r="AD73" i="23"/>
  <c r="AD72" i="23"/>
  <c r="AD71" i="23"/>
  <c r="AD70" i="23"/>
  <c r="AD69" i="23"/>
  <c r="AD68" i="23"/>
  <c r="AD67" i="23"/>
  <c r="AD66" i="23"/>
  <c r="AD65" i="23"/>
  <c r="AD64" i="23"/>
  <c r="AD63" i="23"/>
  <c r="AD62" i="23"/>
  <c r="AD81" i="22"/>
  <c r="AD80" i="22"/>
  <c r="AD79" i="22"/>
  <c r="AD78" i="22"/>
  <c r="AD77" i="22"/>
  <c r="AD76" i="22"/>
  <c r="AD75" i="22"/>
  <c r="AD74" i="22"/>
  <c r="AD73" i="22"/>
  <c r="AD72" i="22"/>
  <c r="AD71" i="22"/>
  <c r="AD70" i="22"/>
  <c r="AD69" i="22"/>
  <c r="AD68" i="22"/>
  <c r="AD67" i="22"/>
  <c r="AD66" i="22"/>
  <c r="AD65" i="22"/>
  <c r="AD64" i="22"/>
  <c r="AD63" i="22"/>
  <c r="AD62" i="22"/>
  <c r="AD81" i="21"/>
  <c r="AD80" i="21"/>
  <c r="AD79" i="21"/>
  <c r="AD78" i="21"/>
  <c r="AD77" i="21"/>
  <c r="AD76" i="21"/>
  <c r="AD75" i="21"/>
  <c r="AD74" i="21"/>
  <c r="AD73" i="21"/>
  <c r="AD72" i="21"/>
  <c r="AD71" i="21"/>
  <c r="AD70" i="21"/>
  <c r="AD69" i="21"/>
  <c r="AD68" i="21"/>
  <c r="AD67" i="21"/>
  <c r="AD66" i="21"/>
  <c r="AD65" i="21"/>
  <c r="AD64" i="21"/>
  <c r="AD63" i="21"/>
  <c r="AD62" i="21"/>
  <c r="AD81" i="20"/>
  <c r="AD80" i="20"/>
  <c r="AD79" i="20"/>
  <c r="AD78" i="20"/>
  <c r="AD77" i="20"/>
  <c r="AD76" i="20"/>
  <c r="AD75" i="20"/>
  <c r="AD74" i="20"/>
  <c r="AD73" i="20"/>
  <c r="AD72" i="20"/>
  <c r="AD71" i="20"/>
  <c r="AD70" i="20"/>
  <c r="AD69" i="20"/>
  <c r="AD68" i="20"/>
  <c r="AD67" i="20"/>
  <c r="AD66" i="20"/>
  <c r="AD65" i="20"/>
  <c r="AD64" i="20"/>
  <c r="AD63" i="20"/>
  <c r="AD62" i="20"/>
  <c r="AD81" i="19"/>
  <c r="AD80" i="19"/>
  <c r="AD79" i="19"/>
  <c r="AD78" i="19"/>
  <c r="AD77" i="19"/>
  <c r="AD76" i="19"/>
  <c r="AD75" i="19"/>
  <c r="AD74" i="19"/>
  <c r="AD73" i="19"/>
  <c r="AD72" i="19"/>
  <c r="AD71" i="19"/>
  <c r="AD70" i="19"/>
  <c r="AD69" i="19"/>
  <c r="AD68" i="19"/>
  <c r="AD67" i="19"/>
  <c r="AD66" i="19"/>
  <c r="AD65" i="19"/>
  <c r="AD64" i="19"/>
  <c r="AD63" i="19"/>
  <c r="AD62" i="19"/>
  <c r="AD81" i="18"/>
  <c r="AD80" i="18"/>
  <c r="AD79" i="18"/>
  <c r="AD78" i="18"/>
  <c r="AD77" i="18"/>
  <c r="AD76" i="18"/>
  <c r="AD75" i="18"/>
  <c r="AD74" i="18"/>
  <c r="AD73" i="18"/>
  <c r="AD72" i="18"/>
  <c r="AD71" i="18"/>
  <c r="AD70" i="18"/>
  <c r="AD69" i="18"/>
  <c r="AD68" i="18"/>
  <c r="AD67" i="18"/>
  <c r="AD66" i="18"/>
  <c r="AD65" i="18"/>
  <c r="AD64" i="18"/>
  <c r="AD63" i="18"/>
  <c r="AD62" i="18"/>
  <c r="AD81" i="17"/>
  <c r="AD80" i="17"/>
  <c r="AD79" i="17"/>
  <c r="AD78" i="17"/>
  <c r="AD77" i="17"/>
  <c r="AD76" i="17"/>
  <c r="AD75" i="17"/>
  <c r="AD74" i="17"/>
  <c r="AD73" i="17"/>
  <c r="AD72" i="17"/>
  <c r="AD71" i="17"/>
  <c r="AD70" i="17"/>
  <c r="AD69" i="17"/>
  <c r="AD68" i="17"/>
  <c r="AD67" i="17"/>
  <c r="AD66" i="17"/>
  <c r="AD65" i="17"/>
  <c r="AD64" i="17"/>
  <c r="AD63" i="17"/>
  <c r="AD62" i="17"/>
  <c r="AD81" i="16"/>
  <c r="AD80" i="16"/>
  <c r="AD79" i="16"/>
  <c r="AD78" i="16"/>
  <c r="AD77" i="16"/>
  <c r="AD76" i="16"/>
  <c r="AD75" i="16"/>
  <c r="AD74" i="16"/>
  <c r="AD73" i="16"/>
  <c r="AD72" i="16"/>
  <c r="AD71" i="16"/>
  <c r="AD70" i="16"/>
  <c r="AD69" i="16"/>
  <c r="AD68" i="16"/>
  <c r="AD67" i="16"/>
  <c r="AD66" i="16"/>
  <c r="AD65" i="16"/>
  <c r="AD64" i="16"/>
  <c r="AD63" i="16"/>
  <c r="AD62" i="16"/>
  <c r="AD81" i="15"/>
  <c r="AD80" i="15"/>
  <c r="AD79" i="15"/>
  <c r="AD78" i="15"/>
  <c r="AD77" i="15"/>
  <c r="AD76" i="15"/>
  <c r="AD75" i="15"/>
  <c r="AD74" i="15"/>
  <c r="AD73" i="15"/>
  <c r="AD72" i="15"/>
  <c r="AD71" i="15"/>
  <c r="AD70" i="15"/>
  <c r="AD69" i="15"/>
  <c r="AD68" i="15"/>
  <c r="AD67" i="15"/>
  <c r="AD66" i="15"/>
  <c r="AD65" i="15"/>
  <c r="AD64" i="15"/>
  <c r="AD63" i="15"/>
  <c r="AD62" i="15"/>
  <c r="AD81" i="14"/>
  <c r="AD80" i="14"/>
  <c r="AD79" i="14"/>
  <c r="AD78" i="14"/>
  <c r="AD77" i="14"/>
  <c r="AD76" i="14"/>
  <c r="AD75" i="14"/>
  <c r="AD74" i="14"/>
  <c r="AD73" i="14"/>
  <c r="AD72" i="14"/>
  <c r="AD71" i="14"/>
  <c r="AD70" i="14"/>
  <c r="AD69" i="14"/>
  <c r="AD68" i="14"/>
  <c r="AD67" i="14"/>
  <c r="AD66" i="14"/>
  <c r="AD65" i="14"/>
  <c r="AD64" i="14"/>
  <c r="AD63" i="14"/>
  <c r="AD62" i="14"/>
  <c r="AD81" i="13"/>
  <c r="AD80" i="13"/>
  <c r="AD79" i="13"/>
  <c r="AD78" i="13"/>
  <c r="AD77" i="13"/>
  <c r="AD76" i="13"/>
  <c r="AD75" i="13"/>
  <c r="AD74" i="13"/>
  <c r="AD73" i="13"/>
  <c r="AD72" i="13"/>
  <c r="AD71" i="13"/>
  <c r="AD70" i="13"/>
  <c r="AD69" i="13"/>
  <c r="AD68" i="13"/>
  <c r="AD67" i="13"/>
  <c r="AD66" i="13"/>
  <c r="AD65" i="13"/>
  <c r="AD64" i="13"/>
  <c r="AD63" i="13"/>
  <c r="AD62" i="13"/>
  <c r="AD81" i="12"/>
  <c r="AD80" i="12"/>
  <c r="AD79" i="12"/>
  <c r="AD78" i="12"/>
  <c r="AD77" i="12"/>
  <c r="AD76" i="12"/>
  <c r="AD75" i="12"/>
  <c r="AD74" i="12"/>
  <c r="AD73" i="12"/>
  <c r="AD72" i="12"/>
  <c r="AD71" i="12"/>
  <c r="AD70" i="12"/>
  <c r="AD69" i="12"/>
  <c r="AD68" i="12"/>
  <c r="AD67" i="12"/>
  <c r="AD66" i="12"/>
  <c r="AD65" i="12"/>
  <c r="AD64" i="12"/>
  <c r="AD63" i="12"/>
  <c r="AD62" i="12"/>
  <c r="AD81" i="11"/>
  <c r="AD80" i="11"/>
  <c r="AD79" i="11"/>
  <c r="AD78" i="11"/>
  <c r="AD77" i="11"/>
  <c r="AD76" i="11"/>
  <c r="AD75" i="11"/>
  <c r="AD74" i="11"/>
  <c r="AD73" i="11"/>
  <c r="AD72" i="11"/>
  <c r="AD71" i="11"/>
  <c r="AD70" i="11"/>
  <c r="AD69" i="11"/>
  <c r="AD68" i="11"/>
  <c r="AD67" i="11"/>
  <c r="AD66" i="11"/>
  <c r="AD65" i="11"/>
  <c r="AD64" i="11"/>
  <c r="AD63" i="11"/>
  <c r="AD62" i="11"/>
  <c r="AD81" i="10"/>
  <c r="AD80" i="10"/>
  <c r="AD79" i="10"/>
  <c r="AD78" i="10"/>
  <c r="AD77" i="10"/>
  <c r="AD76" i="10"/>
  <c r="AD75" i="10"/>
  <c r="AD74" i="10"/>
  <c r="AD73" i="10"/>
  <c r="AD72" i="10"/>
  <c r="AD71" i="10"/>
  <c r="AD70" i="10"/>
  <c r="AD69" i="10"/>
  <c r="AD68" i="10"/>
  <c r="AD67" i="10"/>
  <c r="AD66" i="10"/>
  <c r="AD65" i="10"/>
  <c r="AD64" i="10"/>
  <c r="AD63" i="10"/>
  <c r="AD62" i="10"/>
  <c r="AD81" i="9"/>
  <c r="AD80" i="9"/>
  <c r="AD79" i="9"/>
  <c r="AD78" i="9"/>
  <c r="AD77" i="9"/>
  <c r="AD76" i="9"/>
  <c r="AD75" i="9"/>
  <c r="AD74" i="9"/>
  <c r="AD73" i="9"/>
  <c r="AD72" i="9"/>
  <c r="AD71" i="9"/>
  <c r="AD70" i="9"/>
  <c r="AD69" i="9"/>
  <c r="AD68" i="9"/>
  <c r="AD67" i="9"/>
  <c r="AD66" i="9"/>
  <c r="AD65" i="9"/>
  <c r="AD64" i="9"/>
  <c r="AD63" i="9"/>
  <c r="AD62" i="9"/>
  <c r="AD81" i="8"/>
  <c r="AD80" i="8"/>
  <c r="AD79" i="8"/>
  <c r="AD78" i="8"/>
  <c r="AD77" i="8"/>
  <c r="AD76" i="8"/>
  <c r="AD75" i="8"/>
  <c r="AD74" i="8"/>
  <c r="AD73" i="8"/>
  <c r="AD72" i="8"/>
  <c r="AD71" i="8"/>
  <c r="AD70" i="8"/>
  <c r="AD69" i="8"/>
  <c r="AD68" i="8"/>
  <c r="AD67" i="8"/>
  <c r="AD66" i="8"/>
  <c r="AD65" i="8"/>
  <c r="AD64" i="8"/>
  <c r="AD63" i="8"/>
  <c r="AD62" i="8"/>
  <c r="AD81" i="7"/>
  <c r="AD80" i="7"/>
  <c r="AD79" i="7"/>
  <c r="AD78" i="7"/>
  <c r="AD77" i="7"/>
  <c r="AD76" i="7"/>
  <c r="AD75" i="7"/>
  <c r="AD74" i="7"/>
  <c r="AD73" i="7"/>
  <c r="AD72" i="7"/>
  <c r="AD71" i="7"/>
  <c r="AD70" i="7"/>
  <c r="AD69" i="7"/>
  <c r="AD68" i="7"/>
  <c r="AD67" i="7"/>
  <c r="AD66" i="7"/>
  <c r="AD65" i="7"/>
  <c r="AD64" i="7"/>
  <c r="AD63" i="7"/>
  <c r="AD62" i="7"/>
  <c r="AD81" i="6"/>
  <c r="AD80" i="6"/>
  <c r="AD79" i="6"/>
  <c r="AD78" i="6"/>
  <c r="AD77" i="6"/>
  <c r="AD76" i="6"/>
  <c r="AD75" i="6"/>
  <c r="AD74" i="6"/>
  <c r="AD73" i="6"/>
  <c r="AD72" i="6"/>
  <c r="AD71" i="6"/>
  <c r="AD70" i="6"/>
  <c r="AD69" i="6"/>
  <c r="AD68" i="6"/>
  <c r="AD67" i="6"/>
  <c r="AD66" i="6"/>
  <c r="AD65" i="6"/>
  <c r="AD64" i="6"/>
  <c r="AD63" i="6"/>
  <c r="AD62" i="6"/>
  <c r="AD81" i="5"/>
  <c r="AD80" i="5"/>
  <c r="AD79" i="5"/>
  <c r="AD78" i="5"/>
  <c r="AD77" i="5"/>
  <c r="AD76" i="5"/>
  <c r="AD75" i="5"/>
  <c r="AD74" i="5"/>
  <c r="AD73" i="5"/>
  <c r="AD72" i="5"/>
  <c r="AD71" i="5"/>
  <c r="AD70" i="5"/>
  <c r="AD69" i="5"/>
  <c r="AD68" i="5"/>
  <c r="AD67" i="5"/>
  <c r="AD66" i="5"/>
  <c r="AD65" i="5"/>
  <c r="AD64" i="5"/>
  <c r="AD63" i="5"/>
  <c r="AD62" i="5"/>
  <c r="K90" i="5" s="1"/>
  <c r="AD81" i="4"/>
  <c r="AD80" i="4"/>
  <c r="AD79" i="4"/>
  <c r="AD78" i="4"/>
  <c r="AD77" i="4"/>
  <c r="AD76" i="4"/>
  <c r="AD75" i="4"/>
  <c r="AD74" i="4"/>
  <c r="AD73" i="4"/>
  <c r="AD72" i="4"/>
  <c r="AD71" i="4"/>
  <c r="AD70" i="4"/>
  <c r="AD69" i="4"/>
  <c r="AD68" i="4"/>
  <c r="AD67" i="4"/>
  <c r="AD66" i="4"/>
  <c r="AD65" i="4"/>
  <c r="AD64" i="4"/>
  <c r="AD63" i="4"/>
  <c r="AD62" i="4"/>
  <c r="AD63" i="3"/>
  <c r="AD64" i="3"/>
  <c r="AD65" i="3"/>
  <c r="AD66" i="3"/>
  <c r="AD67" i="3"/>
  <c r="AD68" i="3"/>
  <c r="AD69" i="3"/>
  <c r="AD70" i="3"/>
  <c r="AD71" i="3"/>
  <c r="AD72" i="3"/>
  <c r="AD73" i="3"/>
  <c r="AD74" i="3"/>
  <c r="AD75" i="3"/>
  <c r="AD76" i="3"/>
  <c r="AD77" i="3"/>
  <c r="AD78" i="3"/>
  <c r="AD79" i="3"/>
  <c r="AD80" i="3"/>
  <c r="AD81" i="3"/>
  <c r="AD62" i="3"/>
  <c r="AA81" i="32"/>
  <c r="AA80" i="32"/>
  <c r="AA79" i="32"/>
  <c r="AA78" i="32"/>
  <c r="AA77" i="32"/>
  <c r="AA76" i="32"/>
  <c r="AA75" i="32"/>
  <c r="AA74" i="32"/>
  <c r="AA73" i="32"/>
  <c r="AA72" i="32"/>
  <c r="AA71" i="32"/>
  <c r="AA70" i="32"/>
  <c r="AA69" i="32"/>
  <c r="AA68" i="32"/>
  <c r="AA67" i="32"/>
  <c r="AA66" i="32"/>
  <c r="AA65" i="32"/>
  <c r="AA64" i="32"/>
  <c r="AA63" i="32"/>
  <c r="AA62" i="32"/>
  <c r="AA81" i="31"/>
  <c r="AA80" i="31"/>
  <c r="AA79" i="31"/>
  <c r="AA78" i="31"/>
  <c r="AA77" i="31"/>
  <c r="AA76" i="31"/>
  <c r="AA75" i="31"/>
  <c r="AA74" i="31"/>
  <c r="AA73" i="31"/>
  <c r="AA72" i="31"/>
  <c r="AA71" i="31"/>
  <c r="AA70" i="31"/>
  <c r="AA69" i="31"/>
  <c r="AA68" i="31"/>
  <c r="AA67" i="31"/>
  <c r="AA66" i="31"/>
  <c r="AA65" i="31"/>
  <c r="AA64" i="31"/>
  <c r="AA63" i="31"/>
  <c r="AA62" i="31"/>
  <c r="AA81" i="30"/>
  <c r="AA80" i="30"/>
  <c r="AA79" i="30"/>
  <c r="AA78" i="30"/>
  <c r="AA77" i="30"/>
  <c r="AA76" i="30"/>
  <c r="AA75" i="30"/>
  <c r="AA74" i="30"/>
  <c r="AA73" i="30"/>
  <c r="AA72" i="30"/>
  <c r="AA71" i="30"/>
  <c r="AA70" i="30"/>
  <c r="AA69" i="30"/>
  <c r="AA68" i="30"/>
  <c r="AA67" i="30"/>
  <c r="AA66" i="30"/>
  <c r="AA65" i="30"/>
  <c r="AA64" i="30"/>
  <c r="AA63" i="30"/>
  <c r="AA62" i="30"/>
  <c r="AA81" i="29"/>
  <c r="AA80" i="29"/>
  <c r="AA79" i="29"/>
  <c r="AA78" i="29"/>
  <c r="AA77" i="29"/>
  <c r="AA76" i="29"/>
  <c r="AA75" i="29"/>
  <c r="AA74" i="29"/>
  <c r="AA73" i="29"/>
  <c r="AA72" i="29"/>
  <c r="AA71" i="29"/>
  <c r="AA70" i="29"/>
  <c r="AA69" i="29"/>
  <c r="AA68" i="29"/>
  <c r="AA67" i="29"/>
  <c r="AA66" i="29"/>
  <c r="AA65" i="29"/>
  <c r="AA64" i="29"/>
  <c r="AA63" i="29"/>
  <c r="AA62" i="29"/>
  <c r="AA81" i="28"/>
  <c r="AA80" i="28"/>
  <c r="AA79" i="28"/>
  <c r="AA78" i="28"/>
  <c r="AA77" i="28"/>
  <c r="AA76" i="28"/>
  <c r="AA75" i="28"/>
  <c r="AA74" i="28"/>
  <c r="AA73" i="28"/>
  <c r="AA72" i="28"/>
  <c r="AA71" i="28"/>
  <c r="AA70" i="28"/>
  <c r="AA69" i="28"/>
  <c r="AA68" i="28"/>
  <c r="AA67" i="28"/>
  <c r="AA66" i="28"/>
  <c r="AA65" i="28"/>
  <c r="AA64" i="28"/>
  <c r="AA63" i="28"/>
  <c r="AA62" i="28"/>
  <c r="AA81" i="27"/>
  <c r="AA80" i="27"/>
  <c r="AA79" i="27"/>
  <c r="AA78" i="27"/>
  <c r="AA77" i="27"/>
  <c r="AA76" i="27"/>
  <c r="AA75" i="27"/>
  <c r="AA74" i="27"/>
  <c r="AA73" i="27"/>
  <c r="AA72" i="27"/>
  <c r="AA71" i="27"/>
  <c r="AA70" i="27"/>
  <c r="AA69" i="27"/>
  <c r="AA68" i="27"/>
  <c r="AA67" i="27"/>
  <c r="AA66" i="27"/>
  <c r="AA65" i="27"/>
  <c r="AA64" i="27"/>
  <c r="AA63" i="27"/>
  <c r="AA62" i="27"/>
  <c r="AA81" i="26"/>
  <c r="AA80" i="26"/>
  <c r="AA79" i="26"/>
  <c r="AA78" i="26"/>
  <c r="AA77" i="26"/>
  <c r="AA76" i="26"/>
  <c r="AA75" i="26"/>
  <c r="AA74" i="26"/>
  <c r="AA73" i="26"/>
  <c r="AA72" i="26"/>
  <c r="AA71" i="26"/>
  <c r="AA70" i="26"/>
  <c r="AA69" i="26"/>
  <c r="AA68" i="26"/>
  <c r="AA67" i="26"/>
  <c r="AA66" i="26"/>
  <c r="AA65" i="26"/>
  <c r="AA64" i="26"/>
  <c r="AA63" i="26"/>
  <c r="AA62" i="26"/>
  <c r="AA81" i="25"/>
  <c r="AA80" i="25"/>
  <c r="AA79" i="25"/>
  <c r="AA78" i="25"/>
  <c r="AA77" i="25"/>
  <c r="AA76" i="25"/>
  <c r="AA75" i="25"/>
  <c r="AA74" i="25"/>
  <c r="AA73" i="25"/>
  <c r="AA72" i="25"/>
  <c r="AA71" i="25"/>
  <c r="AA70" i="25"/>
  <c r="AA69" i="25"/>
  <c r="AA68" i="25"/>
  <c r="AA67" i="25"/>
  <c r="AA66" i="25"/>
  <c r="AA65" i="25"/>
  <c r="AA64" i="25"/>
  <c r="AA63" i="25"/>
  <c r="AA62" i="25"/>
  <c r="AA81" i="24"/>
  <c r="AA80" i="24"/>
  <c r="AA79" i="24"/>
  <c r="AA78" i="24"/>
  <c r="AA77" i="24"/>
  <c r="AA76" i="24"/>
  <c r="AA75" i="24"/>
  <c r="AA74" i="24"/>
  <c r="AA73" i="24"/>
  <c r="AA72" i="24"/>
  <c r="AA71" i="24"/>
  <c r="AA70" i="24"/>
  <c r="AA69" i="24"/>
  <c r="AA68" i="24"/>
  <c r="AA67" i="24"/>
  <c r="AA66" i="24"/>
  <c r="AA65" i="24"/>
  <c r="AA64" i="24"/>
  <c r="AA63" i="24"/>
  <c r="AA62" i="24"/>
  <c r="AA81" i="23"/>
  <c r="AA80" i="23"/>
  <c r="AA79" i="23"/>
  <c r="AA78" i="23"/>
  <c r="AA77" i="23"/>
  <c r="AA76" i="23"/>
  <c r="AA75" i="23"/>
  <c r="AA74" i="23"/>
  <c r="AA73" i="23"/>
  <c r="AA72" i="23"/>
  <c r="AA71" i="23"/>
  <c r="AA70" i="23"/>
  <c r="AA69" i="23"/>
  <c r="AA68" i="23"/>
  <c r="AA67" i="23"/>
  <c r="AA66" i="23"/>
  <c r="AA65" i="23"/>
  <c r="AA64" i="23"/>
  <c r="AA63" i="23"/>
  <c r="AA62" i="23"/>
  <c r="AA81" i="22"/>
  <c r="AA80" i="22"/>
  <c r="AA79" i="22"/>
  <c r="AA78" i="22"/>
  <c r="AA77" i="22"/>
  <c r="AA76" i="22"/>
  <c r="AA75" i="22"/>
  <c r="AA74" i="22"/>
  <c r="AA73" i="22"/>
  <c r="AA72" i="22"/>
  <c r="AA71" i="22"/>
  <c r="AA70" i="22"/>
  <c r="AA69" i="22"/>
  <c r="AA68" i="22"/>
  <c r="AA67" i="22"/>
  <c r="AA66" i="22"/>
  <c r="AA65" i="22"/>
  <c r="AA64" i="22"/>
  <c r="AA63" i="22"/>
  <c r="AA62" i="22"/>
  <c r="AA81" i="21"/>
  <c r="AA80" i="21"/>
  <c r="AA79" i="21"/>
  <c r="AA78" i="21"/>
  <c r="AA77" i="21"/>
  <c r="AA76" i="21"/>
  <c r="AA75" i="21"/>
  <c r="AA74" i="21"/>
  <c r="AA73" i="21"/>
  <c r="AA72" i="21"/>
  <c r="AA71" i="21"/>
  <c r="AA70" i="21"/>
  <c r="AA69" i="21"/>
  <c r="AA68" i="21"/>
  <c r="AA67" i="21"/>
  <c r="AA66" i="21"/>
  <c r="AA65" i="21"/>
  <c r="AA64" i="21"/>
  <c r="AA63" i="21"/>
  <c r="AA62" i="21"/>
  <c r="AA81" i="20"/>
  <c r="AA80" i="20"/>
  <c r="AA79" i="20"/>
  <c r="AA78" i="20"/>
  <c r="AA77" i="20"/>
  <c r="AA76" i="20"/>
  <c r="AA75" i="20"/>
  <c r="AA74" i="20"/>
  <c r="AA73" i="20"/>
  <c r="AA72" i="20"/>
  <c r="AA71" i="20"/>
  <c r="AA70" i="20"/>
  <c r="AA69" i="20"/>
  <c r="AA68" i="20"/>
  <c r="AA67" i="20"/>
  <c r="AA66" i="20"/>
  <c r="AA65" i="20"/>
  <c r="AA64" i="20"/>
  <c r="AA63" i="20"/>
  <c r="AA62" i="20"/>
  <c r="AA81" i="19"/>
  <c r="AA80" i="19"/>
  <c r="AA79" i="19"/>
  <c r="AA78" i="19"/>
  <c r="AA77" i="19"/>
  <c r="AA76" i="19"/>
  <c r="AA75" i="19"/>
  <c r="AA74" i="19"/>
  <c r="AA73" i="19"/>
  <c r="AA72" i="19"/>
  <c r="AA71" i="19"/>
  <c r="AA70" i="19"/>
  <c r="AA69" i="19"/>
  <c r="AA68" i="19"/>
  <c r="AA67" i="19"/>
  <c r="AA66" i="19"/>
  <c r="AA65" i="19"/>
  <c r="AA64" i="19"/>
  <c r="AA63" i="19"/>
  <c r="AA62" i="19"/>
  <c r="AA81" i="18"/>
  <c r="AA80" i="18"/>
  <c r="AA79" i="18"/>
  <c r="AA78" i="18"/>
  <c r="AA77" i="18"/>
  <c r="AA76" i="18"/>
  <c r="AA75" i="18"/>
  <c r="AA74" i="18"/>
  <c r="AA73" i="18"/>
  <c r="AA72" i="18"/>
  <c r="AA71" i="18"/>
  <c r="AA70" i="18"/>
  <c r="AA69" i="18"/>
  <c r="AA68" i="18"/>
  <c r="AA67" i="18"/>
  <c r="AA66" i="18"/>
  <c r="AA65" i="18"/>
  <c r="AA64" i="18"/>
  <c r="AA63" i="18"/>
  <c r="AA62" i="18"/>
  <c r="AA81" i="17"/>
  <c r="AA80" i="17"/>
  <c r="AA79" i="17"/>
  <c r="AA78" i="17"/>
  <c r="AA77" i="17"/>
  <c r="AA76" i="17"/>
  <c r="AA75" i="17"/>
  <c r="AA74" i="17"/>
  <c r="AA73" i="17"/>
  <c r="AA72" i="17"/>
  <c r="AA71" i="17"/>
  <c r="AA70" i="17"/>
  <c r="AA69" i="17"/>
  <c r="AA68" i="17"/>
  <c r="AA67" i="17"/>
  <c r="AA66" i="17"/>
  <c r="AA65" i="17"/>
  <c r="AA64" i="17"/>
  <c r="AA63" i="17"/>
  <c r="AA62" i="17"/>
  <c r="AA81" i="16"/>
  <c r="AA80" i="16"/>
  <c r="AA79" i="16"/>
  <c r="AA78" i="16"/>
  <c r="AA77" i="16"/>
  <c r="AA76" i="16"/>
  <c r="AA75" i="16"/>
  <c r="AA74" i="16"/>
  <c r="AA73" i="16"/>
  <c r="AA72" i="16"/>
  <c r="AA71" i="16"/>
  <c r="AA70" i="16"/>
  <c r="AA69" i="16"/>
  <c r="AA68" i="16"/>
  <c r="AA67" i="16"/>
  <c r="AA66" i="16"/>
  <c r="AA65" i="16"/>
  <c r="AA64" i="16"/>
  <c r="AA63" i="16"/>
  <c r="AA62" i="16"/>
  <c r="AA81" i="15"/>
  <c r="AA80" i="15"/>
  <c r="AA79" i="15"/>
  <c r="AA78" i="15"/>
  <c r="AA77" i="15"/>
  <c r="AA76" i="15"/>
  <c r="AA75" i="15"/>
  <c r="AA74" i="15"/>
  <c r="AA73" i="15"/>
  <c r="AA72" i="15"/>
  <c r="AA71" i="15"/>
  <c r="AA70" i="15"/>
  <c r="AA69" i="15"/>
  <c r="AA68" i="15"/>
  <c r="AA67" i="15"/>
  <c r="AA66" i="15"/>
  <c r="AA65" i="15"/>
  <c r="AA64" i="15"/>
  <c r="AA63" i="15"/>
  <c r="AA62" i="15"/>
  <c r="AA81" i="14"/>
  <c r="AA80" i="14"/>
  <c r="AA79" i="14"/>
  <c r="AA78" i="14"/>
  <c r="AA77" i="14"/>
  <c r="AA76" i="14"/>
  <c r="AA75" i="14"/>
  <c r="AA74" i="14"/>
  <c r="AA73" i="14"/>
  <c r="AA72" i="14"/>
  <c r="AA71" i="14"/>
  <c r="AA70" i="14"/>
  <c r="AA69" i="14"/>
  <c r="AA68" i="14"/>
  <c r="AA67" i="14"/>
  <c r="AA66" i="14"/>
  <c r="AA65" i="14"/>
  <c r="AA64" i="14"/>
  <c r="AA63" i="14"/>
  <c r="AA62" i="14"/>
  <c r="AA81" i="13"/>
  <c r="AA80" i="13"/>
  <c r="AA79" i="13"/>
  <c r="AA78" i="13"/>
  <c r="AA77" i="13"/>
  <c r="AA76" i="13"/>
  <c r="AA75" i="13"/>
  <c r="AA74" i="13"/>
  <c r="AA73" i="13"/>
  <c r="AA72" i="13"/>
  <c r="AA71" i="13"/>
  <c r="AA70" i="13"/>
  <c r="AA69" i="13"/>
  <c r="AA68" i="13"/>
  <c r="AA67" i="13"/>
  <c r="AA66" i="13"/>
  <c r="AA65" i="13"/>
  <c r="AA64" i="13"/>
  <c r="AA63" i="13"/>
  <c r="AA62" i="13"/>
  <c r="AA81" i="12"/>
  <c r="AA80" i="12"/>
  <c r="AA79" i="12"/>
  <c r="AA78" i="12"/>
  <c r="AA77" i="12"/>
  <c r="AA76" i="12"/>
  <c r="AA75" i="12"/>
  <c r="AA74" i="12"/>
  <c r="AA73" i="12"/>
  <c r="AA72" i="12"/>
  <c r="AA71" i="12"/>
  <c r="AA70" i="12"/>
  <c r="AA69" i="12"/>
  <c r="AA68" i="12"/>
  <c r="AA67" i="12"/>
  <c r="AA66" i="12"/>
  <c r="AA65" i="12"/>
  <c r="AA64" i="12"/>
  <c r="AA63" i="12"/>
  <c r="AA62" i="12"/>
  <c r="AA81" i="11"/>
  <c r="AA80" i="11"/>
  <c r="AA79" i="11"/>
  <c r="AA78" i="11"/>
  <c r="AA77" i="11"/>
  <c r="AA76" i="11"/>
  <c r="AA75" i="11"/>
  <c r="AA74" i="11"/>
  <c r="AA73" i="11"/>
  <c r="AA72" i="11"/>
  <c r="AA71" i="11"/>
  <c r="AA70" i="11"/>
  <c r="AA69" i="11"/>
  <c r="AA68" i="11"/>
  <c r="AA67" i="11"/>
  <c r="AA66" i="11"/>
  <c r="AA65" i="11"/>
  <c r="AA64" i="11"/>
  <c r="AA63" i="11"/>
  <c r="AA62" i="11"/>
  <c r="AA81" i="10"/>
  <c r="AA80" i="10"/>
  <c r="AA79" i="10"/>
  <c r="AA78" i="10"/>
  <c r="AA77" i="10"/>
  <c r="AA76" i="10"/>
  <c r="AA75" i="10"/>
  <c r="AA74" i="10"/>
  <c r="AA73" i="10"/>
  <c r="AA72" i="10"/>
  <c r="AA71" i="10"/>
  <c r="AA70" i="10"/>
  <c r="AA69" i="10"/>
  <c r="AA68" i="10"/>
  <c r="AA67" i="10"/>
  <c r="AA66" i="10"/>
  <c r="AA65" i="10"/>
  <c r="AA64" i="10"/>
  <c r="AA63" i="10"/>
  <c r="AA62" i="10"/>
  <c r="AA81" i="9"/>
  <c r="AA80" i="9"/>
  <c r="AA79" i="9"/>
  <c r="AA78" i="9"/>
  <c r="AA77" i="9"/>
  <c r="AA76" i="9"/>
  <c r="AA75" i="9"/>
  <c r="AA74" i="9"/>
  <c r="AA73" i="9"/>
  <c r="AA72" i="9"/>
  <c r="AA71" i="9"/>
  <c r="AA70" i="9"/>
  <c r="AA69" i="9"/>
  <c r="AA68" i="9"/>
  <c r="AA67" i="9"/>
  <c r="AA66" i="9"/>
  <c r="AA65" i="9"/>
  <c r="AA64" i="9"/>
  <c r="AA63" i="9"/>
  <c r="AA62" i="9"/>
  <c r="AA81" i="8"/>
  <c r="AA80" i="8"/>
  <c r="AA79" i="8"/>
  <c r="AA78" i="8"/>
  <c r="AA77" i="8"/>
  <c r="AA76" i="8"/>
  <c r="AA75" i="8"/>
  <c r="AA74" i="8"/>
  <c r="AA73" i="8"/>
  <c r="AA72" i="8"/>
  <c r="AA71" i="8"/>
  <c r="AA70" i="8"/>
  <c r="AA69" i="8"/>
  <c r="AA68" i="8"/>
  <c r="AA67" i="8"/>
  <c r="AA66" i="8"/>
  <c r="AA65" i="8"/>
  <c r="AA64" i="8"/>
  <c r="AA63" i="8"/>
  <c r="AA62" i="8"/>
  <c r="AA81" i="7"/>
  <c r="AA80" i="7"/>
  <c r="AA79" i="7"/>
  <c r="AA78" i="7"/>
  <c r="AA77" i="7"/>
  <c r="AA76" i="7"/>
  <c r="AA75" i="7"/>
  <c r="AA74" i="7"/>
  <c r="AA73" i="7"/>
  <c r="AA72" i="7"/>
  <c r="AA71" i="7"/>
  <c r="AA70" i="7"/>
  <c r="AA69" i="7"/>
  <c r="AA68" i="7"/>
  <c r="AA67" i="7"/>
  <c r="AA66" i="7"/>
  <c r="AA65" i="7"/>
  <c r="AA64" i="7"/>
  <c r="AA63" i="7"/>
  <c r="AA62" i="7"/>
  <c r="AA81" i="6"/>
  <c r="AA80" i="6"/>
  <c r="AA79" i="6"/>
  <c r="AA78" i="6"/>
  <c r="AA77" i="6"/>
  <c r="AA76" i="6"/>
  <c r="AA75" i="6"/>
  <c r="AA74" i="6"/>
  <c r="AA73" i="6"/>
  <c r="AA72" i="6"/>
  <c r="AA71" i="6"/>
  <c r="AA70" i="6"/>
  <c r="AA69" i="6"/>
  <c r="AA68" i="6"/>
  <c r="AA67" i="6"/>
  <c r="AA66" i="6"/>
  <c r="AA65" i="6"/>
  <c r="AA64" i="6"/>
  <c r="AA63" i="6"/>
  <c r="AA62" i="6"/>
  <c r="AA81" i="5"/>
  <c r="AA80" i="5"/>
  <c r="AA79" i="5"/>
  <c r="AA78" i="5"/>
  <c r="AA77" i="5"/>
  <c r="AA76" i="5"/>
  <c r="AA75" i="5"/>
  <c r="AA74" i="5"/>
  <c r="AA73" i="5"/>
  <c r="AA72" i="5"/>
  <c r="AA71" i="5"/>
  <c r="AA70" i="5"/>
  <c r="AA69" i="5"/>
  <c r="AA68" i="5"/>
  <c r="AA67" i="5"/>
  <c r="AA66" i="5"/>
  <c r="AA65" i="5"/>
  <c r="AA64" i="5"/>
  <c r="AA63" i="5"/>
  <c r="AA62" i="5"/>
  <c r="AA81" i="4"/>
  <c r="AA80" i="4"/>
  <c r="AA79" i="4"/>
  <c r="AA78" i="4"/>
  <c r="AA77" i="4"/>
  <c r="AA76" i="4"/>
  <c r="AA75" i="4"/>
  <c r="AA74" i="4"/>
  <c r="AA73" i="4"/>
  <c r="AA72" i="4"/>
  <c r="AA71" i="4"/>
  <c r="AA70" i="4"/>
  <c r="AA69" i="4"/>
  <c r="AA68" i="4"/>
  <c r="AA67" i="4"/>
  <c r="AA66" i="4"/>
  <c r="AA65" i="4"/>
  <c r="AA64" i="4"/>
  <c r="AA63" i="4"/>
  <c r="AA62" i="4"/>
  <c r="K88" i="32"/>
  <c r="AA63" i="3"/>
  <c r="AA64" i="3"/>
  <c r="AA65" i="3"/>
  <c r="AA66" i="3"/>
  <c r="AA67" i="3"/>
  <c r="AA68" i="3"/>
  <c r="AA69" i="3"/>
  <c r="AA70" i="3"/>
  <c r="AA71" i="3"/>
  <c r="AA72" i="3"/>
  <c r="AA73" i="3"/>
  <c r="AA74" i="3"/>
  <c r="AA75" i="3"/>
  <c r="AA76" i="3"/>
  <c r="AA77" i="3"/>
  <c r="AA78" i="3"/>
  <c r="AA79" i="3"/>
  <c r="AA80" i="3"/>
  <c r="AA81" i="3"/>
  <c r="AA62" i="3"/>
  <c r="K89" i="3" s="1"/>
  <c r="Z65" i="3"/>
  <c r="Z66" i="3"/>
  <c r="Z67" i="3"/>
  <c r="Z68" i="3"/>
  <c r="Z69" i="3"/>
  <c r="Z70" i="3"/>
  <c r="Z71" i="3"/>
  <c r="Z72" i="3"/>
  <c r="Z73" i="3"/>
  <c r="Z74" i="3"/>
  <c r="Z75" i="3"/>
  <c r="Z76" i="3"/>
  <c r="Z77" i="3"/>
  <c r="Z78" i="3"/>
  <c r="Z79" i="3"/>
  <c r="Z62" i="3"/>
  <c r="K88" i="31"/>
  <c r="K88" i="30"/>
  <c r="K88" i="29"/>
  <c r="K88" i="28"/>
  <c r="K88" i="27"/>
  <c r="K88" i="26"/>
  <c r="K88" i="25"/>
  <c r="K88" i="24"/>
  <c r="K88" i="23"/>
  <c r="K88" i="22"/>
  <c r="K88" i="21"/>
  <c r="K88" i="20"/>
  <c r="K88" i="19"/>
  <c r="K88" i="18"/>
  <c r="K88" i="17"/>
  <c r="K88" i="16"/>
  <c r="K88" i="15"/>
  <c r="K88" i="14"/>
  <c r="K88" i="13"/>
  <c r="K88" i="12"/>
  <c r="K88" i="11"/>
  <c r="K88" i="10"/>
  <c r="K88" i="9"/>
  <c r="K88" i="8"/>
  <c r="K88" i="7"/>
  <c r="K88" i="6"/>
  <c r="K88" i="4"/>
  <c r="AB81" i="32"/>
  <c r="AB80" i="32"/>
  <c r="AB79" i="32"/>
  <c r="AB78" i="32"/>
  <c r="AB77" i="32"/>
  <c r="AB76" i="32"/>
  <c r="AB75" i="32"/>
  <c r="AB74" i="32"/>
  <c r="AB73" i="32"/>
  <c r="AB72" i="32"/>
  <c r="AB71" i="32"/>
  <c r="AB70" i="32"/>
  <c r="AB69" i="32"/>
  <c r="AB68" i="32"/>
  <c r="AB67" i="32"/>
  <c r="AB66" i="32"/>
  <c r="AB65" i="32"/>
  <c r="AB64" i="32"/>
  <c r="AB63" i="32"/>
  <c r="AB62" i="32"/>
  <c r="AB81" i="31"/>
  <c r="AB80" i="31"/>
  <c r="AB79" i="31"/>
  <c r="AB78" i="31"/>
  <c r="AB77" i="31"/>
  <c r="AB76" i="31"/>
  <c r="AB75" i="31"/>
  <c r="AB74" i="31"/>
  <c r="AB73" i="31"/>
  <c r="AB72" i="31"/>
  <c r="AB71" i="31"/>
  <c r="AB70" i="31"/>
  <c r="AB69" i="31"/>
  <c r="AB68" i="31"/>
  <c r="AB67" i="31"/>
  <c r="AB66" i="31"/>
  <c r="AB65" i="31"/>
  <c r="AB64" i="31"/>
  <c r="AB63" i="31"/>
  <c r="AB62" i="31"/>
  <c r="AB81" i="30"/>
  <c r="AB80" i="30"/>
  <c r="AB79" i="30"/>
  <c r="AB78" i="30"/>
  <c r="AB77" i="30"/>
  <c r="AB76" i="30"/>
  <c r="AB75" i="30"/>
  <c r="AB74" i="30"/>
  <c r="AB73" i="30"/>
  <c r="AB72" i="30"/>
  <c r="AB71" i="30"/>
  <c r="AB70" i="30"/>
  <c r="AB69" i="30"/>
  <c r="AB68" i="30"/>
  <c r="AB67" i="30"/>
  <c r="AB66" i="30"/>
  <c r="AB65" i="30"/>
  <c r="AB64" i="30"/>
  <c r="AB63" i="30"/>
  <c r="AB62" i="30"/>
  <c r="AB81" i="29"/>
  <c r="AB80" i="29"/>
  <c r="AB79" i="29"/>
  <c r="AB78" i="29"/>
  <c r="AB77" i="29"/>
  <c r="AB76" i="29"/>
  <c r="AB75" i="29"/>
  <c r="AB74" i="29"/>
  <c r="AB73" i="29"/>
  <c r="AB72" i="29"/>
  <c r="AB71" i="29"/>
  <c r="AB70" i="29"/>
  <c r="AB69" i="29"/>
  <c r="AB68" i="29"/>
  <c r="AB67" i="29"/>
  <c r="AB66" i="29"/>
  <c r="AB65" i="29"/>
  <c r="AB64" i="29"/>
  <c r="AB63" i="29"/>
  <c r="AB62" i="29"/>
  <c r="AB81" i="28"/>
  <c r="AB80" i="28"/>
  <c r="AB79" i="28"/>
  <c r="AB78" i="28"/>
  <c r="AB77" i="28"/>
  <c r="AB76" i="28"/>
  <c r="AB75" i="28"/>
  <c r="AB74" i="28"/>
  <c r="AB73" i="28"/>
  <c r="AB72" i="28"/>
  <c r="AB71" i="28"/>
  <c r="AB70" i="28"/>
  <c r="AB69" i="28"/>
  <c r="AB68" i="28"/>
  <c r="AB67" i="28"/>
  <c r="AB66" i="28"/>
  <c r="AB65" i="28"/>
  <c r="AB64" i="28"/>
  <c r="AB63" i="28"/>
  <c r="AB62" i="28"/>
  <c r="AB81" i="27"/>
  <c r="AB80" i="27"/>
  <c r="AB79" i="27"/>
  <c r="AB78" i="27"/>
  <c r="AB77" i="27"/>
  <c r="AB76" i="27"/>
  <c r="AB75" i="27"/>
  <c r="AB74" i="27"/>
  <c r="AB73" i="27"/>
  <c r="AB72" i="27"/>
  <c r="AB71" i="27"/>
  <c r="AB70" i="27"/>
  <c r="AB69" i="27"/>
  <c r="AB68" i="27"/>
  <c r="AB67" i="27"/>
  <c r="AB66" i="27"/>
  <c r="AB65" i="27"/>
  <c r="AB64" i="27"/>
  <c r="AB63" i="27"/>
  <c r="AB62" i="27"/>
  <c r="AB81" i="26"/>
  <c r="AB80" i="26"/>
  <c r="AB79" i="26"/>
  <c r="AB78" i="26"/>
  <c r="AB77" i="26"/>
  <c r="AB76" i="26"/>
  <c r="AB75" i="26"/>
  <c r="AB74" i="26"/>
  <c r="AB73" i="26"/>
  <c r="AB72" i="26"/>
  <c r="AB71" i="26"/>
  <c r="AB70" i="26"/>
  <c r="AB69" i="26"/>
  <c r="AB68" i="26"/>
  <c r="AB67" i="26"/>
  <c r="AB66" i="26"/>
  <c r="AB65" i="26"/>
  <c r="AB64" i="26"/>
  <c r="AB63" i="26"/>
  <c r="AB62" i="26"/>
  <c r="AB81" i="25"/>
  <c r="AB80" i="25"/>
  <c r="AB79" i="25"/>
  <c r="AB78" i="25"/>
  <c r="AB77" i="25"/>
  <c r="AB76" i="25"/>
  <c r="AB75" i="25"/>
  <c r="AB74" i="25"/>
  <c r="AB73" i="25"/>
  <c r="AB72" i="25"/>
  <c r="AB71" i="25"/>
  <c r="AB70" i="25"/>
  <c r="AB69" i="25"/>
  <c r="AB68" i="25"/>
  <c r="AB67" i="25"/>
  <c r="AB66" i="25"/>
  <c r="AB65" i="25"/>
  <c r="AB64" i="25"/>
  <c r="AB63" i="25"/>
  <c r="AB62" i="25"/>
  <c r="AB81" i="24"/>
  <c r="AB80" i="24"/>
  <c r="AB79" i="24"/>
  <c r="AB78" i="24"/>
  <c r="AB77" i="24"/>
  <c r="AB76" i="24"/>
  <c r="AB75" i="24"/>
  <c r="AB74" i="24"/>
  <c r="AB73" i="24"/>
  <c r="AB72" i="24"/>
  <c r="AB71" i="24"/>
  <c r="AB70" i="24"/>
  <c r="AB69" i="24"/>
  <c r="AB68" i="24"/>
  <c r="AB67" i="24"/>
  <c r="AB66" i="24"/>
  <c r="AB65" i="24"/>
  <c r="AB64" i="24"/>
  <c r="AB63" i="24"/>
  <c r="AB62" i="24"/>
  <c r="AB81" i="23"/>
  <c r="AB80" i="23"/>
  <c r="AB79" i="23"/>
  <c r="AB78" i="23"/>
  <c r="AB77" i="23"/>
  <c r="AB76" i="23"/>
  <c r="AB75" i="23"/>
  <c r="AB74" i="23"/>
  <c r="AB73" i="23"/>
  <c r="AB72" i="23"/>
  <c r="AB71" i="23"/>
  <c r="AB70" i="23"/>
  <c r="AB69" i="23"/>
  <c r="AB68" i="23"/>
  <c r="AB67" i="23"/>
  <c r="AB66" i="23"/>
  <c r="AB65" i="23"/>
  <c r="AB64" i="23"/>
  <c r="AB63" i="23"/>
  <c r="AB62" i="23"/>
  <c r="AB81" i="22"/>
  <c r="AB80" i="22"/>
  <c r="AB79" i="22"/>
  <c r="AB78" i="22"/>
  <c r="AB77" i="22"/>
  <c r="AB76" i="22"/>
  <c r="AB75" i="22"/>
  <c r="AB74" i="22"/>
  <c r="AB73" i="22"/>
  <c r="AB72" i="22"/>
  <c r="AB71" i="22"/>
  <c r="AB70" i="22"/>
  <c r="AB69" i="22"/>
  <c r="AB68" i="22"/>
  <c r="AB67" i="22"/>
  <c r="AB66" i="22"/>
  <c r="AB65" i="22"/>
  <c r="AB64" i="22"/>
  <c r="AB63" i="22"/>
  <c r="AB62" i="22"/>
  <c r="AB81" i="21"/>
  <c r="AB80" i="21"/>
  <c r="AB79" i="21"/>
  <c r="AB78" i="21"/>
  <c r="AB77" i="21"/>
  <c r="AB76" i="21"/>
  <c r="AB75" i="21"/>
  <c r="AB74" i="21"/>
  <c r="AB73" i="21"/>
  <c r="AB72" i="21"/>
  <c r="AB71" i="21"/>
  <c r="AB70" i="21"/>
  <c r="AB69" i="21"/>
  <c r="AB68" i="21"/>
  <c r="AB67" i="21"/>
  <c r="AB66" i="21"/>
  <c r="AB65" i="21"/>
  <c r="AB64" i="21"/>
  <c r="AB63" i="21"/>
  <c r="AB62" i="21"/>
  <c r="AB81" i="20"/>
  <c r="AB80" i="20"/>
  <c r="AB79" i="20"/>
  <c r="AB78" i="20"/>
  <c r="AB77" i="20"/>
  <c r="AB76" i="20"/>
  <c r="AB75" i="20"/>
  <c r="AB74" i="20"/>
  <c r="AB73" i="20"/>
  <c r="AB72" i="20"/>
  <c r="AB71" i="20"/>
  <c r="AB70" i="20"/>
  <c r="AB69" i="20"/>
  <c r="AB68" i="20"/>
  <c r="AB67" i="20"/>
  <c r="AB66" i="20"/>
  <c r="AB65" i="20"/>
  <c r="AB64" i="20"/>
  <c r="AB63" i="20"/>
  <c r="AB62" i="20"/>
  <c r="AB81" i="19"/>
  <c r="AB80" i="19"/>
  <c r="AB79" i="19"/>
  <c r="AB78" i="19"/>
  <c r="AB77" i="19"/>
  <c r="AB76" i="19"/>
  <c r="AB75" i="19"/>
  <c r="AB74" i="19"/>
  <c r="AB73" i="19"/>
  <c r="AB72" i="19"/>
  <c r="AB71" i="19"/>
  <c r="AB70" i="19"/>
  <c r="AB69" i="19"/>
  <c r="AB68" i="19"/>
  <c r="AB67" i="19"/>
  <c r="AB66" i="19"/>
  <c r="AB65" i="19"/>
  <c r="AB64" i="19"/>
  <c r="AB63" i="19"/>
  <c r="AB62" i="19"/>
  <c r="AB81" i="18"/>
  <c r="AB80" i="18"/>
  <c r="AB79" i="18"/>
  <c r="AB78" i="18"/>
  <c r="AB77" i="18"/>
  <c r="AB76" i="18"/>
  <c r="AB75" i="18"/>
  <c r="AB74" i="18"/>
  <c r="AB73" i="18"/>
  <c r="AB72" i="18"/>
  <c r="AB71" i="18"/>
  <c r="AB70" i="18"/>
  <c r="AB69" i="18"/>
  <c r="AB68" i="18"/>
  <c r="AB67" i="18"/>
  <c r="AB66" i="18"/>
  <c r="AB65" i="18"/>
  <c r="AB64" i="18"/>
  <c r="AB63" i="18"/>
  <c r="AB62" i="18"/>
  <c r="AB81" i="17"/>
  <c r="AB80" i="17"/>
  <c r="AB79" i="17"/>
  <c r="AB78" i="17"/>
  <c r="AB77" i="17"/>
  <c r="AB76" i="17"/>
  <c r="AB75" i="17"/>
  <c r="AB74" i="17"/>
  <c r="AB73" i="17"/>
  <c r="AB72" i="17"/>
  <c r="AB71" i="17"/>
  <c r="AB70" i="17"/>
  <c r="AB69" i="17"/>
  <c r="AB68" i="17"/>
  <c r="AB67" i="17"/>
  <c r="AB66" i="17"/>
  <c r="AB65" i="17"/>
  <c r="AB64" i="17"/>
  <c r="AB63" i="17"/>
  <c r="AB62" i="17"/>
  <c r="AB81" i="16"/>
  <c r="AB80" i="16"/>
  <c r="AB79" i="16"/>
  <c r="AB78" i="16"/>
  <c r="AB77" i="16"/>
  <c r="AB76" i="16"/>
  <c r="AB75" i="16"/>
  <c r="AB74" i="16"/>
  <c r="AB73" i="16"/>
  <c r="AB72" i="16"/>
  <c r="AB71" i="16"/>
  <c r="AB70" i="16"/>
  <c r="AB69" i="16"/>
  <c r="AB68" i="16"/>
  <c r="AB67" i="16"/>
  <c r="AB66" i="16"/>
  <c r="AB65" i="16"/>
  <c r="AB64" i="16"/>
  <c r="AB63" i="16"/>
  <c r="AB62" i="16"/>
  <c r="AB81" i="15"/>
  <c r="AB80" i="15"/>
  <c r="AB79" i="15"/>
  <c r="AB78" i="15"/>
  <c r="AB77" i="15"/>
  <c r="AB76" i="15"/>
  <c r="AB75" i="15"/>
  <c r="AB74" i="15"/>
  <c r="AB73" i="15"/>
  <c r="AB72" i="15"/>
  <c r="AB71" i="15"/>
  <c r="AB70" i="15"/>
  <c r="AB69" i="15"/>
  <c r="AB68" i="15"/>
  <c r="AB67" i="15"/>
  <c r="AB66" i="15"/>
  <c r="AB65" i="15"/>
  <c r="AB64" i="15"/>
  <c r="AB63" i="15"/>
  <c r="AB62" i="15"/>
  <c r="AB81" i="14"/>
  <c r="AB80" i="14"/>
  <c r="AB79" i="14"/>
  <c r="AB78" i="14"/>
  <c r="AB77" i="14"/>
  <c r="AB76" i="14"/>
  <c r="AB75" i="14"/>
  <c r="AB74" i="14"/>
  <c r="AB73" i="14"/>
  <c r="AB72" i="14"/>
  <c r="AB71" i="14"/>
  <c r="AB70" i="14"/>
  <c r="AB69" i="14"/>
  <c r="AB68" i="14"/>
  <c r="AB67" i="14"/>
  <c r="AB66" i="14"/>
  <c r="AB65" i="14"/>
  <c r="AB64" i="14"/>
  <c r="AB63" i="14"/>
  <c r="AB62" i="14"/>
  <c r="AB81" i="13"/>
  <c r="AB80" i="13"/>
  <c r="AB79" i="13"/>
  <c r="AB78" i="13"/>
  <c r="AB77" i="13"/>
  <c r="AB76" i="13"/>
  <c r="AB75" i="13"/>
  <c r="AB74" i="13"/>
  <c r="AB73" i="13"/>
  <c r="AB72" i="13"/>
  <c r="AB71" i="13"/>
  <c r="AB70" i="13"/>
  <c r="AB69" i="13"/>
  <c r="AB68" i="13"/>
  <c r="AB67" i="13"/>
  <c r="AB66" i="13"/>
  <c r="AB65" i="13"/>
  <c r="AB64" i="13"/>
  <c r="AB63" i="13"/>
  <c r="AB62" i="13"/>
  <c r="AB81" i="12"/>
  <c r="AB80" i="12"/>
  <c r="AB79" i="12"/>
  <c r="AB78" i="12"/>
  <c r="AB77" i="12"/>
  <c r="AB76" i="12"/>
  <c r="AB75" i="12"/>
  <c r="AB74" i="12"/>
  <c r="AB73" i="12"/>
  <c r="AB72" i="12"/>
  <c r="AB71" i="12"/>
  <c r="AB70" i="12"/>
  <c r="AB69" i="12"/>
  <c r="AB68" i="12"/>
  <c r="AB67" i="12"/>
  <c r="AB66" i="12"/>
  <c r="AB65" i="12"/>
  <c r="AB64" i="12"/>
  <c r="AB63" i="12"/>
  <c r="AB62" i="12"/>
  <c r="AB81" i="11"/>
  <c r="AB80" i="11"/>
  <c r="AB79" i="11"/>
  <c r="AB78" i="11"/>
  <c r="AB77" i="11"/>
  <c r="AB76" i="11"/>
  <c r="AB75" i="11"/>
  <c r="AB74" i="11"/>
  <c r="AB73" i="11"/>
  <c r="AB72" i="11"/>
  <c r="AB71" i="11"/>
  <c r="AB70" i="11"/>
  <c r="AB69" i="11"/>
  <c r="AB68" i="11"/>
  <c r="AB67" i="11"/>
  <c r="AB66" i="11"/>
  <c r="AB65" i="11"/>
  <c r="AB64" i="11"/>
  <c r="AB63" i="11"/>
  <c r="AB62" i="11"/>
  <c r="AB81" i="10"/>
  <c r="AB80" i="10"/>
  <c r="AB79" i="10"/>
  <c r="AB78" i="10"/>
  <c r="AB77" i="10"/>
  <c r="AB76" i="10"/>
  <c r="AB75" i="10"/>
  <c r="AB74" i="10"/>
  <c r="AB73" i="10"/>
  <c r="AB72" i="10"/>
  <c r="AB71" i="10"/>
  <c r="AB70" i="10"/>
  <c r="AB69" i="10"/>
  <c r="AB68" i="10"/>
  <c r="AB67" i="10"/>
  <c r="AB66" i="10"/>
  <c r="AB65" i="10"/>
  <c r="AB64" i="10"/>
  <c r="AB63" i="10"/>
  <c r="AB62" i="10"/>
  <c r="AB81" i="9"/>
  <c r="AB80" i="9"/>
  <c r="AB79" i="9"/>
  <c r="AB78" i="9"/>
  <c r="AB77" i="9"/>
  <c r="AB76" i="9"/>
  <c r="AB75" i="9"/>
  <c r="AB74" i="9"/>
  <c r="AB73" i="9"/>
  <c r="AB72" i="9"/>
  <c r="AB71" i="9"/>
  <c r="AB70" i="9"/>
  <c r="AB69" i="9"/>
  <c r="AB68" i="9"/>
  <c r="AB67" i="9"/>
  <c r="AB66" i="9"/>
  <c r="AB65" i="9"/>
  <c r="AB64" i="9"/>
  <c r="AB63" i="9"/>
  <c r="AB62" i="9"/>
  <c r="AB81" i="8"/>
  <c r="AB80" i="8"/>
  <c r="AB79" i="8"/>
  <c r="AB78" i="8"/>
  <c r="AB77" i="8"/>
  <c r="AB76" i="8"/>
  <c r="AB75" i="8"/>
  <c r="AB74" i="8"/>
  <c r="AB73" i="8"/>
  <c r="AB72" i="8"/>
  <c r="AB71" i="8"/>
  <c r="AB70" i="8"/>
  <c r="AB69" i="8"/>
  <c r="AB68" i="8"/>
  <c r="AB67" i="8"/>
  <c r="AB66" i="8"/>
  <c r="AB65" i="8"/>
  <c r="AB64" i="8"/>
  <c r="AB63" i="8"/>
  <c r="AB62" i="8"/>
  <c r="AB81" i="7"/>
  <c r="AB80" i="7"/>
  <c r="AB79" i="7"/>
  <c r="AB78" i="7"/>
  <c r="AB77" i="7"/>
  <c r="AB76" i="7"/>
  <c r="AB75" i="7"/>
  <c r="AB74" i="7"/>
  <c r="AB73" i="7"/>
  <c r="AB72" i="7"/>
  <c r="AB71" i="7"/>
  <c r="AB70" i="7"/>
  <c r="AB69" i="7"/>
  <c r="AB68" i="7"/>
  <c r="AB67" i="7"/>
  <c r="AB66" i="7"/>
  <c r="AB65" i="7"/>
  <c r="AB64" i="7"/>
  <c r="AB63" i="7"/>
  <c r="AB62" i="7"/>
  <c r="AB81" i="6"/>
  <c r="AB80" i="6"/>
  <c r="AB79" i="6"/>
  <c r="AB78" i="6"/>
  <c r="AB77" i="6"/>
  <c r="AB76" i="6"/>
  <c r="AB75" i="6"/>
  <c r="AB74" i="6"/>
  <c r="AB73" i="6"/>
  <c r="AB72" i="6"/>
  <c r="AB71" i="6"/>
  <c r="AB70" i="6"/>
  <c r="AB69" i="6"/>
  <c r="AB68" i="6"/>
  <c r="AB67" i="6"/>
  <c r="AB66" i="6"/>
  <c r="AB65" i="6"/>
  <c r="AB64" i="6"/>
  <c r="AB63" i="6"/>
  <c r="AB62" i="6"/>
  <c r="AB81" i="5"/>
  <c r="AB80" i="5"/>
  <c r="AB79" i="5"/>
  <c r="AB78" i="5"/>
  <c r="AB77" i="5"/>
  <c r="AB76" i="5"/>
  <c r="AB75" i="5"/>
  <c r="AB74" i="5"/>
  <c r="AB73" i="5"/>
  <c r="AB72" i="5"/>
  <c r="AB71" i="5"/>
  <c r="AB70" i="5"/>
  <c r="AB69" i="5"/>
  <c r="AB68" i="5"/>
  <c r="AB67" i="5"/>
  <c r="AB66" i="5"/>
  <c r="AB65" i="5"/>
  <c r="AB64" i="5"/>
  <c r="AB63" i="5"/>
  <c r="AB62" i="5"/>
  <c r="K88" i="5" s="1"/>
  <c r="AB81" i="4"/>
  <c r="AB80" i="4"/>
  <c r="AB79" i="4"/>
  <c r="AB78" i="4"/>
  <c r="AB77" i="4"/>
  <c r="AB76" i="4"/>
  <c r="AB75" i="4"/>
  <c r="AB74" i="4"/>
  <c r="AB73" i="4"/>
  <c r="AB72" i="4"/>
  <c r="AB71" i="4"/>
  <c r="AB70" i="4"/>
  <c r="AB69" i="4"/>
  <c r="AB68" i="4"/>
  <c r="AB67" i="4"/>
  <c r="AB66" i="4"/>
  <c r="AB65" i="4"/>
  <c r="AB64" i="4"/>
  <c r="AB63" i="4"/>
  <c r="AB62" i="4"/>
  <c r="AB63" i="3"/>
  <c r="AB64" i="3"/>
  <c r="AB65" i="3"/>
  <c r="AB66" i="3"/>
  <c r="AB67" i="3"/>
  <c r="AB68" i="3"/>
  <c r="AB69" i="3"/>
  <c r="AB70" i="3"/>
  <c r="AB71" i="3"/>
  <c r="AB72" i="3"/>
  <c r="AB73" i="3"/>
  <c r="AB74" i="3"/>
  <c r="AB75" i="3"/>
  <c r="AB76" i="3"/>
  <c r="AB77" i="3"/>
  <c r="AB78" i="3"/>
  <c r="AB79" i="3"/>
  <c r="AB80" i="3"/>
  <c r="AB81" i="3"/>
  <c r="AB62" i="3"/>
  <c r="K88" i="3" l="1"/>
  <c r="K90" i="3"/>
  <c r="K260" i="32"/>
  <c r="K259" i="32"/>
  <c r="K260" i="31"/>
  <c r="K259" i="31"/>
  <c r="K260" i="30"/>
  <c r="K259" i="30"/>
  <c r="K260" i="29"/>
  <c r="K259" i="29"/>
  <c r="K260" i="28"/>
  <c r="K259" i="28"/>
  <c r="K260" i="27"/>
  <c r="K259" i="27"/>
  <c r="K260" i="26"/>
  <c r="K259" i="26"/>
  <c r="K260" i="25"/>
  <c r="K259" i="25"/>
  <c r="K260" i="24"/>
  <c r="K259" i="24"/>
  <c r="K260" i="23"/>
  <c r="K259" i="23"/>
  <c r="K260" i="22"/>
  <c r="K259" i="22"/>
  <c r="K260" i="21"/>
  <c r="K259" i="21"/>
  <c r="K260" i="20"/>
  <c r="K259" i="20"/>
  <c r="K260" i="19"/>
  <c r="K259" i="19"/>
  <c r="K260" i="18"/>
  <c r="K259" i="18"/>
  <c r="K260" i="17"/>
  <c r="K259" i="17"/>
  <c r="K260" i="16"/>
  <c r="K259" i="16"/>
  <c r="K260" i="15"/>
  <c r="K259" i="15"/>
  <c r="K260" i="14"/>
  <c r="K259" i="14"/>
  <c r="K260" i="13"/>
  <c r="K259" i="13"/>
  <c r="K260" i="12"/>
  <c r="K259" i="12"/>
  <c r="K260" i="11"/>
  <c r="K259" i="11"/>
  <c r="K260" i="10"/>
  <c r="K259" i="10"/>
  <c r="K260" i="9"/>
  <c r="K259" i="9"/>
  <c r="K260" i="8"/>
  <c r="K259" i="8"/>
  <c r="K260" i="7"/>
  <c r="K259" i="7"/>
  <c r="K260" i="6"/>
  <c r="K259" i="6"/>
  <c r="K260" i="5"/>
  <c r="K259" i="5"/>
  <c r="K260" i="4"/>
  <c r="K259" i="4"/>
  <c r="P258" i="32"/>
  <c r="O258" i="32"/>
  <c r="P257" i="32"/>
  <c r="O257" i="32"/>
  <c r="P256" i="32"/>
  <c r="O256" i="32"/>
  <c r="P255" i="32"/>
  <c r="O255" i="32"/>
  <c r="P254" i="32"/>
  <c r="O254" i="32"/>
  <c r="P253" i="32"/>
  <c r="O253" i="32"/>
  <c r="P252" i="32"/>
  <c r="O252" i="32"/>
  <c r="P251" i="32"/>
  <c r="O251" i="32"/>
  <c r="P250" i="32"/>
  <c r="O250" i="32"/>
  <c r="P249" i="32"/>
  <c r="O249" i="32"/>
  <c r="P248" i="32"/>
  <c r="O248" i="32"/>
  <c r="P247" i="32"/>
  <c r="O247" i="32"/>
  <c r="P246" i="32"/>
  <c r="O246" i="32"/>
  <c r="P245" i="32"/>
  <c r="O245" i="32"/>
  <c r="P244" i="32"/>
  <c r="O244" i="32"/>
  <c r="P243" i="32"/>
  <c r="O243" i="32"/>
  <c r="P242" i="32"/>
  <c r="O242" i="32"/>
  <c r="P241" i="32"/>
  <c r="O241" i="32"/>
  <c r="P240" i="32"/>
  <c r="O240" i="32"/>
  <c r="P239" i="32"/>
  <c r="O239" i="32"/>
  <c r="P258" i="31"/>
  <c r="O258" i="31"/>
  <c r="P257" i="31"/>
  <c r="O257" i="31"/>
  <c r="P256" i="31"/>
  <c r="O256" i="31"/>
  <c r="P255" i="31"/>
  <c r="O255" i="31"/>
  <c r="P254" i="31"/>
  <c r="O254" i="31"/>
  <c r="P253" i="31"/>
  <c r="O253" i="31"/>
  <c r="P252" i="31"/>
  <c r="O252" i="31"/>
  <c r="P251" i="31"/>
  <c r="O251" i="31"/>
  <c r="P250" i="31"/>
  <c r="O250" i="31"/>
  <c r="P249" i="31"/>
  <c r="O249" i="31"/>
  <c r="P248" i="31"/>
  <c r="O248" i="31"/>
  <c r="P247" i="31"/>
  <c r="O247" i="31"/>
  <c r="P246" i="31"/>
  <c r="O246" i="31"/>
  <c r="P245" i="31"/>
  <c r="O245" i="31"/>
  <c r="P244" i="31"/>
  <c r="O244" i="31"/>
  <c r="P243" i="31"/>
  <c r="O243" i="31"/>
  <c r="P242" i="31"/>
  <c r="O242" i="31"/>
  <c r="P241" i="31"/>
  <c r="O241" i="31"/>
  <c r="P240" i="31"/>
  <c r="O240" i="31"/>
  <c r="P239" i="31"/>
  <c r="O239" i="31"/>
  <c r="P258" i="30"/>
  <c r="O258" i="30"/>
  <c r="P257" i="30"/>
  <c r="O257" i="30"/>
  <c r="P256" i="30"/>
  <c r="O256" i="30"/>
  <c r="P255" i="30"/>
  <c r="O255" i="30"/>
  <c r="P254" i="30"/>
  <c r="O254" i="30"/>
  <c r="P253" i="30"/>
  <c r="O253" i="30"/>
  <c r="P252" i="30"/>
  <c r="O252" i="30"/>
  <c r="P251" i="30"/>
  <c r="O251" i="30"/>
  <c r="P250" i="30"/>
  <c r="O250" i="30"/>
  <c r="P249" i="30"/>
  <c r="O249" i="30"/>
  <c r="P248" i="30"/>
  <c r="O248" i="30"/>
  <c r="P247" i="30"/>
  <c r="O247" i="30"/>
  <c r="P246" i="30"/>
  <c r="O246" i="30"/>
  <c r="P245" i="30"/>
  <c r="O245" i="30"/>
  <c r="P244" i="30"/>
  <c r="O244" i="30"/>
  <c r="P243" i="30"/>
  <c r="O243" i="30"/>
  <c r="P242" i="30"/>
  <c r="O242" i="30"/>
  <c r="P241" i="30"/>
  <c r="O241" i="30"/>
  <c r="P240" i="30"/>
  <c r="O240" i="30"/>
  <c r="P239" i="30"/>
  <c r="O239" i="30"/>
  <c r="P258" i="29"/>
  <c r="O258" i="29"/>
  <c r="P257" i="29"/>
  <c r="O257" i="29"/>
  <c r="P256" i="29"/>
  <c r="O256" i="29"/>
  <c r="P255" i="29"/>
  <c r="O255" i="29"/>
  <c r="P254" i="29"/>
  <c r="O254" i="29"/>
  <c r="P253" i="29"/>
  <c r="O253" i="29"/>
  <c r="P252" i="29"/>
  <c r="O252" i="29"/>
  <c r="P251" i="29"/>
  <c r="O251" i="29"/>
  <c r="P250" i="29"/>
  <c r="O250" i="29"/>
  <c r="P249" i="29"/>
  <c r="O249" i="29"/>
  <c r="P248" i="29"/>
  <c r="O248" i="29"/>
  <c r="P247" i="29"/>
  <c r="O247" i="29"/>
  <c r="P246" i="29"/>
  <c r="O246" i="29"/>
  <c r="P245" i="29"/>
  <c r="O245" i="29"/>
  <c r="P244" i="29"/>
  <c r="O244" i="29"/>
  <c r="P243" i="29"/>
  <c r="O243" i="29"/>
  <c r="P242" i="29"/>
  <c r="O242" i="29"/>
  <c r="P241" i="29"/>
  <c r="O241" i="29"/>
  <c r="P240" i="29"/>
  <c r="O240" i="29"/>
  <c r="P239" i="29"/>
  <c r="O239" i="29"/>
  <c r="P258" i="28"/>
  <c r="O258" i="28"/>
  <c r="P257" i="28"/>
  <c r="O257" i="28"/>
  <c r="P256" i="28"/>
  <c r="O256" i="28"/>
  <c r="P255" i="28"/>
  <c r="O255" i="28"/>
  <c r="P254" i="28"/>
  <c r="O254" i="28"/>
  <c r="P253" i="28"/>
  <c r="O253" i="28"/>
  <c r="P252" i="28"/>
  <c r="O252" i="28"/>
  <c r="P251" i="28"/>
  <c r="O251" i="28"/>
  <c r="P250" i="28"/>
  <c r="O250" i="28"/>
  <c r="P249" i="28"/>
  <c r="O249" i="28"/>
  <c r="P248" i="28"/>
  <c r="O248" i="28"/>
  <c r="P247" i="28"/>
  <c r="O247" i="28"/>
  <c r="P246" i="28"/>
  <c r="O246" i="28"/>
  <c r="P245" i="28"/>
  <c r="O245" i="28"/>
  <c r="P244" i="28"/>
  <c r="O244" i="28"/>
  <c r="P243" i="28"/>
  <c r="O243" i="28"/>
  <c r="P242" i="28"/>
  <c r="O242" i="28"/>
  <c r="P241" i="28"/>
  <c r="O241" i="28"/>
  <c r="P240" i="28"/>
  <c r="O240" i="28"/>
  <c r="P239" i="28"/>
  <c r="O239" i="28"/>
  <c r="P258" i="27"/>
  <c r="O258" i="27"/>
  <c r="P257" i="27"/>
  <c r="O257" i="27"/>
  <c r="P256" i="27"/>
  <c r="O256" i="27"/>
  <c r="P255" i="27"/>
  <c r="O255" i="27"/>
  <c r="P254" i="27"/>
  <c r="O254" i="27"/>
  <c r="P253" i="27"/>
  <c r="O253" i="27"/>
  <c r="P252" i="27"/>
  <c r="O252" i="27"/>
  <c r="P251" i="27"/>
  <c r="O251" i="27"/>
  <c r="P250" i="27"/>
  <c r="O250" i="27"/>
  <c r="P249" i="27"/>
  <c r="O249" i="27"/>
  <c r="P248" i="27"/>
  <c r="O248" i="27"/>
  <c r="P247" i="27"/>
  <c r="O247" i="27"/>
  <c r="P246" i="27"/>
  <c r="O246" i="27"/>
  <c r="P245" i="27"/>
  <c r="O245" i="27"/>
  <c r="P244" i="27"/>
  <c r="O244" i="27"/>
  <c r="P243" i="27"/>
  <c r="O243" i="27"/>
  <c r="P242" i="27"/>
  <c r="O242" i="27"/>
  <c r="P241" i="27"/>
  <c r="O241" i="27"/>
  <c r="P240" i="27"/>
  <c r="O240" i="27"/>
  <c r="P239" i="27"/>
  <c r="O239" i="27"/>
  <c r="P258" i="26"/>
  <c r="O258" i="26"/>
  <c r="P257" i="26"/>
  <c r="O257" i="26"/>
  <c r="P256" i="26"/>
  <c r="O256" i="26"/>
  <c r="P255" i="26"/>
  <c r="O255" i="26"/>
  <c r="P254" i="26"/>
  <c r="O254" i="26"/>
  <c r="P253" i="26"/>
  <c r="O253" i="26"/>
  <c r="P252" i="26"/>
  <c r="O252" i="26"/>
  <c r="P251" i="26"/>
  <c r="O251" i="26"/>
  <c r="P250" i="26"/>
  <c r="O250" i="26"/>
  <c r="P249" i="26"/>
  <c r="O249" i="26"/>
  <c r="P248" i="26"/>
  <c r="O248" i="26"/>
  <c r="P247" i="26"/>
  <c r="O247" i="26"/>
  <c r="P246" i="26"/>
  <c r="O246" i="26"/>
  <c r="P245" i="26"/>
  <c r="O245" i="26"/>
  <c r="P244" i="26"/>
  <c r="O244" i="26"/>
  <c r="P243" i="26"/>
  <c r="O243" i="26"/>
  <c r="P242" i="26"/>
  <c r="O242" i="26"/>
  <c r="P241" i="26"/>
  <c r="O241" i="26"/>
  <c r="P240" i="26"/>
  <c r="O240" i="26"/>
  <c r="P239" i="26"/>
  <c r="O239" i="26"/>
  <c r="P258" i="25"/>
  <c r="O258" i="25"/>
  <c r="P257" i="25"/>
  <c r="O257" i="25"/>
  <c r="P256" i="25"/>
  <c r="O256" i="25"/>
  <c r="P255" i="25"/>
  <c r="O255" i="25"/>
  <c r="P254" i="25"/>
  <c r="O254" i="25"/>
  <c r="P253" i="25"/>
  <c r="O253" i="25"/>
  <c r="P252" i="25"/>
  <c r="O252" i="25"/>
  <c r="P251" i="25"/>
  <c r="O251" i="25"/>
  <c r="P250" i="25"/>
  <c r="O250" i="25"/>
  <c r="P249" i="25"/>
  <c r="O249" i="25"/>
  <c r="P248" i="25"/>
  <c r="O248" i="25"/>
  <c r="P247" i="25"/>
  <c r="O247" i="25"/>
  <c r="P246" i="25"/>
  <c r="O246" i="25"/>
  <c r="P245" i="25"/>
  <c r="O245" i="25"/>
  <c r="P244" i="25"/>
  <c r="O244" i="25"/>
  <c r="P243" i="25"/>
  <c r="O243" i="25"/>
  <c r="P242" i="25"/>
  <c r="O242" i="25"/>
  <c r="P241" i="25"/>
  <c r="O241" i="25"/>
  <c r="P240" i="25"/>
  <c r="O240" i="25"/>
  <c r="P239" i="25"/>
  <c r="O239" i="25"/>
  <c r="P258" i="24"/>
  <c r="O258" i="24"/>
  <c r="P257" i="24"/>
  <c r="O257" i="24"/>
  <c r="P256" i="24"/>
  <c r="O256" i="24"/>
  <c r="P255" i="24"/>
  <c r="O255" i="24"/>
  <c r="P254" i="24"/>
  <c r="O254" i="24"/>
  <c r="P253" i="24"/>
  <c r="O253" i="24"/>
  <c r="P252" i="24"/>
  <c r="O252" i="24"/>
  <c r="P251" i="24"/>
  <c r="O251" i="24"/>
  <c r="P250" i="24"/>
  <c r="O250" i="24"/>
  <c r="P249" i="24"/>
  <c r="O249" i="24"/>
  <c r="P248" i="24"/>
  <c r="O248" i="24"/>
  <c r="P247" i="24"/>
  <c r="O247" i="24"/>
  <c r="P246" i="24"/>
  <c r="O246" i="24"/>
  <c r="P245" i="24"/>
  <c r="O245" i="24"/>
  <c r="P244" i="24"/>
  <c r="O244" i="24"/>
  <c r="P243" i="24"/>
  <c r="O243" i="24"/>
  <c r="P242" i="24"/>
  <c r="O242" i="24"/>
  <c r="P241" i="24"/>
  <c r="O241" i="24"/>
  <c r="P240" i="24"/>
  <c r="O240" i="24"/>
  <c r="P239" i="24"/>
  <c r="O239" i="24"/>
  <c r="P258" i="23"/>
  <c r="O258" i="23"/>
  <c r="P257" i="23"/>
  <c r="O257" i="23"/>
  <c r="P256" i="23"/>
  <c r="O256" i="23"/>
  <c r="P255" i="23"/>
  <c r="O255" i="23"/>
  <c r="P254" i="23"/>
  <c r="O254" i="23"/>
  <c r="P253" i="23"/>
  <c r="O253" i="23"/>
  <c r="P252" i="23"/>
  <c r="O252" i="23"/>
  <c r="P251" i="23"/>
  <c r="O251" i="23"/>
  <c r="P250" i="23"/>
  <c r="O250" i="23"/>
  <c r="P249" i="23"/>
  <c r="O249" i="23"/>
  <c r="P248" i="23"/>
  <c r="O248" i="23"/>
  <c r="P247" i="23"/>
  <c r="O247" i="23"/>
  <c r="P246" i="23"/>
  <c r="O246" i="23"/>
  <c r="P245" i="23"/>
  <c r="O245" i="23"/>
  <c r="P244" i="23"/>
  <c r="O244" i="23"/>
  <c r="P243" i="23"/>
  <c r="O243" i="23"/>
  <c r="P242" i="23"/>
  <c r="O242" i="23"/>
  <c r="P241" i="23"/>
  <c r="O241" i="23"/>
  <c r="P240" i="23"/>
  <c r="O240" i="23"/>
  <c r="P239" i="23"/>
  <c r="O239" i="23"/>
  <c r="P258" i="22"/>
  <c r="O258" i="22"/>
  <c r="P257" i="22"/>
  <c r="O257" i="22"/>
  <c r="P256" i="22"/>
  <c r="O256" i="22"/>
  <c r="P255" i="22"/>
  <c r="O255" i="22"/>
  <c r="P254" i="22"/>
  <c r="O254" i="22"/>
  <c r="P253" i="22"/>
  <c r="O253" i="22"/>
  <c r="P252" i="22"/>
  <c r="O252" i="22"/>
  <c r="P251" i="22"/>
  <c r="O251" i="22"/>
  <c r="P250" i="22"/>
  <c r="O250" i="22"/>
  <c r="P249" i="22"/>
  <c r="O249" i="22"/>
  <c r="P248" i="22"/>
  <c r="O248" i="22"/>
  <c r="P247" i="22"/>
  <c r="O247" i="22"/>
  <c r="P246" i="22"/>
  <c r="O246" i="22"/>
  <c r="P245" i="22"/>
  <c r="O245" i="22"/>
  <c r="P244" i="22"/>
  <c r="O244" i="22"/>
  <c r="P243" i="22"/>
  <c r="O243" i="22"/>
  <c r="P242" i="22"/>
  <c r="O242" i="22"/>
  <c r="P241" i="22"/>
  <c r="O241" i="22"/>
  <c r="P240" i="22"/>
  <c r="O240" i="22"/>
  <c r="P239" i="22"/>
  <c r="O239" i="22"/>
  <c r="P258" i="21"/>
  <c r="O258" i="21"/>
  <c r="P257" i="21"/>
  <c r="O257" i="21"/>
  <c r="P256" i="21"/>
  <c r="O256" i="21"/>
  <c r="P255" i="21"/>
  <c r="O255" i="21"/>
  <c r="P254" i="21"/>
  <c r="O254" i="21"/>
  <c r="P253" i="21"/>
  <c r="O253" i="21"/>
  <c r="P252" i="21"/>
  <c r="O252" i="21"/>
  <c r="P251" i="21"/>
  <c r="O251" i="21"/>
  <c r="P250" i="21"/>
  <c r="O250" i="21"/>
  <c r="P249" i="21"/>
  <c r="O249" i="21"/>
  <c r="P248" i="21"/>
  <c r="O248" i="21"/>
  <c r="P247" i="21"/>
  <c r="O247" i="21"/>
  <c r="P246" i="21"/>
  <c r="O246" i="21"/>
  <c r="P245" i="21"/>
  <c r="O245" i="21"/>
  <c r="P244" i="21"/>
  <c r="O244" i="21"/>
  <c r="P243" i="21"/>
  <c r="O243" i="21"/>
  <c r="P242" i="21"/>
  <c r="O242" i="21"/>
  <c r="P241" i="21"/>
  <c r="O241" i="21"/>
  <c r="P240" i="21"/>
  <c r="O240" i="21"/>
  <c r="P239" i="21"/>
  <c r="O239" i="21"/>
  <c r="P258" i="20"/>
  <c r="O258" i="20"/>
  <c r="P257" i="20"/>
  <c r="O257" i="20"/>
  <c r="P256" i="20"/>
  <c r="O256" i="20"/>
  <c r="P255" i="20"/>
  <c r="O255" i="20"/>
  <c r="P254" i="20"/>
  <c r="O254" i="20"/>
  <c r="P253" i="20"/>
  <c r="O253" i="20"/>
  <c r="P252" i="20"/>
  <c r="O252" i="20"/>
  <c r="P251" i="20"/>
  <c r="O251" i="20"/>
  <c r="P250" i="20"/>
  <c r="O250" i="20"/>
  <c r="P249" i="20"/>
  <c r="O249" i="20"/>
  <c r="P248" i="20"/>
  <c r="O248" i="20"/>
  <c r="P247" i="20"/>
  <c r="O247" i="20"/>
  <c r="P246" i="20"/>
  <c r="O246" i="20"/>
  <c r="P245" i="20"/>
  <c r="O245" i="20"/>
  <c r="P244" i="20"/>
  <c r="O244" i="20"/>
  <c r="P243" i="20"/>
  <c r="O243" i="20"/>
  <c r="P242" i="20"/>
  <c r="O242" i="20"/>
  <c r="P241" i="20"/>
  <c r="O241" i="20"/>
  <c r="P240" i="20"/>
  <c r="O240" i="20"/>
  <c r="P239" i="20"/>
  <c r="O239" i="20"/>
  <c r="P258" i="19"/>
  <c r="O258" i="19"/>
  <c r="P257" i="19"/>
  <c r="O257" i="19"/>
  <c r="P256" i="19"/>
  <c r="O256" i="19"/>
  <c r="P255" i="19"/>
  <c r="O255" i="19"/>
  <c r="P254" i="19"/>
  <c r="O254" i="19"/>
  <c r="P253" i="19"/>
  <c r="O253" i="19"/>
  <c r="P252" i="19"/>
  <c r="O252" i="19"/>
  <c r="P251" i="19"/>
  <c r="O251" i="19"/>
  <c r="P250" i="19"/>
  <c r="O250" i="19"/>
  <c r="P249" i="19"/>
  <c r="O249" i="19"/>
  <c r="P248" i="19"/>
  <c r="O248" i="19"/>
  <c r="P247" i="19"/>
  <c r="O247" i="19"/>
  <c r="P246" i="19"/>
  <c r="O246" i="19"/>
  <c r="P245" i="19"/>
  <c r="O245" i="19"/>
  <c r="P244" i="19"/>
  <c r="O244" i="19"/>
  <c r="P243" i="19"/>
  <c r="O243" i="19"/>
  <c r="P242" i="19"/>
  <c r="O242" i="19"/>
  <c r="P241" i="19"/>
  <c r="O241" i="19"/>
  <c r="P240" i="19"/>
  <c r="O240" i="19"/>
  <c r="P239" i="19"/>
  <c r="O239" i="19"/>
  <c r="P258" i="18"/>
  <c r="O258" i="18"/>
  <c r="P257" i="18"/>
  <c r="O257" i="18"/>
  <c r="P256" i="18"/>
  <c r="O256" i="18"/>
  <c r="P255" i="18"/>
  <c r="O255" i="18"/>
  <c r="P254" i="18"/>
  <c r="O254" i="18"/>
  <c r="P253" i="18"/>
  <c r="O253" i="18"/>
  <c r="P252" i="18"/>
  <c r="O252" i="18"/>
  <c r="P251" i="18"/>
  <c r="O251" i="18"/>
  <c r="P250" i="18"/>
  <c r="O250" i="18"/>
  <c r="P249" i="18"/>
  <c r="O249" i="18"/>
  <c r="P248" i="18"/>
  <c r="O248" i="18"/>
  <c r="P247" i="18"/>
  <c r="O247" i="18"/>
  <c r="P246" i="18"/>
  <c r="O246" i="18"/>
  <c r="P245" i="18"/>
  <c r="O245" i="18"/>
  <c r="P244" i="18"/>
  <c r="O244" i="18"/>
  <c r="P243" i="18"/>
  <c r="O243" i="18"/>
  <c r="P242" i="18"/>
  <c r="O242" i="18"/>
  <c r="P241" i="18"/>
  <c r="O241" i="18"/>
  <c r="P240" i="18"/>
  <c r="O240" i="18"/>
  <c r="P239" i="18"/>
  <c r="O239" i="18"/>
  <c r="P258" i="17"/>
  <c r="O258" i="17"/>
  <c r="P257" i="17"/>
  <c r="O257" i="17"/>
  <c r="P256" i="17"/>
  <c r="O256" i="17"/>
  <c r="P255" i="17"/>
  <c r="O255" i="17"/>
  <c r="P254" i="17"/>
  <c r="O254" i="17"/>
  <c r="P253" i="17"/>
  <c r="O253" i="17"/>
  <c r="P252" i="17"/>
  <c r="O252" i="17"/>
  <c r="P251" i="17"/>
  <c r="O251" i="17"/>
  <c r="P250" i="17"/>
  <c r="O250" i="17"/>
  <c r="P249" i="17"/>
  <c r="O249" i="17"/>
  <c r="P248" i="17"/>
  <c r="O248" i="17"/>
  <c r="P247" i="17"/>
  <c r="O247" i="17"/>
  <c r="P246" i="17"/>
  <c r="O246" i="17"/>
  <c r="P245" i="17"/>
  <c r="O245" i="17"/>
  <c r="P244" i="17"/>
  <c r="O244" i="17"/>
  <c r="P243" i="17"/>
  <c r="O243" i="17"/>
  <c r="P242" i="17"/>
  <c r="O242" i="17"/>
  <c r="P241" i="17"/>
  <c r="O241" i="17"/>
  <c r="P240" i="17"/>
  <c r="O240" i="17"/>
  <c r="P239" i="17"/>
  <c r="O239" i="17"/>
  <c r="P258" i="16"/>
  <c r="O258" i="16"/>
  <c r="P257" i="16"/>
  <c r="O257" i="16"/>
  <c r="P256" i="16"/>
  <c r="O256" i="16"/>
  <c r="P255" i="16"/>
  <c r="O255" i="16"/>
  <c r="P254" i="16"/>
  <c r="O254" i="16"/>
  <c r="P253" i="16"/>
  <c r="O253" i="16"/>
  <c r="P252" i="16"/>
  <c r="O252" i="16"/>
  <c r="P251" i="16"/>
  <c r="O251" i="16"/>
  <c r="P250" i="16"/>
  <c r="O250" i="16"/>
  <c r="P249" i="16"/>
  <c r="O249" i="16"/>
  <c r="P248" i="16"/>
  <c r="O248" i="16"/>
  <c r="P247" i="16"/>
  <c r="O247" i="16"/>
  <c r="P246" i="16"/>
  <c r="O246" i="16"/>
  <c r="P245" i="16"/>
  <c r="O245" i="16"/>
  <c r="P244" i="16"/>
  <c r="O244" i="16"/>
  <c r="P243" i="16"/>
  <c r="O243" i="16"/>
  <c r="P242" i="16"/>
  <c r="O242" i="16"/>
  <c r="P241" i="16"/>
  <c r="O241" i="16"/>
  <c r="P240" i="16"/>
  <c r="O240" i="16"/>
  <c r="P239" i="16"/>
  <c r="O239" i="16"/>
  <c r="P258" i="15"/>
  <c r="O258" i="15"/>
  <c r="P257" i="15"/>
  <c r="O257" i="15"/>
  <c r="P256" i="15"/>
  <c r="O256" i="15"/>
  <c r="P255" i="15"/>
  <c r="O255" i="15"/>
  <c r="P254" i="15"/>
  <c r="O254" i="15"/>
  <c r="P253" i="15"/>
  <c r="O253" i="15"/>
  <c r="P252" i="15"/>
  <c r="O252" i="15"/>
  <c r="P251" i="15"/>
  <c r="O251" i="15"/>
  <c r="P250" i="15"/>
  <c r="O250" i="15"/>
  <c r="P249" i="15"/>
  <c r="O249" i="15"/>
  <c r="P248" i="15"/>
  <c r="O248" i="15"/>
  <c r="P247" i="15"/>
  <c r="O247" i="15"/>
  <c r="P246" i="15"/>
  <c r="O246" i="15"/>
  <c r="P245" i="15"/>
  <c r="O245" i="15"/>
  <c r="P244" i="15"/>
  <c r="O244" i="15"/>
  <c r="P243" i="15"/>
  <c r="O243" i="15"/>
  <c r="P242" i="15"/>
  <c r="O242" i="15"/>
  <c r="P241" i="15"/>
  <c r="O241" i="15"/>
  <c r="P240" i="15"/>
  <c r="O240" i="15"/>
  <c r="P239" i="15"/>
  <c r="O239" i="15"/>
  <c r="P258" i="14"/>
  <c r="O258" i="14"/>
  <c r="P257" i="14"/>
  <c r="O257" i="14"/>
  <c r="P256" i="14"/>
  <c r="O256" i="14"/>
  <c r="P255" i="14"/>
  <c r="O255" i="14"/>
  <c r="P254" i="14"/>
  <c r="O254" i="14"/>
  <c r="P253" i="14"/>
  <c r="O253" i="14"/>
  <c r="P252" i="14"/>
  <c r="O252" i="14"/>
  <c r="P251" i="14"/>
  <c r="O251" i="14"/>
  <c r="P250" i="14"/>
  <c r="O250" i="14"/>
  <c r="P249" i="14"/>
  <c r="O249" i="14"/>
  <c r="P248" i="14"/>
  <c r="O248" i="14"/>
  <c r="P247" i="14"/>
  <c r="O247" i="14"/>
  <c r="P246" i="14"/>
  <c r="O246" i="14"/>
  <c r="P245" i="14"/>
  <c r="O245" i="14"/>
  <c r="P244" i="14"/>
  <c r="O244" i="14"/>
  <c r="P243" i="14"/>
  <c r="O243" i="14"/>
  <c r="P242" i="14"/>
  <c r="O242" i="14"/>
  <c r="P241" i="14"/>
  <c r="O241" i="14"/>
  <c r="P240" i="14"/>
  <c r="O240" i="14"/>
  <c r="P239" i="14"/>
  <c r="O239" i="14"/>
  <c r="P258" i="13"/>
  <c r="O258" i="13"/>
  <c r="P257" i="13"/>
  <c r="O257" i="13"/>
  <c r="P256" i="13"/>
  <c r="O256" i="13"/>
  <c r="P255" i="13"/>
  <c r="O255" i="13"/>
  <c r="P254" i="13"/>
  <c r="O254" i="13"/>
  <c r="P253" i="13"/>
  <c r="O253" i="13"/>
  <c r="P252" i="13"/>
  <c r="O252" i="13"/>
  <c r="P251" i="13"/>
  <c r="O251" i="13"/>
  <c r="P250" i="13"/>
  <c r="O250" i="13"/>
  <c r="P249" i="13"/>
  <c r="O249" i="13"/>
  <c r="P248" i="13"/>
  <c r="O248" i="13"/>
  <c r="P247" i="13"/>
  <c r="O247" i="13"/>
  <c r="P246" i="13"/>
  <c r="O246" i="13"/>
  <c r="P245" i="13"/>
  <c r="O245" i="13"/>
  <c r="P244" i="13"/>
  <c r="O244" i="13"/>
  <c r="P243" i="13"/>
  <c r="O243" i="13"/>
  <c r="P242" i="13"/>
  <c r="O242" i="13"/>
  <c r="P241" i="13"/>
  <c r="O241" i="13"/>
  <c r="P240" i="13"/>
  <c r="O240" i="13"/>
  <c r="P239" i="13"/>
  <c r="O239" i="13"/>
  <c r="P258" i="12"/>
  <c r="O258" i="12"/>
  <c r="P257" i="12"/>
  <c r="O257" i="12"/>
  <c r="P256" i="12"/>
  <c r="O256" i="12"/>
  <c r="P255" i="12"/>
  <c r="O255" i="12"/>
  <c r="P254" i="12"/>
  <c r="O254" i="12"/>
  <c r="P253" i="12"/>
  <c r="O253" i="12"/>
  <c r="P252" i="12"/>
  <c r="O252" i="12"/>
  <c r="P251" i="12"/>
  <c r="O251" i="12"/>
  <c r="P250" i="12"/>
  <c r="O250" i="12"/>
  <c r="P249" i="12"/>
  <c r="O249" i="12"/>
  <c r="P248" i="12"/>
  <c r="O248" i="12"/>
  <c r="P247" i="12"/>
  <c r="O247" i="12"/>
  <c r="P246" i="12"/>
  <c r="O246" i="12"/>
  <c r="P245" i="12"/>
  <c r="O245" i="12"/>
  <c r="P244" i="12"/>
  <c r="O244" i="12"/>
  <c r="P243" i="12"/>
  <c r="O243" i="12"/>
  <c r="P242" i="12"/>
  <c r="O242" i="12"/>
  <c r="P241" i="12"/>
  <c r="O241" i="12"/>
  <c r="P240" i="12"/>
  <c r="O240" i="12"/>
  <c r="P239" i="12"/>
  <c r="O239" i="12"/>
  <c r="P258" i="11"/>
  <c r="O258" i="11"/>
  <c r="P257" i="11"/>
  <c r="O257" i="11"/>
  <c r="P256" i="11"/>
  <c r="O256" i="11"/>
  <c r="P255" i="11"/>
  <c r="O255" i="11"/>
  <c r="P254" i="11"/>
  <c r="O254" i="11"/>
  <c r="P253" i="11"/>
  <c r="O253" i="11"/>
  <c r="P252" i="11"/>
  <c r="O252" i="11"/>
  <c r="P251" i="11"/>
  <c r="O251" i="11"/>
  <c r="P250" i="11"/>
  <c r="O250" i="11"/>
  <c r="P249" i="11"/>
  <c r="O249" i="11"/>
  <c r="P248" i="11"/>
  <c r="O248" i="11"/>
  <c r="P247" i="11"/>
  <c r="O247" i="11"/>
  <c r="P246" i="11"/>
  <c r="O246" i="11"/>
  <c r="P245" i="11"/>
  <c r="O245" i="11"/>
  <c r="P244" i="11"/>
  <c r="O244" i="11"/>
  <c r="P243" i="11"/>
  <c r="O243" i="11"/>
  <c r="P242" i="11"/>
  <c r="O242" i="11"/>
  <c r="P241" i="11"/>
  <c r="O241" i="11"/>
  <c r="P240" i="11"/>
  <c r="O240" i="11"/>
  <c r="P239" i="11"/>
  <c r="O239" i="11"/>
  <c r="P258" i="10"/>
  <c r="O258" i="10"/>
  <c r="P257" i="10"/>
  <c r="O257" i="10"/>
  <c r="P256" i="10"/>
  <c r="O256" i="10"/>
  <c r="P255" i="10"/>
  <c r="O255" i="10"/>
  <c r="P254" i="10"/>
  <c r="O254" i="10"/>
  <c r="P253" i="10"/>
  <c r="O253" i="10"/>
  <c r="P252" i="10"/>
  <c r="O252" i="10"/>
  <c r="P251" i="10"/>
  <c r="O251" i="10"/>
  <c r="P250" i="10"/>
  <c r="O250" i="10"/>
  <c r="P249" i="10"/>
  <c r="O249" i="10"/>
  <c r="P248" i="10"/>
  <c r="O248" i="10"/>
  <c r="P247" i="10"/>
  <c r="O247" i="10"/>
  <c r="P246" i="10"/>
  <c r="O246" i="10"/>
  <c r="P245" i="10"/>
  <c r="O245" i="10"/>
  <c r="P244" i="10"/>
  <c r="O244" i="10"/>
  <c r="P243" i="10"/>
  <c r="O243" i="10"/>
  <c r="P242" i="10"/>
  <c r="O242" i="10"/>
  <c r="P241" i="10"/>
  <c r="O241" i="10"/>
  <c r="P240" i="10"/>
  <c r="O240" i="10"/>
  <c r="P239" i="10"/>
  <c r="O239" i="10"/>
  <c r="P258" i="9"/>
  <c r="O258" i="9"/>
  <c r="P257" i="9"/>
  <c r="O257" i="9"/>
  <c r="P256" i="9"/>
  <c r="O256" i="9"/>
  <c r="P255" i="9"/>
  <c r="O255" i="9"/>
  <c r="P254" i="9"/>
  <c r="O254" i="9"/>
  <c r="P253" i="9"/>
  <c r="O253" i="9"/>
  <c r="P252" i="9"/>
  <c r="O252" i="9"/>
  <c r="P251" i="9"/>
  <c r="O251" i="9"/>
  <c r="P250" i="9"/>
  <c r="O250" i="9"/>
  <c r="P249" i="9"/>
  <c r="O249" i="9"/>
  <c r="P248" i="9"/>
  <c r="O248" i="9"/>
  <c r="P247" i="9"/>
  <c r="O247" i="9"/>
  <c r="P246" i="9"/>
  <c r="O246" i="9"/>
  <c r="P245" i="9"/>
  <c r="O245" i="9"/>
  <c r="P244" i="9"/>
  <c r="O244" i="9"/>
  <c r="P243" i="9"/>
  <c r="O243" i="9"/>
  <c r="P242" i="9"/>
  <c r="O242" i="9"/>
  <c r="P241" i="9"/>
  <c r="O241" i="9"/>
  <c r="P240" i="9"/>
  <c r="O240" i="9"/>
  <c r="P239" i="9"/>
  <c r="O239" i="9"/>
  <c r="P258" i="8"/>
  <c r="O258" i="8"/>
  <c r="P257" i="8"/>
  <c r="O257" i="8"/>
  <c r="P256" i="8"/>
  <c r="O256" i="8"/>
  <c r="P255" i="8"/>
  <c r="O255" i="8"/>
  <c r="P254" i="8"/>
  <c r="O254" i="8"/>
  <c r="P253" i="8"/>
  <c r="O253" i="8"/>
  <c r="P252" i="8"/>
  <c r="O252" i="8"/>
  <c r="P251" i="8"/>
  <c r="O251" i="8"/>
  <c r="P250" i="8"/>
  <c r="O250" i="8"/>
  <c r="P249" i="8"/>
  <c r="O249" i="8"/>
  <c r="P248" i="8"/>
  <c r="O248" i="8"/>
  <c r="P247" i="8"/>
  <c r="O247" i="8"/>
  <c r="P246" i="8"/>
  <c r="O246" i="8"/>
  <c r="P245" i="8"/>
  <c r="O245" i="8"/>
  <c r="P244" i="8"/>
  <c r="O244" i="8"/>
  <c r="P243" i="8"/>
  <c r="O243" i="8"/>
  <c r="P242" i="8"/>
  <c r="O242" i="8"/>
  <c r="P241" i="8"/>
  <c r="O241" i="8"/>
  <c r="P240" i="8"/>
  <c r="O240" i="8"/>
  <c r="P239" i="8"/>
  <c r="O239" i="8"/>
  <c r="P258" i="7"/>
  <c r="O258" i="7"/>
  <c r="P257" i="7"/>
  <c r="O257" i="7"/>
  <c r="P256" i="7"/>
  <c r="O256" i="7"/>
  <c r="P255" i="7"/>
  <c r="O255" i="7"/>
  <c r="P254" i="7"/>
  <c r="O254" i="7"/>
  <c r="P253" i="7"/>
  <c r="O253" i="7"/>
  <c r="P252" i="7"/>
  <c r="O252" i="7"/>
  <c r="P251" i="7"/>
  <c r="O251" i="7"/>
  <c r="P250" i="7"/>
  <c r="O250" i="7"/>
  <c r="P249" i="7"/>
  <c r="O249" i="7"/>
  <c r="P248" i="7"/>
  <c r="O248" i="7"/>
  <c r="P247" i="7"/>
  <c r="O247" i="7"/>
  <c r="P246" i="7"/>
  <c r="O246" i="7"/>
  <c r="P245" i="7"/>
  <c r="O245" i="7"/>
  <c r="P244" i="7"/>
  <c r="O244" i="7"/>
  <c r="P243" i="7"/>
  <c r="O243" i="7"/>
  <c r="P242" i="7"/>
  <c r="O242" i="7"/>
  <c r="P241" i="7"/>
  <c r="O241" i="7"/>
  <c r="P240" i="7"/>
  <c r="O240" i="7"/>
  <c r="P239" i="7"/>
  <c r="O239" i="7"/>
  <c r="P258" i="6"/>
  <c r="O258" i="6"/>
  <c r="P257" i="6"/>
  <c r="O257" i="6"/>
  <c r="P256" i="6"/>
  <c r="O256" i="6"/>
  <c r="P255" i="6"/>
  <c r="O255" i="6"/>
  <c r="P254" i="6"/>
  <c r="O254" i="6"/>
  <c r="P253" i="6"/>
  <c r="O253" i="6"/>
  <c r="P252" i="6"/>
  <c r="O252" i="6"/>
  <c r="P251" i="6"/>
  <c r="O251" i="6"/>
  <c r="P250" i="6"/>
  <c r="O250" i="6"/>
  <c r="P249" i="6"/>
  <c r="O249" i="6"/>
  <c r="P248" i="6"/>
  <c r="O248" i="6"/>
  <c r="P247" i="6"/>
  <c r="O247" i="6"/>
  <c r="P246" i="6"/>
  <c r="O246" i="6"/>
  <c r="P245" i="6"/>
  <c r="O245" i="6"/>
  <c r="P244" i="6"/>
  <c r="O244" i="6"/>
  <c r="P243" i="6"/>
  <c r="O243" i="6"/>
  <c r="P242" i="6"/>
  <c r="O242" i="6"/>
  <c r="P241" i="6"/>
  <c r="O241" i="6"/>
  <c r="P240" i="6"/>
  <c r="O240" i="6"/>
  <c r="P239" i="6"/>
  <c r="O239" i="6"/>
  <c r="P258" i="5"/>
  <c r="O258" i="5"/>
  <c r="P257" i="5"/>
  <c r="O257" i="5"/>
  <c r="P256" i="5"/>
  <c r="O256" i="5"/>
  <c r="P255" i="5"/>
  <c r="O255" i="5"/>
  <c r="P254" i="5"/>
  <c r="O254" i="5"/>
  <c r="P253" i="5"/>
  <c r="O253" i="5"/>
  <c r="P252" i="5"/>
  <c r="O252" i="5"/>
  <c r="P251" i="5"/>
  <c r="O251" i="5"/>
  <c r="P250" i="5"/>
  <c r="O250" i="5"/>
  <c r="P249" i="5"/>
  <c r="O249" i="5"/>
  <c r="P248" i="5"/>
  <c r="O248" i="5"/>
  <c r="P247" i="5"/>
  <c r="O247" i="5"/>
  <c r="P246" i="5"/>
  <c r="O246" i="5"/>
  <c r="P245" i="5"/>
  <c r="O245" i="5"/>
  <c r="P244" i="5"/>
  <c r="O244" i="5"/>
  <c r="P243" i="5"/>
  <c r="O243" i="5"/>
  <c r="P242" i="5"/>
  <c r="O242" i="5"/>
  <c r="P241" i="5"/>
  <c r="O241" i="5"/>
  <c r="P240" i="5"/>
  <c r="O240" i="5"/>
  <c r="P239" i="5"/>
  <c r="O239" i="5"/>
  <c r="P258" i="4"/>
  <c r="O258" i="4"/>
  <c r="P257" i="4"/>
  <c r="O257" i="4"/>
  <c r="P256" i="4"/>
  <c r="O256" i="4"/>
  <c r="P255" i="4"/>
  <c r="O255" i="4"/>
  <c r="P254" i="4"/>
  <c r="O254" i="4"/>
  <c r="P253" i="4"/>
  <c r="O253" i="4"/>
  <c r="P252" i="4"/>
  <c r="O252" i="4"/>
  <c r="P251" i="4"/>
  <c r="O251" i="4"/>
  <c r="P250" i="4"/>
  <c r="O250" i="4"/>
  <c r="P249" i="4"/>
  <c r="O249" i="4"/>
  <c r="P248" i="4"/>
  <c r="O248" i="4"/>
  <c r="P247" i="4"/>
  <c r="O247" i="4"/>
  <c r="P246" i="4"/>
  <c r="O246" i="4"/>
  <c r="P245" i="4"/>
  <c r="O245" i="4"/>
  <c r="P244" i="4"/>
  <c r="O244" i="4"/>
  <c r="P243" i="4"/>
  <c r="O243" i="4"/>
  <c r="P242" i="4"/>
  <c r="O242" i="4"/>
  <c r="P241" i="4"/>
  <c r="O241" i="4"/>
  <c r="P240" i="4"/>
  <c r="O240" i="4"/>
  <c r="P239" i="4"/>
  <c r="O239" i="4"/>
  <c r="O240" i="3"/>
  <c r="O241" i="3"/>
  <c r="O242" i="3"/>
  <c r="O243" i="3"/>
  <c r="O244" i="3"/>
  <c r="O245" i="3"/>
  <c r="O246" i="3"/>
  <c r="O247" i="3"/>
  <c r="O248" i="3"/>
  <c r="O249" i="3"/>
  <c r="O250" i="3"/>
  <c r="O251" i="3"/>
  <c r="O252" i="3"/>
  <c r="O253" i="3"/>
  <c r="O254" i="3"/>
  <c r="O255" i="3"/>
  <c r="O256" i="3"/>
  <c r="O257" i="3"/>
  <c r="O258" i="3"/>
  <c r="P240" i="3"/>
  <c r="P241" i="3"/>
  <c r="P242" i="3"/>
  <c r="P243" i="3"/>
  <c r="P244" i="3"/>
  <c r="P245" i="3"/>
  <c r="P246" i="3"/>
  <c r="P247" i="3"/>
  <c r="P248" i="3"/>
  <c r="P249" i="3"/>
  <c r="P250" i="3"/>
  <c r="P251" i="3"/>
  <c r="P252" i="3"/>
  <c r="P253" i="3"/>
  <c r="P254" i="3"/>
  <c r="P255" i="3"/>
  <c r="P256" i="3"/>
  <c r="P257" i="3"/>
  <c r="P258" i="3"/>
  <c r="P239" i="3"/>
  <c r="K259" i="3" s="1"/>
  <c r="O239" i="3" l="1"/>
  <c r="K260" i="3" s="1"/>
  <c r="D1" i="38"/>
  <c r="Q107" i="32" l="1"/>
  <c r="Q108" i="32"/>
  <c r="Q109" i="32"/>
  <c r="Q110" i="32"/>
  <c r="Q111" i="32"/>
  <c r="Q112" i="32"/>
  <c r="Q113" i="32"/>
  <c r="Q114" i="32"/>
  <c r="Q115" i="32"/>
  <c r="Q116" i="32"/>
  <c r="Q117" i="32"/>
  <c r="Q118" i="32"/>
  <c r="Q119" i="32"/>
  <c r="Q106" i="32"/>
  <c r="Q107" i="31"/>
  <c r="Q108" i="31"/>
  <c r="Q109" i="31"/>
  <c r="Q110" i="31"/>
  <c r="Q111" i="31"/>
  <c r="Q112" i="31"/>
  <c r="Q113" i="31"/>
  <c r="Q114" i="31"/>
  <c r="Q115" i="31"/>
  <c r="Q116" i="31"/>
  <c r="Q117" i="31"/>
  <c r="Q118" i="31"/>
  <c r="Q119" i="31"/>
  <c r="Q106" i="31"/>
  <c r="Q107" i="30"/>
  <c r="Q108" i="30"/>
  <c r="Q109" i="30"/>
  <c r="Q110" i="30"/>
  <c r="Q111" i="30"/>
  <c r="Q112" i="30"/>
  <c r="Q113" i="30"/>
  <c r="Q114" i="30"/>
  <c r="Q115" i="30"/>
  <c r="Q116" i="30"/>
  <c r="Q117" i="30"/>
  <c r="Q118" i="30"/>
  <c r="Q119" i="30"/>
  <c r="Q106" i="30"/>
  <c r="Q107" i="29"/>
  <c r="Q108" i="29"/>
  <c r="Q109" i="29"/>
  <c r="Q110" i="29"/>
  <c r="Q111" i="29"/>
  <c r="Q112" i="29"/>
  <c r="Q113" i="29"/>
  <c r="Q114" i="29"/>
  <c r="Q115" i="29"/>
  <c r="Q116" i="29"/>
  <c r="Q117" i="29"/>
  <c r="Q118" i="29"/>
  <c r="Q119" i="29"/>
  <c r="Q106" i="29"/>
  <c r="Q107" i="28"/>
  <c r="Q108" i="28"/>
  <c r="Q109" i="28"/>
  <c r="Q110" i="28"/>
  <c r="Q111" i="28"/>
  <c r="Q112" i="28"/>
  <c r="Q113" i="28"/>
  <c r="Q114" i="28"/>
  <c r="Q115" i="28"/>
  <c r="Q116" i="28"/>
  <c r="Q117" i="28"/>
  <c r="Q118" i="28"/>
  <c r="Q119" i="28"/>
  <c r="Q106" i="28"/>
  <c r="Q107" i="27"/>
  <c r="Q108" i="27"/>
  <c r="Q109" i="27"/>
  <c r="Q110" i="27"/>
  <c r="Q111" i="27"/>
  <c r="Q112" i="27"/>
  <c r="Q113" i="27"/>
  <c r="Q114" i="27"/>
  <c r="Q115" i="27"/>
  <c r="Q116" i="27"/>
  <c r="Q117" i="27"/>
  <c r="Q118" i="27"/>
  <c r="Q119" i="27"/>
  <c r="Q106" i="27"/>
  <c r="Q107" i="26"/>
  <c r="Q108" i="26"/>
  <c r="Q109" i="26"/>
  <c r="Q110" i="26"/>
  <c r="Q111" i="26"/>
  <c r="Q112" i="26"/>
  <c r="Q113" i="26"/>
  <c r="Q114" i="26"/>
  <c r="Q115" i="26"/>
  <c r="Q116" i="26"/>
  <c r="Q117" i="26"/>
  <c r="Q118" i="26"/>
  <c r="Q119" i="26"/>
  <c r="Q106" i="26"/>
  <c r="Q107" i="25"/>
  <c r="Q108" i="25"/>
  <c r="Q109" i="25"/>
  <c r="Q110" i="25"/>
  <c r="Q111" i="25"/>
  <c r="Q112" i="25"/>
  <c r="Q113" i="25"/>
  <c r="Q114" i="25"/>
  <c r="Q115" i="25"/>
  <c r="Q116" i="25"/>
  <c r="Q117" i="25"/>
  <c r="Q118" i="25"/>
  <c r="Q119" i="25"/>
  <c r="Q106" i="25"/>
  <c r="Q107" i="24"/>
  <c r="Q108" i="24"/>
  <c r="Q109" i="24"/>
  <c r="Q110" i="24"/>
  <c r="Q111" i="24"/>
  <c r="Q112" i="24"/>
  <c r="Q113" i="24"/>
  <c r="Q114" i="24"/>
  <c r="Q115" i="24"/>
  <c r="Q116" i="24"/>
  <c r="Q117" i="24"/>
  <c r="Q118" i="24"/>
  <c r="Q119" i="24"/>
  <c r="Q106" i="24"/>
  <c r="Q107" i="23"/>
  <c r="Q108" i="23"/>
  <c r="Q109" i="23"/>
  <c r="Q110" i="23"/>
  <c r="Q111" i="23"/>
  <c r="Q112" i="23"/>
  <c r="Q113" i="23"/>
  <c r="Q114" i="23"/>
  <c r="Q115" i="23"/>
  <c r="Q116" i="23"/>
  <c r="Q117" i="23"/>
  <c r="Q118" i="23"/>
  <c r="Q119" i="23"/>
  <c r="Q106" i="23"/>
  <c r="Q107" i="22"/>
  <c r="Q108" i="22"/>
  <c r="Q109" i="22"/>
  <c r="Q110" i="22"/>
  <c r="Q111" i="22"/>
  <c r="Q112" i="22"/>
  <c r="Q113" i="22"/>
  <c r="Q114" i="22"/>
  <c r="Q115" i="22"/>
  <c r="Q116" i="22"/>
  <c r="Q117" i="22"/>
  <c r="Q118" i="22"/>
  <c r="Q119" i="22"/>
  <c r="Q106" i="22"/>
  <c r="Q107" i="21"/>
  <c r="Q108" i="21"/>
  <c r="Q109" i="21"/>
  <c r="Q110" i="21"/>
  <c r="Q111" i="21"/>
  <c r="Q112" i="21"/>
  <c r="Q113" i="21"/>
  <c r="Q114" i="21"/>
  <c r="Q115" i="21"/>
  <c r="Q116" i="21"/>
  <c r="Q117" i="21"/>
  <c r="Q118" i="21"/>
  <c r="Q119" i="21"/>
  <c r="Q106" i="21"/>
  <c r="Q107" i="20"/>
  <c r="Q108" i="20"/>
  <c r="Q109" i="20"/>
  <c r="Q110" i="20"/>
  <c r="Q111" i="20"/>
  <c r="Q112" i="20"/>
  <c r="Q113" i="20"/>
  <c r="Q114" i="20"/>
  <c r="Q115" i="20"/>
  <c r="Q116" i="20"/>
  <c r="Q117" i="20"/>
  <c r="Q118" i="20"/>
  <c r="Q119" i="20"/>
  <c r="Q106" i="20"/>
  <c r="Q107" i="19"/>
  <c r="Q108" i="19"/>
  <c r="Q109" i="19"/>
  <c r="Q110" i="19"/>
  <c r="Q111" i="19"/>
  <c r="Q112" i="19"/>
  <c r="Q113" i="19"/>
  <c r="Q114" i="19"/>
  <c r="Q115" i="19"/>
  <c r="Q116" i="19"/>
  <c r="Q117" i="19"/>
  <c r="Q118" i="19"/>
  <c r="Q119" i="19"/>
  <c r="Q106" i="19"/>
  <c r="Q107" i="18"/>
  <c r="Q108" i="18"/>
  <c r="Q109" i="18"/>
  <c r="Q110" i="18"/>
  <c r="Q111" i="18"/>
  <c r="Q112" i="18"/>
  <c r="Q113" i="18"/>
  <c r="Q114" i="18"/>
  <c r="Q115" i="18"/>
  <c r="Q116" i="18"/>
  <c r="Q117" i="18"/>
  <c r="Q118" i="18"/>
  <c r="Q119" i="18"/>
  <c r="Q106" i="18"/>
  <c r="Q107" i="17"/>
  <c r="Q108" i="17"/>
  <c r="Q109" i="17"/>
  <c r="Q110" i="17"/>
  <c r="Q111" i="17"/>
  <c r="Q112" i="17"/>
  <c r="Q113" i="17"/>
  <c r="Q114" i="17"/>
  <c r="Q115" i="17"/>
  <c r="Q116" i="17"/>
  <c r="Q117" i="17"/>
  <c r="Q118" i="17"/>
  <c r="Q119" i="17"/>
  <c r="Q106" i="17"/>
  <c r="Q107" i="16"/>
  <c r="Q108" i="16"/>
  <c r="Q109" i="16"/>
  <c r="Q110" i="16"/>
  <c r="Q111" i="16"/>
  <c r="Q112" i="16"/>
  <c r="Q113" i="16"/>
  <c r="Q114" i="16"/>
  <c r="Q115" i="16"/>
  <c r="Q116" i="16"/>
  <c r="Q117" i="16"/>
  <c r="Q118" i="16"/>
  <c r="Q119" i="16"/>
  <c r="Q106" i="16"/>
  <c r="Q107" i="15"/>
  <c r="Q108" i="15"/>
  <c r="Q109" i="15"/>
  <c r="Q110" i="15"/>
  <c r="Q111" i="15"/>
  <c r="Q112" i="15"/>
  <c r="Q113" i="15"/>
  <c r="Q114" i="15"/>
  <c r="Q115" i="15"/>
  <c r="Q116" i="15"/>
  <c r="Q117" i="15"/>
  <c r="Q118" i="15"/>
  <c r="Q119" i="15"/>
  <c r="Q106" i="15"/>
  <c r="Q107" i="14"/>
  <c r="Q108" i="14"/>
  <c r="Q109" i="14"/>
  <c r="Q110" i="14"/>
  <c r="Q111" i="14"/>
  <c r="Q112" i="14"/>
  <c r="Q113" i="14"/>
  <c r="Q114" i="14"/>
  <c r="Q115" i="14"/>
  <c r="Q116" i="14"/>
  <c r="Q117" i="14"/>
  <c r="Q118" i="14"/>
  <c r="Q119" i="14"/>
  <c r="Q106" i="14"/>
  <c r="Q107" i="13"/>
  <c r="Q108" i="13"/>
  <c r="Q109" i="13"/>
  <c r="Q110" i="13"/>
  <c r="Q111" i="13"/>
  <c r="Q112" i="13"/>
  <c r="Q113" i="13"/>
  <c r="Q114" i="13"/>
  <c r="Q115" i="13"/>
  <c r="Q116" i="13"/>
  <c r="Q117" i="13"/>
  <c r="Q118" i="13"/>
  <c r="Q119" i="13"/>
  <c r="Q106" i="13"/>
  <c r="Q107" i="12"/>
  <c r="Q108" i="12"/>
  <c r="Q109" i="12"/>
  <c r="Q110" i="12"/>
  <c r="Q111" i="12"/>
  <c r="Q112" i="12"/>
  <c r="Q113" i="12"/>
  <c r="Q114" i="12"/>
  <c r="Q115" i="12"/>
  <c r="Q116" i="12"/>
  <c r="Q117" i="12"/>
  <c r="Q118" i="12"/>
  <c r="Q119" i="12"/>
  <c r="Q106" i="12"/>
  <c r="Q107" i="11"/>
  <c r="Q108" i="11"/>
  <c r="Q109" i="11"/>
  <c r="Q110" i="11"/>
  <c r="Q111" i="11"/>
  <c r="Q112" i="11"/>
  <c r="Q113" i="11"/>
  <c r="Q114" i="11"/>
  <c r="Q115" i="11"/>
  <c r="Q116" i="11"/>
  <c r="Q117" i="11"/>
  <c r="Q118" i="11"/>
  <c r="Q119" i="11"/>
  <c r="Q106" i="11"/>
  <c r="Q107" i="10"/>
  <c r="Q108" i="10"/>
  <c r="Q109" i="10"/>
  <c r="Q110" i="10"/>
  <c r="Q111" i="10"/>
  <c r="Q112" i="10"/>
  <c r="Q113" i="10"/>
  <c r="Q114" i="10"/>
  <c r="Q115" i="10"/>
  <c r="Q116" i="10"/>
  <c r="Q117" i="10"/>
  <c r="Q118" i="10"/>
  <c r="Q119" i="10"/>
  <c r="Q106" i="10"/>
  <c r="Q107" i="9"/>
  <c r="Q108" i="9"/>
  <c r="Q109" i="9"/>
  <c r="Q110" i="9"/>
  <c r="Q111" i="9"/>
  <c r="Q112" i="9"/>
  <c r="Q113" i="9"/>
  <c r="Q114" i="9"/>
  <c r="Q115" i="9"/>
  <c r="Q116" i="9"/>
  <c r="Q117" i="9"/>
  <c r="Q118" i="9"/>
  <c r="Q119" i="9"/>
  <c r="Q106" i="9"/>
  <c r="Q107" i="8"/>
  <c r="Q108" i="8"/>
  <c r="Q109" i="8"/>
  <c r="Q110" i="8"/>
  <c r="Q111" i="8"/>
  <c r="Q112" i="8"/>
  <c r="Q113" i="8"/>
  <c r="Q114" i="8"/>
  <c r="Q115" i="8"/>
  <c r="Q116" i="8"/>
  <c r="Q117" i="8"/>
  <c r="Q118" i="8"/>
  <c r="Q119" i="8"/>
  <c r="Q106" i="8"/>
  <c r="Q107" i="7"/>
  <c r="Q108" i="7"/>
  <c r="Q109" i="7"/>
  <c r="Q110" i="7"/>
  <c r="Q111" i="7"/>
  <c r="Q112" i="7"/>
  <c r="Q113" i="7"/>
  <c r="Q114" i="7"/>
  <c r="Q115" i="7"/>
  <c r="Q116" i="7"/>
  <c r="Q117" i="7"/>
  <c r="Q118" i="7"/>
  <c r="Q119" i="7"/>
  <c r="Q106" i="7"/>
  <c r="Q107" i="6"/>
  <c r="Q108" i="6"/>
  <c r="Q109" i="6"/>
  <c r="Q110" i="6"/>
  <c r="Q111" i="6"/>
  <c r="Q112" i="6"/>
  <c r="Q113" i="6"/>
  <c r="Q114" i="6"/>
  <c r="Q115" i="6"/>
  <c r="Q116" i="6"/>
  <c r="Q117" i="6"/>
  <c r="Q118" i="6"/>
  <c r="Q119" i="6"/>
  <c r="Q106" i="6"/>
  <c r="Q107" i="5"/>
  <c r="Q108" i="5"/>
  <c r="Q109" i="5"/>
  <c r="Q110" i="5"/>
  <c r="Q111" i="5"/>
  <c r="Q112" i="5"/>
  <c r="Q113" i="5"/>
  <c r="Q114" i="5"/>
  <c r="Q115" i="5"/>
  <c r="Q116" i="5"/>
  <c r="Q117" i="5"/>
  <c r="Q118" i="5"/>
  <c r="Q119" i="5"/>
  <c r="Q106" i="5"/>
  <c r="Q107" i="4"/>
  <c r="Q108" i="4"/>
  <c r="Q109" i="4"/>
  <c r="Q110" i="4"/>
  <c r="Q111" i="4"/>
  <c r="Q112" i="4"/>
  <c r="Q113" i="4"/>
  <c r="Q114" i="4"/>
  <c r="Q115" i="4"/>
  <c r="Q116" i="4"/>
  <c r="Q117" i="4"/>
  <c r="Q118" i="4"/>
  <c r="Q119" i="4"/>
  <c r="Q106" i="4"/>
  <c r="Q107" i="3"/>
  <c r="Q108" i="3"/>
  <c r="Q109" i="3"/>
  <c r="Q110" i="3"/>
  <c r="Q111" i="3"/>
  <c r="Q112" i="3"/>
  <c r="Q113" i="3"/>
  <c r="Q114" i="3"/>
  <c r="Q115" i="3"/>
  <c r="Q116" i="3"/>
  <c r="Q117" i="3"/>
  <c r="Q118" i="3"/>
  <c r="Q119" i="3"/>
  <c r="Q106" i="3"/>
  <c r="K142" i="3" l="1"/>
  <c r="K121" i="32"/>
  <c r="K121" i="31"/>
  <c r="K121" i="30"/>
  <c r="K121" i="29"/>
  <c r="K121" i="28"/>
  <c r="K121" i="27"/>
  <c r="K121" i="26"/>
  <c r="K121" i="25"/>
  <c r="K121" i="24"/>
  <c r="K121" i="23"/>
  <c r="K121" i="22"/>
  <c r="K121" i="21"/>
  <c r="K121" i="20"/>
  <c r="K121" i="19"/>
  <c r="K121" i="18"/>
  <c r="K121" i="17"/>
  <c r="K121" i="16"/>
  <c r="K121" i="15"/>
  <c r="K121" i="14"/>
  <c r="K121" i="13"/>
  <c r="K121" i="12"/>
  <c r="K121" i="11"/>
  <c r="K121" i="10"/>
  <c r="K121" i="9"/>
  <c r="K121" i="8"/>
  <c r="K121" i="7"/>
  <c r="K121" i="6"/>
  <c r="K121" i="5"/>
  <c r="K121" i="4"/>
  <c r="K121" i="3"/>
  <c r="M19" i="34" l="1"/>
  <c r="M18" i="34"/>
  <c r="M17" i="34"/>
  <c r="M16" i="34"/>
  <c r="M15" i="34"/>
  <c r="M14" i="34"/>
  <c r="M13" i="34"/>
  <c r="M12" i="34"/>
  <c r="M11" i="34"/>
  <c r="M10" i="34"/>
  <c r="M9" i="34"/>
  <c r="F20" i="34"/>
  <c r="F19" i="34"/>
  <c r="F18" i="34"/>
  <c r="F17" i="34"/>
  <c r="F16" i="34"/>
  <c r="F15" i="34"/>
  <c r="F14" i="34"/>
  <c r="F13" i="34"/>
  <c r="F12" i="34"/>
  <c r="F11" i="34"/>
  <c r="F10" i="34"/>
  <c r="F9" i="34"/>
  <c r="H22" i="34" l="1"/>
  <c r="M17" i="33"/>
  <c r="M16" i="33"/>
  <c r="M15" i="33"/>
  <c r="M14" i="33"/>
  <c r="M13" i="33"/>
  <c r="M12" i="33"/>
  <c r="M11" i="33"/>
  <c r="M10" i="33"/>
  <c r="M9" i="33"/>
  <c r="M8" i="33"/>
  <c r="M7" i="33"/>
  <c r="F18" i="33"/>
  <c r="F17" i="33"/>
  <c r="F16" i="33"/>
  <c r="F15" i="33"/>
  <c r="F14" i="33"/>
  <c r="F13" i="33"/>
  <c r="F12" i="33"/>
  <c r="F11" i="33"/>
  <c r="F10" i="33"/>
  <c r="F9" i="33"/>
  <c r="F8" i="33"/>
  <c r="F7" i="33"/>
  <c r="C18" i="33"/>
  <c r="J17" i="33"/>
  <c r="C17" i="33"/>
  <c r="J16" i="33"/>
  <c r="C16" i="33"/>
  <c r="J15" i="33"/>
  <c r="C15" i="33"/>
  <c r="J14" i="33"/>
  <c r="C14" i="33"/>
  <c r="J13" i="33"/>
  <c r="C13" i="33"/>
  <c r="J12" i="33"/>
  <c r="C12" i="33"/>
  <c r="J11" i="33"/>
  <c r="C11" i="33"/>
  <c r="J10" i="33"/>
  <c r="C10" i="33"/>
  <c r="J9" i="33"/>
  <c r="C9" i="33"/>
  <c r="J8" i="33"/>
  <c r="C8" i="33"/>
  <c r="J7" i="33"/>
  <c r="C7" i="33"/>
  <c r="H7" i="34"/>
  <c r="C20" i="34"/>
  <c r="J19" i="34"/>
  <c r="C19" i="34"/>
  <c r="J18" i="34"/>
  <c r="C18" i="34"/>
  <c r="J17" i="34"/>
  <c r="C17" i="34"/>
  <c r="J16" i="34"/>
  <c r="C16" i="34"/>
  <c r="J15" i="34"/>
  <c r="C15" i="34"/>
  <c r="J14" i="34"/>
  <c r="C14" i="34"/>
  <c r="J13" i="34"/>
  <c r="C13" i="34"/>
  <c r="J12" i="34"/>
  <c r="C12" i="34"/>
  <c r="J11" i="34"/>
  <c r="C11" i="34"/>
  <c r="J10" i="34"/>
  <c r="C10" i="34"/>
  <c r="J9" i="34"/>
  <c r="C9" i="34"/>
  <c r="C18" i="37"/>
  <c r="H17" i="37"/>
  <c r="C17" i="37"/>
  <c r="H16" i="37"/>
  <c r="C16" i="37"/>
  <c r="H15" i="37"/>
  <c r="C15" i="37"/>
  <c r="H14" i="37"/>
  <c r="C14" i="37"/>
  <c r="H13" i="37"/>
  <c r="C13" i="37"/>
  <c r="H12" i="37"/>
  <c r="C12" i="37"/>
  <c r="H11" i="37"/>
  <c r="C11" i="37"/>
  <c r="H10" i="37"/>
  <c r="C10" i="37"/>
  <c r="H9" i="37"/>
  <c r="C9" i="37"/>
  <c r="H8" i="37"/>
  <c r="C8" i="37"/>
  <c r="H7" i="37"/>
  <c r="C7" i="37"/>
  <c r="H17" i="2"/>
  <c r="H16" i="2"/>
  <c r="H15" i="2"/>
  <c r="H14" i="2"/>
  <c r="H13" i="2"/>
  <c r="H12" i="2"/>
  <c r="H11" i="2"/>
  <c r="H10" i="2"/>
  <c r="H9" i="2"/>
  <c r="H8" i="2"/>
  <c r="H7" i="2"/>
  <c r="C18" i="2"/>
  <c r="C17" i="2"/>
  <c r="C16" i="2"/>
  <c r="C15" i="2"/>
  <c r="C14" i="2"/>
  <c r="C13" i="2"/>
  <c r="C12" i="2"/>
  <c r="C11" i="2"/>
  <c r="C10" i="2"/>
  <c r="C9" i="2"/>
  <c r="C8" i="2"/>
  <c r="C7" i="2"/>
  <c r="K136" i="32" l="1"/>
  <c r="K136" i="31"/>
  <c r="K136" i="30"/>
  <c r="K136" i="29"/>
  <c r="K136" i="28"/>
  <c r="K136" i="27"/>
  <c r="K136" i="26"/>
  <c r="K136" i="25"/>
  <c r="K136" i="24"/>
  <c r="K136" i="23"/>
  <c r="K136" i="22"/>
  <c r="K136" i="21"/>
  <c r="K136" i="20"/>
  <c r="K136" i="19"/>
  <c r="K136" i="18"/>
  <c r="K136" i="17"/>
  <c r="K136" i="16"/>
  <c r="K136" i="15"/>
  <c r="K136" i="14"/>
  <c r="K136" i="13"/>
  <c r="K136" i="12"/>
  <c r="K136" i="11"/>
  <c r="K136" i="10"/>
  <c r="K136" i="9"/>
  <c r="K136" i="8"/>
  <c r="K136" i="7"/>
  <c r="K136" i="6"/>
  <c r="K136" i="3"/>
  <c r="K136" i="5"/>
  <c r="K136" i="4"/>
  <c r="AE81" i="32"/>
  <c r="AC81" i="32"/>
  <c r="Z81" i="32"/>
  <c r="X81" i="32"/>
  <c r="V81" i="32"/>
  <c r="U81" i="32"/>
  <c r="T81" i="32"/>
  <c r="S81" i="32"/>
  <c r="R81" i="32"/>
  <c r="AE80" i="32"/>
  <c r="AC80" i="32"/>
  <c r="Z80" i="32"/>
  <c r="X80" i="32"/>
  <c r="V80" i="32"/>
  <c r="U80" i="32"/>
  <c r="T80" i="32"/>
  <c r="S80" i="32"/>
  <c r="R80" i="32"/>
  <c r="AE79" i="32"/>
  <c r="AC79" i="32"/>
  <c r="Z79" i="32"/>
  <c r="X79" i="32"/>
  <c r="V79" i="32"/>
  <c r="U79" i="32"/>
  <c r="T79" i="32"/>
  <c r="S79" i="32"/>
  <c r="R79" i="32"/>
  <c r="AE78" i="32"/>
  <c r="AC78" i="32"/>
  <c r="Z78" i="32"/>
  <c r="X78" i="32"/>
  <c r="V78" i="32"/>
  <c r="U78" i="32"/>
  <c r="T78" i="32"/>
  <c r="S78" i="32"/>
  <c r="R78" i="32"/>
  <c r="AE77" i="32"/>
  <c r="AC77" i="32"/>
  <c r="Z77" i="32"/>
  <c r="X77" i="32"/>
  <c r="V77" i="32"/>
  <c r="U77" i="32"/>
  <c r="T77" i="32"/>
  <c r="S77" i="32"/>
  <c r="R77" i="32"/>
  <c r="AE76" i="32"/>
  <c r="AC76" i="32"/>
  <c r="Z76" i="32"/>
  <c r="X76" i="32"/>
  <c r="V76" i="32"/>
  <c r="U76" i="32"/>
  <c r="T76" i="32"/>
  <c r="S76" i="32"/>
  <c r="R76" i="32"/>
  <c r="AE75" i="32"/>
  <c r="AC75" i="32"/>
  <c r="Z75" i="32"/>
  <c r="X75" i="32"/>
  <c r="V75" i="32"/>
  <c r="U75" i="32"/>
  <c r="T75" i="32"/>
  <c r="S75" i="32"/>
  <c r="R75" i="32"/>
  <c r="AE74" i="32"/>
  <c r="AC74" i="32"/>
  <c r="Z74" i="32"/>
  <c r="X74" i="32"/>
  <c r="V74" i="32"/>
  <c r="U74" i="32"/>
  <c r="T74" i="32"/>
  <c r="S74" i="32"/>
  <c r="R74" i="32"/>
  <c r="AE73" i="32"/>
  <c r="AC73" i="32"/>
  <c r="Z73" i="32"/>
  <c r="X73" i="32"/>
  <c r="V73" i="32"/>
  <c r="U73" i="32"/>
  <c r="T73" i="32"/>
  <c r="S73" i="32"/>
  <c r="R73" i="32"/>
  <c r="AE72" i="32"/>
  <c r="AC72" i="32"/>
  <c r="Z72" i="32"/>
  <c r="X72" i="32"/>
  <c r="V72" i="32"/>
  <c r="U72" i="32"/>
  <c r="T72" i="32"/>
  <c r="S72" i="32"/>
  <c r="R72" i="32"/>
  <c r="AE71" i="32"/>
  <c r="AC71" i="32"/>
  <c r="Z71" i="32"/>
  <c r="X71" i="32"/>
  <c r="V71" i="32"/>
  <c r="U71" i="32"/>
  <c r="T71" i="32"/>
  <c r="S71" i="32"/>
  <c r="R71" i="32"/>
  <c r="AE70" i="32"/>
  <c r="AC70" i="32"/>
  <c r="Z70" i="32"/>
  <c r="X70" i="32"/>
  <c r="V70" i="32"/>
  <c r="U70" i="32"/>
  <c r="T70" i="32"/>
  <c r="S70" i="32"/>
  <c r="R70" i="32"/>
  <c r="AE69" i="32"/>
  <c r="AC69" i="32"/>
  <c r="Z69" i="32"/>
  <c r="X69" i="32"/>
  <c r="V69" i="32"/>
  <c r="U69" i="32"/>
  <c r="T69" i="32"/>
  <c r="S69" i="32"/>
  <c r="R69" i="32"/>
  <c r="AE68" i="32"/>
  <c r="AC68" i="32"/>
  <c r="Z68" i="32"/>
  <c r="X68" i="32"/>
  <c r="V68" i="32"/>
  <c r="U68" i="32"/>
  <c r="T68" i="32"/>
  <c r="S68" i="32"/>
  <c r="R68" i="32"/>
  <c r="AE67" i="32"/>
  <c r="AC67" i="32"/>
  <c r="Z67" i="32"/>
  <c r="X67" i="32"/>
  <c r="V67" i="32"/>
  <c r="U67" i="32"/>
  <c r="T67" i="32"/>
  <c r="S67" i="32"/>
  <c r="R67" i="32"/>
  <c r="AE66" i="32"/>
  <c r="AC66" i="32"/>
  <c r="Z66" i="32"/>
  <c r="X66" i="32"/>
  <c r="V66" i="32"/>
  <c r="U66" i="32"/>
  <c r="T66" i="32"/>
  <c r="S66" i="32"/>
  <c r="R66" i="32"/>
  <c r="AE65" i="32"/>
  <c r="AC65" i="32"/>
  <c r="Z65" i="32"/>
  <c r="X65" i="32"/>
  <c r="V65" i="32"/>
  <c r="U65" i="32"/>
  <c r="T65" i="32"/>
  <c r="S65" i="32"/>
  <c r="R65" i="32"/>
  <c r="AE64" i="32"/>
  <c r="AC64" i="32"/>
  <c r="Z64" i="32"/>
  <c r="X64" i="32"/>
  <c r="V64" i="32"/>
  <c r="U64" i="32"/>
  <c r="T64" i="32"/>
  <c r="S64" i="32"/>
  <c r="R64" i="32"/>
  <c r="AE63" i="32"/>
  <c r="AC63" i="32"/>
  <c r="Z63" i="32"/>
  <c r="X63" i="32"/>
  <c r="V63" i="32"/>
  <c r="U63" i="32"/>
  <c r="T63" i="32"/>
  <c r="S63" i="32"/>
  <c r="R63" i="32"/>
  <c r="AE62" i="32"/>
  <c r="U62" i="32"/>
  <c r="AE81" i="31"/>
  <c r="AC81" i="31"/>
  <c r="Z81" i="31"/>
  <c r="X81" i="31"/>
  <c r="V81" i="31"/>
  <c r="U81" i="31"/>
  <c r="T81" i="31"/>
  <c r="S81" i="31"/>
  <c r="R81" i="31"/>
  <c r="AE80" i="31"/>
  <c r="AC80" i="31"/>
  <c r="Z80" i="31"/>
  <c r="X80" i="31"/>
  <c r="V80" i="31"/>
  <c r="U80" i="31"/>
  <c r="T80" i="31"/>
  <c r="S80" i="31"/>
  <c r="R80" i="31"/>
  <c r="AE79" i="31"/>
  <c r="AC79" i="31"/>
  <c r="Z79" i="31"/>
  <c r="X79" i="31"/>
  <c r="V79" i="31"/>
  <c r="U79" i="31"/>
  <c r="T79" i="31"/>
  <c r="S79" i="31"/>
  <c r="R79" i="31"/>
  <c r="AE78" i="31"/>
  <c r="AC78" i="31"/>
  <c r="Z78" i="31"/>
  <c r="X78" i="31"/>
  <c r="V78" i="31"/>
  <c r="U78" i="31"/>
  <c r="T78" i="31"/>
  <c r="S78" i="31"/>
  <c r="R78" i="31"/>
  <c r="AE77" i="31"/>
  <c r="AC77" i="31"/>
  <c r="Z77" i="31"/>
  <c r="X77" i="31"/>
  <c r="V77" i="31"/>
  <c r="U77" i="31"/>
  <c r="T77" i="31"/>
  <c r="S77" i="31"/>
  <c r="R77" i="31"/>
  <c r="AE76" i="31"/>
  <c r="AC76" i="31"/>
  <c r="Z76" i="31"/>
  <c r="X76" i="31"/>
  <c r="V76" i="31"/>
  <c r="U76" i="31"/>
  <c r="T76" i="31"/>
  <c r="S76" i="31"/>
  <c r="R76" i="31"/>
  <c r="AE75" i="31"/>
  <c r="AC75" i="31"/>
  <c r="Z75" i="31"/>
  <c r="X75" i="31"/>
  <c r="V75" i="31"/>
  <c r="U75" i="31"/>
  <c r="T75" i="31"/>
  <c r="S75" i="31"/>
  <c r="R75" i="31"/>
  <c r="AE74" i="31"/>
  <c r="AC74" i="31"/>
  <c r="Z74" i="31"/>
  <c r="X74" i="31"/>
  <c r="V74" i="31"/>
  <c r="U74" i="31"/>
  <c r="T74" i="31"/>
  <c r="S74" i="31"/>
  <c r="R74" i="31"/>
  <c r="AE73" i="31"/>
  <c r="AC73" i="31"/>
  <c r="Z73" i="31"/>
  <c r="X73" i="31"/>
  <c r="V73" i="31"/>
  <c r="U73" i="31"/>
  <c r="T73" i="31"/>
  <c r="S73" i="31"/>
  <c r="R73" i="31"/>
  <c r="AE72" i="31"/>
  <c r="AC72" i="31"/>
  <c r="Z72" i="31"/>
  <c r="X72" i="31"/>
  <c r="V72" i="31"/>
  <c r="U72" i="31"/>
  <c r="T72" i="31"/>
  <c r="S72" i="31"/>
  <c r="R72" i="31"/>
  <c r="AE71" i="31"/>
  <c r="AC71" i="31"/>
  <c r="Z71" i="31"/>
  <c r="X71" i="31"/>
  <c r="V71" i="31"/>
  <c r="U71" i="31"/>
  <c r="T71" i="31"/>
  <c r="S71" i="31"/>
  <c r="R71" i="31"/>
  <c r="AE70" i="31"/>
  <c r="AC70" i="31"/>
  <c r="Z70" i="31"/>
  <c r="X70" i="31"/>
  <c r="V70" i="31"/>
  <c r="U70" i="31"/>
  <c r="T70" i="31"/>
  <c r="S70" i="31"/>
  <c r="R70" i="31"/>
  <c r="AE69" i="31"/>
  <c r="AC69" i="31"/>
  <c r="Z69" i="31"/>
  <c r="X69" i="31"/>
  <c r="V69" i="31"/>
  <c r="U69" i="31"/>
  <c r="T69" i="31"/>
  <c r="S69" i="31"/>
  <c r="R69" i="31"/>
  <c r="AE68" i="31"/>
  <c r="AC68" i="31"/>
  <c r="Z68" i="31"/>
  <c r="X68" i="31"/>
  <c r="V68" i="31"/>
  <c r="U68" i="31"/>
  <c r="T68" i="31"/>
  <c r="S68" i="31"/>
  <c r="R68" i="31"/>
  <c r="AE67" i="31"/>
  <c r="AC67" i="31"/>
  <c r="Z67" i="31"/>
  <c r="X67" i="31"/>
  <c r="V67" i="31"/>
  <c r="U67" i="31"/>
  <c r="T67" i="31"/>
  <c r="S67" i="31"/>
  <c r="R67" i="31"/>
  <c r="AE66" i="31"/>
  <c r="AC66" i="31"/>
  <c r="Z66" i="31"/>
  <c r="X66" i="31"/>
  <c r="V66" i="31"/>
  <c r="U66" i="31"/>
  <c r="T66" i="31"/>
  <c r="S66" i="31"/>
  <c r="R66" i="31"/>
  <c r="AE65" i="31"/>
  <c r="AC65" i="31"/>
  <c r="Z65" i="31"/>
  <c r="X65" i="31"/>
  <c r="V65" i="31"/>
  <c r="U65" i="31"/>
  <c r="T65" i="31"/>
  <c r="S65" i="31"/>
  <c r="R65" i="31"/>
  <c r="AE64" i="31"/>
  <c r="AC64" i="31"/>
  <c r="Z64" i="31"/>
  <c r="X64" i="31"/>
  <c r="V64" i="31"/>
  <c r="U64" i="31"/>
  <c r="T64" i="31"/>
  <c r="S64" i="31"/>
  <c r="R64" i="31"/>
  <c r="AE63" i="31"/>
  <c r="AC63" i="31"/>
  <c r="Z63" i="31"/>
  <c r="X63" i="31"/>
  <c r="V63" i="31"/>
  <c r="U63" i="31"/>
  <c r="T63" i="31"/>
  <c r="S63" i="31"/>
  <c r="R63" i="31"/>
  <c r="AE62" i="31"/>
  <c r="AC62" i="31"/>
  <c r="Z62" i="31"/>
  <c r="X62" i="31"/>
  <c r="V62" i="31"/>
  <c r="U62" i="31"/>
  <c r="T62" i="31"/>
  <c r="S62" i="31"/>
  <c r="R62" i="31"/>
  <c r="AE81" i="30"/>
  <c r="AC81" i="30"/>
  <c r="Z81" i="30"/>
  <c r="X81" i="30"/>
  <c r="V81" i="30"/>
  <c r="U81" i="30"/>
  <c r="T81" i="30"/>
  <c r="S81" i="30"/>
  <c r="R81" i="30"/>
  <c r="AE80" i="30"/>
  <c r="AC80" i="30"/>
  <c r="Z80" i="30"/>
  <c r="X80" i="30"/>
  <c r="V80" i="30"/>
  <c r="U80" i="30"/>
  <c r="T80" i="30"/>
  <c r="S80" i="30"/>
  <c r="R80" i="30"/>
  <c r="AE79" i="30"/>
  <c r="AC79" i="30"/>
  <c r="Z79" i="30"/>
  <c r="X79" i="30"/>
  <c r="V79" i="30"/>
  <c r="U79" i="30"/>
  <c r="T79" i="30"/>
  <c r="S79" i="30"/>
  <c r="R79" i="30"/>
  <c r="AE78" i="30"/>
  <c r="AC78" i="30"/>
  <c r="Z78" i="30"/>
  <c r="X78" i="30"/>
  <c r="V78" i="30"/>
  <c r="U78" i="30"/>
  <c r="T78" i="30"/>
  <c r="S78" i="30"/>
  <c r="R78" i="30"/>
  <c r="AE77" i="30"/>
  <c r="AC77" i="30"/>
  <c r="Z77" i="30"/>
  <c r="X77" i="30"/>
  <c r="V77" i="30"/>
  <c r="U77" i="30"/>
  <c r="T77" i="30"/>
  <c r="S77" i="30"/>
  <c r="R77" i="30"/>
  <c r="AE76" i="30"/>
  <c r="AC76" i="30"/>
  <c r="Z76" i="30"/>
  <c r="X76" i="30"/>
  <c r="V76" i="30"/>
  <c r="U76" i="30"/>
  <c r="T76" i="30"/>
  <c r="S76" i="30"/>
  <c r="R76" i="30"/>
  <c r="AE75" i="30"/>
  <c r="AC75" i="30"/>
  <c r="Z75" i="30"/>
  <c r="X75" i="30"/>
  <c r="V75" i="30"/>
  <c r="U75" i="30"/>
  <c r="T75" i="30"/>
  <c r="S75" i="30"/>
  <c r="R75" i="30"/>
  <c r="AE74" i="30"/>
  <c r="AC74" i="30"/>
  <c r="Z74" i="30"/>
  <c r="X74" i="30"/>
  <c r="V74" i="30"/>
  <c r="U74" i="30"/>
  <c r="T74" i="30"/>
  <c r="S74" i="30"/>
  <c r="R74" i="30"/>
  <c r="AE73" i="30"/>
  <c r="AC73" i="30"/>
  <c r="Z73" i="30"/>
  <c r="X73" i="30"/>
  <c r="V73" i="30"/>
  <c r="U73" i="30"/>
  <c r="T73" i="30"/>
  <c r="S73" i="30"/>
  <c r="R73" i="30"/>
  <c r="AE72" i="30"/>
  <c r="AC72" i="30"/>
  <c r="Z72" i="30"/>
  <c r="X72" i="30"/>
  <c r="V72" i="30"/>
  <c r="U72" i="30"/>
  <c r="T72" i="30"/>
  <c r="S72" i="30"/>
  <c r="R72" i="30"/>
  <c r="AE71" i="30"/>
  <c r="AC71" i="30"/>
  <c r="Z71" i="30"/>
  <c r="X71" i="30"/>
  <c r="V71" i="30"/>
  <c r="U71" i="30"/>
  <c r="T71" i="30"/>
  <c r="S71" i="30"/>
  <c r="R71" i="30"/>
  <c r="AE70" i="30"/>
  <c r="AC70" i="30"/>
  <c r="Z70" i="30"/>
  <c r="X70" i="30"/>
  <c r="V70" i="30"/>
  <c r="U70" i="30"/>
  <c r="T70" i="30"/>
  <c r="S70" i="30"/>
  <c r="R70" i="30"/>
  <c r="AE69" i="30"/>
  <c r="AC69" i="30"/>
  <c r="Z69" i="30"/>
  <c r="X69" i="30"/>
  <c r="V69" i="30"/>
  <c r="U69" i="30"/>
  <c r="T69" i="30"/>
  <c r="S69" i="30"/>
  <c r="R69" i="30"/>
  <c r="AE68" i="30"/>
  <c r="AC68" i="30"/>
  <c r="Z68" i="30"/>
  <c r="X68" i="30"/>
  <c r="V68" i="30"/>
  <c r="U68" i="30"/>
  <c r="T68" i="30"/>
  <c r="S68" i="30"/>
  <c r="R68" i="30"/>
  <c r="AE67" i="30"/>
  <c r="AC67" i="30"/>
  <c r="Z67" i="30"/>
  <c r="X67" i="30"/>
  <c r="V67" i="30"/>
  <c r="U67" i="30"/>
  <c r="T67" i="30"/>
  <c r="S67" i="30"/>
  <c r="R67" i="30"/>
  <c r="AE66" i="30"/>
  <c r="AC66" i="30"/>
  <c r="Z66" i="30"/>
  <c r="X66" i="30"/>
  <c r="V66" i="30"/>
  <c r="U66" i="30"/>
  <c r="T66" i="30"/>
  <c r="S66" i="30"/>
  <c r="R66" i="30"/>
  <c r="AE65" i="30"/>
  <c r="AC65" i="30"/>
  <c r="Z65" i="30"/>
  <c r="X65" i="30"/>
  <c r="V65" i="30"/>
  <c r="U65" i="30"/>
  <c r="T65" i="30"/>
  <c r="S65" i="30"/>
  <c r="R65" i="30"/>
  <c r="AE64" i="30"/>
  <c r="AC64" i="30"/>
  <c r="Z64" i="30"/>
  <c r="X64" i="30"/>
  <c r="V64" i="30"/>
  <c r="U64" i="30"/>
  <c r="T64" i="30"/>
  <c r="S64" i="30"/>
  <c r="R64" i="30"/>
  <c r="AE63" i="30"/>
  <c r="AC63" i="30"/>
  <c r="Z63" i="30"/>
  <c r="X63" i="30"/>
  <c r="V63" i="30"/>
  <c r="U63" i="30"/>
  <c r="T63" i="30"/>
  <c r="S63" i="30"/>
  <c r="R63" i="30"/>
  <c r="AE62" i="30"/>
  <c r="AC62" i="30"/>
  <c r="Z62" i="30"/>
  <c r="X62" i="30"/>
  <c r="V62" i="30"/>
  <c r="U62" i="30"/>
  <c r="T62" i="30"/>
  <c r="S62" i="30"/>
  <c r="R62" i="30"/>
  <c r="AE81" i="29"/>
  <c r="AC81" i="29"/>
  <c r="Z81" i="29"/>
  <c r="X81" i="29"/>
  <c r="V81" i="29"/>
  <c r="U81" i="29"/>
  <c r="T81" i="29"/>
  <c r="S81" i="29"/>
  <c r="R81" i="29"/>
  <c r="AE80" i="29"/>
  <c r="AC80" i="29"/>
  <c r="Z80" i="29"/>
  <c r="X80" i="29"/>
  <c r="V80" i="29"/>
  <c r="U80" i="29"/>
  <c r="T80" i="29"/>
  <c r="S80" i="29"/>
  <c r="R80" i="29"/>
  <c r="AE79" i="29"/>
  <c r="AC79" i="29"/>
  <c r="Z79" i="29"/>
  <c r="X79" i="29"/>
  <c r="V79" i="29"/>
  <c r="U79" i="29"/>
  <c r="T79" i="29"/>
  <c r="S79" i="29"/>
  <c r="R79" i="29"/>
  <c r="AE78" i="29"/>
  <c r="AC78" i="29"/>
  <c r="Z78" i="29"/>
  <c r="X78" i="29"/>
  <c r="V78" i="29"/>
  <c r="U78" i="29"/>
  <c r="T78" i="29"/>
  <c r="S78" i="29"/>
  <c r="R78" i="29"/>
  <c r="AE77" i="29"/>
  <c r="AC77" i="29"/>
  <c r="Z77" i="29"/>
  <c r="X77" i="29"/>
  <c r="V77" i="29"/>
  <c r="U77" i="29"/>
  <c r="T77" i="29"/>
  <c r="S77" i="29"/>
  <c r="R77" i="29"/>
  <c r="AE76" i="29"/>
  <c r="AC76" i="29"/>
  <c r="Z76" i="29"/>
  <c r="X76" i="29"/>
  <c r="V76" i="29"/>
  <c r="U76" i="29"/>
  <c r="T76" i="29"/>
  <c r="S76" i="29"/>
  <c r="R76" i="29"/>
  <c r="AE75" i="29"/>
  <c r="AC75" i="29"/>
  <c r="Z75" i="29"/>
  <c r="X75" i="29"/>
  <c r="V75" i="29"/>
  <c r="U75" i="29"/>
  <c r="T75" i="29"/>
  <c r="S75" i="29"/>
  <c r="R75" i="29"/>
  <c r="AE74" i="29"/>
  <c r="AC74" i="29"/>
  <c r="Z74" i="29"/>
  <c r="X74" i="29"/>
  <c r="V74" i="29"/>
  <c r="U74" i="29"/>
  <c r="T74" i="29"/>
  <c r="S74" i="29"/>
  <c r="R74" i="29"/>
  <c r="AE73" i="29"/>
  <c r="AC73" i="29"/>
  <c r="Z73" i="29"/>
  <c r="X73" i="29"/>
  <c r="V73" i="29"/>
  <c r="U73" i="29"/>
  <c r="T73" i="29"/>
  <c r="S73" i="29"/>
  <c r="R73" i="29"/>
  <c r="AE72" i="29"/>
  <c r="AC72" i="29"/>
  <c r="Z72" i="29"/>
  <c r="X72" i="29"/>
  <c r="V72" i="29"/>
  <c r="U72" i="29"/>
  <c r="T72" i="29"/>
  <c r="S72" i="29"/>
  <c r="R72" i="29"/>
  <c r="AE71" i="29"/>
  <c r="AC71" i="29"/>
  <c r="Z71" i="29"/>
  <c r="X71" i="29"/>
  <c r="V71" i="29"/>
  <c r="U71" i="29"/>
  <c r="T71" i="29"/>
  <c r="S71" i="29"/>
  <c r="R71" i="29"/>
  <c r="AE70" i="29"/>
  <c r="AC70" i="29"/>
  <c r="Z70" i="29"/>
  <c r="X70" i="29"/>
  <c r="V70" i="29"/>
  <c r="U70" i="29"/>
  <c r="T70" i="29"/>
  <c r="S70" i="29"/>
  <c r="R70" i="29"/>
  <c r="AE69" i="29"/>
  <c r="AC69" i="29"/>
  <c r="Z69" i="29"/>
  <c r="X69" i="29"/>
  <c r="V69" i="29"/>
  <c r="U69" i="29"/>
  <c r="T69" i="29"/>
  <c r="S69" i="29"/>
  <c r="R69" i="29"/>
  <c r="AE68" i="29"/>
  <c r="AC68" i="29"/>
  <c r="Z68" i="29"/>
  <c r="X68" i="29"/>
  <c r="V68" i="29"/>
  <c r="U68" i="29"/>
  <c r="T68" i="29"/>
  <c r="S68" i="29"/>
  <c r="R68" i="29"/>
  <c r="AE67" i="29"/>
  <c r="AC67" i="29"/>
  <c r="Z67" i="29"/>
  <c r="X67" i="29"/>
  <c r="V67" i="29"/>
  <c r="U67" i="29"/>
  <c r="T67" i="29"/>
  <c r="S67" i="29"/>
  <c r="R67" i="29"/>
  <c r="AE66" i="29"/>
  <c r="AC66" i="29"/>
  <c r="Z66" i="29"/>
  <c r="X66" i="29"/>
  <c r="V66" i="29"/>
  <c r="U66" i="29"/>
  <c r="T66" i="29"/>
  <c r="S66" i="29"/>
  <c r="R66" i="29"/>
  <c r="AE65" i="29"/>
  <c r="AC65" i="29"/>
  <c r="Z65" i="29"/>
  <c r="X65" i="29"/>
  <c r="V65" i="29"/>
  <c r="U65" i="29"/>
  <c r="T65" i="29"/>
  <c r="S65" i="29"/>
  <c r="R65" i="29"/>
  <c r="AE64" i="29"/>
  <c r="AC64" i="29"/>
  <c r="Z64" i="29"/>
  <c r="X64" i="29"/>
  <c r="V64" i="29"/>
  <c r="U64" i="29"/>
  <c r="T64" i="29"/>
  <c r="S64" i="29"/>
  <c r="R64" i="29"/>
  <c r="AE63" i="29"/>
  <c r="AC63" i="29"/>
  <c r="Z63" i="29"/>
  <c r="X63" i="29"/>
  <c r="V63" i="29"/>
  <c r="U63" i="29"/>
  <c r="T63" i="29"/>
  <c r="S63" i="29"/>
  <c r="R63" i="29"/>
  <c r="AE62" i="29"/>
  <c r="AC62" i="29"/>
  <c r="Z62" i="29"/>
  <c r="X62" i="29"/>
  <c r="V62" i="29"/>
  <c r="U62" i="29"/>
  <c r="T62" i="29"/>
  <c r="S62" i="29"/>
  <c r="R62" i="29"/>
  <c r="AE81" i="28"/>
  <c r="AC81" i="28"/>
  <c r="Z81" i="28"/>
  <c r="X81" i="28"/>
  <c r="V81" i="28"/>
  <c r="U81" i="28"/>
  <c r="T81" i="28"/>
  <c r="S81" i="28"/>
  <c r="R81" i="28"/>
  <c r="AE80" i="28"/>
  <c r="AC80" i="28"/>
  <c r="Z80" i="28"/>
  <c r="X80" i="28"/>
  <c r="V80" i="28"/>
  <c r="U80" i="28"/>
  <c r="T80" i="28"/>
  <c r="S80" i="28"/>
  <c r="R80" i="28"/>
  <c r="AE79" i="28"/>
  <c r="AC79" i="28"/>
  <c r="Z79" i="28"/>
  <c r="X79" i="28"/>
  <c r="V79" i="28"/>
  <c r="U79" i="28"/>
  <c r="T79" i="28"/>
  <c r="S79" i="28"/>
  <c r="R79" i="28"/>
  <c r="AE78" i="28"/>
  <c r="AC78" i="28"/>
  <c r="Z78" i="28"/>
  <c r="X78" i="28"/>
  <c r="V78" i="28"/>
  <c r="U78" i="28"/>
  <c r="T78" i="28"/>
  <c r="S78" i="28"/>
  <c r="R78" i="28"/>
  <c r="AE77" i="28"/>
  <c r="AC77" i="28"/>
  <c r="Z77" i="28"/>
  <c r="X77" i="28"/>
  <c r="V77" i="28"/>
  <c r="U77" i="28"/>
  <c r="T77" i="28"/>
  <c r="S77" i="28"/>
  <c r="R77" i="28"/>
  <c r="AE76" i="28"/>
  <c r="AC76" i="28"/>
  <c r="Z76" i="28"/>
  <c r="X76" i="28"/>
  <c r="V76" i="28"/>
  <c r="U76" i="28"/>
  <c r="T76" i="28"/>
  <c r="S76" i="28"/>
  <c r="R76" i="28"/>
  <c r="AE75" i="28"/>
  <c r="AC75" i="28"/>
  <c r="Z75" i="28"/>
  <c r="X75" i="28"/>
  <c r="V75" i="28"/>
  <c r="U75" i="28"/>
  <c r="T75" i="28"/>
  <c r="S75" i="28"/>
  <c r="R75" i="28"/>
  <c r="AE74" i="28"/>
  <c r="AC74" i="28"/>
  <c r="Z74" i="28"/>
  <c r="X74" i="28"/>
  <c r="V74" i="28"/>
  <c r="U74" i="28"/>
  <c r="T74" i="28"/>
  <c r="S74" i="28"/>
  <c r="R74" i="28"/>
  <c r="AE73" i="28"/>
  <c r="AC73" i="28"/>
  <c r="Z73" i="28"/>
  <c r="X73" i="28"/>
  <c r="V73" i="28"/>
  <c r="U73" i="28"/>
  <c r="T73" i="28"/>
  <c r="S73" i="28"/>
  <c r="R73" i="28"/>
  <c r="AE72" i="28"/>
  <c r="AC72" i="28"/>
  <c r="Z72" i="28"/>
  <c r="X72" i="28"/>
  <c r="V72" i="28"/>
  <c r="U72" i="28"/>
  <c r="T72" i="28"/>
  <c r="S72" i="28"/>
  <c r="R72" i="28"/>
  <c r="AE71" i="28"/>
  <c r="AC71" i="28"/>
  <c r="Z71" i="28"/>
  <c r="X71" i="28"/>
  <c r="V71" i="28"/>
  <c r="U71" i="28"/>
  <c r="T71" i="28"/>
  <c r="S71" i="28"/>
  <c r="R71" i="28"/>
  <c r="AE70" i="28"/>
  <c r="AC70" i="28"/>
  <c r="Z70" i="28"/>
  <c r="X70" i="28"/>
  <c r="V70" i="28"/>
  <c r="U70" i="28"/>
  <c r="T70" i="28"/>
  <c r="S70" i="28"/>
  <c r="R70" i="28"/>
  <c r="AE69" i="28"/>
  <c r="AC69" i="28"/>
  <c r="Z69" i="28"/>
  <c r="X69" i="28"/>
  <c r="V69" i="28"/>
  <c r="U69" i="28"/>
  <c r="T69" i="28"/>
  <c r="S69" i="28"/>
  <c r="R69" i="28"/>
  <c r="AE68" i="28"/>
  <c r="AC68" i="28"/>
  <c r="Z68" i="28"/>
  <c r="X68" i="28"/>
  <c r="V68" i="28"/>
  <c r="U68" i="28"/>
  <c r="T68" i="28"/>
  <c r="S68" i="28"/>
  <c r="R68" i="28"/>
  <c r="AE67" i="28"/>
  <c r="AC67" i="28"/>
  <c r="Z67" i="28"/>
  <c r="X67" i="28"/>
  <c r="V67" i="28"/>
  <c r="U67" i="28"/>
  <c r="T67" i="28"/>
  <c r="S67" i="28"/>
  <c r="R67" i="28"/>
  <c r="AE66" i="28"/>
  <c r="AC66" i="28"/>
  <c r="Z66" i="28"/>
  <c r="X66" i="28"/>
  <c r="V66" i="28"/>
  <c r="U66" i="28"/>
  <c r="T66" i="28"/>
  <c r="S66" i="28"/>
  <c r="R66" i="28"/>
  <c r="AE65" i="28"/>
  <c r="AC65" i="28"/>
  <c r="Z65" i="28"/>
  <c r="X65" i="28"/>
  <c r="V65" i="28"/>
  <c r="U65" i="28"/>
  <c r="T65" i="28"/>
  <c r="S65" i="28"/>
  <c r="R65" i="28"/>
  <c r="AE64" i="28"/>
  <c r="AC64" i="28"/>
  <c r="Z64" i="28"/>
  <c r="X64" i="28"/>
  <c r="V64" i="28"/>
  <c r="U64" i="28"/>
  <c r="T64" i="28"/>
  <c r="S64" i="28"/>
  <c r="R64" i="28"/>
  <c r="AE63" i="28"/>
  <c r="AC63" i="28"/>
  <c r="Z63" i="28"/>
  <c r="X63" i="28"/>
  <c r="V63" i="28"/>
  <c r="U63" i="28"/>
  <c r="T63" i="28"/>
  <c r="S63" i="28"/>
  <c r="R63" i="28"/>
  <c r="AE62" i="28"/>
  <c r="AC62" i="28"/>
  <c r="Z62" i="28"/>
  <c r="X62" i="28"/>
  <c r="V62" i="28"/>
  <c r="U62" i="28"/>
  <c r="T62" i="28"/>
  <c r="S62" i="28"/>
  <c r="R62" i="28"/>
  <c r="AE81" i="27"/>
  <c r="AC81" i="27"/>
  <c r="Z81" i="27"/>
  <c r="X81" i="27"/>
  <c r="V81" i="27"/>
  <c r="U81" i="27"/>
  <c r="T81" i="27"/>
  <c r="S81" i="27"/>
  <c r="R81" i="27"/>
  <c r="AE80" i="27"/>
  <c r="AC80" i="27"/>
  <c r="Z80" i="27"/>
  <c r="X80" i="27"/>
  <c r="V80" i="27"/>
  <c r="U80" i="27"/>
  <c r="T80" i="27"/>
  <c r="S80" i="27"/>
  <c r="R80" i="27"/>
  <c r="AE79" i="27"/>
  <c r="AC79" i="27"/>
  <c r="Z79" i="27"/>
  <c r="X79" i="27"/>
  <c r="V79" i="27"/>
  <c r="U79" i="27"/>
  <c r="T79" i="27"/>
  <c r="S79" i="27"/>
  <c r="R79" i="27"/>
  <c r="AE78" i="27"/>
  <c r="AC78" i="27"/>
  <c r="Z78" i="27"/>
  <c r="X78" i="27"/>
  <c r="V78" i="27"/>
  <c r="U78" i="27"/>
  <c r="T78" i="27"/>
  <c r="S78" i="27"/>
  <c r="R78" i="27"/>
  <c r="AE77" i="27"/>
  <c r="AC77" i="27"/>
  <c r="Z77" i="27"/>
  <c r="X77" i="27"/>
  <c r="V77" i="27"/>
  <c r="U77" i="27"/>
  <c r="T77" i="27"/>
  <c r="S77" i="27"/>
  <c r="R77" i="27"/>
  <c r="AE76" i="27"/>
  <c r="AC76" i="27"/>
  <c r="Z76" i="27"/>
  <c r="X76" i="27"/>
  <c r="V76" i="27"/>
  <c r="U76" i="27"/>
  <c r="T76" i="27"/>
  <c r="S76" i="27"/>
  <c r="R76" i="27"/>
  <c r="AE75" i="27"/>
  <c r="AC75" i="27"/>
  <c r="Z75" i="27"/>
  <c r="X75" i="27"/>
  <c r="V75" i="27"/>
  <c r="U75" i="27"/>
  <c r="T75" i="27"/>
  <c r="S75" i="27"/>
  <c r="R75" i="27"/>
  <c r="AE74" i="27"/>
  <c r="AC74" i="27"/>
  <c r="Z74" i="27"/>
  <c r="X74" i="27"/>
  <c r="V74" i="27"/>
  <c r="U74" i="27"/>
  <c r="T74" i="27"/>
  <c r="S74" i="27"/>
  <c r="R74" i="27"/>
  <c r="AE73" i="27"/>
  <c r="AC73" i="27"/>
  <c r="Z73" i="27"/>
  <c r="X73" i="27"/>
  <c r="V73" i="27"/>
  <c r="U73" i="27"/>
  <c r="T73" i="27"/>
  <c r="S73" i="27"/>
  <c r="R73" i="27"/>
  <c r="AE72" i="27"/>
  <c r="AC72" i="27"/>
  <c r="Z72" i="27"/>
  <c r="X72" i="27"/>
  <c r="V72" i="27"/>
  <c r="U72" i="27"/>
  <c r="T72" i="27"/>
  <c r="S72" i="27"/>
  <c r="R72" i="27"/>
  <c r="AE71" i="27"/>
  <c r="AC71" i="27"/>
  <c r="Z71" i="27"/>
  <c r="X71" i="27"/>
  <c r="V71" i="27"/>
  <c r="U71" i="27"/>
  <c r="T71" i="27"/>
  <c r="S71" i="27"/>
  <c r="R71" i="27"/>
  <c r="AE70" i="27"/>
  <c r="AC70" i="27"/>
  <c r="Z70" i="27"/>
  <c r="X70" i="27"/>
  <c r="V70" i="27"/>
  <c r="U70" i="27"/>
  <c r="T70" i="27"/>
  <c r="S70" i="27"/>
  <c r="R70" i="27"/>
  <c r="AE69" i="27"/>
  <c r="AC69" i="27"/>
  <c r="Z69" i="27"/>
  <c r="X69" i="27"/>
  <c r="V69" i="27"/>
  <c r="U69" i="27"/>
  <c r="T69" i="27"/>
  <c r="S69" i="27"/>
  <c r="R69" i="27"/>
  <c r="AE68" i="27"/>
  <c r="AC68" i="27"/>
  <c r="Z68" i="27"/>
  <c r="X68" i="27"/>
  <c r="V68" i="27"/>
  <c r="U68" i="27"/>
  <c r="T68" i="27"/>
  <c r="S68" i="27"/>
  <c r="R68" i="27"/>
  <c r="AE67" i="27"/>
  <c r="AC67" i="27"/>
  <c r="Z67" i="27"/>
  <c r="X67" i="27"/>
  <c r="V67" i="27"/>
  <c r="U67" i="27"/>
  <c r="T67" i="27"/>
  <c r="S67" i="27"/>
  <c r="R67" i="27"/>
  <c r="AE66" i="27"/>
  <c r="AC66" i="27"/>
  <c r="Z66" i="27"/>
  <c r="X66" i="27"/>
  <c r="V66" i="27"/>
  <c r="U66" i="27"/>
  <c r="T66" i="27"/>
  <c r="S66" i="27"/>
  <c r="R66" i="27"/>
  <c r="AE65" i="27"/>
  <c r="AC65" i="27"/>
  <c r="Z65" i="27"/>
  <c r="X65" i="27"/>
  <c r="V65" i="27"/>
  <c r="U65" i="27"/>
  <c r="T65" i="27"/>
  <c r="S65" i="27"/>
  <c r="R65" i="27"/>
  <c r="AE64" i="27"/>
  <c r="AC64" i="27"/>
  <c r="Z64" i="27"/>
  <c r="X64" i="27"/>
  <c r="V64" i="27"/>
  <c r="U64" i="27"/>
  <c r="T64" i="27"/>
  <c r="S64" i="27"/>
  <c r="R64" i="27"/>
  <c r="AE63" i="27"/>
  <c r="AC63" i="27"/>
  <c r="Z63" i="27"/>
  <c r="X63" i="27"/>
  <c r="V63" i="27"/>
  <c r="U63" i="27"/>
  <c r="T63" i="27"/>
  <c r="S63" i="27"/>
  <c r="R63" i="27"/>
  <c r="AE62" i="27"/>
  <c r="AC62" i="27"/>
  <c r="Z62" i="27"/>
  <c r="X62" i="27"/>
  <c r="V62" i="27"/>
  <c r="U62" i="27"/>
  <c r="T62" i="27"/>
  <c r="S62" i="27"/>
  <c r="R62" i="27"/>
  <c r="AE81" i="26"/>
  <c r="AC81" i="26"/>
  <c r="Z81" i="26"/>
  <c r="X81" i="26"/>
  <c r="V81" i="26"/>
  <c r="U81" i="26"/>
  <c r="T81" i="26"/>
  <c r="S81" i="26"/>
  <c r="R81" i="26"/>
  <c r="AE80" i="26"/>
  <c r="AC80" i="26"/>
  <c r="Z80" i="26"/>
  <c r="X80" i="26"/>
  <c r="V80" i="26"/>
  <c r="U80" i="26"/>
  <c r="T80" i="26"/>
  <c r="S80" i="26"/>
  <c r="R80" i="26"/>
  <c r="AE79" i="26"/>
  <c r="AC79" i="26"/>
  <c r="Z79" i="26"/>
  <c r="X79" i="26"/>
  <c r="V79" i="26"/>
  <c r="U79" i="26"/>
  <c r="T79" i="26"/>
  <c r="S79" i="26"/>
  <c r="R79" i="26"/>
  <c r="AE78" i="26"/>
  <c r="AC78" i="26"/>
  <c r="Z78" i="26"/>
  <c r="X78" i="26"/>
  <c r="V78" i="26"/>
  <c r="U78" i="26"/>
  <c r="T78" i="26"/>
  <c r="S78" i="26"/>
  <c r="R78" i="26"/>
  <c r="AE77" i="26"/>
  <c r="AC77" i="26"/>
  <c r="Z77" i="26"/>
  <c r="X77" i="26"/>
  <c r="V77" i="26"/>
  <c r="U77" i="26"/>
  <c r="T77" i="26"/>
  <c r="S77" i="26"/>
  <c r="R77" i="26"/>
  <c r="AE76" i="26"/>
  <c r="AC76" i="26"/>
  <c r="Z76" i="26"/>
  <c r="X76" i="26"/>
  <c r="V76" i="26"/>
  <c r="U76" i="26"/>
  <c r="T76" i="26"/>
  <c r="S76" i="26"/>
  <c r="R76" i="26"/>
  <c r="AE75" i="26"/>
  <c r="AC75" i="26"/>
  <c r="Z75" i="26"/>
  <c r="X75" i="26"/>
  <c r="V75" i="26"/>
  <c r="U75" i="26"/>
  <c r="T75" i="26"/>
  <c r="S75" i="26"/>
  <c r="R75" i="26"/>
  <c r="AE74" i="26"/>
  <c r="AC74" i="26"/>
  <c r="Z74" i="26"/>
  <c r="X74" i="26"/>
  <c r="V74" i="26"/>
  <c r="U74" i="26"/>
  <c r="T74" i="26"/>
  <c r="S74" i="26"/>
  <c r="R74" i="26"/>
  <c r="AE73" i="26"/>
  <c r="AC73" i="26"/>
  <c r="Z73" i="26"/>
  <c r="X73" i="26"/>
  <c r="V73" i="26"/>
  <c r="U73" i="26"/>
  <c r="T73" i="26"/>
  <c r="S73" i="26"/>
  <c r="R73" i="26"/>
  <c r="AE72" i="26"/>
  <c r="AC72" i="26"/>
  <c r="Z72" i="26"/>
  <c r="X72" i="26"/>
  <c r="V72" i="26"/>
  <c r="U72" i="26"/>
  <c r="T72" i="26"/>
  <c r="S72" i="26"/>
  <c r="R72" i="26"/>
  <c r="AE71" i="26"/>
  <c r="AC71" i="26"/>
  <c r="Z71" i="26"/>
  <c r="X71" i="26"/>
  <c r="V71" i="26"/>
  <c r="U71" i="26"/>
  <c r="T71" i="26"/>
  <c r="S71" i="26"/>
  <c r="R71" i="26"/>
  <c r="AE70" i="26"/>
  <c r="AC70" i="26"/>
  <c r="Z70" i="26"/>
  <c r="X70" i="26"/>
  <c r="V70" i="26"/>
  <c r="U70" i="26"/>
  <c r="T70" i="26"/>
  <c r="S70" i="26"/>
  <c r="R70" i="26"/>
  <c r="AE69" i="26"/>
  <c r="AC69" i="26"/>
  <c r="Z69" i="26"/>
  <c r="X69" i="26"/>
  <c r="V69" i="26"/>
  <c r="U69" i="26"/>
  <c r="T69" i="26"/>
  <c r="S69" i="26"/>
  <c r="R69" i="26"/>
  <c r="AE68" i="26"/>
  <c r="AC68" i="26"/>
  <c r="Z68" i="26"/>
  <c r="X68" i="26"/>
  <c r="V68" i="26"/>
  <c r="U68" i="26"/>
  <c r="T68" i="26"/>
  <c r="S68" i="26"/>
  <c r="R68" i="26"/>
  <c r="AE67" i="26"/>
  <c r="AC67" i="26"/>
  <c r="Z67" i="26"/>
  <c r="X67" i="26"/>
  <c r="V67" i="26"/>
  <c r="U67" i="26"/>
  <c r="T67" i="26"/>
  <c r="S67" i="26"/>
  <c r="R67" i="26"/>
  <c r="AE66" i="26"/>
  <c r="AC66" i="26"/>
  <c r="Z66" i="26"/>
  <c r="X66" i="26"/>
  <c r="V66" i="26"/>
  <c r="U66" i="26"/>
  <c r="T66" i="26"/>
  <c r="S66" i="26"/>
  <c r="R66" i="26"/>
  <c r="AE65" i="26"/>
  <c r="AC65" i="26"/>
  <c r="Z65" i="26"/>
  <c r="X65" i="26"/>
  <c r="V65" i="26"/>
  <c r="U65" i="26"/>
  <c r="T65" i="26"/>
  <c r="S65" i="26"/>
  <c r="R65" i="26"/>
  <c r="AE64" i="26"/>
  <c r="AC64" i="26"/>
  <c r="Z64" i="26"/>
  <c r="X64" i="26"/>
  <c r="V64" i="26"/>
  <c r="U64" i="26"/>
  <c r="T64" i="26"/>
  <c r="S64" i="26"/>
  <c r="R64" i="26"/>
  <c r="AE63" i="26"/>
  <c r="AC63" i="26"/>
  <c r="Z63" i="26"/>
  <c r="X63" i="26"/>
  <c r="V63" i="26"/>
  <c r="U63" i="26"/>
  <c r="T63" i="26"/>
  <c r="S63" i="26"/>
  <c r="R63" i="26"/>
  <c r="AE62" i="26"/>
  <c r="AC62" i="26"/>
  <c r="Z62" i="26"/>
  <c r="X62" i="26"/>
  <c r="V62" i="26"/>
  <c r="U62" i="26"/>
  <c r="T62" i="26"/>
  <c r="S62" i="26"/>
  <c r="R62" i="26"/>
  <c r="AE81" i="25"/>
  <c r="AC81" i="25"/>
  <c r="Z81" i="25"/>
  <c r="X81" i="25"/>
  <c r="V81" i="25"/>
  <c r="U81" i="25"/>
  <c r="T81" i="25"/>
  <c r="S81" i="25"/>
  <c r="R81" i="25"/>
  <c r="AE80" i="25"/>
  <c r="AC80" i="25"/>
  <c r="Z80" i="25"/>
  <c r="X80" i="25"/>
  <c r="V80" i="25"/>
  <c r="U80" i="25"/>
  <c r="T80" i="25"/>
  <c r="S80" i="25"/>
  <c r="R80" i="25"/>
  <c r="AE79" i="25"/>
  <c r="AC79" i="25"/>
  <c r="Z79" i="25"/>
  <c r="X79" i="25"/>
  <c r="V79" i="25"/>
  <c r="U79" i="25"/>
  <c r="T79" i="25"/>
  <c r="S79" i="25"/>
  <c r="R79" i="25"/>
  <c r="AE78" i="25"/>
  <c r="AC78" i="25"/>
  <c r="Z78" i="25"/>
  <c r="X78" i="25"/>
  <c r="V78" i="25"/>
  <c r="U78" i="25"/>
  <c r="T78" i="25"/>
  <c r="S78" i="25"/>
  <c r="R78" i="25"/>
  <c r="AE77" i="25"/>
  <c r="AC77" i="25"/>
  <c r="Z77" i="25"/>
  <c r="X77" i="25"/>
  <c r="V77" i="25"/>
  <c r="U77" i="25"/>
  <c r="T77" i="25"/>
  <c r="S77" i="25"/>
  <c r="R77" i="25"/>
  <c r="AE76" i="25"/>
  <c r="AC76" i="25"/>
  <c r="Z76" i="25"/>
  <c r="X76" i="25"/>
  <c r="V76" i="25"/>
  <c r="U76" i="25"/>
  <c r="T76" i="25"/>
  <c r="S76" i="25"/>
  <c r="R76" i="25"/>
  <c r="AE75" i="25"/>
  <c r="AC75" i="25"/>
  <c r="Z75" i="25"/>
  <c r="X75" i="25"/>
  <c r="V75" i="25"/>
  <c r="U75" i="25"/>
  <c r="T75" i="25"/>
  <c r="S75" i="25"/>
  <c r="R75" i="25"/>
  <c r="AE74" i="25"/>
  <c r="AC74" i="25"/>
  <c r="Z74" i="25"/>
  <c r="X74" i="25"/>
  <c r="V74" i="25"/>
  <c r="U74" i="25"/>
  <c r="T74" i="25"/>
  <c r="S74" i="25"/>
  <c r="R74" i="25"/>
  <c r="AE73" i="25"/>
  <c r="AC73" i="25"/>
  <c r="Z73" i="25"/>
  <c r="X73" i="25"/>
  <c r="V73" i="25"/>
  <c r="U73" i="25"/>
  <c r="T73" i="25"/>
  <c r="S73" i="25"/>
  <c r="R73" i="25"/>
  <c r="AE72" i="25"/>
  <c r="AC72" i="25"/>
  <c r="Z72" i="25"/>
  <c r="X72" i="25"/>
  <c r="V72" i="25"/>
  <c r="U72" i="25"/>
  <c r="T72" i="25"/>
  <c r="S72" i="25"/>
  <c r="R72" i="25"/>
  <c r="AE71" i="25"/>
  <c r="AC71" i="25"/>
  <c r="Z71" i="25"/>
  <c r="X71" i="25"/>
  <c r="V71" i="25"/>
  <c r="U71" i="25"/>
  <c r="T71" i="25"/>
  <c r="S71" i="25"/>
  <c r="R71" i="25"/>
  <c r="AE70" i="25"/>
  <c r="AC70" i="25"/>
  <c r="Z70" i="25"/>
  <c r="X70" i="25"/>
  <c r="V70" i="25"/>
  <c r="U70" i="25"/>
  <c r="T70" i="25"/>
  <c r="S70" i="25"/>
  <c r="R70" i="25"/>
  <c r="AE69" i="25"/>
  <c r="AC69" i="25"/>
  <c r="Z69" i="25"/>
  <c r="X69" i="25"/>
  <c r="V69" i="25"/>
  <c r="U69" i="25"/>
  <c r="T69" i="25"/>
  <c r="S69" i="25"/>
  <c r="R69" i="25"/>
  <c r="AE68" i="25"/>
  <c r="AC68" i="25"/>
  <c r="Z68" i="25"/>
  <c r="X68" i="25"/>
  <c r="V68" i="25"/>
  <c r="U68" i="25"/>
  <c r="T68" i="25"/>
  <c r="S68" i="25"/>
  <c r="R68" i="25"/>
  <c r="AE67" i="25"/>
  <c r="AC67" i="25"/>
  <c r="Z67" i="25"/>
  <c r="X67" i="25"/>
  <c r="V67" i="25"/>
  <c r="U67" i="25"/>
  <c r="T67" i="25"/>
  <c r="S67" i="25"/>
  <c r="R67" i="25"/>
  <c r="AE66" i="25"/>
  <c r="AC66" i="25"/>
  <c r="Z66" i="25"/>
  <c r="X66" i="25"/>
  <c r="V66" i="25"/>
  <c r="U66" i="25"/>
  <c r="T66" i="25"/>
  <c r="S66" i="25"/>
  <c r="R66" i="25"/>
  <c r="AE65" i="25"/>
  <c r="AC65" i="25"/>
  <c r="Z65" i="25"/>
  <c r="X65" i="25"/>
  <c r="V65" i="25"/>
  <c r="U65" i="25"/>
  <c r="T65" i="25"/>
  <c r="S65" i="25"/>
  <c r="R65" i="25"/>
  <c r="AE64" i="25"/>
  <c r="AC64" i="25"/>
  <c r="Z64" i="25"/>
  <c r="X64" i="25"/>
  <c r="V64" i="25"/>
  <c r="U64" i="25"/>
  <c r="T64" i="25"/>
  <c r="S64" i="25"/>
  <c r="R64" i="25"/>
  <c r="AE63" i="25"/>
  <c r="AC63" i="25"/>
  <c r="Z63" i="25"/>
  <c r="X63" i="25"/>
  <c r="V63" i="25"/>
  <c r="U63" i="25"/>
  <c r="T63" i="25"/>
  <c r="S63" i="25"/>
  <c r="R63" i="25"/>
  <c r="AE62" i="25"/>
  <c r="AC62" i="25"/>
  <c r="Z62" i="25"/>
  <c r="X62" i="25"/>
  <c r="V62" i="25"/>
  <c r="U62" i="25"/>
  <c r="T62" i="25"/>
  <c r="S62" i="25"/>
  <c r="R62" i="25"/>
  <c r="AE81" i="24"/>
  <c r="AC81" i="24"/>
  <c r="Z81" i="24"/>
  <c r="X81" i="24"/>
  <c r="V81" i="24"/>
  <c r="U81" i="24"/>
  <c r="T81" i="24"/>
  <c r="S81" i="24"/>
  <c r="R81" i="24"/>
  <c r="AE80" i="24"/>
  <c r="AC80" i="24"/>
  <c r="Z80" i="24"/>
  <c r="X80" i="24"/>
  <c r="V80" i="24"/>
  <c r="U80" i="24"/>
  <c r="T80" i="24"/>
  <c r="S80" i="24"/>
  <c r="R80" i="24"/>
  <c r="AE79" i="24"/>
  <c r="AC79" i="24"/>
  <c r="Z79" i="24"/>
  <c r="X79" i="24"/>
  <c r="V79" i="24"/>
  <c r="U79" i="24"/>
  <c r="T79" i="24"/>
  <c r="S79" i="24"/>
  <c r="R79" i="24"/>
  <c r="AE78" i="24"/>
  <c r="AC78" i="24"/>
  <c r="Z78" i="24"/>
  <c r="X78" i="24"/>
  <c r="V78" i="24"/>
  <c r="U78" i="24"/>
  <c r="T78" i="24"/>
  <c r="S78" i="24"/>
  <c r="R78" i="24"/>
  <c r="AE77" i="24"/>
  <c r="AC77" i="24"/>
  <c r="Z77" i="24"/>
  <c r="X77" i="24"/>
  <c r="V77" i="24"/>
  <c r="U77" i="24"/>
  <c r="T77" i="24"/>
  <c r="S77" i="24"/>
  <c r="R77" i="24"/>
  <c r="AE76" i="24"/>
  <c r="AC76" i="24"/>
  <c r="Z76" i="24"/>
  <c r="X76" i="24"/>
  <c r="V76" i="24"/>
  <c r="U76" i="24"/>
  <c r="T76" i="24"/>
  <c r="S76" i="24"/>
  <c r="R76" i="24"/>
  <c r="AE75" i="24"/>
  <c r="AC75" i="24"/>
  <c r="Z75" i="24"/>
  <c r="X75" i="24"/>
  <c r="V75" i="24"/>
  <c r="U75" i="24"/>
  <c r="T75" i="24"/>
  <c r="S75" i="24"/>
  <c r="R75" i="24"/>
  <c r="AE74" i="24"/>
  <c r="AC74" i="24"/>
  <c r="Z74" i="24"/>
  <c r="X74" i="24"/>
  <c r="V74" i="24"/>
  <c r="U74" i="24"/>
  <c r="T74" i="24"/>
  <c r="S74" i="24"/>
  <c r="R74" i="24"/>
  <c r="AE73" i="24"/>
  <c r="AC73" i="24"/>
  <c r="Z73" i="24"/>
  <c r="X73" i="24"/>
  <c r="V73" i="24"/>
  <c r="U73" i="24"/>
  <c r="T73" i="24"/>
  <c r="S73" i="24"/>
  <c r="R73" i="24"/>
  <c r="AE72" i="24"/>
  <c r="AC72" i="24"/>
  <c r="Z72" i="24"/>
  <c r="X72" i="24"/>
  <c r="V72" i="24"/>
  <c r="U72" i="24"/>
  <c r="T72" i="24"/>
  <c r="S72" i="24"/>
  <c r="R72" i="24"/>
  <c r="AE71" i="24"/>
  <c r="AC71" i="24"/>
  <c r="Z71" i="24"/>
  <c r="X71" i="24"/>
  <c r="V71" i="24"/>
  <c r="U71" i="24"/>
  <c r="T71" i="24"/>
  <c r="S71" i="24"/>
  <c r="R71" i="24"/>
  <c r="AE70" i="24"/>
  <c r="AC70" i="24"/>
  <c r="Z70" i="24"/>
  <c r="X70" i="24"/>
  <c r="V70" i="24"/>
  <c r="U70" i="24"/>
  <c r="T70" i="24"/>
  <c r="S70" i="24"/>
  <c r="R70" i="24"/>
  <c r="AE69" i="24"/>
  <c r="AC69" i="24"/>
  <c r="Z69" i="24"/>
  <c r="X69" i="24"/>
  <c r="V69" i="24"/>
  <c r="U69" i="24"/>
  <c r="T69" i="24"/>
  <c r="S69" i="24"/>
  <c r="R69" i="24"/>
  <c r="AE68" i="24"/>
  <c r="AC68" i="24"/>
  <c r="Z68" i="24"/>
  <c r="X68" i="24"/>
  <c r="V68" i="24"/>
  <c r="U68" i="24"/>
  <c r="T68" i="24"/>
  <c r="S68" i="24"/>
  <c r="R68" i="24"/>
  <c r="AE67" i="24"/>
  <c r="AC67" i="24"/>
  <c r="Z67" i="24"/>
  <c r="X67" i="24"/>
  <c r="V67" i="24"/>
  <c r="U67" i="24"/>
  <c r="T67" i="24"/>
  <c r="S67" i="24"/>
  <c r="R67" i="24"/>
  <c r="AE66" i="24"/>
  <c r="AC66" i="24"/>
  <c r="Z66" i="24"/>
  <c r="X66" i="24"/>
  <c r="V66" i="24"/>
  <c r="U66" i="24"/>
  <c r="T66" i="24"/>
  <c r="S66" i="24"/>
  <c r="R66" i="24"/>
  <c r="AE65" i="24"/>
  <c r="AC65" i="24"/>
  <c r="Z65" i="24"/>
  <c r="X65" i="24"/>
  <c r="V65" i="24"/>
  <c r="U65" i="24"/>
  <c r="T65" i="24"/>
  <c r="S65" i="24"/>
  <c r="R65" i="24"/>
  <c r="AE64" i="24"/>
  <c r="AC64" i="24"/>
  <c r="Z64" i="24"/>
  <c r="X64" i="24"/>
  <c r="V64" i="24"/>
  <c r="U64" i="24"/>
  <c r="T64" i="24"/>
  <c r="S64" i="24"/>
  <c r="R64" i="24"/>
  <c r="AE63" i="24"/>
  <c r="AC63" i="24"/>
  <c r="Z63" i="24"/>
  <c r="X63" i="24"/>
  <c r="V63" i="24"/>
  <c r="U63" i="24"/>
  <c r="T63" i="24"/>
  <c r="S63" i="24"/>
  <c r="R63" i="24"/>
  <c r="AE62" i="24"/>
  <c r="AC62" i="24"/>
  <c r="Z62" i="24"/>
  <c r="X62" i="24"/>
  <c r="V62" i="24"/>
  <c r="U62" i="24"/>
  <c r="T62" i="24"/>
  <c r="S62" i="24"/>
  <c r="R62" i="24"/>
  <c r="AE81" i="23"/>
  <c r="AC81" i="23"/>
  <c r="Z81" i="23"/>
  <c r="X81" i="23"/>
  <c r="V81" i="23"/>
  <c r="U81" i="23"/>
  <c r="T81" i="23"/>
  <c r="S81" i="23"/>
  <c r="R81" i="23"/>
  <c r="AE80" i="23"/>
  <c r="AC80" i="23"/>
  <c r="Z80" i="23"/>
  <c r="X80" i="23"/>
  <c r="V80" i="23"/>
  <c r="U80" i="23"/>
  <c r="T80" i="23"/>
  <c r="S80" i="23"/>
  <c r="R80" i="23"/>
  <c r="AE79" i="23"/>
  <c r="AC79" i="23"/>
  <c r="Z79" i="23"/>
  <c r="X79" i="23"/>
  <c r="V79" i="23"/>
  <c r="U79" i="23"/>
  <c r="T79" i="23"/>
  <c r="S79" i="23"/>
  <c r="R79" i="23"/>
  <c r="AE78" i="23"/>
  <c r="AC78" i="23"/>
  <c r="Z78" i="23"/>
  <c r="X78" i="23"/>
  <c r="V78" i="23"/>
  <c r="U78" i="23"/>
  <c r="T78" i="23"/>
  <c r="S78" i="23"/>
  <c r="R78" i="23"/>
  <c r="AE77" i="23"/>
  <c r="AC77" i="23"/>
  <c r="Z77" i="23"/>
  <c r="X77" i="23"/>
  <c r="V77" i="23"/>
  <c r="U77" i="23"/>
  <c r="T77" i="23"/>
  <c r="S77" i="23"/>
  <c r="R77" i="23"/>
  <c r="AE76" i="23"/>
  <c r="AC76" i="23"/>
  <c r="Z76" i="23"/>
  <c r="X76" i="23"/>
  <c r="V76" i="23"/>
  <c r="U76" i="23"/>
  <c r="T76" i="23"/>
  <c r="S76" i="23"/>
  <c r="R76" i="23"/>
  <c r="AE75" i="23"/>
  <c r="AC75" i="23"/>
  <c r="Z75" i="23"/>
  <c r="X75" i="23"/>
  <c r="V75" i="23"/>
  <c r="U75" i="23"/>
  <c r="T75" i="23"/>
  <c r="S75" i="23"/>
  <c r="R75" i="23"/>
  <c r="AE74" i="23"/>
  <c r="AC74" i="23"/>
  <c r="Z74" i="23"/>
  <c r="X74" i="23"/>
  <c r="V74" i="23"/>
  <c r="U74" i="23"/>
  <c r="T74" i="23"/>
  <c r="S74" i="23"/>
  <c r="R74" i="23"/>
  <c r="AE73" i="23"/>
  <c r="AC73" i="23"/>
  <c r="Z73" i="23"/>
  <c r="X73" i="23"/>
  <c r="V73" i="23"/>
  <c r="U73" i="23"/>
  <c r="T73" i="23"/>
  <c r="S73" i="23"/>
  <c r="R73" i="23"/>
  <c r="AE72" i="23"/>
  <c r="AC72" i="23"/>
  <c r="Z72" i="23"/>
  <c r="X72" i="23"/>
  <c r="V72" i="23"/>
  <c r="U72" i="23"/>
  <c r="T72" i="23"/>
  <c r="S72" i="23"/>
  <c r="R72" i="23"/>
  <c r="AE71" i="23"/>
  <c r="AC71" i="23"/>
  <c r="Z71" i="23"/>
  <c r="X71" i="23"/>
  <c r="V71" i="23"/>
  <c r="U71" i="23"/>
  <c r="T71" i="23"/>
  <c r="S71" i="23"/>
  <c r="R71" i="23"/>
  <c r="AE70" i="23"/>
  <c r="AC70" i="23"/>
  <c r="Z70" i="23"/>
  <c r="X70" i="23"/>
  <c r="V70" i="23"/>
  <c r="U70" i="23"/>
  <c r="T70" i="23"/>
  <c r="S70" i="23"/>
  <c r="R70" i="23"/>
  <c r="AE69" i="23"/>
  <c r="AC69" i="23"/>
  <c r="Z69" i="23"/>
  <c r="X69" i="23"/>
  <c r="V69" i="23"/>
  <c r="U69" i="23"/>
  <c r="T69" i="23"/>
  <c r="S69" i="23"/>
  <c r="R69" i="23"/>
  <c r="AE68" i="23"/>
  <c r="AC68" i="23"/>
  <c r="Z68" i="23"/>
  <c r="X68" i="23"/>
  <c r="V68" i="23"/>
  <c r="U68" i="23"/>
  <c r="T68" i="23"/>
  <c r="S68" i="23"/>
  <c r="R68" i="23"/>
  <c r="AE67" i="23"/>
  <c r="AC67" i="23"/>
  <c r="Z67" i="23"/>
  <c r="X67" i="23"/>
  <c r="V67" i="23"/>
  <c r="U67" i="23"/>
  <c r="T67" i="23"/>
  <c r="S67" i="23"/>
  <c r="R67" i="23"/>
  <c r="AE66" i="23"/>
  <c r="AC66" i="23"/>
  <c r="Z66" i="23"/>
  <c r="X66" i="23"/>
  <c r="V66" i="23"/>
  <c r="U66" i="23"/>
  <c r="T66" i="23"/>
  <c r="S66" i="23"/>
  <c r="R66" i="23"/>
  <c r="AE65" i="23"/>
  <c r="AC65" i="23"/>
  <c r="Z65" i="23"/>
  <c r="X65" i="23"/>
  <c r="V65" i="23"/>
  <c r="U65" i="23"/>
  <c r="T65" i="23"/>
  <c r="S65" i="23"/>
  <c r="R65" i="23"/>
  <c r="AE64" i="23"/>
  <c r="AC64" i="23"/>
  <c r="Z64" i="23"/>
  <c r="X64" i="23"/>
  <c r="V64" i="23"/>
  <c r="U64" i="23"/>
  <c r="T64" i="23"/>
  <c r="S64" i="23"/>
  <c r="R64" i="23"/>
  <c r="AE63" i="23"/>
  <c r="AC63" i="23"/>
  <c r="Z63" i="23"/>
  <c r="X63" i="23"/>
  <c r="V63" i="23"/>
  <c r="U63" i="23"/>
  <c r="T63" i="23"/>
  <c r="S63" i="23"/>
  <c r="R63" i="23"/>
  <c r="AE62" i="23"/>
  <c r="AC62" i="23"/>
  <c r="Z62" i="23"/>
  <c r="X62" i="23"/>
  <c r="V62" i="23"/>
  <c r="U62" i="23"/>
  <c r="T62" i="23"/>
  <c r="S62" i="23"/>
  <c r="R62" i="23"/>
  <c r="AE81" i="22"/>
  <c r="AC81" i="22"/>
  <c r="Z81" i="22"/>
  <c r="X81" i="22"/>
  <c r="V81" i="22"/>
  <c r="U81" i="22"/>
  <c r="T81" i="22"/>
  <c r="S81" i="22"/>
  <c r="R81" i="22"/>
  <c r="AE80" i="22"/>
  <c r="AC80" i="22"/>
  <c r="Z80" i="22"/>
  <c r="X80" i="22"/>
  <c r="V80" i="22"/>
  <c r="U80" i="22"/>
  <c r="T80" i="22"/>
  <c r="S80" i="22"/>
  <c r="R80" i="22"/>
  <c r="AE79" i="22"/>
  <c r="AC79" i="22"/>
  <c r="Z79" i="22"/>
  <c r="X79" i="22"/>
  <c r="V79" i="22"/>
  <c r="U79" i="22"/>
  <c r="T79" i="22"/>
  <c r="S79" i="22"/>
  <c r="R79" i="22"/>
  <c r="AE78" i="22"/>
  <c r="AC78" i="22"/>
  <c r="Z78" i="22"/>
  <c r="X78" i="22"/>
  <c r="V78" i="22"/>
  <c r="U78" i="22"/>
  <c r="T78" i="22"/>
  <c r="S78" i="22"/>
  <c r="R78" i="22"/>
  <c r="AE77" i="22"/>
  <c r="AC77" i="22"/>
  <c r="Z77" i="22"/>
  <c r="X77" i="22"/>
  <c r="V77" i="22"/>
  <c r="U77" i="22"/>
  <c r="T77" i="22"/>
  <c r="S77" i="22"/>
  <c r="R77" i="22"/>
  <c r="AE76" i="22"/>
  <c r="AC76" i="22"/>
  <c r="Z76" i="22"/>
  <c r="X76" i="22"/>
  <c r="V76" i="22"/>
  <c r="U76" i="22"/>
  <c r="T76" i="22"/>
  <c r="S76" i="22"/>
  <c r="R76" i="22"/>
  <c r="AE75" i="22"/>
  <c r="AC75" i="22"/>
  <c r="Z75" i="22"/>
  <c r="X75" i="22"/>
  <c r="V75" i="22"/>
  <c r="U75" i="22"/>
  <c r="T75" i="22"/>
  <c r="S75" i="22"/>
  <c r="R75" i="22"/>
  <c r="AE74" i="22"/>
  <c r="AC74" i="22"/>
  <c r="Z74" i="22"/>
  <c r="X74" i="22"/>
  <c r="V74" i="22"/>
  <c r="U74" i="22"/>
  <c r="T74" i="22"/>
  <c r="S74" i="22"/>
  <c r="R74" i="22"/>
  <c r="AE73" i="22"/>
  <c r="AC73" i="22"/>
  <c r="Z73" i="22"/>
  <c r="X73" i="22"/>
  <c r="V73" i="22"/>
  <c r="U73" i="22"/>
  <c r="T73" i="22"/>
  <c r="S73" i="22"/>
  <c r="R73" i="22"/>
  <c r="AE72" i="22"/>
  <c r="AC72" i="22"/>
  <c r="Z72" i="22"/>
  <c r="X72" i="22"/>
  <c r="V72" i="22"/>
  <c r="U72" i="22"/>
  <c r="T72" i="22"/>
  <c r="S72" i="22"/>
  <c r="R72" i="22"/>
  <c r="AE71" i="22"/>
  <c r="AC71" i="22"/>
  <c r="Z71" i="22"/>
  <c r="X71" i="22"/>
  <c r="V71" i="22"/>
  <c r="U71" i="22"/>
  <c r="T71" i="22"/>
  <c r="S71" i="22"/>
  <c r="R71" i="22"/>
  <c r="AE70" i="22"/>
  <c r="AC70" i="22"/>
  <c r="Z70" i="22"/>
  <c r="X70" i="22"/>
  <c r="V70" i="22"/>
  <c r="U70" i="22"/>
  <c r="T70" i="22"/>
  <c r="S70" i="22"/>
  <c r="R70" i="22"/>
  <c r="AE69" i="22"/>
  <c r="AC69" i="22"/>
  <c r="Z69" i="22"/>
  <c r="X69" i="22"/>
  <c r="V69" i="22"/>
  <c r="U69" i="22"/>
  <c r="T69" i="22"/>
  <c r="S69" i="22"/>
  <c r="R69" i="22"/>
  <c r="AE68" i="22"/>
  <c r="AC68" i="22"/>
  <c r="Z68" i="22"/>
  <c r="X68" i="22"/>
  <c r="V68" i="22"/>
  <c r="U68" i="22"/>
  <c r="T68" i="22"/>
  <c r="S68" i="22"/>
  <c r="R68" i="22"/>
  <c r="AE67" i="22"/>
  <c r="AC67" i="22"/>
  <c r="Z67" i="22"/>
  <c r="X67" i="22"/>
  <c r="V67" i="22"/>
  <c r="U67" i="22"/>
  <c r="T67" i="22"/>
  <c r="S67" i="22"/>
  <c r="R67" i="22"/>
  <c r="AE66" i="22"/>
  <c r="AC66" i="22"/>
  <c r="Z66" i="22"/>
  <c r="X66" i="22"/>
  <c r="V66" i="22"/>
  <c r="U66" i="22"/>
  <c r="T66" i="22"/>
  <c r="S66" i="22"/>
  <c r="R66" i="22"/>
  <c r="AE65" i="22"/>
  <c r="AC65" i="22"/>
  <c r="Z65" i="22"/>
  <c r="X65" i="22"/>
  <c r="V65" i="22"/>
  <c r="U65" i="22"/>
  <c r="T65" i="22"/>
  <c r="S65" i="22"/>
  <c r="R65" i="22"/>
  <c r="AE64" i="22"/>
  <c r="AC64" i="22"/>
  <c r="Z64" i="22"/>
  <c r="X64" i="22"/>
  <c r="V64" i="22"/>
  <c r="U64" i="22"/>
  <c r="T64" i="22"/>
  <c r="S64" i="22"/>
  <c r="R64" i="22"/>
  <c r="AE63" i="22"/>
  <c r="AC63" i="22"/>
  <c r="Z63" i="22"/>
  <c r="X63" i="22"/>
  <c r="V63" i="22"/>
  <c r="U63" i="22"/>
  <c r="T63" i="22"/>
  <c r="S63" i="22"/>
  <c r="R63" i="22"/>
  <c r="AE62" i="22"/>
  <c r="AC62" i="22"/>
  <c r="Z62" i="22"/>
  <c r="X62" i="22"/>
  <c r="V62" i="22"/>
  <c r="U62" i="22"/>
  <c r="T62" i="22"/>
  <c r="S62" i="22"/>
  <c r="R62" i="22"/>
  <c r="AE81" i="21"/>
  <c r="AC81" i="21"/>
  <c r="Z81" i="21"/>
  <c r="X81" i="21"/>
  <c r="V81" i="21"/>
  <c r="U81" i="21"/>
  <c r="T81" i="21"/>
  <c r="S81" i="21"/>
  <c r="R81" i="21"/>
  <c r="AE80" i="21"/>
  <c r="AC80" i="21"/>
  <c r="Z80" i="21"/>
  <c r="X80" i="21"/>
  <c r="V80" i="21"/>
  <c r="U80" i="21"/>
  <c r="T80" i="21"/>
  <c r="S80" i="21"/>
  <c r="R80" i="21"/>
  <c r="AE79" i="21"/>
  <c r="AC79" i="21"/>
  <c r="Z79" i="21"/>
  <c r="X79" i="21"/>
  <c r="V79" i="21"/>
  <c r="U79" i="21"/>
  <c r="T79" i="21"/>
  <c r="S79" i="21"/>
  <c r="R79" i="21"/>
  <c r="AE78" i="21"/>
  <c r="AC78" i="21"/>
  <c r="Z78" i="21"/>
  <c r="X78" i="21"/>
  <c r="V78" i="21"/>
  <c r="U78" i="21"/>
  <c r="T78" i="21"/>
  <c r="S78" i="21"/>
  <c r="R78" i="21"/>
  <c r="AE77" i="21"/>
  <c r="AC77" i="21"/>
  <c r="Z77" i="21"/>
  <c r="X77" i="21"/>
  <c r="V77" i="21"/>
  <c r="U77" i="21"/>
  <c r="T77" i="21"/>
  <c r="S77" i="21"/>
  <c r="R77" i="21"/>
  <c r="AE76" i="21"/>
  <c r="AC76" i="21"/>
  <c r="Z76" i="21"/>
  <c r="X76" i="21"/>
  <c r="V76" i="21"/>
  <c r="U76" i="21"/>
  <c r="T76" i="21"/>
  <c r="S76" i="21"/>
  <c r="R76" i="21"/>
  <c r="AE75" i="21"/>
  <c r="AC75" i="21"/>
  <c r="Z75" i="21"/>
  <c r="X75" i="21"/>
  <c r="V75" i="21"/>
  <c r="U75" i="21"/>
  <c r="T75" i="21"/>
  <c r="S75" i="21"/>
  <c r="R75" i="21"/>
  <c r="AE74" i="21"/>
  <c r="AC74" i="21"/>
  <c r="Z74" i="21"/>
  <c r="X74" i="21"/>
  <c r="V74" i="21"/>
  <c r="U74" i="21"/>
  <c r="T74" i="21"/>
  <c r="S74" i="21"/>
  <c r="R74" i="21"/>
  <c r="AE73" i="21"/>
  <c r="AC73" i="21"/>
  <c r="Z73" i="21"/>
  <c r="X73" i="21"/>
  <c r="V73" i="21"/>
  <c r="U73" i="21"/>
  <c r="T73" i="21"/>
  <c r="S73" i="21"/>
  <c r="R73" i="21"/>
  <c r="AE72" i="21"/>
  <c r="AC72" i="21"/>
  <c r="Z72" i="21"/>
  <c r="X72" i="21"/>
  <c r="V72" i="21"/>
  <c r="U72" i="21"/>
  <c r="T72" i="21"/>
  <c r="S72" i="21"/>
  <c r="R72" i="21"/>
  <c r="AE71" i="21"/>
  <c r="AC71" i="21"/>
  <c r="Z71" i="21"/>
  <c r="X71" i="21"/>
  <c r="V71" i="21"/>
  <c r="U71" i="21"/>
  <c r="T71" i="21"/>
  <c r="S71" i="21"/>
  <c r="R71" i="21"/>
  <c r="AE70" i="21"/>
  <c r="AC70" i="21"/>
  <c r="Z70" i="21"/>
  <c r="X70" i="21"/>
  <c r="V70" i="21"/>
  <c r="U70" i="21"/>
  <c r="T70" i="21"/>
  <c r="S70" i="21"/>
  <c r="R70" i="21"/>
  <c r="AE69" i="21"/>
  <c r="AC69" i="21"/>
  <c r="Z69" i="21"/>
  <c r="X69" i="21"/>
  <c r="V69" i="21"/>
  <c r="U69" i="21"/>
  <c r="T69" i="21"/>
  <c r="S69" i="21"/>
  <c r="R69" i="21"/>
  <c r="AE68" i="21"/>
  <c r="AC68" i="21"/>
  <c r="Z68" i="21"/>
  <c r="X68" i="21"/>
  <c r="V68" i="21"/>
  <c r="U68" i="21"/>
  <c r="T68" i="21"/>
  <c r="S68" i="21"/>
  <c r="R68" i="21"/>
  <c r="AE67" i="21"/>
  <c r="AC67" i="21"/>
  <c r="Z67" i="21"/>
  <c r="X67" i="21"/>
  <c r="V67" i="21"/>
  <c r="U67" i="21"/>
  <c r="T67" i="21"/>
  <c r="S67" i="21"/>
  <c r="R67" i="21"/>
  <c r="AE66" i="21"/>
  <c r="AC66" i="21"/>
  <c r="Z66" i="21"/>
  <c r="X66" i="21"/>
  <c r="V66" i="21"/>
  <c r="U66" i="21"/>
  <c r="T66" i="21"/>
  <c r="S66" i="21"/>
  <c r="R66" i="21"/>
  <c r="AE65" i="21"/>
  <c r="AC65" i="21"/>
  <c r="Z65" i="21"/>
  <c r="X65" i="21"/>
  <c r="V65" i="21"/>
  <c r="U65" i="21"/>
  <c r="T65" i="21"/>
  <c r="S65" i="21"/>
  <c r="R65" i="21"/>
  <c r="AE64" i="21"/>
  <c r="AC64" i="21"/>
  <c r="Z64" i="21"/>
  <c r="X64" i="21"/>
  <c r="V64" i="21"/>
  <c r="U64" i="21"/>
  <c r="T64" i="21"/>
  <c r="S64" i="21"/>
  <c r="R64" i="21"/>
  <c r="AE63" i="21"/>
  <c r="AC63" i="21"/>
  <c r="Z63" i="21"/>
  <c r="X63" i="21"/>
  <c r="V63" i="21"/>
  <c r="U63" i="21"/>
  <c r="T63" i="21"/>
  <c r="S63" i="21"/>
  <c r="R63" i="21"/>
  <c r="AE62" i="21"/>
  <c r="AC62" i="21"/>
  <c r="Z62" i="21"/>
  <c r="X62" i="21"/>
  <c r="V62" i="21"/>
  <c r="U62" i="21"/>
  <c r="T62" i="21"/>
  <c r="S62" i="21"/>
  <c r="R62" i="21"/>
  <c r="AE81" i="20"/>
  <c r="AC81" i="20"/>
  <c r="Z81" i="20"/>
  <c r="X81" i="20"/>
  <c r="V81" i="20"/>
  <c r="U81" i="20"/>
  <c r="T81" i="20"/>
  <c r="S81" i="20"/>
  <c r="R81" i="20"/>
  <c r="AE80" i="20"/>
  <c r="AC80" i="20"/>
  <c r="Z80" i="20"/>
  <c r="X80" i="20"/>
  <c r="V80" i="20"/>
  <c r="U80" i="20"/>
  <c r="T80" i="20"/>
  <c r="S80" i="20"/>
  <c r="R80" i="20"/>
  <c r="AE79" i="20"/>
  <c r="AC79" i="20"/>
  <c r="Z79" i="20"/>
  <c r="X79" i="20"/>
  <c r="V79" i="20"/>
  <c r="U79" i="20"/>
  <c r="T79" i="20"/>
  <c r="S79" i="20"/>
  <c r="R79" i="20"/>
  <c r="AE78" i="20"/>
  <c r="AC78" i="20"/>
  <c r="Z78" i="20"/>
  <c r="X78" i="20"/>
  <c r="V78" i="20"/>
  <c r="U78" i="20"/>
  <c r="T78" i="20"/>
  <c r="S78" i="20"/>
  <c r="R78" i="20"/>
  <c r="AE77" i="20"/>
  <c r="AC77" i="20"/>
  <c r="Z77" i="20"/>
  <c r="X77" i="20"/>
  <c r="V77" i="20"/>
  <c r="U77" i="20"/>
  <c r="T77" i="20"/>
  <c r="S77" i="20"/>
  <c r="R77" i="20"/>
  <c r="AE76" i="20"/>
  <c r="AC76" i="20"/>
  <c r="Z76" i="20"/>
  <c r="X76" i="20"/>
  <c r="V76" i="20"/>
  <c r="U76" i="20"/>
  <c r="T76" i="20"/>
  <c r="S76" i="20"/>
  <c r="R76" i="20"/>
  <c r="AE75" i="20"/>
  <c r="AC75" i="20"/>
  <c r="Z75" i="20"/>
  <c r="X75" i="20"/>
  <c r="V75" i="20"/>
  <c r="U75" i="20"/>
  <c r="T75" i="20"/>
  <c r="S75" i="20"/>
  <c r="R75" i="20"/>
  <c r="AE74" i="20"/>
  <c r="AC74" i="20"/>
  <c r="Z74" i="20"/>
  <c r="X74" i="20"/>
  <c r="V74" i="20"/>
  <c r="U74" i="20"/>
  <c r="T74" i="20"/>
  <c r="S74" i="20"/>
  <c r="R74" i="20"/>
  <c r="AE73" i="20"/>
  <c r="AC73" i="20"/>
  <c r="Z73" i="20"/>
  <c r="X73" i="20"/>
  <c r="V73" i="20"/>
  <c r="U73" i="20"/>
  <c r="T73" i="20"/>
  <c r="S73" i="20"/>
  <c r="R73" i="20"/>
  <c r="AE72" i="20"/>
  <c r="AC72" i="20"/>
  <c r="Z72" i="20"/>
  <c r="X72" i="20"/>
  <c r="V72" i="20"/>
  <c r="U72" i="20"/>
  <c r="T72" i="20"/>
  <c r="S72" i="20"/>
  <c r="R72" i="20"/>
  <c r="AE71" i="20"/>
  <c r="AC71" i="20"/>
  <c r="Z71" i="20"/>
  <c r="X71" i="20"/>
  <c r="V71" i="20"/>
  <c r="U71" i="20"/>
  <c r="T71" i="20"/>
  <c r="S71" i="20"/>
  <c r="R71" i="20"/>
  <c r="AE70" i="20"/>
  <c r="AC70" i="20"/>
  <c r="Z70" i="20"/>
  <c r="X70" i="20"/>
  <c r="V70" i="20"/>
  <c r="U70" i="20"/>
  <c r="T70" i="20"/>
  <c r="S70" i="20"/>
  <c r="R70" i="20"/>
  <c r="AE69" i="20"/>
  <c r="AC69" i="20"/>
  <c r="Z69" i="20"/>
  <c r="X69" i="20"/>
  <c r="V69" i="20"/>
  <c r="U69" i="20"/>
  <c r="T69" i="20"/>
  <c r="S69" i="20"/>
  <c r="R69" i="20"/>
  <c r="AE68" i="20"/>
  <c r="AC68" i="20"/>
  <c r="Z68" i="20"/>
  <c r="X68" i="20"/>
  <c r="V68" i="20"/>
  <c r="U68" i="20"/>
  <c r="T68" i="20"/>
  <c r="S68" i="20"/>
  <c r="R68" i="20"/>
  <c r="AE67" i="20"/>
  <c r="AC67" i="20"/>
  <c r="Z67" i="20"/>
  <c r="X67" i="20"/>
  <c r="V67" i="20"/>
  <c r="U67" i="20"/>
  <c r="T67" i="20"/>
  <c r="S67" i="20"/>
  <c r="R67" i="20"/>
  <c r="AE66" i="20"/>
  <c r="AC66" i="20"/>
  <c r="Z66" i="20"/>
  <c r="X66" i="20"/>
  <c r="V66" i="20"/>
  <c r="U66" i="20"/>
  <c r="T66" i="20"/>
  <c r="S66" i="20"/>
  <c r="R66" i="20"/>
  <c r="AE65" i="20"/>
  <c r="AC65" i="20"/>
  <c r="Z65" i="20"/>
  <c r="X65" i="20"/>
  <c r="V65" i="20"/>
  <c r="U65" i="20"/>
  <c r="T65" i="20"/>
  <c r="S65" i="20"/>
  <c r="R65" i="20"/>
  <c r="AE64" i="20"/>
  <c r="AC64" i="20"/>
  <c r="Z64" i="20"/>
  <c r="X64" i="20"/>
  <c r="V64" i="20"/>
  <c r="U64" i="20"/>
  <c r="T64" i="20"/>
  <c r="S64" i="20"/>
  <c r="R64" i="20"/>
  <c r="AE63" i="20"/>
  <c r="AC63" i="20"/>
  <c r="Z63" i="20"/>
  <c r="X63" i="20"/>
  <c r="V63" i="20"/>
  <c r="U63" i="20"/>
  <c r="T63" i="20"/>
  <c r="S63" i="20"/>
  <c r="R63" i="20"/>
  <c r="AE62" i="20"/>
  <c r="AC62" i="20"/>
  <c r="Z62" i="20"/>
  <c r="X62" i="20"/>
  <c r="V62" i="20"/>
  <c r="U62" i="20"/>
  <c r="T62" i="20"/>
  <c r="S62" i="20"/>
  <c r="R62" i="20"/>
  <c r="AE81" i="19"/>
  <c r="AC81" i="19"/>
  <c r="Z81" i="19"/>
  <c r="X81" i="19"/>
  <c r="V81" i="19"/>
  <c r="U81" i="19"/>
  <c r="T81" i="19"/>
  <c r="S81" i="19"/>
  <c r="R81" i="19"/>
  <c r="AE80" i="19"/>
  <c r="AC80" i="19"/>
  <c r="Z80" i="19"/>
  <c r="X80" i="19"/>
  <c r="V80" i="19"/>
  <c r="U80" i="19"/>
  <c r="T80" i="19"/>
  <c r="S80" i="19"/>
  <c r="R80" i="19"/>
  <c r="AE79" i="19"/>
  <c r="AC79" i="19"/>
  <c r="Z79" i="19"/>
  <c r="X79" i="19"/>
  <c r="V79" i="19"/>
  <c r="U79" i="19"/>
  <c r="T79" i="19"/>
  <c r="S79" i="19"/>
  <c r="R79" i="19"/>
  <c r="AE78" i="19"/>
  <c r="AC78" i="19"/>
  <c r="Z78" i="19"/>
  <c r="X78" i="19"/>
  <c r="V78" i="19"/>
  <c r="U78" i="19"/>
  <c r="T78" i="19"/>
  <c r="S78" i="19"/>
  <c r="R78" i="19"/>
  <c r="AE77" i="19"/>
  <c r="AC77" i="19"/>
  <c r="Z77" i="19"/>
  <c r="X77" i="19"/>
  <c r="V77" i="19"/>
  <c r="U77" i="19"/>
  <c r="T77" i="19"/>
  <c r="S77" i="19"/>
  <c r="R77" i="19"/>
  <c r="AE76" i="19"/>
  <c r="AC76" i="19"/>
  <c r="Z76" i="19"/>
  <c r="X76" i="19"/>
  <c r="V76" i="19"/>
  <c r="U76" i="19"/>
  <c r="T76" i="19"/>
  <c r="S76" i="19"/>
  <c r="R76" i="19"/>
  <c r="AE75" i="19"/>
  <c r="AC75" i="19"/>
  <c r="Z75" i="19"/>
  <c r="X75" i="19"/>
  <c r="V75" i="19"/>
  <c r="U75" i="19"/>
  <c r="T75" i="19"/>
  <c r="S75" i="19"/>
  <c r="R75" i="19"/>
  <c r="AE74" i="19"/>
  <c r="AC74" i="19"/>
  <c r="Z74" i="19"/>
  <c r="X74" i="19"/>
  <c r="V74" i="19"/>
  <c r="U74" i="19"/>
  <c r="T74" i="19"/>
  <c r="S74" i="19"/>
  <c r="R74" i="19"/>
  <c r="AE73" i="19"/>
  <c r="AC73" i="19"/>
  <c r="Z73" i="19"/>
  <c r="X73" i="19"/>
  <c r="V73" i="19"/>
  <c r="U73" i="19"/>
  <c r="T73" i="19"/>
  <c r="S73" i="19"/>
  <c r="R73" i="19"/>
  <c r="AE72" i="19"/>
  <c r="AC72" i="19"/>
  <c r="Z72" i="19"/>
  <c r="X72" i="19"/>
  <c r="V72" i="19"/>
  <c r="U72" i="19"/>
  <c r="T72" i="19"/>
  <c r="S72" i="19"/>
  <c r="R72" i="19"/>
  <c r="AE71" i="19"/>
  <c r="AC71" i="19"/>
  <c r="Z71" i="19"/>
  <c r="X71" i="19"/>
  <c r="V71" i="19"/>
  <c r="U71" i="19"/>
  <c r="T71" i="19"/>
  <c r="S71" i="19"/>
  <c r="R71" i="19"/>
  <c r="AE70" i="19"/>
  <c r="AC70" i="19"/>
  <c r="Z70" i="19"/>
  <c r="X70" i="19"/>
  <c r="V70" i="19"/>
  <c r="U70" i="19"/>
  <c r="T70" i="19"/>
  <c r="S70" i="19"/>
  <c r="R70" i="19"/>
  <c r="AE69" i="19"/>
  <c r="AC69" i="19"/>
  <c r="Z69" i="19"/>
  <c r="X69" i="19"/>
  <c r="V69" i="19"/>
  <c r="U69" i="19"/>
  <c r="T69" i="19"/>
  <c r="S69" i="19"/>
  <c r="R69" i="19"/>
  <c r="AE68" i="19"/>
  <c r="AC68" i="19"/>
  <c r="Z68" i="19"/>
  <c r="X68" i="19"/>
  <c r="V68" i="19"/>
  <c r="U68" i="19"/>
  <c r="T68" i="19"/>
  <c r="S68" i="19"/>
  <c r="R68" i="19"/>
  <c r="AE67" i="19"/>
  <c r="AC67" i="19"/>
  <c r="Z67" i="19"/>
  <c r="X67" i="19"/>
  <c r="V67" i="19"/>
  <c r="U67" i="19"/>
  <c r="T67" i="19"/>
  <c r="S67" i="19"/>
  <c r="R67" i="19"/>
  <c r="AE66" i="19"/>
  <c r="AC66" i="19"/>
  <c r="Z66" i="19"/>
  <c r="X66" i="19"/>
  <c r="V66" i="19"/>
  <c r="U66" i="19"/>
  <c r="T66" i="19"/>
  <c r="S66" i="19"/>
  <c r="R66" i="19"/>
  <c r="AE65" i="19"/>
  <c r="AC65" i="19"/>
  <c r="Z65" i="19"/>
  <c r="X65" i="19"/>
  <c r="V65" i="19"/>
  <c r="U65" i="19"/>
  <c r="T65" i="19"/>
  <c r="S65" i="19"/>
  <c r="R65" i="19"/>
  <c r="AE64" i="19"/>
  <c r="AC64" i="19"/>
  <c r="Z64" i="19"/>
  <c r="X64" i="19"/>
  <c r="V64" i="19"/>
  <c r="U64" i="19"/>
  <c r="T64" i="19"/>
  <c r="S64" i="19"/>
  <c r="R64" i="19"/>
  <c r="AE63" i="19"/>
  <c r="AC63" i="19"/>
  <c r="Z63" i="19"/>
  <c r="X63" i="19"/>
  <c r="V63" i="19"/>
  <c r="U63" i="19"/>
  <c r="T63" i="19"/>
  <c r="S63" i="19"/>
  <c r="R63" i="19"/>
  <c r="AE62" i="19"/>
  <c r="AC62" i="19"/>
  <c r="Z62" i="19"/>
  <c r="X62" i="19"/>
  <c r="V62" i="19"/>
  <c r="U62" i="19"/>
  <c r="T62" i="19"/>
  <c r="S62" i="19"/>
  <c r="R62" i="19"/>
  <c r="AE81" i="18"/>
  <c r="AC81" i="18"/>
  <c r="Z81" i="18"/>
  <c r="X81" i="18"/>
  <c r="V81" i="18"/>
  <c r="U81" i="18"/>
  <c r="T81" i="18"/>
  <c r="S81" i="18"/>
  <c r="R81" i="18"/>
  <c r="AE80" i="18"/>
  <c r="AC80" i="18"/>
  <c r="Z80" i="18"/>
  <c r="X80" i="18"/>
  <c r="V80" i="18"/>
  <c r="U80" i="18"/>
  <c r="T80" i="18"/>
  <c r="S80" i="18"/>
  <c r="R80" i="18"/>
  <c r="AE79" i="18"/>
  <c r="AC79" i="18"/>
  <c r="Z79" i="18"/>
  <c r="X79" i="18"/>
  <c r="V79" i="18"/>
  <c r="U79" i="18"/>
  <c r="T79" i="18"/>
  <c r="S79" i="18"/>
  <c r="R79" i="18"/>
  <c r="AE78" i="18"/>
  <c r="AC78" i="18"/>
  <c r="Z78" i="18"/>
  <c r="X78" i="18"/>
  <c r="V78" i="18"/>
  <c r="U78" i="18"/>
  <c r="T78" i="18"/>
  <c r="S78" i="18"/>
  <c r="R78" i="18"/>
  <c r="AE77" i="18"/>
  <c r="AC77" i="18"/>
  <c r="Z77" i="18"/>
  <c r="X77" i="18"/>
  <c r="V77" i="18"/>
  <c r="U77" i="18"/>
  <c r="T77" i="18"/>
  <c r="S77" i="18"/>
  <c r="R77" i="18"/>
  <c r="AE76" i="18"/>
  <c r="AC76" i="18"/>
  <c r="Z76" i="18"/>
  <c r="X76" i="18"/>
  <c r="V76" i="18"/>
  <c r="U76" i="18"/>
  <c r="T76" i="18"/>
  <c r="S76" i="18"/>
  <c r="R76" i="18"/>
  <c r="AE75" i="18"/>
  <c r="AC75" i="18"/>
  <c r="Z75" i="18"/>
  <c r="X75" i="18"/>
  <c r="V75" i="18"/>
  <c r="U75" i="18"/>
  <c r="T75" i="18"/>
  <c r="S75" i="18"/>
  <c r="R75" i="18"/>
  <c r="AE74" i="18"/>
  <c r="AC74" i="18"/>
  <c r="Z74" i="18"/>
  <c r="X74" i="18"/>
  <c r="V74" i="18"/>
  <c r="U74" i="18"/>
  <c r="T74" i="18"/>
  <c r="S74" i="18"/>
  <c r="R74" i="18"/>
  <c r="AE73" i="18"/>
  <c r="AC73" i="18"/>
  <c r="Z73" i="18"/>
  <c r="X73" i="18"/>
  <c r="V73" i="18"/>
  <c r="U73" i="18"/>
  <c r="T73" i="18"/>
  <c r="S73" i="18"/>
  <c r="R73" i="18"/>
  <c r="AE72" i="18"/>
  <c r="AC72" i="18"/>
  <c r="Z72" i="18"/>
  <c r="X72" i="18"/>
  <c r="V72" i="18"/>
  <c r="U72" i="18"/>
  <c r="T72" i="18"/>
  <c r="S72" i="18"/>
  <c r="R72" i="18"/>
  <c r="AE71" i="18"/>
  <c r="AC71" i="18"/>
  <c r="Z71" i="18"/>
  <c r="X71" i="18"/>
  <c r="V71" i="18"/>
  <c r="U71" i="18"/>
  <c r="T71" i="18"/>
  <c r="S71" i="18"/>
  <c r="R71" i="18"/>
  <c r="AE70" i="18"/>
  <c r="AC70" i="18"/>
  <c r="Z70" i="18"/>
  <c r="X70" i="18"/>
  <c r="V70" i="18"/>
  <c r="U70" i="18"/>
  <c r="T70" i="18"/>
  <c r="S70" i="18"/>
  <c r="R70" i="18"/>
  <c r="AE69" i="18"/>
  <c r="AC69" i="18"/>
  <c r="Z69" i="18"/>
  <c r="X69" i="18"/>
  <c r="V69" i="18"/>
  <c r="U69" i="18"/>
  <c r="T69" i="18"/>
  <c r="S69" i="18"/>
  <c r="R69" i="18"/>
  <c r="AE68" i="18"/>
  <c r="AC68" i="18"/>
  <c r="Z68" i="18"/>
  <c r="X68" i="18"/>
  <c r="V68" i="18"/>
  <c r="U68" i="18"/>
  <c r="T68" i="18"/>
  <c r="S68" i="18"/>
  <c r="R68" i="18"/>
  <c r="AE67" i="18"/>
  <c r="AC67" i="18"/>
  <c r="Z67" i="18"/>
  <c r="X67" i="18"/>
  <c r="V67" i="18"/>
  <c r="U67" i="18"/>
  <c r="T67" i="18"/>
  <c r="S67" i="18"/>
  <c r="R67" i="18"/>
  <c r="AE66" i="18"/>
  <c r="AC66" i="18"/>
  <c r="Z66" i="18"/>
  <c r="X66" i="18"/>
  <c r="V66" i="18"/>
  <c r="U66" i="18"/>
  <c r="T66" i="18"/>
  <c r="S66" i="18"/>
  <c r="R66" i="18"/>
  <c r="AE65" i="18"/>
  <c r="AC65" i="18"/>
  <c r="Z65" i="18"/>
  <c r="X65" i="18"/>
  <c r="V65" i="18"/>
  <c r="U65" i="18"/>
  <c r="T65" i="18"/>
  <c r="S65" i="18"/>
  <c r="R65" i="18"/>
  <c r="AE64" i="18"/>
  <c r="AC64" i="18"/>
  <c r="Z64" i="18"/>
  <c r="X64" i="18"/>
  <c r="V64" i="18"/>
  <c r="U64" i="18"/>
  <c r="T64" i="18"/>
  <c r="S64" i="18"/>
  <c r="R64" i="18"/>
  <c r="AE63" i="18"/>
  <c r="AC63" i="18"/>
  <c r="Z63" i="18"/>
  <c r="X63" i="18"/>
  <c r="V63" i="18"/>
  <c r="U63" i="18"/>
  <c r="T63" i="18"/>
  <c r="S63" i="18"/>
  <c r="R63" i="18"/>
  <c r="AE62" i="18"/>
  <c r="AC62" i="18"/>
  <c r="Z62" i="18"/>
  <c r="X62" i="18"/>
  <c r="V62" i="18"/>
  <c r="U62" i="18"/>
  <c r="T62" i="18"/>
  <c r="S62" i="18"/>
  <c r="R62" i="18"/>
  <c r="AE81" i="17"/>
  <c r="AC81" i="17"/>
  <c r="Z81" i="17"/>
  <c r="X81" i="17"/>
  <c r="V81" i="17"/>
  <c r="U81" i="17"/>
  <c r="T81" i="17"/>
  <c r="S81" i="17"/>
  <c r="R81" i="17"/>
  <c r="AE80" i="17"/>
  <c r="AC80" i="17"/>
  <c r="Z80" i="17"/>
  <c r="X80" i="17"/>
  <c r="V80" i="17"/>
  <c r="U80" i="17"/>
  <c r="T80" i="17"/>
  <c r="S80" i="17"/>
  <c r="R80" i="17"/>
  <c r="AE79" i="17"/>
  <c r="AC79" i="17"/>
  <c r="Z79" i="17"/>
  <c r="X79" i="17"/>
  <c r="V79" i="17"/>
  <c r="U79" i="17"/>
  <c r="T79" i="17"/>
  <c r="S79" i="17"/>
  <c r="R79" i="17"/>
  <c r="AE78" i="17"/>
  <c r="AC78" i="17"/>
  <c r="Z78" i="17"/>
  <c r="X78" i="17"/>
  <c r="V78" i="17"/>
  <c r="U78" i="17"/>
  <c r="T78" i="17"/>
  <c r="S78" i="17"/>
  <c r="R78" i="17"/>
  <c r="AE77" i="17"/>
  <c r="AC77" i="17"/>
  <c r="Z77" i="17"/>
  <c r="X77" i="17"/>
  <c r="V77" i="17"/>
  <c r="U77" i="17"/>
  <c r="T77" i="17"/>
  <c r="S77" i="17"/>
  <c r="R77" i="17"/>
  <c r="AE76" i="17"/>
  <c r="AC76" i="17"/>
  <c r="Z76" i="17"/>
  <c r="X76" i="17"/>
  <c r="V76" i="17"/>
  <c r="U76" i="17"/>
  <c r="T76" i="17"/>
  <c r="S76" i="17"/>
  <c r="R76" i="17"/>
  <c r="AE75" i="17"/>
  <c r="AC75" i="17"/>
  <c r="Z75" i="17"/>
  <c r="X75" i="17"/>
  <c r="V75" i="17"/>
  <c r="U75" i="17"/>
  <c r="T75" i="17"/>
  <c r="S75" i="17"/>
  <c r="R75" i="17"/>
  <c r="AE74" i="17"/>
  <c r="AC74" i="17"/>
  <c r="Z74" i="17"/>
  <c r="X74" i="17"/>
  <c r="V74" i="17"/>
  <c r="U74" i="17"/>
  <c r="T74" i="17"/>
  <c r="S74" i="17"/>
  <c r="R74" i="17"/>
  <c r="AE73" i="17"/>
  <c r="AC73" i="17"/>
  <c r="Z73" i="17"/>
  <c r="X73" i="17"/>
  <c r="V73" i="17"/>
  <c r="U73" i="17"/>
  <c r="T73" i="17"/>
  <c r="S73" i="17"/>
  <c r="R73" i="17"/>
  <c r="AE72" i="17"/>
  <c r="AC72" i="17"/>
  <c r="Z72" i="17"/>
  <c r="X72" i="17"/>
  <c r="V72" i="17"/>
  <c r="U72" i="17"/>
  <c r="T72" i="17"/>
  <c r="S72" i="17"/>
  <c r="R72" i="17"/>
  <c r="AE71" i="17"/>
  <c r="AC71" i="17"/>
  <c r="Z71" i="17"/>
  <c r="X71" i="17"/>
  <c r="V71" i="17"/>
  <c r="U71" i="17"/>
  <c r="T71" i="17"/>
  <c r="S71" i="17"/>
  <c r="R71" i="17"/>
  <c r="AE70" i="17"/>
  <c r="AC70" i="17"/>
  <c r="Z70" i="17"/>
  <c r="X70" i="17"/>
  <c r="V70" i="17"/>
  <c r="U70" i="17"/>
  <c r="T70" i="17"/>
  <c r="S70" i="17"/>
  <c r="R70" i="17"/>
  <c r="AE69" i="17"/>
  <c r="AC69" i="17"/>
  <c r="Z69" i="17"/>
  <c r="X69" i="17"/>
  <c r="V69" i="17"/>
  <c r="U69" i="17"/>
  <c r="T69" i="17"/>
  <c r="S69" i="17"/>
  <c r="R69" i="17"/>
  <c r="AE68" i="17"/>
  <c r="AC68" i="17"/>
  <c r="Z68" i="17"/>
  <c r="X68" i="17"/>
  <c r="V68" i="17"/>
  <c r="U68" i="17"/>
  <c r="T68" i="17"/>
  <c r="S68" i="17"/>
  <c r="R68" i="17"/>
  <c r="AE67" i="17"/>
  <c r="AC67" i="17"/>
  <c r="Z67" i="17"/>
  <c r="X67" i="17"/>
  <c r="V67" i="17"/>
  <c r="U67" i="17"/>
  <c r="T67" i="17"/>
  <c r="S67" i="17"/>
  <c r="R67" i="17"/>
  <c r="AE66" i="17"/>
  <c r="AC66" i="17"/>
  <c r="Z66" i="17"/>
  <c r="X66" i="17"/>
  <c r="V66" i="17"/>
  <c r="U66" i="17"/>
  <c r="T66" i="17"/>
  <c r="S66" i="17"/>
  <c r="R66" i="17"/>
  <c r="AE65" i="17"/>
  <c r="AC65" i="17"/>
  <c r="Z65" i="17"/>
  <c r="X65" i="17"/>
  <c r="V65" i="17"/>
  <c r="U65" i="17"/>
  <c r="T65" i="17"/>
  <c r="S65" i="17"/>
  <c r="R65" i="17"/>
  <c r="AE64" i="17"/>
  <c r="AC64" i="17"/>
  <c r="Z64" i="17"/>
  <c r="X64" i="17"/>
  <c r="V64" i="17"/>
  <c r="U64" i="17"/>
  <c r="T64" i="17"/>
  <c r="S64" i="17"/>
  <c r="R64" i="17"/>
  <c r="AE63" i="17"/>
  <c r="AC63" i="17"/>
  <c r="Z63" i="17"/>
  <c r="X63" i="17"/>
  <c r="V63" i="17"/>
  <c r="U63" i="17"/>
  <c r="T63" i="17"/>
  <c r="S63" i="17"/>
  <c r="R63" i="17"/>
  <c r="AE62" i="17"/>
  <c r="AC62" i="17"/>
  <c r="Z62" i="17"/>
  <c r="X62" i="17"/>
  <c r="V62" i="17"/>
  <c r="U62" i="17"/>
  <c r="T62" i="17"/>
  <c r="S62" i="17"/>
  <c r="R62" i="17"/>
  <c r="AE81" i="16"/>
  <c r="AC81" i="16"/>
  <c r="Z81" i="16"/>
  <c r="X81" i="16"/>
  <c r="V81" i="16"/>
  <c r="U81" i="16"/>
  <c r="T81" i="16"/>
  <c r="S81" i="16"/>
  <c r="R81" i="16"/>
  <c r="AE80" i="16"/>
  <c r="AC80" i="16"/>
  <c r="Z80" i="16"/>
  <c r="X80" i="16"/>
  <c r="V80" i="16"/>
  <c r="U80" i="16"/>
  <c r="T80" i="16"/>
  <c r="S80" i="16"/>
  <c r="R80" i="16"/>
  <c r="AE79" i="16"/>
  <c r="AC79" i="16"/>
  <c r="Z79" i="16"/>
  <c r="X79" i="16"/>
  <c r="V79" i="16"/>
  <c r="U79" i="16"/>
  <c r="T79" i="16"/>
  <c r="S79" i="16"/>
  <c r="R79" i="16"/>
  <c r="AE78" i="16"/>
  <c r="AC78" i="16"/>
  <c r="Z78" i="16"/>
  <c r="X78" i="16"/>
  <c r="V78" i="16"/>
  <c r="U78" i="16"/>
  <c r="T78" i="16"/>
  <c r="S78" i="16"/>
  <c r="R78" i="16"/>
  <c r="AE77" i="16"/>
  <c r="AC77" i="16"/>
  <c r="Z77" i="16"/>
  <c r="X77" i="16"/>
  <c r="V77" i="16"/>
  <c r="U77" i="16"/>
  <c r="T77" i="16"/>
  <c r="S77" i="16"/>
  <c r="R77" i="16"/>
  <c r="AE76" i="16"/>
  <c r="AC76" i="16"/>
  <c r="Z76" i="16"/>
  <c r="X76" i="16"/>
  <c r="V76" i="16"/>
  <c r="U76" i="16"/>
  <c r="T76" i="16"/>
  <c r="S76" i="16"/>
  <c r="R76" i="16"/>
  <c r="AE75" i="16"/>
  <c r="AC75" i="16"/>
  <c r="Z75" i="16"/>
  <c r="X75" i="16"/>
  <c r="V75" i="16"/>
  <c r="U75" i="16"/>
  <c r="T75" i="16"/>
  <c r="S75" i="16"/>
  <c r="R75" i="16"/>
  <c r="AE74" i="16"/>
  <c r="AC74" i="16"/>
  <c r="Z74" i="16"/>
  <c r="X74" i="16"/>
  <c r="V74" i="16"/>
  <c r="U74" i="16"/>
  <c r="T74" i="16"/>
  <c r="S74" i="16"/>
  <c r="R74" i="16"/>
  <c r="AE73" i="16"/>
  <c r="AC73" i="16"/>
  <c r="Z73" i="16"/>
  <c r="X73" i="16"/>
  <c r="V73" i="16"/>
  <c r="U73" i="16"/>
  <c r="T73" i="16"/>
  <c r="S73" i="16"/>
  <c r="R73" i="16"/>
  <c r="AE72" i="16"/>
  <c r="AC72" i="16"/>
  <c r="Z72" i="16"/>
  <c r="X72" i="16"/>
  <c r="V72" i="16"/>
  <c r="U72" i="16"/>
  <c r="T72" i="16"/>
  <c r="S72" i="16"/>
  <c r="R72" i="16"/>
  <c r="AE71" i="16"/>
  <c r="AC71" i="16"/>
  <c r="Z71" i="16"/>
  <c r="X71" i="16"/>
  <c r="V71" i="16"/>
  <c r="U71" i="16"/>
  <c r="T71" i="16"/>
  <c r="S71" i="16"/>
  <c r="R71" i="16"/>
  <c r="AE70" i="16"/>
  <c r="AC70" i="16"/>
  <c r="Z70" i="16"/>
  <c r="X70" i="16"/>
  <c r="V70" i="16"/>
  <c r="U70" i="16"/>
  <c r="T70" i="16"/>
  <c r="S70" i="16"/>
  <c r="R70" i="16"/>
  <c r="AE69" i="16"/>
  <c r="AC69" i="16"/>
  <c r="Z69" i="16"/>
  <c r="X69" i="16"/>
  <c r="V69" i="16"/>
  <c r="U69" i="16"/>
  <c r="T69" i="16"/>
  <c r="S69" i="16"/>
  <c r="R69" i="16"/>
  <c r="AE68" i="16"/>
  <c r="AC68" i="16"/>
  <c r="Z68" i="16"/>
  <c r="X68" i="16"/>
  <c r="V68" i="16"/>
  <c r="U68" i="16"/>
  <c r="T68" i="16"/>
  <c r="S68" i="16"/>
  <c r="R68" i="16"/>
  <c r="AE67" i="16"/>
  <c r="AC67" i="16"/>
  <c r="Z67" i="16"/>
  <c r="X67" i="16"/>
  <c r="V67" i="16"/>
  <c r="U67" i="16"/>
  <c r="T67" i="16"/>
  <c r="S67" i="16"/>
  <c r="R67" i="16"/>
  <c r="AE66" i="16"/>
  <c r="AC66" i="16"/>
  <c r="Z66" i="16"/>
  <c r="X66" i="16"/>
  <c r="V66" i="16"/>
  <c r="U66" i="16"/>
  <c r="T66" i="16"/>
  <c r="S66" i="16"/>
  <c r="R66" i="16"/>
  <c r="AE65" i="16"/>
  <c r="AC65" i="16"/>
  <c r="Z65" i="16"/>
  <c r="X65" i="16"/>
  <c r="V65" i="16"/>
  <c r="U65" i="16"/>
  <c r="T65" i="16"/>
  <c r="S65" i="16"/>
  <c r="R65" i="16"/>
  <c r="AE64" i="16"/>
  <c r="AC64" i="16"/>
  <c r="Z64" i="16"/>
  <c r="X64" i="16"/>
  <c r="V64" i="16"/>
  <c r="U64" i="16"/>
  <c r="T64" i="16"/>
  <c r="S64" i="16"/>
  <c r="R64" i="16"/>
  <c r="AE63" i="16"/>
  <c r="AC63" i="16"/>
  <c r="Z63" i="16"/>
  <c r="X63" i="16"/>
  <c r="V63" i="16"/>
  <c r="U63" i="16"/>
  <c r="T63" i="16"/>
  <c r="S63" i="16"/>
  <c r="R63" i="16"/>
  <c r="AE62" i="16"/>
  <c r="AC62" i="16"/>
  <c r="Z62" i="16"/>
  <c r="X62" i="16"/>
  <c r="V62" i="16"/>
  <c r="U62" i="16"/>
  <c r="T62" i="16"/>
  <c r="S62" i="16"/>
  <c r="R62" i="16"/>
  <c r="AE81" i="15"/>
  <c r="AC81" i="15"/>
  <c r="Z81" i="15"/>
  <c r="X81" i="15"/>
  <c r="V81" i="15"/>
  <c r="U81" i="15"/>
  <c r="T81" i="15"/>
  <c r="S81" i="15"/>
  <c r="R81" i="15"/>
  <c r="AE80" i="15"/>
  <c r="AC80" i="15"/>
  <c r="Z80" i="15"/>
  <c r="X80" i="15"/>
  <c r="V80" i="15"/>
  <c r="U80" i="15"/>
  <c r="T80" i="15"/>
  <c r="S80" i="15"/>
  <c r="R80" i="15"/>
  <c r="AE79" i="15"/>
  <c r="AC79" i="15"/>
  <c r="Z79" i="15"/>
  <c r="X79" i="15"/>
  <c r="V79" i="15"/>
  <c r="U79" i="15"/>
  <c r="T79" i="15"/>
  <c r="S79" i="15"/>
  <c r="R79" i="15"/>
  <c r="AE78" i="15"/>
  <c r="AC78" i="15"/>
  <c r="Z78" i="15"/>
  <c r="X78" i="15"/>
  <c r="V78" i="15"/>
  <c r="U78" i="15"/>
  <c r="T78" i="15"/>
  <c r="S78" i="15"/>
  <c r="R78" i="15"/>
  <c r="AE77" i="15"/>
  <c r="AC77" i="15"/>
  <c r="Z77" i="15"/>
  <c r="X77" i="15"/>
  <c r="V77" i="15"/>
  <c r="U77" i="15"/>
  <c r="T77" i="15"/>
  <c r="S77" i="15"/>
  <c r="R77" i="15"/>
  <c r="AE76" i="15"/>
  <c r="AC76" i="15"/>
  <c r="Z76" i="15"/>
  <c r="X76" i="15"/>
  <c r="V76" i="15"/>
  <c r="U76" i="15"/>
  <c r="T76" i="15"/>
  <c r="S76" i="15"/>
  <c r="R76" i="15"/>
  <c r="AE75" i="15"/>
  <c r="AC75" i="15"/>
  <c r="Z75" i="15"/>
  <c r="X75" i="15"/>
  <c r="V75" i="15"/>
  <c r="U75" i="15"/>
  <c r="T75" i="15"/>
  <c r="S75" i="15"/>
  <c r="R75" i="15"/>
  <c r="AE74" i="15"/>
  <c r="AC74" i="15"/>
  <c r="Z74" i="15"/>
  <c r="X74" i="15"/>
  <c r="V74" i="15"/>
  <c r="U74" i="15"/>
  <c r="T74" i="15"/>
  <c r="S74" i="15"/>
  <c r="R74" i="15"/>
  <c r="AE73" i="15"/>
  <c r="AC73" i="15"/>
  <c r="Z73" i="15"/>
  <c r="X73" i="15"/>
  <c r="V73" i="15"/>
  <c r="U73" i="15"/>
  <c r="T73" i="15"/>
  <c r="S73" i="15"/>
  <c r="R73" i="15"/>
  <c r="AE72" i="15"/>
  <c r="AC72" i="15"/>
  <c r="Z72" i="15"/>
  <c r="X72" i="15"/>
  <c r="V72" i="15"/>
  <c r="U72" i="15"/>
  <c r="T72" i="15"/>
  <c r="S72" i="15"/>
  <c r="R72" i="15"/>
  <c r="AE71" i="15"/>
  <c r="AC71" i="15"/>
  <c r="Z71" i="15"/>
  <c r="X71" i="15"/>
  <c r="V71" i="15"/>
  <c r="U71" i="15"/>
  <c r="T71" i="15"/>
  <c r="S71" i="15"/>
  <c r="R71" i="15"/>
  <c r="AE70" i="15"/>
  <c r="AC70" i="15"/>
  <c r="Z70" i="15"/>
  <c r="X70" i="15"/>
  <c r="V70" i="15"/>
  <c r="U70" i="15"/>
  <c r="T70" i="15"/>
  <c r="S70" i="15"/>
  <c r="R70" i="15"/>
  <c r="AE69" i="15"/>
  <c r="AC69" i="15"/>
  <c r="Z69" i="15"/>
  <c r="X69" i="15"/>
  <c r="V69" i="15"/>
  <c r="U69" i="15"/>
  <c r="T69" i="15"/>
  <c r="S69" i="15"/>
  <c r="R69" i="15"/>
  <c r="AE68" i="15"/>
  <c r="AC68" i="15"/>
  <c r="Z68" i="15"/>
  <c r="X68" i="15"/>
  <c r="V68" i="15"/>
  <c r="U68" i="15"/>
  <c r="T68" i="15"/>
  <c r="S68" i="15"/>
  <c r="R68" i="15"/>
  <c r="AE67" i="15"/>
  <c r="AC67" i="15"/>
  <c r="Z67" i="15"/>
  <c r="X67" i="15"/>
  <c r="V67" i="15"/>
  <c r="U67" i="15"/>
  <c r="T67" i="15"/>
  <c r="S67" i="15"/>
  <c r="R67" i="15"/>
  <c r="AE66" i="15"/>
  <c r="AC66" i="15"/>
  <c r="Z66" i="15"/>
  <c r="X66" i="15"/>
  <c r="V66" i="15"/>
  <c r="U66" i="15"/>
  <c r="T66" i="15"/>
  <c r="S66" i="15"/>
  <c r="R66" i="15"/>
  <c r="AE65" i="15"/>
  <c r="AC65" i="15"/>
  <c r="Z65" i="15"/>
  <c r="X65" i="15"/>
  <c r="V65" i="15"/>
  <c r="U65" i="15"/>
  <c r="T65" i="15"/>
  <c r="S65" i="15"/>
  <c r="R65" i="15"/>
  <c r="AE64" i="15"/>
  <c r="AC64" i="15"/>
  <c r="Z64" i="15"/>
  <c r="X64" i="15"/>
  <c r="V64" i="15"/>
  <c r="U64" i="15"/>
  <c r="T64" i="15"/>
  <c r="S64" i="15"/>
  <c r="R64" i="15"/>
  <c r="AE63" i="15"/>
  <c r="AC63" i="15"/>
  <c r="Z63" i="15"/>
  <c r="X63" i="15"/>
  <c r="V63" i="15"/>
  <c r="U63" i="15"/>
  <c r="T63" i="15"/>
  <c r="S63" i="15"/>
  <c r="R63" i="15"/>
  <c r="AE62" i="15"/>
  <c r="AC62" i="15"/>
  <c r="Z62" i="15"/>
  <c r="X62" i="15"/>
  <c r="V62" i="15"/>
  <c r="U62" i="15"/>
  <c r="T62" i="15"/>
  <c r="S62" i="15"/>
  <c r="R62" i="15"/>
  <c r="AE81" i="14"/>
  <c r="AC81" i="14"/>
  <c r="Z81" i="14"/>
  <c r="X81" i="14"/>
  <c r="V81" i="14"/>
  <c r="U81" i="14"/>
  <c r="T81" i="14"/>
  <c r="S81" i="14"/>
  <c r="R81" i="14"/>
  <c r="AE80" i="14"/>
  <c r="AC80" i="14"/>
  <c r="Z80" i="14"/>
  <c r="X80" i="14"/>
  <c r="V80" i="14"/>
  <c r="U80" i="14"/>
  <c r="T80" i="14"/>
  <c r="S80" i="14"/>
  <c r="R80" i="14"/>
  <c r="AE79" i="14"/>
  <c r="AC79" i="14"/>
  <c r="Z79" i="14"/>
  <c r="X79" i="14"/>
  <c r="V79" i="14"/>
  <c r="U79" i="14"/>
  <c r="T79" i="14"/>
  <c r="S79" i="14"/>
  <c r="R79" i="14"/>
  <c r="AE78" i="14"/>
  <c r="AC78" i="14"/>
  <c r="Z78" i="14"/>
  <c r="X78" i="14"/>
  <c r="V78" i="14"/>
  <c r="U78" i="14"/>
  <c r="T78" i="14"/>
  <c r="S78" i="14"/>
  <c r="R78" i="14"/>
  <c r="AE77" i="14"/>
  <c r="AC77" i="14"/>
  <c r="Z77" i="14"/>
  <c r="X77" i="14"/>
  <c r="V77" i="14"/>
  <c r="U77" i="14"/>
  <c r="T77" i="14"/>
  <c r="S77" i="14"/>
  <c r="R77" i="14"/>
  <c r="AE76" i="14"/>
  <c r="AC76" i="14"/>
  <c r="Z76" i="14"/>
  <c r="X76" i="14"/>
  <c r="V76" i="14"/>
  <c r="U76" i="14"/>
  <c r="T76" i="14"/>
  <c r="S76" i="14"/>
  <c r="R76" i="14"/>
  <c r="AE75" i="14"/>
  <c r="AC75" i="14"/>
  <c r="Z75" i="14"/>
  <c r="X75" i="14"/>
  <c r="V75" i="14"/>
  <c r="U75" i="14"/>
  <c r="T75" i="14"/>
  <c r="S75" i="14"/>
  <c r="R75" i="14"/>
  <c r="AE74" i="14"/>
  <c r="AC74" i="14"/>
  <c r="Z74" i="14"/>
  <c r="X74" i="14"/>
  <c r="V74" i="14"/>
  <c r="U74" i="14"/>
  <c r="T74" i="14"/>
  <c r="S74" i="14"/>
  <c r="R74" i="14"/>
  <c r="AE73" i="14"/>
  <c r="AC73" i="14"/>
  <c r="Z73" i="14"/>
  <c r="X73" i="14"/>
  <c r="V73" i="14"/>
  <c r="U73" i="14"/>
  <c r="T73" i="14"/>
  <c r="S73" i="14"/>
  <c r="R73" i="14"/>
  <c r="AE72" i="14"/>
  <c r="AC72" i="14"/>
  <c r="Z72" i="14"/>
  <c r="X72" i="14"/>
  <c r="V72" i="14"/>
  <c r="U72" i="14"/>
  <c r="T72" i="14"/>
  <c r="S72" i="14"/>
  <c r="R72" i="14"/>
  <c r="AE71" i="14"/>
  <c r="AC71" i="14"/>
  <c r="Z71" i="14"/>
  <c r="X71" i="14"/>
  <c r="V71" i="14"/>
  <c r="U71" i="14"/>
  <c r="T71" i="14"/>
  <c r="S71" i="14"/>
  <c r="R71" i="14"/>
  <c r="AE70" i="14"/>
  <c r="AC70" i="14"/>
  <c r="Z70" i="14"/>
  <c r="X70" i="14"/>
  <c r="V70" i="14"/>
  <c r="U70" i="14"/>
  <c r="T70" i="14"/>
  <c r="S70" i="14"/>
  <c r="R70" i="14"/>
  <c r="AE69" i="14"/>
  <c r="AC69" i="14"/>
  <c r="Z69" i="14"/>
  <c r="X69" i="14"/>
  <c r="V69" i="14"/>
  <c r="U69" i="14"/>
  <c r="T69" i="14"/>
  <c r="S69" i="14"/>
  <c r="R69" i="14"/>
  <c r="AE68" i="14"/>
  <c r="AC68" i="14"/>
  <c r="Z68" i="14"/>
  <c r="X68" i="14"/>
  <c r="V68" i="14"/>
  <c r="U68" i="14"/>
  <c r="T68" i="14"/>
  <c r="S68" i="14"/>
  <c r="R68" i="14"/>
  <c r="AE67" i="14"/>
  <c r="AC67" i="14"/>
  <c r="Z67" i="14"/>
  <c r="X67" i="14"/>
  <c r="V67" i="14"/>
  <c r="U67" i="14"/>
  <c r="T67" i="14"/>
  <c r="S67" i="14"/>
  <c r="R67" i="14"/>
  <c r="AE66" i="14"/>
  <c r="AC66" i="14"/>
  <c r="Z66" i="14"/>
  <c r="X66" i="14"/>
  <c r="V66" i="14"/>
  <c r="U66" i="14"/>
  <c r="T66" i="14"/>
  <c r="S66" i="14"/>
  <c r="R66" i="14"/>
  <c r="AE65" i="14"/>
  <c r="AC65" i="14"/>
  <c r="Z65" i="14"/>
  <c r="X65" i="14"/>
  <c r="V65" i="14"/>
  <c r="U65" i="14"/>
  <c r="T65" i="14"/>
  <c r="S65" i="14"/>
  <c r="R65" i="14"/>
  <c r="AE64" i="14"/>
  <c r="AC64" i="14"/>
  <c r="Z64" i="14"/>
  <c r="X64" i="14"/>
  <c r="V64" i="14"/>
  <c r="U64" i="14"/>
  <c r="T64" i="14"/>
  <c r="S64" i="14"/>
  <c r="R64" i="14"/>
  <c r="AE63" i="14"/>
  <c r="AC63" i="14"/>
  <c r="Z63" i="14"/>
  <c r="X63" i="14"/>
  <c r="V63" i="14"/>
  <c r="U63" i="14"/>
  <c r="T63" i="14"/>
  <c r="S63" i="14"/>
  <c r="R63" i="14"/>
  <c r="AE62" i="14"/>
  <c r="AC62" i="14"/>
  <c r="Z62" i="14"/>
  <c r="X62" i="14"/>
  <c r="V62" i="14"/>
  <c r="U62" i="14"/>
  <c r="T62" i="14"/>
  <c r="S62" i="14"/>
  <c r="R62" i="14"/>
  <c r="AE81" i="13"/>
  <c r="AC81" i="13"/>
  <c r="Z81" i="13"/>
  <c r="X81" i="13"/>
  <c r="V81" i="13"/>
  <c r="U81" i="13"/>
  <c r="T81" i="13"/>
  <c r="S81" i="13"/>
  <c r="R81" i="13"/>
  <c r="AE80" i="13"/>
  <c r="AC80" i="13"/>
  <c r="Z80" i="13"/>
  <c r="X80" i="13"/>
  <c r="V80" i="13"/>
  <c r="U80" i="13"/>
  <c r="T80" i="13"/>
  <c r="S80" i="13"/>
  <c r="R80" i="13"/>
  <c r="AE79" i="13"/>
  <c r="AC79" i="13"/>
  <c r="Z79" i="13"/>
  <c r="X79" i="13"/>
  <c r="V79" i="13"/>
  <c r="U79" i="13"/>
  <c r="T79" i="13"/>
  <c r="S79" i="13"/>
  <c r="R79" i="13"/>
  <c r="AE78" i="13"/>
  <c r="AC78" i="13"/>
  <c r="Z78" i="13"/>
  <c r="X78" i="13"/>
  <c r="V78" i="13"/>
  <c r="U78" i="13"/>
  <c r="T78" i="13"/>
  <c r="S78" i="13"/>
  <c r="R78" i="13"/>
  <c r="AE77" i="13"/>
  <c r="AC77" i="13"/>
  <c r="Z77" i="13"/>
  <c r="X77" i="13"/>
  <c r="V77" i="13"/>
  <c r="U77" i="13"/>
  <c r="T77" i="13"/>
  <c r="S77" i="13"/>
  <c r="R77" i="13"/>
  <c r="AE76" i="13"/>
  <c r="AC76" i="13"/>
  <c r="Z76" i="13"/>
  <c r="X76" i="13"/>
  <c r="V76" i="13"/>
  <c r="U76" i="13"/>
  <c r="T76" i="13"/>
  <c r="S76" i="13"/>
  <c r="R76" i="13"/>
  <c r="AE75" i="13"/>
  <c r="AC75" i="13"/>
  <c r="Z75" i="13"/>
  <c r="X75" i="13"/>
  <c r="V75" i="13"/>
  <c r="U75" i="13"/>
  <c r="T75" i="13"/>
  <c r="S75" i="13"/>
  <c r="R75" i="13"/>
  <c r="AE74" i="13"/>
  <c r="AC74" i="13"/>
  <c r="Z74" i="13"/>
  <c r="X74" i="13"/>
  <c r="V74" i="13"/>
  <c r="U74" i="13"/>
  <c r="T74" i="13"/>
  <c r="S74" i="13"/>
  <c r="R74" i="13"/>
  <c r="AE73" i="13"/>
  <c r="AC73" i="13"/>
  <c r="Z73" i="13"/>
  <c r="X73" i="13"/>
  <c r="V73" i="13"/>
  <c r="U73" i="13"/>
  <c r="T73" i="13"/>
  <c r="S73" i="13"/>
  <c r="R73" i="13"/>
  <c r="AE72" i="13"/>
  <c r="AC72" i="13"/>
  <c r="Z72" i="13"/>
  <c r="X72" i="13"/>
  <c r="V72" i="13"/>
  <c r="U72" i="13"/>
  <c r="T72" i="13"/>
  <c r="S72" i="13"/>
  <c r="R72" i="13"/>
  <c r="AE71" i="13"/>
  <c r="AC71" i="13"/>
  <c r="Z71" i="13"/>
  <c r="X71" i="13"/>
  <c r="V71" i="13"/>
  <c r="U71" i="13"/>
  <c r="T71" i="13"/>
  <c r="S71" i="13"/>
  <c r="R71" i="13"/>
  <c r="AE70" i="13"/>
  <c r="AC70" i="13"/>
  <c r="Z70" i="13"/>
  <c r="X70" i="13"/>
  <c r="V70" i="13"/>
  <c r="U70" i="13"/>
  <c r="T70" i="13"/>
  <c r="S70" i="13"/>
  <c r="R70" i="13"/>
  <c r="AE69" i="13"/>
  <c r="AC69" i="13"/>
  <c r="Z69" i="13"/>
  <c r="X69" i="13"/>
  <c r="V69" i="13"/>
  <c r="U69" i="13"/>
  <c r="T69" i="13"/>
  <c r="S69" i="13"/>
  <c r="R69" i="13"/>
  <c r="AE68" i="13"/>
  <c r="AC68" i="13"/>
  <c r="Z68" i="13"/>
  <c r="X68" i="13"/>
  <c r="V68" i="13"/>
  <c r="U68" i="13"/>
  <c r="T68" i="13"/>
  <c r="S68" i="13"/>
  <c r="R68" i="13"/>
  <c r="AE67" i="13"/>
  <c r="AC67" i="13"/>
  <c r="Z67" i="13"/>
  <c r="X67" i="13"/>
  <c r="V67" i="13"/>
  <c r="U67" i="13"/>
  <c r="T67" i="13"/>
  <c r="S67" i="13"/>
  <c r="R67" i="13"/>
  <c r="AE66" i="13"/>
  <c r="AC66" i="13"/>
  <c r="Z66" i="13"/>
  <c r="X66" i="13"/>
  <c r="V66" i="13"/>
  <c r="U66" i="13"/>
  <c r="T66" i="13"/>
  <c r="S66" i="13"/>
  <c r="R66" i="13"/>
  <c r="AE65" i="13"/>
  <c r="AC65" i="13"/>
  <c r="Z65" i="13"/>
  <c r="X65" i="13"/>
  <c r="V65" i="13"/>
  <c r="U65" i="13"/>
  <c r="T65" i="13"/>
  <c r="S65" i="13"/>
  <c r="R65" i="13"/>
  <c r="AE64" i="13"/>
  <c r="AC64" i="13"/>
  <c r="Z64" i="13"/>
  <c r="X64" i="13"/>
  <c r="V64" i="13"/>
  <c r="U64" i="13"/>
  <c r="T64" i="13"/>
  <c r="S64" i="13"/>
  <c r="R64" i="13"/>
  <c r="AE63" i="13"/>
  <c r="AC63" i="13"/>
  <c r="Z63" i="13"/>
  <c r="X63" i="13"/>
  <c r="V63" i="13"/>
  <c r="U63" i="13"/>
  <c r="T63" i="13"/>
  <c r="S63" i="13"/>
  <c r="R63" i="13"/>
  <c r="AE62" i="13"/>
  <c r="AC62" i="13"/>
  <c r="Z62" i="13"/>
  <c r="X62" i="13"/>
  <c r="V62" i="13"/>
  <c r="U62" i="13"/>
  <c r="T62" i="13"/>
  <c r="S62" i="13"/>
  <c r="R62" i="13"/>
  <c r="AE81" i="12"/>
  <c r="AC81" i="12"/>
  <c r="Z81" i="12"/>
  <c r="X81" i="12"/>
  <c r="V81" i="12"/>
  <c r="U81" i="12"/>
  <c r="T81" i="12"/>
  <c r="S81" i="12"/>
  <c r="R81" i="12"/>
  <c r="AE80" i="12"/>
  <c r="AC80" i="12"/>
  <c r="Z80" i="12"/>
  <c r="X80" i="12"/>
  <c r="V80" i="12"/>
  <c r="U80" i="12"/>
  <c r="T80" i="12"/>
  <c r="S80" i="12"/>
  <c r="R80" i="12"/>
  <c r="AE79" i="12"/>
  <c r="AC79" i="12"/>
  <c r="Z79" i="12"/>
  <c r="X79" i="12"/>
  <c r="V79" i="12"/>
  <c r="U79" i="12"/>
  <c r="T79" i="12"/>
  <c r="S79" i="12"/>
  <c r="R79" i="12"/>
  <c r="AE78" i="12"/>
  <c r="AC78" i="12"/>
  <c r="Z78" i="12"/>
  <c r="X78" i="12"/>
  <c r="V78" i="12"/>
  <c r="U78" i="12"/>
  <c r="T78" i="12"/>
  <c r="S78" i="12"/>
  <c r="R78" i="12"/>
  <c r="AE77" i="12"/>
  <c r="AC77" i="12"/>
  <c r="Z77" i="12"/>
  <c r="X77" i="12"/>
  <c r="V77" i="12"/>
  <c r="U77" i="12"/>
  <c r="T77" i="12"/>
  <c r="S77" i="12"/>
  <c r="R77" i="12"/>
  <c r="AE76" i="12"/>
  <c r="AC76" i="12"/>
  <c r="Z76" i="12"/>
  <c r="X76" i="12"/>
  <c r="V76" i="12"/>
  <c r="U76" i="12"/>
  <c r="T76" i="12"/>
  <c r="S76" i="12"/>
  <c r="R76" i="12"/>
  <c r="AE75" i="12"/>
  <c r="AC75" i="12"/>
  <c r="Z75" i="12"/>
  <c r="X75" i="12"/>
  <c r="V75" i="12"/>
  <c r="U75" i="12"/>
  <c r="T75" i="12"/>
  <c r="S75" i="12"/>
  <c r="R75" i="12"/>
  <c r="AE74" i="12"/>
  <c r="AC74" i="12"/>
  <c r="Z74" i="12"/>
  <c r="X74" i="12"/>
  <c r="V74" i="12"/>
  <c r="U74" i="12"/>
  <c r="T74" i="12"/>
  <c r="S74" i="12"/>
  <c r="R74" i="12"/>
  <c r="AE73" i="12"/>
  <c r="AC73" i="12"/>
  <c r="Z73" i="12"/>
  <c r="X73" i="12"/>
  <c r="V73" i="12"/>
  <c r="U73" i="12"/>
  <c r="T73" i="12"/>
  <c r="S73" i="12"/>
  <c r="R73" i="12"/>
  <c r="AE72" i="12"/>
  <c r="AC72" i="12"/>
  <c r="Z72" i="12"/>
  <c r="X72" i="12"/>
  <c r="V72" i="12"/>
  <c r="U72" i="12"/>
  <c r="T72" i="12"/>
  <c r="S72" i="12"/>
  <c r="R72" i="12"/>
  <c r="AE71" i="12"/>
  <c r="AC71" i="12"/>
  <c r="Z71" i="12"/>
  <c r="X71" i="12"/>
  <c r="V71" i="12"/>
  <c r="U71" i="12"/>
  <c r="T71" i="12"/>
  <c r="S71" i="12"/>
  <c r="R71" i="12"/>
  <c r="AE70" i="12"/>
  <c r="AC70" i="12"/>
  <c r="Z70" i="12"/>
  <c r="X70" i="12"/>
  <c r="V70" i="12"/>
  <c r="U70" i="12"/>
  <c r="T70" i="12"/>
  <c r="S70" i="12"/>
  <c r="R70" i="12"/>
  <c r="AE69" i="12"/>
  <c r="AC69" i="12"/>
  <c r="Z69" i="12"/>
  <c r="X69" i="12"/>
  <c r="V69" i="12"/>
  <c r="U69" i="12"/>
  <c r="T69" i="12"/>
  <c r="S69" i="12"/>
  <c r="R69" i="12"/>
  <c r="AE68" i="12"/>
  <c r="AC68" i="12"/>
  <c r="Z68" i="12"/>
  <c r="X68" i="12"/>
  <c r="V68" i="12"/>
  <c r="U68" i="12"/>
  <c r="T68" i="12"/>
  <c r="S68" i="12"/>
  <c r="R68" i="12"/>
  <c r="AE67" i="12"/>
  <c r="AC67" i="12"/>
  <c r="Z67" i="12"/>
  <c r="X67" i="12"/>
  <c r="V67" i="12"/>
  <c r="U67" i="12"/>
  <c r="T67" i="12"/>
  <c r="S67" i="12"/>
  <c r="R67" i="12"/>
  <c r="AE66" i="12"/>
  <c r="AC66" i="12"/>
  <c r="Z66" i="12"/>
  <c r="X66" i="12"/>
  <c r="V66" i="12"/>
  <c r="U66" i="12"/>
  <c r="T66" i="12"/>
  <c r="S66" i="12"/>
  <c r="R66" i="12"/>
  <c r="AE65" i="12"/>
  <c r="AC65" i="12"/>
  <c r="Z65" i="12"/>
  <c r="X65" i="12"/>
  <c r="V65" i="12"/>
  <c r="U65" i="12"/>
  <c r="T65" i="12"/>
  <c r="S65" i="12"/>
  <c r="R65" i="12"/>
  <c r="AE64" i="12"/>
  <c r="AC64" i="12"/>
  <c r="Z64" i="12"/>
  <c r="X64" i="12"/>
  <c r="V64" i="12"/>
  <c r="U64" i="12"/>
  <c r="T64" i="12"/>
  <c r="S64" i="12"/>
  <c r="R64" i="12"/>
  <c r="AE63" i="12"/>
  <c r="AC63" i="12"/>
  <c r="Z63" i="12"/>
  <c r="X63" i="12"/>
  <c r="V63" i="12"/>
  <c r="U63" i="12"/>
  <c r="T63" i="12"/>
  <c r="S63" i="12"/>
  <c r="R63" i="12"/>
  <c r="AE62" i="12"/>
  <c r="AC62" i="12"/>
  <c r="Z62" i="12"/>
  <c r="X62" i="12"/>
  <c r="V62" i="12"/>
  <c r="U62" i="12"/>
  <c r="T62" i="12"/>
  <c r="S62" i="12"/>
  <c r="R62" i="12"/>
  <c r="AE81" i="11"/>
  <c r="AC81" i="11"/>
  <c r="Z81" i="11"/>
  <c r="X81" i="11"/>
  <c r="V81" i="11"/>
  <c r="U81" i="11"/>
  <c r="T81" i="11"/>
  <c r="S81" i="11"/>
  <c r="R81" i="11"/>
  <c r="AE80" i="11"/>
  <c r="AC80" i="11"/>
  <c r="Z80" i="11"/>
  <c r="X80" i="11"/>
  <c r="V80" i="11"/>
  <c r="U80" i="11"/>
  <c r="T80" i="11"/>
  <c r="S80" i="11"/>
  <c r="R80" i="11"/>
  <c r="AE79" i="11"/>
  <c r="AC79" i="11"/>
  <c r="Z79" i="11"/>
  <c r="X79" i="11"/>
  <c r="V79" i="11"/>
  <c r="U79" i="11"/>
  <c r="T79" i="11"/>
  <c r="S79" i="11"/>
  <c r="R79" i="11"/>
  <c r="AE78" i="11"/>
  <c r="AC78" i="11"/>
  <c r="Z78" i="11"/>
  <c r="X78" i="11"/>
  <c r="V78" i="11"/>
  <c r="U78" i="11"/>
  <c r="T78" i="11"/>
  <c r="S78" i="11"/>
  <c r="R78" i="11"/>
  <c r="AE77" i="11"/>
  <c r="AC77" i="11"/>
  <c r="Z77" i="11"/>
  <c r="X77" i="11"/>
  <c r="V77" i="11"/>
  <c r="U77" i="11"/>
  <c r="T77" i="11"/>
  <c r="S77" i="11"/>
  <c r="R77" i="11"/>
  <c r="AE76" i="11"/>
  <c r="AC76" i="11"/>
  <c r="Z76" i="11"/>
  <c r="X76" i="11"/>
  <c r="V76" i="11"/>
  <c r="U76" i="11"/>
  <c r="T76" i="11"/>
  <c r="S76" i="11"/>
  <c r="R76" i="11"/>
  <c r="AE75" i="11"/>
  <c r="AC75" i="11"/>
  <c r="Z75" i="11"/>
  <c r="X75" i="11"/>
  <c r="V75" i="11"/>
  <c r="U75" i="11"/>
  <c r="T75" i="11"/>
  <c r="S75" i="11"/>
  <c r="R75" i="11"/>
  <c r="AE74" i="11"/>
  <c r="AC74" i="11"/>
  <c r="Z74" i="11"/>
  <c r="X74" i="11"/>
  <c r="V74" i="11"/>
  <c r="U74" i="11"/>
  <c r="T74" i="11"/>
  <c r="S74" i="11"/>
  <c r="R74" i="11"/>
  <c r="AE73" i="11"/>
  <c r="AC73" i="11"/>
  <c r="Z73" i="11"/>
  <c r="X73" i="11"/>
  <c r="V73" i="11"/>
  <c r="U73" i="11"/>
  <c r="T73" i="11"/>
  <c r="S73" i="11"/>
  <c r="R73" i="11"/>
  <c r="AE72" i="11"/>
  <c r="AC72" i="11"/>
  <c r="Z72" i="11"/>
  <c r="X72" i="11"/>
  <c r="V72" i="11"/>
  <c r="U72" i="11"/>
  <c r="T72" i="11"/>
  <c r="S72" i="11"/>
  <c r="R72" i="11"/>
  <c r="AE71" i="11"/>
  <c r="AC71" i="11"/>
  <c r="Z71" i="11"/>
  <c r="X71" i="11"/>
  <c r="V71" i="11"/>
  <c r="U71" i="11"/>
  <c r="T71" i="11"/>
  <c r="S71" i="11"/>
  <c r="R71" i="11"/>
  <c r="AE70" i="11"/>
  <c r="AC70" i="11"/>
  <c r="Z70" i="11"/>
  <c r="X70" i="11"/>
  <c r="V70" i="11"/>
  <c r="U70" i="11"/>
  <c r="T70" i="11"/>
  <c r="S70" i="11"/>
  <c r="R70" i="11"/>
  <c r="AE69" i="11"/>
  <c r="AC69" i="11"/>
  <c r="Z69" i="11"/>
  <c r="X69" i="11"/>
  <c r="V69" i="11"/>
  <c r="U69" i="11"/>
  <c r="T69" i="11"/>
  <c r="S69" i="11"/>
  <c r="R69" i="11"/>
  <c r="AE68" i="11"/>
  <c r="AC68" i="11"/>
  <c r="Z68" i="11"/>
  <c r="X68" i="11"/>
  <c r="V68" i="11"/>
  <c r="U68" i="11"/>
  <c r="T68" i="11"/>
  <c r="S68" i="11"/>
  <c r="R68" i="11"/>
  <c r="AE67" i="11"/>
  <c r="AC67" i="11"/>
  <c r="Z67" i="11"/>
  <c r="X67" i="11"/>
  <c r="V67" i="11"/>
  <c r="U67" i="11"/>
  <c r="T67" i="11"/>
  <c r="S67" i="11"/>
  <c r="R67" i="11"/>
  <c r="AE66" i="11"/>
  <c r="AC66" i="11"/>
  <c r="Z66" i="11"/>
  <c r="X66" i="11"/>
  <c r="V66" i="11"/>
  <c r="U66" i="11"/>
  <c r="T66" i="11"/>
  <c r="S66" i="11"/>
  <c r="R66" i="11"/>
  <c r="AE65" i="11"/>
  <c r="AC65" i="11"/>
  <c r="Z65" i="11"/>
  <c r="X65" i="11"/>
  <c r="V65" i="11"/>
  <c r="U65" i="11"/>
  <c r="T65" i="11"/>
  <c r="S65" i="11"/>
  <c r="R65" i="11"/>
  <c r="AE64" i="11"/>
  <c r="AC64" i="11"/>
  <c r="Z64" i="11"/>
  <c r="X64" i="11"/>
  <c r="V64" i="11"/>
  <c r="U64" i="11"/>
  <c r="T64" i="11"/>
  <c r="S64" i="11"/>
  <c r="R64" i="11"/>
  <c r="AE63" i="11"/>
  <c r="AC63" i="11"/>
  <c r="Z63" i="11"/>
  <c r="X63" i="11"/>
  <c r="V63" i="11"/>
  <c r="U63" i="11"/>
  <c r="T63" i="11"/>
  <c r="S63" i="11"/>
  <c r="R63" i="11"/>
  <c r="AE62" i="11"/>
  <c r="AC62" i="11"/>
  <c r="Z62" i="11"/>
  <c r="X62" i="11"/>
  <c r="V62" i="11"/>
  <c r="U62" i="11"/>
  <c r="T62" i="11"/>
  <c r="S62" i="11"/>
  <c r="R62" i="11"/>
  <c r="AE81" i="10"/>
  <c r="AC81" i="10"/>
  <c r="Z81" i="10"/>
  <c r="X81" i="10"/>
  <c r="V81" i="10"/>
  <c r="U81" i="10"/>
  <c r="T81" i="10"/>
  <c r="S81" i="10"/>
  <c r="R81" i="10"/>
  <c r="AE80" i="10"/>
  <c r="AC80" i="10"/>
  <c r="Z80" i="10"/>
  <c r="X80" i="10"/>
  <c r="V80" i="10"/>
  <c r="U80" i="10"/>
  <c r="T80" i="10"/>
  <c r="S80" i="10"/>
  <c r="R80" i="10"/>
  <c r="AE79" i="10"/>
  <c r="AC79" i="10"/>
  <c r="Z79" i="10"/>
  <c r="X79" i="10"/>
  <c r="V79" i="10"/>
  <c r="U79" i="10"/>
  <c r="T79" i="10"/>
  <c r="S79" i="10"/>
  <c r="R79" i="10"/>
  <c r="AE78" i="10"/>
  <c r="AC78" i="10"/>
  <c r="Z78" i="10"/>
  <c r="X78" i="10"/>
  <c r="V78" i="10"/>
  <c r="U78" i="10"/>
  <c r="T78" i="10"/>
  <c r="S78" i="10"/>
  <c r="R78" i="10"/>
  <c r="AE77" i="10"/>
  <c r="AC77" i="10"/>
  <c r="Z77" i="10"/>
  <c r="X77" i="10"/>
  <c r="V77" i="10"/>
  <c r="U77" i="10"/>
  <c r="T77" i="10"/>
  <c r="S77" i="10"/>
  <c r="R77" i="10"/>
  <c r="AE76" i="10"/>
  <c r="AC76" i="10"/>
  <c r="Z76" i="10"/>
  <c r="X76" i="10"/>
  <c r="V76" i="10"/>
  <c r="U76" i="10"/>
  <c r="T76" i="10"/>
  <c r="S76" i="10"/>
  <c r="R76" i="10"/>
  <c r="AE75" i="10"/>
  <c r="AC75" i="10"/>
  <c r="Z75" i="10"/>
  <c r="X75" i="10"/>
  <c r="V75" i="10"/>
  <c r="U75" i="10"/>
  <c r="T75" i="10"/>
  <c r="S75" i="10"/>
  <c r="R75" i="10"/>
  <c r="AE74" i="10"/>
  <c r="AC74" i="10"/>
  <c r="Z74" i="10"/>
  <c r="X74" i="10"/>
  <c r="V74" i="10"/>
  <c r="U74" i="10"/>
  <c r="T74" i="10"/>
  <c r="S74" i="10"/>
  <c r="R74" i="10"/>
  <c r="AE73" i="10"/>
  <c r="AC73" i="10"/>
  <c r="Z73" i="10"/>
  <c r="X73" i="10"/>
  <c r="V73" i="10"/>
  <c r="U73" i="10"/>
  <c r="T73" i="10"/>
  <c r="S73" i="10"/>
  <c r="R73" i="10"/>
  <c r="AE72" i="10"/>
  <c r="AC72" i="10"/>
  <c r="Z72" i="10"/>
  <c r="X72" i="10"/>
  <c r="V72" i="10"/>
  <c r="U72" i="10"/>
  <c r="T72" i="10"/>
  <c r="S72" i="10"/>
  <c r="R72" i="10"/>
  <c r="AE71" i="10"/>
  <c r="AC71" i="10"/>
  <c r="Z71" i="10"/>
  <c r="X71" i="10"/>
  <c r="V71" i="10"/>
  <c r="U71" i="10"/>
  <c r="T71" i="10"/>
  <c r="S71" i="10"/>
  <c r="R71" i="10"/>
  <c r="AE70" i="10"/>
  <c r="AC70" i="10"/>
  <c r="Z70" i="10"/>
  <c r="X70" i="10"/>
  <c r="V70" i="10"/>
  <c r="U70" i="10"/>
  <c r="T70" i="10"/>
  <c r="S70" i="10"/>
  <c r="R70" i="10"/>
  <c r="AE69" i="10"/>
  <c r="AC69" i="10"/>
  <c r="Z69" i="10"/>
  <c r="X69" i="10"/>
  <c r="V69" i="10"/>
  <c r="U69" i="10"/>
  <c r="T69" i="10"/>
  <c r="S69" i="10"/>
  <c r="R69" i="10"/>
  <c r="AE68" i="10"/>
  <c r="AC68" i="10"/>
  <c r="Z68" i="10"/>
  <c r="X68" i="10"/>
  <c r="V68" i="10"/>
  <c r="U68" i="10"/>
  <c r="T68" i="10"/>
  <c r="S68" i="10"/>
  <c r="R68" i="10"/>
  <c r="AE67" i="10"/>
  <c r="AC67" i="10"/>
  <c r="Z67" i="10"/>
  <c r="X67" i="10"/>
  <c r="V67" i="10"/>
  <c r="U67" i="10"/>
  <c r="T67" i="10"/>
  <c r="S67" i="10"/>
  <c r="R67" i="10"/>
  <c r="AE66" i="10"/>
  <c r="AC66" i="10"/>
  <c r="Z66" i="10"/>
  <c r="X66" i="10"/>
  <c r="V66" i="10"/>
  <c r="U66" i="10"/>
  <c r="T66" i="10"/>
  <c r="S66" i="10"/>
  <c r="R66" i="10"/>
  <c r="AE65" i="10"/>
  <c r="AC65" i="10"/>
  <c r="Z65" i="10"/>
  <c r="X65" i="10"/>
  <c r="V65" i="10"/>
  <c r="U65" i="10"/>
  <c r="T65" i="10"/>
  <c r="S65" i="10"/>
  <c r="R65" i="10"/>
  <c r="AE64" i="10"/>
  <c r="AC64" i="10"/>
  <c r="Z64" i="10"/>
  <c r="X64" i="10"/>
  <c r="V64" i="10"/>
  <c r="U64" i="10"/>
  <c r="T64" i="10"/>
  <c r="S64" i="10"/>
  <c r="R64" i="10"/>
  <c r="AE63" i="10"/>
  <c r="AC63" i="10"/>
  <c r="Z63" i="10"/>
  <c r="X63" i="10"/>
  <c r="V63" i="10"/>
  <c r="U63" i="10"/>
  <c r="T63" i="10"/>
  <c r="S63" i="10"/>
  <c r="R63" i="10"/>
  <c r="AE62" i="10"/>
  <c r="AC62" i="10"/>
  <c r="Z62" i="10"/>
  <c r="X62" i="10"/>
  <c r="V62" i="10"/>
  <c r="U62" i="10"/>
  <c r="T62" i="10"/>
  <c r="S62" i="10"/>
  <c r="R62" i="10"/>
  <c r="AE81" i="9"/>
  <c r="AC81" i="9"/>
  <c r="Z81" i="9"/>
  <c r="X81" i="9"/>
  <c r="V81" i="9"/>
  <c r="U81" i="9"/>
  <c r="T81" i="9"/>
  <c r="S81" i="9"/>
  <c r="R81" i="9"/>
  <c r="AE80" i="9"/>
  <c r="AC80" i="9"/>
  <c r="Z80" i="9"/>
  <c r="X80" i="9"/>
  <c r="V80" i="9"/>
  <c r="U80" i="9"/>
  <c r="T80" i="9"/>
  <c r="S80" i="9"/>
  <c r="R80" i="9"/>
  <c r="AE79" i="9"/>
  <c r="AC79" i="9"/>
  <c r="Z79" i="9"/>
  <c r="X79" i="9"/>
  <c r="V79" i="9"/>
  <c r="U79" i="9"/>
  <c r="T79" i="9"/>
  <c r="S79" i="9"/>
  <c r="R79" i="9"/>
  <c r="AE78" i="9"/>
  <c r="AC78" i="9"/>
  <c r="Z78" i="9"/>
  <c r="X78" i="9"/>
  <c r="V78" i="9"/>
  <c r="U78" i="9"/>
  <c r="T78" i="9"/>
  <c r="S78" i="9"/>
  <c r="R78" i="9"/>
  <c r="AE77" i="9"/>
  <c r="AC77" i="9"/>
  <c r="Z77" i="9"/>
  <c r="X77" i="9"/>
  <c r="V77" i="9"/>
  <c r="U77" i="9"/>
  <c r="T77" i="9"/>
  <c r="S77" i="9"/>
  <c r="R77" i="9"/>
  <c r="AE76" i="9"/>
  <c r="AC76" i="9"/>
  <c r="Z76" i="9"/>
  <c r="X76" i="9"/>
  <c r="V76" i="9"/>
  <c r="U76" i="9"/>
  <c r="T76" i="9"/>
  <c r="S76" i="9"/>
  <c r="R76" i="9"/>
  <c r="AE75" i="9"/>
  <c r="AC75" i="9"/>
  <c r="Z75" i="9"/>
  <c r="X75" i="9"/>
  <c r="V75" i="9"/>
  <c r="U75" i="9"/>
  <c r="T75" i="9"/>
  <c r="S75" i="9"/>
  <c r="R75" i="9"/>
  <c r="AE74" i="9"/>
  <c r="AC74" i="9"/>
  <c r="Z74" i="9"/>
  <c r="X74" i="9"/>
  <c r="V74" i="9"/>
  <c r="U74" i="9"/>
  <c r="T74" i="9"/>
  <c r="S74" i="9"/>
  <c r="R74" i="9"/>
  <c r="AE73" i="9"/>
  <c r="AC73" i="9"/>
  <c r="Z73" i="9"/>
  <c r="X73" i="9"/>
  <c r="V73" i="9"/>
  <c r="U73" i="9"/>
  <c r="T73" i="9"/>
  <c r="S73" i="9"/>
  <c r="R73" i="9"/>
  <c r="AE72" i="9"/>
  <c r="AC72" i="9"/>
  <c r="Z72" i="9"/>
  <c r="X72" i="9"/>
  <c r="V72" i="9"/>
  <c r="U72" i="9"/>
  <c r="T72" i="9"/>
  <c r="S72" i="9"/>
  <c r="R72" i="9"/>
  <c r="AE71" i="9"/>
  <c r="AC71" i="9"/>
  <c r="Z71" i="9"/>
  <c r="X71" i="9"/>
  <c r="V71" i="9"/>
  <c r="U71" i="9"/>
  <c r="T71" i="9"/>
  <c r="S71" i="9"/>
  <c r="R71" i="9"/>
  <c r="AE70" i="9"/>
  <c r="AC70" i="9"/>
  <c r="Z70" i="9"/>
  <c r="X70" i="9"/>
  <c r="V70" i="9"/>
  <c r="U70" i="9"/>
  <c r="T70" i="9"/>
  <c r="S70" i="9"/>
  <c r="R70" i="9"/>
  <c r="AE69" i="9"/>
  <c r="AC69" i="9"/>
  <c r="Z69" i="9"/>
  <c r="X69" i="9"/>
  <c r="V69" i="9"/>
  <c r="U69" i="9"/>
  <c r="T69" i="9"/>
  <c r="S69" i="9"/>
  <c r="R69" i="9"/>
  <c r="AE68" i="9"/>
  <c r="AC68" i="9"/>
  <c r="Z68" i="9"/>
  <c r="X68" i="9"/>
  <c r="V68" i="9"/>
  <c r="U68" i="9"/>
  <c r="T68" i="9"/>
  <c r="S68" i="9"/>
  <c r="R68" i="9"/>
  <c r="AE67" i="9"/>
  <c r="AC67" i="9"/>
  <c r="Z67" i="9"/>
  <c r="X67" i="9"/>
  <c r="V67" i="9"/>
  <c r="U67" i="9"/>
  <c r="T67" i="9"/>
  <c r="S67" i="9"/>
  <c r="R67" i="9"/>
  <c r="AE66" i="9"/>
  <c r="AC66" i="9"/>
  <c r="Z66" i="9"/>
  <c r="X66" i="9"/>
  <c r="V66" i="9"/>
  <c r="U66" i="9"/>
  <c r="T66" i="9"/>
  <c r="S66" i="9"/>
  <c r="R66" i="9"/>
  <c r="AE65" i="9"/>
  <c r="AC65" i="9"/>
  <c r="Z65" i="9"/>
  <c r="X65" i="9"/>
  <c r="V65" i="9"/>
  <c r="U65" i="9"/>
  <c r="T65" i="9"/>
  <c r="S65" i="9"/>
  <c r="R65" i="9"/>
  <c r="AE64" i="9"/>
  <c r="AC64" i="9"/>
  <c r="Z64" i="9"/>
  <c r="X64" i="9"/>
  <c r="V64" i="9"/>
  <c r="U64" i="9"/>
  <c r="T64" i="9"/>
  <c r="S64" i="9"/>
  <c r="R64" i="9"/>
  <c r="AE63" i="9"/>
  <c r="AC63" i="9"/>
  <c r="Z63" i="9"/>
  <c r="X63" i="9"/>
  <c r="V63" i="9"/>
  <c r="U63" i="9"/>
  <c r="T63" i="9"/>
  <c r="S63" i="9"/>
  <c r="R63" i="9"/>
  <c r="AE62" i="9"/>
  <c r="AC62" i="9"/>
  <c r="Z62" i="9"/>
  <c r="X62" i="9"/>
  <c r="V62" i="9"/>
  <c r="U62" i="9"/>
  <c r="T62" i="9"/>
  <c r="S62" i="9"/>
  <c r="R62" i="9"/>
  <c r="AE81" i="8"/>
  <c r="AC81" i="8"/>
  <c r="Z81" i="8"/>
  <c r="X81" i="8"/>
  <c r="V81" i="8"/>
  <c r="U81" i="8"/>
  <c r="T81" i="8"/>
  <c r="S81" i="8"/>
  <c r="R81" i="8"/>
  <c r="AE80" i="8"/>
  <c r="AC80" i="8"/>
  <c r="Z80" i="8"/>
  <c r="X80" i="8"/>
  <c r="V80" i="8"/>
  <c r="U80" i="8"/>
  <c r="T80" i="8"/>
  <c r="S80" i="8"/>
  <c r="R80" i="8"/>
  <c r="AE79" i="8"/>
  <c r="AC79" i="8"/>
  <c r="Z79" i="8"/>
  <c r="X79" i="8"/>
  <c r="V79" i="8"/>
  <c r="U79" i="8"/>
  <c r="T79" i="8"/>
  <c r="S79" i="8"/>
  <c r="R79" i="8"/>
  <c r="AE78" i="8"/>
  <c r="AC78" i="8"/>
  <c r="Z78" i="8"/>
  <c r="X78" i="8"/>
  <c r="V78" i="8"/>
  <c r="U78" i="8"/>
  <c r="T78" i="8"/>
  <c r="S78" i="8"/>
  <c r="R78" i="8"/>
  <c r="AE77" i="8"/>
  <c r="AC77" i="8"/>
  <c r="Z77" i="8"/>
  <c r="X77" i="8"/>
  <c r="V77" i="8"/>
  <c r="U77" i="8"/>
  <c r="T77" i="8"/>
  <c r="S77" i="8"/>
  <c r="R77" i="8"/>
  <c r="AE76" i="8"/>
  <c r="AC76" i="8"/>
  <c r="Z76" i="8"/>
  <c r="X76" i="8"/>
  <c r="V76" i="8"/>
  <c r="U76" i="8"/>
  <c r="T76" i="8"/>
  <c r="S76" i="8"/>
  <c r="R76" i="8"/>
  <c r="AE75" i="8"/>
  <c r="AC75" i="8"/>
  <c r="Z75" i="8"/>
  <c r="X75" i="8"/>
  <c r="V75" i="8"/>
  <c r="U75" i="8"/>
  <c r="T75" i="8"/>
  <c r="S75" i="8"/>
  <c r="R75" i="8"/>
  <c r="AE74" i="8"/>
  <c r="AC74" i="8"/>
  <c r="Z74" i="8"/>
  <c r="X74" i="8"/>
  <c r="V74" i="8"/>
  <c r="U74" i="8"/>
  <c r="T74" i="8"/>
  <c r="S74" i="8"/>
  <c r="R74" i="8"/>
  <c r="AE73" i="8"/>
  <c r="AC73" i="8"/>
  <c r="Z73" i="8"/>
  <c r="X73" i="8"/>
  <c r="V73" i="8"/>
  <c r="U73" i="8"/>
  <c r="T73" i="8"/>
  <c r="S73" i="8"/>
  <c r="R73" i="8"/>
  <c r="AE72" i="8"/>
  <c r="AC72" i="8"/>
  <c r="Z72" i="8"/>
  <c r="X72" i="8"/>
  <c r="V72" i="8"/>
  <c r="U72" i="8"/>
  <c r="T72" i="8"/>
  <c r="S72" i="8"/>
  <c r="R72" i="8"/>
  <c r="AE71" i="8"/>
  <c r="AC71" i="8"/>
  <c r="Z71" i="8"/>
  <c r="X71" i="8"/>
  <c r="V71" i="8"/>
  <c r="U71" i="8"/>
  <c r="T71" i="8"/>
  <c r="S71" i="8"/>
  <c r="R71" i="8"/>
  <c r="AE70" i="8"/>
  <c r="AC70" i="8"/>
  <c r="Z70" i="8"/>
  <c r="X70" i="8"/>
  <c r="V70" i="8"/>
  <c r="U70" i="8"/>
  <c r="T70" i="8"/>
  <c r="S70" i="8"/>
  <c r="R70" i="8"/>
  <c r="AE69" i="8"/>
  <c r="AC69" i="8"/>
  <c r="Z69" i="8"/>
  <c r="X69" i="8"/>
  <c r="V69" i="8"/>
  <c r="U69" i="8"/>
  <c r="T69" i="8"/>
  <c r="S69" i="8"/>
  <c r="R69" i="8"/>
  <c r="AE68" i="8"/>
  <c r="AC68" i="8"/>
  <c r="Z68" i="8"/>
  <c r="X68" i="8"/>
  <c r="V68" i="8"/>
  <c r="U68" i="8"/>
  <c r="T68" i="8"/>
  <c r="S68" i="8"/>
  <c r="R68" i="8"/>
  <c r="AE67" i="8"/>
  <c r="AC67" i="8"/>
  <c r="Z67" i="8"/>
  <c r="X67" i="8"/>
  <c r="V67" i="8"/>
  <c r="U67" i="8"/>
  <c r="T67" i="8"/>
  <c r="S67" i="8"/>
  <c r="R67" i="8"/>
  <c r="AE66" i="8"/>
  <c r="AC66" i="8"/>
  <c r="Z66" i="8"/>
  <c r="X66" i="8"/>
  <c r="V66" i="8"/>
  <c r="U66" i="8"/>
  <c r="T66" i="8"/>
  <c r="S66" i="8"/>
  <c r="R66" i="8"/>
  <c r="AE65" i="8"/>
  <c r="AC65" i="8"/>
  <c r="Z65" i="8"/>
  <c r="X65" i="8"/>
  <c r="V65" i="8"/>
  <c r="U65" i="8"/>
  <c r="T65" i="8"/>
  <c r="S65" i="8"/>
  <c r="R65" i="8"/>
  <c r="AE64" i="8"/>
  <c r="AC64" i="8"/>
  <c r="Z64" i="8"/>
  <c r="X64" i="8"/>
  <c r="V64" i="8"/>
  <c r="U64" i="8"/>
  <c r="T64" i="8"/>
  <c r="S64" i="8"/>
  <c r="R64" i="8"/>
  <c r="AE63" i="8"/>
  <c r="AC63" i="8"/>
  <c r="Z63" i="8"/>
  <c r="X63" i="8"/>
  <c r="V63" i="8"/>
  <c r="U63" i="8"/>
  <c r="T63" i="8"/>
  <c r="S63" i="8"/>
  <c r="R63" i="8"/>
  <c r="AE62" i="8"/>
  <c r="AC62" i="8"/>
  <c r="Z62" i="8"/>
  <c r="X62" i="8"/>
  <c r="V62" i="8"/>
  <c r="U62" i="8"/>
  <c r="T62" i="8"/>
  <c r="S62" i="8"/>
  <c r="R62" i="8"/>
  <c r="AE81" i="7"/>
  <c r="AC81" i="7"/>
  <c r="Z81" i="7"/>
  <c r="X81" i="7"/>
  <c r="V81" i="7"/>
  <c r="U81" i="7"/>
  <c r="T81" i="7"/>
  <c r="S81" i="7"/>
  <c r="R81" i="7"/>
  <c r="AE80" i="7"/>
  <c r="AC80" i="7"/>
  <c r="Z80" i="7"/>
  <c r="X80" i="7"/>
  <c r="V80" i="7"/>
  <c r="U80" i="7"/>
  <c r="T80" i="7"/>
  <c r="S80" i="7"/>
  <c r="R80" i="7"/>
  <c r="AE79" i="7"/>
  <c r="AC79" i="7"/>
  <c r="Z79" i="7"/>
  <c r="X79" i="7"/>
  <c r="V79" i="7"/>
  <c r="U79" i="7"/>
  <c r="T79" i="7"/>
  <c r="S79" i="7"/>
  <c r="R79" i="7"/>
  <c r="AE78" i="7"/>
  <c r="AC78" i="7"/>
  <c r="Z78" i="7"/>
  <c r="X78" i="7"/>
  <c r="V78" i="7"/>
  <c r="U78" i="7"/>
  <c r="T78" i="7"/>
  <c r="S78" i="7"/>
  <c r="R78" i="7"/>
  <c r="AE77" i="7"/>
  <c r="AC77" i="7"/>
  <c r="Z77" i="7"/>
  <c r="X77" i="7"/>
  <c r="V77" i="7"/>
  <c r="U77" i="7"/>
  <c r="T77" i="7"/>
  <c r="S77" i="7"/>
  <c r="R77" i="7"/>
  <c r="AE76" i="7"/>
  <c r="AC76" i="7"/>
  <c r="Z76" i="7"/>
  <c r="X76" i="7"/>
  <c r="V76" i="7"/>
  <c r="U76" i="7"/>
  <c r="T76" i="7"/>
  <c r="S76" i="7"/>
  <c r="R76" i="7"/>
  <c r="AE75" i="7"/>
  <c r="AC75" i="7"/>
  <c r="Z75" i="7"/>
  <c r="X75" i="7"/>
  <c r="V75" i="7"/>
  <c r="U75" i="7"/>
  <c r="T75" i="7"/>
  <c r="S75" i="7"/>
  <c r="R75" i="7"/>
  <c r="AE74" i="7"/>
  <c r="AC74" i="7"/>
  <c r="Z74" i="7"/>
  <c r="X74" i="7"/>
  <c r="V74" i="7"/>
  <c r="U74" i="7"/>
  <c r="T74" i="7"/>
  <c r="S74" i="7"/>
  <c r="R74" i="7"/>
  <c r="AE73" i="7"/>
  <c r="AC73" i="7"/>
  <c r="Z73" i="7"/>
  <c r="X73" i="7"/>
  <c r="V73" i="7"/>
  <c r="U73" i="7"/>
  <c r="T73" i="7"/>
  <c r="S73" i="7"/>
  <c r="R73" i="7"/>
  <c r="AE72" i="7"/>
  <c r="AC72" i="7"/>
  <c r="Z72" i="7"/>
  <c r="X72" i="7"/>
  <c r="V72" i="7"/>
  <c r="U72" i="7"/>
  <c r="T72" i="7"/>
  <c r="S72" i="7"/>
  <c r="R72" i="7"/>
  <c r="AE71" i="7"/>
  <c r="AC71" i="7"/>
  <c r="Z71" i="7"/>
  <c r="X71" i="7"/>
  <c r="V71" i="7"/>
  <c r="U71" i="7"/>
  <c r="T71" i="7"/>
  <c r="S71" i="7"/>
  <c r="R71" i="7"/>
  <c r="AE70" i="7"/>
  <c r="AC70" i="7"/>
  <c r="Z70" i="7"/>
  <c r="X70" i="7"/>
  <c r="V70" i="7"/>
  <c r="U70" i="7"/>
  <c r="T70" i="7"/>
  <c r="S70" i="7"/>
  <c r="R70" i="7"/>
  <c r="AE69" i="7"/>
  <c r="AC69" i="7"/>
  <c r="Z69" i="7"/>
  <c r="X69" i="7"/>
  <c r="V69" i="7"/>
  <c r="U69" i="7"/>
  <c r="T69" i="7"/>
  <c r="S69" i="7"/>
  <c r="R69" i="7"/>
  <c r="AE68" i="7"/>
  <c r="AC68" i="7"/>
  <c r="Z68" i="7"/>
  <c r="X68" i="7"/>
  <c r="V68" i="7"/>
  <c r="U68" i="7"/>
  <c r="T68" i="7"/>
  <c r="S68" i="7"/>
  <c r="R68" i="7"/>
  <c r="AE67" i="7"/>
  <c r="AC67" i="7"/>
  <c r="Z67" i="7"/>
  <c r="X67" i="7"/>
  <c r="V67" i="7"/>
  <c r="U67" i="7"/>
  <c r="T67" i="7"/>
  <c r="S67" i="7"/>
  <c r="R67" i="7"/>
  <c r="AE66" i="7"/>
  <c r="AC66" i="7"/>
  <c r="Z66" i="7"/>
  <c r="X66" i="7"/>
  <c r="V66" i="7"/>
  <c r="U66" i="7"/>
  <c r="T66" i="7"/>
  <c r="S66" i="7"/>
  <c r="R66" i="7"/>
  <c r="AE65" i="7"/>
  <c r="AC65" i="7"/>
  <c r="Z65" i="7"/>
  <c r="X65" i="7"/>
  <c r="V65" i="7"/>
  <c r="U65" i="7"/>
  <c r="T65" i="7"/>
  <c r="S65" i="7"/>
  <c r="R65" i="7"/>
  <c r="AE64" i="7"/>
  <c r="AC64" i="7"/>
  <c r="Z64" i="7"/>
  <c r="X64" i="7"/>
  <c r="V64" i="7"/>
  <c r="U64" i="7"/>
  <c r="T64" i="7"/>
  <c r="S64" i="7"/>
  <c r="R64" i="7"/>
  <c r="AE63" i="7"/>
  <c r="AC63" i="7"/>
  <c r="Z63" i="7"/>
  <c r="X63" i="7"/>
  <c r="V63" i="7"/>
  <c r="U63" i="7"/>
  <c r="T63" i="7"/>
  <c r="S63" i="7"/>
  <c r="R63" i="7"/>
  <c r="AE62" i="7"/>
  <c r="AC62" i="7"/>
  <c r="Z62" i="7"/>
  <c r="X62" i="7"/>
  <c r="V62" i="7"/>
  <c r="U62" i="7"/>
  <c r="T62" i="7"/>
  <c r="S62" i="7"/>
  <c r="R62" i="7"/>
  <c r="AE81" i="6"/>
  <c r="AC81" i="6"/>
  <c r="Z81" i="6"/>
  <c r="X81" i="6"/>
  <c r="V81" i="6"/>
  <c r="U81" i="6"/>
  <c r="T81" i="6"/>
  <c r="S81" i="6"/>
  <c r="R81" i="6"/>
  <c r="AE80" i="6"/>
  <c r="AC80" i="6"/>
  <c r="Z80" i="6"/>
  <c r="X80" i="6"/>
  <c r="V80" i="6"/>
  <c r="U80" i="6"/>
  <c r="T80" i="6"/>
  <c r="S80" i="6"/>
  <c r="R80" i="6"/>
  <c r="AE79" i="6"/>
  <c r="AC79" i="6"/>
  <c r="Z79" i="6"/>
  <c r="X79" i="6"/>
  <c r="V79" i="6"/>
  <c r="U79" i="6"/>
  <c r="T79" i="6"/>
  <c r="S79" i="6"/>
  <c r="R79" i="6"/>
  <c r="AE78" i="6"/>
  <c r="AC78" i="6"/>
  <c r="Z78" i="6"/>
  <c r="X78" i="6"/>
  <c r="V78" i="6"/>
  <c r="U78" i="6"/>
  <c r="T78" i="6"/>
  <c r="S78" i="6"/>
  <c r="R78" i="6"/>
  <c r="AE77" i="6"/>
  <c r="AC77" i="6"/>
  <c r="Z77" i="6"/>
  <c r="X77" i="6"/>
  <c r="V77" i="6"/>
  <c r="U77" i="6"/>
  <c r="T77" i="6"/>
  <c r="S77" i="6"/>
  <c r="R77" i="6"/>
  <c r="AE76" i="6"/>
  <c r="AC76" i="6"/>
  <c r="Z76" i="6"/>
  <c r="X76" i="6"/>
  <c r="V76" i="6"/>
  <c r="U76" i="6"/>
  <c r="T76" i="6"/>
  <c r="S76" i="6"/>
  <c r="R76" i="6"/>
  <c r="AE75" i="6"/>
  <c r="AC75" i="6"/>
  <c r="Z75" i="6"/>
  <c r="X75" i="6"/>
  <c r="V75" i="6"/>
  <c r="U75" i="6"/>
  <c r="T75" i="6"/>
  <c r="S75" i="6"/>
  <c r="R75" i="6"/>
  <c r="AE74" i="6"/>
  <c r="AC74" i="6"/>
  <c r="Z74" i="6"/>
  <c r="X74" i="6"/>
  <c r="V74" i="6"/>
  <c r="U74" i="6"/>
  <c r="T74" i="6"/>
  <c r="S74" i="6"/>
  <c r="R74" i="6"/>
  <c r="AE73" i="6"/>
  <c r="AC73" i="6"/>
  <c r="Z73" i="6"/>
  <c r="X73" i="6"/>
  <c r="V73" i="6"/>
  <c r="U73" i="6"/>
  <c r="T73" i="6"/>
  <c r="S73" i="6"/>
  <c r="R73" i="6"/>
  <c r="AE72" i="6"/>
  <c r="AC72" i="6"/>
  <c r="Z72" i="6"/>
  <c r="X72" i="6"/>
  <c r="V72" i="6"/>
  <c r="U72" i="6"/>
  <c r="T72" i="6"/>
  <c r="S72" i="6"/>
  <c r="R72" i="6"/>
  <c r="AE71" i="6"/>
  <c r="AC71" i="6"/>
  <c r="Z71" i="6"/>
  <c r="X71" i="6"/>
  <c r="V71" i="6"/>
  <c r="U71" i="6"/>
  <c r="T71" i="6"/>
  <c r="S71" i="6"/>
  <c r="R71" i="6"/>
  <c r="AE70" i="6"/>
  <c r="AC70" i="6"/>
  <c r="Z70" i="6"/>
  <c r="X70" i="6"/>
  <c r="V70" i="6"/>
  <c r="U70" i="6"/>
  <c r="T70" i="6"/>
  <c r="S70" i="6"/>
  <c r="R70" i="6"/>
  <c r="AE69" i="6"/>
  <c r="AC69" i="6"/>
  <c r="Z69" i="6"/>
  <c r="X69" i="6"/>
  <c r="V69" i="6"/>
  <c r="U69" i="6"/>
  <c r="T69" i="6"/>
  <c r="S69" i="6"/>
  <c r="R69" i="6"/>
  <c r="AE68" i="6"/>
  <c r="AC68" i="6"/>
  <c r="Z68" i="6"/>
  <c r="X68" i="6"/>
  <c r="V68" i="6"/>
  <c r="U68" i="6"/>
  <c r="T68" i="6"/>
  <c r="S68" i="6"/>
  <c r="R68" i="6"/>
  <c r="AE67" i="6"/>
  <c r="AC67" i="6"/>
  <c r="Z67" i="6"/>
  <c r="X67" i="6"/>
  <c r="V67" i="6"/>
  <c r="U67" i="6"/>
  <c r="T67" i="6"/>
  <c r="S67" i="6"/>
  <c r="R67" i="6"/>
  <c r="AE66" i="6"/>
  <c r="AC66" i="6"/>
  <c r="Z66" i="6"/>
  <c r="X66" i="6"/>
  <c r="V66" i="6"/>
  <c r="U66" i="6"/>
  <c r="T66" i="6"/>
  <c r="S66" i="6"/>
  <c r="R66" i="6"/>
  <c r="AE65" i="6"/>
  <c r="AC65" i="6"/>
  <c r="Z65" i="6"/>
  <c r="X65" i="6"/>
  <c r="V65" i="6"/>
  <c r="U65" i="6"/>
  <c r="T65" i="6"/>
  <c r="S65" i="6"/>
  <c r="R65" i="6"/>
  <c r="AE64" i="6"/>
  <c r="AC64" i="6"/>
  <c r="Z64" i="6"/>
  <c r="X64" i="6"/>
  <c r="V64" i="6"/>
  <c r="U64" i="6"/>
  <c r="T64" i="6"/>
  <c r="S64" i="6"/>
  <c r="R64" i="6"/>
  <c r="AE63" i="6"/>
  <c r="AC63" i="6"/>
  <c r="Z63" i="6"/>
  <c r="X63" i="6"/>
  <c r="V63" i="6"/>
  <c r="U63" i="6"/>
  <c r="T63" i="6"/>
  <c r="S63" i="6"/>
  <c r="R63" i="6"/>
  <c r="AE62" i="6"/>
  <c r="AC62" i="6"/>
  <c r="Z62" i="6"/>
  <c r="X62" i="6"/>
  <c r="V62" i="6"/>
  <c r="U62" i="6"/>
  <c r="T62" i="6"/>
  <c r="S62" i="6"/>
  <c r="R62" i="6"/>
  <c r="AE81" i="5"/>
  <c r="AC81" i="5"/>
  <c r="Z81" i="5"/>
  <c r="X81" i="5"/>
  <c r="V81" i="5"/>
  <c r="U81" i="5"/>
  <c r="T81" i="5"/>
  <c r="S81" i="5"/>
  <c r="R81" i="5"/>
  <c r="AE80" i="5"/>
  <c r="AC80" i="5"/>
  <c r="Z80" i="5"/>
  <c r="X80" i="5"/>
  <c r="V80" i="5"/>
  <c r="U80" i="5"/>
  <c r="T80" i="5"/>
  <c r="S80" i="5"/>
  <c r="R80" i="5"/>
  <c r="AE79" i="5"/>
  <c r="AC79" i="5"/>
  <c r="Z79" i="5"/>
  <c r="X79" i="5"/>
  <c r="V79" i="5"/>
  <c r="U79" i="5"/>
  <c r="T79" i="5"/>
  <c r="S79" i="5"/>
  <c r="R79" i="5"/>
  <c r="AE78" i="5"/>
  <c r="AC78" i="5"/>
  <c r="Z78" i="5"/>
  <c r="X78" i="5"/>
  <c r="V78" i="5"/>
  <c r="U78" i="5"/>
  <c r="T78" i="5"/>
  <c r="S78" i="5"/>
  <c r="R78" i="5"/>
  <c r="AE77" i="5"/>
  <c r="AC77" i="5"/>
  <c r="Z77" i="5"/>
  <c r="X77" i="5"/>
  <c r="V77" i="5"/>
  <c r="U77" i="5"/>
  <c r="T77" i="5"/>
  <c r="S77" i="5"/>
  <c r="R77" i="5"/>
  <c r="AE76" i="5"/>
  <c r="AC76" i="5"/>
  <c r="Z76" i="5"/>
  <c r="X76" i="5"/>
  <c r="V76" i="5"/>
  <c r="U76" i="5"/>
  <c r="T76" i="5"/>
  <c r="S76" i="5"/>
  <c r="R76" i="5"/>
  <c r="AE75" i="5"/>
  <c r="AC75" i="5"/>
  <c r="Z75" i="5"/>
  <c r="X75" i="5"/>
  <c r="V75" i="5"/>
  <c r="U75" i="5"/>
  <c r="T75" i="5"/>
  <c r="S75" i="5"/>
  <c r="R75" i="5"/>
  <c r="AE74" i="5"/>
  <c r="AC74" i="5"/>
  <c r="Z74" i="5"/>
  <c r="X74" i="5"/>
  <c r="V74" i="5"/>
  <c r="U74" i="5"/>
  <c r="T74" i="5"/>
  <c r="S74" i="5"/>
  <c r="R74" i="5"/>
  <c r="AE73" i="5"/>
  <c r="AC73" i="5"/>
  <c r="Z73" i="5"/>
  <c r="X73" i="5"/>
  <c r="V73" i="5"/>
  <c r="U73" i="5"/>
  <c r="T73" i="5"/>
  <c r="S73" i="5"/>
  <c r="R73" i="5"/>
  <c r="AE72" i="5"/>
  <c r="AC72" i="5"/>
  <c r="Z72" i="5"/>
  <c r="X72" i="5"/>
  <c r="V72" i="5"/>
  <c r="U72" i="5"/>
  <c r="T72" i="5"/>
  <c r="S72" i="5"/>
  <c r="R72" i="5"/>
  <c r="AE71" i="5"/>
  <c r="AC71" i="5"/>
  <c r="Z71" i="5"/>
  <c r="X71" i="5"/>
  <c r="V71" i="5"/>
  <c r="U71" i="5"/>
  <c r="T71" i="5"/>
  <c r="S71" i="5"/>
  <c r="R71" i="5"/>
  <c r="AE70" i="5"/>
  <c r="AC70" i="5"/>
  <c r="Z70" i="5"/>
  <c r="X70" i="5"/>
  <c r="V70" i="5"/>
  <c r="U70" i="5"/>
  <c r="T70" i="5"/>
  <c r="S70" i="5"/>
  <c r="R70" i="5"/>
  <c r="AE69" i="5"/>
  <c r="AC69" i="5"/>
  <c r="Z69" i="5"/>
  <c r="X69" i="5"/>
  <c r="V69" i="5"/>
  <c r="U69" i="5"/>
  <c r="T69" i="5"/>
  <c r="S69" i="5"/>
  <c r="R69" i="5"/>
  <c r="AE68" i="5"/>
  <c r="AC68" i="5"/>
  <c r="Z68" i="5"/>
  <c r="X68" i="5"/>
  <c r="V68" i="5"/>
  <c r="U68" i="5"/>
  <c r="T68" i="5"/>
  <c r="S68" i="5"/>
  <c r="R68" i="5"/>
  <c r="AE67" i="5"/>
  <c r="AC67" i="5"/>
  <c r="Z67" i="5"/>
  <c r="X67" i="5"/>
  <c r="V67" i="5"/>
  <c r="U67" i="5"/>
  <c r="T67" i="5"/>
  <c r="S67" i="5"/>
  <c r="R67" i="5"/>
  <c r="AE66" i="5"/>
  <c r="AC66" i="5"/>
  <c r="Z66" i="5"/>
  <c r="X66" i="5"/>
  <c r="V66" i="5"/>
  <c r="U66" i="5"/>
  <c r="T66" i="5"/>
  <c r="S66" i="5"/>
  <c r="R66" i="5"/>
  <c r="AE65" i="5"/>
  <c r="AC65" i="5"/>
  <c r="Z65" i="5"/>
  <c r="X65" i="5"/>
  <c r="V65" i="5"/>
  <c r="U65" i="5"/>
  <c r="T65" i="5"/>
  <c r="S65" i="5"/>
  <c r="R65" i="5"/>
  <c r="AE64" i="5"/>
  <c r="AC64" i="5"/>
  <c r="Z64" i="5"/>
  <c r="X64" i="5"/>
  <c r="V64" i="5"/>
  <c r="U64" i="5"/>
  <c r="T64" i="5"/>
  <c r="S64" i="5"/>
  <c r="R64" i="5"/>
  <c r="AE63" i="5"/>
  <c r="AC63" i="5"/>
  <c r="Z63" i="5"/>
  <c r="X63" i="5"/>
  <c r="V63" i="5"/>
  <c r="U63" i="5"/>
  <c r="T63" i="5"/>
  <c r="S63" i="5"/>
  <c r="R63" i="5"/>
  <c r="AE62" i="5"/>
  <c r="U62" i="5"/>
  <c r="AE81" i="4"/>
  <c r="AC81" i="4"/>
  <c r="Z81" i="4"/>
  <c r="X81" i="4"/>
  <c r="V81" i="4"/>
  <c r="U81" i="4"/>
  <c r="T81" i="4"/>
  <c r="S81" i="4"/>
  <c r="R81" i="4"/>
  <c r="AE80" i="4"/>
  <c r="AC80" i="4"/>
  <c r="Z80" i="4"/>
  <c r="X80" i="4"/>
  <c r="V80" i="4"/>
  <c r="U80" i="4"/>
  <c r="T80" i="4"/>
  <c r="S80" i="4"/>
  <c r="R80" i="4"/>
  <c r="AE79" i="4"/>
  <c r="AC79" i="4"/>
  <c r="Z79" i="4"/>
  <c r="X79" i="4"/>
  <c r="V79" i="4"/>
  <c r="U79" i="4"/>
  <c r="T79" i="4"/>
  <c r="S79" i="4"/>
  <c r="R79" i="4"/>
  <c r="AE78" i="4"/>
  <c r="AC78" i="4"/>
  <c r="Z78" i="4"/>
  <c r="X78" i="4"/>
  <c r="V78" i="4"/>
  <c r="U78" i="4"/>
  <c r="T78" i="4"/>
  <c r="S78" i="4"/>
  <c r="R78" i="4"/>
  <c r="AE77" i="4"/>
  <c r="AC77" i="4"/>
  <c r="Z77" i="4"/>
  <c r="X77" i="4"/>
  <c r="V77" i="4"/>
  <c r="U77" i="4"/>
  <c r="T77" i="4"/>
  <c r="S77" i="4"/>
  <c r="R77" i="4"/>
  <c r="AE76" i="4"/>
  <c r="AC76" i="4"/>
  <c r="Z76" i="4"/>
  <c r="X76" i="4"/>
  <c r="V76" i="4"/>
  <c r="U76" i="4"/>
  <c r="T76" i="4"/>
  <c r="S76" i="4"/>
  <c r="R76" i="4"/>
  <c r="AE75" i="4"/>
  <c r="AC75" i="4"/>
  <c r="Z75" i="4"/>
  <c r="X75" i="4"/>
  <c r="V75" i="4"/>
  <c r="U75" i="4"/>
  <c r="T75" i="4"/>
  <c r="S75" i="4"/>
  <c r="R75" i="4"/>
  <c r="AE74" i="4"/>
  <c r="AC74" i="4"/>
  <c r="Z74" i="4"/>
  <c r="X74" i="4"/>
  <c r="V74" i="4"/>
  <c r="U74" i="4"/>
  <c r="T74" i="4"/>
  <c r="S74" i="4"/>
  <c r="R74" i="4"/>
  <c r="AE73" i="4"/>
  <c r="AC73" i="4"/>
  <c r="Z73" i="4"/>
  <c r="X73" i="4"/>
  <c r="V73" i="4"/>
  <c r="U73" i="4"/>
  <c r="T73" i="4"/>
  <c r="S73" i="4"/>
  <c r="R73" i="4"/>
  <c r="AE72" i="4"/>
  <c r="AC72" i="4"/>
  <c r="Z72" i="4"/>
  <c r="X72" i="4"/>
  <c r="V72" i="4"/>
  <c r="U72" i="4"/>
  <c r="T72" i="4"/>
  <c r="S72" i="4"/>
  <c r="R72" i="4"/>
  <c r="AE71" i="4"/>
  <c r="AC71" i="4"/>
  <c r="Z71" i="4"/>
  <c r="X71" i="4"/>
  <c r="V71" i="4"/>
  <c r="U71" i="4"/>
  <c r="T71" i="4"/>
  <c r="S71" i="4"/>
  <c r="R71" i="4"/>
  <c r="AE70" i="4"/>
  <c r="AC70" i="4"/>
  <c r="Z70" i="4"/>
  <c r="X70" i="4"/>
  <c r="V70" i="4"/>
  <c r="U70" i="4"/>
  <c r="T70" i="4"/>
  <c r="S70" i="4"/>
  <c r="R70" i="4"/>
  <c r="AE69" i="4"/>
  <c r="AC69" i="4"/>
  <c r="Z69" i="4"/>
  <c r="X69" i="4"/>
  <c r="V69" i="4"/>
  <c r="U69" i="4"/>
  <c r="T69" i="4"/>
  <c r="S69" i="4"/>
  <c r="R69" i="4"/>
  <c r="AE68" i="4"/>
  <c r="AC68" i="4"/>
  <c r="Z68" i="4"/>
  <c r="X68" i="4"/>
  <c r="V68" i="4"/>
  <c r="U68" i="4"/>
  <c r="T68" i="4"/>
  <c r="S68" i="4"/>
  <c r="R68" i="4"/>
  <c r="AE67" i="4"/>
  <c r="AC67" i="4"/>
  <c r="Z67" i="4"/>
  <c r="X67" i="4"/>
  <c r="V67" i="4"/>
  <c r="U67" i="4"/>
  <c r="T67" i="4"/>
  <c r="S67" i="4"/>
  <c r="R67" i="4"/>
  <c r="AE66" i="4"/>
  <c r="AC66" i="4"/>
  <c r="Z66" i="4"/>
  <c r="X66" i="4"/>
  <c r="V66" i="4"/>
  <c r="U66" i="4"/>
  <c r="T66" i="4"/>
  <c r="S66" i="4"/>
  <c r="R66" i="4"/>
  <c r="AE65" i="4"/>
  <c r="AC65" i="4"/>
  <c r="Z65" i="4"/>
  <c r="X65" i="4"/>
  <c r="V65" i="4"/>
  <c r="U65" i="4"/>
  <c r="T65" i="4"/>
  <c r="S65" i="4"/>
  <c r="R65" i="4"/>
  <c r="AE64" i="4"/>
  <c r="AC64" i="4"/>
  <c r="Z64" i="4"/>
  <c r="X64" i="4"/>
  <c r="V64" i="4"/>
  <c r="U64" i="4"/>
  <c r="T64" i="4"/>
  <c r="S64" i="4"/>
  <c r="R64" i="4"/>
  <c r="AE63" i="4"/>
  <c r="AC63" i="4"/>
  <c r="Z63" i="4"/>
  <c r="X63" i="4"/>
  <c r="V63" i="4"/>
  <c r="U63" i="4"/>
  <c r="T63" i="4"/>
  <c r="S63" i="4"/>
  <c r="R63" i="4"/>
  <c r="AE62" i="4"/>
  <c r="AC62" i="4"/>
  <c r="Z62" i="4"/>
  <c r="X62" i="4"/>
  <c r="V62" i="4"/>
  <c r="U62" i="4"/>
  <c r="T62" i="4"/>
  <c r="S62" i="4"/>
  <c r="R62" i="4"/>
  <c r="J8090" i="38" l="1"/>
  <c r="I8090" i="38"/>
  <c r="H8090" i="38"/>
  <c r="G8090" i="38"/>
  <c r="F8090" i="38"/>
  <c r="E8090" i="38"/>
  <c r="D8090" i="38"/>
  <c r="C8090" i="38"/>
  <c r="J8089" i="38"/>
  <c r="I8089" i="38"/>
  <c r="H8089" i="38"/>
  <c r="G8089" i="38"/>
  <c r="F8089" i="38"/>
  <c r="E8089" i="38"/>
  <c r="D8089" i="38"/>
  <c r="C8089" i="38"/>
  <c r="J8088" i="38"/>
  <c r="I8088" i="38"/>
  <c r="H8088" i="38"/>
  <c r="G8088" i="38"/>
  <c r="F8088" i="38"/>
  <c r="E8088" i="38"/>
  <c r="D8088" i="38"/>
  <c r="C8088" i="38"/>
  <c r="J8087" i="38"/>
  <c r="I8087" i="38"/>
  <c r="H8087" i="38"/>
  <c r="G8087" i="38"/>
  <c r="F8087" i="38"/>
  <c r="E8087" i="38"/>
  <c r="D8087" i="38"/>
  <c r="C8087" i="38"/>
  <c r="J8086" i="38"/>
  <c r="I8086" i="38"/>
  <c r="H8086" i="38"/>
  <c r="G8086" i="38"/>
  <c r="F8086" i="38"/>
  <c r="E8086" i="38"/>
  <c r="D8086" i="38"/>
  <c r="C8086" i="38"/>
  <c r="J8085" i="38"/>
  <c r="I8085" i="38"/>
  <c r="H8085" i="38"/>
  <c r="G8085" i="38"/>
  <c r="F8085" i="38"/>
  <c r="E8085" i="38"/>
  <c r="D8085" i="38"/>
  <c r="C8085" i="38"/>
  <c r="J8084" i="38"/>
  <c r="I8084" i="38"/>
  <c r="H8084" i="38"/>
  <c r="G8084" i="38"/>
  <c r="F8084" i="38"/>
  <c r="E8084" i="38"/>
  <c r="D8084" i="38"/>
  <c r="C8084" i="38"/>
  <c r="J8083" i="38"/>
  <c r="I8083" i="38"/>
  <c r="H8083" i="38"/>
  <c r="G8083" i="38"/>
  <c r="F8083" i="38"/>
  <c r="E8083" i="38"/>
  <c r="D8083" i="38"/>
  <c r="C8083" i="38"/>
  <c r="J8082" i="38"/>
  <c r="I8082" i="38"/>
  <c r="H8082" i="38"/>
  <c r="G8082" i="38"/>
  <c r="F8082" i="38"/>
  <c r="E8082" i="38"/>
  <c r="D8082" i="38"/>
  <c r="C8082" i="38"/>
  <c r="J8081" i="38"/>
  <c r="I8081" i="38"/>
  <c r="H8081" i="38"/>
  <c r="G8081" i="38"/>
  <c r="F8081" i="38"/>
  <c r="E8081" i="38"/>
  <c r="D8081" i="38"/>
  <c r="C8081" i="38"/>
  <c r="J8080" i="38"/>
  <c r="I8080" i="38"/>
  <c r="H8080" i="38"/>
  <c r="G8080" i="38"/>
  <c r="F8080" i="38"/>
  <c r="E8080" i="38"/>
  <c r="D8080" i="38"/>
  <c r="C8080" i="38"/>
  <c r="J8079" i="38"/>
  <c r="I8079" i="38"/>
  <c r="H8079" i="38"/>
  <c r="G8079" i="38"/>
  <c r="F8079" i="38"/>
  <c r="E8079" i="38"/>
  <c r="D8079" i="38"/>
  <c r="C8079" i="38"/>
  <c r="J8078" i="38"/>
  <c r="I8078" i="38"/>
  <c r="H8078" i="38"/>
  <c r="G8078" i="38"/>
  <c r="F8078" i="38"/>
  <c r="E8078" i="38"/>
  <c r="D8078" i="38"/>
  <c r="C8078" i="38"/>
  <c r="J8077" i="38"/>
  <c r="I8077" i="38"/>
  <c r="H8077" i="38"/>
  <c r="G8077" i="38"/>
  <c r="F8077" i="38"/>
  <c r="E8077" i="38"/>
  <c r="D8077" i="38"/>
  <c r="C8077" i="38"/>
  <c r="J8076" i="38"/>
  <c r="I8076" i="38"/>
  <c r="H8076" i="38"/>
  <c r="G8076" i="38"/>
  <c r="F8076" i="38"/>
  <c r="E8076" i="38"/>
  <c r="D8076" i="38"/>
  <c r="C8076" i="38"/>
  <c r="J8075" i="38"/>
  <c r="I8075" i="38"/>
  <c r="H8075" i="38"/>
  <c r="G8075" i="38"/>
  <c r="F8075" i="38"/>
  <c r="E8075" i="38"/>
  <c r="D8075" i="38"/>
  <c r="C8075" i="38"/>
  <c r="J8074" i="38"/>
  <c r="I8074" i="38"/>
  <c r="H8074" i="38"/>
  <c r="G8074" i="38"/>
  <c r="F8074" i="38"/>
  <c r="E8074" i="38"/>
  <c r="D8074" i="38"/>
  <c r="C8074" i="38"/>
  <c r="J8073" i="38"/>
  <c r="I8073" i="38"/>
  <c r="H8073" i="38"/>
  <c r="G8073" i="38"/>
  <c r="E8073" i="38"/>
  <c r="D8073" i="38"/>
  <c r="C8073" i="38"/>
  <c r="J8072" i="38"/>
  <c r="I8072" i="38"/>
  <c r="H8072" i="38"/>
  <c r="G8072" i="38"/>
  <c r="F8072" i="38"/>
  <c r="E8072" i="38"/>
  <c r="C8072" i="38"/>
  <c r="H8071" i="38"/>
  <c r="G8071" i="38"/>
  <c r="E8071" i="38"/>
  <c r="C8071" i="38"/>
  <c r="H8070" i="38"/>
  <c r="G8070" i="38"/>
  <c r="E8070" i="38"/>
  <c r="D8070" i="38"/>
  <c r="C8070" i="38"/>
  <c r="H8069" i="38"/>
  <c r="G8069" i="38"/>
  <c r="E8069" i="38"/>
  <c r="D8069" i="38"/>
  <c r="C8069" i="38"/>
  <c r="H8068" i="38"/>
  <c r="G8068" i="38"/>
  <c r="E8068" i="38"/>
  <c r="D8068" i="38"/>
  <c r="C8068" i="38"/>
  <c r="H8067" i="38"/>
  <c r="G8067" i="38"/>
  <c r="E8067" i="38"/>
  <c r="D8067" i="38"/>
  <c r="C8067" i="38"/>
  <c r="J8066" i="38"/>
  <c r="I8066" i="38"/>
  <c r="H8066" i="38"/>
  <c r="G8066" i="38"/>
  <c r="F8066" i="38"/>
  <c r="E8066" i="38"/>
  <c r="D8066" i="38"/>
  <c r="C8066" i="38"/>
  <c r="J8065" i="38"/>
  <c r="I8065" i="38"/>
  <c r="H8065" i="38"/>
  <c r="G8065" i="38"/>
  <c r="F8065" i="38"/>
  <c r="E8065" i="38"/>
  <c r="D8065" i="38"/>
  <c r="C8065" i="38"/>
  <c r="J8064" i="38"/>
  <c r="I8064" i="38"/>
  <c r="H8064" i="38"/>
  <c r="G8064" i="38"/>
  <c r="F8064" i="38"/>
  <c r="E8064" i="38"/>
  <c r="D8064" i="38"/>
  <c r="C8064" i="38"/>
  <c r="J8063" i="38"/>
  <c r="I8063" i="38"/>
  <c r="H8063" i="38"/>
  <c r="G8063" i="38"/>
  <c r="E8063" i="38"/>
  <c r="D8063" i="38"/>
  <c r="C8063" i="38"/>
  <c r="J8062" i="38"/>
  <c r="I8062" i="38"/>
  <c r="H8062" i="38"/>
  <c r="G8062" i="38"/>
  <c r="F8062" i="38"/>
  <c r="E8062" i="38"/>
  <c r="C8062" i="38"/>
  <c r="H8061" i="38"/>
  <c r="G8061" i="38"/>
  <c r="E8061" i="38"/>
  <c r="C8061" i="38"/>
  <c r="H8060" i="38"/>
  <c r="G8060" i="38"/>
  <c r="E8060" i="38"/>
  <c r="D8060" i="38"/>
  <c r="C8060" i="38"/>
  <c r="H8059" i="38"/>
  <c r="G8059" i="38"/>
  <c r="E8059" i="38"/>
  <c r="D8059" i="38"/>
  <c r="C8059" i="38"/>
  <c r="H8058" i="38"/>
  <c r="G8058" i="38"/>
  <c r="E8058" i="38"/>
  <c r="D8058" i="38"/>
  <c r="C8058" i="38"/>
  <c r="H8057" i="38"/>
  <c r="G8057" i="38"/>
  <c r="E8057" i="38"/>
  <c r="D8057" i="38"/>
  <c r="C8057" i="38"/>
  <c r="J8056" i="38"/>
  <c r="I8056" i="38"/>
  <c r="H8056" i="38"/>
  <c r="G8056" i="38"/>
  <c r="F8056" i="38"/>
  <c r="E8056" i="38"/>
  <c r="D8056" i="38"/>
  <c r="C8056" i="38"/>
  <c r="J8055" i="38"/>
  <c r="I8055" i="38"/>
  <c r="H8055" i="38"/>
  <c r="G8055" i="38"/>
  <c r="F8055" i="38"/>
  <c r="E8055" i="38"/>
  <c r="D8055" i="38"/>
  <c r="C8055" i="38"/>
  <c r="J8054" i="38"/>
  <c r="I8054" i="38"/>
  <c r="H8054" i="38"/>
  <c r="G8054" i="38"/>
  <c r="F8054" i="38"/>
  <c r="E8054" i="38"/>
  <c r="D8054" i="38"/>
  <c r="C8054" i="38"/>
  <c r="J8053" i="38"/>
  <c r="I8053" i="38"/>
  <c r="H8053" i="38"/>
  <c r="G8053" i="38"/>
  <c r="E8053" i="38"/>
  <c r="D8053" i="38"/>
  <c r="C8053" i="38"/>
  <c r="J8052" i="38"/>
  <c r="I8052" i="38"/>
  <c r="H8052" i="38"/>
  <c r="G8052" i="38"/>
  <c r="F8052" i="38"/>
  <c r="E8052" i="38"/>
  <c r="C8052" i="38"/>
  <c r="H8051" i="38"/>
  <c r="G8051" i="38"/>
  <c r="E8051" i="38"/>
  <c r="C8051" i="38"/>
  <c r="H8050" i="38"/>
  <c r="G8050" i="38"/>
  <c r="E8050" i="38"/>
  <c r="D8050" i="38"/>
  <c r="C8050" i="38"/>
  <c r="H8049" i="38"/>
  <c r="G8049" i="38"/>
  <c r="E8049" i="38"/>
  <c r="D8049" i="38"/>
  <c r="C8049" i="38"/>
  <c r="H8048" i="38"/>
  <c r="G8048" i="38"/>
  <c r="E8048" i="38"/>
  <c r="D8048" i="38"/>
  <c r="C8048" i="38"/>
  <c r="H8047" i="38"/>
  <c r="G8047" i="38"/>
  <c r="E8047" i="38"/>
  <c r="D8047" i="38"/>
  <c r="C8047" i="38"/>
  <c r="J8046" i="38"/>
  <c r="I8046" i="38"/>
  <c r="H8046" i="38"/>
  <c r="G8046" i="38"/>
  <c r="F8046" i="38"/>
  <c r="E8046" i="38"/>
  <c r="D8046" i="38"/>
  <c r="C8046" i="38"/>
  <c r="J8045" i="38"/>
  <c r="I8045" i="38"/>
  <c r="H8045" i="38"/>
  <c r="G8045" i="38"/>
  <c r="F8045" i="38"/>
  <c r="E8045" i="38"/>
  <c r="D8045" i="38"/>
  <c r="C8045" i="38"/>
  <c r="J8044" i="38"/>
  <c r="I8044" i="38"/>
  <c r="H8044" i="38"/>
  <c r="G8044" i="38"/>
  <c r="F8044" i="38"/>
  <c r="E8044" i="38"/>
  <c r="D8044" i="38"/>
  <c r="C8044" i="38"/>
  <c r="J8043" i="38"/>
  <c r="I8043" i="38"/>
  <c r="H8043" i="38"/>
  <c r="G8043" i="38"/>
  <c r="E8043" i="38"/>
  <c r="D8043" i="38"/>
  <c r="C8043" i="38"/>
  <c r="J8042" i="38"/>
  <c r="I8042" i="38"/>
  <c r="H8042" i="38"/>
  <c r="G8042" i="38"/>
  <c r="F8042" i="38"/>
  <c r="E8042" i="38"/>
  <c r="C8042" i="38"/>
  <c r="H8041" i="38"/>
  <c r="G8041" i="38"/>
  <c r="E8041" i="38"/>
  <c r="C8041" i="38"/>
  <c r="H8040" i="38"/>
  <c r="G8040" i="38"/>
  <c r="E8040" i="38"/>
  <c r="D8040" i="38"/>
  <c r="C8040" i="38"/>
  <c r="H8039" i="38"/>
  <c r="G8039" i="38"/>
  <c r="E8039" i="38"/>
  <c r="D8039" i="38"/>
  <c r="C8039" i="38"/>
  <c r="H8038" i="38"/>
  <c r="G8038" i="38"/>
  <c r="E8038" i="38"/>
  <c r="D8038" i="38"/>
  <c r="C8038" i="38"/>
  <c r="H8037" i="38"/>
  <c r="G8037" i="38"/>
  <c r="E8037" i="38"/>
  <c r="D8037" i="38"/>
  <c r="C8037" i="38"/>
  <c r="J8036" i="38"/>
  <c r="I8036" i="38"/>
  <c r="H8036" i="38"/>
  <c r="G8036" i="38"/>
  <c r="F8036" i="38"/>
  <c r="E8036" i="38"/>
  <c r="D8036" i="38"/>
  <c r="C8036" i="38"/>
  <c r="J8035" i="38"/>
  <c r="I8035" i="38"/>
  <c r="H8035" i="38"/>
  <c r="G8035" i="38"/>
  <c r="F8035" i="38"/>
  <c r="E8035" i="38"/>
  <c r="D8035" i="38"/>
  <c r="C8035" i="38"/>
  <c r="J8034" i="38"/>
  <c r="I8034" i="38"/>
  <c r="H8034" i="38"/>
  <c r="G8034" i="38"/>
  <c r="F8034" i="38"/>
  <c r="E8034" i="38"/>
  <c r="D8034" i="38"/>
  <c r="C8034" i="38"/>
  <c r="J8033" i="38"/>
  <c r="I8033" i="38"/>
  <c r="H8033" i="38"/>
  <c r="G8033" i="38"/>
  <c r="E8033" i="38"/>
  <c r="D8033" i="38"/>
  <c r="C8033" i="38"/>
  <c r="J8032" i="38"/>
  <c r="I8032" i="38"/>
  <c r="H8032" i="38"/>
  <c r="G8032" i="38"/>
  <c r="F8032" i="38"/>
  <c r="E8032" i="38"/>
  <c r="C8032" i="38"/>
  <c r="H8031" i="38"/>
  <c r="G8031" i="38"/>
  <c r="E8031" i="38"/>
  <c r="C8031" i="38"/>
  <c r="H8030" i="38"/>
  <c r="G8030" i="38"/>
  <c r="E8030" i="38"/>
  <c r="D8030" i="38"/>
  <c r="C8030" i="38"/>
  <c r="H8029" i="38"/>
  <c r="G8029" i="38"/>
  <c r="E8029" i="38"/>
  <c r="D8029" i="38"/>
  <c r="C8029" i="38"/>
  <c r="H8028" i="38"/>
  <c r="G8028" i="38"/>
  <c r="E8028" i="38"/>
  <c r="D8028" i="38"/>
  <c r="C8028" i="38"/>
  <c r="H8027" i="38"/>
  <c r="G8027" i="38"/>
  <c r="E8027" i="38"/>
  <c r="D8027" i="38"/>
  <c r="C8027" i="38"/>
  <c r="J8026" i="38"/>
  <c r="I8026" i="38"/>
  <c r="H8026" i="38"/>
  <c r="G8026" i="38"/>
  <c r="F8026" i="38"/>
  <c r="E8026" i="38"/>
  <c r="D8026" i="38"/>
  <c r="C8026" i="38"/>
  <c r="J8025" i="38"/>
  <c r="I8025" i="38"/>
  <c r="H8025" i="38"/>
  <c r="G8025" i="38"/>
  <c r="F8025" i="38"/>
  <c r="E8025" i="38"/>
  <c r="D8025" i="38"/>
  <c r="C8025" i="38"/>
  <c r="J8024" i="38"/>
  <c r="I8024" i="38"/>
  <c r="H8024" i="38"/>
  <c r="G8024" i="38"/>
  <c r="F8024" i="38"/>
  <c r="E8024" i="38"/>
  <c r="D8024" i="38"/>
  <c r="C8024" i="38"/>
  <c r="J8023" i="38"/>
  <c r="I8023" i="38"/>
  <c r="H8023" i="38"/>
  <c r="G8023" i="38"/>
  <c r="E8023" i="38"/>
  <c r="D8023" i="38"/>
  <c r="C8023" i="38"/>
  <c r="J8022" i="38"/>
  <c r="I8022" i="38"/>
  <c r="H8022" i="38"/>
  <c r="G8022" i="38"/>
  <c r="F8022" i="38"/>
  <c r="E8022" i="38"/>
  <c r="C8022" i="38"/>
  <c r="H8021" i="38"/>
  <c r="G8021" i="38"/>
  <c r="E8021" i="38"/>
  <c r="C8021" i="38"/>
  <c r="H8020" i="38"/>
  <c r="G8020" i="38"/>
  <c r="E8020" i="38"/>
  <c r="D8020" i="38"/>
  <c r="C8020" i="38"/>
  <c r="H8019" i="38"/>
  <c r="G8019" i="38"/>
  <c r="E8019" i="38"/>
  <c r="D8019" i="38"/>
  <c r="C8019" i="38"/>
  <c r="H8018" i="38"/>
  <c r="G8018" i="38"/>
  <c r="E8018" i="38"/>
  <c r="D8018" i="38"/>
  <c r="C8018" i="38"/>
  <c r="H8017" i="38"/>
  <c r="G8017" i="38"/>
  <c r="E8017" i="38"/>
  <c r="D8017" i="38"/>
  <c r="C8017" i="38"/>
  <c r="J8016" i="38"/>
  <c r="I8016" i="38"/>
  <c r="H8016" i="38"/>
  <c r="G8016" i="38"/>
  <c r="F8016" i="38"/>
  <c r="E8016" i="38"/>
  <c r="D8016" i="38"/>
  <c r="C8016" i="38"/>
  <c r="J8015" i="38"/>
  <c r="I8015" i="38"/>
  <c r="H8015" i="38"/>
  <c r="G8015" i="38"/>
  <c r="F8015" i="38"/>
  <c r="E8015" i="38"/>
  <c r="D8015" i="38"/>
  <c r="C8015" i="38"/>
  <c r="J8014" i="38"/>
  <c r="I8014" i="38"/>
  <c r="H8014" i="38"/>
  <c r="G8014" i="38"/>
  <c r="F8014" i="38"/>
  <c r="E8014" i="38"/>
  <c r="D8014" i="38"/>
  <c r="C8014" i="38"/>
  <c r="J8013" i="38"/>
  <c r="I8013" i="38"/>
  <c r="H8013" i="38"/>
  <c r="G8013" i="38"/>
  <c r="E8013" i="38"/>
  <c r="D8013" i="38"/>
  <c r="C8013" i="38"/>
  <c r="J8012" i="38"/>
  <c r="I8012" i="38"/>
  <c r="H8012" i="38"/>
  <c r="G8012" i="38"/>
  <c r="F8012" i="38"/>
  <c r="E8012" i="38"/>
  <c r="C8012" i="38"/>
  <c r="H8011" i="38"/>
  <c r="G8011" i="38"/>
  <c r="E8011" i="38"/>
  <c r="C8011" i="38"/>
  <c r="H8010" i="38"/>
  <c r="G8010" i="38"/>
  <c r="E8010" i="38"/>
  <c r="D8010" i="38"/>
  <c r="C8010" i="38"/>
  <c r="H8009" i="38"/>
  <c r="G8009" i="38"/>
  <c r="E8009" i="38"/>
  <c r="D8009" i="38"/>
  <c r="C8009" i="38"/>
  <c r="H8008" i="38"/>
  <c r="G8008" i="38"/>
  <c r="E8008" i="38"/>
  <c r="D8008" i="38"/>
  <c r="C8008" i="38"/>
  <c r="H8007" i="38"/>
  <c r="G8007" i="38"/>
  <c r="E8007" i="38"/>
  <c r="D8007" i="38"/>
  <c r="C8007" i="38"/>
  <c r="J8006" i="38"/>
  <c r="I8006" i="38"/>
  <c r="H8006" i="38"/>
  <c r="G8006" i="38"/>
  <c r="F8006" i="38"/>
  <c r="E8006" i="38"/>
  <c r="D8006" i="38"/>
  <c r="C8006" i="38"/>
  <c r="J8005" i="38"/>
  <c r="I8005" i="38"/>
  <c r="H8005" i="38"/>
  <c r="G8005" i="38"/>
  <c r="F8005" i="38"/>
  <c r="E8005" i="38"/>
  <c r="D8005" i="38"/>
  <c r="C8005" i="38"/>
  <c r="J8004" i="38"/>
  <c r="I8004" i="38"/>
  <c r="H8004" i="38"/>
  <c r="G8004" i="38"/>
  <c r="F8004" i="38"/>
  <c r="E8004" i="38"/>
  <c r="D8004" i="38"/>
  <c r="C8004" i="38"/>
  <c r="J8003" i="38"/>
  <c r="I8003" i="38"/>
  <c r="H8003" i="38"/>
  <c r="G8003" i="38"/>
  <c r="E8003" i="38"/>
  <c r="D8003" i="38"/>
  <c r="C8003" i="38"/>
  <c r="J8002" i="38"/>
  <c r="I8002" i="38"/>
  <c r="H8002" i="38"/>
  <c r="G8002" i="38"/>
  <c r="F8002" i="38"/>
  <c r="E8002" i="38"/>
  <c r="C8002" i="38"/>
  <c r="H8001" i="38"/>
  <c r="G8001" i="38"/>
  <c r="E8001" i="38"/>
  <c r="C8001" i="38"/>
  <c r="H8000" i="38"/>
  <c r="G8000" i="38"/>
  <c r="E8000" i="38"/>
  <c r="D8000" i="38"/>
  <c r="C8000" i="38"/>
  <c r="H7999" i="38"/>
  <c r="G7999" i="38"/>
  <c r="E7999" i="38"/>
  <c r="D7999" i="38"/>
  <c r="C7999" i="38"/>
  <c r="H7998" i="38"/>
  <c r="G7998" i="38"/>
  <c r="E7998" i="38"/>
  <c r="D7998" i="38"/>
  <c r="C7998" i="38"/>
  <c r="H7997" i="38"/>
  <c r="G7997" i="38"/>
  <c r="E7997" i="38"/>
  <c r="D7997" i="38"/>
  <c r="C7997" i="38"/>
  <c r="J7996" i="38"/>
  <c r="I7996" i="38"/>
  <c r="H7996" i="38"/>
  <c r="G7996" i="38"/>
  <c r="F7996" i="38"/>
  <c r="E7996" i="38"/>
  <c r="D7996" i="38"/>
  <c r="C7996" i="38"/>
  <c r="J7995" i="38"/>
  <c r="I7995" i="38"/>
  <c r="H7995" i="38"/>
  <c r="G7995" i="38"/>
  <c r="F7995" i="38"/>
  <c r="E7995" i="38"/>
  <c r="D7995" i="38"/>
  <c r="C7995" i="38"/>
  <c r="J7994" i="38"/>
  <c r="I7994" i="38"/>
  <c r="H7994" i="38"/>
  <c r="G7994" i="38"/>
  <c r="F7994" i="38"/>
  <c r="E7994" i="38"/>
  <c r="D7994" i="38"/>
  <c r="C7994" i="38"/>
  <c r="J7993" i="38"/>
  <c r="I7993" i="38"/>
  <c r="H7993" i="38"/>
  <c r="G7993" i="38"/>
  <c r="E7993" i="38"/>
  <c r="D7993" i="38"/>
  <c r="C7993" i="38"/>
  <c r="J7992" i="38"/>
  <c r="I7992" i="38"/>
  <c r="H7992" i="38"/>
  <c r="G7992" i="38"/>
  <c r="F7992" i="38"/>
  <c r="E7992" i="38"/>
  <c r="C7992" i="38"/>
  <c r="H7991" i="38"/>
  <c r="G7991" i="38"/>
  <c r="E7991" i="38"/>
  <c r="C7991" i="38"/>
  <c r="H7990" i="38"/>
  <c r="G7990" i="38"/>
  <c r="E7990" i="38"/>
  <c r="D7990" i="38"/>
  <c r="C7990" i="38"/>
  <c r="H7989" i="38"/>
  <c r="G7989" i="38"/>
  <c r="E7989" i="38"/>
  <c r="D7989" i="38"/>
  <c r="C7989" i="38"/>
  <c r="H7988" i="38"/>
  <c r="G7988" i="38"/>
  <c r="E7988" i="38"/>
  <c r="D7988" i="38"/>
  <c r="C7988" i="38"/>
  <c r="H7987" i="38"/>
  <c r="G7987" i="38"/>
  <c r="E7987" i="38"/>
  <c r="D7987" i="38"/>
  <c r="C7987" i="38"/>
  <c r="J7986" i="38"/>
  <c r="I7986" i="38"/>
  <c r="H7986" i="38"/>
  <c r="G7986" i="38"/>
  <c r="F7986" i="38"/>
  <c r="E7986" i="38"/>
  <c r="D7986" i="38"/>
  <c r="C7986" i="38"/>
  <c r="J7985" i="38"/>
  <c r="I7985" i="38"/>
  <c r="H7985" i="38"/>
  <c r="G7985" i="38"/>
  <c r="F7985" i="38"/>
  <c r="E7985" i="38"/>
  <c r="D7985" i="38"/>
  <c r="C7985" i="38"/>
  <c r="J7984" i="38"/>
  <c r="I7984" i="38"/>
  <c r="H7984" i="38"/>
  <c r="G7984" i="38"/>
  <c r="F7984" i="38"/>
  <c r="E7984" i="38"/>
  <c r="D7984" i="38"/>
  <c r="C7984" i="38"/>
  <c r="J7983" i="38"/>
  <c r="I7983" i="38"/>
  <c r="H7983" i="38"/>
  <c r="G7983" i="38"/>
  <c r="E7983" i="38"/>
  <c r="D7983" i="38"/>
  <c r="C7983" i="38"/>
  <c r="J7982" i="38"/>
  <c r="I7982" i="38"/>
  <c r="H7982" i="38"/>
  <c r="G7982" i="38"/>
  <c r="F7982" i="38"/>
  <c r="E7982" i="38"/>
  <c r="C7982" i="38"/>
  <c r="H7981" i="38"/>
  <c r="G7981" i="38"/>
  <c r="E7981" i="38"/>
  <c r="C7981" i="38"/>
  <c r="H7980" i="38"/>
  <c r="G7980" i="38"/>
  <c r="E7980" i="38"/>
  <c r="D7980" i="38"/>
  <c r="C7980" i="38"/>
  <c r="H7979" i="38"/>
  <c r="G7979" i="38"/>
  <c r="E7979" i="38"/>
  <c r="D7979" i="38"/>
  <c r="C7979" i="38"/>
  <c r="H7978" i="38"/>
  <c r="G7978" i="38"/>
  <c r="E7978" i="38"/>
  <c r="D7978" i="38"/>
  <c r="C7978" i="38"/>
  <c r="H7977" i="38"/>
  <c r="G7977" i="38"/>
  <c r="E7977" i="38"/>
  <c r="D7977" i="38"/>
  <c r="C7977" i="38"/>
  <c r="J7976" i="38"/>
  <c r="I7976" i="38"/>
  <c r="H7976" i="38"/>
  <c r="G7976" i="38"/>
  <c r="F7976" i="38"/>
  <c r="E7976" i="38"/>
  <c r="D7976" i="38"/>
  <c r="C7976" i="38"/>
  <c r="J7975" i="38"/>
  <c r="I7975" i="38"/>
  <c r="H7975" i="38"/>
  <c r="G7975" i="38"/>
  <c r="F7975" i="38"/>
  <c r="E7975" i="38"/>
  <c r="D7975" i="38"/>
  <c r="C7975" i="38"/>
  <c r="J7974" i="38"/>
  <c r="I7974" i="38"/>
  <c r="H7974" i="38"/>
  <c r="G7974" i="38"/>
  <c r="F7974" i="38"/>
  <c r="E7974" i="38"/>
  <c r="D7974" i="38"/>
  <c r="C7974" i="38"/>
  <c r="J7973" i="38"/>
  <c r="I7973" i="38"/>
  <c r="H7973" i="38"/>
  <c r="G7973" i="38"/>
  <c r="E7973" i="38"/>
  <c r="D7973" i="38"/>
  <c r="C7973" i="38"/>
  <c r="J7972" i="38"/>
  <c r="I7972" i="38"/>
  <c r="H7972" i="38"/>
  <c r="G7972" i="38"/>
  <c r="F7972" i="38"/>
  <c r="E7972" i="38"/>
  <c r="C7972" i="38"/>
  <c r="H7971" i="38"/>
  <c r="G7971" i="38"/>
  <c r="E7971" i="38"/>
  <c r="C7971" i="38"/>
  <c r="H7970" i="38"/>
  <c r="G7970" i="38"/>
  <c r="E7970" i="38"/>
  <c r="D7970" i="38"/>
  <c r="C7970" i="38"/>
  <c r="H7969" i="38"/>
  <c r="G7969" i="38"/>
  <c r="E7969" i="38"/>
  <c r="D7969" i="38"/>
  <c r="C7969" i="38"/>
  <c r="H7968" i="38"/>
  <c r="G7968" i="38"/>
  <c r="E7968" i="38"/>
  <c r="D7968" i="38"/>
  <c r="C7968" i="38"/>
  <c r="H7967" i="38"/>
  <c r="G7967" i="38"/>
  <c r="E7967" i="38"/>
  <c r="D7967" i="38"/>
  <c r="C7967" i="38"/>
  <c r="J7966" i="38"/>
  <c r="I7966" i="38"/>
  <c r="H7966" i="38"/>
  <c r="G7966" i="38"/>
  <c r="F7966" i="38"/>
  <c r="E7966" i="38"/>
  <c r="D7966" i="38"/>
  <c r="C7966" i="38"/>
  <c r="J7965" i="38"/>
  <c r="I7965" i="38"/>
  <c r="H7965" i="38"/>
  <c r="G7965" i="38"/>
  <c r="F7965" i="38"/>
  <c r="E7965" i="38"/>
  <c r="D7965" i="38"/>
  <c r="C7965" i="38"/>
  <c r="J7964" i="38"/>
  <c r="I7964" i="38"/>
  <c r="H7964" i="38"/>
  <c r="G7964" i="38"/>
  <c r="F7964" i="38"/>
  <c r="E7964" i="38"/>
  <c r="D7964" i="38"/>
  <c r="C7964" i="38"/>
  <c r="J7963" i="38"/>
  <c r="I7963" i="38"/>
  <c r="H7963" i="38"/>
  <c r="G7963" i="38"/>
  <c r="E7963" i="38"/>
  <c r="D7963" i="38"/>
  <c r="C7963" i="38"/>
  <c r="J7962" i="38"/>
  <c r="I7962" i="38"/>
  <c r="H7962" i="38"/>
  <c r="G7962" i="38"/>
  <c r="F7962" i="38"/>
  <c r="E7962" i="38"/>
  <c r="C7962" i="38"/>
  <c r="H7961" i="38"/>
  <c r="G7961" i="38"/>
  <c r="E7961" i="38"/>
  <c r="C7961" i="38"/>
  <c r="H7960" i="38"/>
  <c r="G7960" i="38"/>
  <c r="E7960" i="38"/>
  <c r="D7960" i="38"/>
  <c r="C7960" i="38"/>
  <c r="H7959" i="38"/>
  <c r="G7959" i="38"/>
  <c r="E7959" i="38"/>
  <c r="D7959" i="38"/>
  <c r="C7959" i="38"/>
  <c r="H7958" i="38"/>
  <c r="G7958" i="38"/>
  <c r="E7958" i="38"/>
  <c r="D7958" i="38"/>
  <c r="C7958" i="38"/>
  <c r="H7957" i="38"/>
  <c r="G7957" i="38"/>
  <c r="E7957" i="38"/>
  <c r="D7957" i="38"/>
  <c r="C7957" i="38"/>
  <c r="J7956" i="38"/>
  <c r="I7956" i="38"/>
  <c r="H7956" i="38"/>
  <c r="G7956" i="38"/>
  <c r="F7956" i="38"/>
  <c r="E7956" i="38"/>
  <c r="D7956" i="38"/>
  <c r="C7956" i="38"/>
  <c r="J7955" i="38"/>
  <c r="I7955" i="38"/>
  <c r="H7955" i="38"/>
  <c r="G7955" i="38"/>
  <c r="F7955" i="38"/>
  <c r="E7955" i="38"/>
  <c r="D7955" i="38"/>
  <c r="C7955" i="38"/>
  <c r="J7954" i="38"/>
  <c r="I7954" i="38"/>
  <c r="H7954" i="38"/>
  <c r="G7954" i="38"/>
  <c r="F7954" i="38"/>
  <c r="E7954" i="38"/>
  <c r="D7954" i="38"/>
  <c r="C7954" i="38"/>
  <c r="J7953" i="38"/>
  <c r="I7953" i="38"/>
  <c r="H7953" i="38"/>
  <c r="G7953" i="38"/>
  <c r="E7953" i="38"/>
  <c r="D7953" i="38"/>
  <c r="C7953" i="38"/>
  <c r="J7952" i="38"/>
  <c r="I7952" i="38"/>
  <c r="H7952" i="38"/>
  <c r="G7952" i="38"/>
  <c r="F7952" i="38"/>
  <c r="E7952" i="38"/>
  <c r="C7952" i="38"/>
  <c r="H7951" i="38"/>
  <c r="G7951" i="38"/>
  <c r="E7951" i="38"/>
  <c r="C7951" i="38"/>
  <c r="H7950" i="38"/>
  <c r="G7950" i="38"/>
  <c r="E7950" i="38"/>
  <c r="D7950" i="38"/>
  <c r="C7950" i="38"/>
  <c r="H7949" i="38"/>
  <c r="G7949" i="38"/>
  <c r="E7949" i="38"/>
  <c r="D7949" i="38"/>
  <c r="C7949" i="38"/>
  <c r="H7948" i="38"/>
  <c r="G7948" i="38"/>
  <c r="E7948" i="38"/>
  <c r="D7948" i="38"/>
  <c r="C7948" i="38"/>
  <c r="H7947" i="38"/>
  <c r="G7947" i="38"/>
  <c r="E7947" i="38"/>
  <c r="D7947" i="38"/>
  <c r="C7947" i="38"/>
  <c r="J7946" i="38"/>
  <c r="I7946" i="38"/>
  <c r="H7946" i="38"/>
  <c r="G7946" i="38"/>
  <c r="F7946" i="38"/>
  <c r="E7946" i="38"/>
  <c r="D7946" i="38"/>
  <c r="C7946" i="38"/>
  <c r="J7945" i="38"/>
  <c r="I7945" i="38"/>
  <c r="H7945" i="38"/>
  <c r="G7945" i="38"/>
  <c r="F7945" i="38"/>
  <c r="E7945" i="38"/>
  <c r="D7945" i="38"/>
  <c r="C7945" i="38"/>
  <c r="J7944" i="38"/>
  <c r="I7944" i="38"/>
  <c r="H7944" i="38"/>
  <c r="G7944" i="38"/>
  <c r="F7944" i="38"/>
  <c r="E7944" i="38"/>
  <c r="D7944" i="38"/>
  <c r="C7944" i="38"/>
  <c r="J7943" i="38"/>
  <c r="I7943" i="38"/>
  <c r="H7943" i="38"/>
  <c r="G7943" i="38"/>
  <c r="E7943" i="38"/>
  <c r="D7943" i="38"/>
  <c r="C7943" i="38"/>
  <c r="J7942" i="38"/>
  <c r="I7942" i="38"/>
  <c r="H7942" i="38"/>
  <c r="G7942" i="38"/>
  <c r="F7942" i="38"/>
  <c r="E7942" i="38"/>
  <c r="C7942" i="38"/>
  <c r="H7941" i="38"/>
  <c r="G7941" i="38"/>
  <c r="E7941" i="38"/>
  <c r="C7941" i="38"/>
  <c r="H7940" i="38"/>
  <c r="G7940" i="38"/>
  <c r="E7940" i="38"/>
  <c r="D7940" i="38"/>
  <c r="C7940" i="38"/>
  <c r="H7939" i="38"/>
  <c r="G7939" i="38"/>
  <c r="E7939" i="38"/>
  <c r="D7939" i="38"/>
  <c r="C7939" i="38"/>
  <c r="H7938" i="38"/>
  <c r="G7938" i="38"/>
  <c r="E7938" i="38"/>
  <c r="D7938" i="38"/>
  <c r="C7938" i="38"/>
  <c r="H7937" i="38"/>
  <c r="G7937" i="38"/>
  <c r="E7937" i="38"/>
  <c r="D7937" i="38"/>
  <c r="C7937" i="38"/>
  <c r="J7936" i="38"/>
  <c r="I7936" i="38"/>
  <c r="H7936" i="38"/>
  <c r="G7936" i="38"/>
  <c r="F7936" i="38"/>
  <c r="E7936" i="38"/>
  <c r="D7936" i="38"/>
  <c r="C7936" i="38"/>
  <c r="J7935" i="38"/>
  <c r="I7935" i="38"/>
  <c r="H7935" i="38"/>
  <c r="G7935" i="38"/>
  <c r="F7935" i="38"/>
  <c r="E7935" i="38"/>
  <c r="D7935" i="38"/>
  <c r="C7935" i="38"/>
  <c r="J7934" i="38"/>
  <c r="I7934" i="38"/>
  <c r="H7934" i="38"/>
  <c r="G7934" i="38"/>
  <c r="F7934" i="38"/>
  <c r="E7934" i="38"/>
  <c r="D7934" i="38"/>
  <c r="C7934" i="38"/>
  <c r="J7933" i="38"/>
  <c r="I7933" i="38"/>
  <c r="H7933" i="38"/>
  <c r="G7933" i="38"/>
  <c r="E7933" i="38"/>
  <c r="D7933" i="38"/>
  <c r="C7933" i="38"/>
  <c r="J7932" i="38"/>
  <c r="I7932" i="38"/>
  <c r="H7932" i="38"/>
  <c r="G7932" i="38"/>
  <c r="F7932" i="38"/>
  <c r="E7932" i="38"/>
  <c r="C7932" i="38"/>
  <c r="H7931" i="38"/>
  <c r="G7931" i="38"/>
  <c r="E7931" i="38"/>
  <c r="C7931" i="38"/>
  <c r="H7930" i="38"/>
  <c r="G7930" i="38"/>
  <c r="E7930" i="38"/>
  <c r="D7930" i="38"/>
  <c r="C7930" i="38"/>
  <c r="H7929" i="38"/>
  <c r="G7929" i="38"/>
  <c r="E7929" i="38"/>
  <c r="D7929" i="38"/>
  <c r="C7929" i="38"/>
  <c r="H7928" i="38"/>
  <c r="G7928" i="38"/>
  <c r="E7928" i="38"/>
  <c r="D7928" i="38"/>
  <c r="C7928" i="38"/>
  <c r="H7927" i="38"/>
  <c r="G7927" i="38"/>
  <c r="E7927" i="38"/>
  <c r="D7927" i="38"/>
  <c r="C7927" i="38"/>
  <c r="J7926" i="38"/>
  <c r="I7926" i="38"/>
  <c r="H7926" i="38"/>
  <c r="G7926" i="38"/>
  <c r="F7926" i="38"/>
  <c r="E7926" i="38"/>
  <c r="D7926" i="38"/>
  <c r="C7926" i="38"/>
  <c r="J7925" i="38"/>
  <c r="I7925" i="38"/>
  <c r="H7925" i="38"/>
  <c r="G7925" i="38"/>
  <c r="F7925" i="38"/>
  <c r="E7925" i="38"/>
  <c r="D7925" i="38"/>
  <c r="C7925" i="38"/>
  <c r="J7924" i="38"/>
  <c r="I7924" i="38"/>
  <c r="H7924" i="38"/>
  <c r="G7924" i="38"/>
  <c r="F7924" i="38"/>
  <c r="E7924" i="38"/>
  <c r="D7924" i="38"/>
  <c r="C7924" i="38"/>
  <c r="J7923" i="38"/>
  <c r="I7923" i="38"/>
  <c r="H7923" i="38"/>
  <c r="G7923" i="38"/>
  <c r="E7923" i="38"/>
  <c r="D7923" i="38"/>
  <c r="C7923" i="38"/>
  <c r="J7922" i="38"/>
  <c r="I7922" i="38"/>
  <c r="H7922" i="38"/>
  <c r="G7922" i="38"/>
  <c r="F7922" i="38"/>
  <c r="E7922" i="38"/>
  <c r="C7922" i="38"/>
  <c r="H7921" i="38"/>
  <c r="G7921" i="38"/>
  <c r="E7921" i="38"/>
  <c r="C7921" i="38"/>
  <c r="H7920" i="38"/>
  <c r="G7920" i="38"/>
  <c r="E7920" i="38"/>
  <c r="D7920" i="38"/>
  <c r="C7920" i="38"/>
  <c r="H7919" i="38"/>
  <c r="G7919" i="38"/>
  <c r="E7919" i="38"/>
  <c r="D7919" i="38"/>
  <c r="C7919" i="38"/>
  <c r="H7918" i="38"/>
  <c r="G7918" i="38"/>
  <c r="E7918" i="38"/>
  <c r="D7918" i="38"/>
  <c r="C7918" i="38"/>
  <c r="H7917" i="38"/>
  <c r="G7917" i="38"/>
  <c r="E7917" i="38"/>
  <c r="D7917" i="38"/>
  <c r="C7917" i="38"/>
  <c r="J7916" i="38"/>
  <c r="I7916" i="38"/>
  <c r="H7916" i="38"/>
  <c r="G7916" i="38"/>
  <c r="F7916" i="38"/>
  <c r="E7916" i="38"/>
  <c r="D7916" i="38"/>
  <c r="C7916" i="38"/>
  <c r="J7915" i="38"/>
  <c r="I7915" i="38"/>
  <c r="H7915" i="38"/>
  <c r="G7915" i="38"/>
  <c r="F7915" i="38"/>
  <c r="E7915" i="38"/>
  <c r="D7915" i="38"/>
  <c r="C7915" i="38"/>
  <c r="J7914" i="38"/>
  <c r="I7914" i="38"/>
  <c r="H7914" i="38"/>
  <c r="G7914" i="38"/>
  <c r="F7914" i="38"/>
  <c r="E7914" i="38"/>
  <c r="D7914" i="38"/>
  <c r="C7914" i="38"/>
  <c r="J7913" i="38"/>
  <c r="I7913" i="38"/>
  <c r="H7913" i="38"/>
  <c r="G7913" i="38"/>
  <c r="E7913" i="38"/>
  <c r="D7913" i="38"/>
  <c r="C7913" i="38"/>
  <c r="J7912" i="38"/>
  <c r="I7912" i="38"/>
  <c r="H7912" i="38"/>
  <c r="G7912" i="38"/>
  <c r="F7912" i="38"/>
  <c r="E7912" i="38"/>
  <c r="C7912" i="38"/>
  <c r="H7911" i="38"/>
  <c r="G7911" i="38"/>
  <c r="E7911" i="38"/>
  <c r="C7911" i="38"/>
  <c r="J7910" i="38"/>
  <c r="I7910" i="38"/>
  <c r="H7910" i="38"/>
  <c r="G7910" i="38"/>
  <c r="F7910" i="38"/>
  <c r="E7910" i="38"/>
  <c r="D7910" i="38"/>
  <c r="C7910" i="38"/>
  <c r="J7909" i="38"/>
  <c r="I7909" i="38"/>
  <c r="H7909" i="38"/>
  <c r="G7909" i="38"/>
  <c r="F7909" i="38"/>
  <c r="E7909" i="38"/>
  <c r="D7909" i="38"/>
  <c r="C7909" i="38"/>
  <c r="J7908" i="38"/>
  <c r="I7908" i="38"/>
  <c r="H7908" i="38"/>
  <c r="G7908" i="38"/>
  <c r="F7908" i="38"/>
  <c r="E7908" i="38"/>
  <c r="D7908" i="38"/>
  <c r="C7908" i="38"/>
  <c r="J7907" i="38"/>
  <c r="I7907" i="38"/>
  <c r="H7907" i="38"/>
  <c r="G7907" i="38"/>
  <c r="F7907" i="38"/>
  <c r="E7907" i="38"/>
  <c r="D7907" i="38"/>
  <c r="C7907" i="38"/>
  <c r="J7906" i="38"/>
  <c r="I7906" i="38"/>
  <c r="H7906" i="38"/>
  <c r="G7906" i="38"/>
  <c r="F7906" i="38"/>
  <c r="E7906" i="38"/>
  <c r="D7906" i="38"/>
  <c r="C7906" i="38"/>
  <c r="J7905" i="38"/>
  <c r="I7905" i="38"/>
  <c r="H7905" i="38"/>
  <c r="G7905" i="38"/>
  <c r="F7905" i="38"/>
  <c r="E7905" i="38"/>
  <c r="D7905" i="38"/>
  <c r="C7905" i="38"/>
  <c r="J7904" i="38"/>
  <c r="I7904" i="38"/>
  <c r="H7904" i="38"/>
  <c r="G7904" i="38"/>
  <c r="F7904" i="38"/>
  <c r="E7904" i="38"/>
  <c r="D7904" i="38"/>
  <c r="C7904" i="38"/>
  <c r="J7903" i="38"/>
  <c r="I7903" i="38"/>
  <c r="H7903" i="38"/>
  <c r="G7903" i="38"/>
  <c r="F7903" i="38"/>
  <c r="E7903" i="38"/>
  <c r="D7903" i="38"/>
  <c r="C7903" i="38"/>
  <c r="J7902" i="38"/>
  <c r="I7902" i="38"/>
  <c r="H7902" i="38"/>
  <c r="G7902" i="38"/>
  <c r="F7902" i="38"/>
  <c r="E7902" i="38"/>
  <c r="D7902" i="38"/>
  <c r="C7902" i="38"/>
  <c r="J7901" i="38"/>
  <c r="I7901" i="38"/>
  <c r="H7901" i="38"/>
  <c r="G7901" i="38"/>
  <c r="F7901" i="38"/>
  <c r="E7901" i="38"/>
  <c r="D7901" i="38"/>
  <c r="C7901" i="38"/>
  <c r="J7900" i="38"/>
  <c r="I7900" i="38"/>
  <c r="H7900" i="38"/>
  <c r="G7900" i="38"/>
  <c r="F7900" i="38"/>
  <c r="E7900" i="38"/>
  <c r="D7900" i="38"/>
  <c r="C7900" i="38"/>
  <c r="J7899" i="38"/>
  <c r="I7899" i="38"/>
  <c r="H7899" i="38"/>
  <c r="G7899" i="38"/>
  <c r="F7899" i="38"/>
  <c r="E7899" i="38"/>
  <c r="D7899" i="38"/>
  <c r="C7899" i="38"/>
  <c r="J7898" i="38"/>
  <c r="I7898" i="38"/>
  <c r="H7898" i="38"/>
  <c r="G7898" i="38"/>
  <c r="F7898" i="38"/>
  <c r="E7898" i="38"/>
  <c r="D7898" i="38"/>
  <c r="C7898" i="38"/>
  <c r="J7897" i="38"/>
  <c r="I7897" i="38"/>
  <c r="H7897" i="38"/>
  <c r="G7897" i="38"/>
  <c r="F7897" i="38"/>
  <c r="E7897" i="38"/>
  <c r="D7897" i="38"/>
  <c r="C7897" i="38"/>
  <c r="J7896" i="38"/>
  <c r="I7896" i="38"/>
  <c r="H7896" i="38"/>
  <c r="G7896" i="38"/>
  <c r="F7896" i="38"/>
  <c r="E7896" i="38"/>
  <c r="D7896" i="38"/>
  <c r="C7896" i="38"/>
  <c r="J7895" i="38"/>
  <c r="I7895" i="38"/>
  <c r="H7895" i="38"/>
  <c r="G7895" i="38"/>
  <c r="F7895" i="38"/>
  <c r="E7895" i="38"/>
  <c r="D7895" i="38"/>
  <c r="C7895" i="38"/>
  <c r="J7894" i="38"/>
  <c r="I7894" i="38"/>
  <c r="H7894" i="38"/>
  <c r="G7894" i="38"/>
  <c r="F7894" i="38"/>
  <c r="E7894" i="38"/>
  <c r="D7894" i="38"/>
  <c r="C7894" i="38"/>
  <c r="J7893" i="38"/>
  <c r="I7893" i="38"/>
  <c r="H7893" i="38"/>
  <c r="G7893" i="38"/>
  <c r="E7893" i="38"/>
  <c r="D7893" i="38"/>
  <c r="C7893" i="38"/>
  <c r="J7892" i="38"/>
  <c r="I7892" i="38"/>
  <c r="H7892" i="38"/>
  <c r="G7892" i="38"/>
  <c r="F7892" i="38"/>
  <c r="E7892" i="38"/>
  <c r="C7892" i="38"/>
  <c r="H7891" i="38"/>
  <c r="G7891" i="38"/>
  <c r="E7891" i="38"/>
  <c r="C7891" i="38"/>
  <c r="H7890" i="38"/>
  <c r="G7890" i="38"/>
  <c r="E7890" i="38"/>
  <c r="D7890" i="38"/>
  <c r="C7890" i="38"/>
  <c r="H7889" i="38"/>
  <c r="G7889" i="38"/>
  <c r="E7889" i="38"/>
  <c r="D7889" i="38"/>
  <c r="C7889" i="38"/>
  <c r="H7888" i="38"/>
  <c r="G7888" i="38"/>
  <c r="E7888" i="38"/>
  <c r="D7888" i="38"/>
  <c r="C7888" i="38"/>
  <c r="H7887" i="38"/>
  <c r="G7887" i="38"/>
  <c r="E7887" i="38"/>
  <c r="D7887" i="38"/>
  <c r="C7887" i="38"/>
  <c r="J7886" i="38"/>
  <c r="I7886" i="38"/>
  <c r="H7886" i="38"/>
  <c r="G7886" i="38"/>
  <c r="F7886" i="38"/>
  <c r="E7886" i="38"/>
  <c r="D7886" i="38"/>
  <c r="C7886" i="38"/>
  <c r="J7885" i="38"/>
  <c r="I7885" i="38"/>
  <c r="H7885" i="38"/>
  <c r="G7885" i="38"/>
  <c r="F7885" i="38"/>
  <c r="E7885" i="38"/>
  <c r="D7885" i="38"/>
  <c r="C7885" i="38"/>
  <c r="J7884" i="38"/>
  <c r="I7884" i="38"/>
  <c r="H7884" i="38"/>
  <c r="G7884" i="38"/>
  <c r="F7884" i="38"/>
  <c r="E7884" i="38"/>
  <c r="D7884" i="38"/>
  <c r="C7884" i="38"/>
  <c r="J7883" i="38"/>
  <c r="I7883" i="38"/>
  <c r="H7883" i="38"/>
  <c r="G7883" i="38"/>
  <c r="E7883" i="38"/>
  <c r="D7883" i="38"/>
  <c r="C7883" i="38"/>
  <c r="J7882" i="38"/>
  <c r="I7882" i="38"/>
  <c r="H7882" i="38"/>
  <c r="G7882" i="38"/>
  <c r="F7882" i="38"/>
  <c r="E7882" i="38"/>
  <c r="C7882" i="38"/>
  <c r="H7881" i="38"/>
  <c r="G7881" i="38"/>
  <c r="E7881" i="38"/>
  <c r="C7881" i="38"/>
  <c r="H7880" i="38"/>
  <c r="G7880" i="38"/>
  <c r="E7880" i="38"/>
  <c r="D7880" i="38"/>
  <c r="C7880" i="38"/>
  <c r="H7879" i="38"/>
  <c r="G7879" i="38"/>
  <c r="E7879" i="38"/>
  <c r="D7879" i="38"/>
  <c r="C7879" i="38"/>
  <c r="H7878" i="38"/>
  <c r="G7878" i="38"/>
  <c r="E7878" i="38"/>
  <c r="D7878" i="38"/>
  <c r="C7878" i="38"/>
  <c r="H7877" i="38"/>
  <c r="G7877" i="38"/>
  <c r="E7877" i="38"/>
  <c r="D7877" i="38"/>
  <c r="C7877" i="38"/>
  <c r="J7876" i="38"/>
  <c r="I7876" i="38"/>
  <c r="H7876" i="38"/>
  <c r="G7876" i="38"/>
  <c r="F7876" i="38"/>
  <c r="E7876" i="38"/>
  <c r="D7876" i="38"/>
  <c r="C7876" i="38"/>
  <c r="J7875" i="38"/>
  <c r="I7875" i="38"/>
  <c r="H7875" i="38"/>
  <c r="G7875" i="38"/>
  <c r="F7875" i="38"/>
  <c r="E7875" i="38"/>
  <c r="D7875" i="38"/>
  <c r="C7875" i="38"/>
  <c r="J7874" i="38"/>
  <c r="I7874" i="38"/>
  <c r="H7874" i="38"/>
  <c r="G7874" i="38"/>
  <c r="F7874" i="38"/>
  <c r="E7874" i="38"/>
  <c r="D7874" i="38"/>
  <c r="C7874" i="38"/>
  <c r="J7873" i="38"/>
  <c r="I7873" i="38"/>
  <c r="H7873" i="38"/>
  <c r="G7873" i="38"/>
  <c r="E7873" i="38"/>
  <c r="D7873" i="38"/>
  <c r="C7873" i="38"/>
  <c r="J7872" i="38"/>
  <c r="I7872" i="38"/>
  <c r="H7872" i="38"/>
  <c r="G7872" i="38"/>
  <c r="F7872" i="38"/>
  <c r="E7872" i="38"/>
  <c r="C7872" i="38"/>
  <c r="H7871" i="38"/>
  <c r="G7871" i="38"/>
  <c r="E7871" i="38"/>
  <c r="C7871" i="38"/>
  <c r="H7870" i="38"/>
  <c r="G7870" i="38"/>
  <c r="E7870" i="38"/>
  <c r="D7870" i="38"/>
  <c r="C7870" i="38"/>
  <c r="H7869" i="38"/>
  <c r="G7869" i="38"/>
  <c r="E7869" i="38"/>
  <c r="D7869" i="38"/>
  <c r="C7869" i="38"/>
  <c r="H7868" i="38"/>
  <c r="G7868" i="38"/>
  <c r="E7868" i="38"/>
  <c r="D7868" i="38"/>
  <c r="C7868" i="38"/>
  <c r="H7867" i="38"/>
  <c r="G7867" i="38"/>
  <c r="E7867" i="38"/>
  <c r="D7867" i="38"/>
  <c r="C7867" i="38"/>
  <c r="J7866" i="38"/>
  <c r="I7866" i="38"/>
  <c r="H7866" i="38"/>
  <c r="G7866" i="38"/>
  <c r="F7866" i="38"/>
  <c r="E7866" i="38"/>
  <c r="D7866" i="38"/>
  <c r="C7866" i="38"/>
  <c r="J7865" i="38"/>
  <c r="I7865" i="38"/>
  <c r="H7865" i="38"/>
  <c r="G7865" i="38"/>
  <c r="F7865" i="38"/>
  <c r="E7865" i="38"/>
  <c r="D7865" i="38"/>
  <c r="C7865" i="38"/>
  <c r="J7864" i="38"/>
  <c r="I7864" i="38"/>
  <c r="H7864" i="38"/>
  <c r="G7864" i="38"/>
  <c r="F7864" i="38"/>
  <c r="E7864" i="38"/>
  <c r="D7864" i="38"/>
  <c r="C7864" i="38"/>
  <c r="J7863" i="38"/>
  <c r="I7863" i="38"/>
  <c r="H7863" i="38"/>
  <c r="G7863" i="38"/>
  <c r="E7863" i="38"/>
  <c r="D7863" i="38"/>
  <c r="C7863" i="38"/>
  <c r="J7862" i="38"/>
  <c r="I7862" i="38"/>
  <c r="H7862" i="38"/>
  <c r="G7862" i="38"/>
  <c r="F7862" i="38"/>
  <c r="E7862" i="38"/>
  <c r="C7862" i="38"/>
  <c r="H7861" i="38"/>
  <c r="G7861" i="38"/>
  <c r="E7861" i="38"/>
  <c r="C7861" i="38"/>
  <c r="H7860" i="38"/>
  <c r="G7860" i="38"/>
  <c r="E7860" i="38"/>
  <c r="D7860" i="38"/>
  <c r="C7860" i="38"/>
  <c r="H7859" i="38"/>
  <c r="G7859" i="38"/>
  <c r="E7859" i="38"/>
  <c r="D7859" i="38"/>
  <c r="C7859" i="38"/>
  <c r="H7858" i="38"/>
  <c r="G7858" i="38"/>
  <c r="E7858" i="38"/>
  <c r="D7858" i="38"/>
  <c r="C7858" i="38"/>
  <c r="H7857" i="38"/>
  <c r="G7857" i="38"/>
  <c r="E7857" i="38"/>
  <c r="D7857" i="38"/>
  <c r="C7857" i="38"/>
  <c r="J7856" i="38"/>
  <c r="I7856" i="38"/>
  <c r="H7856" i="38"/>
  <c r="G7856" i="38"/>
  <c r="F7856" i="38"/>
  <c r="E7856" i="38"/>
  <c r="D7856" i="38"/>
  <c r="C7856" i="38"/>
  <c r="J7855" i="38"/>
  <c r="I7855" i="38"/>
  <c r="H7855" i="38"/>
  <c r="G7855" i="38"/>
  <c r="F7855" i="38"/>
  <c r="E7855" i="38"/>
  <c r="D7855" i="38"/>
  <c r="C7855" i="38"/>
  <c r="J7854" i="38"/>
  <c r="I7854" i="38"/>
  <c r="H7854" i="38"/>
  <c r="G7854" i="38"/>
  <c r="F7854" i="38"/>
  <c r="E7854" i="38"/>
  <c r="D7854" i="38"/>
  <c r="C7854" i="38"/>
  <c r="J7853" i="38"/>
  <c r="I7853" i="38"/>
  <c r="H7853" i="38"/>
  <c r="G7853" i="38"/>
  <c r="E7853" i="38"/>
  <c r="D7853" i="38"/>
  <c r="C7853" i="38"/>
  <c r="J7852" i="38"/>
  <c r="I7852" i="38"/>
  <c r="H7852" i="38"/>
  <c r="G7852" i="38"/>
  <c r="F7852" i="38"/>
  <c r="E7852" i="38"/>
  <c r="C7852" i="38"/>
  <c r="H7851" i="38"/>
  <c r="G7851" i="38"/>
  <c r="E7851" i="38"/>
  <c r="C7851" i="38"/>
  <c r="H7850" i="38"/>
  <c r="G7850" i="38"/>
  <c r="E7850" i="38"/>
  <c r="D7850" i="38"/>
  <c r="C7850" i="38"/>
  <c r="H7849" i="38"/>
  <c r="G7849" i="38"/>
  <c r="E7849" i="38"/>
  <c r="D7849" i="38"/>
  <c r="C7849" i="38"/>
  <c r="H7848" i="38"/>
  <c r="G7848" i="38"/>
  <c r="E7848" i="38"/>
  <c r="D7848" i="38"/>
  <c r="C7848" i="38"/>
  <c r="H7847" i="38"/>
  <c r="G7847" i="38"/>
  <c r="E7847" i="38"/>
  <c r="D7847" i="38"/>
  <c r="C7847" i="38"/>
  <c r="J7846" i="38"/>
  <c r="I7846" i="38"/>
  <c r="H7846" i="38"/>
  <c r="G7846" i="38"/>
  <c r="F7846" i="38"/>
  <c r="E7846" i="38"/>
  <c r="D7846" i="38"/>
  <c r="C7846" i="38"/>
  <c r="J7845" i="38"/>
  <c r="I7845" i="38"/>
  <c r="H7845" i="38"/>
  <c r="G7845" i="38"/>
  <c r="F7845" i="38"/>
  <c r="E7845" i="38"/>
  <c r="D7845" i="38"/>
  <c r="C7845" i="38"/>
  <c r="J7844" i="38"/>
  <c r="I7844" i="38"/>
  <c r="H7844" i="38"/>
  <c r="G7844" i="38"/>
  <c r="F7844" i="38"/>
  <c r="E7844" i="38"/>
  <c r="D7844" i="38"/>
  <c r="C7844" i="38"/>
  <c r="J7843" i="38"/>
  <c r="I7843" i="38"/>
  <c r="H7843" i="38"/>
  <c r="G7843" i="38"/>
  <c r="E7843" i="38"/>
  <c r="D7843" i="38"/>
  <c r="C7843" i="38"/>
  <c r="J7842" i="38"/>
  <c r="I7842" i="38"/>
  <c r="H7842" i="38"/>
  <c r="G7842" i="38"/>
  <c r="F7842" i="38"/>
  <c r="E7842" i="38"/>
  <c r="C7842" i="38"/>
  <c r="H7841" i="38"/>
  <c r="G7841" i="38"/>
  <c r="E7841" i="38"/>
  <c r="C7841" i="38"/>
  <c r="H7840" i="38"/>
  <c r="G7840" i="38"/>
  <c r="E7840" i="38"/>
  <c r="D7840" i="38"/>
  <c r="C7840" i="38"/>
  <c r="H7839" i="38"/>
  <c r="G7839" i="38"/>
  <c r="E7839" i="38"/>
  <c r="D7839" i="38"/>
  <c r="C7839" i="38"/>
  <c r="H7838" i="38"/>
  <c r="G7838" i="38"/>
  <c r="E7838" i="38"/>
  <c r="D7838" i="38"/>
  <c r="C7838" i="38"/>
  <c r="H7837" i="38"/>
  <c r="G7837" i="38"/>
  <c r="E7837" i="38"/>
  <c r="D7837" i="38"/>
  <c r="C7837" i="38"/>
  <c r="J7836" i="38"/>
  <c r="I7836" i="38"/>
  <c r="H7836" i="38"/>
  <c r="G7836" i="38"/>
  <c r="F7836" i="38"/>
  <c r="E7836" i="38"/>
  <c r="D7836" i="38"/>
  <c r="C7836" i="38"/>
  <c r="J7835" i="38"/>
  <c r="I7835" i="38"/>
  <c r="H7835" i="38"/>
  <c r="G7835" i="38"/>
  <c r="F7835" i="38"/>
  <c r="E7835" i="38"/>
  <c r="D7835" i="38"/>
  <c r="C7835" i="38"/>
  <c r="J7834" i="38"/>
  <c r="I7834" i="38"/>
  <c r="H7834" i="38"/>
  <c r="G7834" i="38"/>
  <c r="F7834" i="38"/>
  <c r="E7834" i="38"/>
  <c r="D7834" i="38"/>
  <c r="C7834" i="38"/>
  <c r="J7833" i="38"/>
  <c r="I7833" i="38"/>
  <c r="H7833" i="38"/>
  <c r="G7833" i="38"/>
  <c r="E7833" i="38"/>
  <c r="D7833" i="38"/>
  <c r="C7833" i="38"/>
  <c r="J7832" i="38"/>
  <c r="I7832" i="38"/>
  <c r="H7832" i="38"/>
  <c r="G7832" i="38"/>
  <c r="F7832" i="38"/>
  <c r="E7832" i="38"/>
  <c r="C7832" i="38"/>
  <c r="H7831" i="38"/>
  <c r="G7831" i="38"/>
  <c r="E7831" i="38"/>
  <c r="C7831" i="38"/>
  <c r="H7830" i="38"/>
  <c r="G7830" i="38"/>
  <c r="E7830" i="38"/>
  <c r="D7830" i="38"/>
  <c r="C7830" i="38"/>
  <c r="H7829" i="38"/>
  <c r="G7829" i="38"/>
  <c r="E7829" i="38"/>
  <c r="D7829" i="38"/>
  <c r="C7829" i="38"/>
  <c r="H7828" i="38"/>
  <c r="G7828" i="38"/>
  <c r="E7828" i="38"/>
  <c r="D7828" i="38"/>
  <c r="C7828" i="38"/>
  <c r="H7827" i="38"/>
  <c r="G7827" i="38"/>
  <c r="E7827" i="38"/>
  <c r="D7827" i="38"/>
  <c r="C7827" i="38"/>
  <c r="J7826" i="38"/>
  <c r="I7826" i="38"/>
  <c r="H7826" i="38"/>
  <c r="G7826" i="38"/>
  <c r="F7826" i="38"/>
  <c r="E7826" i="38"/>
  <c r="D7826" i="38"/>
  <c r="C7826" i="38"/>
  <c r="J7825" i="38"/>
  <c r="I7825" i="38"/>
  <c r="H7825" i="38"/>
  <c r="G7825" i="38"/>
  <c r="F7825" i="38"/>
  <c r="E7825" i="38"/>
  <c r="D7825" i="38"/>
  <c r="C7825" i="38"/>
  <c r="J7824" i="38"/>
  <c r="I7824" i="38"/>
  <c r="H7824" i="38"/>
  <c r="G7824" i="38"/>
  <c r="F7824" i="38"/>
  <c r="E7824" i="38"/>
  <c r="D7824" i="38"/>
  <c r="C7824" i="38"/>
  <c r="J7823" i="38"/>
  <c r="I7823" i="38"/>
  <c r="H7823" i="38"/>
  <c r="G7823" i="38"/>
  <c r="E7823" i="38"/>
  <c r="D7823" i="38"/>
  <c r="C7823" i="38"/>
  <c r="J7822" i="38"/>
  <c r="I7822" i="38"/>
  <c r="H7822" i="38"/>
  <c r="G7822" i="38"/>
  <c r="F7822" i="38"/>
  <c r="E7822" i="38"/>
  <c r="C7822" i="38"/>
  <c r="H7821" i="38"/>
  <c r="G7821" i="38"/>
  <c r="E7821" i="38"/>
  <c r="C7821" i="38"/>
  <c r="H7820" i="38"/>
  <c r="G7820" i="38"/>
  <c r="E7820" i="38"/>
  <c r="D7820" i="38"/>
  <c r="C7820" i="38"/>
  <c r="H7819" i="38"/>
  <c r="G7819" i="38"/>
  <c r="E7819" i="38"/>
  <c r="D7819" i="38"/>
  <c r="C7819" i="38"/>
  <c r="H7818" i="38"/>
  <c r="G7818" i="38"/>
  <c r="E7818" i="38"/>
  <c r="D7818" i="38"/>
  <c r="C7818" i="38"/>
  <c r="H7817" i="38"/>
  <c r="G7817" i="38"/>
  <c r="E7817" i="38"/>
  <c r="D7817" i="38"/>
  <c r="C7817" i="38"/>
  <c r="J7816" i="38"/>
  <c r="I7816" i="38"/>
  <c r="H7816" i="38"/>
  <c r="G7816" i="38"/>
  <c r="F7816" i="38"/>
  <c r="E7816" i="38"/>
  <c r="D7816" i="38"/>
  <c r="C7816" i="38"/>
  <c r="J7815" i="38"/>
  <c r="I7815" i="38"/>
  <c r="H7815" i="38"/>
  <c r="G7815" i="38"/>
  <c r="F7815" i="38"/>
  <c r="E7815" i="38"/>
  <c r="D7815" i="38"/>
  <c r="C7815" i="38"/>
  <c r="J7814" i="38"/>
  <c r="I7814" i="38"/>
  <c r="H7814" i="38"/>
  <c r="G7814" i="38"/>
  <c r="F7814" i="38"/>
  <c r="E7814" i="38"/>
  <c r="D7814" i="38"/>
  <c r="C7814" i="38"/>
  <c r="J7813" i="38"/>
  <c r="I7813" i="38"/>
  <c r="H7813" i="38"/>
  <c r="G7813" i="38"/>
  <c r="E7813" i="38"/>
  <c r="D7813" i="38"/>
  <c r="C7813" i="38"/>
  <c r="J7812" i="38"/>
  <c r="I7812" i="38"/>
  <c r="H7812" i="38"/>
  <c r="G7812" i="38"/>
  <c r="F7812" i="38"/>
  <c r="E7812" i="38"/>
  <c r="C7812" i="38"/>
  <c r="H7811" i="38"/>
  <c r="G7811" i="38"/>
  <c r="E7811" i="38"/>
  <c r="C7811" i="38"/>
  <c r="H7810" i="38"/>
  <c r="G7810" i="38"/>
  <c r="E7810" i="38"/>
  <c r="D7810" i="38"/>
  <c r="C7810" i="38"/>
  <c r="H7809" i="38"/>
  <c r="G7809" i="38"/>
  <c r="E7809" i="38"/>
  <c r="D7809" i="38"/>
  <c r="C7809" i="38"/>
  <c r="H7808" i="38"/>
  <c r="G7808" i="38"/>
  <c r="E7808" i="38"/>
  <c r="D7808" i="38"/>
  <c r="C7808" i="38"/>
  <c r="H7807" i="38"/>
  <c r="G7807" i="38"/>
  <c r="E7807" i="38"/>
  <c r="D7807" i="38"/>
  <c r="C7807" i="38"/>
  <c r="J7806" i="38"/>
  <c r="I7806" i="38"/>
  <c r="H7806" i="38"/>
  <c r="G7806" i="38"/>
  <c r="F7806" i="38"/>
  <c r="E7806" i="38"/>
  <c r="D7806" i="38"/>
  <c r="C7806" i="38"/>
  <c r="J7805" i="38"/>
  <c r="I7805" i="38"/>
  <c r="H7805" i="38"/>
  <c r="G7805" i="38"/>
  <c r="F7805" i="38"/>
  <c r="E7805" i="38"/>
  <c r="D7805" i="38"/>
  <c r="C7805" i="38"/>
  <c r="J7804" i="38"/>
  <c r="I7804" i="38"/>
  <c r="H7804" i="38"/>
  <c r="G7804" i="38"/>
  <c r="F7804" i="38"/>
  <c r="E7804" i="38"/>
  <c r="D7804" i="38"/>
  <c r="C7804" i="38"/>
  <c r="J7803" i="38"/>
  <c r="I7803" i="38"/>
  <c r="H7803" i="38"/>
  <c r="G7803" i="38"/>
  <c r="E7803" i="38"/>
  <c r="D7803" i="38"/>
  <c r="C7803" i="38"/>
  <c r="J7802" i="38"/>
  <c r="I7802" i="38"/>
  <c r="H7802" i="38"/>
  <c r="G7802" i="38"/>
  <c r="F7802" i="38"/>
  <c r="E7802" i="38"/>
  <c r="C7802" i="38"/>
  <c r="H7801" i="38"/>
  <c r="G7801" i="38"/>
  <c r="E7801" i="38"/>
  <c r="C7801" i="38"/>
  <c r="H7800" i="38"/>
  <c r="G7800" i="38"/>
  <c r="E7800" i="38"/>
  <c r="D7800" i="38"/>
  <c r="C7800" i="38"/>
  <c r="H7799" i="38"/>
  <c r="G7799" i="38"/>
  <c r="E7799" i="38"/>
  <c r="D7799" i="38"/>
  <c r="C7799" i="38"/>
  <c r="H7798" i="38"/>
  <c r="G7798" i="38"/>
  <c r="E7798" i="38"/>
  <c r="D7798" i="38"/>
  <c r="C7798" i="38"/>
  <c r="H7797" i="38"/>
  <c r="G7797" i="38"/>
  <c r="E7797" i="38"/>
  <c r="D7797" i="38"/>
  <c r="C7797" i="38"/>
  <c r="J7796" i="38"/>
  <c r="I7796" i="38"/>
  <c r="H7796" i="38"/>
  <c r="G7796" i="38"/>
  <c r="F7796" i="38"/>
  <c r="E7796" i="38"/>
  <c r="D7796" i="38"/>
  <c r="C7796" i="38"/>
  <c r="J7795" i="38"/>
  <c r="I7795" i="38"/>
  <c r="H7795" i="38"/>
  <c r="G7795" i="38"/>
  <c r="F7795" i="38"/>
  <c r="E7795" i="38"/>
  <c r="D7795" i="38"/>
  <c r="C7795" i="38"/>
  <c r="J7794" i="38"/>
  <c r="I7794" i="38"/>
  <c r="H7794" i="38"/>
  <c r="G7794" i="38"/>
  <c r="F7794" i="38"/>
  <c r="E7794" i="38"/>
  <c r="D7794" i="38"/>
  <c r="C7794" i="38"/>
  <c r="J7793" i="38"/>
  <c r="I7793" i="38"/>
  <c r="H7793" i="38"/>
  <c r="G7793" i="38"/>
  <c r="E7793" i="38"/>
  <c r="D7793" i="38"/>
  <c r="C7793" i="38"/>
  <c r="J7792" i="38"/>
  <c r="I7792" i="38"/>
  <c r="H7792" i="38"/>
  <c r="G7792" i="38"/>
  <c r="F7792" i="38"/>
  <c r="E7792" i="38"/>
  <c r="C7792" i="38"/>
  <c r="H7791" i="38"/>
  <c r="G7791" i="38"/>
  <c r="E7791" i="38"/>
  <c r="C7791" i="38"/>
  <c r="H7790" i="38"/>
  <c r="G7790" i="38"/>
  <c r="E7790" i="38"/>
  <c r="D7790" i="38"/>
  <c r="C7790" i="38"/>
  <c r="H7789" i="38"/>
  <c r="G7789" i="38"/>
  <c r="E7789" i="38"/>
  <c r="D7789" i="38"/>
  <c r="C7789" i="38"/>
  <c r="H7788" i="38"/>
  <c r="G7788" i="38"/>
  <c r="E7788" i="38"/>
  <c r="D7788" i="38"/>
  <c r="C7788" i="38"/>
  <c r="H7787" i="38"/>
  <c r="G7787" i="38"/>
  <c r="E7787" i="38"/>
  <c r="D7787" i="38"/>
  <c r="C7787" i="38"/>
  <c r="J7786" i="38"/>
  <c r="I7786" i="38"/>
  <c r="H7786" i="38"/>
  <c r="G7786" i="38"/>
  <c r="F7786" i="38"/>
  <c r="E7786" i="38"/>
  <c r="D7786" i="38"/>
  <c r="C7786" i="38"/>
  <c r="J7785" i="38"/>
  <c r="I7785" i="38"/>
  <c r="H7785" i="38"/>
  <c r="G7785" i="38"/>
  <c r="F7785" i="38"/>
  <c r="E7785" i="38"/>
  <c r="D7785" i="38"/>
  <c r="C7785" i="38"/>
  <c r="J7784" i="38"/>
  <c r="I7784" i="38"/>
  <c r="H7784" i="38"/>
  <c r="G7784" i="38"/>
  <c r="F7784" i="38"/>
  <c r="E7784" i="38"/>
  <c r="D7784" i="38"/>
  <c r="C7784" i="38"/>
  <c r="J7783" i="38"/>
  <c r="I7783" i="38"/>
  <c r="H7783" i="38"/>
  <c r="G7783" i="38"/>
  <c r="E7783" i="38"/>
  <c r="D7783" i="38"/>
  <c r="C7783" i="38"/>
  <c r="J7782" i="38"/>
  <c r="I7782" i="38"/>
  <c r="H7782" i="38"/>
  <c r="G7782" i="38"/>
  <c r="F7782" i="38"/>
  <c r="E7782" i="38"/>
  <c r="C7782" i="38"/>
  <c r="H7781" i="38"/>
  <c r="G7781" i="38"/>
  <c r="E7781" i="38"/>
  <c r="C7781" i="38"/>
  <c r="H7780" i="38"/>
  <c r="G7780" i="38"/>
  <c r="E7780" i="38"/>
  <c r="D7780" i="38"/>
  <c r="C7780" i="38"/>
  <c r="H7779" i="38"/>
  <c r="G7779" i="38"/>
  <c r="E7779" i="38"/>
  <c r="D7779" i="38"/>
  <c r="C7779" i="38"/>
  <c r="H7778" i="38"/>
  <c r="G7778" i="38"/>
  <c r="E7778" i="38"/>
  <c r="D7778" i="38"/>
  <c r="C7778" i="38"/>
  <c r="H7777" i="38"/>
  <c r="G7777" i="38"/>
  <c r="E7777" i="38"/>
  <c r="D7777" i="38"/>
  <c r="C7777" i="38"/>
  <c r="J7776" i="38"/>
  <c r="I7776" i="38"/>
  <c r="H7776" i="38"/>
  <c r="G7776" i="38"/>
  <c r="F7776" i="38"/>
  <c r="E7776" i="38"/>
  <c r="D7776" i="38"/>
  <c r="C7776" i="38"/>
  <c r="J7775" i="38"/>
  <c r="I7775" i="38"/>
  <c r="H7775" i="38"/>
  <c r="G7775" i="38"/>
  <c r="F7775" i="38"/>
  <c r="E7775" i="38"/>
  <c r="D7775" i="38"/>
  <c r="C7775" i="38"/>
  <c r="J7774" i="38"/>
  <c r="I7774" i="38"/>
  <c r="H7774" i="38"/>
  <c r="G7774" i="38"/>
  <c r="F7774" i="38"/>
  <c r="E7774" i="38"/>
  <c r="D7774" i="38"/>
  <c r="C7774" i="38"/>
  <c r="J7773" i="38"/>
  <c r="I7773" i="38"/>
  <c r="H7773" i="38"/>
  <c r="G7773" i="38"/>
  <c r="E7773" i="38"/>
  <c r="D7773" i="38"/>
  <c r="C7773" i="38"/>
  <c r="J7772" i="38"/>
  <c r="I7772" i="38"/>
  <c r="H7772" i="38"/>
  <c r="G7772" i="38"/>
  <c r="F7772" i="38"/>
  <c r="E7772" i="38"/>
  <c r="C7772" i="38"/>
  <c r="H7771" i="38"/>
  <c r="G7771" i="38"/>
  <c r="E7771" i="38"/>
  <c r="C7771" i="38"/>
  <c r="H7770" i="38"/>
  <c r="G7770" i="38"/>
  <c r="E7770" i="38"/>
  <c r="D7770" i="38"/>
  <c r="C7770" i="38"/>
  <c r="H7769" i="38"/>
  <c r="G7769" i="38"/>
  <c r="E7769" i="38"/>
  <c r="D7769" i="38"/>
  <c r="C7769" i="38"/>
  <c r="H7768" i="38"/>
  <c r="G7768" i="38"/>
  <c r="E7768" i="38"/>
  <c r="D7768" i="38"/>
  <c r="C7768" i="38"/>
  <c r="H7767" i="38"/>
  <c r="G7767" i="38"/>
  <c r="E7767" i="38"/>
  <c r="D7767" i="38"/>
  <c r="C7767" i="38"/>
  <c r="J7766" i="38"/>
  <c r="I7766" i="38"/>
  <c r="H7766" i="38"/>
  <c r="G7766" i="38"/>
  <c r="F7766" i="38"/>
  <c r="E7766" i="38"/>
  <c r="D7766" i="38"/>
  <c r="C7766" i="38"/>
  <c r="J7765" i="38"/>
  <c r="I7765" i="38"/>
  <c r="H7765" i="38"/>
  <c r="G7765" i="38"/>
  <c r="F7765" i="38"/>
  <c r="E7765" i="38"/>
  <c r="D7765" i="38"/>
  <c r="C7765" i="38"/>
  <c r="J7764" i="38"/>
  <c r="I7764" i="38"/>
  <c r="H7764" i="38"/>
  <c r="G7764" i="38"/>
  <c r="F7764" i="38"/>
  <c r="E7764" i="38"/>
  <c r="D7764" i="38"/>
  <c r="C7764" i="38"/>
  <c r="J7763" i="38"/>
  <c r="I7763" i="38"/>
  <c r="H7763" i="38"/>
  <c r="G7763" i="38"/>
  <c r="E7763" i="38"/>
  <c r="D7763" i="38"/>
  <c r="C7763" i="38"/>
  <c r="J7762" i="38"/>
  <c r="I7762" i="38"/>
  <c r="H7762" i="38"/>
  <c r="G7762" i="38"/>
  <c r="F7762" i="38"/>
  <c r="E7762" i="38"/>
  <c r="C7762" i="38"/>
  <c r="H7761" i="38"/>
  <c r="G7761" i="38"/>
  <c r="E7761" i="38"/>
  <c r="C7761" i="38"/>
  <c r="H7760" i="38"/>
  <c r="G7760" i="38"/>
  <c r="E7760" i="38"/>
  <c r="D7760" i="38"/>
  <c r="C7760" i="38"/>
  <c r="H7759" i="38"/>
  <c r="G7759" i="38"/>
  <c r="E7759" i="38"/>
  <c r="D7759" i="38"/>
  <c r="C7759" i="38"/>
  <c r="H7758" i="38"/>
  <c r="G7758" i="38"/>
  <c r="E7758" i="38"/>
  <c r="D7758" i="38"/>
  <c r="C7758" i="38"/>
  <c r="H7757" i="38"/>
  <c r="G7757" i="38"/>
  <c r="E7757" i="38"/>
  <c r="D7757" i="38"/>
  <c r="C7757" i="38"/>
  <c r="J7756" i="38"/>
  <c r="I7756" i="38"/>
  <c r="H7756" i="38"/>
  <c r="G7756" i="38"/>
  <c r="F7756" i="38"/>
  <c r="E7756" i="38"/>
  <c r="D7756" i="38"/>
  <c r="C7756" i="38"/>
  <c r="J7755" i="38"/>
  <c r="I7755" i="38"/>
  <c r="H7755" i="38"/>
  <c r="G7755" i="38"/>
  <c r="F7755" i="38"/>
  <c r="E7755" i="38"/>
  <c r="D7755" i="38"/>
  <c r="C7755" i="38"/>
  <c r="J7754" i="38"/>
  <c r="I7754" i="38"/>
  <c r="H7754" i="38"/>
  <c r="G7754" i="38"/>
  <c r="F7754" i="38"/>
  <c r="E7754" i="38"/>
  <c r="D7754" i="38"/>
  <c r="C7754" i="38"/>
  <c r="J7753" i="38"/>
  <c r="I7753" i="38"/>
  <c r="H7753" i="38"/>
  <c r="G7753" i="38"/>
  <c r="E7753" i="38"/>
  <c r="D7753" i="38"/>
  <c r="C7753" i="38"/>
  <c r="J7752" i="38"/>
  <c r="I7752" i="38"/>
  <c r="H7752" i="38"/>
  <c r="G7752" i="38"/>
  <c r="F7752" i="38"/>
  <c r="E7752" i="38"/>
  <c r="C7752" i="38"/>
  <c r="H7751" i="38"/>
  <c r="G7751" i="38"/>
  <c r="E7751" i="38"/>
  <c r="C7751" i="38"/>
  <c r="H7750" i="38"/>
  <c r="G7750" i="38"/>
  <c r="E7750" i="38"/>
  <c r="D7750" i="38"/>
  <c r="C7750" i="38"/>
  <c r="H7749" i="38"/>
  <c r="G7749" i="38"/>
  <c r="E7749" i="38"/>
  <c r="D7749" i="38"/>
  <c r="C7749" i="38"/>
  <c r="H7748" i="38"/>
  <c r="G7748" i="38"/>
  <c r="E7748" i="38"/>
  <c r="D7748" i="38"/>
  <c r="C7748" i="38"/>
  <c r="H7747" i="38"/>
  <c r="G7747" i="38"/>
  <c r="E7747" i="38"/>
  <c r="D7747" i="38"/>
  <c r="C7747" i="38"/>
  <c r="J7746" i="38"/>
  <c r="I7746" i="38"/>
  <c r="H7746" i="38"/>
  <c r="G7746" i="38"/>
  <c r="F7746" i="38"/>
  <c r="E7746" i="38"/>
  <c r="D7746" i="38"/>
  <c r="C7746" i="38"/>
  <c r="J7745" i="38"/>
  <c r="I7745" i="38"/>
  <c r="H7745" i="38"/>
  <c r="G7745" i="38"/>
  <c r="F7745" i="38"/>
  <c r="E7745" i="38"/>
  <c r="D7745" i="38"/>
  <c r="C7745" i="38"/>
  <c r="J7744" i="38"/>
  <c r="I7744" i="38"/>
  <c r="H7744" i="38"/>
  <c r="G7744" i="38"/>
  <c r="F7744" i="38"/>
  <c r="E7744" i="38"/>
  <c r="D7744" i="38"/>
  <c r="C7744" i="38"/>
  <c r="J7743" i="38"/>
  <c r="I7743" i="38"/>
  <c r="H7743" i="38"/>
  <c r="G7743" i="38"/>
  <c r="E7743" i="38"/>
  <c r="D7743" i="38"/>
  <c r="C7743" i="38"/>
  <c r="J7742" i="38"/>
  <c r="I7742" i="38"/>
  <c r="H7742" i="38"/>
  <c r="G7742" i="38"/>
  <c r="F7742" i="38"/>
  <c r="E7742" i="38"/>
  <c r="C7742" i="38"/>
  <c r="H7741" i="38"/>
  <c r="G7741" i="38"/>
  <c r="E7741" i="38"/>
  <c r="C7741" i="38"/>
  <c r="H7740" i="38"/>
  <c r="G7740" i="38"/>
  <c r="E7740" i="38"/>
  <c r="D7740" i="38"/>
  <c r="C7740" i="38"/>
  <c r="H7739" i="38"/>
  <c r="G7739" i="38"/>
  <c r="E7739" i="38"/>
  <c r="D7739" i="38"/>
  <c r="C7739" i="38"/>
  <c r="H7738" i="38"/>
  <c r="G7738" i="38"/>
  <c r="E7738" i="38"/>
  <c r="D7738" i="38"/>
  <c r="C7738" i="38"/>
  <c r="H7737" i="38"/>
  <c r="G7737" i="38"/>
  <c r="E7737" i="38"/>
  <c r="D7737" i="38"/>
  <c r="C7737" i="38"/>
  <c r="J7736" i="38"/>
  <c r="I7736" i="38"/>
  <c r="H7736" i="38"/>
  <c r="G7736" i="38"/>
  <c r="F7736" i="38"/>
  <c r="E7736" i="38"/>
  <c r="D7736" i="38"/>
  <c r="C7736" i="38"/>
  <c r="J7735" i="38"/>
  <c r="I7735" i="38"/>
  <c r="H7735" i="38"/>
  <c r="G7735" i="38"/>
  <c r="F7735" i="38"/>
  <c r="E7735" i="38"/>
  <c r="D7735" i="38"/>
  <c r="C7735" i="38"/>
  <c r="J7734" i="38"/>
  <c r="I7734" i="38"/>
  <c r="H7734" i="38"/>
  <c r="G7734" i="38"/>
  <c r="F7734" i="38"/>
  <c r="E7734" i="38"/>
  <c r="D7734" i="38"/>
  <c r="C7734" i="38"/>
  <c r="J7733" i="38"/>
  <c r="I7733" i="38"/>
  <c r="H7733" i="38"/>
  <c r="G7733" i="38"/>
  <c r="E7733" i="38"/>
  <c r="D7733" i="38"/>
  <c r="C7733" i="38"/>
  <c r="J7732" i="38"/>
  <c r="I7732" i="38"/>
  <c r="H7732" i="38"/>
  <c r="G7732" i="38"/>
  <c r="F7732" i="38"/>
  <c r="E7732" i="38"/>
  <c r="C7732" i="38"/>
  <c r="H7731" i="38"/>
  <c r="G7731" i="38"/>
  <c r="E7731" i="38"/>
  <c r="C7731" i="38"/>
  <c r="J7730" i="38"/>
  <c r="I7730" i="38"/>
  <c r="H7730" i="38"/>
  <c r="G7730" i="38"/>
  <c r="F7730" i="38"/>
  <c r="E7730" i="38"/>
  <c r="D7730" i="38"/>
  <c r="C7730" i="38"/>
  <c r="J7729" i="38"/>
  <c r="I7729" i="38"/>
  <c r="H7729" i="38"/>
  <c r="G7729" i="38"/>
  <c r="F7729" i="38"/>
  <c r="E7729" i="38"/>
  <c r="D7729" i="38"/>
  <c r="C7729" i="38"/>
  <c r="J7728" i="38"/>
  <c r="I7728" i="38"/>
  <c r="H7728" i="38"/>
  <c r="G7728" i="38"/>
  <c r="F7728" i="38"/>
  <c r="E7728" i="38"/>
  <c r="D7728" i="38"/>
  <c r="C7728" i="38"/>
  <c r="J7727" i="38"/>
  <c r="I7727" i="38"/>
  <c r="H7727" i="38"/>
  <c r="G7727" i="38"/>
  <c r="F7727" i="38"/>
  <c r="E7727" i="38"/>
  <c r="D7727" i="38"/>
  <c r="C7727" i="38"/>
  <c r="J7726" i="38"/>
  <c r="I7726" i="38"/>
  <c r="H7726" i="38"/>
  <c r="G7726" i="38"/>
  <c r="F7726" i="38"/>
  <c r="E7726" i="38"/>
  <c r="D7726" i="38"/>
  <c r="C7726" i="38"/>
  <c r="J7725" i="38"/>
  <c r="I7725" i="38"/>
  <c r="H7725" i="38"/>
  <c r="G7725" i="38"/>
  <c r="F7725" i="38"/>
  <c r="E7725" i="38"/>
  <c r="D7725" i="38"/>
  <c r="C7725" i="38"/>
  <c r="J7724" i="38"/>
  <c r="I7724" i="38"/>
  <c r="H7724" i="38"/>
  <c r="G7724" i="38"/>
  <c r="F7724" i="38"/>
  <c r="E7724" i="38"/>
  <c r="D7724" i="38"/>
  <c r="C7724" i="38"/>
  <c r="J7723" i="38"/>
  <c r="I7723" i="38"/>
  <c r="H7723" i="38"/>
  <c r="G7723" i="38"/>
  <c r="F7723" i="38"/>
  <c r="E7723" i="38"/>
  <c r="D7723" i="38"/>
  <c r="C7723" i="38"/>
  <c r="J7722" i="38"/>
  <c r="I7722" i="38"/>
  <c r="H7722" i="38"/>
  <c r="G7722" i="38"/>
  <c r="F7722" i="38"/>
  <c r="E7722" i="38"/>
  <c r="D7722" i="38"/>
  <c r="C7722" i="38"/>
  <c r="J7721" i="38"/>
  <c r="I7721" i="38"/>
  <c r="H7721" i="38"/>
  <c r="G7721" i="38"/>
  <c r="F7721" i="38"/>
  <c r="E7721" i="38"/>
  <c r="D7721" i="38"/>
  <c r="C7721" i="38"/>
  <c r="J7720" i="38"/>
  <c r="I7720" i="38"/>
  <c r="H7720" i="38"/>
  <c r="G7720" i="38"/>
  <c r="F7720" i="38"/>
  <c r="E7720" i="38"/>
  <c r="D7720" i="38"/>
  <c r="C7720" i="38"/>
  <c r="J7719" i="38"/>
  <c r="I7719" i="38"/>
  <c r="H7719" i="38"/>
  <c r="G7719" i="38"/>
  <c r="F7719" i="38"/>
  <c r="E7719" i="38"/>
  <c r="D7719" i="38"/>
  <c r="C7719" i="38"/>
  <c r="J7718" i="38"/>
  <c r="I7718" i="38"/>
  <c r="H7718" i="38"/>
  <c r="G7718" i="38"/>
  <c r="F7718" i="38"/>
  <c r="E7718" i="38"/>
  <c r="D7718" i="38"/>
  <c r="C7718" i="38"/>
  <c r="J7717" i="38"/>
  <c r="I7717" i="38"/>
  <c r="H7717" i="38"/>
  <c r="G7717" i="38"/>
  <c r="F7717" i="38"/>
  <c r="E7717" i="38"/>
  <c r="D7717" i="38"/>
  <c r="C7717" i="38"/>
  <c r="J7716" i="38"/>
  <c r="I7716" i="38"/>
  <c r="H7716" i="38"/>
  <c r="G7716" i="38"/>
  <c r="F7716" i="38"/>
  <c r="E7716" i="38"/>
  <c r="D7716" i="38"/>
  <c r="C7716" i="38"/>
  <c r="J7715" i="38"/>
  <c r="I7715" i="38"/>
  <c r="H7715" i="38"/>
  <c r="G7715" i="38"/>
  <c r="F7715" i="38"/>
  <c r="E7715" i="38"/>
  <c r="D7715" i="38"/>
  <c r="C7715" i="38"/>
  <c r="J7714" i="38"/>
  <c r="I7714" i="38"/>
  <c r="H7714" i="38"/>
  <c r="G7714" i="38"/>
  <c r="F7714" i="38"/>
  <c r="E7714" i="38"/>
  <c r="D7714" i="38"/>
  <c r="C7714" i="38"/>
  <c r="J7713" i="38"/>
  <c r="I7713" i="38"/>
  <c r="H7713" i="38"/>
  <c r="G7713" i="38"/>
  <c r="E7713" i="38"/>
  <c r="D7713" i="38"/>
  <c r="C7713" i="38"/>
  <c r="J7712" i="38"/>
  <c r="I7712" i="38"/>
  <c r="H7712" i="38"/>
  <c r="G7712" i="38"/>
  <c r="F7712" i="38"/>
  <c r="E7712" i="38"/>
  <c r="C7712" i="38"/>
  <c r="H7711" i="38"/>
  <c r="G7711" i="38"/>
  <c r="E7711" i="38"/>
  <c r="C7711" i="38"/>
  <c r="H7710" i="38"/>
  <c r="G7710" i="38"/>
  <c r="E7710" i="38"/>
  <c r="D7710" i="38"/>
  <c r="C7710" i="38"/>
  <c r="H7709" i="38"/>
  <c r="G7709" i="38"/>
  <c r="E7709" i="38"/>
  <c r="D7709" i="38"/>
  <c r="C7709" i="38"/>
  <c r="H7708" i="38"/>
  <c r="G7708" i="38"/>
  <c r="E7708" i="38"/>
  <c r="D7708" i="38"/>
  <c r="C7708" i="38"/>
  <c r="H7707" i="38"/>
  <c r="G7707" i="38"/>
  <c r="E7707" i="38"/>
  <c r="D7707" i="38"/>
  <c r="C7707" i="38"/>
  <c r="J7706" i="38"/>
  <c r="I7706" i="38"/>
  <c r="H7706" i="38"/>
  <c r="G7706" i="38"/>
  <c r="F7706" i="38"/>
  <c r="E7706" i="38"/>
  <c r="D7706" i="38"/>
  <c r="C7706" i="38"/>
  <c r="J7705" i="38"/>
  <c r="I7705" i="38"/>
  <c r="H7705" i="38"/>
  <c r="G7705" i="38"/>
  <c r="F7705" i="38"/>
  <c r="E7705" i="38"/>
  <c r="D7705" i="38"/>
  <c r="C7705" i="38"/>
  <c r="J7704" i="38"/>
  <c r="I7704" i="38"/>
  <c r="H7704" i="38"/>
  <c r="G7704" i="38"/>
  <c r="F7704" i="38"/>
  <c r="E7704" i="38"/>
  <c r="D7704" i="38"/>
  <c r="C7704" i="38"/>
  <c r="J7703" i="38"/>
  <c r="I7703" i="38"/>
  <c r="H7703" i="38"/>
  <c r="G7703" i="38"/>
  <c r="E7703" i="38"/>
  <c r="D7703" i="38"/>
  <c r="C7703" i="38"/>
  <c r="J7702" i="38"/>
  <c r="I7702" i="38"/>
  <c r="H7702" i="38"/>
  <c r="G7702" i="38"/>
  <c r="F7702" i="38"/>
  <c r="E7702" i="38"/>
  <c r="C7702" i="38"/>
  <c r="H7701" i="38"/>
  <c r="G7701" i="38"/>
  <c r="E7701" i="38"/>
  <c r="C7701" i="38"/>
  <c r="H7700" i="38"/>
  <c r="G7700" i="38"/>
  <c r="E7700" i="38"/>
  <c r="D7700" i="38"/>
  <c r="C7700" i="38"/>
  <c r="H7699" i="38"/>
  <c r="G7699" i="38"/>
  <c r="E7699" i="38"/>
  <c r="D7699" i="38"/>
  <c r="C7699" i="38"/>
  <c r="H7698" i="38"/>
  <c r="G7698" i="38"/>
  <c r="E7698" i="38"/>
  <c r="D7698" i="38"/>
  <c r="C7698" i="38"/>
  <c r="H7697" i="38"/>
  <c r="G7697" i="38"/>
  <c r="E7697" i="38"/>
  <c r="D7697" i="38"/>
  <c r="C7697" i="38"/>
  <c r="J7696" i="38"/>
  <c r="I7696" i="38"/>
  <c r="H7696" i="38"/>
  <c r="G7696" i="38"/>
  <c r="F7696" i="38"/>
  <c r="E7696" i="38"/>
  <c r="D7696" i="38"/>
  <c r="C7696" i="38"/>
  <c r="J7695" i="38"/>
  <c r="I7695" i="38"/>
  <c r="H7695" i="38"/>
  <c r="G7695" i="38"/>
  <c r="F7695" i="38"/>
  <c r="E7695" i="38"/>
  <c r="D7695" i="38"/>
  <c r="C7695" i="38"/>
  <c r="J7694" i="38"/>
  <c r="I7694" i="38"/>
  <c r="H7694" i="38"/>
  <c r="G7694" i="38"/>
  <c r="F7694" i="38"/>
  <c r="E7694" i="38"/>
  <c r="D7694" i="38"/>
  <c r="C7694" i="38"/>
  <c r="J7693" i="38"/>
  <c r="I7693" i="38"/>
  <c r="H7693" i="38"/>
  <c r="G7693" i="38"/>
  <c r="E7693" i="38"/>
  <c r="D7693" i="38"/>
  <c r="C7693" i="38"/>
  <c r="J7692" i="38"/>
  <c r="I7692" i="38"/>
  <c r="H7692" i="38"/>
  <c r="G7692" i="38"/>
  <c r="F7692" i="38"/>
  <c r="E7692" i="38"/>
  <c r="C7692" i="38"/>
  <c r="H7691" i="38"/>
  <c r="G7691" i="38"/>
  <c r="E7691" i="38"/>
  <c r="C7691" i="38"/>
  <c r="H7690" i="38"/>
  <c r="G7690" i="38"/>
  <c r="E7690" i="38"/>
  <c r="D7690" i="38"/>
  <c r="C7690" i="38"/>
  <c r="H7689" i="38"/>
  <c r="G7689" i="38"/>
  <c r="E7689" i="38"/>
  <c r="D7689" i="38"/>
  <c r="C7689" i="38"/>
  <c r="H7688" i="38"/>
  <c r="G7688" i="38"/>
  <c r="E7688" i="38"/>
  <c r="D7688" i="38"/>
  <c r="C7688" i="38"/>
  <c r="H7687" i="38"/>
  <c r="G7687" i="38"/>
  <c r="E7687" i="38"/>
  <c r="D7687" i="38"/>
  <c r="C7687" i="38"/>
  <c r="J7686" i="38"/>
  <c r="I7686" i="38"/>
  <c r="H7686" i="38"/>
  <c r="G7686" i="38"/>
  <c r="F7686" i="38"/>
  <c r="E7686" i="38"/>
  <c r="D7686" i="38"/>
  <c r="C7686" i="38"/>
  <c r="J7685" i="38"/>
  <c r="I7685" i="38"/>
  <c r="H7685" i="38"/>
  <c r="G7685" i="38"/>
  <c r="F7685" i="38"/>
  <c r="E7685" i="38"/>
  <c r="D7685" i="38"/>
  <c r="C7685" i="38"/>
  <c r="J7684" i="38"/>
  <c r="I7684" i="38"/>
  <c r="H7684" i="38"/>
  <c r="G7684" i="38"/>
  <c r="F7684" i="38"/>
  <c r="E7684" i="38"/>
  <c r="D7684" i="38"/>
  <c r="C7684" i="38"/>
  <c r="J7683" i="38"/>
  <c r="I7683" i="38"/>
  <c r="H7683" i="38"/>
  <c r="G7683" i="38"/>
  <c r="E7683" i="38"/>
  <c r="D7683" i="38"/>
  <c r="C7683" i="38"/>
  <c r="J7682" i="38"/>
  <c r="I7682" i="38"/>
  <c r="H7682" i="38"/>
  <c r="G7682" i="38"/>
  <c r="F7682" i="38"/>
  <c r="E7682" i="38"/>
  <c r="C7682" i="38"/>
  <c r="H7681" i="38"/>
  <c r="G7681" i="38"/>
  <c r="E7681" i="38"/>
  <c r="C7681" i="38"/>
  <c r="H7680" i="38"/>
  <c r="G7680" i="38"/>
  <c r="E7680" i="38"/>
  <c r="D7680" i="38"/>
  <c r="C7680" i="38"/>
  <c r="H7679" i="38"/>
  <c r="G7679" i="38"/>
  <c r="E7679" i="38"/>
  <c r="D7679" i="38"/>
  <c r="C7679" i="38"/>
  <c r="H7678" i="38"/>
  <c r="G7678" i="38"/>
  <c r="E7678" i="38"/>
  <c r="D7678" i="38"/>
  <c r="C7678" i="38"/>
  <c r="H7677" i="38"/>
  <c r="G7677" i="38"/>
  <c r="E7677" i="38"/>
  <c r="D7677" i="38"/>
  <c r="C7677" i="38"/>
  <c r="J7676" i="38"/>
  <c r="I7676" i="38"/>
  <c r="H7676" i="38"/>
  <c r="G7676" i="38"/>
  <c r="F7676" i="38"/>
  <c r="E7676" i="38"/>
  <c r="D7676" i="38"/>
  <c r="C7676" i="38"/>
  <c r="J7675" i="38"/>
  <c r="I7675" i="38"/>
  <c r="H7675" i="38"/>
  <c r="G7675" i="38"/>
  <c r="F7675" i="38"/>
  <c r="E7675" i="38"/>
  <c r="D7675" i="38"/>
  <c r="C7675" i="38"/>
  <c r="J7674" i="38"/>
  <c r="I7674" i="38"/>
  <c r="H7674" i="38"/>
  <c r="G7674" i="38"/>
  <c r="F7674" i="38"/>
  <c r="E7674" i="38"/>
  <c r="D7674" i="38"/>
  <c r="C7674" i="38"/>
  <c r="J7673" i="38"/>
  <c r="I7673" i="38"/>
  <c r="H7673" i="38"/>
  <c r="G7673" i="38"/>
  <c r="E7673" i="38"/>
  <c r="D7673" i="38"/>
  <c r="C7673" i="38"/>
  <c r="J7672" i="38"/>
  <c r="I7672" i="38"/>
  <c r="H7672" i="38"/>
  <c r="G7672" i="38"/>
  <c r="F7672" i="38"/>
  <c r="E7672" i="38"/>
  <c r="C7672" i="38"/>
  <c r="H7671" i="38"/>
  <c r="G7671" i="38"/>
  <c r="E7671" i="38"/>
  <c r="C7671" i="38"/>
  <c r="H7670" i="38"/>
  <c r="G7670" i="38"/>
  <c r="E7670" i="38"/>
  <c r="D7670" i="38"/>
  <c r="C7670" i="38"/>
  <c r="H7669" i="38"/>
  <c r="G7669" i="38"/>
  <c r="E7669" i="38"/>
  <c r="D7669" i="38"/>
  <c r="C7669" i="38"/>
  <c r="H7668" i="38"/>
  <c r="G7668" i="38"/>
  <c r="E7668" i="38"/>
  <c r="D7668" i="38"/>
  <c r="C7668" i="38"/>
  <c r="H7667" i="38"/>
  <c r="G7667" i="38"/>
  <c r="E7667" i="38"/>
  <c r="D7667" i="38"/>
  <c r="C7667" i="38"/>
  <c r="J7666" i="38"/>
  <c r="I7666" i="38"/>
  <c r="H7666" i="38"/>
  <c r="G7666" i="38"/>
  <c r="F7666" i="38"/>
  <c r="E7666" i="38"/>
  <c r="D7666" i="38"/>
  <c r="C7666" i="38"/>
  <c r="J7665" i="38"/>
  <c r="I7665" i="38"/>
  <c r="H7665" i="38"/>
  <c r="G7665" i="38"/>
  <c r="F7665" i="38"/>
  <c r="E7665" i="38"/>
  <c r="D7665" i="38"/>
  <c r="C7665" i="38"/>
  <c r="J7664" i="38"/>
  <c r="I7664" i="38"/>
  <c r="H7664" i="38"/>
  <c r="G7664" i="38"/>
  <c r="F7664" i="38"/>
  <c r="E7664" i="38"/>
  <c r="D7664" i="38"/>
  <c r="C7664" i="38"/>
  <c r="J7663" i="38"/>
  <c r="I7663" i="38"/>
  <c r="H7663" i="38"/>
  <c r="G7663" i="38"/>
  <c r="E7663" i="38"/>
  <c r="D7663" i="38"/>
  <c r="C7663" i="38"/>
  <c r="J7662" i="38"/>
  <c r="I7662" i="38"/>
  <c r="H7662" i="38"/>
  <c r="G7662" i="38"/>
  <c r="F7662" i="38"/>
  <c r="E7662" i="38"/>
  <c r="C7662" i="38"/>
  <c r="H7661" i="38"/>
  <c r="G7661" i="38"/>
  <c r="E7661" i="38"/>
  <c r="C7661" i="38"/>
  <c r="H7660" i="38"/>
  <c r="G7660" i="38"/>
  <c r="E7660" i="38"/>
  <c r="D7660" i="38"/>
  <c r="C7660" i="38"/>
  <c r="H7659" i="38"/>
  <c r="G7659" i="38"/>
  <c r="E7659" i="38"/>
  <c r="D7659" i="38"/>
  <c r="C7659" i="38"/>
  <c r="H7658" i="38"/>
  <c r="G7658" i="38"/>
  <c r="E7658" i="38"/>
  <c r="D7658" i="38"/>
  <c r="C7658" i="38"/>
  <c r="H7657" i="38"/>
  <c r="G7657" i="38"/>
  <c r="E7657" i="38"/>
  <c r="D7657" i="38"/>
  <c r="C7657" i="38"/>
  <c r="J7656" i="38"/>
  <c r="I7656" i="38"/>
  <c r="H7656" i="38"/>
  <c r="G7656" i="38"/>
  <c r="F7656" i="38"/>
  <c r="E7656" i="38"/>
  <c r="D7656" i="38"/>
  <c r="C7656" i="38"/>
  <c r="J7655" i="38"/>
  <c r="I7655" i="38"/>
  <c r="H7655" i="38"/>
  <c r="G7655" i="38"/>
  <c r="F7655" i="38"/>
  <c r="E7655" i="38"/>
  <c r="D7655" i="38"/>
  <c r="C7655" i="38"/>
  <c r="J7654" i="38"/>
  <c r="I7654" i="38"/>
  <c r="H7654" i="38"/>
  <c r="G7654" i="38"/>
  <c r="F7654" i="38"/>
  <c r="E7654" i="38"/>
  <c r="D7654" i="38"/>
  <c r="C7654" i="38"/>
  <c r="J7653" i="38"/>
  <c r="I7653" i="38"/>
  <c r="H7653" i="38"/>
  <c r="G7653" i="38"/>
  <c r="E7653" i="38"/>
  <c r="D7653" i="38"/>
  <c r="C7653" i="38"/>
  <c r="J7652" i="38"/>
  <c r="I7652" i="38"/>
  <c r="H7652" i="38"/>
  <c r="G7652" i="38"/>
  <c r="F7652" i="38"/>
  <c r="E7652" i="38"/>
  <c r="C7652" i="38"/>
  <c r="H7651" i="38"/>
  <c r="G7651" i="38"/>
  <c r="E7651" i="38"/>
  <c r="C7651" i="38"/>
  <c r="H7650" i="38"/>
  <c r="G7650" i="38"/>
  <c r="E7650" i="38"/>
  <c r="D7650" i="38"/>
  <c r="C7650" i="38"/>
  <c r="H7649" i="38"/>
  <c r="G7649" i="38"/>
  <c r="E7649" i="38"/>
  <c r="D7649" i="38"/>
  <c r="C7649" i="38"/>
  <c r="H7648" i="38"/>
  <c r="G7648" i="38"/>
  <c r="E7648" i="38"/>
  <c r="D7648" i="38"/>
  <c r="C7648" i="38"/>
  <c r="H7647" i="38"/>
  <c r="G7647" i="38"/>
  <c r="E7647" i="38"/>
  <c r="D7647" i="38"/>
  <c r="C7647" i="38"/>
  <c r="J7646" i="38"/>
  <c r="I7646" i="38"/>
  <c r="H7646" i="38"/>
  <c r="G7646" i="38"/>
  <c r="F7646" i="38"/>
  <c r="E7646" i="38"/>
  <c r="D7646" i="38"/>
  <c r="C7646" i="38"/>
  <c r="J7645" i="38"/>
  <c r="I7645" i="38"/>
  <c r="H7645" i="38"/>
  <c r="G7645" i="38"/>
  <c r="F7645" i="38"/>
  <c r="E7645" i="38"/>
  <c r="D7645" i="38"/>
  <c r="C7645" i="38"/>
  <c r="J7644" i="38"/>
  <c r="I7644" i="38"/>
  <c r="H7644" i="38"/>
  <c r="G7644" i="38"/>
  <c r="F7644" i="38"/>
  <c r="E7644" i="38"/>
  <c r="D7644" i="38"/>
  <c r="C7644" i="38"/>
  <c r="J7643" i="38"/>
  <c r="I7643" i="38"/>
  <c r="H7643" i="38"/>
  <c r="G7643" i="38"/>
  <c r="E7643" i="38"/>
  <c r="D7643" i="38"/>
  <c r="C7643" i="38"/>
  <c r="J7642" i="38"/>
  <c r="I7642" i="38"/>
  <c r="H7642" i="38"/>
  <c r="G7642" i="38"/>
  <c r="F7642" i="38"/>
  <c r="E7642" i="38"/>
  <c r="C7642" i="38"/>
  <c r="H7641" i="38"/>
  <c r="G7641" i="38"/>
  <c r="E7641" i="38"/>
  <c r="C7641" i="38"/>
  <c r="H7640" i="38"/>
  <c r="G7640" i="38"/>
  <c r="E7640" i="38"/>
  <c r="D7640" i="38"/>
  <c r="C7640" i="38"/>
  <c r="H7639" i="38"/>
  <c r="G7639" i="38"/>
  <c r="E7639" i="38"/>
  <c r="D7639" i="38"/>
  <c r="C7639" i="38"/>
  <c r="H7638" i="38"/>
  <c r="G7638" i="38"/>
  <c r="E7638" i="38"/>
  <c r="D7638" i="38"/>
  <c r="C7638" i="38"/>
  <c r="H7637" i="38"/>
  <c r="G7637" i="38"/>
  <c r="E7637" i="38"/>
  <c r="D7637" i="38"/>
  <c r="C7637" i="38"/>
  <c r="J7636" i="38"/>
  <c r="I7636" i="38"/>
  <c r="H7636" i="38"/>
  <c r="G7636" i="38"/>
  <c r="F7636" i="38"/>
  <c r="E7636" i="38"/>
  <c r="D7636" i="38"/>
  <c r="C7636" i="38"/>
  <c r="J7635" i="38"/>
  <c r="I7635" i="38"/>
  <c r="H7635" i="38"/>
  <c r="G7635" i="38"/>
  <c r="F7635" i="38"/>
  <c r="E7635" i="38"/>
  <c r="D7635" i="38"/>
  <c r="C7635" i="38"/>
  <c r="J7634" i="38"/>
  <c r="I7634" i="38"/>
  <c r="H7634" i="38"/>
  <c r="G7634" i="38"/>
  <c r="F7634" i="38"/>
  <c r="E7634" i="38"/>
  <c r="D7634" i="38"/>
  <c r="C7634" i="38"/>
  <c r="J7633" i="38"/>
  <c r="I7633" i="38"/>
  <c r="H7633" i="38"/>
  <c r="G7633" i="38"/>
  <c r="E7633" i="38"/>
  <c r="D7633" i="38"/>
  <c r="C7633" i="38"/>
  <c r="J7632" i="38"/>
  <c r="I7632" i="38"/>
  <c r="H7632" i="38"/>
  <c r="G7632" i="38"/>
  <c r="F7632" i="38"/>
  <c r="E7632" i="38"/>
  <c r="C7632" i="38"/>
  <c r="H7631" i="38"/>
  <c r="G7631" i="38"/>
  <c r="E7631" i="38"/>
  <c r="C7631" i="38"/>
  <c r="H7630" i="38"/>
  <c r="G7630" i="38"/>
  <c r="E7630" i="38"/>
  <c r="D7630" i="38"/>
  <c r="C7630" i="38"/>
  <c r="H7629" i="38"/>
  <c r="G7629" i="38"/>
  <c r="E7629" i="38"/>
  <c r="D7629" i="38"/>
  <c r="C7629" i="38"/>
  <c r="H7628" i="38"/>
  <c r="G7628" i="38"/>
  <c r="E7628" i="38"/>
  <c r="D7628" i="38"/>
  <c r="C7628" i="38"/>
  <c r="H7627" i="38"/>
  <c r="G7627" i="38"/>
  <c r="E7627" i="38"/>
  <c r="D7627" i="38"/>
  <c r="C7627" i="38"/>
  <c r="J7626" i="38"/>
  <c r="I7626" i="38"/>
  <c r="H7626" i="38"/>
  <c r="G7626" i="38"/>
  <c r="F7626" i="38"/>
  <c r="E7626" i="38"/>
  <c r="D7626" i="38"/>
  <c r="C7626" i="38"/>
  <c r="J7625" i="38"/>
  <c r="I7625" i="38"/>
  <c r="H7625" i="38"/>
  <c r="G7625" i="38"/>
  <c r="F7625" i="38"/>
  <c r="E7625" i="38"/>
  <c r="D7625" i="38"/>
  <c r="C7625" i="38"/>
  <c r="J7624" i="38"/>
  <c r="I7624" i="38"/>
  <c r="H7624" i="38"/>
  <c r="G7624" i="38"/>
  <c r="F7624" i="38"/>
  <c r="E7624" i="38"/>
  <c r="D7624" i="38"/>
  <c r="C7624" i="38"/>
  <c r="J7623" i="38"/>
  <c r="I7623" i="38"/>
  <c r="H7623" i="38"/>
  <c r="G7623" i="38"/>
  <c r="E7623" i="38"/>
  <c r="D7623" i="38"/>
  <c r="C7623" i="38"/>
  <c r="J7622" i="38"/>
  <c r="I7622" i="38"/>
  <c r="H7622" i="38"/>
  <c r="G7622" i="38"/>
  <c r="F7622" i="38"/>
  <c r="E7622" i="38"/>
  <c r="C7622" i="38"/>
  <c r="H7621" i="38"/>
  <c r="G7621" i="38"/>
  <c r="E7621" i="38"/>
  <c r="C7621" i="38"/>
  <c r="H7620" i="38"/>
  <c r="G7620" i="38"/>
  <c r="E7620" i="38"/>
  <c r="D7620" i="38"/>
  <c r="C7620" i="38"/>
  <c r="H7619" i="38"/>
  <c r="G7619" i="38"/>
  <c r="E7619" i="38"/>
  <c r="D7619" i="38"/>
  <c r="C7619" i="38"/>
  <c r="H7618" i="38"/>
  <c r="G7618" i="38"/>
  <c r="E7618" i="38"/>
  <c r="D7618" i="38"/>
  <c r="C7618" i="38"/>
  <c r="H7617" i="38"/>
  <c r="G7617" i="38"/>
  <c r="E7617" i="38"/>
  <c r="D7617" i="38"/>
  <c r="C7617" i="38"/>
  <c r="J7616" i="38"/>
  <c r="I7616" i="38"/>
  <c r="H7616" i="38"/>
  <c r="G7616" i="38"/>
  <c r="F7616" i="38"/>
  <c r="E7616" i="38"/>
  <c r="D7616" i="38"/>
  <c r="C7616" i="38"/>
  <c r="J7615" i="38"/>
  <c r="I7615" i="38"/>
  <c r="H7615" i="38"/>
  <c r="G7615" i="38"/>
  <c r="F7615" i="38"/>
  <c r="E7615" i="38"/>
  <c r="D7615" i="38"/>
  <c r="C7615" i="38"/>
  <c r="J7614" i="38"/>
  <c r="I7614" i="38"/>
  <c r="H7614" i="38"/>
  <c r="G7614" i="38"/>
  <c r="F7614" i="38"/>
  <c r="E7614" i="38"/>
  <c r="D7614" i="38"/>
  <c r="C7614" i="38"/>
  <c r="J7613" i="38"/>
  <c r="I7613" i="38"/>
  <c r="H7613" i="38"/>
  <c r="G7613" i="38"/>
  <c r="E7613" i="38"/>
  <c r="D7613" i="38"/>
  <c r="C7613" i="38"/>
  <c r="J7612" i="38"/>
  <c r="I7612" i="38"/>
  <c r="H7612" i="38"/>
  <c r="G7612" i="38"/>
  <c r="F7612" i="38"/>
  <c r="E7612" i="38"/>
  <c r="C7612" i="38"/>
  <c r="H7611" i="38"/>
  <c r="G7611" i="38"/>
  <c r="E7611" i="38"/>
  <c r="C7611" i="38"/>
  <c r="H7610" i="38"/>
  <c r="G7610" i="38"/>
  <c r="E7610" i="38"/>
  <c r="D7610" i="38"/>
  <c r="C7610" i="38"/>
  <c r="H7609" i="38"/>
  <c r="G7609" i="38"/>
  <c r="E7609" i="38"/>
  <c r="D7609" i="38"/>
  <c r="C7609" i="38"/>
  <c r="H7608" i="38"/>
  <c r="G7608" i="38"/>
  <c r="E7608" i="38"/>
  <c r="D7608" i="38"/>
  <c r="C7608" i="38"/>
  <c r="H7607" i="38"/>
  <c r="G7607" i="38"/>
  <c r="E7607" i="38"/>
  <c r="D7607" i="38"/>
  <c r="C7607" i="38"/>
  <c r="J7606" i="38"/>
  <c r="I7606" i="38"/>
  <c r="H7606" i="38"/>
  <c r="G7606" i="38"/>
  <c r="F7606" i="38"/>
  <c r="E7606" i="38"/>
  <c r="D7606" i="38"/>
  <c r="C7606" i="38"/>
  <c r="J7605" i="38"/>
  <c r="I7605" i="38"/>
  <c r="H7605" i="38"/>
  <c r="G7605" i="38"/>
  <c r="F7605" i="38"/>
  <c r="E7605" i="38"/>
  <c r="D7605" i="38"/>
  <c r="C7605" i="38"/>
  <c r="J7604" i="38"/>
  <c r="I7604" i="38"/>
  <c r="H7604" i="38"/>
  <c r="G7604" i="38"/>
  <c r="F7604" i="38"/>
  <c r="E7604" i="38"/>
  <c r="D7604" i="38"/>
  <c r="C7604" i="38"/>
  <c r="J7603" i="38"/>
  <c r="I7603" i="38"/>
  <c r="H7603" i="38"/>
  <c r="G7603" i="38"/>
  <c r="E7603" i="38"/>
  <c r="D7603" i="38"/>
  <c r="C7603" i="38"/>
  <c r="J7602" i="38"/>
  <c r="I7602" i="38"/>
  <c r="H7602" i="38"/>
  <c r="G7602" i="38"/>
  <c r="F7602" i="38"/>
  <c r="E7602" i="38"/>
  <c r="C7602" i="38"/>
  <c r="H7601" i="38"/>
  <c r="G7601" i="38"/>
  <c r="E7601" i="38"/>
  <c r="C7601" i="38"/>
  <c r="H7600" i="38"/>
  <c r="G7600" i="38"/>
  <c r="E7600" i="38"/>
  <c r="D7600" i="38"/>
  <c r="C7600" i="38"/>
  <c r="H7599" i="38"/>
  <c r="G7599" i="38"/>
  <c r="E7599" i="38"/>
  <c r="D7599" i="38"/>
  <c r="C7599" i="38"/>
  <c r="H7598" i="38"/>
  <c r="G7598" i="38"/>
  <c r="E7598" i="38"/>
  <c r="D7598" i="38"/>
  <c r="C7598" i="38"/>
  <c r="H7597" i="38"/>
  <c r="G7597" i="38"/>
  <c r="E7597" i="38"/>
  <c r="D7597" i="38"/>
  <c r="C7597" i="38"/>
  <c r="J7596" i="38"/>
  <c r="I7596" i="38"/>
  <c r="H7596" i="38"/>
  <c r="G7596" i="38"/>
  <c r="F7596" i="38"/>
  <c r="E7596" i="38"/>
  <c r="D7596" i="38"/>
  <c r="C7596" i="38"/>
  <c r="J7595" i="38"/>
  <c r="I7595" i="38"/>
  <c r="H7595" i="38"/>
  <c r="G7595" i="38"/>
  <c r="F7595" i="38"/>
  <c r="E7595" i="38"/>
  <c r="D7595" i="38"/>
  <c r="C7595" i="38"/>
  <c r="J7594" i="38"/>
  <c r="I7594" i="38"/>
  <c r="H7594" i="38"/>
  <c r="G7594" i="38"/>
  <c r="F7594" i="38"/>
  <c r="E7594" i="38"/>
  <c r="D7594" i="38"/>
  <c r="C7594" i="38"/>
  <c r="J7593" i="38"/>
  <c r="I7593" i="38"/>
  <c r="H7593" i="38"/>
  <c r="G7593" i="38"/>
  <c r="E7593" i="38"/>
  <c r="D7593" i="38"/>
  <c r="C7593" i="38"/>
  <c r="J7592" i="38"/>
  <c r="I7592" i="38"/>
  <c r="H7592" i="38"/>
  <c r="G7592" i="38"/>
  <c r="F7592" i="38"/>
  <c r="E7592" i="38"/>
  <c r="C7592" i="38"/>
  <c r="H7591" i="38"/>
  <c r="G7591" i="38"/>
  <c r="E7591" i="38"/>
  <c r="C7591" i="38"/>
  <c r="H7590" i="38"/>
  <c r="G7590" i="38"/>
  <c r="E7590" i="38"/>
  <c r="D7590" i="38"/>
  <c r="C7590" i="38"/>
  <c r="H7589" i="38"/>
  <c r="G7589" i="38"/>
  <c r="E7589" i="38"/>
  <c r="D7589" i="38"/>
  <c r="C7589" i="38"/>
  <c r="H7588" i="38"/>
  <c r="G7588" i="38"/>
  <c r="E7588" i="38"/>
  <c r="D7588" i="38"/>
  <c r="C7588" i="38"/>
  <c r="H7587" i="38"/>
  <c r="G7587" i="38"/>
  <c r="E7587" i="38"/>
  <c r="D7587" i="38"/>
  <c r="C7587" i="38"/>
  <c r="J7586" i="38"/>
  <c r="I7586" i="38"/>
  <c r="H7586" i="38"/>
  <c r="G7586" i="38"/>
  <c r="F7586" i="38"/>
  <c r="E7586" i="38"/>
  <c r="D7586" i="38"/>
  <c r="C7586" i="38"/>
  <c r="J7585" i="38"/>
  <c r="I7585" i="38"/>
  <c r="H7585" i="38"/>
  <c r="G7585" i="38"/>
  <c r="F7585" i="38"/>
  <c r="E7585" i="38"/>
  <c r="D7585" i="38"/>
  <c r="C7585" i="38"/>
  <c r="J7584" i="38"/>
  <c r="I7584" i="38"/>
  <c r="H7584" i="38"/>
  <c r="G7584" i="38"/>
  <c r="F7584" i="38"/>
  <c r="E7584" i="38"/>
  <c r="D7584" i="38"/>
  <c r="C7584" i="38"/>
  <c r="J7583" i="38"/>
  <c r="I7583" i="38"/>
  <c r="H7583" i="38"/>
  <c r="G7583" i="38"/>
  <c r="E7583" i="38"/>
  <c r="D7583" i="38"/>
  <c r="C7583" i="38"/>
  <c r="J7582" i="38"/>
  <c r="I7582" i="38"/>
  <c r="H7582" i="38"/>
  <c r="G7582" i="38"/>
  <c r="F7582" i="38"/>
  <c r="E7582" i="38"/>
  <c r="C7582" i="38"/>
  <c r="H7581" i="38"/>
  <c r="G7581" i="38"/>
  <c r="E7581" i="38"/>
  <c r="C7581" i="38"/>
  <c r="H7580" i="38"/>
  <c r="G7580" i="38"/>
  <c r="E7580" i="38"/>
  <c r="D7580" i="38"/>
  <c r="C7580" i="38"/>
  <c r="H7579" i="38"/>
  <c r="G7579" i="38"/>
  <c r="E7579" i="38"/>
  <c r="D7579" i="38"/>
  <c r="C7579" i="38"/>
  <c r="H7578" i="38"/>
  <c r="G7578" i="38"/>
  <c r="E7578" i="38"/>
  <c r="D7578" i="38"/>
  <c r="C7578" i="38"/>
  <c r="H7577" i="38"/>
  <c r="G7577" i="38"/>
  <c r="E7577" i="38"/>
  <c r="D7577" i="38"/>
  <c r="C7577" i="38"/>
  <c r="J7576" i="38"/>
  <c r="I7576" i="38"/>
  <c r="H7576" i="38"/>
  <c r="G7576" i="38"/>
  <c r="F7576" i="38"/>
  <c r="E7576" i="38"/>
  <c r="D7576" i="38"/>
  <c r="C7576" i="38"/>
  <c r="J7575" i="38"/>
  <c r="I7575" i="38"/>
  <c r="H7575" i="38"/>
  <c r="G7575" i="38"/>
  <c r="F7575" i="38"/>
  <c r="E7575" i="38"/>
  <c r="D7575" i="38"/>
  <c r="C7575" i="38"/>
  <c r="J7574" i="38"/>
  <c r="I7574" i="38"/>
  <c r="H7574" i="38"/>
  <c r="G7574" i="38"/>
  <c r="F7574" i="38"/>
  <c r="E7574" i="38"/>
  <c r="D7574" i="38"/>
  <c r="C7574" i="38"/>
  <c r="J7573" i="38"/>
  <c r="I7573" i="38"/>
  <c r="H7573" i="38"/>
  <c r="G7573" i="38"/>
  <c r="E7573" i="38"/>
  <c r="D7573" i="38"/>
  <c r="C7573" i="38"/>
  <c r="J7572" i="38"/>
  <c r="I7572" i="38"/>
  <c r="H7572" i="38"/>
  <c r="G7572" i="38"/>
  <c r="F7572" i="38"/>
  <c r="E7572" i="38"/>
  <c r="C7572" i="38"/>
  <c r="H7571" i="38"/>
  <c r="G7571" i="38"/>
  <c r="E7571" i="38"/>
  <c r="C7571" i="38"/>
  <c r="H7570" i="38"/>
  <c r="G7570" i="38"/>
  <c r="E7570" i="38"/>
  <c r="D7570" i="38"/>
  <c r="C7570" i="38"/>
  <c r="H7569" i="38"/>
  <c r="G7569" i="38"/>
  <c r="E7569" i="38"/>
  <c r="D7569" i="38"/>
  <c r="C7569" i="38"/>
  <c r="H7568" i="38"/>
  <c r="G7568" i="38"/>
  <c r="E7568" i="38"/>
  <c r="D7568" i="38"/>
  <c r="C7568" i="38"/>
  <c r="H7567" i="38"/>
  <c r="G7567" i="38"/>
  <c r="E7567" i="38"/>
  <c r="D7567" i="38"/>
  <c r="C7567" i="38"/>
  <c r="J7566" i="38"/>
  <c r="I7566" i="38"/>
  <c r="H7566" i="38"/>
  <c r="G7566" i="38"/>
  <c r="F7566" i="38"/>
  <c r="E7566" i="38"/>
  <c r="D7566" i="38"/>
  <c r="C7566" i="38"/>
  <c r="J7565" i="38"/>
  <c r="I7565" i="38"/>
  <c r="H7565" i="38"/>
  <c r="G7565" i="38"/>
  <c r="F7565" i="38"/>
  <c r="E7565" i="38"/>
  <c r="D7565" i="38"/>
  <c r="C7565" i="38"/>
  <c r="J7564" i="38"/>
  <c r="I7564" i="38"/>
  <c r="H7564" i="38"/>
  <c r="G7564" i="38"/>
  <c r="F7564" i="38"/>
  <c r="E7564" i="38"/>
  <c r="D7564" i="38"/>
  <c r="C7564" i="38"/>
  <c r="J7563" i="38"/>
  <c r="I7563" i="38"/>
  <c r="H7563" i="38"/>
  <c r="G7563" i="38"/>
  <c r="E7563" i="38"/>
  <c r="D7563" i="38"/>
  <c r="C7563" i="38"/>
  <c r="J7562" i="38"/>
  <c r="I7562" i="38"/>
  <c r="H7562" i="38"/>
  <c r="G7562" i="38"/>
  <c r="F7562" i="38"/>
  <c r="E7562" i="38"/>
  <c r="C7562" i="38"/>
  <c r="H7561" i="38"/>
  <c r="G7561" i="38"/>
  <c r="E7561" i="38"/>
  <c r="C7561" i="38"/>
  <c r="H7560" i="38"/>
  <c r="G7560" i="38"/>
  <c r="E7560" i="38"/>
  <c r="D7560" i="38"/>
  <c r="C7560" i="38"/>
  <c r="H7559" i="38"/>
  <c r="G7559" i="38"/>
  <c r="E7559" i="38"/>
  <c r="D7559" i="38"/>
  <c r="C7559" i="38"/>
  <c r="H7558" i="38"/>
  <c r="G7558" i="38"/>
  <c r="E7558" i="38"/>
  <c r="D7558" i="38"/>
  <c r="C7558" i="38"/>
  <c r="H7557" i="38"/>
  <c r="G7557" i="38"/>
  <c r="E7557" i="38"/>
  <c r="D7557" i="38"/>
  <c r="C7557" i="38"/>
  <c r="J7556" i="38"/>
  <c r="I7556" i="38"/>
  <c r="H7556" i="38"/>
  <c r="G7556" i="38"/>
  <c r="F7556" i="38"/>
  <c r="E7556" i="38"/>
  <c r="D7556" i="38"/>
  <c r="C7556" i="38"/>
  <c r="J7555" i="38"/>
  <c r="I7555" i="38"/>
  <c r="H7555" i="38"/>
  <c r="G7555" i="38"/>
  <c r="F7555" i="38"/>
  <c r="E7555" i="38"/>
  <c r="D7555" i="38"/>
  <c r="C7555" i="38"/>
  <c r="J7554" i="38"/>
  <c r="I7554" i="38"/>
  <c r="H7554" i="38"/>
  <c r="G7554" i="38"/>
  <c r="F7554" i="38"/>
  <c r="E7554" i="38"/>
  <c r="D7554" i="38"/>
  <c r="C7554" i="38"/>
  <c r="J7553" i="38"/>
  <c r="I7553" i="38"/>
  <c r="H7553" i="38"/>
  <c r="G7553" i="38"/>
  <c r="E7553" i="38"/>
  <c r="D7553" i="38"/>
  <c r="C7553" i="38"/>
  <c r="J7552" i="38"/>
  <c r="I7552" i="38"/>
  <c r="H7552" i="38"/>
  <c r="G7552" i="38"/>
  <c r="F7552" i="38"/>
  <c r="E7552" i="38"/>
  <c r="C7552" i="38"/>
  <c r="H7551" i="38"/>
  <c r="G7551" i="38"/>
  <c r="E7551" i="38"/>
  <c r="C7551" i="38"/>
  <c r="J7550" i="38"/>
  <c r="I7550" i="38"/>
  <c r="H7550" i="38"/>
  <c r="G7550" i="38"/>
  <c r="F7550" i="38"/>
  <c r="E7550" i="38"/>
  <c r="D7550" i="38"/>
  <c r="C7550" i="38"/>
  <c r="J7549" i="38"/>
  <c r="I7549" i="38"/>
  <c r="H7549" i="38"/>
  <c r="G7549" i="38"/>
  <c r="F7549" i="38"/>
  <c r="E7549" i="38"/>
  <c r="D7549" i="38"/>
  <c r="C7549" i="38"/>
  <c r="J7548" i="38"/>
  <c r="I7548" i="38"/>
  <c r="H7548" i="38"/>
  <c r="G7548" i="38"/>
  <c r="F7548" i="38"/>
  <c r="E7548" i="38"/>
  <c r="D7548" i="38"/>
  <c r="C7548" i="38"/>
  <c r="J7547" i="38"/>
  <c r="I7547" i="38"/>
  <c r="H7547" i="38"/>
  <c r="G7547" i="38"/>
  <c r="F7547" i="38"/>
  <c r="E7547" i="38"/>
  <c r="D7547" i="38"/>
  <c r="C7547" i="38"/>
  <c r="J7546" i="38"/>
  <c r="I7546" i="38"/>
  <c r="H7546" i="38"/>
  <c r="G7546" i="38"/>
  <c r="F7546" i="38"/>
  <c r="E7546" i="38"/>
  <c r="D7546" i="38"/>
  <c r="C7546" i="38"/>
  <c r="J7545" i="38"/>
  <c r="I7545" i="38"/>
  <c r="H7545" i="38"/>
  <c r="G7545" i="38"/>
  <c r="F7545" i="38"/>
  <c r="E7545" i="38"/>
  <c r="D7545" i="38"/>
  <c r="C7545" i="38"/>
  <c r="J7544" i="38"/>
  <c r="I7544" i="38"/>
  <c r="H7544" i="38"/>
  <c r="G7544" i="38"/>
  <c r="F7544" i="38"/>
  <c r="E7544" i="38"/>
  <c r="D7544" i="38"/>
  <c r="C7544" i="38"/>
  <c r="J7543" i="38"/>
  <c r="I7543" i="38"/>
  <c r="H7543" i="38"/>
  <c r="G7543" i="38"/>
  <c r="F7543" i="38"/>
  <c r="E7543" i="38"/>
  <c r="D7543" i="38"/>
  <c r="C7543" i="38"/>
  <c r="J7542" i="38"/>
  <c r="I7542" i="38"/>
  <c r="H7542" i="38"/>
  <c r="G7542" i="38"/>
  <c r="F7542" i="38"/>
  <c r="E7542" i="38"/>
  <c r="D7542" i="38"/>
  <c r="C7542" i="38"/>
  <c r="J7541" i="38"/>
  <c r="I7541" i="38"/>
  <c r="H7541" i="38"/>
  <c r="G7541" i="38"/>
  <c r="F7541" i="38"/>
  <c r="E7541" i="38"/>
  <c r="D7541" i="38"/>
  <c r="C7541" i="38"/>
  <c r="J7540" i="38"/>
  <c r="I7540" i="38"/>
  <c r="H7540" i="38"/>
  <c r="G7540" i="38"/>
  <c r="F7540" i="38"/>
  <c r="E7540" i="38"/>
  <c r="D7540" i="38"/>
  <c r="C7540" i="38"/>
  <c r="J7539" i="38"/>
  <c r="I7539" i="38"/>
  <c r="H7539" i="38"/>
  <c r="G7539" i="38"/>
  <c r="F7539" i="38"/>
  <c r="E7539" i="38"/>
  <c r="D7539" i="38"/>
  <c r="C7539" i="38"/>
  <c r="J7538" i="38"/>
  <c r="I7538" i="38"/>
  <c r="H7538" i="38"/>
  <c r="G7538" i="38"/>
  <c r="F7538" i="38"/>
  <c r="E7538" i="38"/>
  <c r="D7538" i="38"/>
  <c r="C7538" i="38"/>
  <c r="J7537" i="38"/>
  <c r="I7537" i="38"/>
  <c r="H7537" i="38"/>
  <c r="G7537" i="38"/>
  <c r="F7537" i="38"/>
  <c r="E7537" i="38"/>
  <c r="D7537" i="38"/>
  <c r="C7537" i="38"/>
  <c r="J7536" i="38"/>
  <c r="I7536" i="38"/>
  <c r="H7536" i="38"/>
  <c r="G7536" i="38"/>
  <c r="F7536" i="38"/>
  <c r="E7536" i="38"/>
  <c r="D7536" i="38"/>
  <c r="C7536" i="38"/>
  <c r="J7535" i="38"/>
  <c r="I7535" i="38"/>
  <c r="H7535" i="38"/>
  <c r="G7535" i="38"/>
  <c r="F7535" i="38"/>
  <c r="E7535" i="38"/>
  <c r="D7535" i="38"/>
  <c r="C7535" i="38"/>
  <c r="J7534" i="38"/>
  <c r="I7534" i="38"/>
  <c r="H7534" i="38"/>
  <c r="G7534" i="38"/>
  <c r="F7534" i="38"/>
  <c r="E7534" i="38"/>
  <c r="D7534" i="38"/>
  <c r="C7534" i="38"/>
  <c r="J7533" i="38"/>
  <c r="I7533" i="38"/>
  <c r="H7533" i="38"/>
  <c r="G7533" i="38"/>
  <c r="E7533" i="38"/>
  <c r="D7533" i="38"/>
  <c r="C7533" i="38"/>
  <c r="J7532" i="38"/>
  <c r="I7532" i="38"/>
  <c r="H7532" i="38"/>
  <c r="G7532" i="38"/>
  <c r="F7532" i="38"/>
  <c r="E7532" i="38"/>
  <c r="C7532" i="38"/>
  <c r="H7531" i="38"/>
  <c r="G7531" i="38"/>
  <c r="E7531" i="38"/>
  <c r="C7531" i="38"/>
  <c r="H7530" i="38"/>
  <c r="G7530" i="38"/>
  <c r="E7530" i="38"/>
  <c r="D7530" i="38"/>
  <c r="C7530" i="38"/>
  <c r="H7529" i="38"/>
  <c r="G7529" i="38"/>
  <c r="E7529" i="38"/>
  <c r="D7529" i="38"/>
  <c r="C7529" i="38"/>
  <c r="H7528" i="38"/>
  <c r="G7528" i="38"/>
  <c r="E7528" i="38"/>
  <c r="D7528" i="38"/>
  <c r="C7528" i="38"/>
  <c r="H7527" i="38"/>
  <c r="G7527" i="38"/>
  <c r="E7527" i="38"/>
  <c r="D7527" i="38"/>
  <c r="C7527" i="38"/>
  <c r="J7526" i="38"/>
  <c r="I7526" i="38"/>
  <c r="H7526" i="38"/>
  <c r="G7526" i="38"/>
  <c r="F7526" i="38"/>
  <c r="E7526" i="38"/>
  <c r="D7526" i="38"/>
  <c r="C7526" i="38"/>
  <c r="J7525" i="38"/>
  <c r="I7525" i="38"/>
  <c r="H7525" i="38"/>
  <c r="G7525" i="38"/>
  <c r="F7525" i="38"/>
  <c r="E7525" i="38"/>
  <c r="D7525" i="38"/>
  <c r="C7525" i="38"/>
  <c r="J7524" i="38"/>
  <c r="I7524" i="38"/>
  <c r="H7524" i="38"/>
  <c r="G7524" i="38"/>
  <c r="F7524" i="38"/>
  <c r="E7524" i="38"/>
  <c r="D7524" i="38"/>
  <c r="C7524" i="38"/>
  <c r="J7523" i="38"/>
  <c r="I7523" i="38"/>
  <c r="H7523" i="38"/>
  <c r="G7523" i="38"/>
  <c r="E7523" i="38"/>
  <c r="D7523" i="38"/>
  <c r="C7523" i="38"/>
  <c r="J7522" i="38"/>
  <c r="I7522" i="38"/>
  <c r="H7522" i="38"/>
  <c r="G7522" i="38"/>
  <c r="F7522" i="38"/>
  <c r="E7522" i="38"/>
  <c r="C7522" i="38"/>
  <c r="H7521" i="38"/>
  <c r="G7521" i="38"/>
  <c r="E7521" i="38"/>
  <c r="C7521" i="38"/>
  <c r="H7520" i="38"/>
  <c r="G7520" i="38"/>
  <c r="E7520" i="38"/>
  <c r="D7520" i="38"/>
  <c r="C7520" i="38"/>
  <c r="H7519" i="38"/>
  <c r="G7519" i="38"/>
  <c r="E7519" i="38"/>
  <c r="D7519" i="38"/>
  <c r="C7519" i="38"/>
  <c r="H7518" i="38"/>
  <c r="G7518" i="38"/>
  <c r="E7518" i="38"/>
  <c r="D7518" i="38"/>
  <c r="C7518" i="38"/>
  <c r="H7517" i="38"/>
  <c r="G7517" i="38"/>
  <c r="E7517" i="38"/>
  <c r="D7517" i="38"/>
  <c r="C7517" i="38"/>
  <c r="J7516" i="38"/>
  <c r="I7516" i="38"/>
  <c r="H7516" i="38"/>
  <c r="G7516" i="38"/>
  <c r="F7516" i="38"/>
  <c r="E7516" i="38"/>
  <c r="D7516" i="38"/>
  <c r="C7516" i="38"/>
  <c r="J7515" i="38"/>
  <c r="I7515" i="38"/>
  <c r="H7515" i="38"/>
  <c r="G7515" i="38"/>
  <c r="F7515" i="38"/>
  <c r="E7515" i="38"/>
  <c r="D7515" i="38"/>
  <c r="C7515" i="38"/>
  <c r="J7514" i="38"/>
  <c r="I7514" i="38"/>
  <c r="H7514" i="38"/>
  <c r="G7514" i="38"/>
  <c r="F7514" i="38"/>
  <c r="E7514" i="38"/>
  <c r="D7514" i="38"/>
  <c r="C7514" i="38"/>
  <c r="J7513" i="38"/>
  <c r="I7513" i="38"/>
  <c r="H7513" i="38"/>
  <c r="G7513" i="38"/>
  <c r="E7513" i="38"/>
  <c r="D7513" i="38"/>
  <c r="C7513" i="38"/>
  <c r="J7512" i="38"/>
  <c r="I7512" i="38"/>
  <c r="H7512" i="38"/>
  <c r="G7512" i="38"/>
  <c r="F7512" i="38"/>
  <c r="E7512" i="38"/>
  <c r="C7512" i="38"/>
  <c r="H7511" i="38"/>
  <c r="G7511" i="38"/>
  <c r="E7511" i="38"/>
  <c r="C7511" i="38"/>
  <c r="H7510" i="38"/>
  <c r="G7510" i="38"/>
  <c r="E7510" i="38"/>
  <c r="D7510" i="38"/>
  <c r="C7510" i="38"/>
  <c r="H7509" i="38"/>
  <c r="G7509" i="38"/>
  <c r="E7509" i="38"/>
  <c r="D7509" i="38"/>
  <c r="C7509" i="38"/>
  <c r="H7508" i="38"/>
  <c r="G7508" i="38"/>
  <c r="E7508" i="38"/>
  <c r="D7508" i="38"/>
  <c r="C7508" i="38"/>
  <c r="H7507" i="38"/>
  <c r="G7507" i="38"/>
  <c r="E7507" i="38"/>
  <c r="D7507" i="38"/>
  <c r="C7507" i="38"/>
  <c r="J7506" i="38"/>
  <c r="I7506" i="38"/>
  <c r="H7506" i="38"/>
  <c r="G7506" i="38"/>
  <c r="F7506" i="38"/>
  <c r="E7506" i="38"/>
  <c r="D7506" i="38"/>
  <c r="C7506" i="38"/>
  <c r="J7505" i="38"/>
  <c r="I7505" i="38"/>
  <c r="H7505" i="38"/>
  <c r="G7505" i="38"/>
  <c r="F7505" i="38"/>
  <c r="E7505" i="38"/>
  <c r="D7505" i="38"/>
  <c r="C7505" i="38"/>
  <c r="J7504" i="38"/>
  <c r="I7504" i="38"/>
  <c r="H7504" i="38"/>
  <c r="G7504" i="38"/>
  <c r="F7504" i="38"/>
  <c r="E7504" i="38"/>
  <c r="D7504" i="38"/>
  <c r="C7504" i="38"/>
  <c r="J7503" i="38"/>
  <c r="I7503" i="38"/>
  <c r="H7503" i="38"/>
  <c r="G7503" i="38"/>
  <c r="E7503" i="38"/>
  <c r="D7503" i="38"/>
  <c r="C7503" i="38"/>
  <c r="J7502" i="38"/>
  <c r="I7502" i="38"/>
  <c r="H7502" i="38"/>
  <c r="G7502" i="38"/>
  <c r="F7502" i="38"/>
  <c r="E7502" i="38"/>
  <c r="C7502" i="38"/>
  <c r="H7501" i="38"/>
  <c r="G7501" i="38"/>
  <c r="E7501" i="38"/>
  <c r="C7501" i="38"/>
  <c r="H7500" i="38"/>
  <c r="G7500" i="38"/>
  <c r="E7500" i="38"/>
  <c r="D7500" i="38"/>
  <c r="C7500" i="38"/>
  <c r="H7499" i="38"/>
  <c r="G7499" i="38"/>
  <c r="E7499" i="38"/>
  <c r="D7499" i="38"/>
  <c r="C7499" i="38"/>
  <c r="H7498" i="38"/>
  <c r="G7498" i="38"/>
  <c r="E7498" i="38"/>
  <c r="D7498" i="38"/>
  <c r="C7498" i="38"/>
  <c r="H7497" i="38"/>
  <c r="G7497" i="38"/>
  <c r="E7497" i="38"/>
  <c r="D7497" i="38"/>
  <c r="C7497" i="38"/>
  <c r="J7496" i="38"/>
  <c r="I7496" i="38"/>
  <c r="H7496" i="38"/>
  <c r="G7496" i="38"/>
  <c r="F7496" i="38"/>
  <c r="E7496" i="38"/>
  <c r="D7496" i="38"/>
  <c r="C7496" i="38"/>
  <c r="J7495" i="38"/>
  <c r="I7495" i="38"/>
  <c r="H7495" i="38"/>
  <c r="G7495" i="38"/>
  <c r="F7495" i="38"/>
  <c r="E7495" i="38"/>
  <c r="D7495" i="38"/>
  <c r="C7495" i="38"/>
  <c r="J7494" i="38"/>
  <c r="I7494" i="38"/>
  <c r="H7494" i="38"/>
  <c r="G7494" i="38"/>
  <c r="F7494" i="38"/>
  <c r="E7494" i="38"/>
  <c r="D7494" i="38"/>
  <c r="C7494" i="38"/>
  <c r="J7493" i="38"/>
  <c r="I7493" i="38"/>
  <c r="H7493" i="38"/>
  <c r="G7493" i="38"/>
  <c r="E7493" i="38"/>
  <c r="D7493" i="38"/>
  <c r="C7493" i="38"/>
  <c r="J7492" i="38"/>
  <c r="I7492" i="38"/>
  <c r="H7492" i="38"/>
  <c r="G7492" i="38"/>
  <c r="F7492" i="38"/>
  <c r="E7492" i="38"/>
  <c r="C7492" i="38"/>
  <c r="H7491" i="38"/>
  <c r="G7491" i="38"/>
  <c r="E7491" i="38"/>
  <c r="C7491" i="38"/>
  <c r="H7490" i="38"/>
  <c r="G7490" i="38"/>
  <c r="E7490" i="38"/>
  <c r="D7490" i="38"/>
  <c r="C7490" i="38"/>
  <c r="H7489" i="38"/>
  <c r="G7489" i="38"/>
  <c r="E7489" i="38"/>
  <c r="D7489" i="38"/>
  <c r="C7489" i="38"/>
  <c r="H7488" i="38"/>
  <c r="G7488" i="38"/>
  <c r="E7488" i="38"/>
  <c r="D7488" i="38"/>
  <c r="C7488" i="38"/>
  <c r="H7487" i="38"/>
  <c r="G7487" i="38"/>
  <c r="E7487" i="38"/>
  <c r="D7487" i="38"/>
  <c r="C7487" i="38"/>
  <c r="J7486" i="38"/>
  <c r="I7486" i="38"/>
  <c r="H7486" i="38"/>
  <c r="G7486" i="38"/>
  <c r="F7486" i="38"/>
  <c r="E7486" i="38"/>
  <c r="D7486" i="38"/>
  <c r="C7486" i="38"/>
  <c r="J7485" i="38"/>
  <c r="I7485" i="38"/>
  <c r="H7485" i="38"/>
  <c r="G7485" i="38"/>
  <c r="F7485" i="38"/>
  <c r="E7485" i="38"/>
  <c r="D7485" i="38"/>
  <c r="C7485" i="38"/>
  <c r="J7484" i="38"/>
  <c r="I7484" i="38"/>
  <c r="H7484" i="38"/>
  <c r="G7484" i="38"/>
  <c r="F7484" i="38"/>
  <c r="E7484" i="38"/>
  <c r="D7484" i="38"/>
  <c r="C7484" i="38"/>
  <c r="J7483" i="38"/>
  <c r="I7483" i="38"/>
  <c r="H7483" i="38"/>
  <c r="G7483" i="38"/>
  <c r="E7483" i="38"/>
  <c r="D7483" i="38"/>
  <c r="C7483" i="38"/>
  <c r="J7482" i="38"/>
  <c r="I7482" i="38"/>
  <c r="H7482" i="38"/>
  <c r="G7482" i="38"/>
  <c r="F7482" i="38"/>
  <c r="E7482" i="38"/>
  <c r="C7482" i="38"/>
  <c r="H7481" i="38"/>
  <c r="G7481" i="38"/>
  <c r="E7481" i="38"/>
  <c r="C7481" i="38"/>
  <c r="H7480" i="38"/>
  <c r="G7480" i="38"/>
  <c r="E7480" i="38"/>
  <c r="D7480" i="38"/>
  <c r="C7480" i="38"/>
  <c r="H7479" i="38"/>
  <c r="G7479" i="38"/>
  <c r="E7479" i="38"/>
  <c r="D7479" i="38"/>
  <c r="C7479" i="38"/>
  <c r="H7478" i="38"/>
  <c r="G7478" i="38"/>
  <c r="E7478" i="38"/>
  <c r="D7478" i="38"/>
  <c r="C7478" i="38"/>
  <c r="H7477" i="38"/>
  <c r="G7477" i="38"/>
  <c r="E7477" i="38"/>
  <c r="D7477" i="38"/>
  <c r="C7477" i="38"/>
  <c r="J7476" i="38"/>
  <c r="I7476" i="38"/>
  <c r="H7476" i="38"/>
  <c r="G7476" i="38"/>
  <c r="F7476" i="38"/>
  <c r="E7476" i="38"/>
  <c r="D7476" i="38"/>
  <c r="C7476" i="38"/>
  <c r="J7475" i="38"/>
  <c r="I7475" i="38"/>
  <c r="H7475" i="38"/>
  <c r="G7475" i="38"/>
  <c r="F7475" i="38"/>
  <c r="E7475" i="38"/>
  <c r="D7475" i="38"/>
  <c r="C7475" i="38"/>
  <c r="J7474" i="38"/>
  <c r="I7474" i="38"/>
  <c r="H7474" i="38"/>
  <c r="G7474" i="38"/>
  <c r="F7474" i="38"/>
  <c r="E7474" i="38"/>
  <c r="D7474" i="38"/>
  <c r="C7474" i="38"/>
  <c r="J7473" i="38"/>
  <c r="I7473" i="38"/>
  <c r="H7473" i="38"/>
  <c r="G7473" i="38"/>
  <c r="E7473" i="38"/>
  <c r="D7473" i="38"/>
  <c r="C7473" i="38"/>
  <c r="J7472" i="38"/>
  <c r="I7472" i="38"/>
  <c r="H7472" i="38"/>
  <c r="G7472" i="38"/>
  <c r="F7472" i="38"/>
  <c r="E7472" i="38"/>
  <c r="C7472" i="38"/>
  <c r="H7471" i="38"/>
  <c r="G7471" i="38"/>
  <c r="E7471" i="38"/>
  <c r="C7471" i="38"/>
  <c r="H7470" i="38"/>
  <c r="G7470" i="38"/>
  <c r="E7470" i="38"/>
  <c r="D7470" i="38"/>
  <c r="C7470" i="38"/>
  <c r="H7469" i="38"/>
  <c r="G7469" i="38"/>
  <c r="E7469" i="38"/>
  <c r="D7469" i="38"/>
  <c r="C7469" i="38"/>
  <c r="H7468" i="38"/>
  <c r="G7468" i="38"/>
  <c r="E7468" i="38"/>
  <c r="D7468" i="38"/>
  <c r="C7468" i="38"/>
  <c r="H7467" i="38"/>
  <c r="G7467" i="38"/>
  <c r="E7467" i="38"/>
  <c r="D7467" i="38"/>
  <c r="C7467" i="38"/>
  <c r="J7466" i="38"/>
  <c r="I7466" i="38"/>
  <c r="H7466" i="38"/>
  <c r="G7466" i="38"/>
  <c r="F7466" i="38"/>
  <c r="E7466" i="38"/>
  <c r="D7466" i="38"/>
  <c r="C7466" i="38"/>
  <c r="J7465" i="38"/>
  <c r="I7465" i="38"/>
  <c r="H7465" i="38"/>
  <c r="G7465" i="38"/>
  <c r="F7465" i="38"/>
  <c r="E7465" i="38"/>
  <c r="D7465" i="38"/>
  <c r="C7465" i="38"/>
  <c r="J7464" i="38"/>
  <c r="I7464" i="38"/>
  <c r="H7464" i="38"/>
  <c r="G7464" i="38"/>
  <c r="F7464" i="38"/>
  <c r="E7464" i="38"/>
  <c r="D7464" i="38"/>
  <c r="C7464" i="38"/>
  <c r="J7463" i="38"/>
  <c r="I7463" i="38"/>
  <c r="H7463" i="38"/>
  <c r="G7463" i="38"/>
  <c r="E7463" i="38"/>
  <c r="D7463" i="38"/>
  <c r="C7463" i="38"/>
  <c r="J7462" i="38"/>
  <c r="I7462" i="38"/>
  <c r="H7462" i="38"/>
  <c r="G7462" i="38"/>
  <c r="F7462" i="38"/>
  <c r="E7462" i="38"/>
  <c r="C7462" i="38"/>
  <c r="H7461" i="38"/>
  <c r="G7461" i="38"/>
  <c r="E7461" i="38"/>
  <c r="C7461" i="38"/>
  <c r="H7460" i="38"/>
  <c r="G7460" i="38"/>
  <c r="E7460" i="38"/>
  <c r="D7460" i="38"/>
  <c r="C7460" i="38"/>
  <c r="H7459" i="38"/>
  <c r="G7459" i="38"/>
  <c r="E7459" i="38"/>
  <c r="D7459" i="38"/>
  <c r="C7459" i="38"/>
  <c r="H7458" i="38"/>
  <c r="G7458" i="38"/>
  <c r="E7458" i="38"/>
  <c r="D7458" i="38"/>
  <c r="C7458" i="38"/>
  <c r="H7457" i="38"/>
  <c r="G7457" i="38"/>
  <c r="E7457" i="38"/>
  <c r="D7457" i="38"/>
  <c r="C7457" i="38"/>
  <c r="J7456" i="38"/>
  <c r="I7456" i="38"/>
  <c r="H7456" i="38"/>
  <c r="G7456" i="38"/>
  <c r="F7456" i="38"/>
  <c r="E7456" i="38"/>
  <c r="D7456" i="38"/>
  <c r="C7456" i="38"/>
  <c r="J7455" i="38"/>
  <c r="I7455" i="38"/>
  <c r="H7455" i="38"/>
  <c r="G7455" i="38"/>
  <c r="F7455" i="38"/>
  <c r="E7455" i="38"/>
  <c r="D7455" i="38"/>
  <c r="C7455" i="38"/>
  <c r="J7454" i="38"/>
  <c r="I7454" i="38"/>
  <c r="H7454" i="38"/>
  <c r="G7454" i="38"/>
  <c r="F7454" i="38"/>
  <c r="E7454" i="38"/>
  <c r="D7454" i="38"/>
  <c r="C7454" i="38"/>
  <c r="J7453" i="38"/>
  <c r="I7453" i="38"/>
  <c r="H7453" i="38"/>
  <c r="G7453" i="38"/>
  <c r="E7453" i="38"/>
  <c r="D7453" i="38"/>
  <c r="C7453" i="38"/>
  <c r="J7452" i="38"/>
  <c r="I7452" i="38"/>
  <c r="H7452" i="38"/>
  <c r="G7452" i="38"/>
  <c r="F7452" i="38"/>
  <c r="E7452" i="38"/>
  <c r="C7452" i="38"/>
  <c r="H7451" i="38"/>
  <c r="G7451" i="38"/>
  <c r="E7451" i="38"/>
  <c r="C7451" i="38"/>
  <c r="H7450" i="38"/>
  <c r="G7450" i="38"/>
  <c r="E7450" i="38"/>
  <c r="D7450" i="38"/>
  <c r="C7450" i="38"/>
  <c r="H7449" i="38"/>
  <c r="G7449" i="38"/>
  <c r="E7449" i="38"/>
  <c r="D7449" i="38"/>
  <c r="C7449" i="38"/>
  <c r="H7448" i="38"/>
  <c r="G7448" i="38"/>
  <c r="E7448" i="38"/>
  <c r="D7448" i="38"/>
  <c r="C7448" i="38"/>
  <c r="H7447" i="38"/>
  <c r="G7447" i="38"/>
  <c r="E7447" i="38"/>
  <c r="D7447" i="38"/>
  <c r="C7447" i="38"/>
  <c r="J7446" i="38"/>
  <c r="I7446" i="38"/>
  <c r="H7446" i="38"/>
  <c r="G7446" i="38"/>
  <c r="F7446" i="38"/>
  <c r="E7446" i="38"/>
  <c r="D7446" i="38"/>
  <c r="C7446" i="38"/>
  <c r="J7445" i="38"/>
  <c r="I7445" i="38"/>
  <c r="H7445" i="38"/>
  <c r="G7445" i="38"/>
  <c r="F7445" i="38"/>
  <c r="E7445" i="38"/>
  <c r="D7445" i="38"/>
  <c r="C7445" i="38"/>
  <c r="J7444" i="38"/>
  <c r="I7444" i="38"/>
  <c r="H7444" i="38"/>
  <c r="G7444" i="38"/>
  <c r="F7444" i="38"/>
  <c r="E7444" i="38"/>
  <c r="D7444" i="38"/>
  <c r="C7444" i="38"/>
  <c r="J7443" i="38"/>
  <c r="I7443" i="38"/>
  <c r="H7443" i="38"/>
  <c r="G7443" i="38"/>
  <c r="E7443" i="38"/>
  <c r="D7443" i="38"/>
  <c r="C7443" i="38"/>
  <c r="J7442" i="38"/>
  <c r="I7442" i="38"/>
  <c r="H7442" i="38"/>
  <c r="G7442" i="38"/>
  <c r="F7442" i="38"/>
  <c r="E7442" i="38"/>
  <c r="C7442" i="38"/>
  <c r="H7441" i="38"/>
  <c r="G7441" i="38"/>
  <c r="E7441" i="38"/>
  <c r="C7441" i="38"/>
  <c r="H7440" i="38"/>
  <c r="G7440" i="38"/>
  <c r="E7440" i="38"/>
  <c r="D7440" i="38"/>
  <c r="C7440" i="38"/>
  <c r="H7439" i="38"/>
  <c r="G7439" i="38"/>
  <c r="E7439" i="38"/>
  <c r="D7439" i="38"/>
  <c r="C7439" i="38"/>
  <c r="H7438" i="38"/>
  <c r="G7438" i="38"/>
  <c r="E7438" i="38"/>
  <c r="D7438" i="38"/>
  <c r="C7438" i="38"/>
  <c r="H7437" i="38"/>
  <c r="G7437" i="38"/>
  <c r="E7437" i="38"/>
  <c r="D7437" i="38"/>
  <c r="C7437" i="38"/>
  <c r="J7436" i="38"/>
  <c r="I7436" i="38"/>
  <c r="H7436" i="38"/>
  <c r="G7436" i="38"/>
  <c r="F7436" i="38"/>
  <c r="E7436" i="38"/>
  <c r="D7436" i="38"/>
  <c r="C7436" i="38"/>
  <c r="J7435" i="38"/>
  <c r="I7435" i="38"/>
  <c r="H7435" i="38"/>
  <c r="G7435" i="38"/>
  <c r="F7435" i="38"/>
  <c r="E7435" i="38"/>
  <c r="D7435" i="38"/>
  <c r="C7435" i="38"/>
  <c r="J7434" i="38"/>
  <c r="I7434" i="38"/>
  <c r="H7434" i="38"/>
  <c r="G7434" i="38"/>
  <c r="F7434" i="38"/>
  <c r="E7434" i="38"/>
  <c r="D7434" i="38"/>
  <c r="C7434" i="38"/>
  <c r="J7433" i="38"/>
  <c r="I7433" i="38"/>
  <c r="H7433" i="38"/>
  <c r="G7433" i="38"/>
  <c r="E7433" i="38"/>
  <c r="D7433" i="38"/>
  <c r="C7433" i="38"/>
  <c r="J7432" i="38"/>
  <c r="I7432" i="38"/>
  <c r="H7432" i="38"/>
  <c r="G7432" i="38"/>
  <c r="F7432" i="38"/>
  <c r="E7432" i="38"/>
  <c r="C7432" i="38"/>
  <c r="H7431" i="38"/>
  <c r="G7431" i="38"/>
  <c r="E7431" i="38"/>
  <c r="C7431" i="38"/>
  <c r="H7430" i="38"/>
  <c r="G7430" i="38"/>
  <c r="E7430" i="38"/>
  <c r="D7430" i="38"/>
  <c r="C7430" i="38"/>
  <c r="H7429" i="38"/>
  <c r="G7429" i="38"/>
  <c r="E7429" i="38"/>
  <c r="D7429" i="38"/>
  <c r="C7429" i="38"/>
  <c r="H7428" i="38"/>
  <c r="G7428" i="38"/>
  <c r="E7428" i="38"/>
  <c r="D7428" i="38"/>
  <c r="C7428" i="38"/>
  <c r="H7427" i="38"/>
  <c r="G7427" i="38"/>
  <c r="E7427" i="38"/>
  <c r="D7427" i="38"/>
  <c r="C7427" i="38"/>
  <c r="J7426" i="38"/>
  <c r="I7426" i="38"/>
  <c r="H7426" i="38"/>
  <c r="G7426" i="38"/>
  <c r="F7426" i="38"/>
  <c r="E7426" i="38"/>
  <c r="D7426" i="38"/>
  <c r="C7426" i="38"/>
  <c r="J7425" i="38"/>
  <c r="I7425" i="38"/>
  <c r="H7425" i="38"/>
  <c r="G7425" i="38"/>
  <c r="F7425" i="38"/>
  <c r="E7425" i="38"/>
  <c r="D7425" i="38"/>
  <c r="C7425" i="38"/>
  <c r="J7424" i="38"/>
  <c r="I7424" i="38"/>
  <c r="H7424" i="38"/>
  <c r="G7424" i="38"/>
  <c r="F7424" i="38"/>
  <c r="E7424" i="38"/>
  <c r="D7424" i="38"/>
  <c r="C7424" i="38"/>
  <c r="J7423" i="38"/>
  <c r="I7423" i="38"/>
  <c r="H7423" i="38"/>
  <c r="G7423" i="38"/>
  <c r="E7423" i="38"/>
  <c r="D7423" i="38"/>
  <c r="C7423" i="38"/>
  <c r="J7422" i="38"/>
  <c r="I7422" i="38"/>
  <c r="H7422" i="38"/>
  <c r="G7422" i="38"/>
  <c r="F7422" i="38"/>
  <c r="E7422" i="38"/>
  <c r="C7422" i="38"/>
  <c r="H7421" i="38"/>
  <c r="G7421" i="38"/>
  <c r="E7421" i="38"/>
  <c r="C7421" i="38"/>
  <c r="H7420" i="38"/>
  <c r="G7420" i="38"/>
  <c r="E7420" i="38"/>
  <c r="D7420" i="38"/>
  <c r="C7420" i="38"/>
  <c r="H7419" i="38"/>
  <c r="G7419" i="38"/>
  <c r="E7419" i="38"/>
  <c r="D7419" i="38"/>
  <c r="C7419" i="38"/>
  <c r="H7418" i="38"/>
  <c r="G7418" i="38"/>
  <c r="E7418" i="38"/>
  <c r="D7418" i="38"/>
  <c r="C7418" i="38"/>
  <c r="H7417" i="38"/>
  <c r="G7417" i="38"/>
  <c r="E7417" i="38"/>
  <c r="D7417" i="38"/>
  <c r="C7417" i="38"/>
  <c r="J7416" i="38"/>
  <c r="I7416" i="38"/>
  <c r="H7416" i="38"/>
  <c r="G7416" i="38"/>
  <c r="F7416" i="38"/>
  <c r="E7416" i="38"/>
  <c r="D7416" i="38"/>
  <c r="C7416" i="38"/>
  <c r="J7415" i="38"/>
  <c r="I7415" i="38"/>
  <c r="H7415" i="38"/>
  <c r="G7415" i="38"/>
  <c r="F7415" i="38"/>
  <c r="E7415" i="38"/>
  <c r="D7415" i="38"/>
  <c r="C7415" i="38"/>
  <c r="J7414" i="38"/>
  <c r="I7414" i="38"/>
  <c r="H7414" i="38"/>
  <c r="G7414" i="38"/>
  <c r="F7414" i="38"/>
  <c r="E7414" i="38"/>
  <c r="D7414" i="38"/>
  <c r="C7414" i="38"/>
  <c r="J7413" i="38"/>
  <c r="I7413" i="38"/>
  <c r="H7413" i="38"/>
  <c r="G7413" i="38"/>
  <c r="E7413" i="38"/>
  <c r="D7413" i="38"/>
  <c r="C7413" i="38"/>
  <c r="J7412" i="38"/>
  <c r="I7412" i="38"/>
  <c r="H7412" i="38"/>
  <c r="G7412" i="38"/>
  <c r="F7412" i="38"/>
  <c r="E7412" i="38"/>
  <c r="C7412" i="38"/>
  <c r="H7411" i="38"/>
  <c r="G7411" i="38"/>
  <c r="E7411" i="38"/>
  <c r="C7411" i="38"/>
  <c r="H7410" i="38"/>
  <c r="G7410" i="38"/>
  <c r="E7410" i="38"/>
  <c r="D7410" i="38"/>
  <c r="C7410" i="38"/>
  <c r="H7409" i="38"/>
  <c r="G7409" i="38"/>
  <c r="E7409" i="38"/>
  <c r="D7409" i="38"/>
  <c r="C7409" i="38"/>
  <c r="H7408" i="38"/>
  <c r="G7408" i="38"/>
  <c r="E7408" i="38"/>
  <c r="D7408" i="38"/>
  <c r="C7408" i="38"/>
  <c r="H7407" i="38"/>
  <c r="G7407" i="38"/>
  <c r="E7407" i="38"/>
  <c r="D7407" i="38"/>
  <c r="C7407" i="38"/>
  <c r="J7406" i="38"/>
  <c r="I7406" i="38"/>
  <c r="H7406" i="38"/>
  <c r="G7406" i="38"/>
  <c r="F7406" i="38"/>
  <c r="E7406" i="38"/>
  <c r="D7406" i="38"/>
  <c r="C7406" i="38"/>
  <c r="J7405" i="38"/>
  <c r="I7405" i="38"/>
  <c r="H7405" i="38"/>
  <c r="G7405" i="38"/>
  <c r="F7405" i="38"/>
  <c r="E7405" i="38"/>
  <c r="D7405" i="38"/>
  <c r="C7405" i="38"/>
  <c r="J7404" i="38"/>
  <c r="I7404" i="38"/>
  <c r="H7404" i="38"/>
  <c r="G7404" i="38"/>
  <c r="F7404" i="38"/>
  <c r="E7404" i="38"/>
  <c r="D7404" i="38"/>
  <c r="C7404" i="38"/>
  <c r="J7403" i="38"/>
  <c r="I7403" i="38"/>
  <c r="H7403" i="38"/>
  <c r="G7403" i="38"/>
  <c r="E7403" i="38"/>
  <c r="D7403" i="38"/>
  <c r="C7403" i="38"/>
  <c r="J7402" i="38"/>
  <c r="I7402" i="38"/>
  <c r="H7402" i="38"/>
  <c r="G7402" i="38"/>
  <c r="F7402" i="38"/>
  <c r="E7402" i="38"/>
  <c r="C7402" i="38"/>
  <c r="H7401" i="38"/>
  <c r="G7401" i="38"/>
  <c r="E7401" i="38"/>
  <c r="C7401" i="38"/>
  <c r="H7400" i="38"/>
  <c r="G7400" i="38"/>
  <c r="E7400" i="38"/>
  <c r="D7400" i="38"/>
  <c r="C7400" i="38"/>
  <c r="H7399" i="38"/>
  <c r="G7399" i="38"/>
  <c r="E7399" i="38"/>
  <c r="D7399" i="38"/>
  <c r="C7399" i="38"/>
  <c r="H7398" i="38"/>
  <c r="G7398" i="38"/>
  <c r="E7398" i="38"/>
  <c r="D7398" i="38"/>
  <c r="C7398" i="38"/>
  <c r="H7397" i="38"/>
  <c r="G7397" i="38"/>
  <c r="E7397" i="38"/>
  <c r="D7397" i="38"/>
  <c r="C7397" i="38"/>
  <c r="J7396" i="38"/>
  <c r="I7396" i="38"/>
  <c r="H7396" i="38"/>
  <c r="G7396" i="38"/>
  <c r="F7396" i="38"/>
  <c r="E7396" i="38"/>
  <c r="D7396" i="38"/>
  <c r="C7396" i="38"/>
  <c r="J7395" i="38"/>
  <c r="I7395" i="38"/>
  <c r="H7395" i="38"/>
  <c r="G7395" i="38"/>
  <c r="F7395" i="38"/>
  <c r="E7395" i="38"/>
  <c r="D7395" i="38"/>
  <c r="C7395" i="38"/>
  <c r="J7394" i="38"/>
  <c r="I7394" i="38"/>
  <c r="H7394" i="38"/>
  <c r="G7394" i="38"/>
  <c r="F7394" i="38"/>
  <c r="E7394" i="38"/>
  <c r="D7394" i="38"/>
  <c r="C7394" i="38"/>
  <c r="J7393" i="38"/>
  <c r="I7393" i="38"/>
  <c r="H7393" i="38"/>
  <c r="G7393" i="38"/>
  <c r="E7393" i="38"/>
  <c r="D7393" i="38"/>
  <c r="C7393" i="38"/>
  <c r="J7392" i="38"/>
  <c r="I7392" i="38"/>
  <c r="H7392" i="38"/>
  <c r="G7392" i="38"/>
  <c r="F7392" i="38"/>
  <c r="E7392" i="38"/>
  <c r="C7392" i="38"/>
  <c r="H7391" i="38"/>
  <c r="G7391" i="38"/>
  <c r="E7391" i="38"/>
  <c r="C7391" i="38"/>
  <c r="H7390" i="38"/>
  <c r="G7390" i="38"/>
  <c r="E7390" i="38"/>
  <c r="D7390" i="38"/>
  <c r="C7390" i="38"/>
  <c r="H7389" i="38"/>
  <c r="G7389" i="38"/>
  <c r="E7389" i="38"/>
  <c r="D7389" i="38"/>
  <c r="C7389" i="38"/>
  <c r="H7388" i="38"/>
  <c r="G7388" i="38"/>
  <c r="E7388" i="38"/>
  <c r="D7388" i="38"/>
  <c r="C7388" i="38"/>
  <c r="H7387" i="38"/>
  <c r="G7387" i="38"/>
  <c r="E7387" i="38"/>
  <c r="D7387" i="38"/>
  <c r="C7387" i="38"/>
  <c r="J7386" i="38"/>
  <c r="I7386" i="38"/>
  <c r="H7386" i="38"/>
  <c r="G7386" i="38"/>
  <c r="F7386" i="38"/>
  <c r="E7386" i="38"/>
  <c r="D7386" i="38"/>
  <c r="C7386" i="38"/>
  <c r="J7385" i="38"/>
  <c r="I7385" i="38"/>
  <c r="H7385" i="38"/>
  <c r="G7385" i="38"/>
  <c r="F7385" i="38"/>
  <c r="E7385" i="38"/>
  <c r="D7385" i="38"/>
  <c r="C7385" i="38"/>
  <c r="J7384" i="38"/>
  <c r="I7384" i="38"/>
  <c r="H7384" i="38"/>
  <c r="G7384" i="38"/>
  <c r="F7384" i="38"/>
  <c r="E7384" i="38"/>
  <c r="D7384" i="38"/>
  <c r="C7384" i="38"/>
  <c r="J7383" i="38"/>
  <c r="I7383" i="38"/>
  <c r="H7383" i="38"/>
  <c r="G7383" i="38"/>
  <c r="E7383" i="38"/>
  <c r="D7383" i="38"/>
  <c r="C7383" i="38"/>
  <c r="J7382" i="38"/>
  <c r="I7382" i="38"/>
  <c r="H7382" i="38"/>
  <c r="G7382" i="38"/>
  <c r="F7382" i="38"/>
  <c r="E7382" i="38"/>
  <c r="C7382" i="38"/>
  <c r="H7381" i="38"/>
  <c r="G7381" i="38"/>
  <c r="E7381" i="38"/>
  <c r="C7381" i="38"/>
  <c r="H7380" i="38"/>
  <c r="G7380" i="38"/>
  <c r="E7380" i="38"/>
  <c r="D7380" i="38"/>
  <c r="C7380" i="38"/>
  <c r="H7379" i="38"/>
  <c r="G7379" i="38"/>
  <c r="E7379" i="38"/>
  <c r="D7379" i="38"/>
  <c r="C7379" i="38"/>
  <c r="H7378" i="38"/>
  <c r="G7378" i="38"/>
  <c r="E7378" i="38"/>
  <c r="D7378" i="38"/>
  <c r="C7378" i="38"/>
  <c r="H7377" i="38"/>
  <c r="G7377" i="38"/>
  <c r="E7377" i="38"/>
  <c r="D7377" i="38"/>
  <c r="C7377" i="38"/>
  <c r="J7376" i="38"/>
  <c r="I7376" i="38"/>
  <c r="H7376" i="38"/>
  <c r="G7376" i="38"/>
  <c r="F7376" i="38"/>
  <c r="E7376" i="38"/>
  <c r="D7376" i="38"/>
  <c r="C7376" i="38"/>
  <c r="J7375" i="38"/>
  <c r="I7375" i="38"/>
  <c r="H7375" i="38"/>
  <c r="G7375" i="38"/>
  <c r="F7375" i="38"/>
  <c r="E7375" i="38"/>
  <c r="D7375" i="38"/>
  <c r="C7375" i="38"/>
  <c r="J7374" i="38"/>
  <c r="I7374" i="38"/>
  <c r="H7374" i="38"/>
  <c r="G7374" i="38"/>
  <c r="F7374" i="38"/>
  <c r="E7374" i="38"/>
  <c r="D7374" i="38"/>
  <c r="C7374" i="38"/>
  <c r="J7373" i="38"/>
  <c r="I7373" i="38"/>
  <c r="H7373" i="38"/>
  <c r="G7373" i="38"/>
  <c r="E7373" i="38"/>
  <c r="D7373" i="38"/>
  <c r="C7373" i="38"/>
  <c r="J7372" i="38"/>
  <c r="I7372" i="38"/>
  <c r="H7372" i="38"/>
  <c r="G7372" i="38"/>
  <c r="F7372" i="38"/>
  <c r="E7372" i="38"/>
  <c r="C7372" i="38"/>
  <c r="H7371" i="38"/>
  <c r="G7371" i="38"/>
  <c r="E7371" i="38"/>
  <c r="C7371" i="38"/>
  <c r="J7370" i="38"/>
  <c r="I7370" i="38"/>
  <c r="H7370" i="38"/>
  <c r="G7370" i="38"/>
  <c r="F7370" i="38"/>
  <c r="E7370" i="38"/>
  <c r="D7370" i="38"/>
  <c r="C7370" i="38"/>
  <c r="J7369" i="38"/>
  <c r="I7369" i="38"/>
  <c r="H7369" i="38"/>
  <c r="G7369" i="38"/>
  <c r="F7369" i="38"/>
  <c r="E7369" i="38"/>
  <c r="D7369" i="38"/>
  <c r="C7369" i="38"/>
  <c r="J7368" i="38"/>
  <c r="I7368" i="38"/>
  <c r="H7368" i="38"/>
  <c r="G7368" i="38"/>
  <c r="F7368" i="38"/>
  <c r="E7368" i="38"/>
  <c r="D7368" i="38"/>
  <c r="C7368" i="38"/>
  <c r="J7367" i="38"/>
  <c r="I7367" i="38"/>
  <c r="H7367" i="38"/>
  <c r="G7367" i="38"/>
  <c r="F7367" i="38"/>
  <c r="E7367" i="38"/>
  <c r="D7367" i="38"/>
  <c r="C7367" i="38"/>
  <c r="J7366" i="38"/>
  <c r="I7366" i="38"/>
  <c r="H7366" i="38"/>
  <c r="G7366" i="38"/>
  <c r="F7366" i="38"/>
  <c r="E7366" i="38"/>
  <c r="D7366" i="38"/>
  <c r="C7366" i="38"/>
  <c r="J7365" i="38"/>
  <c r="I7365" i="38"/>
  <c r="H7365" i="38"/>
  <c r="G7365" i="38"/>
  <c r="F7365" i="38"/>
  <c r="E7365" i="38"/>
  <c r="D7365" i="38"/>
  <c r="C7365" i="38"/>
  <c r="J7364" i="38"/>
  <c r="I7364" i="38"/>
  <c r="H7364" i="38"/>
  <c r="G7364" i="38"/>
  <c r="F7364" i="38"/>
  <c r="E7364" i="38"/>
  <c r="D7364" i="38"/>
  <c r="C7364" i="38"/>
  <c r="J7363" i="38"/>
  <c r="I7363" i="38"/>
  <c r="H7363" i="38"/>
  <c r="G7363" i="38"/>
  <c r="F7363" i="38"/>
  <c r="E7363" i="38"/>
  <c r="D7363" i="38"/>
  <c r="C7363" i="38"/>
  <c r="J7362" i="38"/>
  <c r="I7362" i="38"/>
  <c r="H7362" i="38"/>
  <c r="G7362" i="38"/>
  <c r="F7362" i="38"/>
  <c r="E7362" i="38"/>
  <c r="D7362" i="38"/>
  <c r="C7362" i="38"/>
  <c r="J7361" i="38"/>
  <c r="I7361" i="38"/>
  <c r="H7361" i="38"/>
  <c r="G7361" i="38"/>
  <c r="F7361" i="38"/>
  <c r="E7361" i="38"/>
  <c r="D7361" i="38"/>
  <c r="C7361" i="38"/>
  <c r="J7360" i="38"/>
  <c r="I7360" i="38"/>
  <c r="H7360" i="38"/>
  <c r="G7360" i="38"/>
  <c r="F7360" i="38"/>
  <c r="E7360" i="38"/>
  <c r="D7360" i="38"/>
  <c r="C7360" i="38"/>
  <c r="J7359" i="38"/>
  <c r="I7359" i="38"/>
  <c r="H7359" i="38"/>
  <c r="G7359" i="38"/>
  <c r="F7359" i="38"/>
  <c r="E7359" i="38"/>
  <c r="D7359" i="38"/>
  <c r="C7359" i="38"/>
  <c r="J7358" i="38"/>
  <c r="I7358" i="38"/>
  <c r="H7358" i="38"/>
  <c r="G7358" i="38"/>
  <c r="F7358" i="38"/>
  <c r="E7358" i="38"/>
  <c r="D7358" i="38"/>
  <c r="C7358" i="38"/>
  <c r="J7357" i="38"/>
  <c r="I7357" i="38"/>
  <c r="H7357" i="38"/>
  <c r="G7357" i="38"/>
  <c r="F7357" i="38"/>
  <c r="E7357" i="38"/>
  <c r="D7357" i="38"/>
  <c r="C7357" i="38"/>
  <c r="J7356" i="38"/>
  <c r="I7356" i="38"/>
  <c r="H7356" i="38"/>
  <c r="G7356" i="38"/>
  <c r="F7356" i="38"/>
  <c r="E7356" i="38"/>
  <c r="D7356" i="38"/>
  <c r="C7356" i="38"/>
  <c r="J7355" i="38"/>
  <c r="I7355" i="38"/>
  <c r="H7355" i="38"/>
  <c r="G7355" i="38"/>
  <c r="F7355" i="38"/>
  <c r="E7355" i="38"/>
  <c r="D7355" i="38"/>
  <c r="C7355" i="38"/>
  <c r="J7354" i="38"/>
  <c r="I7354" i="38"/>
  <c r="H7354" i="38"/>
  <c r="G7354" i="38"/>
  <c r="F7354" i="38"/>
  <c r="E7354" i="38"/>
  <c r="D7354" i="38"/>
  <c r="C7354" i="38"/>
  <c r="J7353" i="38"/>
  <c r="I7353" i="38"/>
  <c r="H7353" i="38"/>
  <c r="G7353" i="38"/>
  <c r="E7353" i="38"/>
  <c r="D7353" i="38"/>
  <c r="C7353" i="38"/>
  <c r="J7352" i="38"/>
  <c r="I7352" i="38"/>
  <c r="H7352" i="38"/>
  <c r="G7352" i="38"/>
  <c r="F7352" i="38"/>
  <c r="E7352" i="38"/>
  <c r="C7352" i="38"/>
  <c r="H7351" i="38"/>
  <c r="G7351" i="38"/>
  <c r="E7351" i="38"/>
  <c r="C7351" i="38"/>
  <c r="H7350" i="38"/>
  <c r="G7350" i="38"/>
  <c r="E7350" i="38"/>
  <c r="D7350" i="38"/>
  <c r="C7350" i="38"/>
  <c r="H7349" i="38"/>
  <c r="G7349" i="38"/>
  <c r="E7349" i="38"/>
  <c r="D7349" i="38"/>
  <c r="C7349" i="38"/>
  <c r="H7348" i="38"/>
  <c r="G7348" i="38"/>
  <c r="E7348" i="38"/>
  <c r="D7348" i="38"/>
  <c r="C7348" i="38"/>
  <c r="H7347" i="38"/>
  <c r="G7347" i="38"/>
  <c r="E7347" i="38"/>
  <c r="D7347" i="38"/>
  <c r="C7347" i="38"/>
  <c r="J7346" i="38"/>
  <c r="I7346" i="38"/>
  <c r="H7346" i="38"/>
  <c r="G7346" i="38"/>
  <c r="F7346" i="38"/>
  <c r="E7346" i="38"/>
  <c r="D7346" i="38"/>
  <c r="C7346" i="38"/>
  <c r="J7345" i="38"/>
  <c r="I7345" i="38"/>
  <c r="H7345" i="38"/>
  <c r="G7345" i="38"/>
  <c r="F7345" i="38"/>
  <c r="E7345" i="38"/>
  <c r="D7345" i="38"/>
  <c r="C7345" i="38"/>
  <c r="J7344" i="38"/>
  <c r="I7344" i="38"/>
  <c r="H7344" i="38"/>
  <c r="G7344" i="38"/>
  <c r="F7344" i="38"/>
  <c r="E7344" i="38"/>
  <c r="D7344" i="38"/>
  <c r="C7344" i="38"/>
  <c r="J7343" i="38"/>
  <c r="I7343" i="38"/>
  <c r="H7343" i="38"/>
  <c r="G7343" i="38"/>
  <c r="E7343" i="38"/>
  <c r="D7343" i="38"/>
  <c r="C7343" i="38"/>
  <c r="J7342" i="38"/>
  <c r="I7342" i="38"/>
  <c r="H7342" i="38"/>
  <c r="G7342" i="38"/>
  <c r="F7342" i="38"/>
  <c r="E7342" i="38"/>
  <c r="C7342" i="38"/>
  <c r="H7341" i="38"/>
  <c r="G7341" i="38"/>
  <c r="E7341" i="38"/>
  <c r="C7341" i="38"/>
  <c r="H7340" i="38"/>
  <c r="G7340" i="38"/>
  <c r="E7340" i="38"/>
  <c r="D7340" i="38"/>
  <c r="C7340" i="38"/>
  <c r="H7339" i="38"/>
  <c r="G7339" i="38"/>
  <c r="E7339" i="38"/>
  <c r="D7339" i="38"/>
  <c r="C7339" i="38"/>
  <c r="H7338" i="38"/>
  <c r="G7338" i="38"/>
  <c r="E7338" i="38"/>
  <c r="D7338" i="38"/>
  <c r="C7338" i="38"/>
  <c r="H7337" i="38"/>
  <c r="G7337" i="38"/>
  <c r="E7337" i="38"/>
  <c r="D7337" i="38"/>
  <c r="C7337" i="38"/>
  <c r="J7336" i="38"/>
  <c r="I7336" i="38"/>
  <c r="H7336" i="38"/>
  <c r="G7336" i="38"/>
  <c r="F7336" i="38"/>
  <c r="E7336" i="38"/>
  <c r="D7336" i="38"/>
  <c r="C7336" i="38"/>
  <c r="J7335" i="38"/>
  <c r="I7335" i="38"/>
  <c r="H7335" i="38"/>
  <c r="G7335" i="38"/>
  <c r="F7335" i="38"/>
  <c r="E7335" i="38"/>
  <c r="D7335" i="38"/>
  <c r="C7335" i="38"/>
  <c r="J7334" i="38"/>
  <c r="I7334" i="38"/>
  <c r="H7334" i="38"/>
  <c r="G7334" i="38"/>
  <c r="F7334" i="38"/>
  <c r="E7334" i="38"/>
  <c r="D7334" i="38"/>
  <c r="C7334" i="38"/>
  <c r="J7333" i="38"/>
  <c r="I7333" i="38"/>
  <c r="H7333" i="38"/>
  <c r="G7333" i="38"/>
  <c r="E7333" i="38"/>
  <c r="D7333" i="38"/>
  <c r="C7333" i="38"/>
  <c r="J7332" i="38"/>
  <c r="I7332" i="38"/>
  <c r="H7332" i="38"/>
  <c r="G7332" i="38"/>
  <c r="F7332" i="38"/>
  <c r="E7332" i="38"/>
  <c r="C7332" i="38"/>
  <c r="H7331" i="38"/>
  <c r="G7331" i="38"/>
  <c r="E7331" i="38"/>
  <c r="C7331" i="38"/>
  <c r="H7330" i="38"/>
  <c r="G7330" i="38"/>
  <c r="E7330" i="38"/>
  <c r="D7330" i="38"/>
  <c r="C7330" i="38"/>
  <c r="H7329" i="38"/>
  <c r="G7329" i="38"/>
  <c r="E7329" i="38"/>
  <c r="D7329" i="38"/>
  <c r="C7329" i="38"/>
  <c r="H7328" i="38"/>
  <c r="G7328" i="38"/>
  <c r="E7328" i="38"/>
  <c r="D7328" i="38"/>
  <c r="C7328" i="38"/>
  <c r="H7327" i="38"/>
  <c r="G7327" i="38"/>
  <c r="E7327" i="38"/>
  <c r="D7327" i="38"/>
  <c r="C7327" i="38"/>
  <c r="J7326" i="38"/>
  <c r="I7326" i="38"/>
  <c r="H7326" i="38"/>
  <c r="G7326" i="38"/>
  <c r="F7326" i="38"/>
  <c r="E7326" i="38"/>
  <c r="D7326" i="38"/>
  <c r="C7326" i="38"/>
  <c r="J7325" i="38"/>
  <c r="I7325" i="38"/>
  <c r="H7325" i="38"/>
  <c r="G7325" i="38"/>
  <c r="F7325" i="38"/>
  <c r="E7325" i="38"/>
  <c r="D7325" i="38"/>
  <c r="C7325" i="38"/>
  <c r="J7324" i="38"/>
  <c r="I7324" i="38"/>
  <c r="H7324" i="38"/>
  <c r="G7324" i="38"/>
  <c r="F7324" i="38"/>
  <c r="E7324" i="38"/>
  <c r="D7324" i="38"/>
  <c r="C7324" i="38"/>
  <c r="J7323" i="38"/>
  <c r="I7323" i="38"/>
  <c r="H7323" i="38"/>
  <c r="G7323" i="38"/>
  <c r="E7323" i="38"/>
  <c r="D7323" i="38"/>
  <c r="C7323" i="38"/>
  <c r="J7322" i="38"/>
  <c r="I7322" i="38"/>
  <c r="H7322" i="38"/>
  <c r="G7322" i="38"/>
  <c r="F7322" i="38"/>
  <c r="E7322" i="38"/>
  <c r="C7322" i="38"/>
  <c r="H7321" i="38"/>
  <c r="G7321" i="38"/>
  <c r="E7321" i="38"/>
  <c r="C7321" i="38"/>
  <c r="H7320" i="38"/>
  <c r="G7320" i="38"/>
  <c r="E7320" i="38"/>
  <c r="D7320" i="38"/>
  <c r="C7320" i="38"/>
  <c r="H7319" i="38"/>
  <c r="G7319" i="38"/>
  <c r="E7319" i="38"/>
  <c r="D7319" i="38"/>
  <c r="C7319" i="38"/>
  <c r="H7318" i="38"/>
  <c r="G7318" i="38"/>
  <c r="E7318" i="38"/>
  <c r="D7318" i="38"/>
  <c r="C7318" i="38"/>
  <c r="H7317" i="38"/>
  <c r="G7317" i="38"/>
  <c r="E7317" i="38"/>
  <c r="D7317" i="38"/>
  <c r="C7317" i="38"/>
  <c r="J7316" i="38"/>
  <c r="I7316" i="38"/>
  <c r="H7316" i="38"/>
  <c r="G7316" i="38"/>
  <c r="F7316" i="38"/>
  <c r="E7316" i="38"/>
  <c r="D7316" i="38"/>
  <c r="C7316" i="38"/>
  <c r="J7315" i="38"/>
  <c r="I7315" i="38"/>
  <c r="H7315" i="38"/>
  <c r="G7315" i="38"/>
  <c r="F7315" i="38"/>
  <c r="E7315" i="38"/>
  <c r="D7315" i="38"/>
  <c r="C7315" i="38"/>
  <c r="J7314" i="38"/>
  <c r="I7314" i="38"/>
  <c r="H7314" i="38"/>
  <c r="G7314" i="38"/>
  <c r="F7314" i="38"/>
  <c r="E7314" i="38"/>
  <c r="D7314" i="38"/>
  <c r="C7314" i="38"/>
  <c r="J7313" i="38"/>
  <c r="I7313" i="38"/>
  <c r="H7313" i="38"/>
  <c r="G7313" i="38"/>
  <c r="E7313" i="38"/>
  <c r="D7313" i="38"/>
  <c r="C7313" i="38"/>
  <c r="J7312" i="38"/>
  <c r="I7312" i="38"/>
  <c r="H7312" i="38"/>
  <c r="G7312" i="38"/>
  <c r="F7312" i="38"/>
  <c r="E7312" i="38"/>
  <c r="C7312" i="38"/>
  <c r="H7311" i="38"/>
  <c r="G7311" i="38"/>
  <c r="E7311" i="38"/>
  <c r="C7311" i="38"/>
  <c r="H7310" i="38"/>
  <c r="G7310" i="38"/>
  <c r="E7310" i="38"/>
  <c r="D7310" i="38"/>
  <c r="C7310" i="38"/>
  <c r="H7309" i="38"/>
  <c r="G7309" i="38"/>
  <c r="E7309" i="38"/>
  <c r="D7309" i="38"/>
  <c r="C7309" i="38"/>
  <c r="H7308" i="38"/>
  <c r="G7308" i="38"/>
  <c r="E7308" i="38"/>
  <c r="D7308" i="38"/>
  <c r="C7308" i="38"/>
  <c r="H7307" i="38"/>
  <c r="G7307" i="38"/>
  <c r="E7307" i="38"/>
  <c r="D7307" i="38"/>
  <c r="C7307" i="38"/>
  <c r="J7306" i="38"/>
  <c r="I7306" i="38"/>
  <c r="H7306" i="38"/>
  <c r="G7306" i="38"/>
  <c r="F7306" i="38"/>
  <c r="E7306" i="38"/>
  <c r="D7306" i="38"/>
  <c r="C7306" i="38"/>
  <c r="J7305" i="38"/>
  <c r="I7305" i="38"/>
  <c r="H7305" i="38"/>
  <c r="G7305" i="38"/>
  <c r="F7305" i="38"/>
  <c r="E7305" i="38"/>
  <c r="D7305" i="38"/>
  <c r="C7305" i="38"/>
  <c r="J7304" i="38"/>
  <c r="I7304" i="38"/>
  <c r="H7304" i="38"/>
  <c r="G7304" i="38"/>
  <c r="F7304" i="38"/>
  <c r="E7304" i="38"/>
  <c r="D7304" i="38"/>
  <c r="C7304" i="38"/>
  <c r="J7303" i="38"/>
  <c r="I7303" i="38"/>
  <c r="H7303" i="38"/>
  <c r="G7303" i="38"/>
  <c r="E7303" i="38"/>
  <c r="D7303" i="38"/>
  <c r="C7303" i="38"/>
  <c r="J7302" i="38"/>
  <c r="I7302" i="38"/>
  <c r="H7302" i="38"/>
  <c r="G7302" i="38"/>
  <c r="F7302" i="38"/>
  <c r="E7302" i="38"/>
  <c r="C7302" i="38"/>
  <c r="H7301" i="38"/>
  <c r="G7301" i="38"/>
  <c r="E7301" i="38"/>
  <c r="C7301" i="38"/>
  <c r="H7300" i="38"/>
  <c r="G7300" i="38"/>
  <c r="E7300" i="38"/>
  <c r="D7300" i="38"/>
  <c r="C7300" i="38"/>
  <c r="H7299" i="38"/>
  <c r="G7299" i="38"/>
  <c r="E7299" i="38"/>
  <c r="D7299" i="38"/>
  <c r="C7299" i="38"/>
  <c r="H7298" i="38"/>
  <c r="G7298" i="38"/>
  <c r="E7298" i="38"/>
  <c r="D7298" i="38"/>
  <c r="C7298" i="38"/>
  <c r="H7297" i="38"/>
  <c r="G7297" i="38"/>
  <c r="E7297" i="38"/>
  <c r="D7297" i="38"/>
  <c r="C7297" i="38"/>
  <c r="J7296" i="38"/>
  <c r="I7296" i="38"/>
  <c r="H7296" i="38"/>
  <c r="G7296" i="38"/>
  <c r="F7296" i="38"/>
  <c r="E7296" i="38"/>
  <c r="D7296" i="38"/>
  <c r="C7296" i="38"/>
  <c r="J7295" i="38"/>
  <c r="I7295" i="38"/>
  <c r="H7295" i="38"/>
  <c r="G7295" i="38"/>
  <c r="F7295" i="38"/>
  <c r="E7295" i="38"/>
  <c r="D7295" i="38"/>
  <c r="C7295" i="38"/>
  <c r="J7294" i="38"/>
  <c r="I7294" i="38"/>
  <c r="H7294" i="38"/>
  <c r="G7294" i="38"/>
  <c r="F7294" i="38"/>
  <c r="E7294" i="38"/>
  <c r="D7294" i="38"/>
  <c r="C7294" i="38"/>
  <c r="J7293" i="38"/>
  <c r="I7293" i="38"/>
  <c r="H7293" i="38"/>
  <c r="G7293" i="38"/>
  <c r="E7293" i="38"/>
  <c r="D7293" i="38"/>
  <c r="C7293" i="38"/>
  <c r="J7292" i="38"/>
  <c r="I7292" i="38"/>
  <c r="H7292" i="38"/>
  <c r="G7292" i="38"/>
  <c r="F7292" i="38"/>
  <c r="E7292" i="38"/>
  <c r="C7292" i="38"/>
  <c r="H7291" i="38"/>
  <c r="G7291" i="38"/>
  <c r="E7291" i="38"/>
  <c r="C7291" i="38"/>
  <c r="H7290" i="38"/>
  <c r="G7290" i="38"/>
  <c r="E7290" i="38"/>
  <c r="D7290" i="38"/>
  <c r="C7290" i="38"/>
  <c r="H7289" i="38"/>
  <c r="G7289" i="38"/>
  <c r="E7289" i="38"/>
  <c r="D7289" i="38"/>
  <c r="C7289" i="38"/>
  <c r="H7288" i="38"/>
  <c r="G7288" i="38"/>
  <c r="E7288" i="38"/>
  <c r="D7288" i="38"/>
  <c r="C7288" i="38"/>
  <c r="H7287" i="38"/>
  <c r="G7287" i="38"/>
  <c r="E7287" i="38"/>
  <c r="D7287" i="38"/>
  <c r="C7287" i="38"/>
  <c r="J7286" i="38"/>
  <c r="I7286" i="38"/>
  <c r="H7286" i="38"/>
  <c r="G7286" i="38"/>
  <c r="F7286" i="38"/>
  <c r="E7286" i="38"/>
  <c r="D7286" i="38"/>
  <c r="C7286" i="38"/>
  <c r="J7285" i="38"/>
  <c r="I7285" i="38"/>
  <c r="H7285" i="38"/>
  <c r="G7285" i="38"/>
  <c r="F7285" i="38"/>
  <c r="E7285" i="38"/>
  <c r="D7285" i="38"/>
  <c r="C7285" i="38"/>
  <c r="J7284" i="38"/>
  <c r="I7284" i="38"/>
  <c r="H7284" i="38"/>
  <c r="G7284" i="38"/>
  <c r="F7284" i="38"/>
  <c r="E7284" i="38"/>
  <c r="D7284" i="38"/>
  <c r="C7284" i="38"/>
  <c r="J7283" i="38"/>
  <c r="I7283" i="38"/>
  <c r="H7283" i="38"/>
  <c r="G7283" i="38"/>
  <c r="E7283" i="38"/>
  <c r="D7283" i="38"/>
  <c r="C7283" i="38"/>
  <c r="J7282" i="38"/>
  <c r="I7282" i="38"/>
  <c r="H7282" i="38"/>
  <c r="G7282" i="38"/>
  <c r="F7282" i="38"/>
  <c r="E7282" i="38"/>
  <c r="C7282" i="38"/>
  <c r="H7281" i="38"/>
  <c r="G7281" i="38"/>
  <c r="E7281" i="38"/>
  <c r="C7281" i="38"/>
  <c r="H7280" i="38"/>
  <c r="G7280" i="38"/>
  <c r="E7280" i="38"/>
  <c r="D7280" i="38"/>
  <c r="C7280" i="38"/>
  <c r="H7279" i="38"/>
  <c r="G7279" i="38"/>
  <c r="E7279" i="38"/>
  <c r="D7279" i="38"/>
  <c r="C7279" i="38"/>
  <c r="H7278" i="38"/>
  <c r="G7278" i="38"/>
  <c r="E7278" i="38"/>
  <c r="D7278" i="38"/>
  <c r="C7278" i="38"/>
  <c r="H7277" i="38"/>
  <c r="G7277" i="38"/>
  <c r="E7277" i="38"/>
  <c r="D7277" i="38"/>
  <c r="C7277" i="38"/>
  <c r="J7276" i="38"/>
  <c r="I7276" i="38"/>
  <c r="H7276" i="38"/>
  <c r="G7276" i="38"/>
  <c r="F7276" i="38"/>
  <c r="E7276" i="38"/>
  <c r="D7276" i="38"/>
  <c r="C7276" i="38"/>
  <c r="J7275" i="38"/>
  <c r="I7275" i="38"/>
  <c r="H7275" i="38"/>
  <c r="G7275" i="38"/>
  <c r="F7275" i="38"/>
  <c r="E7275" i="38"/>
  <c r="D7275" i="38"/>
  <c r="C7275" i="38"/>
  <c r="J7274" i="38"/>
  <c r="I7274" i="38"/>
  <c r="H7274" i="38"/>
  <c r="G7274" i="38"/>
  <c r="F7274" i="38"/>
  <c r="E7274" i="38"/>
  <c r="D7274" i="38"/>
  <c r="C7274" i="38"/>
  <c r="J7273" i="38"/>
  <c r="I7273" i="38"/>
  <c r="H7273" i="38"/>
  <c r="G7273" i="38"/>
  <c r="E7273" i="38"/>
  <c r="D7273" i="38"/>
  <c r="C7273" i="38"/>
  <c r="J7272" i="38"/>
  <c r="I7272" i="38"/>
  <c r="H7272" i="38"/>
  <c r="G7272" i="38"/>
  <c r="F7272" i="38"/>
  <c r="E7272" i="38"/>
  <c r="C7272" i="38"/>
  <c r="H7271" i="38"/>
  <c r="G7271" i="38"/>
  <c r="E7271" i="38"/>
  <c r="C7271" i="38"/>
  <c r="H7270" i="38"/>
  <c r="G7270" i="38"/>
  <c r="E7270" i="38"/>
  <c r="D7270" i="38"/>
  <c r="C7270" i="38"/>
  <c r="H7269" i="38"/>
  <c r="G7269" i="38"/>
  <c r="E7269" i="38"/>
  <c r="D7269" i="38"/>
  <c r="C7269" i="38"/>
  <c r="H7268" i="38"/>
  <c r="G7268" i="38"/>
  <c r="E7268" i="38"/>
  <c r="D7268" i="38"/>
  <c r="C7268" i="38"/>
  <c r="H7267" i="38"/>
  <c r="G7267" i="38"/>
  <c r="E7267" i="38"/>
  <c r="D7267" i="38"/>
  <c r="C7267" i="38"/>
  <c r="J7266" i="38"/>
  <c r="I7266" i="38"/>
  <c r="H7266" i="38"/>
  <c r="G7266" i="38"/>
  <c r="F7266" i="38"/>
  <c r="E7266" i="38"/>
  <c r="D7266" i="38"/>
  <c r="C7266" i="38"/>
  <c r="J7265" i="38"/>
  <c r="I7265" i="38"/>
  <c r="H7265" i="38"/>
  <c r="G7265" i="38"/>
  <c r="F7265" i="38"/>
  <c r="E7265" i="38"/>
  <c r="D7265" i="38"/>
  <c r="C7265" i="38"/>
  <c r="J7264" i="38"/>
  <c r="I7264" i="38"/>
  <c r="H7264" i="38"/>
  <c r="G7264" i="38"/>
  <c r="F7264" i="38"/>
  <c r="E7264" i="38"/>
  <c r="D7264" i="38"/>
  <c r="C7264" i="38"/>
  <c r="J7263" i="38"/>
  <c r="I7263" i="38"/>
  <c r="H7263" i="38"/>
  <c r="G7263" i="38"/>
  <c r="E7263" i="38"/>
  <c r="D7263" i="38"/>
  <c r="C7263" i="38"/>
  <c r="J7262" i="38"/>
  <c r="I7262" i="38"/>
  <c r="H7262" i="38"/>
  <c r="G7262" i="38"/>
  <c r="F7262" i="38"/>
  <c r="E7262" i="38"/>
  <c r="C7262" i="38"/>
  <c r="H7261" i="38"/>
  <c r="G7261" i="38"/>
  <c r="E7261" i="38"/>
  <c r="C7261" i="38"/>
  <c r="H7260" i="38"/>
  <c r="G7260" i="38"/>
  <c r="E7260" i="38"/>
  <c r="D7260" i="38"/>
  <c r="C7260" i="38"/>
  <c r="H7259" i="38"/>
  <c r="G7259" i="38"/>
  <c r="E7259" i="38"/>
  <c r="D7259" i="38"/>
  <c r="C7259" i="38"/>
  <c r="H7258" i="38"/>
  <c r="G7258" i="38"/>
  <c r="E7258" i="38"/>
  <c r="D7258" i="38"/>
  <c r="C7258" i="38"/>
  <c r="H7257" i="38"/>
  <c r="G7257" i="38"/>
  <c r="E7257" i="38"/>
  <c r="D7257" i="38"/>
  <c r="C7257" i="38"/>
  <c r="J7256" i="38"/>
  <c r="I7256" i="38"/>
  <c r="H7256" i="38"/>
  <c r="G7256" i="38"/>
  <c r="F7256" i="38"/>
  <c r="E7256" i="38"/>
  <c r="D7256" i="38"/>
  <c r="C7256" i="38"/>
  <c r="J7255" i="38"/>
  <c r="I7255" i="38"/>
  <c r="H7255" i="38"/>
  <c r="G7255" i="38"/>
  <c r="F7255" i="38"/>
  <c r="E7255" i="38"/>
  <c r="D7255" i="38"/>
  <c r="C7255" i="38"/>
  <c r="J7254" i="38"/>
  <c r="I7254" i="38"/>
  <c r="H7254" i="38"/>
  <c r="G7254" i="38"/>
  <c r="F7254" i="38"/>
  <c r="E7254" i="38"/>
  <c r="D7254" i="38"/>
  <c r="C7254" i="38"/>
  <c r="J7253" i="38"/>
  <c r="I7253" i="38"/>
  <c r="H7253" i="38"/>
  <c r="G7253" i="38"/>
  <c r="E7253" i="38"/>
  <c r="D7253" i="38"/>
  <c r="C7253" i="38"/>
  <c r="J7252" i="38"/>
  <c r="I7252" i="38"/>
  <c r="H7252" i="38"/>
  <c r="G7252" i="38"/>
  <c r="F7252" i="38"/>
  <c r="E7252" i="38"/>
  <c r="C7252" i="38"/>
  <c r="H7251" i="38"/>
  <c r="G7251" i="38"/>
  <c r="E7251" i="38"/>
  <c r="C7251" i="38"/>
  <c r="H7250" i="38"/>
  <c r="G7250" i="38"/>
  <c r="E7250" i="38"/>
  <c r="D7250" i="38"/>
  <c r="C7250" i="38"/>
  <c r="H7249" i="38"/>
  <c r="G7249" i="38"/>
  <c r="E7249" i="38"/>
  <c r="D7249" i="38"/>
  <c r="C7249" i="38"/>
  <c r="H7248" i="38"/>
  <c r="G7248" i="38"/>
  <c r="E7248" i="38"/>
  <c r="D7248" i="38"/>
  <c r="C7248" i="38"/>
  <c r="H7247" i="38"/>
  <c r="G7247" i="38"/>
  <c r="E7247" i="38"/>
  <c r="D7247" i="38"/>
  <c r="C7247" i="38"/>
  <c r="J7246" i="38"/>
  <c r="I7246" i="38"/>
  <c r="H7246" i="38"/>
  <c r="G7246" i="38"/>
  <c r="F7246" i="38"/>
  <c r="E7246" i="38"/>
  <c r="D7246" i="38"/>
  <c r="C7246" i="38"/>
  <c r="J7245" i="38"/>
  <c r="I7245" i="38"/>
  <c r="H7245" i="38"/>
  <c r="G7245" i="38"/>
  <c r="F7245" i="38"/>
  <c r="E7245" i="38"/>
  <c r="D7245" i="38"/>
  <c r="C7245" i="38"/>
  <c r="J7244" i="38"/>
  <c r="I7244" i="38"/>
  <c r="H7244" i="38"/>
  <c r="G7244" i="38"/>
  <c r="F7244" i="38"/>
  <c r="E7244" i="38"/>
  <c r="D7244" i="38"/>
  <c r="C7244" i="38"/>
  <c r="J7243" i="38"/>
  <c r="I7243" i="38"/>
  <c r="H7243" i="38"/>
  <c r="G7243" i="38"/>
  <c r="E7243" i="38"/>
  <c r="D7243" i="38"/>
  <c r="C7243" i="38"/>
  <c r="J7242" i="38"/>
  <c r="I7242" i="38"/>
  <c r="H7242" i="38"/>
  <c r="G7242" i="38"/>
  <c r="F7242" i="38"/>
  <c r="E7242" i="38"/>
  <c r="C7242" i="38"/>
  <c r="H7241" i="38"/>
  <c r="G7241" i="38"/>
  <c r="E7241" i="38"/>
  <c r="C7241" i="38"/>
  <c r="H7240" i="38"/>
  <c r="G7240" i="38"/>
  <c r="E7240" i="38"/>
  <c r="D7240" i="38"/>
  <c r="C7240" i="38"/>
  <c r="H7239" i="38"/>
  <c r="G7239" i="38"/>
  <c r="E7239" i="38"/>
  <c r="D7239" i="38"/>
  <c r="C7239" i="38"/>
  <c r="H7238" i="38"/>
  <c r="G7238" i="38"/>
  <c r="E7238" i="38"/>
  <c r="D7238" i="38"/>
  <c r="C7238" i="38"/>
  <c r="H7237" i="38"/>
  <c r="G7237" i="38"/>
  <c r="E7237" i="38"/>
  <c r="D7237" i="38"/>
  <c r="C7237" i="38"/>
  <c r="J7236" i="38"/>
  <c r="I7236" i="38"/>
  <c r="H7236" i="38"/>
  <c r="G7236" i="38"/>
  <c r="F7236" i="38"/>
  <c r="E7236" i="38"/>
  <c r="D7236" i="38"/>
  <c r="C7236" i="38"/>
  <c r="J7235" i="38"/>
  <c r="I7235" i="38"/>
  <c r="H7235" i="38"/>
  <c r="G7235" i="38"/>
  <c r="F7235" i="38"/>
  <c r="E7235" i="38"/>
  <c r="D7235" i="38"/>
  <c r="C7235" i="38"/>
  <c r="J7234" i="38"/>
  <c r="I7234" i="38"/>
  <c r="H7234" i="38"/>
  <c r="G7234" i="38"/>
  <c r="F7234" i="38"/>
  <c r="E7234" i="38"/>
  <c r="D7234" i="38"/>
  <c r="C7234" i="38"/>
  <c r="J7233" i="38"/>
  <c r="I7233" i="38"/>
  <c r="H7233" i="38"/>
  <c r="G7233" i="38"/>
  <c r="E7233" i="38"/>
  <c r="D7233" i="38"/>
  <c r="C7233" i="38"/>
  <c r="J7232" i="38"/>
  <c r="I7232" i="38"/>
  <c r="H7232" i="38"/>
  <c r="G7232" i="38"/>
  <c r="F7232" i="38"/>
  <c r="E7232" i="38"/>
  <c r="C7232" i="38"/>
  <c r="H7231" i="38"/>
  <c r="G7231" i="38"/>
  <c r="E7231" i="38"/>
  <c r="C7231" i="38"/>
  <c r="H7230" i="38"/>
  <c r="G7230" i="38"/>
  <c r="E7230" i="38"/>
  <c r="D7230" i="38"/>
  <c r="C7230" i="38"/>
  <c r="H7229" i="38"/>
  <c r="G7229" i="38"/>
  <c r="E7229" i="38"/>
  <c r="D7229" i="38"/>
  <c r="C7229" i="38"/>
  <c r="H7228" i="38"/>
  <c r="G7228" i="38"/>
  <c r="E7228" i="38"/>
  <c r="D7228" i="38"/>
  <c r="C7228" i="38"/>
  <c r="H7227" i="38"/>
  <c r="G7227" i="38"/>
  <c r="E7227" i="38"/>
  <c r="D7227" i="38"/>
  <c r="C7227" i="38"/>
  <c r="J7226" i="38"/>
  <c r="I7226" i="38"/>
  <c r="H7226" i="38"/>
  <c r="G7226" i="38"/>
  <c r="F7226" i="38"/>
  <c r="E7226" i="38"/>
  <c r="D7226" i="38"/>
  <c r="C7226" i="38"/>
  <c r="J7225" i="38"/>
  <c r="I7225" i="38"/>
  <c r="H7225" i="38"/>
  <c r="G7225" i="38"/>
  <c r="F7225" i="38"/>
  <c r="E7225" i="38"/>
  <c r="D7225" i="38"/>
  <c r="C7225" i="38"/>
  <c r="J7224" i="38"/>
  <c r="I7224" i="38"/>
  <c r="H7224" i="38"/>
  <c r="G7224" i="38"/>
  <c r="F7224" i="38"/>
  <c r="E7224" i="38"/>
  <c r="D7224" i="38"/>
  <c r="C7224" i="38"/>
  <c r="J7223" i="38"/>
  <c r="I7223" i="38"/>
  <c r="H7223" i="38"/>
  <c r="G7223" i="38"/>
  <c r="E7223" i="38"/>
  <c r="D7223" i="38"/>
  <c r="C7223" i="38"/>
  <c r="J7222" i="38"/>
  <c r="I7222" i="38"/>
  <c r="H7222" i="38"/>
  <c r="G7222" i="38"/>
  <c r="F7222" i="38"/>
  <c r="E7222" i="38"/>
  <c r="C7222" i="38"/>
  <c r="H7221" i="38"/>
  <c r="G7221" i="38"/>
  <c r="E7221" i="38"/>
  <c r="C7221" i="38"/>
  <c r="H7220" i="38"/>
  <c r="G7220" i="38"/>
  <c r="E7220" i="38"/>
  <c r="D7220" i="38"/>
  <c r="C7220" i="38"/>
  <c r="H7219" i="38"/>
  <c r="G7219" i="38"/>
  <c r="E7219" i="38"/>
  <c r="D7219" i="38"/>
  <c r="C7219" i="38"/>
  <c r="H7218" i="38"/>
  <c r="G7218" i="38"/>
  <c r="E7218" i="38"/>
  <c r="D7218" i="38"/>
  <c r="C7218" i="38"/>
  <c r="H7217" i="38"/>
  <c r="G7217" i="38"/>
  <c r="E7217" i="38"/>
  <c r="D7217" i="38"/>
  <c r="C7217" i="38"/>
  <c r="J7216" i="38"/>
  <c r="I7216" i="38"/>
  <c r="H7216" i="38"/>
  <c r="G7216" i="38"/>
  <c r="F7216" i="38"/>
  <c r="E7216" i="38"/>
  <c r="D7216" i="38"/>
  <c r="C7216" i="38"/>
  <c r="J7215" i="38"/>
  <c r="I7215" i="38"/>
  <c r="H7215" i="38"/>
  <c r="G7215" i="38"/>
  <c r="F7215" i="38"/>
  <c r="E7215" i="38"/>
  <c r="D7215" i="38"/>
  <c r="C7215" i="38"/>
  <c r="J7214" i="38"/>
  <c r="I7214" i="38"/>
  <c r="H7214" i="38"/>
  <c r="G7214" i="38"/>
  <c r="F7214" i="38"/>
  <c r="E7214" i="38"/>
  <c r="D7214" i="38"/>
  <c r="C7214" i="38"/>
  <c r="J7213" i="38"/>
  <c r="I7213" i="38"/>
  <c r="H7213" i="38"/>
  <c r="G7213" i="38"/>
  <c r="E7213" i="38"/>
  <c r="D7213" i="38"/>
  <c r="C7213" i="38"/>
  <c r="J7212" i="38"/>
  <c r="I7212" i="38"/>
  <c r="H7212" i="38"/>
  <c r="G7212" i="38"/>
  <c r="F7212" i="38"/>
  <c r="E7212" i="38"/>
  <c r="C7212" i="38"/>
  <c r="H7211" i="38"/>
  <c r="G7211" i="38"/>
  <c r="E7211" i="38"/>
  <c r="C7211" i="38"/>
  <c r="H7210" i="38"/>
  <c r="G7210" i="38"/>
  <c r="E7210" i="38"/>
  <c r="D7210" i="38"/>
  <c r="C7210" i="38"/>
  <c r="H7209" i="38"/>
  <c r="G7209" i="38"/>
  <c r="E7209" i="38"/>
  <c r="D7209" i="38"/>
  <c r="C7209" i="38"/>
  <c r="H7208" i="38"/>
  <c r="G7208" i="38"/>
  <c r="E7208" i="38"/>
  <c r="D7208" i="38"/>
  <c r="C7208" i="38"/>
  <c r="H7207" i="38"/>
  <c r="G7207" i="38"/>
  <c r="E7207" i="38"/>
  <c r="D7207" i="38"/>
  <c r="C7207" i="38"/>
  <c r="J7206" i="38"/>
  <c r="I7206" i="38"/>
  <c r="H7206" i="38"/>
  <c r="G7206" i="38"/>
  <c r="F7206" i="38"/>
  <c r="E7206" i="38"/>
  <c r="D7206" i="38"/>
  <c r="C7206" i="38"/>
  <c r="J7205" i="38"/>
  <c r="I7205" i="38"/>
  <c r="H7205" i="38"/>
  <c r="G7205" i="38"/>
  <c r="F7205" i="38"/>
  <c r="E7205" i="38"/>
  <c r="D7205" i="38"/>
  <c r="C7205" i="38"/>
  <c r="J7204" i="38"/>
  <c r="I7204" i="38"/>
  <c r="H7204" i="38"/>
  <c r="G7204" i="38"/>
  <c r="F7204" i="38"/>
  <c r="E7204" i="38"/>
  <c r="D7204" i="38"/>
  <c r="C7204" i="38"/>
  <c r="J7203" i="38"/>
  <c r="I7203" i="38"/>
  <c r="H7203" i="38"/>
  <c r="G7203" i="38"/>
  <c r="E7203" i="38"/>
  <c r="D7203" i="38"/>
  <c r="C7203" i="38"/>
  <c r="J7202" i="38"/>
  <c r="I7202" i="38"/>
  <c r="H7202" i="38"/>
  <c r="G7202" i="38"/>
  <c r="F7202" i="38"/>
  <c r="E7202" i="38"/>
  <c r="C7202" i="38"/>
  <c r="H7201" i="38"/>
  <c r="G7201" i="38"/>
  <c r="E7201" i="38"/>
  <c r="C7201" i="38"/>
  <c r="H7200" i="38"/>
  <c r="G7200" i="38"/>
  <c r="E7200" i="38"/>
  <c r="D7200" i="38"/>
  <c r="C7200" i="38"/>
  <c r="H7199" i="38"/>
  <c r="G7199" i="38"/>
  <c r="E7199" i="38"/>
  <c r="D7199" i="38"/>
  <c r="C7199" i="38"/>
  <c r="H7198" i="38"/>
  <c r="G7198" i="38"/>
  <c r="E7198" i="38"/>
  <c r="D7198" i="38"/>
  <c r="C7198" i="38"/>
  <c r="H7197" i="38"/>
  <c r="G7197" i="38"/>
  <c r="E7197" i="38"/>
  <c r="D7197" i="38"/>
  <c r="C7197" i="38"/>
  <c r="J7196" i="38"/>
  <c r="I7196" i="38"/>
  <c r="H7196" i="38"/>
  <c r="G7196" i="38"/>
  <c r="F7196" i="38"/>
  <c r="E7196" i="38"/>
  <c r="D7196" i="38"/>
  <c r="C7196" i="38"/>
  <c r="J7195" i="38"/>
  <c r="I7195" i="38"/>
  <c r="H7195" i="38"/>
  <c r="G7195" i="38"/>
  <c r="F7195" i="38"/>
  <c r="E7195" i="38"/>
  <c r="D7195" i="38"/>
  <c r="C7195" i="38"/>
  <c r="J7194" i="38"/>
  <c r="I7194" i="38"/>
  <c r="H7194" i="38"/>
  <c r="G7194" i="38"/>
  <c r="F7194" i="38"/>
  <c r="E7194" i="38"/>
  <c r="D7194" i="38"/>
  <c r="C7194" i="38"/>
  <c r="J7193" i="38"/>
  <c r="I7193" i="38"/>
  <c r="H7193" i="38"/>
  <c r="G7193" i="38"/>
  <c r="E7193" i="38"/>
  <c r="D7193" i="38"/>
  <c r="C7193" i="38"/>
  <c r="J7192" i="38"/>
  <c r="I7192" i="38"/>
  <c r="H7192" i="38"/>
  <c r="G7192" i="38"/>
  <c r="F7192" i="38"/>
  <c r="E7192" i="38"/>
  <c r="C7192" i="38"/>
  <c r="H7191" i="38"/>
  <c r="G7191" i="38"/>
  <c r="E7191" i="38"/>
  <c r="C7191" i="38"/>
  <c r="J7190" i="38"/>
  <c r="I7190" i="38"/>
  <c r="H7190" i="38"/>
  <c r="G7190" i="38"/>
  <c r="F7190" i="38"/>
  <c r="E7190" i="38"/>
  <c r="D7190" i="38"/>
  <c r="C7190" i="38"/>
  <c r="J7189" i="38"/>
  <c r="I7189" i="38"/>
  <c r="H7189" i="38"/>
  <c r="G7189" i="38"/>
  <c r="F7189" i="38"/>
  <c r="E7189" i="38"/>
  <c r="D7189" i="38"/>
  <c r="C7189" i="38"/>
  <c r="J7188" i="38"/>
  <c r="I7188" i="38"/>
  <c r="H7188" i="38"/>
  <c r="G7188" i="38"/>
  <c r="F7188" i="38"/>
  <c r="E7188" i="38"/>
  <c r="D7188" i="38"/>
  <c r="C7188" i="38"/>
  <c r="J7187" i="38"/>
  <c r="I7187" i="38"/>
  <c r="H7187" i="38"/>
  <c r="G7187" i="38"/>
  <c r="F7187" i="38"/>
  <c r="E7187" i="38"/>
  <c r="D7187" i="38"/>
  <c r="C7187" i="38"/>
  <c r="J7186" i="38"/>
  <c r="I7186" i="38"/>
  <c r="H7186" i="38"/>
  <c r="G7186" i="38"/>
  <c r="F7186" i="38"/>
  <c r="E7186" i="38"/>
  <c r="D7186" i="38"/>
  <c r="C7186" i="38"/>
  <c r="J7185" i="38"/>
  <c r="I7185" i="38"/>
  <c r="H7185" i="38"/>
  <c r="G7185" i="38"/>
  <c r="F7185" i="38"/>
  <c r="E7185" i="38"/>
  <c r="D7185" i="38"/>
  <c r="C7185" i="38"/>
  <c r="J7184" i="38"/>
  <c r="I7184" i="38"/>
  <c r="H7184" i="38"/>
  <c r="G7184" i="38"/>
  <c r="F7184" i="38"/>
  <c r="E7184" i="38"/>
  <c r="D7184" i="38"/>
  <c r="C7184" i="38"/>
  <c r="J7183" i="38"/>
  <c r="I7183" i="38"/>
  <c r="H7183" i="38"/>
  <c r="G7183" i="38"/>
  <c r="F7183" i="38"/>
  <c r="E7183" i="38"/>
  <c r="D7183" i="38"/>
  <c r="C7183" i="38"/>
  <c r="J7182" i="38"/>
  <c r="I7182" i="38"/>
  <c r="H7182" i="38"/>
  <c r="G7182" i="38"/>
  <c r="F7182" i="38"/>
  <c r="E7182" i="38"/>
  <c r="D7182" i="38"/>
  <c r="C7182" i="38"/>
  <c r="J7181" i="38"/>
  <c r="I7181" i="38"/>
  <c r="H7181" i="38"/>
  <c r="G7181" i="38"/>
  <c r="F7181" i="38"/>
  <c r="E7181" i="38"/>
  <c r="D7181" i="38"/>
  <c r="C7181" i="38"/>
  <c r="J7180" i="38"/>
  <c r="I7180" i="38"/>
  <c r="H7180" i="38"/>
  <c r="G7180" i="38"/>
  <c r="F7180" i="38"/>
  <c r="E7180" i="38"/>
  <c r="D7180" i="38"/>
  <c r="C7180" i="38"/>
  <c r="J7179" i="38"/>
  <c r="I7179" i="38"/>
  <c r="H7179" i="38"/>
  <c r="G7179" i="38"/>
  <c r="F7179" i="38"/>
  <c r="E7179" i="38"/>
  <c r="D7179" i="38"/>
  <c r="C7179" i="38"/>
  <c r="J7178" i="38"/>
  <c r="I7178" i="38"/>
  <c r="H7178" i="38"/>
  <c r="G7178" i="38"/>
  <c r="F7178" i="38"/>
  <c r="E7178" i="38"/>
  <c r="D7178" i="38"/>
  <c r="C7178" i="38"/>
  <c r="J7177" i="38"/>
  <c r="I7177" i="38"/>
  <c r="H7177" i="38"/>
  <c r="G7177" i="38"/>
  <c r="F7177" i="38"/>
  <c r="E7177" i="38"/>
  <c r="D7177" i="38"/>
  <c r="C7177" i="38"/>
  <c r="J7176" i="38"/>
  <c r="I7176" i="38"/>
  <c r="H7176" i="38"/>
  <c r="G7176" i="38"/>
  <c r="F7176" i="38"/>
  <c r="E7176" i="38"/>
  <c r="D7176" i="38"/>
  <c r="C7176" i="38"/>
  <c r="J7175" i="38"/>
  <c r="I7175" i="38"/>
  <c r="H7175" i="38"/>
  <c r="G7175" i="38"/>
  <c r="F7175" i="38"/>
  <c r="E7175" i="38"/>
  <c r="D7175" i="38"/>
  <c r="C7175" i="38"/>
  <c r="J7174" i="38"/>
  <c r="I7174" i="38"/>
  <c r="H7174" i="38"/>
  <c r="G7174" i="38"/>
  <c r="F7174" i="38"/>
  <c r="E7174" i="38"/>
  <c r="D7174" i="38"/>
  <c r="C7174" i="38"/>
  <c r="J7173" i="38"/>
  <c r="I7173" i="38"/>
  <c r="H7173" i="38"/>
  <c r="G7173" i="38"/>
  <c r="E7173" i="38"/>
  <c r="D7173" i="38"/>
  <c r="C7173" i="38"/>
  <c r="J7172" i="38"/>
  <c r="I7172" i="38"/>
  <c r="H7172" i="38"/>
  <c r="G7172" i="38"/>
  <c r="F7172" i="38"/>
  <c r="E7172" i="38"/>
  <c r="C7172" i="38"/>
  <c r="H7171" i="38"/>
  <c r="G7171" i="38"/>
  <c r="E7171" i="38"/>
  <c r="C7171" i="38"/>
  <c r="H7170" i="38"/>
  <c r="G7170" i="38"/>
  <c r="E7170" i="38"/>
  <c r="D7170" i="38"/>
  <c r="C7170" i="38"/>
  <c r="H7169" i="38"/>
  <c r="G7169" i="38"/>
  <c r="E7169" i="38"/>
  <c r="D7169" i="38"/>
  <c r="C7169" i="38"/>
  <c r="H7168" i="38"/>
  <c r="G7168" i="38"/>
  <c r="E7168" i="38"/>
  <c r="D7168" i="38"/>
  <c r="C7168" i="38"/>
  <c r="H7167" i="38"/>
  <c r="G7167" i="38"/>
  <c r="E7167" i="38"/>
  <c r="D7167" i="38"/>
  <c r="C7167" i="38"/>
  <c r="J7166" i="38"/>
  <c r="I7166" i="38"/>
  <c r="H7166" i="38"/>
  <c r="G7166" i="38"/>
  <c r="F7166" i="38"/>
  <c r="E7166" i="38"/>
  <c r="D7166" i="38"/>
  <c r="C7166" i="38"/>
  <c r="J7165" i="38"/>
  <c r="I7165" i="38"/>
  <c r="H7165" i="38"/>
  <c r="G7165" i="38"/>
  <c r="F7165" i="38"/>
  <c r="E7165" i="38"/>
  <c r="D7165" i="38"/>
  <c r="C7165" i="38"/>
  <c r="J7164" i="38"/>
  <c r="I7164" i="38"/>
  <c r="H7164" i="38"/>
  <c r="G7164" i="38"/>
  <c r="F7164" i="38"/>
  <c r="E7164" i="38"/>
  <c r="D7164" i="38"/>
  <c r="C7164" i="38"/>
  <c r="J7163" i="38"/>
  <c r="I7163" i="38"/>
  <c r="H7163" i="38"/>
  <c r="G7163" i="38"/>
  <c r="E7163" i="38"/>
  <c r="D7163" i="38"/>
  <c r="C7163" i="38"/>
  <c r="J7162" i="38"/>
  <c r="I7162" i="38"/>
  <c r="H7162" i="38"/>
  <c r="G7162" i="38"/>
  <c r="F7162" i="38"/>
  <c r="E7162" i="38"/>
  <c r="C7162" i="38"/>
  <c r="H7161" i="38"/>
  <c r="G7161" i="38"/>
  <c r="E7161" i="38"/>
  <c r="C7161" i="38"/>
  <c r="H7160" i="38"/>
  <c r="G7160" i="38"/>
  <c r="E7160" i="38"/>
  <c r="D7160" i="38"/>
  <c r="C7160" i="38"/>
  <c r="H7159" i="38"/>
  <c r="G7159" i="38"/>
  <c r="E7159" i="38"/>
  <c r="D7159" i="38"/>
  <c r="C7159" i="38"/>
  <c r="H7158" i="38"/>
  <c r="G7158" i="38"/>
  <c r="E7158" i="38"/>
  <c r="D7158" i="38"/>
  <c r="C7158" i="38"/>
  <c r="H7157" i="38"/>
  <c r="G7157" i="38"/>
  <c r="E7157" i="38"/>
  <c r="D7157" i="38"/>
  <c r="C7157" i="38"/>
  <c r="J7156" i="38"/>
  <c r="I7156" i="38"/>
  <c r="H7156" i="38"/>
  <c r="G7156" i="38"/>
  <c r="F7156" i="38"/>
  <c r="E7156" i="38"/>
  <c r="D7156" i="38"/>
  <c r="C7156" i="38"/>
  <c r="J7155" i="38"/>
  <c r="I7155" i="38"/>
  <c r="H7155" i="38"/>
  <c r="G7155" i="38"/>
  <c r="F7155" i="38"/>
  <c r="E7155" i="38"/>
  <c r="D7155" i="38"/>
  <c r="C7155" i="38"/>
  <c r="J7154" i="38"/>
  <c r="I7154" i="38"/>
  <c r="H7154" i="38"/>
  <c r="G7154" i="38"/>
  <c r="F7154" i="38"/>
  <c r="E7154" i="38"/>
  <c r="D7154" i="38"/>
  <c r="C7154" i="38"/>
  <c r="J7153" i="38"/>
  <c r="I7153" i="38"/>
  <c r="H7153" i="38"/>
  <c r="G7153" i="38"/>
  <c r="E7153" i="38"/>
  <c r="D7153" i="38"/>
  <c r="C7153" i="38"/>
  <c r="J7152" i="38"/>
  <c r="I7152" i="38"/>
  <c r="H7152" i="38"/>
  <c r="G7152" i="38"/>
  <c r="F7152" i="38"/>
  <c r="E7152" i="38"/>
  <c r="C7152" i="38"/>
  <c r="H7151" i="38"/>
  <c r="G7151" i="38"/>
  <c r="E7151" i="38"/>
  <c r="C7151" i="38"/>
  <c r="H7150" i="38"/>
  <c r="G7150" i="38"/>
  <c r="E7150" i="38"/>
  <c r="D7150" i="38"/>
  <c r="C7150" i="38"/>
  <c r="H7149" i="38"/>
  <c r="G7149" i="38"/>
  <c r="E7149" i="38"/>
  <c r="D7149" i="38"/>
  <c r="C7149" i="38"/>
  <c r="H7148" i="38"/>
  <c r="G7148" i="38"/>
  <c r="E7148" i="38"/>
  <c r="D7148" i="38"/>
  <c r="C7148" i="38"/>
  <c r="H7147" i="38"/>
  <c r="G7147" i="38"/>
  <c r="E7147" i="38"/>
  <c r="D7147" i="38"/>
  <c r="C7147" i="38"/>
  <c r="J7146" i="38"/>
  <c r="I7146" i="38"/>
  <c r="H7146" i="38"/>
  <c r="G7146" i="38"/>
  <c r="F7146" i="38"/>
  <c r="E7146" i="38"/>
  <c r="D7146" i="38"/>
  <c r="C7146" i="38"/>
  <c r="J7145" i="38"/>
  <c r="I7145" i="38"/>
  <c r="H7145" i="38"/>
  <c r="G7145" i="38"/>
  <c r="F7145" i="38"/>
  <c r="E7145" i="38"/>
  <c r="D7145" i="38"/>
  <c r="C7145" i="38"/>
  <c r="J7144" i="38"/>
  <c r="I7144" i="38"/>
  <c r="H7144" i="38"/>
  <c r="G7144" i="38"/>
  <c r="F7144" i="38"/>
  <c r="E7144" i="38"/>
  <c r="D7144" i="38"/>
  <c r="C7144" i="38"/>
  <c r="J7143" i="38"/>
  <c r="I7143" i="38"/>
  <c r="H7143" i="38"/>
  <c r="G7143" i="38"/>
  <c r="E7143" i="38"/>
  <c r="D7143" i="38"/>
  <c r="C7143" i="38"/>
  <c r="J7142" i="38"/>
  <c r="I7142" i="38"/>
  <c r="H7142" i="38"/>
  <c r="G7142" i="38"/>
  <c r="F7142" i="38"/>
  <c r="E7142" i="38"/>
  <c r="C7142" i="38"/>
  <c r="H7141" i="38"/>
  <c r="G7141" i="38"/>
  <c r="E7141" i="38"/>
  <c r="C7141" i="38"/>
  <c r="H7140" i="38"/>
  <c r="G7140" i="38"/>
  <c r="E7140" i="38"/>
  <c r="D7140" i="38"/>
  <c r="C7140" i="38"/>
  <c r="H7139" i="38"/>
  <c r="G7139" i="38"/>
  <c r="E7139" i="38"/>
  <c r="D7139" i="38"/>
  <c r="C7139" i="38"/>
  <c r="H7138" i="38"/>
  <c r="G7138" i="38"/>
  <c r="E7138" i="38"/>
  <c r="D7138" i="38"/>
  <c r="C7138" i="38"/>
  <c r="H7137" i="38"/>
  <c r="G7137" i="38"/>
  <c r="E7137" i="38"/>
  <c r="D7137" i="38"/>
  <c r="C7137" i="38"/>
  <c r="J7136" i="38"/>
  <c r="I7136" i="38"/>
  <c r="H7136" i="38"/>
  <c r="G7136" i="38"/>
  <c r="F7136" i="38"/>
  <c r="E7136" i="38"/>
  <c r="D7136" i="38"/>
  <c r="C7136" i="38"/>
  <c r="J7135" i="38"/>
  <c r="I7135" i="38"/>
  <c r="H7135" i="38"/>
  <c r="G7135" i="38"/>
  <c r="F7135" i="38"/>
  <c r="E7135" i="38"/>
  <c r="D7135" i="38"/>
  <c r="C7135" i="38"/>
  <c r="J7134" i="38"/>
  <c r="I7134" i="38"/>
  <c r="H7134" i="38"/>
  <c r="G7134" i="38"/>
  <c r="F7134" i="38"/>
  <c r="E7134" i="38"/>
  <c r="D7134" i="38"/>
  <c r="C7134" i="38"/>
  <c r="J7133" i="38"/>
  <c r="I7133" i="38"/>
  <c r="H7133" i="38"/>
  <c r="G7133" i="38"/>
  <c r="E7133" i="38"/>
  <c r="D7133" i="38"/>
  <c r="C7133" i="38"/>
  <c r="J7132" i="38"/>
  <c r="I7132" i="38"/>
  <c r="H7132" i="38"/>
  <c r="G7132" i="38"/>
  <c r="F7132" i="38"/>
  <c r="E7132" i="38"/>
  <c r="C7132" i="38"/>
  <c r="H7131" i="38"/>
  <c r="G7131" i="38"/>
  <c r="E7131" i="38"/>
  <c r="C7131" i="38"/>
  <c r="H7130" i="38"/>
  <c r="G7130" i="38"/>
  <c r="E7130" i="38"/>
  <c r="D7130" i="38"/>
  <c r="C7130" i="38"/>
  <c r="H7129" i="38"/>
  <c r="G7129" i="38"/>
  <c r="E7129" i="38"/>
  <c r="D7129" i="38"/>
  <c r="C7129" i="38"/>
  <c r="H7128" i="38"/>
  <c r="G7128" i="38"/>
  <c r="E7128" i="38"/>
  <c r="D7128" i="38"/>
  <c r="C7128" i="38"/>
  <c r="H7127" i="38"/>
  <c r="G7127" i="38"/>
  <c r="E7127" i="38"/>
  <c r="D7127" i="38"/>
  <c r="C7127" i="38"/>
  <c r="J7126" i="38"/>
  <c r="I7126" i="38"/>
  <c r="H7126" i="38"/>
  <c r="G7126" i="38"/>
  <c r="F7126" i="38"/>
  <c r="E7126" i="38"/>
  <c r="D7126" i="38"/>
  <c r="C7126" i="38"/>
  <c r="J7125" i="38"/>
  <c r="I7125" i="38"/>
  <c r="H7125" i="38"/>
  <c r="G7125" i="38"/>
  <c r="F7125" i="38"/>
  <c r="E7125" i="38"/>
  <c r="D7125" i="38"/>
  <c r="C7125" i="38"/>
  <c r="J7124" i="38"/>
  <c r="I7124" i="38"/>
  <c r="H7124" i="38"/>
  <c r="G7124" i="38"/>
  <c r="F7124" i="38"/>
  <c r="E7124" i="38"/>
  <c r="D7124" i="38"/>
  <c r="C7124" i="38"/>
  <c r="J7123" i="38"/>
  <c r="I7123" i="38"/>
  <c r="H7123" i="38"/>
  <c r="G7123" i="38"/>
  <c r="E7123" i="38"/>
  <c r="D7123" i="38"/>
  <c r="C7123" i="38"/>
  <c r="J7122" i="38"/>
  <c r="I7122" i="38"/>
  <c r="H7122" i="38"/>
  <c r="G7122" i="38"/>
  <c r="F7122" i="38"/>
  <c r="E7122" i="38"/>
  <c r="C7122" i="38"/>
  <c r="H7121" i="38"/>
  <c r="G7121" i="38"/>
  <c r="E7121" i="38"/>
  <c r="C7121" i="38"/>
  <c r="H7120" i="38"/>
  <c r="G7120" i="38"/>
  <c r="E7120" i="38"/>
  <c r="D7120" i="38"/>
  <c r="C7120" i="38"/>
  <c r="H7119" i="38"/>
  <c r="G7119" i="38"/>
  <c r="E7119" i="38"/>
  <c r="D7119" i="38"/>
  <c r="C7119" i="38"/>
  <c r="H7118" i="38"/>
  <c r="G7118" i="38"/>
  <c r="E7118" i="38"/>
  <c r="D7118" i="38"/>
  <c r="C7118" i="38"/>
  <c r="H7117" i="38"/>
  <c r="G7117" i="38"/>
  <c r="E7117" i="38"/>
  <c r="D7117" i="38"/>
  <c r="C7117" i="38"/>
  <c r="J7116" i="38"/>
  <c r="I7116" i="38"/>
  <c r="H7116" i="38"/>
  <c r="G7116" i="38"/>
  <c r="F7116" i="38"/>
  <c r="E7116" i="38"/>
  <c r="D7116" i="38"/>
  <c r="C7116" i="38"/>
  <c r="J7115" i="38"/>
  <c r="I7115" i="38"/>
  <c r="H7115" i="38"/>
  <c r="G7115" i="38"/>
  <c r="F7115" i="38"/>
  <c r="E7115" i="38"/>
  <c r="D7115" i="38"/>
  <c r="C7115" i="38"/>
  <c r="J7114" i="38"/>
  <c r="I7114" i="38"/>
  <c r="H7114" i="38"/>
  <c r="G7114" i="38"/>
  <c r="F7114" i="38"/>
  <c r="E7114" i="38"/>
  <c r="D7114" i="38"/>
  <c r="C7114" i="38"/>
  <c r="J7113" i="38"/>
  <c r="I7113" i="38"/>
  <c r="H7113" i="38"/>
  <c r="G7113" i="38"/>
  <c r="E7113" i="38"/>
  <c r="D7113" i="38"/>
  <c r="C7113" i="38"/>
  <c r="J7112" i="38"/>
  <c r="I7112" i="38"/>
  <c r="H7112" i="38"/>
  <c r="G7112" i="38"/>
  <c r="F7112" i="38"/>
  <c r="E7112" i="38"/>
  <c r="C7112" i="38"/>
  <c r="H7111" i="38"/>
  <c r="G7111" i="38"/>
  <c r="E7111" i="38"/>
  <c r="C7111" i="38"/>
  <c r="H7110" i="38"/>
  <c r="G7110" i="38"/>
  <c r="E7110" i="38"/>
  <c r="D7110" i="38"/>
  <c r="C7110" i="38"/>
  <c r="H7109" i="38"/>
  <c r="G7109" i="38"/>
  <c r="E7109" i="38"/>
  <c r="D7109" i="38"/>
  <c r="C7109" i="38"/>
  <c r="H7108" i="38"/>
  <c r="G7108" i="38"/>
  <c r="E7108" i="38"/>
  <c r="D7108" i="38"/>
  <c r="C7108" i="38"/>
  <c r="H7107" i="38"/>
  <c r="G7107" i="38"/>
  <c r="E7107" i="38"/>
  <c r="D7107" i="38"/>
  <c r="C7107" i="38"/>
  <c r="J7106" i="38"/>
  <c r="I7106" i="38"/>
  <c r="H7106" i="38"/>
  <c r="G7106" i="38"/>
  <c r="F7106" i="38"/>
  <c r="E7106" i="38"/>
  <c r="D7106" i="38"/>
  <c r="C7106" i="38"/>
  <c r="J7105" i="38"/>
  <c r="I7105" i="38"/>
  <c r="H7105" i="38"/>
  <c r="G7105" i="38"/>
  <c r="F7105" i="38"/>
  <c r="E7105" i="38"/>
  <c r="D7105" i="38"/>
  <c r="C7105" i="38"/>
  <c r="J7104" i="38"/>
  <c r="I7104" i="38"/>
  <c r="H7104" i="38"/>
  <c r="G7104" i="38"/>
  <c r="F7104" i="38"/>
  <c r="E7104" i="38"/>
  <c r="D7104" i="38"/>
  <c r="C7104" i="38"/>
  <c r="J7103" i="38"/>
  <c r="I7103" i="38"/>
  <c r="H7103" i="38"/>
  <c r="G7103" i="38"/>
  <c r="E7103" i="38"/>
  <c r="D7103" i="38"/>
  <c r="C7103" i="38"/>
  <c r="J7102" i="38"/>
  <c r="I7102" i="38"/>
  <c r="H7102" i="38"/>
  <c r="G7102" i="38"/>
  <c r="F7102" i="38"/>
  <c r="E7102" i="38"/>
  <c r="C7102" i="38"/>
  <c r="H7101" i="38"/>
  <c r="G7101" i="38"/>
  <c r="E7101" i="38"/>
  <c r="C7101" i="38"/>
  <c r="H7100" i="38"/>
  <c r="G7100" i="38"/>
  <c r="E7100" i="38"/>
  <c r="D7100" i="38"/>
  <c r="C7100" i="38"/>
  <c r="H7099" i="38"/>
  <c r="G7099" i="38"/>
  <c r="E7099" i="38"/>
  <c r="D7099" i="38"/>
  <c r="C7099" i="38"/>
  <c r="H7098" i="38"/>
  <c r="G7098" i="38"/>
  <c r="E7098" i="38"/>
  <c r="D7098" i="38"/>
  <c r="C7098" i="38"/>
  <c r="H7097" i="38"/>
  <c r="G7097" i="38"/>
  <c r="E7097" i="38"/>
  <c r="D7097" i="38"/>
  <c r="C7097" i="38"/>
  <c r="J7096" i="38"/>
  <c r="I7096" i="38"/>
  <c r="H7096" i="38"/>
  <c r="G7096" i="38"/>
  <c r="F7096" i="38"/>
  <c r="E7096" i="38"/>
  <c r="D7096" i="38"/>
  <c r="C7096" i="38"/>
  <c r="J7095" i="38"/>
  <c r="I7095" i="38"/>
  <c r="H7095" i="38"/>
  <c r="G7095" i="38"/>
  <c r="F7095" i="38"/>
  <c r="E7095" i="38"/>
  <c r="D7095" i="38"/>
  <c r="C7095" i="38"/>
  <c r="J7094" i="38"/>
  <c r="I7094" i="38"/>
  <c r="H7094" i="38"/>
  <c r="G7094" i="38"/>
  <c r="F7094" i="38"/>
  <c r="E7094" i="38"/>
  <c r="D7094" i="38"/>
  <c r="C7094" i="38"/>
  <c r="J7093" i="38"/>
  <c r="I7093" i="38"/>
  <c r="H7093" i="38"/>
  <c r="G7093" i="38"/>
  <c r="E7093" i="38"/>
  <c r="D7093" i="38"/>
  <c r="C7093" i="38"/>
  <c r="J7092" i="38"/>
  <c r="I7092" i="38"/>
  <c r="H7092" i="38"/>
  <c r="G7092" i="38"/>
  <c r="F7092" i="38"/>
  <c r="E7092" i="38"/>
  <c r="C7092" i="38"/>
  <c r="H7091" i="38"/>
  <c r="G7091" i="38"/>
  <c r="E7091" i="38"/>
  <c r="C7091" i="38"/>
  <c r="H7090" i="38"/>
  <c r="G7090" i="38"/>
  <c r="E7090" i="38"/>
  <c r="D7090" i="38"/>
  <c r="C7090" i="38"/>
  <c r="H7089" i="38"/>
  <c r="G7089" i="38"/>
  <c r="E7089" i="38"/>
  <c r="D7089" i="38"/>
  <c r="C7089" i="38"/>
  <c r="H7088" i="38"/>
  <c r="G7088" i="38"/>
  <c r="E7088" i="38"/>
  <c r="D7088" i="38"/>
  <c r="C7088" i="38"/>
  <c r="H7087" i="38"/>
  <c r="G7087" i="38"/>
  <c r="E7087" i="38"/>
  <c r="D7087" i="38"/>
  <c r="C7087" i="38"/>
  <c r="J7086" i="38"/>
  <c r="I7086" i="38"/>
  <c r="H7086" i="38"/>
  <c r="G7086" i="38"/>
  <c r="F7086" i="38"/>
  <c r="E7086" i="38"/>
  <c r="D7086" i="38"/>
  <c r="C7086" i="38"/>
  <c r="J7085" i="38"/>
  <c r="I7085" i="38"/>
  <c r="H7085" i="38"/>
  <c r="G7085" i="38"/>
  <c r="F7085" i="38"/>
  <c r="E7085" i="38"/>
  <c r="D7085" i="38"/>
  <c r="C7085" i="38"/>
  <c r="J7084" i="38"/>
  <c r="I7084" i="38"/>
  <c r="H7084" i="38"/>
  <c r="G7084" i="38"/>
  <c r="F7084" i="38"/>
  <c r="E7084" i="38"/>
  <c r="D7084" i="38"/>
  <c r="C7084" i="38"/>
  <c r="J7083" i="38"/>
  <c r="I7083" i="38"/>
  <c r="H7083" i="38"/>
  <c r="G7083" i="38"/>
  <c r="E7083" i="38"/>
  <c r="D7083" i="38"/>
  <c r="C7083" i="38"/>
  <c r="J7082" i="38"/>
  <c r="I7082" i="38"/>
  <c r="H7082" i="38"/>
  <c r="G7082" i="38"/>
  <c r="F7082" i="38"/>
  <c r="E7082" i="38"/>
  <c r="C7082" i="38"/>
  <c r="H7081" i="38"/>
  <c r="G7081" i="38"/>
  <c r="E7081" i="38"/>
  <c r="C7081" i="38"/>
  <c r="H7080" i="38"/>
  <c r="G7080" i="38"/>
  <c r="E7080" i="38"/>
  <c r="D7080" i="38"/>
  <c r="C7080" i="38"/>
  <c r="H7079" i="38"/>
  <c r="G7079" i="38"/>
  <c r="E7079" i="38"/>
  <c r="D7079" i="38"/>
  <c r="C7079" i="38"/>
  <c r="H7078" i="38"/>
  <c r="G7078" i="38"/>
  <c r="E7078" i="38"/>
  <c r="D7078" i="38"/>
  <c r="C7078" i="38"/>
  <c r="H7077" i="38"/>
  <c r="G7077" i="38"/>
  <c r="E7077" i="38"/>
  <c r="D7077" i="38"/>
  <c r="C7077" i="38"/>
  <c r="J7076" i="38"/>
  <c r="I7076" i="38"/>
  <c r="H7076" i="38"/>
  <c r="G7076" i="38"/>
  <c r="F7076" i="38"/>
  <c r="E7076" i="38"/>
  <c r="D7076" i="38"/>
  <c r="C7076" i="38"/>
  <c r="J7075" i="38"/>
  <c r="I7075" i="38"/>
  <c r="H7075" i="38"/>
  <c r="G7075" i="38"/>
  <c r="F7075" i="38"/>
  <c r="E7075" i="38"/>
  <c r="D7075" i="38"/>
  <c r="C7075" i="38"/>
  <c r="J7074" i="38"/>
  <c r="I7074" i="38"/>
  <c r="H7074" i="38"/>
  <c r="G7074" i="38"/>
  <c r="F7074" i="38"/>
  <c r="E7074" i="38"/>
  <c r="D7074" i="38"/>
  <c r="C7074" i="38"/>
  <c r="J7073" i="38"/>
  <c r="I7073" i="38"/>
  <c r="H7073" i="38"/>
  <c r="G7073" i="38"/>
  <c r="E7073" i="38"/>
  <c r="D7073" i="38"/>
  <c r="C7073" i="38"/>
  <c r="J7072" i="38"/>
  <c r="I7072" i="38"/>
  <c r="H7072" i="38"/>
  <c r="G7072" i="38"/>
  <c r="F7072" i="38"/>
  <c r="E7072" i="38"/>
  <c r="C7072" i="38"/>
  <c r="H7071" i="38"/>
  <c r="G7071" i="38"/>
  <c r="E7071" i="38"/>
  <c r="C7071" i="38"/>
  <c r="H7070" i="38"/>
  <c r="G7070" i="38"/>
  <c r="E7070" i="38"/>
  <c r="D7070" i="38"/>
  <c r="C7070" i="38"/>
  <c r="H7069" i="38"/>
  <c r="G7069" i="38"/>
  <c r="E7069" i="38"/>
  <c r="D7069" i="38"/>
  <c r="C7069" i="38"/>
  <c r="H7068" i="38"/>
  <c r="G7068" i="38"/>
  <c r="E7068" i="38"/>
  <c r="D7068" i="38"/>
  <c r="C7068" i="38"/>
  <c r="H7067" i="38"/>
  <c r="G7067" i="38"/>
  <c r="E7067" i="38"/>
  <c r="D7067" i="38"/>
  <c r="C7067" i="38"/>
  <c r="J7066" i="38"/>
  <c r="I7066" i="38"/>
  <c r="H7066" i="38"/>
  <c r="G7066" i="38"/>
  <c r="F7066" i="38"/>
  <c r="E7066" i="38"/>
  <c r="D7066" i="38"/>
  <c r="C7066" i="38"/>
  <c r="J7065" i="38"/>
  <c r="I7065" i="38"/>
  <c r="H7065" i="38"/>
  <c r="G7065" i="38"/>
  <c r="F7065" i="38"/>
  <c r="E7065" i="38"/>
  <c r="D7065" i="38"/>
  <c r="C7065" i="38"/>
  <c r="J7064" i="38"/>
  <c r="I7064" i="38"/>
  <c r="H7064" i="38"/>
  <c r="G7064" i="38"/>
  <c r="F7064" i="38"/>
  <c r="E7064" i="38"/>
  <c r="D7064" i="38"/>
  <c r="C7064" i="38"/>
  <c r="J7063" i="38"/>
  <c r="I7063" i="38"/>
  <c r="H7063" i="38"/>
  <c r="G7063" i="38"/>
  <c r="E7063" i="38"/>
  <c r="D7063" i="38"/>
  <c r="C7063" i="38"/>
  <c r="J7062" i="38"/>
  <c r="I7062" i="38"/>
  <c r="H7062" i="38"/>
  <c r="G7062" i="38"/>
  <c r="F7062" i="38"/>
  <c r="E7062" i="38"/>
  <c r="C7062" i="38"/>
  <c r="H7061" i="38"/>
  <c r="G7061" i="38"/>
  <c r="E7061" i="38"/>
  <c r="C7061" i="38"/>
  <c r="H7060" i="38"/>
  <c r="G7060" i="38"/>
  <c r="E7060" i="38"/>
  <c r="D7060" i="38"/>
  <c r="C7060" i="38"/>
  <c r="H7059" i="38"/>
  <c r="G7059" i="38"/>
  <c r="E7059" i="38"/>
  <c r="D7059" i="38"/>
  <c r="C7059" i="38"/>
  <c r="H7058" i="38"/>
  <c r="G7058" i="38"/>
  <c r="E7058" i="38"/>
  <c r="D7058" i="38"/>
  <c r="C7058" i="38"/>
  <c r="H7057" i="38"/>
  <c r="G7057" i="38"/>
  <c r="E7057" i="38"/>
  <c r="D7057" i="38"/>
  <c r="C7057" i="38"/>
  <c r="J7056" i="38"/>
  <c r="I7056" i="38"/>
  <c r="H7056" i="38"/>
  <c r="G7056" i="38"/>
  <c r="F7056" i="38"/>
  <c r="E7056" i="38"/>
  <c r="D7056" i="38"/>
  <c r="C7056" i="38"/>
  <c r="J7055" i="38"/>
  <c r="I7055" i="38"/>
  <c r="H7055" i="38"/>
  <c r="G7055" i="38"/>
  <c r="F7055" i="38"/>
  <c r="E7055" i="38"/>
  <c r="D7055" i="38"/>
  <c r="C7055" i="38"/>
  <c r="J7054" i="38"/>
  <c r="I7054" i="38"/>
  <c r="H7054" i="38"/>
  <c r="G7054" i="38"/>
  <c r="F7054" i="38"/>
  <c r="E7054" i="38"/>
  <c r="D7054" i="38"/>
  <c r="C7054" i="38"/>
  <c r="J7053" i="38"/>
  <c r="I7053" i="38"/>
  <c r="H7053" i="38"/>
  <c r="G7053" i="38"/>
  <c r="E7053" i="38"/>
  <c r="D7053" i="38"/>
  <c r="C7053" i="38"/>
  <c r="J7052" i="38"/>
  <c r="I7052" i="38"/>
  <c r="H7052" i="38"/>
  <c r="G7052" i="38"/>
  <c r="F7052" i="38"/>
  <c r="E7052" i="38"/>
  <c r="C7052" i="38"/>
  <c r="H7051" i="38"/>
  <c r="G7051" i="38"/>
  <c r="E7051" i="38"/>
  <c r="C7051" i="38"/>
  <c r="H7050" i="38"/>
  <c r="G7050" i="38"/>
  <c r="E7050" i="38"/>
  <c r="D7050" i="38"/>
  <c r="C7050" i="38"/>
  <c r="H7049" i="38"/>
  <c r="G7049" i="38"/>
  <c r="E7049" i="38"/>
  <c r="D7049" i="38"/>
  <c r="C7049" i="38"/>
  <c r="H7048" i="38"/>
  <c r="G7048" i="38"/>
  <c r="E7048" i="38"/>
  <c r="D7048" i="38"/>
  <c r="C7048" i="38"/>
  <c r="H7047" i="38"/>
  <c r="G7047" i="38"/>
  <c r="E7047" i="38"/>
  <c r="D7047" i="38"/>
  <c r="C7047" i="38"/>
  <c r="J7046" i="38"/>
  <c r="I7046" i="38"/>
  <c r="H7046" i="38"/>
  <c r="G7046" i="38"/>
  <c r="F7046" i="38"/>
  <c r="E7046" i="38"/>
  <c r="D7046" i="38"/>
  <c r="C7046" i="38"/>
  <c r="J7045" i="38"/>
  <c r="I7045" i="38"/>
  <c r="H7045" i="38"/>
  <c r="G7045" i="38"/>
  <c r="F7045" i="38"/>
  <c r="E7045" i="38"/>
  <c r="D7045" i="38"/>
  <c r="C7045" i="38"/>
  <c r="J7044" i="38"/>
  <c r="I7044" i="38"/>
  <c r="H7044" i="38"/>
  <c r="G7044" i="38"/>
  <c r="F7044" i="38"/>
  <c r="E7044" i="38"/>
  <c r="D7044" i="38"/>
  <c r="C7044" i="38"/>
  <c r="J7043" i="38"/>
  <c r="I7043" i="38"/>
  <c r="H7043" i="38"/>
  <c r="G7043" i="38"/>
  <c r="E7043" i="38"/>
  <c r="D7043" i="38"/>
  <c r="C7043" i="38"/>
  <c r="J7042" i="38"/>
  <c r="I7042" i="38"/>
  <c r="H7042" i="38"/>
  <c r="G7042" i="38"/>
  <c r="F7042" i="38"/>
  <c r="E7042" i="38"/>
  <c r="C7042" i="38"/>
  <c r="H7041" i="38"/>
  <c r="G7041" i="38"/>
  <c r="E7041" i="38"/>
  <c r="C7041" i="38"/>
  <c r="H7040" i="38"/>
  <c r="G7040" i="38"/>
  <c r="E7040" i="38"/>
  <c r="D7040" i="38"/>
  <c r="C7040" i="38"/>
  <c r="H7039" i="38"/>
  <c r="G7039" i="38"/>
  <c r="E7039" i="38"/>
  <c r="D7039" i="38"/>
  <c r="C7039" i="38"/>
  <c r="H7038" i="38"/>
  <c r="G7038" i="38"/>
  <c r="E7038" i="38"/>
  <c r="D7038" i="38"/>
  <c r="C7038" i="38"/>
  <c r="H7037" i="38"/>
  <c r="G7037" i="38"/>
  <c r="E7037" i="38"/>
  <c r="D7037" i="38"/>
  <c r="C7037" i="38"/>
  <c r="J7036" i="38"/>
  <c r="I7036" i="38"/>
  <c r="H7036" i="38"/>
  <c r="G7036" i="38"/>
  <c r="F7036" i="38"/>
  <c r="E7036" i="38"/>
  <c r="D7036" i="38"/>
  <c r="C7036" i="38"/>
  <c r="J7035" i="38"/>
  <c r="I7035" i="38"/>
  <c r="H7035" i="38"/>
  <c r="G7035" i="38"/>
  <c r="F7035" i="38"/>
  <c r="E7035" i="38"/>
  <c r="D7035" i="38"/>
  <c r="C7035" i="38"/>
  <c r="J7034" i="38"/>
  <c r="I7034" i="38"/>
  <c r="H7034" i="38"/>
  <c r="G7034" i="38"/>
  <c r="F7034" i="38"/>
  <c r="E7034" i="38"/>
  <c r="D7034" i="38"/>
  <c r="C7034" i="38"/>
  <c r="J7033" i="38"/>
  <c r="I7033" i="38"/>
  <c r="H7033" i="38"/>
  <c r="G7033" i="38"/>
  <c r="E7033" i="38"/>
  <c r="D7033" i="38"/>
  <c r="C7033" i="38"/>
  <c r="J7032" i="38"/>
  <c r="I7032" i="38"/>
  <c r="H7032" i="38"/>
  <c r="G7032" i="38"/>
  <c r="F7032" i="38"/>
  <c r="E7032" i="38"/>
  <c r="C7032" i="38"/>
  <c r="H7031" i="38"/>
  <c r="G7031" i="38"/>
  <c r="E7031" i="38"/>
  <c r="C7031" i="38"/>
  <c r="H7030" i="38"/>
  <c r="G7030" i="38"/>
  <c r="E7030" i="38"/>
  <c r="D7030" i="38"/>
  <c r="C7030" i="38"/>
  <c r="H7029" i="38"/>
  <c r="G7029" i="38"/>
  <c r="E7029" i="38"/>
  <c r="D7029" i="38"/>
  <c r="C7029" i="38"/>
  <c r="H7028" i="38"/>
  <c r="G7028" i="38"/>
  <c r="E7028" i="38"/>
  <c r="D7028" i="38"/>
  <c r="C7028" i="38"/>
  <c r="H7027" i="38"/>
  <c r="G7027" i="38"/>
  <c r="E7027" i="38"/>
  <c r="D7027" i="38"/>
  <c r="C7027" i="38"/>
  <c r="J7026" i="38"/>
  <c r="I7026" i="38"/>
  <c r="H7026" i="38"/>
  <c r="G7026" i="38"/>
  <c r="F7026" i="38"/>
  <c r="E7026" i="38"/>
  <c r="D7026" i="38"/>
  <c r="C7026" i="38"/>
  <c r="J7025" i="38"/>
  <c r="I7025" i="38"/>
  <c r="H7025" i="38"/>
  <c r="G7025" i="38"/>
  <c r="F7025" i="38"/>
  <c r="E7025" i="38"/>
  <c r="D7025" i="38"/>
  <c r="C7025" i="38"/>
  <c r="J7024" i="38"/>
  <c r="I7024" i="38"/>
  <c r="H7024" i="38"/>
  <c r="G7024" i="38"/>
  <c r="F7024" i="38"/>
  <c r="E7024" i="38"/>
  <c r="D7024" i="38"/>
  <c r="C7024" i="38"/>
  <c r="J7023" i="38"/>
  <c r="I7023" i="38"/>
  <c r="H7023" i="38"/>
  <c r="G7023" i="38"/>
  <c r="E7023" i="38"/>
  <c r="D7023" i="38"/>
  <c r="C7023" i="38"/>
  <c r="J7022" i="38"/>
  <c r="I7022" i="38"/>
  <c r="H7022" i="38"/>
  <c r="G7022" i="38"/>
  <c r="F7022" i="38"/>
  <c r="E7022" i="38"/>
  <c r="C7022" i="38"/>
  <c r="H7021" i="38"/>
  <c r="G7021" i="38"/>
  <c r="E7021" i="38"/>
  <c r="C7021" i="38"/>
  <c r="H7020" i="38"/>
  <c r="G7020" i="38"/>
  <c r="E7020" i="38"/>
  <c r="D7020" i="38"/>
  <c r="C7020" i="38"/>
  <c r="H7019" i="38"/>
  <c r="G7019" i="38"/>
  <c r="E7019" i="38"/>
  <c r="D7019" i="38"/>
  <c r="C7019" i="38"/>
  <c r="H7018" i="38"/>
  <c r="G7018" i="38"/>
  <c r="E7018" i="38"/>
  <c r="D7018" i="38"/>
  <c r="C7018" i="38"/>
  <c r="H7017" i="38"/>
  <c r="G7017" i="38"/>
  <c r="E7017" i="38"/>
  <c r="D7017" i="38"/>
  <c r="C7017" i="38"/>
  <c r="J7016" i="38"/>
  <c r="I7016" i="38"/>
  <c r="H7016" i="38"/>
  <c r="G7016" i="38"/>
  <c r="F7016" i="38"/>
  <c r="E7016" i="38"/>
  <c r="D7016" i="38"/>
  <c r="C7016" i="38"/>
  <c r="J7015" i="38"/>
  <c r="I7015" i="38"/>
  <c r="H7015" i="38"/>
  <c r="G7015" i="38"/>
  <c r="F7015" i="38"/>
  <c r="E7015" i="38"/>
  <c r="D7015" i="38"/>
  <c r="C7015" i="38"/>
  <c r="J7014" i="38"/>
  <c r="I7014" i="38"/>
  <c r="H7014" i="38"/>
  <c r="G7014" i="38"/>
  <c r="F7014" i="38"/>
  <c r="E7014" i="38"/>
  <c r="D7014" i="38"/>
  <c r="C7014" i="38"/>
  <c r="J7013" i="38"/>
  <c r="I7013" i="38"/>
  <c r="H7013" i="38"/>
  <c r="G7013" i="38"/>
  <c r="E7013" i="38"/>
  <c r="D7013" i="38"/>
  <c r="C7013" i="38"/>
  <c r="J7012" i="38"/>
  <c r="I7012" i="38"/>
  <c r="H7012" i="38"/>
  <c r="G7012" i="38"/>
  <c r="F7012" i="38"/>
  <c r="E7012" i="38"/>
  <c r="C7012" i="38"/>
  <c r="H7011" i="38"/>
  <c r="G7011" i="38"/>
  <c r="E7011" i="38"/>
  <c r="C7011" i="38"/>
  <c r="J7010" i="38"/>
  <c r="I7010" i="38"/>
  <c r="H7010" i="38"/>
  <c r="G7010" i="38"/>
  <c r="F7010" i="38"/>
  <c r="E7010" i="38"/>
  <c r="D7010" i="38"/>
  <c r="C7010" i="38"/>
  <c r="J7009" i="38"/>
  <c r="I7009" i="38"/>
  <c r="H7009" i="38"/>
  <c r="G7009" i="38"/>
  <c r="F7009" i="38"/>
  <c r="E7009" i="38"/>
  <c r="D7009" i="38"/>
  <c r="C7009" i="38"/>
  <c r="J7008" i="38"/>
  <c r="I7008" i="38"/>
  <c r="H7008" i="38"/>
  <c r="G7008" i="38"/>
  <c r="F7008" i="38"/>
  <c r="E7008" i="38"/>
  <c r="D7008" i="38"/>
  <c r="C7008" i="38"/>
  <c r="J7007" i="38"/>
  <c r="I7007" i="38"/>
  <c r="H7007" i="38"/>
  <c r="G7007" i="38"/>
  <c r="F7007" i="38"/>
  <c r="E7007" i="38"/>
  <c r="D7007" i="38"/>
  <c r="C7007" i="38"/>
  <c r="J7006" i="38"/>
  <c r="I7006" i="38"/>
  <c r="H7006" i="38"/>
  <c r="G7006" i="38"/>
  <c r="F7006" i="38"/>
  <c r="E7006" i="38"/>
  <c r="D7006" i="38"/>
  <c r="C7006" i="38"/>
  <c r="J7005" i="38"/>
  <c r="I7005" i="38"/>
  <c r="H7005" i="38"/>
  <c r="G7005" i="38"/>
  <c r="F7005" i="38"/>
  <c r="E7005" i="38"/>
  <c r="D7005" i="38"/>
  <c r="C7005" i="38"/>
  <c r="J7004" i="38"/>
  <c r="I7004" i="38"/>
  <c r="H7004" i="38"/>
  <c r="G7004" i="38"/>
  <c r="F7004" i="38"/>
  <c r="E7004" i="38"/>
  <c r="D7004" i="38"/>
  <c r="C7004" i="38"/>
  <c r="J7003" i="38"/>
  <c r="I7003" i="38"/>
  <c r="H7003" i="38"/>
  <c r="G7003" i="38"/>
  <c r="F7003" i="38"/>
  <c r="E7003" i="38"/>
  <c r="D7003" i="38"/>
  <c r="C7003" i="38"/>
  <c r="J7002" i="38"/>
  <c r="I7002" i="38"/>
  <c r="H7002" i="38"/>
  <c r="G7002" i="38"/>
  <c r="F7002" i="38"/>
  <c r="E7002" i="38"/>
  <c r="D7002" i="38"/>
  <c r="C7002" i="38"/>
  <c r="J7001" i="38"/>
  <c r="I7001" i="38"/>
  <c r="H7001" i="38"/>
  <c r="G7001" i="38"/>
  <c r="F7001" i="38"/>
  <c r="E7001" i="38"/>
  <c r="D7001" i="38"/>
  <c r="C7001" i="38"/>
  <c r="J7000" i="38"/>
  <c r="I7000" i="38"/>
  <c r="H7000" i="38"/>
  <c r="G7000" i="38"/>
  <c r="F7000" i="38"/>
  <c r="E7000" i="38"/>
  <c r="D7000" i="38"/>
  <c r="C7000" i="38"/>
  <c r="J6999" i="38"/>
  <c r="I6999" i="38"/>
  <c r="H6999" i="38"/>
  <c r="G6999" i="38"/>
  <c r="F6999" i="38"/>
  <c r="E6999" i="38"/>
  <c r="D6999" i="38"/>
  <c r="C6999" i="38"/>
  <c r="J6998" i="38"/>
  <c r="I6998" i="38"/>
  <c r="H6998" i="38"/>
  <c r="G6998" i="38"/>
  <c r="F6998" i="38"/>
  <c r="E6998" i="38"/>
  <c r="D6998" i="38"/>
  <c r="C6998" i="38"/>
  <c r="J6997" i="38"/>
  <c r="I6997" i="38"/>
  <c r="H6997" i="38"/>
  <c r="G6997" i="38"/>
  <c r="F6997" i="38"/>
  <c r="E6997" i="38"/>
  <c r="D6997" i="38"/>
  <c r="C6997" i="38"/>
  <c r="J6996" i="38"/>
  <c r="I6996" i="38"/>
  <c r="H6996" i="38"/>
  <c r="G6996" i="38"/>
  <c r="F6996" i="38"/>
  <c r="E6996" i="38"/>
  <c r="D6996" i="38"/>
  <c r="C6996" i="38"/>
  <c r="J6995" i="38"/>
  <c r="I6995" i="38"/>
  <c r="H6995" i="38"/>
  <c r="G6995" i="38"/>
  <c r="F6995" i="38"/>
  <c r="E6995" i="38"/>
  <c r="D6995" i="38"/>
  <c r="C6995" i="38"/>
  <c r="J6994" i="38"/>
  <c r="I6994" i="38"/>
  <c r="H6994" i="38"/>
  <c r="G6994" i="38"/>
  <c r="F6994" i="38"/>
  <c r="E6994" i="38"/>
  <c r="D6994" i="38"/>
  <c r="C6994" i="38"/>
  <c r="J6993" i="38"/>
  <c r="I6993" i="38"/>
  <c r="H6993" i="38"/>
  <c r="G6993" i="38"/>
  <c r="E6993" i="38"/>
  <c r="D6993" i="38"/>
  <c r="C6993" i="38"/>
  <c r="J6992" i="38"/>
  <c r="I6992" i="38"/>
  <c r="H6992" i="38"/>
  <c r="G6992" i="38"/>
  <c r="F6992" i="38"/>
  <c r="E6992" i="38"/>
  <c r="C6992" i="38"/>
  <c r="H6991" i="38"/>
  <c r="G6991" i="38"/>
  <c r="E6991" i="38"/>
  <c r="C6991" i="38"/>
  <c r="H6990" i="38"/>
  <c r="G6990" i="38"/>
  <c r="E6990" i="38"/>
  <c r="D6990" i="38"/>
  <c r="C6990" i="38"/>
  <c r="H6989" i="38"/>
  <c r="G6989" i="38"/>
  <c r="E6989" i="38"/>
  <c r="D6989" i="38"/>
  <c r="C6989" i="38"/>
  <c r="H6988" i="38"/>
  <c r="G6988" i="38"/>
  <c r="E6988" i="38"/>
  <c r="D6988" i="38"/>
  <c r="C6988" i="38"/>
  <c r="H6987" i="38"/>
  <c r="G6987" i="38"/>
  <c r="E6987" i="38"/>
  <c r="D6987" i="38"/>
  <c r="C6987" i="38"/>
  <c r="J6986" i="38"/>
  <c r="I6986" i="38"/>
  <c r="H6986" i="38"/>
  <c r="G6986" i="38"/>
  <c r="F6986" i="38"/>
  <c r="E6986" i="38"/>
  <c r="D6986" i="38"/>
  <c r="C6986" i="38"/>
  <c r="J6985" i="38"/>
  <c r="I6985" i="38"/>
  <c r="H6985" i="38"/>
  <c r="G6985" i="38"/>
  <c r="F6985" i="38"/>
  <c r="E6985" i="38"/>
  <c r="D6985" i="38"/>
  <c r="C6985" i="38"/>
  <c r="J6984" i="38"/>
  <c r="I6984" i="38"/>
  <c r="H6984" i="38"/>
  <c r="G6984" i="38"/>
  <c r="F6984" i="38"/>
  <c r="E6984" i="38"/>
  <c r="D6984" i="38"/>
  <c r="C6984" i="38"/>
  <c r="J6983" i="38"/>
  <c r="I6983" i="38"/>
  <c r="H6983" i="38"/>
  <c r="G6983" i="38"/>
  <c r="E6983" i="38"/>
  <c r="D6983" i="38"/>
  <c r="C6983" i="38"/>
  <c r="J6982" i="38"/>
  <c r="I6982" i="38"/>
  <c r="H6982" i="38"/>
  <c r="G6982" i="38"/>
  <c r="F6982" i="38"/>
  <c r="E6982" i="38"/>
  <c r="C6982" i="38"/>
  <c r="H6981" i="38"/>
  <c r="G6981" i="38"/>
  <c r="E6981" i="38"/>
  <c r="C6981" i="38"/>
  <c r="H6980" i="38"/>
  <c r="G6980" i="38"/>
  <c r="E6980" i="38"/>
  <c r="D6980" i="38"/>
  <c r="C6980" i="38"/>
  <c r="H6979" i="38"/>
  <c r="G6979" i="38"/>
  <c r="E6979" i="38"/>
  <c r="D6979" i="38"/>
  <c r="C6979" i="38"/>
  <c r="H6978" i="38"/>
  <c r="G6978" i="38"/>
  <c r="E6978" i="38"/>
  <c r="D6978" i="38"/>
  <c r="C6978" i="38"/>
  <c r="H6977" i="38"/>
  <c r="G6977" i="38"/>
  <c r="E6977" i="38"/>
  <c r="D6977" i="38"/>
  <c r="C6977" i="38"/>
  <c r="J6976" i="38"/>
  <c r="I6976" i="38"/>
  <c r="H6976" i="38"/>
  <c r="G6976" i="38"/>
  <c r="F6976" i="38"/>
  <c r="E6976" i="38"/>
  <c r="D6976" i="38"/>
  <c r="C6976" i="38"/>
  <c r="J6975" i="38"/>
  <c r="I6975" i="38"/>
  <c r="H6975" i="38"/>
  <c r="G6975" i="38"/>
  <c r="F6975" i="38"/>
  <c r="E6975" i="38"/>
  <c r="D6975" i="38"/>
  <c r="C6975" i="38"/>
  <c r="J6974" i="38"/>
  <c r="I6974" i="38"/>
  <c r="H6974" i="38"/>
  <c r="G6974" i="38"/>
  <c r="F6974" i="38"/>
  <c r="E6974" i="38"/>
  <c r="D6974" i="38"/>
  <c r="C6974" i="38"/>
  <c r="J6973" i="38"/>
  <c r="I6973" i="38"/>
  <c r="H6973" i="38"/>
  <c r="G6973" i="38"/>
  <c r="E6973" i="38"/>
  <c r="D6973" i="38"/>
  <c r="C6973" i="38"/>
  <c r="J6972" i="38"/>
  <c r="I6972" i="38"/>
  <c r="H6972" i="38"/>
  <c r="G6972" i="38"/>
  <c r="F6972" i="38"/>
  <c r="E6972" i="38"/>
  <c r="C6972" i="38"/>
  <c r="H6971" i="38"/>
  <c r="G6971" i="38"/>
  <c r="E6971" i="38"/>
  <c r="C6971" i="38"/>
  <c r="H6970" i="38"/>
  <c r="G6970" i="38"/>
  <c r="E6970" i="38"/>
  <c r="D6970" i="38"/>
  <c r="C6970" i="38"/>
  <c r="H6969" i="38"/>
  <c r="G6969" i="38"/>
  <c r="E6969" i="38"/>
  <c r="D6969" i="38"/>
  <c r="C6969" i="38"/>
  <c r="H6968" i="38"/>
  <c r="G6968" i="38"/>
  <c r="E6968" i="38"/>
  <c r="D6968" i="38"/>
  <c r="C6968" i="38"/>
  <c r="H6967" i="38"/>
  <c r="G6967" i="38"/>
  <c r="E6967" i="38"/>
  <c r="D6967" i="38"/>
  <c r="C6967" i="38"/>
  <c r="J6966" i="38"/>
  <c r="I6966" i="38"/>
  <c r="H6966" i="38"/>
  <c r="G6966" i="38"/>
  <c r="F6966" i="38"/>
  <c r="E6966" i="38"/>
  <c r="D6966" i="38"/>
  <c r="C6966" i="38"/>
  <c r="J6965" i="38"/>
  <c r="I6965" i="38"/>
  <c r="H6965" i="38"/>
  <c r="G6965" i="38"/>
  <c r="F6965" i="38"/>
  <c r="E6965" i="38"/>
  <c r="D6965" i="38"/>
  <c r="C6965" i="38"/>
  <c r="J6964" i="38"/>
  <c r="I6964" i="38"/>
  <c r="H6964" i="38"/>
  <c r="G6964" i="38"/>
  <c r="F6964" i="38"/>
  <c r="E6964" i="38"/>
  <c r="D6964" i="38"/>
  <c r="C6964" i="38"/>
  <c r="J6963" i="38"/>
  <c r="I6963" i="38"/>
  <c r="H6963" i="38"/>
  <c r="G6963" i="38"/>
  <c r="E6963" i="38"/>
  <c r="D6963" i="38"/>
  <c r="C6963" i="38"/>
  <c r="J6962" i="38"/>
  <c r="I6962" i="38"/>
  <c r="H6962" i="38"/>
  <c r="G6962" i="38"/>
  <c r="F6962" i="38"/>
  <c r="E6962" i="38"/>
  <c r="C6962" i="38"/>
  <c r="H6961" i="38"/>
  <c r="G6961" i="38"/>
  <c r="E6961" i="38"/>
  <c r="C6961" i="38"/>
  <c r="H6960" i="38"/>
  <c r="G6960" i="38"/>
  <c r="E6960" i="38"/>
  <c r="D6960" i="38"/>
  <c r="C6960" i="38"/>
  <c r="H6959" i="38"/>
  <c r="G6959" i="38"/>
  <c r="E6959" i="38"/>
  <c r="D6959" i="38"/>
  <c r="C6959" i="38"/>
  <c r="H6958" i="38"/>
  <c r="G6958" i="38"/>
  <c r="E6958" i="38"/>
  <c r="D6958" i="38"/>
  <c r="C6958" i="38"/>
  <c r="H6957" i="38"/>
  <c r="G6957" i="38"/>
  <c r="E6957" i="38"/>
  <c r="D6957" i="38"/>
  <c r="C6957" i="38"/>
  <c r="J6956" i="38"/>
  <c r="I6956" i="38"/>
  <c r="H6956" i="38"/>
  <c r="G6956" i="38"/>
  <c r="F6956" i="38"/>
  <c r="E6956" i="38"/>
  <c r="D6956" i="38"/>
  <c r="C6956" i="38"/>
  <c r="J6955" i="38"/>
  <c r="I6955" i="38"/>
  <c r="H6955" i="38"/>
  <c r="G6955" i="38"/>
  <c r="F6955" i="38"/>
  <c r="E6955" i="38"/>
  <c r="D6955" i="38"/>
  <c r="C6955" i="38"/>
  <c r="J6954" i="38"/>
  <c r="I6954" i="38"/>
  <c r="H6954" i="38"/>
  <c r="G6954" i="38"/>
  <c r="F6954" i="38"/>
  <c r="E6954" i="38"/>
  <c r="D6954" i="38"/>
  <c r="C6954" i="38"/>
  <c r="J6953" i="38"/>
  <c r="I6953" i="38"/>
  <c r="H6953" i="38"/>
  <c r="G6953" i="38"/>
  <c r="E6953" i="38"/>
  <c r="D6953" i="38"/>
  <c r="C6953" i="38"/>
  <c r="J6952" i="38"/>
  <c r="I6952" i="38"/>
  <c r="H6952" i="38"/>
  <c r="G6952" i="38"/>
  <c r="F6952" i="38"/>
  <c r="E6952" i="38"/>
  <c r="C6952" i="38"/>
  <c r="H6951" i="38"/>
  <c r="G6951" i="38"/>
  <c r="E6951" i="38"/>
  <c r="C6951" i="38"/>
  <c r="H6950" i="38"/>
  <c r="G6950" i="38"/>
  <c r="E6950" i="38"/>
  <c r="D6950" i="38"/>
  <c r="C6950" i="38"/>
  <c r="H6949" i="38"/>
  <c r="G6949" i="38"/>
  <c r="E6949" i="38"/>
  <c r="D6949" i="38"/>
  <c r="C6949" i="38"/>
  <c r="H6948" i="38"/>
  <c r="G6948" i="38"/>
  <c r="E6948" i="38"/>
  <c r="D6948" i="38"/>
  <c r="C6948" i="38"/>
  <c r="H6947" i="38"/>
  <c r="G6947" i="38"/>
  <c r="E6947" i="38"/>
  <c r="D6947" i="38"/>
  <c r="C6947" i="38"/>
  <c r="J6946" i="38"/>
  <c r="I6946" i="38"/>
  <c r="H6946" i="38"/>
  <c r="G6946" i="38"/>
  <c r="F6946" i="38"/>
  <c r="E6946" i="38"/>
  <c r="D6946" i="38"/>
  <c r="C6946" i="38"/>
  <c r="J6945" i="38"/>
  <c r="I6945" i="38"/>
  <c r="H6945" i="38"/>
  <c r="G6945" i="38"/>
  <c r="F6945" i="38"/>
  <c r="E6945" i="38"/>
  <c r="D6945" i="38"/>
  <c r="C6945" i="38"/>
  <c r="J6944" i="38"/>
  <c r="I6944" i="38"/>
  <c r="H6944" i="38"/>
  <c r="G6944" i="38"/>
  <c r="F6944" i="38"/>
  <c r="E6944" i="38"/>
  <c r="D6944" i="38"/>
  <c r="C6944" i="38"/>
  <c r="J6943" i="38"/>
  <c r="I6943" i="38"/>
  <c r="H6943" i="38"/>
  <c r="G6943" i="38"/>
  <c r="E6943" i="38"/>
  <c r="D6943" i="38"/>
  <c r="C6943" i="38"/>
  <c r="J6942" i="38"/>
  <c r="I6942" i="38"/>
  <c r="H6942" i="38"/>
  <c r="G6942" i="38"/>
  <c r="F6942" i="38"/>
  <c r="E6942" i="38"/>
  <c r="C6942" i="38"/>
  <c r="H6941" i="38"/>
  <c r="G6941" i="38"/>
  <c r="E6941" i="38"/>
  <c r="C6941" i="38"/>
  <c r="H6940" i="38"/>
  <c r="G6940" i="38"/>
  <c r="E6940" i="38"/>
  <c r="D6940" i="38"/>
  <c r="C6940" i="38"/>
  <c r="H6939" i="38"/>
  <c r="G6939" i="38"/>
  <c r="E6939" i="38"/>
  <c r="D6939" i="38"/>
  <c r="C6939" i="38"/>
  <c r="H6938" i="38"/>
  <c r="G6938" i="38"/>
  <c r="E6938" i="38"/>
  <c r="D6938" i="38"/>
  <c r="C6938" i="38"/>
  <c r="H6937" i="38"/>
  <c r="G6937" i="38"/>
  <c r="E6937" i="38"/>
  <c r="D6937" i="38"/>
  <c r="C6937" i="38"/>
  <c r="J6936" i="38"/>
  <c r="I6936" i="38"/>
  <c r="H6936" i="38"/>
  <c r="G6936" i="38"/>
  <c r="F6936" i="38"/>
  <c r="E6936" i="38"/>
  <c r="D6936" i="38"/>
  <c r="C6936" i="38"/>
  <c r="J6935" i="38"/>
  <c r="I6935" i="38"/>
  <c r="H6935" i="38"/>
  <c r="G6935" i="38"/>
  <c r="F6935" i="38"/>
  <c r="E6935" i="38"/>
  <c r="D6935" i="38"/>
  <c r="C6935" i="38"/>
  <c r="J6934" i="38"/>
  <c r="I6934" i="38"/>
  <c r="H6934" i="38"/>
  <c r="G6934" i="38"/>
  <c r="F6934" i="38"/>
  <c r="E6934" i="38"/>
  <c r="D6934" i="38"/>
  <c r="C6934" i="38"/>
  <c r="J6933" i="38"/>
  <c r="I6933" i="38"/>
  <c r="H6933" i="38"/>
  <c r="G6933" i="38"/>
  <c r="E6933" i="38"/>
  <c r="D6933" i="38"/>
  <c r="C6933" i="38"/>
  <c r="J6932" i="38"/>
  <c r="I6932" i="38"/>
  <c r="H6932" i="38"/>
  <c r="G6932" i="38"/>
  <c r="F6932" i="38"/>
  <c r="E6932" i="38"/>
  <c r="C6932" i="38"/>
  <c r="H6931" i="38"/>
  <c r="G6931" i="38"/>
  <c r="E6931" i="38"/>
  <c r="C6931" i="38"/>
  <c r="H6930" i="38"/>
  <c r="G6930" i="38"/>
  <c r="E6930" i="38"/>
  <c r="D6930" i="38"/>
  <c r="C6930" i="38"/>
  <c r="H6929" i="38"/>
  <c r="G6929" i="38"/>
  <c r="E6929" i="38"/>
  <c r="D6929" i="38"/>
  <c r="C6929" i="38"/>
  <c r="H6928" i="38"/>
  <c r="G6928" i="38"/>
  <c r="E6928" i="38"/>
  <c r="D6928" i="38"/>
  <c r="C6928" i="38"/>
  <c r="H6927" i="38"/>
  <c r="G6927" i="38"/>
  <c r="E6927" i="38"/>
  <c r="D6927" i="38"/>
  <c r="C6927" i="38"/>
  <c r="J6926" i="38"/>
  <c r="I6926" i="38"/>
  <c r="H6926" i="38"/>
  <c r="G6926" i="38"/>
  <c r="F6926" i="38"/>
  <c r="E6926" i="38"/>
  <c r="D6926" i="38"/>
  <c r="C6926" i="38"/>
  <c r="J6925" i="38"/>
  <c r="I6925" i="38"/>
  <c r="H6925" i="38"/>
  <c r="G6925" i="38"/>
  <c r="F6925" i="38"/>
  <c r="E6925" i="38"/>
  <c r="D6925" i="38"/>
  <c r="C6925" i="38"/>
  <c r="J6924" i="38"/>
  <c r="I6924" i="38"/>
  <c r="H6924" i="38"/>
  <c r="G6924" i="38"/>
  <c r="F6924" i="38"/>
  <c r="E6924" i="38"/>
  <c r="D6924" i="38"/>
  <c r="C6924" i="38"/>
  <c r="J6923" i="38"/>
  <c r="I6923" i="38"/>
  <c r="H6923" i="38"/>
  <c r="G6923" i="38"/>
  <c r="E6923" i="38"/>
  <c r="D6923" i="38"/>
  <c r="C6923" i="38"/>
  <c r="J6922" i="38"/>
  <c r="I6922" i="38"/>
  <c r="H6922" i="38"/>
  <c r="G6922" i="38"/>
  <c r="F6922" i="38"/>
  <c r="E6922" i="38"/>
  <c r="C6922" i="38"/>
  <c r="H6921" i="38"/>
  <c r="G6921" i="38"/>
  <c r="E6921" i="38"/>
  <c r="C6921" i="38"/>
  <c r="H6920" i="38"/>
  <c r="G6920" i="38"/>
  <c r="E6920" i="38"/>
  <c r="D6920" i="38"/>
  <c r="C6920" i="38"/>
  <c r="H6919" i="38"/>
  <c r="G6919" i="38"/>
  <c r="E6919" i="38"/>
  <c r="D6919" i="38"/>
  <c r="C6919" i="38"/>
  <c r="H6918" i="38"/>
  <c r="G6918" i="38"/>
  <c r="E6918" i="38"/>
  <c r="D6918" i="38"/>
  <c r="C6918" i="38"/>
  <c r="H6917" i="38"/>
  <c r="G6917" i="38"/>
  <c r="E6917" i="38"/>
  <c r="D6917" i="38"/>
  <c r="C6917" i="38"/>
  <c r="J6916" i="38"/>
  <c r="I6916" i="38"/>
  <c r="H6916" i="38"/>
  <c r="G6916" i="38"/>
  <c r="F6916" i="38"/>
  <c r="E6916" i="38"/>
  <c r="D6916" i="38"/>
  <c r="C6916" i="38"/>
  <c r="J6915" i="38"/>
  <c r="I6915" i="38"/>
  <c r="H6915" i="38"/>
  <c r="G6915" i="38"/>
  <c r="F6915" i="38"/>
  <c r="E6915" i="38"/>
  <c r="D6915" i="38"/>
  <c r="C6915" i="38"/>
  <c r="J6914" i="38"/>
  <c r="I6914" i="38"/>
  <c r="H6914" i="38"/>
  <c r="G6914" i="38"/>
  <c r="F6914" i="38"/>
  <c r="E6914" i="38"/>
  <c r="D6914" i="38"/>
  <c r="C6914" i="38"/>
  <c r="J6913" i="38"/>
  <c r="I6913" i="38"/>
  <c r="H6913" i="38"/>
  <c r="G6913" i="38"/>
  <c r="E6913" i="38"/>
  <c r="D6913" i="38"/>
  <c r="C6913" i="38"/>
  <c r="J6912" i="38"/>
  <c r="I6912" i="38"/>
  <c r="H6912" i="38"/>
  <c r="G6912" i="38"/>
  <c r="F6912" i="38"/>
  <c r="E6912" i="38"/>
  <c r="C6912" i="38"/>
  <c r="H6911" i="38"/>
  <c r="G6911" i="38"/>
  <c r="E6911" i="38"/>
  <c r="C6911" i="38"/>
  <c r="H6910" i="38"/>
  <c r="G6910" i="38"/>
  <c r="E6910" i="38"/>
  <c r="D6910" i="38"/>
  <c r="C6910" i="38"/>
  <c r="H6909" i="38"/>
  <c r="G6909" i="38"/>
  <c r="E6909" i="38"/>
  <c r="D6909" i="38"/>
  <c r="C6909" i="38"/>
  <c r="H6908" i="38"/>
  <c r="G6908" i="38"/>
  <c r="E6908" i="38"/>
  <c r="D6908" i="38"/>
  <c r="C6908" i="38"/>
  <c r="H6907" i="38"/>
  <c r="G6907" i="38"/>
  <c r="E6907" i="38"/>
  <c r="D6907" i="38"/>
  <c r="C6907" i="38"/>
  <c r="J6906" i="38"/>
  <c r="I6906" i="38"/>
  <c r="H6906" i="38"/>
  <c r="G6906" i="38"/>
  <c r="F6906" i="38"/>
  <c r="E6906" i="38"/>
  <c r="D6906" i="38"/>
  <c r="C6906" i="38"/>
  <c r="J6905" i="38"/>
  <c r="I6905" i="38"/>
  <c r="H6905" i="38"/>
  <c r="G6905" i="38"/>
  <c r="F6905" i="38"/>
  <c r="E6905" i="38"/>
  <c r="D6905" i="38"/>
  <c r="C6905" i="38"/>
  <c r="J6904" i="38"/>
  <c r="I6904" i="38"/>
  <c r="H6904" i="38"/>
  <c r="G6904" i="38"/>
  <c r="F6904" i="38"/>
  <c r="E6904" i="38"/>
  <c r="D6904" i="38"/>
  <c r="C6904" i="38"/>
  <c r="J6903" i="38"/>
  <c r="I6903" i="38"/>
  <c r="H6903" i="38"/>
  <c r="G6903" i="38"/>
  <c r="E6903" i="38"/>
  <c r="D6903" i="38"/>
  <c r="C6903" i="38"/>
  <c r="J6902" i="38"/>
  <c r="I6902" i="38"/>
  <c r="H6902" i="38"/>
  <c r="G6902" i="38"/>
  <c r="F6902" i="38"/>
  <c r="E6902" i="38"/>
  <c r="C6902" i="38"/>
  <c r="H6901" i="38"/>
  <c r="G6901" i="38"/>
  <c r="E6901" i="38"/>
  <c r="C6901" i="38"/>
  <c r="H6900" i="38"/>
  <c r="G6900" i="38"/>
  <c r="E6900" i="38"/>
  <c r="D6900" i="38"/>
  <c r="C6900" i="38"/>
  <c r="H6899" i="38"/>
  <c r="G6899" i="38"/>
  <c r="E6899" i="38"/>
  <c r="D6899" i="38"/>
  <c r="C6899" i="38"/>
  <c r="H6898" i="38"/>
  <c r="G6898" i="38"/>
  <c r="E6898" i="38"/>
  <c r="D6898" i="38"/>
  <c r="C6898" i="38"/>
  <c r="H6897" i="38"/>
  <c r="G6897" i="38"/>
  <c r="E6897" i="38"/>
  <c r="D6897" i="38"/>
  <c r="C6897" i="38"/>
  <c r="J6896" i="38"/>
  <c r="I6896" i="38"/>
  <c r="H6896" i="38"/>
  <c r="G6896" i="38"/>
  <c r="F6896" i="38"/>
  <c r="E6896" i="38"/>
  <c r="D6896" i="38"/>
  <c r="C6896" i="38"/>
  <c r="J6895" i="38"/>
  <c r="I6895" i="38"/>
  <c r="H6895" i="38"/>
  <c r="G6895" i="38"/>
  <c r="F6895" i="38"/>
  <c r="E6895" i="38"/>
  <c r="D6895" i="38"/>
  <c r="C6895" i="38"/>
  <c r="J6894" i="38"/>
  <c r="I6894" i="38"/>
  <c r="H6894" i="38"/>
  <c r="G6894" i="38"/>
  <c r="F6894" i="38"/>
  <c r="E6894" i="38"/>
  <c r="D6894" i="38"/>
  <c r="C6894" i="38"/>
  <c r="J6893" i="38"/>
  <c r="I6893" i="38"/>
  <c r="H6893" i="38"/>
  <c r="G6893" i="38"/>
  <c r="E6893" i="38"/>
  <c r="D6893" i="38"/>
  <c r="C6893" i="38"/>
  <c r="J6892" i="38"/>
  <c r="I6892" i="38"/>
  <c r="H6892" i="38"/>
  <c r="G6892" i="38"/>
  <c r="F6892" i="38"/>
  <c r="E6892" i="38"/>
  <c r="C6892" i="38"/>
  <c r="H6891" i="38"/>
  <c r="G6891" i="38"/>
  <c r="E6891" i="38"/>
  <c r="C6891" i="38"/>
  <c r="H6890" i="38"/>
  <c r="G6890" i="38"/>
  <c r="E6890" i="38"/>
  <c r="D6890" i="38"/>
  <c r="C6890" i="38"/>
  <c r="H6889" i="38"/>
  <c r="G6889" i="38"/>
  <c r="E6889" i="38"/>
  <c r="D6889" i="38"/>
  <c r="C6889" i="38"/>
  <c r="H6888" i="38"/>
  <c r="G6888" i="38"/>
  <c r="E6888" i="38"/>
  <c r="D6888" i="38"/>
  <c r="C6888" i="38"/>
  <c r="H6887" i="38"/>
  <c r="G6887" i="38"/>
  <c r="E6887" i="38"/>
  <c r="D6887" i="38"/>
  <c r="C6887" i="38"/>
  <c r="J6886" i="38"/>
  <c r="I6886" i="38"/>
  <c r="H6886" i="38"/>
  <c r="G6886" i="38"/>
  <c r="F6886" i="38"/>
  <c r="E6886" i="38"/>
  <c r="D6886" i="38"/>
  <c r="C6886" i="38"/>
  <c r="J6885" i="38"/>
  <c r="I6885" i="38"/>
  <c r="H6885" i="38"/>
  <c r="G6885" i="38"/>
  <c r="F6885" i="38"/>
  <c r="E6885" i="38"/>
  <c r="D6885" i="38"/>
  <c r="C6885" i="38"/>
  <c r="J6884" i="38"/>
  <c r="I6884" i="38"/>
  <c r="H6884" i="38"/>
  <c r="G6884" i="38"/>
  <c r="F6884" i="38"/>
  <c r="E6884" i="38"/>
  <c r="D6884" i="38"/>
  <c r="C6884" i="38"/>
  <c r="J6883" i="38"/>
  <c r="I6883" i="38"/>
  <c r="H6883" i="38"/>
  <c r="G6883" i="38"/>
  <c r="E6883" i="38"/>
  <c r="D6883" i="38"/>
  <c r="C6883" i="38"/>
  <c r="J6882" i="38"/>
  <c r="I6882" i="38"/>
  <c r="H6882" i="38"/>
  <c r="G6882" i="38"/>
  <c r="F6882" i="38"/>
  <c r="E6882" i="38"/>
  <c r="C6882" i="38"/>
  <c r="H6881" i="38"/>
  <c r="G6881" i="38"/>
  <c r="E6881" i="38"/>
  <c r="C6881" i="38"/>
  <c r="H6880" i="38"/>
  <c r="G6880" i="38"/>
  <c r="E6880" i="38"/>
  <c r="D6880" i="38"/>
  <c r="C6880" i="38"/>
  <c r="H6879" i="38"/>
  <c r="G6879" i="38"/>
  <c r="E6879" i="38"/>
  <c r="D6879" i="38"/>
  <c r="C6879" i="38"/>
  <c r="H6878" i="38"/>
  <c r="G6878" i="38"/>
  <c r="E6878" i="38"/>
  <c r="D6878" i="38"/>
  <c r="C6878" i="38"/>
  <c r="H6877" i="38"/>
  <c r="G6877" i="38"/>
  <c r="E6877" i="38"/>
  <c r="D6877" i="38"/>
  <c r="C6877" i="38"/>
  <c r="J6876" i="38"/>
  <c r="I6876" i="38"/>
  <c r="H6876" i="38"/>
  <c r="G6876" i="38"/>
  <c r="F6876" i="38"/>
  <c r="E6876" i="38"/>
  <c r="D6876" i="38"/>
  <c r="C6876" i="38"/>
  <c r="J6875" i="38"/>
  <c r="I6875" i="38"/>
  <c r="H6875" i="38"/>
  <c r="G6875" i="38"/>
  <c r="F6875" i="38"/>
  <c r="E6875" i="38"/>
  <c r="D6875" i="38"/>
  <c r="C6875" i="38"/>
  <c r="J6874" i="38"/>
  <c r="I6874" i="38"/>
  <c r="H6874" i="38"/>
  <c r="G6874" i="38"/>
  <c r="F6874" i="38"/>
  <c r="E6874" i="38"/>
  <c r="D6874" i="38"/>
  <c r="C6874" i="38"/>
  <c r="J6873" i="38"/>
  <c r="I6873" i="38"/>
  <c r="H6873" i="38"/>
  <c r="G6873" i="38"/>
  <c r="E6873" i="38"/>
  <c r="D6873" i="38"/>
  <c r="C6873" i="38"/>
  <c r="J6872" i="38"/>
  <c r="I6872" i="38"/>
  <c r="H6872" i="38"/>
  <c r="G6872" i="38"/>
  <c r="F6872" i="38"/>
  <c r="E6872" i="38"/>
  <c r="C6872" i="38"/>
  <c r="H6871" i="38"/>
  <c r="G6871" i="38"/>
  <c r="E6871" i="38"/>
  <c r="C6871" i="38"/>
  <c r="H6870" i="38"/>
  <c r="G6870" i="38"/>
  <c r="E6870" i="38"/>
  <c r="D6870" i="38"/>
  <c r="C6870" i="38"/>
  <c r="H6869" i="38"/>
  <c r="G6869" i="38"/>
  <c r="E6869" i="38"/>
  <c r="D6869" i="38"/>
  <c r="C6869" i="38"/>
  <c r="H6868" i="38"/>
  <c r="G6868" i="38"/>
  <c r="E6868" i="38"/>
  <c r="D6868" i="38"/>
  <c r="C6868" i="38"/>
  <c r="H6867" i="38"/>
  <c r="G6867" i="38"/>
  <c r="E6867" i="38"/>
  <c r="D6867" i="38"/>
  <c r="C6867" i="38"/>
  <c r="J6866" i="38"/>
  <c r="I6866" i="38"/>
  <c r="H6866" i="38"/>
  <c r="G6866" i="38"/>
  <c r="F6866" i="38"/>
  <c r="E6866" i="38"/>
  <c r="D6866" i="38"/>
  <c r="C6866" i="38"/>
  <c r="J6865" i="38"/>
  <c r="I6865" i="38"/>
  <c r="H6865" i="38"/>
  <c r="G6865" i="38"/>
  <c r="F6865" i="38"/>
  <c r="E6865" i="38"/>
  <c r="D6865" i="38"/>
  <c r="C6865" i="38"/>
  <c r="J6864" i="38"/>
  <c r="I6864" i="38"/>
  <c r="H6864" i="38"/>
  <c r="G6864" i="38"/>
  <c r="F6864" i="38"/>
  <c r="E6864" i="38"/>
  <c r="D6864" i="38"/>
  <c r="C6864" i="38"/>
  <c r="J6863" i="38"/>
  <c r="I6863" i="38"/>
  <c r="H6863" i="38"/>
  <c r="G6863" i="38"/>
  <c r="E6863" i="38"/>
  <c r="D6863" i="38"/>
  <c r="C6863" i="38"/>
  <c r="J6862" i="38"/>
  <c r="I6862" i="38"/>
  <c r="H6862" i="38"/>
  <c r="G6862" i="38"/>
  <c r="F6862" i="38"/>
  <c r="E6862" i="38"/>
  <c r="C6862" i="38"/>
  <c r="H6861" i="38"/>
  <c r="G6861" i="38"/>
  <c r="E6861" i="38"/>
  <c r="C6861" i="38"/>
  <c r="H6860" i="38"/>
  <c r="G6860" i="38"/>
  <c r="E6860" i="38"/>
  <c r="D6860" i="38"/>
  <c r="C6860" i="38"/>
  <c r="H6859" i="38"/>
  <c r="G6859" i="38"/>
  <c r="E6859" i="38"/>
  <c r="D6859" i="38"/>
  <c r="C6859" i="38"/>
  <c r="H6858" i="38"/>
  <c r="G6858" i="38"/>
  <c r="E6858" i="38"/>
  <c r="D6858" i="38"/>
  <c r="C6858" i="38"/>
  <c r="H6857" i="38"/>
  <c r="G6857" i="38"/>
  <c r="E6857" i="38"/>
  <c r="D6857" i="38"/>
  <c r="C6857" i="38"/>
  <c r="J6856" i="38"/>
  <c r="I6856" i="38"/>
  <c r="H6856" i="38"/>
  <c r="G6856" i="38"/>
  <c r="F6856" i="38"/>
  <c r="E6856" i="38"/>
  <c r="D6856" i="38"/>
  <c r="C6856" i="38"/>
  <c r="J6855" i="38"/>
  <c r="I6855" i="38"/>
  <c r="H6855" i="38"/>
  <c r="G6855" i="38"/>
  <c r="F6855" i="38"/>
  <c r="E6855" i="38"/>
  <c r="D6855" i="38"/>
  <c r="C6855" i="38"/>
  <c r="J6854" i="38"/>
  <c r="I6854" i="38"/>
  <c r="H6854" i="38"/>
  <c r="G6854" i="38"/>
  <c r="F6854" i="38"/>
  <c r="E6854" i="38"/>
  <c r="D6854" i="38"/>
  <c r="C6854" i="38"/>
  <c r="J6853" i="38"/>
  <c r="I6853" i="38"/>
  <c r="H6853" i="38"/>
  <c r="G6853" i="38"/>
  <c r="E6853" i="38"/>
  <c r="D6853" i="38"/>
  <c r="C6853" i="38"/>
  <c r="J6852" i="38"/>
  <c r="I6852" i="38"/>
  <c r="H6852" i="38"/>
  <c r="G6852" i="38"/>
  <c r="F6852" i="38"/>
  <c r="E6852" i="38"/>
  <c r="C6852" i="38"/>
  <c r="H6851" i="38"/>
  <c r="G6851" i="38"/>
  <c r="E6851" i="38"/>
  <c r="C6851" i="38"/>
  <c r="H6850" i="38"/>
  <c r="G6850" i="38"/>
  <c r="E6850" i="38"/>
  <c r="D6850" i="38"/>
  <c r="C6850" i="38"/>
  <c r="H6849" i="38"/>
  <c r="G6849" i="38"/>
  <c r="E6849" i="38"/>
  <c r="D6849" i="38"/>
  <c r="C6849" i="38"/>
  <c r="H6848" i="38"/>
  <c r="G6848" i="38"/>
  <c r="E6848" i="38"/>
  <c r="D6848" i="38"/>
  <c r="C6848" i="38"/>
  <c r="H6847" i="38"/>
  <c r="G6847" i="38"/>
  <c r="E6847" i="38"/>
  <c r="D6847" i="38"/>
  <c r="C6847" i="38"/>
  <c r="J6846" i="38"/>
  <c r="I6846" i="38"/>
  <c r="H6846" i="38"/>
  <c r="G6846" i="38"/>
  <c r="F6846" i="38"/>
  <c r="E6846" i="38"/>
  <c r="D6846" i="38"/>
  <c r="C6846" i="38"/>
  <c r="J6845" i="38"/>
  <c r="I6845" i="38"/>
  <c r="H6845" i="38"/>
  <c r="G6845" i="38"/>
  <c r="F6845" i="38"/>
  <c r="E6845" i="38"/>
  <c r="D6845" i="38"/>
  <c r="C6845" i="38"/>
  <c r="J6844" i="38"/>
  <c r="I6844" i="38"/>
  <c r="H6844" i="38"/>
  <c r="G6844" i="38"/>
  <c r="F6844" i="38"/>
  <c r="E6844" i="38"/>
  <c r="D6844" i="38"/>
  <c r="C6844" i="38"/>
  <c r="J6843" i="38"/>
  <c r="I6843" i="38"/>
  <c r="H6843" i="38"/>
  <c r="G6843" i="38"/>
  <c r="E6843" i="38"/>
  <c r="D6843" i="38"/>
  <c r="C6843" i="38"/>
  <c r="J6842" i="38"/>
  <c r="I6842" i="38"/>
  <c r="H6842" i="38"/>
  <c r="G6842" i="38"/>
  <c r="F6842" i="38"/>
  <c r="E6842" i="38"/>
  <c r="C6842" i="38"/>
  <c r="H6841" i="38"/>
  <c r="G6841" i="38"/>
  <c r="E6841" i="38"/>
  <c r="C6841" i="38"/>
  <c r="H6840" i="38"/>
  <c r="G6840" i="38"/>
  <c r="E6840" i="38"/>
  <c r="D6840" i="38"/>
  <c r="C6840" i="38"/>
  <c r="H6839" i="38"/>
  <c r="G6839" i="38"/>
  <c r="E6839" i="38"/>
  <c r="D6839" i="38"/>
  <c r="C6839" i="38"/>
  <c r="H6838" i="38"/>
  <c r="G6838" i="38"/>
  <c r="E6838" i="38"/>
  <c r="D6838" i="38"/>
  <c r="C6838" i="38"/>
  <c r="H6837" i="38"/>
  <c r="G6837" i="38"/>
  <c r="E6837" i="38"/>
  <c r="D6837" i="38"/>
  <c r="C6837" i="38"/>
  <c r="J6836" i="38"/>
  <c r="I6836" i="38"/>
  <c r="H6836" i="38"/>
  <c r="G6836" i="38"/>
  <c r="F6836" i="38"/>
  <c r="E6836" i="38"/>
  <c r="D6836" i="38"/>
  <c r="C6836" i="38"/>
  <c r="J6835" i="38"/>
  <c r="I6835" i="38"/>
  <c r="H6835" i="38"/>
  <c r="G6835" i="38"/>
  <c r="F6835" i="38"/>
  <c r="E6835" i="38"/>
  <c r="D6835" i="38"/>
  <c r="C6835" i="38"/>
  <c r="J6834" i="38"/>
  <c r="I6834" i="38"/>
  <c r="H6834" i="38"/>
  <c r="G6834" i="38"/>
  <c r="F6834" i="38"/>
  <c r="E6834" i="38"/>
  <c r="D6834" i="38"/>
  <c r="C6834" i="38"/>
  <c r="J6833" i="38"/>
  <c r="I6833" i="38"/>
  <c r="H6833" i="38"/>
  <c r="G6833" i="38"/>
  <c r="E6833" i="38"/>
  <c r="D6833" i="38"/>
  <c r="C6833" i="38"/>
  <c r="J6832" i="38"/>
  <c r="I6832" i="38"/>
  <c r="H6832" i="38"/>
  <c r="G6832" i="38"/>
  <c r="F6832" i="38"/>
  <c r="E6832" i="38"/>
  <c r="C6832" i="38"/>
  <c r="H6831" i="38"/>
  <c r="G6831" i="38"/>
  <c r="E6831" i="38"/>
  <c r="C6831" i="38"/>
  <c r="J6830" i="38"/>
  <c r="I6830" i="38"/>
  <c r="H6830" i="38"/>
  <c r="G6830" i="38"/>
  <c r="F6830" i="38"/>
  <c r="E6830" i="38"/>
  <c r="D6830" i="38"/>
  <c r="C6830" i="38"/>
  <c r="J6829" i="38"/>
  <c r="I6829" i="38"/>
  <c r="H6829" i="38"/>
  <c r="G6829" i="38"/>
  <c r="F6829" i="38"/>
  <c r="E6829" i="38"/>
  <c r="D6829" i="38"/>
  <c r="C6829" i="38"/>
  <c r="J6828" i="38"/>
  <c r="I6828" i="38"/>
  <c r="H6828" i="38"/>
  <c r="G6828" i="38"/>
  <c r="F6828" i="38"/>
  <c r="E6828" i="38"/>
  <c r="D6828" i="38"/>
  <c r="C6828" i="38"/>
  <c r="J6827" i="38"/>
  <c r="I6827" i="38"/>
  <c r="H6827" i="38"/>
  <c r="G6827" i="38"/>
  <c r="F6827" i="38"/>
  <c r="E6827" i="38"/>
  <c r="D6827" i="38"/>
  <c r="C6827" i="38"/>
  <c r="J6826" i="38"/>
  <c r="I6826" i="38"/>
  <c r="H6826" i="38"/>
  <c r="G6826" i="38"/>
  <c r="F6826" i="38"/>
  <c r="E6826" i="38"/>
  <c r="D6826" i="38"/>
  <c r="C6826" i="38"/>
  <c r="J6825" i="38"/>
  <c r="I6825" i="38"/>
  <c r="H6825" i="38"/>
  <c r="G6825" i="38"/>
  <c r="F6825" i="38"/>
  <c r="E6825" i="38"/>
  <c r="D6825" i="38"/>
  <c r="C6825" i="38"/>
  <c r="J6824" i="38"/>
  <c r="I6824" i="38"/>
  <c r="H6824" i="38"/>
  <c r="G6824" i="38"/>
  <c r="F6824" i="38"/>
  <c r="E6824" i="38"/>
  <c r="D6824" i="38"/>
  <c r="C6824" i="38"/>
  <c r="J6823" i="38"/>
  <c r="I6823" i="38"/>
  <c r="H6823" i="38"/>
  <c r="G6823" i="38"/>
  <c r="F6823" i="38"/>
  <c r="E6823" i="38"/>
  <c r="D6823" i="38"/>
  <c r="C6823" i="38"/>
  <c r="J6822" i="38"/>
  <c r="I6822" i="38"/>
  <c r="H6822" i="38"/>
  <c r="G6822" i="38"/>
  <c r="F6822" i="38"/>
  <c r="E6822" i="38"/>
  <c r="D6822" i="38"/>
  <c r="C6822" i="38"/>
  <c r="J6821" i="38"/>
  <c r="I6821" i="38"/>
  <c r="H6821" i="38"/>
  <c r="G6821" i="38"/>
  <c r="F6821" i="38"/>
  <c r="E6821" i="38"/>
  <c r="D6821" i="38"/>
  <c r="C6821" i="38"/>
  <c r="J6820" i="38"/>
  <c r="I6820" i="38"/>
  <c r="H6820" i="38"/>
  <c r="G6820" i="38"/>
  <c r="F6820" i="38"/>
  <c r="E6820" i="38"/>
  <c r="D6820" i="38"/>
  <c r="C6820" i="38"/>
  <c r="J6819" i="38"/>
  <c r="I6819" i="38"/>
  <c r="H6819" i="38"/>
  <c r="G6819" i="38"/>
  <c r="F6819" i="38"/>
  <c r="E6819" i="38"/>
  <c r="D6819" i="38"/>
  <c r="C6819" i="38"/>
  <c r="J6818" i="38"/>
  <c r="I6818" i="38"/>
  <c r="H6818" i="38"/>
  <c r="G6818" i="38"/>
  <c r="F6818" i="38"/>
  <c r="E6818" i="38"/>
  <c r="D6818" i="38"/>
  <c r="C6818" i="38"/>
  <c r="J6817" i="38"/>
  <c r="I6817" i="38"/>
  <c r="H6817" i="38"/>
  <c r="G6817" i="38"/>
  <c r="F6817" i="38"/>
  <c r="E6817" i="38"/>
  <c r="D6817" i="38"/>
  <c r="C6817" i="38"/>
  <c r="J6816" i="38"/>
  <c r="I6816" i="38"/>
  <c r="H6816" i="38"/>
  <c r="G6816" i="38"/>
  <c r="F6816" i="38"/>
  <c r="E6816" i="38"/>
  <c r="D6816" i="38"/>
  <c r="C6816" i="38"/>
  <c r="J6815" i="38"/>
  <c r="I6815" i="38"/>
  <c r="H6815" i="38"/>
  <c r="G6815" i="38"/>
  <c r="F6815" i="38"/>
  <c r="E6815" i="38"/>
  <c r="D6815" i="38"/>
  <c r="C6815" i="38"/>
  <c r="J6814" i="38"/>
  <c r="I6814" i="38"/>
  <c r="H6814" i="38"/>
  <c r="G6814" i="38"/>
  <c r="F6814" i="38"/>
  <c r="E6814" i="38"/>
  <c r="D6814" i="38"/>
  <c r="C6814" i="38"/>
  <c r="J6813" i="38"/>
  <c r="I6813" i="38"/>
  <c r="H6813" i="38"/>
  <c r="G6813" i="38"/>
  <c r="E6813" i="38"/>
  <c r="D6813" i="38"/>
  <c r="C6813" i="38"/>
  <c r="J6812" i="38"/>
  <c r="I6812" i="38"/>
  <c r="H6812" i="38"/>
  <c r="G6812" i="38"/>
  <c r="F6812" i="38"/>
  <c r="E6812" i="38"/>
  <c r="C6812" i="38"/>
  <c r="H6811" i="38"/>
  <c r="G6811" i="38"/>
  <c r="E6811" i="38"/>
  <c r="C6811" i="38"/>
  <c r="H6810" i="38"/>
  <c r="G6810" i="38"/>
  <c r="E6810" i="38"/>
  <c r="D6810" i="38"/>
  <c r="C6810" i="38"/>
  <c r="H6809" i="38"/>
  <c r="G6809" i="38"/>
  <c r="E6809" i="38"/>
  <c r="D6809" i="38"/>
  <c r="C6809" i="38"/>
  <c r="H6808" i="38"/>
  <c r="G6808" i="38"/>
  <c r="E6808" i="38"/>
  <c r="D6808" i="38"/>
  <c r="C6808" i="38"/>
  <c r="H6807" i="38"/>
  <c r="G6807" i="38"/>
  <c r="E6807" i="38"/>
  <c r="D6807" i="38"/>
  <c r="C6807" i="38"/>
  <c r="J6806" i="38"/>
  <c r="I6806" i="38"/>
  <c r="H6806" i="38"/>
  <c r="G6806" i="38"/>
  <c r="F6806" i="38"/>
  <c r="E6806" i="38"/>
  <c r="D6806" i="38"/>
  <c r="C6806" i="38"/>
  <c r="J6805" i="38"/>
  <c r="I6805" i="38"/>
  <c r="H6805" i="38"/>
  <c r="G6805" i="38"/>
  <c r="F6805" i="38"/>
  <c r="E6805" i="38"/>
  <c r="D6805" i="38"/>
  <c r="C6805" i="38"/>
  <c r="J6804" i="38"/>
  <c r="I6804" i="38"/>
  <c r="H6804" i="38"/>
  <c r="G6804" i="38"/>
  <c r="F6804" i="38"/>
  <c r="E6804" i="38"/>
  <c r="D6804" i="38"/>
  <c r="C6804" i="38"/>
  <c r="J6803" i="38"/>
  <c r="I6803" i="38"/>
  <c r="H6803" i="38"/>
  <c r="G6803" i="38"/>
  <c r="E6803" i="38"/>
  <c r="D6803" i="38"/>
  <c r="C6803" i="38"/>
  <c r="J6802" i="38"/>
  <c r="I6802" i="38"/>
  <c r="H6802" i="38"/>
  <c r="G6802" i="38"/>
  <c r="F6802" i="38"/>
  <c r="E6802" i="38"/>
  <c r="C6802" i="38"/>
  <c r="H6801" i="38"/>
  <c r="G6801" i="38"/>
  <c r="E6801" i="38"/>
  <c r="C6801" i="38"/>
  <c r="H6800" i="38"/>
  <c r="G6800" i="38"/>
  <c r="E6800" i="38"/>
  <c r="D6800" i="38"/>
  <c r="C6800" i="38"/>
  <c r="H6799" i="38"/>
  <c r="G6799" i="38"/>
  <c r="E6799" i="38"/>
  <c r="D6799" i="38"/>
  <c r="C6799" i="38"/>
  <c r="H6798" i="38"/>
  <c r="G6798" i="38"/>
  <c r="E6798" i="38"/>
  <c r="D6798" i="38"/>
  <c r="C6798" i="38"/>
  <c r="H6797" i="38"/>
  <c r="G6797" i="38"/>
  <c r="E6797" i="38"/>
  <c r="D6797" i="38"/>
  <c r="C6797" i="38"/>
  <c r="J6796" i="38"/>
  <c r="I6796" i="38"/>
  <c r="H6796" i="38"/>
  <c r="G6796" i="38"/>
  <c r="F6796" i="38"/>
  <c r="E6796" i="38"/>
  <c r="D6796" i="38"/>
  <c r="C6796" i="38"/>
  <c r="J6795" i="38"/>
  <c r="I6795" i="38"/>
  <c r="H6795" i="38"/>
  <c r="G6795" i="38"/>
  <c r="F6795" i="38"/>
  <c r="E6795" i="38"/>
  <c r="D6795" i="38"/>
  <c r="C6795" i="38"/>
  <c r="J6794" i="38"/>
  <c r="I6794" i="38"/>
  <c r="H6794" i="38"/>
  <c r="G6794" i="38"/>
  <c r="F6794" i="38"/>
  <c r="E6794" i="38"/>
  <c r="D6794" i="38"/>
  <c r="C6794" i="38"/>
  <c r="J6793" i="38"/>
  <c r="I6793" i="38"/>
  <c r="H6793" i="38"/>
  <c r="G6793" i="38"/>
  <c r="E6793" i="38"/>
  <c r="D6793" i="38"/>
  <c r="C6793" i="38"/>
  <c r="J6792" i="38"/>
  <c r="I6792" i="38"/>
  <c r="H6792" i="38"/>
  <c r="G6792" i="38"/>
  <c r="F6792" i="38"/>
  <c r="E6792" i="38"/>
  <c r="C6792" i="38"/>
  <c r="H6791" i="38"/>
  <c r="G6791" i="38"/>
  <c r="E6791" i="38"/>
  <c r="C6791" i="38"/>
  <c r="H6790" i="38"/>
  <c r="G6790" i="38"/>
  <c r="E6790" i="38"/>
  <c r="D6790" i="38"/>
  <c r="C6790" i="38"/>
  <c r="H6789" i="38"/>
  <c r="G6789" i="38"/>
  <c r="E6789" i="38"/>
  <c r="D6789" i="38"/>
  <c r="C6789" i="38"/>
  <c r="H6788" i="38"/>
  <c r="G6788" i="38"/>
  <c r="E6788" i="38"/>
  <c r="D6788" i="38"/>
  <c r="C6788" i="38"/>
  <c r="H6787" i="38"/>
  <c r="G6787" i="38"/>
  <c r="E6787" i="38"/>
  <c r="D6787" i="38"/>
  <c r="C6787" i="38"/>
  <c r="J6786" i="38"/>
  <c r="I6786" i="38"/>
  <c r="H6786" i="38"/>
  <c r="G6786" i="38"/>
  <c r="F6786" i="38"/>
  <c r="E6786" i="38"/>
  <c r="D6786" i="38"/>
  <c r="C6786" i="38"/>
  <c r="J6785" i="38"/>
  <c r="I6785" i="38"/>
  <c r="H6785" i="38"/>
  <c r="G6785" i="38"/>
  <c r="F6785" i="38"/>
  <c r="E6785" i="38"/>
  <c r="D6785" i="38"/>
  <c r="C6785" i="38"/>
  <c r="J6784" i="38"/>
  <c r="I6784" i="38"/>
  <c r="H6784" i="38"/>
  <c r="G6784" i="38"/>
  <c r="F6784" i="38"/>
  <c r="E6784" i="38"/>
  <c r="D6784" i="38"/>
  <c r="C6784" i="38"/>
  <c r="J6783" i="38"/>
  <c r="I6783" i="38"/>
  <c r="H6783" i="38"/>
  <c r="G6783" i="38"/>
  <c r="E6783" i="38"/>
  <c r="D6783" i="38"/>
  <c r="C6783" i="38"/>
  <c r="J6782" i="38"/>
  <c r="I6782" i="38"/>
  <c r="H6782" i="38"/>
  <c r="G6782" i="38"/>
  <c r="F6782" i="38"/>
  <c r="E6782" i="38"/>
  <c r="C6782" i="38"/>
  <c r="H6781" i="38"/>
  <c r="G6781" i="38"/>
  <c r="E6781" i="38"/>
  <c r="C6781" i="38"/>
  <c r="H6780" i="38"/>
  <c r="G6780" i="38"/>
  <c r="E6780" i="38"/>
  <c r="D6780" i="38"/>
  <c r="C6780" i="38"/>
  <c r="H6779" i="38"/>
  <c r="G6779" i="38"/>
  <c r="E6779" i="38"/>
  <c r="D6779" i="38"/>
  <c r="C6779" i="38"/>
  <c r="H6778" i="38"/>
  <c r="G6778" i="38"/>
  <c r="E6778" i="38"/>
  <c r="D6778" i="38"/>
  <c r="C6778" i="38"/>
  <c r="H6777" i="38"/>
  <c r="G6777" i="38"/>
  <c r="E6777" i="38"/>
  <c r="D6777" i="38"/>
  <c r="C6777" i="38"/>
  <c r="J6776" i="38"/>
  <c r="I6776" i="38"/>
  <c r="H6776" i="38"/>
  <c r="G6776" i="38"/>
  <c r="F6776" i="38"/>
  <c r="E6776" i="38"/>
  <c r="D6776" i="38"/>
  <c r="C6776" i="38"/>
  <c r="J6775" i="38"/>
  <c r="I6775" i="38"/>
  <c r="H6775" i="38"/>
  <c r="G6775" i="38"/>
  <c r="F6775" i="38"/>
  <c r="E6775" i="38"/>
  <c r="D6775" i="38"/>
  <c r="C6775" i="38"/>
  <c r="J6774" i="38"/>
  <c r="I6774" i="38"/>
  <c r="H6774" i="38"/>
  <c r="G6774" i="38"/>
  <c r="F6774" i="38"/>
  <c r="E6774" i="38"/>
  <c r="D6774" i="38"/>
  <c r="C6774" i="38"/>
  <c r="J6773" i="38"/>
  <c r="I6773" i="38"/>
  <c r="H6773" i="38"/>
  <c r="G6773" i="38"/>
  <c r="E6773" i="38"/>
  <c r="D6773" i="38"/>
  <c r="C6773" i="38"/>
  <c r="J6772" i="38"/>
  <c r="I6772" i="38"/>
  <c r="H6772" i="38"/>
  <c r="G6772" i="38"/>
  <c r="F6772" i="38"/>
  <c r="E6772" i="38"/>
  <c r="C6772" i="38"/>
  <c r="H6771" i="38"/>
  <c r="G6771" i="38"/>
  <c r="E6771" i="38"/>
  <c r="C6771" i="38"/>
  <c r="H6770" i="38"/>
  <c r="G6770" i="38"/>
  <c r="E6770" i="38"/>
  <c r="D6770" i="38"/>
  <c r="C6770" i="38"/>
  <c r="H6769" i="38"/>
  <c r="G6769" i="38"/>
  <c r="E6769" i="38"/>
  <c r="D6769" i="38"/>
  <c r="C6769" i="38"/>
  <c r="H6768" i="38"/>
  <c r="G6768" i="38"/>
  <c r="E6768" i="38"/>
  <c r="D6768" i="38"/>
  <c r="C6768" i="38"/>
  <c r="H6767" i="38"/>
  <c r="G6767" i="38"/>
  <c r="E6767" i="38"/>
  <c r="D6767" i="38"/>
  <c r="C6767" i="38"/>
  <c r="J6766" i="38"/>
  <c r="I6766" i="38"/>
  <c r="H6766" i="38"/>
  <c r="G6766" i="38"/>
  <c r="F6766" i="38"/>
  <c r="E6766" i="38"/>
  <c r="D6766" i="38"/>
  <c r="C6766" i="38"/>
  <c r="J6765" i="38"/>
  <c r="I6765" i="38"/>
  <c r="H6765" i="38"/>
  <c r="G6765" i="38"/>
  <c r="F6765" i="38"/>
  <c r="E6765" i="38"/>
  <c r="D6765" i="38"/>
  <c r="C6765" i="38"/>
  <c r="J6764" i="38"/>
  <c r="I6764" i="38"/>
  <c r="H6764" i="38"/>
  <c r="G6764" i="38"/>
  <c r="F6764" i="38"/>
  <c r="E6764" i="38"/>
  <c r="D6764" i="38"/>
  <c r="C6764" i="38"/>
  <c r="J6763" i="38"/>
  <c r="I6763" i="38"/>
  <c r="H6763" i="38"/>
  <c r="G6763" i="38"/>
  <c r="E6763" i="38"/>
  <c r="D6763" i="38"/>
  <c r="C6763" i="38"/>
  <c r="J6762" i="38"/>
  <c r="I6762" i="38"/>
  <c r="H6762" i="38"/>
  <c r="G6762" i="38"/>
  <c r="F6762" i="38"/>
  <c r="E6762" i="38"/>
  <c r="C6762" i="38"/>
  <c r="H6761" i="38"/>
  <c r="G6761" i="38"/>
  <c r="E6761" i="38"/>
  <c r="C6761" i="38"/>
  <c r="H6760" i="38"/>
  <c r="G6760" i="38"/>
  <c r="E6760" i="38"/>
  <c r="D6760" i="38"/>
  <c r="C6760" i="38"/>
  <c r="H6759" i="38"/>
  <c r="G6759" i="38"/>
  <c r="E6759" i="38"/>
  <c r="D6759" i="38"/>
  <c r="C6759" i="38"/>
  <c r="H6758" i="38"/>
  <c r="G6758" i="38"/>
  <c r="E6758" i="38"/>
  <c r="D6758" i="38"/>
  <c r="C6758" i="38"/>
  <c r="H6757" i="38"/>
  <c r="G6757" i="38"/>
  <c r="E6757" i="38"/>
  <c r="D6757" i="38"/>
  <c r="C6757" i="38"/>
  <c r="J6756" i="38"/>
  <c r="I6756" i="38"/>
  <c r="H6756" i="38"/>
  <c r="G6756" i="38"/>
  <c r="F6756" i="38"/>
  <c r="E6756" i="38"/>
  <c r="D6756" i="38"/>
  <c r="C6756" i="38"/>
  <c r="J6755" i="38"/>
  <c r="I6755" i="38"/>
  <c r="H6755" i="38"/>
  <c r="G6755" i="38"/>
  <c r="F6755" i="38"/>
  <c r="E6755" i="38"/>
  <c r="D6755" i="38"/>
  <c r="C6755" i="38"/>
  <c r="J6754" i="38"/>
  <c r="I6754" i="38"/>
  <c r="H6754" i="38"/>
  <c r="G6754" i="38"/>
  <c r="F6754" i="38"/>
  <c r="E6754" i="38"/>
  <c r="D6754" i="38"/>
  <c r="C6754" i="38"/>
  <c r="J6753" i="38"/>
  <c r="I6753" i="38"/>
  <c r="H6753" i="38"/>
  <c r="G6753" i="38"/>
  <c r="E6753" i="38"/>
  <c r="D6753" i="38"/>
  <c r="C6753" i="38"/>
  <c r="J6752" i="38"/>
  <c r="I6752" i="38"/>
  <c r="H6752" i="38"/>
  <c r="G6752" i="38"/>
  <c r="F6752" i="38"/>
  <c r="E6752" i="38"/>
  <c r="C6752" i="38"/>
  <c r="H6751" i="38"/>
  <c r="G6751" i="38"/>
  <c r="E6751" i="38"/>
  <c r="C6751" i="38"/>
  <c r="H6750" i="38"/>
  <c r="G6750" i="38"/>
  <c r="E6750" i="38"/>
  <c r="D6750" i="38"/>
  <c r="C6750" i="38"/>
  <c r="H6749" i="38"/>
  <c r="G6749" i="38"/>
  <c r="E6749" i="38"/>
  <c r="D6749" i="38"/>
  <c r="C6749" i="38"/>
  <c r="H6748" i="38"/>
  <c r="G6748" i="38"/>
  <c r="E6748" i="38"/>
  <c r="D6748" i="38"/>
  <c r="C6748" i="38"/>
  <c r="H6747" i="38"/>
  <c r="G6747" i="38"/>
  <c r="E6747" i="38"/>
  <c r="D6747" i="38"/>
  <c r="C6747" i="38"/>
  <c r="J6746" i="38"/>
  <c r="I6746" i="38"/>
  <c r="H6746" i="38"/>
  <c r="G6746" i="38"/>
  <c r="F6746" i="38"/>
  <c r="E6746" i="38"/>
  <c r="D6746" i="38"/>
  <c r="C6746" i="38"/>
  <c r="J6745" i="38"/>
  <c r="I6745" i="38"/>
  <c r="H6745" i="38"/>
  <c r="G6745" i="38"/>
  <c r="F6745" i="38"/>
  <c r="E6745" i="38"/>
  <c r="D6745" i="38"/>
  <c r="C6745" i="38"/>
  <c r="J6744" i="38"/>
  <c r="I6744" i="38"/>
  <c r="H6744" i="38"/>
  <c r="G6744" i="38"/>
  <c r="F6744" i="38"/>
  <c r="E6744" i="38"/>
  <c r="D6744" i="38"/>
  <c r="C6744" i="38"/>
  <c r="J6743" i="38"/>
  <c r="I6743" i="38"/>
  <c r="H6743" i="38"/>
  <c r="G6743" i="38"/>
  <c r="E6743" i="38"/>
  <c r="D6743" i="38"/>
  <c r="C6743" i="38"/>
  <c r="J6742" i="38"/>
  <c r="I6742" i="38"/>
  <c r="H6742" i="38"/>
  <c r="G6742" i="38"/>
  <c r="F6742" i="38"/>
  <c r="E6742" i="38"/>
  <c r="C6742" i="38"/>
  <c r="H6741" i="38"/>
  <c r="G6741" i="38"/>
  <c r="E6741" i="38"/>
  <c r="C6741" i="38"/>
  <c r="H6740" i="38"/>
  <c r="G6740" i="38"/>
  <c r="E6740" i="38"/>
  <c r="D6740" i="38"/>
  <c r="C6740" i="38"/>
  <c r="H6739" i="38"/>
  <c r="G6739" i="38"/>
  <c r="E6739" i="38"/>
  <c r="D6739" i="38"/>
  <c r="C6739" i="38"/>
  <c r="H6738" i="38"/>
  <c r="G6738" i="38"/>
  <c r="E6738" i="38"/>
  <c r="D6738" i="38"/>
  <c r="C6738" i="38"/>
  <c r="H6737" i="38"/>
  <c r="G6737" i="38"/>
  <c r="E6737" i="38"/>
  <c r="D6737" i="38"/>
  <c r="C6737" i="38"/>
  <c r="J6736" i="38"/>
  <c r="I6736" i="38"/>
  <c r="H6736" i="38"/>
  <c r="G6736" i="38"/>
  <c r="F6736" i="38"/>
  <c r="E6736" i="38"/>
  <c r="D6736" i="38"/>
  <c r="C6736" i="38"/>
  <c r="J6735" i="38"/>
  <c r="I6735" i="38"/>
  <c r="H6735" i="38"/>
  <c r="G6735" i="38"/>
  <c r="F6735" i="38"/>
  <c r="E6735" i="38"/>
  <c r="D6735" i="38"/>
  <c r="C6735" i="38"/>
  <c r="J6734" i="38"/>
  <c r="I6734" i="38"/>
  <c r="H6734" i="38"/>
  <c r="G6734" i="38"/>
  <c r="F6734" i="38"/>
  <c r="E6734" i="38"/>
  <c r="D6734" i="38"/>
  <c r="C6734" i="38"/>
  <c r="J6733" i="38"/>
  <c r="I6733" i="38"/>
  <c r="H6733" i="38"/>
  <c r="G6733" i="38"/>
  <c r="E6733" i="38"/>
  <c r="D6733" i="38"/>
  <c r="C6733" i="38"/>
  <c r="J6732" i="38"/>
  <c r="I6732" i="38"/>
  <c r="H6732" i="38"/>
  <c r="G6732" i="38"/>
  <c r="F6732" i="38"/>
  <c r="E6732" i="38"/>
  <c r="C6732" i="38"/>
  <c r="H6731" i="38"/>
  <c r="G6731" i="38"/>
  <c r="E6731" i="38"/>
  <c r="C6731" i="38"/>
  <c r="H6730" i="38"/>
  <c r="G6730" i="38"/>
  <c r="E6730" i="38"/>
  <c r="D6730" i="38"/>
  <c r="C6730" i="38"/>
  <c r="H6729" i="38"/>
  <c r="G6729" i="38"/>
  <c r="E6729" i="38"/>
  <c r="D6729" i="38"/>
  <c r="C6729" i="38"/>
  <c r="H6728" i="38"/>
  <c r="G6728" i="38"/>
  <c r="E6728" i="38"/>
  <c r="D6728" i="38"/>
  <c r="C6728" i="38"/>
  <c r="H6727" i="38"/>
  <c r="G6727" i="38"/>
  <c r="E6727" i="38"/>
  <c r="D6727" i="38"/>
  <c r="C6727" i="38"/>
  <c r="J6726" i="38"/>
  <c r="I6726" i="38"/>
  <c r="H6726" i="38"/>
  <c r="G6726" i="38"/>
  <c r="F6726" i="38"/>
  <c r="E6726" i="38"/>
  <c r="D6726" i="38"/>
  <c r="C6726" i="38"/>
  <c r="J6725" i="38"/>
  <c r="I6725" i="38"/>
  <c r="H6725" i="38"/>
  <c r="G6725" i="38"/>
  <c r="F6725" i="38"/>
  <c r="E6725" i="38"/>
  <c r="D6725" i="38"/>
  <c r="C6725" i="38"/>
  <c r="J6724" i="38"/>
  <c r="I6724" i="38"/>
  <c r="H6724" i="38"/>
  <c r="G6724" i="38"/>
  <c r="F6724" i="38"/>
  <c r="E6724" i="38"/>
  <c r="D6724" i="38"/>
  <c r="C6724" i="38"/>
  <c r="J6723" i="38"/>
  <c r="I6723" i="38"/>
  <c r="H6723" i="38"/>
  <c r="G6723" i="38"/>
  <c r="E6723" i="38"/>
  <c r="D6723" i="38"/>
  <c r="C6723" i="38"/>
  <c r="J6722" i="38"/>
  <c r="I6722" i="38"/>
  <c r="H6722" i="38"/>
  <c r="G6722" i="38"/>
  <c r="F6722" i="38"/>
  <c r="E6722" i="38"/>
  <c r="C6722" i="38"/>
  <c r="H6721" i="38"/>
  <c r="G6721" i="38"/>
  <c r="E6721" i="38"/>
  <c r="C6721" i="38"/>
  <c r="H6720" i="38"/>
  <c r="G6720" i="38"/>
  <c r="E6720" i="38"/>
  <c r="D6720" i="38"/>
  <c r="C6720" i="38"/>
  <c r="H6719" i="38"/>
  <c r="G6719" i="38"/>
  <c r="E6719" i="38"/>
  <c r="D6719" i="38"/>
  <c r="C6719" i="38"/>
  <c r="H6718" i="38"/>
  <c r="G6718" i="38"/>
  <c r="E6718" i="38"/>
  <c r="D6718" i="38"/>
  <c r="C6718" i="38"/>
  <c r="H6717" i="38"/>
  <c r="G6717" i="38"/>
  <c r="E6717" i="38"/>
  <c r="D6717" i="38"/>
  <c r="C6717" i="38"/>
  <c r="J6716" i="38"/>
  <c r="I6716" i="38"/>
  <c r="H6716" i="38"/>
  <c r="G6716" i="38"/>
  <c r="F6716" i="38"/>
  <c r="E6716" i="38"/>
  <c r="D6716" i="38"/>
  <c r="C6716" i="38"/>
  <c r="J6715" i="38"/>
  <c r="I6715" i="38"/>
  <c r="H6715" i="38"/>
  <c r="G6715" i="38"/>
  <c r="F6715" i="38"/>
  <c r="E6715" i="38"/>
  <c r="D6715" i="38"/>
  <c r="C6715" i="38"/>
  <c r="J6714" i="38"/>
  <c r="I6714" i="38"/>
  <c r="H6714" i="38"/>
  <c r="G6714" i="38"/>
  <c r="F6714" i="38"/>
  <c r="E6714" i="38"/>
  <c r="D6714" i="38"/>
  <c r="C6714" i="38"/>
  <c r="J6713" i="38"/>
  <c r="I6713" i="38"/>
  <c r="H6713" i="38"/>
  <c r="G6713" i="38"/>
  <c r="E6713" i="38"/>
  <c r="D6713" i="38"/>
  <c r="C6713" i="38"/>
  <c r="J6712" i="38"/>
  <c r="I6712" i="38"/>
  <c r="H6712" i="38"/>
  <c r="G6712" i="38"/>
  <c r="F6712" i="38"/>
  <c r="E6712" i="38"/>
  <c r="C6712" i="38"/>
  <c r="H6711" i="38"/>
  <c r="G6711" i="38"/>
  <c r="E6711" i="38"/>
  <c r="C6711" i="38"/>
  <c r="H6710" i="38"/>
  <c r="G6710" i="38"/>
  <c r="E6710" i="38"/>
  <c r="D6710" i="38"/>
  <c r="C6710" i="38"/>
  <c r="H6709" i="38"/>
  <c r="G6709" i="38"/>
  <c r="E6709" i="38"/>
  <c r="D6709" i="38"/>
  <c r="C6709" i="38"/>
  <c r="H6708" i="38"/>
  <c r="G6708" i="38"/>
  <c r="E6708" i="38"/>
  <c r="D6708" i="38"/>
  <c r="C6708" i="38"/>
  <c r="H6707" i="38"/>
  <c r="G6707" i="38"/>
  <c r="E6707" i="38"/>
  <c r="D6707" i="38"/>
  <c r="C6707" i="38"/>
  <c r="J6706" i="38"/>
  <c r="I6706" i="38"/>
  <c r="H6706" i="38"/>
  <c r="G6706" i="38"/>
  <c r="F6706" i="38"/>
  <c r="E6706" i="38"/>
  <c r="D6706" i="38"/>
  <c r="C6706" i="38"/>
  <c r="J6705" i="38"/>
  <c r="I6705" i="38"/>
  <c r="H6705" i="38"/>
  <c r="G6705" i="38"/>
  <c r="F6705" i="38"/>
  <c r="E6705" i="38"/>
  <c r="D6705" i="38"/>
  <c r="C6705" i="38"/>
  <c r="J6704" i="38"/>
  <c r="I6704" i="38"/>
  <c r="H6704" i="38"/>
  <c r="G6704" i="38"/>
  <c r="F6704" i="38"/>
  <c r="E6704" i="38"/>
  <c r="D6704" i="38"/>
  <c r="C6704" i="38"/>
  <c r="J6703" i="38"/>
  <c r="I6703" i="38"/>
  <c r="H6703" i="38"/>
  <c r="G6703" i="38"/>
  <c r="E6703" i="38"/>
  <c r="D6703" i="38"/>
  <c r="C6703" i="38"/>
  <c r="J6702" i="38"/>
  <c r="I6702" i="38"/>
  <c r="H6702" i="38"/>
  <c r="G6702" i="38"/>
  <c r="F6702" i="38"/>
  <c r="E6702" i="38"/>
  <c r="C6702" i="38"/>
  <c r="H6701" i="38"/>
  <c r="G6701" i="38"/>
  <c r="E6701" i="38"/>
  <c r="C6701" i="38"/>
  <c r="H6700" i="38"/>
  <c r="G6700" i="38"/>
  <c r="E6700" i="38"/>
  <c r="D6700" i="38"/>
  <c r="C6700" i="38"/>
  <c r="H6699" i="38"/>
  <c r="G6699" i="38"/>
  <c r="E6699" i="38"/>
  <c r="D6699" i="38"/>
  <c r="C6699" i="38"/>
  <c r="H6698" i="38"/>
  <c r="G6698" i="38"/>
  <c r="E6698" i="38"/>
  <c r="D6698" i="38"/>
  <c r="C6698" i="38"/>
  <c r="H6697" i="38"/>
  <c r="G6697" i="38"/>
  <c r="E6697" i="38"/>
  <c r="D6697" i="38"/>
  <c r="C6697" i="38"/>
  <c r="J6696" i="38"/>
  <c r="I6696" i="38"/>
  <c r="H6696" i="38"/>
  <c r="G6696" i="38"/>
  <c r="F6696" i="38"/>
  <c r="E6696" i="38"/>
  <c r="D6696" i="38"/>
  <c r="C6696" i="38"/>
  <c r="J6695" i="38"/>
  <c r="I6695" i="38"/>
  <c r="H6695" i="38"/>
  <c r="G6695" i="38"/>
  <c r="F6695" i="38"/>
  <c r="E6695" i="38"/>
  <c r="D6695" i="38"/>
  <c r="C6695" i="38"/>
  <c r="J6694" i="38"/>
  <c r="I6694" i="38"/>
  <c r="H6694" i="38"/>
  <c r="G6694" i="38"/>
  <c r="F6694" i="38"/>
  <c r="E6694" i="38"/>
  <c r="D6694" i="38"/>
  <c r="C6694" i="38"/>
  <c r="J6693" i="38"/>
  <c r="I6693" i="38"/>
  <c r="H6693" i="38"/>
  <c r="G6693" i="38"/>
  <c r="E6693" i="38"/>
  <c r="D6693" i="38"/>
  <c r="C6693" i="38"/>
  <c r="J6692" i="38"/>
  <c r="I6692" i="38"/>
  <c r="H6692" i="38"/>
  <c r="G6692" i="38"/>
  <c r="F6692" i="38"/>
  <c r="E6692" i="38"/>
  <c r="C6692" i="38"/>
  <c r="H6691" i="38"/>
  <c r="G6691" i="38"/>
  <c r="E6691" i="38"/>
  <c r="C6691" i="38"/>
  <c r="H6690" i="38"/>
  <c r="G6690" i="38"/>
  <c r="E6690" i="38"/>
  <c r="D6690" i="38"/>
  <c r="C6690" i="38"/>
  <c r="H6689" i="38"/>
  <c r="G6689" i="38"/>
  <c r="E6689" i="38"/>
  <c r="D6689" i="38"/>
  <c r="C6689" i="38"/>
  <c r="H6688" i="38"/>
  <c r="G6688" i="38"/>
  <c r="E6688" i="38"/>
  <c r="D6688" i="38"/>
  <c r="C6688" i="38"/>
  <c r="H6687" i="38"/>
  <c r="G6687" i="38"/>
  <c r="E6687" i="38"/>
  <c r="D6687" i="38"/>
  <c r="C6687" i="38"/>
  <c r="J6686" i="38"/>
  <c r="I6686" i="38"/>
  <c r="H6686" i="38"/>
  <c r="G6686" i="38"/>
  <c r="F6686" i="38"/>
  <c r="E6686" i="38"/>
  <c r="D6686" i="38"/>
  <c r="C6686" i="38"/>
  <c r="J6685" i="38"/>
  <c r="I6685" i="38"/>
  <c r="H6685" i="38"/>
  <c r="G6685" i="38"/>
  <c r="F6685" i="38"/>
  <c r="E6685" i="38"/>
  <c r="D6685" i="38"/>
  <c r="C6685" i="38"/>
  <c r="J6684" i="38"/>
  <c r="I6684" i="38"/>
  <c r="H6684" i="38"/>
  <c r="G6684" i="38"/>
  <c r="F6684" i="38"/>
  <c r="E6684" i="38"/>
  <c r="D6684" i="38"/>
  <c r="C6684" i="38"/>
  <c r="J6683" i="38"/>
  <c r="I6683" i="38"/>
  <c r="H6683" i="38"/>
  <c r="G6683" i="38"/>
  <c r="E6683" i="38"/>
  <c r="D6683" i="38"/>
  <c r="C6683" i="38"/>
  <c r="J6682" i="38"/>
  <c r="I6682" i="38"/>
  <c r="H6682" i="38"/>
  <c r="G6682" i="38"/>
  <c r="F6682" i="38"/>
  <c r="E6682" i="38"/>
  <c r="C6682" i="38"/>
  <c r="H6681" i="38"/>
  <c r="G6681" i="38"/>
  <c r="E6681" i="38"/>
  <c r="C6681" i="38"/>
  <c r="H6680" i="38"/>
  <c r="G6680" i="38"/>
  <c r="E6680" i="38"/>
  <c r="D6680" i="38"/>
  <c r="C6680" i="38"/>
  <c r="H6679" i="38"/>
  <c r="G6679" i="38"/>
  <c r="E6679" i="38"/>
  <c r="D6679" i="38"/>
  <c r="C6679" i="38"/>
  <c r="H6678" i="38"/>
  <c r="G6678" i="38"/>
  <c r="E6678" i="38"/>
  <c r="D6678" i="38"/>
  <c r="C6678" i="38"/>
  <c r="H6677" i="38"/>
  <c r="G6677" i="38"/>
  <c r="E6677" i="38"/>
  <c r="D6677" i="38"/>
  <c r="C6677" i="38"/>
  <c r="J6676" i="38"/>
  <c r="I6676" i="38"/>
  <c r="H6676" i="38"/>
  <c r="G6676" i="38"/>
  <c r="F6676" i="38"/>
  <c r="E6676" i="38"/>
  <c r="D6676" i="38"/>
  <c r="C6676" i="38"/>
  <c r="J6675" i="38"/>
  <c r="I6675" i="38"/>
  <c r="H6675" i="38"/>
  <c r="G6675" i="38"/>
  <c r="F6675" i="38"/>
  <c r="E6675" i="38"/>
  <c r="D6675" i="38"/>
  <c r="C6675" i="38"/>
  <c r="J6674" i="38"/>
  <c r="I6674" i="38"/>
  <c r="H6674" i="38"/>
  <c r="G6674" i="38"/>
  <c r="F6674" i="38"/>
  <c r="E6674" i="38"/>
  <c r="D6674" i="38"/>
  <c r="C6674" i="38"/>
  <c r="J6673" i="38"/>
  <c r="I6673" i="38"/>
  <c r="H6673" i="38"/>
  <c r="G6673" i="38"/>
  <c r="E6673" i="38"/>
  <c r="D6673" i="38"/>
  <c r="C6673" i="38"/>
  <c r="J6672" i="38"/>
  <c r="I6672" i="38"/>
  <c r="H6672" i="38"/>
  <c r="G6672" i="38"/>
  <c r="F6672" i="38"/>
  <c r="E6672" i="38"/>
  <c r="C6672" i="38"/>
  <c r="H6671" i="38"/>
  <c r="G6671" i="38"/>
  <c r="E6671" i="38"/>
  <c r="C6671" i="38"/>
  <c r="H6670" i="38"/>
  <c r="G6670" i="38"/>
  <c r="E6670" i="38"/>
  <c r="D6670" i="38"/>
  <c r="C6670" i="38"/>
  <c r="H6669" i="38"/>
  <c r="G6669" i="38"/>
  <c r="E6669" i="38"/>
  <c r="D6669" i="38"/>
  <c r="C6669" i="38"/>
  <c r="H6668" i="38"/>
  <c r="G6668" i="38"/>
  <c r="E6668" i="38"/>
  <c r="D6668" i="38"/>
  <c r="C6668" i="38"/>
  <c r="H6667" i="38"/>
  <c r="G6667" i="38"/>
  <c r="E6667" i="38"/>
  <c r="D6667" i="38"/>
  <c r="C6667" i="38"/>
  <c r="J6666" i="38"/>
  <c r="I6666" i="38"/>
  <c r="H6666" i="38"/>
  <c r="G6666" i="38"/>
  <c r="F6666" i="38"/>
  <c r="E6666" i="38"/>
  <c r="D6666" i="38"/>
  <c r="C6666" i="38"/>
  <c r="J6665" i="38"/>
  <c r="I6665" i="38"/>
  <c r="H6665" i="38"/>
  <c r="G6665" i="38"/>
  <c r="F6665" i="38"/>
  <c r="E6665" i="38"/>
  <c r="D6665" i="38"/>
  <c r="C6665" i="38"/>
  <c r="J6664" i="38"/>
  <c r="I6664" i="38"/>
  <c r="H6664" i="38"/>
  <c r="G6664" i="38"/>
  <c r="F6664" i="38"/>
  <c r="E6664" i="38"/>
  <c r="D6664" i="38"/>
  <c r="C6664" i="38"/>
  <c r="J6663" i="38"/>
  <c r="I6663" i="38"/>
  <c r="H6663" i="38"/>
  <c r="G6663" i="38"/>
  <c r="E6663" i="38"/>
  <c r="D6663" i="38"/>
  <c r="C6663" i="38"/>
  <c r="J6662" i="38"/>
  <c r="I6662" i="38"/>
  <c r="H6662" i="38"/>
  <c r="G6662" i="38"/>
  <c r="F6662" i="38"/>
  <c r="E6662" i="38"/>
  <c r="C6662" i="38"/>
  <c r="H6661" i="38"/>
  <c r="G6661" i="38"/>
  <c r="E6661" i="38"/>
  <c r="C6661" i="38"/>
  <c r="H6660" i="38"/>
  <c r="G6660" i="38"/>
  <c r="E6660" i="38"/>
  <c r="D6660" i="38"/>
  <c r="C6660" i="38"/>
  <c r="H6659" i="38"/>
  <c r="G6659" i="38"/>
  <c r="E6659" i="38"/>
  <c r="D6659" i="38"/>
  <c r="C6659" i="38"/>
  <c r="H6658" i="38"/>
  <c r="G6658" i="38"/>
  <c r="E6658" i="38"/>
  <c r="D6658" i="38"/>
  <c r="C6658" i="38"/>
  <c r="H6657" i="38"/>
  <c r="G6657" i="38"/>
  <c r="E6657" i="38"/>
  <c r="D6657" i="38"/>
  <c r="C6657" i="38"/>
  <c r="J6656" i="38"/>
  <c r="I6656" i="38"/>
  <c r="H6656" i="38"/>
  <c r="G6656" i="38"/>
  <c r="F6656" i="38"/>
  <c r="E6656" i="38"/>
  <c r="D6656" i="38"/>
  <c r="C6656" i="38"/>
  <c r="J6655" i="38"/>
  <c r="I6655" i="38"/>
  <c r="H6655" i="38"/>
  <c r="G6655" i="38"/>
  <c r="F6655" i="38"/>
  <c r="E6655" i="38"/>
  <c r="D6655" i="38"/>
  <c r="C6655" i="38"/>
  <c r="J6654" i="38"/>
  <c r="I6654" i="38"/>
  <c r="H6654" i="38"/>
  <c r="G6654" i="38"/>
  <c r="F6654" i="38"/>
  <c r="E6654" i="38"/>
  <c r="D6654" i="38"/>
  <c r="C6654" i="38"/>
  <c r="J6653" i="38"/>
  <c r="I6653" i="38"/>
  <c r="H6653" i="38"/>
  <c r="G6653" i="38"/>
  <c r="E6653" i="38"/>
  <c r="D6653" i="38"/>
  <c r="C6653" i="38"/>
  <c r="J6652" i="38"/>
  <c r="I6652" i="38"/>
  <c r="H6652" i="38"/>
  <c r="G6652" i="38"/>
  <c r="F6652" i="38"/>
  <c r="E6652" i="38"/>
  <c r="C6652" i="38"/>
  <c r="H6651" i="38"/>
  <c r="G6651" i="38"/>
  <c r="E6651" i="38"/>
  <c r="C6651" i="38"/>
  <c r="J6650" i="38"/>
  <c r="I6650" i="38"/>
  <c r="H6650" i="38"/>
  <c r="G6650" i="38"/>
  <c r="F6650" i="38"/>
  <c r="E6650" i="38"/>
  <c r="D6650" i="38"/>
  <c r="C6650" i="38"/>
  <c r="J6649" i="38"/>
  <c r="I6649" i="38"/>
  <c r="H6649" i="38"/>
  <c r="G6649" i="38"/>
  <c r="F6649" i="38"/>
  <c r="E6649" i="38"/>
  <c r="D6649" i="38"/>
  <c r="C6649" i="38"/>
  <c r="J6648" i="38"/>
  <c r="I6648" i="38"/>
  <c r="H6648" i="38"/>
  <c r="G6648" i="38"/>
  <c r="F6648" i="38"/>
  <c r="E6648" i="38"/>
  <c r="D6648" i="38"/>
  <c r="C6648" i="38"/>
  <c r="J6647" i="38"/>
  <c r="I6647" i="38"/>
  <c r="H6647" i="38"/>
  <c r="G6647" i="38"/>
  <c r="F6647" i="38"/>
  <c r="E6647" i="38"/>
  <c r="D6647" i="38"/>
  <c r="C6647" i="38"/>
  <c r="J6646" i="38"/>
  <c r="I6646" i="38"/>
  <c r="H6646" i="38"/>
  <c r="G6646" i="38"/>
  <c r="F6646" i="38"/>
  <c r="E6646" i="38"/>
  <c r="D6646" i="38"/>
  <c r="C6646" i="38"/>
  <c r="J6645" i="38"/>
  <c r="I6645" i="38"/>
  <c r="H6645" i="38"/>
  <c r="G6645" i="38"/>
  <c r="F6645" i="38"/>
  <c r="E6645" i="38"/>
  <c r="D6645" i="38"/>
  <c r="C6645" i="38"/>
  <c r="J6644" i="38"/>
  <c r="I6644" i="38"/>
  <c r="H6644" i="38"/>
  <c r="G6644" i="38"/>
  <c r="F6644" i="38"/>
  <c r="E6644" i="38"/>
  <c r="D6644" i="38"/>
  <c r="C6644" i="38"/>
  <c r="J6643" i="38"/>
  <c r="I6643" i="38"/>
  <c r="H6643" i="38"/>
  <c r="G6643" i="38"/>
  <c r="F6643" i="38"/>
  <c r="E6643" i="38"/>
  <c r="D6643" i="38"/>
  <c r="C6643" i="38"/>
  <c r="J6642" i="38"/>
  <c r="I6642" i="38"/>
  <c r="H6642" i="38"/>
  <c r="G6642" i="38"/>
  <c r="F6642" i="38"/>
  <c r="E6642" i="38"/>
  <c r="D6642" i="38"/>
  <c r="C6642" i="38"/>
  <c r="J6641" i="38"/>
  <c r="I6641" i="38"/>
  <c r="H6641" i="38"/>
  <c r="G6641" i="38"/>
  <c r="F6641" i="38"/>
  <c r="E6641" i="38"/>
  <c r="D6641" i="38"/>
  <c r="C6641" i="38"/>
  <c r="J6640" i="38"/>
  <c r="I6640" i="38"/>
  <c r="H6640" i="38"/>
  <c r="G6640" i="38"/>
  <c r="F6640" i="38"/>
  <c r="E6640" i="38"/>
  <c r="D6640" i="38"/>
  <c r="C6640" i="38"/>
  <c r="J6639" i="38"/>
  <c r="I6639" i="38"/>
  <c r="H6639" i="38"/>
  <c r="G6639" i="38"/>
  <c r="F6639" i="38"/>
  <c r="E6639" i="38"/>
  <c r="D6639" i="38"/>
  <c r="C6639" i="38"/>
  <c r="J6638" i="38"/>
  <c r="I6638" i="38"/>
  <c r="H6638" i="38"/>
  <c r="G6638" i="38"/>
  <c r="F6638" i="38"/>
  <c r="E6638" i="38"/>
  <c r="D6638" i="38"/>
  <c r="C6638" i="38"/>
  <c r="J6637" i="38"/>
  <c r="I6637" i="38"/>
  <c r="H6637" i="38"/>
  <c r="G6637" i="38"/>
  <c r="F6637" i="38"/>
  <c r="E6637" i="38"/>
  <c r="D6637" i="38"/>
  <c r="C6637" i="38"/>
  <c r="J6636" i="38"/>
  <c r="I6636" i="38"/>
  <c r="H6636" i="38"/>
  <c r="G6636" i="38"/>
  <c r="F6636" i="38"/>
  <c r="E6636" i="38"/>
  <c r="D6636" i="38"/>
  <c r="C6636" i="38"/>
  <c r="J6635" i="38"/>
  <c r="I6635" i="38"/>
  <c r="H6635" i="38"/>
  <c r="G6635" i="38"/>
  <c r="F6635" i="38"/>
  <c r="E6635" i="38"/>
  <c r="D6635" i="38"/>
  <c r="C6635" i="38"/>
  <c r="J6634" i="38"/>
  <c r="I6634" i="38"/>
  <c r="H6634" i="38"/>
  <c r="G6634" i="38"/>
  <c r="F6634" i="38"/>
  <c r="E6634" i="38"/>
  <c r="D6634" i="38"/>
  <c r="C6634" i="38"/>
  <c r="J6633" i="38"/>
  <c r="I6633" i="38"/>
  <c r="H6633" i="38"/>
  <c r="G6633" i="38"/>
  <c r="E6633" i="38"/>
  <c r="D6633" i="38"/>
  <c r="C6633" i="38"/>
  <c r="J6632" i="38"/>
  <c r="I6632" i="38"/>
  <c r="H6632" i="38"/>
  <c r="G6632" i="38"/>
  <c r="F6632" i="38"/>
  <c r="E6632" i="38"/>
  <c r="C6632" i="38"/>
  <c r="H6631" i="38"/>
  <c r="G6631" i="38"/>
  <c r="E6631" i="38"/>
  <c r="C6631" i="38"/>
  <c r="H6630" i="38"/>
  <c r="G6630" i="38"/>
  <c r="E6630" i="38"/>
  <c r="D6630" i="38"/>
  <c r="C6630" i="38"/>
  <c r="H6629" i="38"/>
  <c r="G6629" i="38"/>
  <c r="E6629" i="38"/>
  <c r="D6629" i="38"/>
  <c r="C6629" i="38"/>
  <c r="H6628" i="38"/>
  <c r="G6628" i="38"/>
  <c r="E6628" i="38"/>
  <c r="D6628" i="38"/>
  <c r="C6628" i="38"/>
  <c r="H6627" i="38"/>
  <c r="G6627" i="38"/>
  <c r="E6627" i="38"/>
  <c r="D6627" i="38"/>
  <c r="C6627" i="38"/>
  <c r="J6626" i="38"/>
  <c r="I6626" i="38"/>
  <c r="H6626" i="38"/>
  <c r="G6626" i="38"/>
  <c r="F6626" i="38"/>
  <c r="E6626" i="38"/>
  <c r="D6626" i="38"/>
  <c r="C6626" i="38"/>
  <c r="J6625" i="38"/>
  <c r="I6625" i="38"/>
  <c r="H6625" i="38"/>
  <c r="G6625" i="38"/>
  <c r="F6625" i="38"/>
  <c r="E6625" i="38"/>
  <c r="D6625" i="38"/>
  <c r="C6625" i="38"/>
  <c r="J6624" i="38"/>
  <c r="I6624" i="38"/>
  <c r="H6624" i="38"/>
  <c r="G6624" i="38"/>
  <c r="F6624" i="38"/>
  <c r="E6624" i="38"/>
  <c r="D6624" i="38"/>
  <c r="C6624" i="38"/>
  <c r="J6623" i="38"/>
  <c r="I6623" i="38"/>
  <c r="H6623" i="38"/>
  <c r="G6623" i="38"/>
  <c r="E6623" i="38"/>
  <c r="D6623" i="38"/>
  <c r="C6623" i="38"/>
  <c r="J6622" i="38"/>
  <c r="I6622" i="38"/>
  <c r="H6622" i="38"/>
  <c r="G6622" i="38"/>
  <c r="F6622" i="38"/>
  <c r="E6622" i="38"/>
  <c r="C6622" i="38"/>
  <c r="H6621" i="38"/>
  <c r="G6621" i="38"/>
  <c r="E6621" i="38"/>
  <c r="C6621" i="38"/>
  <c r="H6620" i="38"/>
  <c r="G6620" i="38"/>
  <c r="E6620" i="38"/>
  <c r="D6620" i="38"/>
  <c r="C6620" i="38"/>
  <c r="H6619" i="38"/>
  <c r="G6619" i="38"/>
  <c r="E6619" i="38"/>
  <c r="D6619" i="38"/>
  <c r="C6619" i="38"/>
  <c r="H6618" i="38"/>
  <c r="G6618" i="38"/>
  <c r="E6618" i="38"/>
  <c r="D6618" i="38"/>
  <c r="C6618" i="38"/>
  <c r="H6617" i="38"/>
  <c r="G6617" i="38"/>
  <c r="E6617" i="38"/>
  <c r="D6617" i="38"/>
  <c r="C6617" i="38"/>
  <c r="J6616" i="38"/>
  <c r="I6616" i="38"/>
  <c r="H6616" i="38"/>
  <c r="G6616" i="38"/>
  <c r="F6616" i="38"/>
  <c r="E6616" i="38"/>
  <c r="D6616" i="38"/>
  <c r="C6616" i="38"/>
  <c r="J6615" i="38"/>
  <c r="I6615" i="38"/>
  <c r="H6615" i="38"/>
  <c r="G6615" i="38"/>
  <c r="F6615" i="38"/>
  <c r="E6615" i="38"/>
  <c r="D6615" i="38"/>
  <c r="C6615" i="38"/>
  <c r="J6614" i="38"/>
  <c r="I6614" i="38"/>
  <c r="H6614" i="38"/>
  <c r="G6614" i="38"/>
  <c r="F6614" i="38"/>
  <c r="E6614" i="38"/>
  <c r="D6614" i="38"/>
  <c r="C6614" i="38"/>
  <c r="J6613" i="38"/>
  <c r="I6613" i="38"/>
  <c r="H6613" i="38"/>
  <c r="G6613" i="38"/>
  <c r="E6613" i="38"/>
  <c r="D6613" i="38"/>
  <c r="C6613" i="38"/>
  <c r="J6612" i="38"/>
  <c r="I6612" i="38"/>
  <c r="H6612" i="38"/>
  <c r="G6612" i="38"/>
  <c r="F6612" i="38"/>
  <c r="E6612" i="38"/>
  <c r="C6612" i="38"/>
  <c r="H6611" i="38"/>
  <c r="G6611" i="38"/>
  <c r="E6611" i="38"/>
  <c r="C6611" i="38"/>
  <c r="H6610" i="38"/>
  <c r="G6610" i="38"/>
  <c r="E6610" i="38"/>
  <c r="D6610" i="38"/>
  <c r="C6610" i="38"/>
  <c r="H6609" i="38"/>
  <c r="G6609" i="38"/>
  <c r="E6609" i="38"/>
  <c r="D6609" i="38"/>
  <c r="C6609" i="38"/>
  <c r="H6608" i="38"/>
  <c r="G6608" i="38"/>
  <c r="E6608" i="38"/>
  <c r="D6608" i="38"/>
  <c r="C6608" i="38"/>
  <c r="H6607" i="38"/>
  <c r="G6607" i="38"/>
  <c r="E6607" i="38"/>
  <c r="D6607" i="38"/>
  <c r="C6607" i="38"/>
  <c r="J6606" i="38"/>
  <c r="I6606" i="38"/>
  <c r="H6606" i="38"/>
  <c r="G6606" i="38"/>
  <c r="F6606" i="38"/>
  <c r="E6606" i="38"/>
  <c r="D6606" i="38"/>
  <c r="C6606" i="38"/>
  <c r="J6605" i="38"/>
  <c r="I6605" i="38"/>
  <c r="H6605" i="38"/>
  <c r="G6605" i="38"/>
  <c r="F6605" i="38"/>
  <c r="E6605" i="38"/>
  <c r="D6605" i="38"/>
  <c r="C6605" i="38"/>
  <c r="J6604" i="38"/>
  <c r="I6604" i="38"/>
  <c r="H6604" i="38"/>
  <c r="G6604" i="38"/>
  <c r="F6604" i="38"/>
  <c r="E6604" i="38"/>
  <c r="D6604" i="38"/>
  <c r="C6604" i="38"/>
  <c r="J6603" i="38"/>
  <c r="I6603" i="38"/>
  <c r="H6603" i="38"/>
  <c r="G6603" i="38"/>
  <c r="E6603" i="38"/>
  <c r="D6603" i="38"/>
  <c r="C6603" i="38"/>
  <c r="J6602" i="38"/>
  <c r="I6602" i="38"/>
  <c r="H6602" i="38"/>
  <c r="G6602" i="38"/>
  <c r="F6602" i="38"/>
  <c r="E6602" i="38"/>
  <c r="C6602" i="38"/>
  <c r="H6601" i="38"/>
  <c r="G6601" i="38"/>
  <c r="E6601" i="38"/>
  <c r="C6601" i="38"/>
  <c r="H6600" i="38"/>
  <c r="G6600" i="38"/>
  <c r="E6600" i="38"/>
  <c r="D6600" i="38"/>
  <c r="C6600" i="38"/>
  <c r="H6599" i="38"/>
  <c r="G6599" i="38"/>
  <c r="E6599" i="38"/>
  <c r="D6599" i="38"/>
  <c r="C6599" i="38"/>
  <c r="H6598" i="38"/>
  <c r="G6598" i="38"/>
  <c r="E6598" i="38"/>
  <c r="D6598" i="38"/>
  <c r="C6598" i="38"/>
  <c r="H6597" i="38"/>
  <c r="G6597" i="38"/>
  <c r="E6597" i="38"/>
  <c r="D6597" i="38"/>
  <c r="C6597" i="38"/>
  <c r="J6596" i="38"/>
  <c r="I6596" i="38"/>
  <c r="H6596" i="38"/>
  <c r="G6596" i="38"/>
  <c r="F6596" i="38"/>
  <c r="E6596" i="38"/>
  <c r="D6596" i="38"/>
  <c r="C6596" i="38"/>
  <c r="J6595" i="38"/>
  <c r="I6595" i="38"/>
  <c r="H6595" i="38"/>
  <c r="G6595" i="38"/>
  <c r="F6595" i="38"/>
  <c r="E6595" i="38"/>
  <c r="D6595" i="38"/>
  <c r="C6595" i="38"/>
  <c r="J6594" i="38"/>
  <c r="I6594" i="38"/>
  <c r="H6594" i="38"/>
  <c r="G6594" i="38"/>
  <c r="F6594" i="38"/>
  <c r="E6594" i="38"/>
  <c r="D6594" i="38"/>
  <c r="C6594" i="38"/>
  <c r="J6593" i="38"/>
  <c r="I6593" i="38"/>
  <c r="H6593" i="38"/>
  <c r="G6593" i="38"/>
  <c r="E6593" i="38"/>
  <c r="D6593" i="38"/>
  <c r="C6593" i="38"/>
  <c r="J6592" i="38"/>
  <c r="I6592" i="38"/>
  <c r="H6592" i="38"/>
  <c r="G6592" i="38"/>
  <c r="F6592" i="38"/>
  <c r="E6592" i="38"/>
  <c r="C6592" i="38"/>
  <c r="H6591" i="38"/>
  <c r="G6591" i="38"/>
  <c r="E6591" i="38"/>
  <c r="C6591" i="38"/>
  <c r="H6590" i="38"/>
  <c r="G6590" i="38"/>
  <c r="E6590" i="38"/>
  <c r="D6590" i="38"/>
  <c r="C6590" i="38"/>
  <c r="H6589" i="38"/>
  <c r="G6589" i="38"/>
  <c r="E6589" i="38"/>
  <c r="D6589" i="38"/>
  <c r="C6589" i="38"/>
  <c r="H6588" i="38"/>
  <c r="G6588" i="38"/>
  <c r="E6588" i="38"/>
  <c r="D6588" i="38"/>
  <c r="C6588" i="38"/>
  <c r="H6587" i="38"/>
  <c r="G6587" i="38"/>
  <c r="E6587" i="38"/>
  <c r="D6587" i="38"/>
  <c r="C6587" i="38"/>
  <c r="J6586" i="38"/>
  <c r="I6586" i="38"/>
  <c r="H6586" i="38"/>
  <c r="G6586" i="38"/>
  <c r="F6586" i="38"/>
  <c r="E6586" i="38"/>
  <c r="D6586" i="38"/>
  <c r="C6586" i="38"/>
  <c r="J6585" i="38"/>
  <c r="I6585" i="38"/>
  <c r="H6585" i="38"/>
  <c r="G6585" i="38"/>
  <c r="F6585" i="38"/>
  <c r="E6585" i="38"/>
  <c r="D6585" i="38"/>
  <c r="C6585" i="38"/>
  <c r="J6584" i="38"/>
  <c r="I6584" i="38"/>
  <c r="H6584" i="38"/>
  <c r="G6584" i="38"/>
  <c r="F6584" i="38"/>
  <c r="E6584" i="38"/>
  <c r="D6584" i="38"/>
  <c r="C6584" i="38"/>
  <c r="J6583" i="38"/>
  <c r="I6583" i="38"/>
  <c r="H6583" i="38"/>
  <c r="G6583" i="38"/>
  <c r="E6583" i="38"/>
  <c r="D6583" i="38"/>
  <c r="C6583" i="38"/>
  <c r="J6582" i="38"/>
  <c r="I6582" i="38"/>
  <c r="H6582" i="38"/>
  <c r="G6582" i="38"/>
  <c r="F6582" i="38"/>
  <c r="E6582" i="38"/>
  <c r="C6582" i="38"/>
  <c r="H6581" i="38"/>
  <c r="G6581" i="38"/>
  <c r="E6581" i="38"/>
  <c r="C6581" i="38"/>
  <c r="H6580" i="38"/>
  <c r="G6580" i="38"/>
  <c r="E6580" i="38"/>
  <c r="D6580" i="38"/>
  <c r="C6580" i="38"/>
  <c r="H6579" i="38"/>
  <c r="G6579" i="38"/>
  <c r="E6579" i="38"/>
  <c r="D6579" i="38"/>
  <c r="C6579" i="38"/>
  <c r="H6578" i="38"/>
  <c r="G6578" i="38"/>
  <c r="E6578" i="38"/>
  <c r="D6578" i="38"/>
  <c r="C6578" i="38"/>
  <c r="H6577" i="38"/>
  <c r="G6577" i="38"/>
  <c r="E6577" i="38"/>
  <c r="D6577" i="38"/>
  <c r="C6577" i="38"/>
  <c r="J6576" i="38"/>
  <c r="I6576" i="38"/>
  <c r="H6576" i="38"/>
  <c r="G6576" i="38"/>
  <c r="F6576" i="38"/>
  <c r="E6576" i="38"/>
  <c r="D6576" i="38"/>
  <c r="C6576" i="38"/>
  <c r="J6575" i="38"/>
  <c r="I6575" i="38"/>
  <c r="H6575" i="38"/>
  <c r="G6575" i="38"/>
  <c r="F6575" i="38"/>
  <c r="E6575" i="38"/>
  <c r="D6575" i="38"/>
  <c r="C6575" i="38"/>
  <c r="J6574" i="38"/>
  <c r="I6574" i="38"/>
  <c r="H6574" i="38"/>
  <c r="G6574" i="38"/>
  <c r="F6574" i="38"/>
  <c r="E6574" i="38"/>
  <c r="D6574" i="38"/>
  <c r="C6574" i="38"/>
  <c r="J6573" i="38"/>
  <c r="I6573" i="38"/>
  <c r="H6573" i="38"/>
  <c r="G6573" i="38"/>
  <c r="E6573" i="38"/>
  <c r="D6573" i="38"/>
  <c r="C6573" i="38"/>
  <c r="J6572" i="38"/>
  <c r="I6572" i="38"/>
  <c r="H6572" i="38"/>
  <c r="G6572" i="38"/>
  <c r="F6572" i="38"/>
  <c r="E6572" i="38"/>
  <c r="C6572" i="38"/>
  <c r="H6571" i="38"/>
  <c r="G6571" i="38"/>
  <c r="E6571" i="38"/>
  <c r="C6571" i="38"/>
  <c r="H6570" i="38"/>
  <c r="G6570" i="38"/>
  <c r="E6570" i="38"/>
  <c r="D6570" i="38"/>
  <c r="C6570" i="38"/>
  <c r="H6569" i="38"/>
  <c r="G6569" i="38"/>
  <c r="E6569" i="38"/>
  <c r="D6569" i="38"/>
  <c r="C6569" i="38"/>
  <c r="H6568" i="38"/>
  <c r="G6568" i="38"/>
  <c r="E6568" i="38"/>
  <c r="D6568" i="38"/>
  <c r="C6568" i="38"/>
  <c r="H6567" i="38"/>
  <c r="G6567" i="38"/>
  <c r="E6567" i="38"/>
  <c r="D6567" i="38"/>
  <c r="C6567" i="38"/>
  <c r="J6566" i="38"/>
  <c r="I6566" i="38"/>
  <c r="H6566" i="38"/>
  <c r="G6566" i="38"/>
  <c r="F6566" i="38"/>
  <c r="E6566" i="38"/>
  <c r="D6566" i="38"/>
  <c r="C6566" i="38"/>
  <c r="J6565" i="38"/>
  <c r="I6565" i="38"/>
  <c r="H6565" i="38"/>
  <c r="G6565" i="38"/>
  <c r="F6565" i="38"/>
  <c r="E6565" i="38"/>
  <c r="D6565" i="38"/>
  <c r="C6565" i="38"/>
  <c r="J6564" i="38"/>
  <c r="I6564" i="38"/>
  <c r="H6564" i="38"/>
  <c r="G6564" i="38"/>
  <c r="F6564" i="38"/>
  <c r="E6564" i="38"/>
  <c r="D6564" i="38"/>
  <c r="C6564" i="38"/>
  <c r="J6563" i="38"/>
  <c r="I6563" i="38"/>
  <c r="H6563" i="38"/>
  <c r="G6563" i="38"/>
  <c r="E6563" i="38"/>
  <c r="D6563" i="38"/>
  <c r="C6563" i="38"/>
  <c r="J6562" i="38"/>
  <c r="I6562" i="38"/>
  <c r="H6562" i="38"/>
  <c r="G6562" i="38"/>
  <c r="F6562" i="38"/>
  <c r="E6562" i="38"/>
  <c r="C6562" i="38"/>
  <c r="H6561" i="38"/>
  <c r="G6561" i="38"/>
  <c r="E6561" i="38"/>
  <c r="C6561" i="38"/>
  <c r="H6560" i="38"/>
  <c r="G6560" i="38"/>
  <c r="E6560" i="38"/>
  <c r="D6560" i="38"/>
  <c r="C6560" i="38"/>
  <c r="H6559" i="38"/>
  <c r="G6559" i="38"/>
  <c r="E6559" i="38"/>
  <c r="D6559" i="38"/>
  <c r="C6559" i="38"/>
  <c r="H6558" i="38"/>
  <c r="G6558" i="38"/>
  <c r="E6558" i="38"/>
  <c r="D6558" i="38"/>
  <c r="C6558" i="38"/>
  <c r="H6557" i="38"/>
  <c r="G6557" i="38"/>
  <c r="E6557" i="38"/>
  <c r="D6557" i="38"/>
  <c r="C6557" i="38"/>
  <c r="J6556" i="38"/>
  <c r="I6556" i="38"/>
  <c r="H6556" i="38"/>
  <c r="G6556" i="38"/>
  <c r="F6556" i="38"/>
  <c r="E6556" i="38"/>
  <c r="D6556" i="38"/>
  <c r="C6556" i="38"/>
  <c r="J6555" i="38"/>
  <c r="I6555" i="38"/>
  <c r="H6555" i="38"/>
  <c r="G6555" i="38"/>
  <c r="F6555" i="38"/>
  <c r="E6555" i="38"/>
  <c r="D6555" i="38"/>
  <c r="C6555" i="38"/>
  <c r="J6554" i="38"/>
  <c r="I6554" i="38"/>
  <c r="H6554" i="38"/>
  <c r="G6554" i="38"/>
  <c r="F6554" i="38"/>
  <c r="E6554" i="38"/>
  <c r="D6554" i="38"/>
  <c r="C6554" i="38"/>
  <c r="J6553" i="38"/>
  <c r="I6553" i="38"/>
  <c r="H6553" i="38"/>
  <c r="G6553" i="38"/>
  <c r="E6553" i="38"/>
  <c r="D6553" i="38"/>
  <c r="C6553" i="38"/>
  <c r="J6552" i="38"/>
  <c r="I6552" i="38"/>
  <c r="H6552" i="38"/>
  <c r="G6552" i="38"/>
  <c r="F6552" i="38"/>
  <c r="E6552" i="38"/>
  <c r="C6552" i="38"/>
  <c r="H6551" i="38"/>
  <c r="G6551" i="38"/>
  <c r="E6551" i="38"/>
  <c r="C6551" i="38"/>
  <c r="H6550" i="38"/>
  <c r="G6550" i="38"/>
  <c r="E6550" i="38"/>
  <c r="D6550" i="38"/>
  <c r="C6550" i="38"/>
  <c r="H6549" i="38"/>
  <c r="G6549" i="38"/>
  <c r="E6549" i="38"/>
  <c r="D6549" i="38"/>
  <c r="C6549" i="38"/>
  <c r="H6548" i="38"/>
  <c r="G6548" i="38"/>
  <c r="E6548" i="38"/>
  <c r="D6548" i="38"/>
  <c r="C6548" i="38"/>
  <c r="H6547" i="38"/>
  <c r="G6547" i="38"/>
  <c r="E6547" i="38"/>
  <c r="D6547" i="38"/>
  <c r="C6547" i="38"/>
  <c r="J6546" i="38"/>
  <c r="I6546" i="38"/>
  <c r="H6546" i="38"/>
  <c r="G6546" i="38"/>
  <c r="F6546" i="38"/>
  <c r="E6546" i="38"/>
  <c r="D6546" i="38"/>
  <c r="C6546" i="38"/>
  <c r="J6545" i="38"/>
  <c r="I6545" i="38"/>
  <c r="H6545" i="38"/>
  <c r="G6545" i="38"/>
  <c r="F6545" i="38"/>
  <c r="E6545" i="38"/>
  <c r="D6545" i="38"/>
  <c r="C6545" i="38"/>
  <c r="J6544" i="38"/>
  <c r="I6544" i="38"/>
  <c r="H6544" i="38"/>
  <c r="G6544" i="38"/>
  <c r="F6544" i="38"/>
  <c r="E6544" i="38"/>
  <c r="D6544" i="38"/>
  <c r="C6544" i="38"/>
  <c r="J6543" i="38"/>
  <c r="I6543" i="38"/>
  <c r="H6543" i="38"/>
  <c r="G6543" i="38"/>
  <c r="E6543" i="38"/>
  <c r="D6543" i="38"/>
  <c r="C6543" i="38"/>
  <c r="J6542" i="38"/>
  <c r="I6542" i="38"/>
  <c r="H6542" i="38"/>
  <c r="G6542" i="38"/>
  <c r="F6542" i="38"/>
  <c r="E6542" i="38"/>
  <c r="C6542" i="38"/>
  <c r="H6541" i="38"/>
  <c r="G6541" i="38"/>
  <c r="E6541" i="38"/>
  <c r="C6541" i="38"/>
  <c r="H6540" i="38"/>
  <c r="G6540" i="38"/>
  <c r="E6540" i="38"/>
  <c r="D6540" i="38"/>
  <c r="C6540" i="38"/>
  <c r="H6539" i="38"/>
  <c r="G6539" i="38"/>
  <c r="E6539" i="38"/>
  <c r="D6539" i="38"/>
  <c r="C6539" i="38"/>
  <c r="H6538" i="38"/>
  <c r="G6538" i="38"/>
  <c r="E6538" i="38"/>
  <c r="D6538" i="38"/>
  <c r="C6538" i="38"/>
  <c r="H6537" i="38"/>
  <c r="G6537" i="38"/>
  <c r="E6537" i="38"/>
  <c r="D6537" i="38"/>
  <c r="C6537" i="38"/>
  <c r="J6536" i="38"/>
  <c r="I6536" i="38"/>
  <c r="H6536" i="38"/>
  <c r="G6536" i="38"/>
  <c r="F6536" i="38"/>
  <c r="E6536" i="38"/>
  <c r="D6536" i="38"/>
  <c r="C6536" i="38"/>
  <c r="J6535" i="38"/>
  <c r="I6535" i="38"/>
  <c r="H6535" i="38"/>
  <c r="G6535" i="38"/>
  <c r="F6535" i="38"/>
  <c r="E6535" i="38"/>
  <c r="D6535" i="38"/>
  <c r="C6535" i="38"/>
  <c r="J6534" i="38"/>
  <c r="I6534" i="38"/>
  <c r="H6534" i="38"/>
  <c r="G6534" i="38"/>
  <c r="F6534" i="38"/>
  <c r="E6534" i="38"/>
  <c r="D6534" i="38"/>
  <c r="C6534" i="38"/>
  <c r="J6533" i="38"/>
  <c r="I6533" i="38"/>
  <c r="H6533" i="38"/>
  <c r="G6533" i="38"/>
  <c r="E6533" i="38"/>
  <c r="D6533" i="38"/>
  <c r="C6533" i="38"/>
  <c r="J6532" i="38"/>
  <c r="I6532" i="38"/>
  <c r="H6532" i="38"/>
  <c r="G6532" i="38"/>
  <c r="F6532" i="38"/>
  <c r="E6532" i="38"/>
  <c r="C6532" i="38"/>
  <c r="H6531" i="38"/>
  <c r="G6531" i="38"/>
  <c r="E6531" i="38"/>
  <c r="C6531" i="38"/>
  <c r="H6530" i="38"/>
  <c r="G6530" i="38"/>
  <c r="E6530" i="38"/>
  <c r="D6530" i="38"/>
  <c r="C6530" i="38"/>
  <c r="H6529" i="38"/>
  <c r="G6529" i="38"/>
  <c r="E6529" i="38"/>
  <c r="D6529" i="38"/>
  <c r="C6529" i="38"/>
  <c r="H6528" i="38"/>
  <c r="G6528" i="38"/>
  <c r="E6528" i="38"/>
  <c r="D6528" i="38"/>
  <c r="C6528" i="38"/>
  <c r="H6527" i="38"/>
  <c r="G6527" i="38"/>
  <c r="E6527" i="38"/>
  <c r="D6527" i="38"/>
  <c r="C6527" i="38"/>
  <c r="J6526" i="38"/>
  <c r="I6526" i="38"/>
  <c r="H6526" i="38"/>
  <c r="G6526" i="38"/>
  <c r="F6526" i="38"/>
  <c r="E6526" i="38"/>
  <c r="D6526" i="38"/>
  <c r="C6526" i="38"/>
  <c r="J6525" i="38"/>
  <c r="I6525" i="38"/>
  <c r="H6525" i="38"/>
  <c r="G6525" i="38"/>
  <c r="F6525" i="38"/>
  <c r="E6525" i="38"/>
  <c r="D6525" i="38"/>
  <c r="C6525" i="38"/>
  <c r="J6524" i="38"/>
  <c r="I6524" i="38"/>
  <c r="H6524" i="38"/>
  <c r="G6524" i="38"/>
  <c r="F6524" i="38"/>
  <c r="E6524" i="38"/>
  <c r="D6524" i="38"/>
  <c r="C6524" i="38"/>
  <c r="J6523" i="38"/>
  <c r="I6523" i="38"/>
  <c r="H6523" i="38"/>
  <c r="G6523" i="38"/>
  <c r="E6523" i="38"/>
  <c r="D6523" i="38"/>
  <c r="C6523" i="38"/>
  <c r="J6522" i="38"/>
  <c r="I6522" i="38"/>
  <c r="H6522" i="38"/>
  <c r="G6522" i="38"/>
  <c r="F6522" i="38"/>
  <c r="E6522" i="38"/>
  <c r="C6522" i="38"/>
  <c r="H6521" i="38"/>
  <c r="G6521" i="38"/>
  <c r="E6521" i="38"/>
  <c r="C6521" i="38"/>
  <c r="H6520" i="38"/>
  <c r="G6520" i="38"/>
  <c r="E6520" i="38"/>
  <c r="D6520" i="38"/>
  <c r="C6520" i="38"/>
  <c r="H6519" i="38"/>
  <c r="G6519" i="38"/>
  <c r="E6519" i="38"/>
  <c r="D6519" i="38"/>
  <c r="C6519" i="38"/>
  <c r="H6518" i="38"/>
  <c r="G6518" i="38"/>
  <c r="E6518" i="38"/>
  <c r="D6518" i="38"/>
  <c r="C6518" i="38"/>
  <c r="H6517" i="38"/>
  <c r="G6517" i="38"/>
  <c r="E6517" i="38"/>
  <c r="D6517" i="38"/>
  <c r="C6517" i="38"/>
  <c r="J6516" i="38"/>
  <c r="I6516" i="38"/>
  <c r="H6516" i="38"/>
  <c r="G6516" i="38"/>
  <c r="F6516" i="38"/>
  <c r="E6516" i="38"/>
  <c r="D6516" i="38"/>
  <c r="C6516" i="38"/>
  <c r="J6515" i="38"/>
  <c r="I6515" i="38"/>
  <c r="H6515" i="38"/>
  <c r="G6515" i="38"/>
  <c r="F6515" i="38"/>
  <c r="E6515" i="38"/>
  <c r="D6515" i="38"/>
  <c r="C6515" i="38"/>
  <c r="J6514" i="38"/>
  <c r="I6514" i="38"/>
  <c r="H6514" i="38"/>
  <c r="G6514" i="38"/>
  <c r="F6514" i="38"/>
  <c r="E6514" i="38"/>
  <c r="D6514" i="38"/>
  <c r="C6514" i="38"/>
  <c r="J6513" i="38"/>
  <c r="I6513" i="38"/>
  <c r="H6513" i="38"/>
  <c r="G6513" i="38"/>
  <c r="E6513" i="38"/>
  <c r="D6513" i="38"/>
  <c r="C6513" i="38"/>
  <c r="J6512" i="38"/>
  <c r="I6512" i="38"/>
  <c r="H6512" i="38"/>
  <c r="G6512" i="38"/>
  <c r="F6512" i="38"/>
  <c r="E6512" i="38"/>
  <c r="C6512" i="38"/>
  <c r="H6511" i="38"/>
  <c r="G6511" i="38"/>
  <c r="E6511" i="38"/>
  <c r="C6511" i="38"/>
  <c r="H6510" i="38"/>
  <c r="G6510" i="38"/>
  <c r="E6510" i="38"/>
  <c r="D6510" i="38"/>
  <c r="C6510" i="38"/>
  <c r="H6509" i="38"/>
  <c r="G6509" i="38"/>
  <c r="E6509" i="38"/>
  <c r="D6509" i="38"/>
  <c r="C6509" i="38"/>
  <c r="H6508" i="38"/>
  <c r="G6508" i="38"/>
  <c r="E6508" i="38"/>
  <c r="D6508" i="38"/>
  <c r="C6508" i="38"/>
  <c r="H6507" i="38"/>
  <c r="G6507" i="38"/>
  <c r="E6507" i="38"/>
  <c r="D6507" i="38"/>
  <c r="C6507" i="38"/>
  <c r="J6506" i="38"/>
  <c r="I6506" i="38"/>
  <c r="H6506" i="38"/>
  <c r="G6506" i="38"/>
  <c r="F6506" i="38"/>
  <c r="E6506" i="38"/>
  <c r="D6506" i="38"/>
  <c r="C6506" i="38"/>
  <c r="J6505" i="38"/>
  <c r="I6505" i="38"/>
  <c r="H6505" i="38"/>
  <c r="G6505" i="38"/>
  <c r="F6505" i="38"/>
  <c r="E6505" i="38"/>
  <c r="D6505" i="38"/>
  <c r="C6505" i="38"/>
  <c r="J6504" i="38"/>
  <c r="I6504" i="38"/>
  <c r="H6504" i="38"/>
  <c r="G6504" i="38"/>
  <c r="F6504" i="38"/>
  <c r="E6504" i="38"/>
  <c r="D6504" i="38"/>
  <c r="C6504" i="38"/>
  <c r="J6503" i="38"/>
  <c r="I6503" i="38"/>
  <c r="H6503" i="38"/>
  <c r="G6503" i="38"/>
  <c r="E6503" i="38"/>
  <c r="D6503" i="38"/>
  <c r="C6503" i="38"/>
  <c r="J6502" i="38"/>
  <c r="I6502" i="38"/>
  <c r="H6502" i="38"/>
  <c r="G6502" i="38"/>
  <c r="F6502" i="38"/>
  <c r="E6502" i="38"/>
  <c r="C6502" i="38"/>
  <c r="H6501" i="38"/>
  <c r="G6501" i="38"/>
  <c r="E6501" i="38"/>
  <c r="C6501" i="38"/>
  <c r="H6500" i="38"/>
  <c r="G6500" i="38"/>
  <c r="E6500" i="38"/>
  <c r="D6500" i="38"/>
  <c r="C6500" i="38"/>
  <c r="H6499" i="38"/>
  <c r="G6499" i="38"/>
  <c r="E6499" i="38"/>
  <c r="D6499" i="38"/>
  <c r="C6499" i="38"/>
  <c r="H6498" i="38"/>
  <c r="G6498" i="38"/>
  <c r="E6498" i="38"/>
  <c r="D6498" i="38"/>
  <c r="C6498" i="38"/>
  <c r="H6497" i="38"/>
  <c r="G6497" i="38"/>
  <c r="E6497" i="38"/>
  <c r="D6497" i="38"/>
  <c r="C6497" i="38"/>
  <c r="J6496" i="38"/>
  <c r="I6496" i="38"/>
  <c r="H6496" i="38"/>
  <c r="G6496" i="38"/>
  <c r="F6496" i="38"/>
  <c r="E6496" i="38"/>
  <c r="D6496" i="38"/>
  <c r="C6496" i="38"/>
  <c r="J6495" i="38"/>
  <c r="I6495" i="38"/>
  <c r="H6495" i="38"/>
  <c r="G6495" i="38"/>
  <c r="F6495" i="38"/>
  <c r="E6495" i="38"/>
  <c r="D6495" i="38"/>
  <c r="C6495" i="38"/>
  <c r="J6494" i="38"/>
  <c r="I6494" i="38"/>
  <c r="H6494" i="38"/>
  <c r="G6494" i="38"/>
  <c r="F6494" i="38"/>
  <c r="E6494" i="38"/>
  <c r="D6494" i="38"/>
  <c r="C6494" i="38"/>
  <c r="J6493" i="38"/>
  <c r="I6493" i="38"/>
  <c r="H6493" i="38"/>
  <c r="G6493" i="38"/>
  <c r="E6493" i="38"/>
  <c r="D6493" i="38"/>
  <c r="C6493" i="38"/>
  <c r="J6492" i="38"/>
  <c r="I6492" i="38"/>
  <c r="H6492" i="38"/>
  <c r="G6492" i="38"/>
  <c r="F6492" i="38"/>
  <c r="E6492" i="38"/>
  <c r="C6492" i="38"/>
  <c r="H6491" i="38"/>
  <c r="G6491" i="38"/>
  <c r="E6491" i="38"/>
  <c r="C6491" i="38"/>
  <c r="H6490" i="38"/>
  <c r="G6490" i="38"/>
  <c r="E6490" i="38"/>
  <c r="D6490" i="38"/>
  <c r="C6490" i="38"/>
  <c r="H6489" i="38"/>
  <c r="G6489" i="38"/>
  <c r="E6489" i="38"/>
  <c r="D6489" i="38"/>
  <c r="C6489" i="38"/>
  <c r="H6488" i="38"/>
  <c r="G6488" i="38"/>
  <c r="E6488" i="38"/>
  <c r="D6488" i="38"/>
  <c r="C6488" i="38"/>
  <c r="H6487" i="38"/>
  <c r="G6487" i="38"/>
  <c r="E6487" i="38"/>
  <c r="D6487" i="38"/>
  <c r="C6487" i="38"/>
  <c r="J6486" i="38"/>
  <c r="I6486" i="38"/>
  <c r="H6486" i="38"/>
  <c r="G6486" i="38"/>
  <c r="F6486" i="38"/>
  <c r="E6486" i="38"/>
  <c r="D6486" i="38"/>
  <c r="C6486" i="38"/>
  <c r="J6485" i="38"/>
  <c r="I6485" i="38"/>
  <c r="H6485" i="38"/>
  <c r="G6485" i="38"/>
  <c r="F6485" i="38"/>
  <c r="E6485" i="38"/>
  <c r="D6485" i="38"/>
  <c r="C6485" i="38"/>
  <c r="J6484" i="38"/>
  <c r="I6484" i="38"/>
  <c r="H6484" i="38"/>
  <c r="G6484" i="38"/>
  <c r="F6484" i="38"/>
  <c r="E6484" i="38"/>
  <c r="D6484" i="38"/>
  <c r="C6484" i="38"/>
  <c r="J6483" i="38"/>
  <c r="I6483" i="38"/>
  <c r="H6483" i="38"/>
  <c r="G6483" i="38"/>
  <c r="E6483" i="38"/>
  <c r="D6483" i="38"/>
  <c r="C6483" i="38"/>
  <c r="J6482" i="38"/>
  <c r="I6482" i="38"/>
  <c r="H6482" i="38"/>
  <c r="G6482" i="38"/>
  <c r="F6482" i="38"/>
  <c r="E6482" i="38"/>
  <c r="C6482" i="38"/>
  <c r="H6481" i="38"/>
  <c r="G6481" i="38"/>
  <c r="E6481" i="38"/>
  <c r="C6481" i="38"/>
  <c r="H6480" i="38"/>
  <c r="G6480" i="38"/>
  <c r="E6480" i="38"/>
  <c r="D6480" i="38"/>
  <c r="C6480" i="38"/>
  <c r="H6479" i="38"/>
  <c r="G6479" i="38"/>
  <c r="E6479" i="38"/>
  <c r="D6479" i="38"/>
  <c r="C6479" i="38"/>
  <c r="H6478" i="38"/>
  <c r="G6478" i="38"/>
  <c r="E6478" i="38"/>
  <c r="D6478" i="38"/>
  <c r="C6478" i="38"/>
  <c r="H6477" i="38"/>
  <c r="G6477" i="38"/>
  <c r="E6477" i="38"/>
  <c r="D6477" i="38"/>
  <c r="C6477" i="38"/>
  <c r="J6476" i="38"/>
  <c r="I6476" i="38"/>
  <c r="H6476" i="38"/>
  <c r="G6476" i="38"/>
  <c r="F6476" i="38"/>
  <c r="E6476" i="38"/>
  <c r="D6476" i="38"/>
  <c r="C6476" i="38"/>
  <c r="J6475" i="38"/>
  <c r="I6475" i="38"/>
  <c r="H6475" i="38"/>
  <c r="G6475" i="38"/>
  <c r="F6475" i="38"/>
  <c r="E6475" i="38"/>
  <c r="D6475" i="38"/>
  <c r="C6475" i="38"/>
  <c r="J6474" i="38"/>
  <c r="I6474" i="38"/>
  <c r="H6474" i="38"/>
  <c r="G6474" i="38"/>
  <c r="F6474" i="38"/>
  <c r="E6474" i="38"/>
  <c r="D6474" i="38"/>
  <c r="C6474" i="38"/>
  <c r="J6473" i="38"/>
  <c r="I6473" i="38"/>
  <c r="H6473" i="38"/>
  <c r="G6473" i="38"/>
  <c r="E6473" i="38"/>
  <c r="D6473" i="38"/>
  <c r="C6473" i="38"/>
  <c r="J6472" i="38"/>
  <c r="I6472" i="38"/>
  <c r="H6472" i="38"/>
  <c r="G6472" i="38"/>
  <c r="F6472" i="38"/>
  <c r="E6472" i="38"/>
  <c r="C6472" i="38"/>
  <c r="H6471" i="38"/>
  <c r="G6471" i="38"/>
  <c r="E6471" i="38"/>
  <c r="C6471" i="38"/>
  <c r="J6470" i="38"/>
  <c r="I6470" i="38"/>
  <c r="H6470" i="38"/>
  <c r="G6470" i="38"/>
  <c r="F6470" i="38"/>
  <c r="E6470" i="38"/>
  <c r="D6470" i="38"/>
  <c r="C6470" i="38"/>
  <c r="J6469" i="38"/>
  <c r="I6469" i="38"/>
  <c r="H6469" i="38"/>
  <c r="G6469" i="38"/>
  <c r="F6469" i="38"/>
  <c r="E6469" i="38"/>
  <c r="D6469" i="38"/>
  <c r="C6469" i="38"/>
  <c r="J6468" i="38"/>
  <c r="I6468" i="38"/>
  <c r="H6468" i="38"/>
  <c r="G6468" i="38"/>
  <c r="F6468" i="38"/>
  <c r="E6468" i="38"/>
  <c r="D6468" i="38"/>
  <c r="C6468" i="38"/>
  <c r="J6467" i="38"/>
  <c r="I6467" i="38"/>
  <c r="H6467" i="38"/>
  <c r="G6467" i="38"/>
  <c r="F6467" i="38"/>
  <c r="E6467" i="38"/>
  <c r="D6467" i="38"/>
  <c r="C6467" i="38"/>
  <c r="J6466" i="38"/>
  <c r="I6466" i="38"/>
  <c r="H6466" i="38"/>
  <c r="G6466" i="38"/>
  <c r="F6466" i="38"/>
  <c r="E6466" i="38"/>
  <c r="D6466" i="38"/>
  <c r="C6466" i="38"/>
  <c r="J6465" i="38"/>
  <c r="I6465" i="38"/>
  <c r="H6465" i="38"/>
  <c r="G6465" i="38"/>
  <c r="F6465" i="38"/>
  <c r="E6465" i="38"/>
  <c r="D6465" i="38"/>
  <c r="C6465" i="38"/>
  <c r="J6464" i="38"/>
  <c r="I6464" i="38"/>
  <c r="H6464" i="38"/>
  <c r="G6464" i="38"/>
  <c r="F6464" i="38"/>
  <c r="E6464" i="38"/>
  <c r="D6464" i="38"/>
  <c r="C6464" i="38"/>
  <c r="J6463" i="38"/>
  <c r="I6463" i="38"/>
  <c r="H6463" i="38"/>
  <c r="G6463" i="38"/>
  <c r="F6463" i="38"/>
  <c r="E6463" i="38"/>
  <c r="D6463" i="38"/>
  <c r="C6463" i="38"/>
  <c r="J6462" i="38"/>
  <c r="I6462" i="38"/>
  <c r="H6462" i="38"/>
  <c r="G6462" i="38"/>
  <c r="F6462" i="38"/>
  <c r="E6462" i="38"/>
  <c r="D6462" i="38"/>
  <c r="C6462" i="38"/>
  <c r="J6461" i="38"/>
  <c r="I6461" i="38"/>
  <c r="H6461" i="38"/>
  <c r="G6461" i="38"/>
  <c r="F6461" i="38"/>
  <c r="E6461" i="38"/>
  <c r="D6461" i="38"/>
  <c r="C6461" i="38"/>
  <c r="J6460" i="38"/>
  <c r="I6460" i="38"/>
  <c r="H6460" i="38"/>
  <c r="G6460" i="38"/>
  <c r="F6460" i="38"/>
  <c r="E6460" i="38"/>
  <c r="D6460" i="38"/>
  <c r="C6460" i="38"/>
  <c r="J6459" i="38"/>
  <c r="I6459" i="38"/>
  <c r="H6459" i="38"/>
  <c r="G6459" i="38"/>
  <c r="F6459" i="38"/>
  <c r="E6459" i="38"/>
  <c r="D6459" i="38"/>
  <c r="C6459" i="38"/>
  <c r="J6458" i="38"/>
  <c r="I6458" i="38"/>
  <c r="H6458" i="38"/>
  <c r="G6458" i="38"/>
  <c r="F6458" i="38"/>
  <c r="E6458" i="38"/>
  <c r="D6458" i="38"/>
  <c r="C6458" i="38"/>
  <c r="J6457" i="38"/>
  <c r="I6457" i="38"/>
  <c r="H6457" i="38"/>
  <c r="G6457" i="38"/>
  <c r="F6457" i="38"/>
  <c r="E6457" i="38"/>
  <c r="D6457" i="38"/>
  <c r="C6457" i="38"/>
  <c r="J6456" i="38"/>
  <c r="I6456" i="38"/>
  <c r="H6456" i="38"/>
  <c r="G6456" i="38"/>
  <c r="F6456" i="38"/>
  <c r="E6456" i="38"/>
  <c r="D6456" i="38"/>
  <c r="C6456" i="38"/>
  <c r="J6455" i="38"/>
  <c r="I6455" i="38"/>
  <c r="H6455" i="38"/>
  <c r="G6455" i="38"/>
  <c r="F6455" i="38"/>
  <c r="E6455" i="38"/>
  <c r="D6455" i="38"/>
  <c r="C6455" i="38"/>
  <c r="J6454" i="38"/>
  <c r="I6454" i="38"/>
  <c r="H6454" i="38"/>
  <c r="G6454" i="38"/>
  <c r="F6454" i="38"/>
  <c r="E6454" i="38"/>
  <c r="D6454" i="38"/>
  <c r="C6454" i="38"/>
  <c r="J6453" i="38"/>
  <c r="I6453" i="38"/>
  <c r="H6453" i="38"/>
  <c r="G6453" i="38"/>
  <c r="E6453" i="38"/>
  <c r="D6453" i="38"/>
  <c r="C6453" i="38"/>
  <c r="J6452" i="38"/>
  <c r="I6452" i="38"/>
  <c r="H6452" i="38"/>
  <c r="G6452" i="38"/>
  <c r="F6452" i="38"/>
  <c r="E6452" i="38"/>
  <c r="C6452" i="38"/>
  <c r="H6451" i="38"/>
  <c r="G6451" i="38"/>
  <c r="E6451" i="38"/>
  <c r="C6451" i="38"/>
  <c r="H6450" i="38"/>
  <c r="G6450" i="38"/>
  <c r="E6450" i="38"/>
  <c r="D6450" i="38"/>
  <c r="C6450" i="38"/>
  <c r="H6449" i="38"/>
  <c r="G6449" i="38"/>
  <c r="E6449" i="38"/>
  <c r="D6449" i="38"/>
  <c r="C6449" i="38"/>
  <c r="H6448" i="38"/>
  <c r="G6448" i="38"/>
  <c r="E6448" i="38"/>
  <c r="D6448" i="38"/>
  <c r="C6448" i="38"/>
  <c r="H6447" i="38"/>
  <c r="G6447" i="38"/>
  <c r="E6447" i="38"/>
  <c r="D6447" i="38"/>
  <c r="C6447" i="38"/>
  <c r="J6446" i="38"/>
  <c r="I6446" i="38"/>
  <c r="H6446" i="38"/>
  <c r="G6446" i="38"/>
  <c r="F6446" i="38"/>
  <c r="E6446" i="38"/>
  <c r="D6446" i="38"/>
  <c r="C6446" i="38"/>
  <c r="J6445" i="38"/>
  <c r="I6445" i="38"/>
  <c r="H6445" i="38"/>
  <c r="G6445" i="38"/>
  <c r="F6445" i="38"/>
  <c r="E6445" i="38"/>
  <c r="D6445" i="38"/>
  <c r="C6445" i="38"/>
  <c r="J6444" i="38"/>
  <c r="I6444" i="38"/>
  <c r="H6444" i="38"/>
  <c r="G6444" i="38"/>
  <c r="F6444" i="38"/>
  <c r="E6444" i="38"/>
  <c r="D6444" i="38"/>
  <c r="C6444" i="38"/>
  <c r="J6443" i="38"/>
  <c r="I6443" i="38"/>
  <c r="H6443" i="38"/>
  <c r="G6443" i="38"/>
  <c r="E6443" i="38"/>
  <c r="D6443" i="38"/>
  <c r="C6443" i="38"/>
  <c r="J6442" i="38"/>
  <c r="I6442" i="38"/>
  <c r="H6442" i="38"/>
  <c r="G6442" i="38"/>
  <c r="F6442" i="38"/>
  <c r="E6442" i="38"/>
  <c r="C6442" i="38"/>
  <c r="H6441" i="38"/>
  <c r="G6441" i="38"/>
  <c r="E6441" i="38"/>
  <c r="C6441" i="38"/>
  <c r="H6440" i="38"/>
  <c r="G6440" i="38"/>
  <c r="E6440" i="38"/>
  <c r="D6440" i="38"/>
  <c r="C6440" i="38"/>
  <c r="H6439" i="38"/>
  <c r="G6439" i="38"/>
  <c r="E6439" i="38"/>
  <c r="D6439" i="38"/>
  <c r="C6439" i="38"/>
  <c r="H6438" i="38"/>
  <c r="G6438" i="38"/>
  <c r="E6438" i="38"/>
  <c r="D6438" i="38"/>
  <c r="C6438" i="38"/>
  <c r="H6437" i="38"/>
  <c r="G6437" i="38"/>
  <c r="E6437" i="38"/>
  <c r="D6437" i="38"/>
  <c r="C6437" i="38"/>
  <c r="J6436" i="38"/>
  <c r="I6436" i="38"/>
  <c r="H6436" i="38"/>
  <c r="G6436" i="38"/>
  <c r="F6436" i="38"/>
  <c r="E6436" i="38"/>
  <c r="D6436" i="38"/>
  <c r="C6436" i="38"/>
  <c r="J6435" i="38"/>
  <c r="I6435" i="38"/>
  <c r="H6435" i="38"/>
  <c r="G6435" i="38"/>
  <c r="F6435" i="38"/>
  <c r="E6435" i="38"/>
  <c r="D6435" i="38"/>
  <c r="C6435" i="38"/>
  <c r="J6434" i="38"/>
  <c r="I6434" i="38"/>
  <c r="H6434" i="38"/>
  <c r="G6434" i="38"/>
  <c r="F6434" i="38"/>
  <c r="E6434" i="38"/>
  <c r="D6434" i="38"/>
  <c r="C6434" i="38"/>
  <c r="J6433" i="38"/>
  <c r="I6433" i="38"/>
  <c r="H6433" i="38"/>
  <c r="G6433" i="38"/>
  <c r="E6433" i="38"/>
  <c r="D6433" i="38"/>
  <c r="C6433" i="38"/>
  <c r="J6432" i="38"/>
  <c r="I6432" i="38"/>
  <c r="H6432" i="38"/>
  <c r="G6432" i="38"/>
  <c r="F6432" i="38"/>
  <c r="E6432" i="38"/>
  <c r="C6432" i="38"/>
  <c r="H6431" i="38"/>
  <c r="G6431" i="38"/>
  <c r="E6431" i="38"/>
  <c r="C6431" i="38"/>
  <c r="H6430" i="38"/>
  <c r="G6430" i="38"/>
  <c r="E6430" i="38"/>
  <c r="D6430" i="38"/>
  <c r="C6430" i="38"/>
  <c r="H6429" i="38"/>
  <c r="G6429" i="38"/>
  <c r="E6429" i="38"/>
  <c r="D6429" i="38"/>
  <c r="C6429" i="38"/>
  <c r="H6428" i="38"/>
  <c r="G6428" i="38"/>
  <c r="E6428" i="38"/>
  <c r="D6428" i="38"/>
  <c r="C6428" i="38"/>
  <c r="H6427" i="38"/>
  <c r="G6427" i="38"/>
  <c r="E6427" i="38"/>
  <c r="D6427" i="38"/>
  <c r="C6427" i="38"/>
  <c r="J6426" i="38"/>
  <c r="I6426" i="38"/>
  <c r="H6426" i="38"/>
  <c r="G6426" i="38"/>
  <c r="F6426" i="38"/>
  <c r="E6426" i="38"/>
  <c r="D6426" i="38"/>
  <c r="C6426" i="38"/>
  <c r="J6425" i="38"/>
  <c r="I6425" i="38"/>
  <c r="H6425" i="38"/>
  <c r="G6425" i="38"/>
  <c r="F6425" i="38"/>
  <c r="E6425" i="38"/>
  <c r="D6425" i="38"/>
  <c r="C6425" i="38"/>
  <c r="J6424" i="38"/>
  <c r="I6424" i="38"/>
  <c r="H6424" i="38"/>
  <c r="G6424" i="38"/>
  <c r="F6424" i="38"/>
  <c r="E6424" i="38"/>
  <c r="D6424" i="38"/>
  <c r="C6424" i="38"/>
  <c r="J6423" i="38"/>
  <c r="I6423" i="38"/>
  <c r="H6423" i="38"/>
  <c r="G6423" i="38"/>
  <c r="E6423" i="38"/>
  <c r="D6423" i="38"/>
  <c r="C6423" i="38"/>
  <c r="J6422" i="38"/>
  <c r="I6422" i="38"/>
  <c r="H6422" i="38"/>
  <c r="G6422" i="38"/>
  <c r="F6422" i="38"/>
  <c r="E6422" i="38"/>
  <c r="C6422" i="38"/>
  <c r="H6421" i="38"/>
  <c r="G6421" i="38"/>
  <c r="E6421" i="38"/>
  <c r="C6421" i="38"/>
  <c r="H6420" i="38"/>
  <c r="G6420" i="38"/>
  <c r="E6420" i="38"/>
  <c r="D6420" i="38"/>
  <c r="C6420" i="38"/>
  <c r="H6419" i="38"/>
  <c r="G6419" i="38"/>
  <c r="E6419" i="38"/>
  <c r="D6419" i="38"/>
  <c r="C6419" i="38"/>
  <c r="H6418" i="38"/>
  <c r="G6418" i="38"/>
  <c r="E6418" i="38"/>
  <c r="D6418" i="38"/>
  <c r="C6418" i="38"/>
  <c r="H6417" i="38"/>
  <c r="G6417" i="38"/>
  <c r="E6417" i="38"/>
  <c r="D6417" i="38"/>
  <c r="C6417" i="38"/>
  <c r="J6416" i="38"/>
  <c r="I6416" i="38"/>
  <c r="H6416" i="38"/>
  <c r="G6416" i="38"/>
  <c r="F6416" i="38"/>
  <c r="E6416" i="38"/>
  <c r="D6416" i="38"/>
  <c r="C6416" i="38"/>
  <c r="J6415" i="38"/>
  <c r="I6415" i="38"/>
  <c r="H6415" i="38"/>
  <c r="G6415" i="38"/>
  <c r="F6415" i="38"/>
  <c r="E6415" i="38"/>
  <c r="D6415" i="38"/>
  <c r="C6415" i="38"/>
  <c r="J6414" i="38"/>
  <c r="I6414" i="38"/>
  <c r="H6414" i="38"/>
  <c r="G6414" i="38"/>
  <c r="F6414" i="38"/>
  <c r="E6414" i="38"/>
  <c r="D6414" i="38"/>
  <c r="C6414" i="38"/>
  <c r="J6413" i="38"/>
  <c r="I6413" i="38"/>
  <c r="H6413" i="38"/>
  <c r="G6413" i="38"/>
  <c r="E6413" i="38"/>
  <c r="D6413" i="38"/>
  <c r="C6413" i="38"/>
  <c r="J6412" i="38"/>
  <c r="I6412" i="38"/>
  <c r="H6412" i="38"/>
  <c r="G6412" i="38"/>
  <c r="F6412" i="38"/>
  <c r="E6412" i="38"/>
  <c r="C6412" i="38"/>
  <c r="H6411" i="38"/>
  <c r="G6411" i="38"/>
  <c r="E6411" i="38"/>
  <c r="C6411" i="38"/>
  <c r="H6410" i="38"/>
  <c r="G6410" i="38"/>
  <c r="E6410" i="38"/>
  <c r="D6410" i="38"/>
  <c r="C6410" i="38"/>
  <c r="H6409" i="38"/>
  <c r="G6409" i="38"/>
  <c r="E6409" i="38"/>
  <c r="D6409" i="38"/>
  <c r="C6409" i="38"/>
  <c r="H6408" i="38"/>
  <c r="G6408" i="38"/>
  <c r="E6408" i="38"/>
  <c r="D6408" i="38"/>
  <c r="C6408" i="38"/>
  <c r="H6407" i="38"/>
  <c r="G6407" i="38"/>
  <c r="E6407" i="38"/>
  <c r="D6407" i="38"/>
  <c r="C6407" i="38"/>
  <c r="J6406" i="38"/>
  <c r="I6406" i="38"/>
  <c r="H6406" i="38"/>
  <c r="G6406" i="38"/>
  <c r="F6406" i="38"/>
  <c r="E6406" i="38"/>
  <c r="D6406" i="38"/>
  <c r="C6406" i="38"/>
  <c r="J6405" i="38"/>
  <c r="I6405" i="38"/>
  <c r="H6405" i="38"/>
  <c r="G6405" i="38"/>
  <c r="F6405" i="38"/>
  <c r="E6405" i="38"/>
  <c r="D6405" i="38"/>
  <c r="C6405" i="38"/>
  <c r="J6404" i="38"/>
  <c r="I6404" i="38"/>
  <c r="H6404" i="38"/>
  <c r="G6404" i="38"/>
  <c r="F6404" i="38"/>
  <c r="E6404" i="38"/>
  <c r="D6404" i="38"/>
  <c r="C6404" i="38"/>
  <c r="J6403" i="38"/>
  <c r="I6403" i="38"/>
  <c r="H6403" i="38"/>
  <c r="G6403" i="38"/>
  <c r="E6403" i="38"/>
  <c r="D6403" i="38"/>
  <c r="C6403" i="38"/>
  <c r="J6402" i="38"/>
  <c r="I6402" i="38"/>
  <c r="H6402" i="38"/>
  <c r="G6402" i="38"/>
  <c r="F6402" i="38"/>
  <c r="E6402" i="38"/>
  <c r="C6402" i="38"/>
  <c r="H6401" i="38"/>
  <c r="G6401" i="38"/>
  <c r="E6401" i="38"/>
  <c r="C6401" i="38"/>
  <c r="H6400" i="38"/>
  <c r="G6400" i="38"/>
  <c r="E6400" i="38"/>
  <c r="D6400" i="38"/>
  <c r="C6400" i="38"/>
  <c r="H6399" i="38"/>
  <c r="G6399" i="38"/>
  <c r="E6399" i="38"/>
  <c r="D6399" i="38"/>
  <c r="C6399" i="38"/>
  <c r="H6398" i="38"/>
  <c r="G6398" i="38"/>
  <c r="E6398" i="38"/>
  <c r="D6398" i="38"/>
  <c r="C6398" i="38"/>
  <c r="H6397" i="38"/>
  <c r="G6397" i="38"/>
  <c r="E6397" i="38"/>
  <c r="D6397" i="38"/>
  <c r="C6397" i="38"/>
  <c r="J6396" i="38"/>
  <c r="I6396" i="38"/>
  <c r="H6396" i="38"/>
  <c r="G6396" i="38"/>
  <c r="F6396" i="38"/>
  <c r="E6396" i="38"/>
  <c r="D6396" i="38"/>
  <c r="C6396" i="38"/>
  <c r="J6395" i="38"/>
  <c r="I6395" i="38"/>
  <c r="H6395" i="38"/>
  <c r="G6395" i="38"/>
  <c r="F6395" i="38"/>
  <c r="E6395" i="38"/>
  <c r="D6395" i="38"/>
  <c r="C6395" i="38"/>
  <c r="J6394" i="38"/>
  <c r="I6394" i="38"/>
  <c r="H6394" i="38"/>
  <c r="G6394" i="38"/>
  <c r="F6394" i="38"/>
  <c r="E6394" i="38"/>
  <c r="D6394" i="38"/>
  <c r="C6394" i="38"/>
  <c r="J6393" i="38"/>
  <c r="I6393" i="38"/>
  <c r="H6393" i="38"/>
  <c r="G6393" i="38"/>
  <c r="E6393" i="38"/>
  <c r="D6393" i="38"/>
  <c r="C6393" i="38"/>
  <c r="J6392" i="38"/>
  <c r="I6392" i="38"/>
  <c r="H6392" i="38"/>
  <c r="G6392" i="38"/>
  <c r="F6392" i="38"/>
  <c r="E6392" i="38"/>
  <c r="C6392" i="38"/>
  <c r="H6391" i="38"/>
  <c r="G6391" i="38"/>
  <c r="E6391" i="38"/>
  <c r="C6391" i="38"/>
  <c r="H6390" i="38"/>
  <c r="G6390" i="38"/>
  <c r="E6390" i="38"/>
  <c r="D6390" i="38"/>
  <c r="C6390" i="38"/>
  <c r="H6389" i="38"/>
  <c r="G6389" i="38"/>
  <c r="E6389" i="38"/>
  <c r="D6389" i="38"/>
  <c r="C6389" i="38"/>
  <c r="H6388" i="38"/>
  <c r="G6388" i="38"/>
  <c r="E6388" i="38"/>
  <c r="D6388" i="38"/>
  <c r="C6388" i="38"/>
  <c r="H6387" i="38"/>
  <c r="G6387" i="38"/>
  <c r="E6387" i="38"/>
  <c r="D6387" i="38"/>
  <c r="C6387" i="38"/>
  <c r="J6386" i="38"/>
  <c r="I6386" i="38"/>
  <c r="H6386" i="38"/>
  <c r="G6386" i="38"/>
  <c r="F6386" i="38"/>
  <c r="E6386" i="38"/>
  <c r="D6386" i="38"/>
  <c r="C6386" i="38"/>
  <c r="J6385" i="38"/>
  <c r="I6385" i="38"/>
  <c r="H6385" i="38"/>
  <c r="G6385" i="38"/>
  <c r="F6385" i="38"/>
  <c r="E6385" i="38"/>
  <c r="D6385" i="38"/>
  <c r="C6385" i="38"/>
  <c r="J6384" i="38"/>
  <c r="I6384" i="38"/>
  <c r="H6384" i="38"/>
  <c r="G6384" i="38"/>
  <c r="F6384" i="38"/>
  <c r="E6384" i="38"/>
  <c r="D6384" i="38"/>
  <c r="C6384" i="38"/>
  <c r="J6383" i="38"/>
  <c r="I6383" i="38"/>
  <c r="H6383" i="38"/>
  <c r="G6383" i="38"/>
  <c r="E6383" i="38"/>
  <c r="D6383" i="38"/>
  <c r="C6383" i="38"/>
  <c r="J6382" i="38"/>
  <c r="I6382" i="38"/>
  <c r="H6382" i="38"/>
  <c r="G6382" i="38"/>
  <c r="F6382" i="38"/>
  <c r="E6382" i="38"/>
  <c r="C6382" i="38"/>
  <c r="H6381" i="38"/>
  <c r="G6381" i="38"/>
  <c r="E6381" i="38"/>
  <c r="C6381" i="38"/>
  <c r="H6380" i="38"/>
  <c r="G6380" i="38"/>
  <c r="E6380" i="38"/>
  <c r="D6380" i="38"/>
  <c r="C6380" i="38"/>
  <c r="H6379" i="38"/>
  <c r="G6379" i="38"/>
  <c r="E6379" i="38"/>
  <c r="D6379" i="38"/>
  <c r="C6379" i="38"/>
  <c r="H6378" i="38"/>
  <c r="G6378" i="38"/>
  <c r="E6378" i="38"/>
  <c r="D6378" i="38"/>
  <c r="C6378" i="38"/>
  <c r="H6377" i="38"/>
  <c r="G6377" i="38"/>
  <c r="E6377" i="38"/>
  <c r="D6377" i="38"/>
  <c r="C6377" i="38"/>
  <c r="J6376" i="38"/>
  <c r="I6376" i="38"/>
  <c r="H6376" i="38"/>
  <c r="G6376" i="38"/>
  <c r="F6376" i="38"/>
  <c r="E6376" i="38"/>
  <c r="D6376" i="38"/>
  <c r="C6376" i="38"/>
  <c r="J6375" i="38"/>
  <c r="I6375" i="38"/>
  <c r="H6375" i="38"/>
  <c r="G6375" i="38"/>
  <c r="F6375" i="38"/>
  <c r="E6375" i="38"/>
  <c r="D6375" i="38"/>
  <c r="C6375" i="38"/>
  <c r="J6374" i="38"/>
  <c r="I6374" i="38"/>
  <c r="H6374" i="38"/>
  <c r="G6374" i="38"/>
  <c r="F6374" i="38"/>
  <c r="E6374" i="38"/>
  <c r="D6374" i="38"/>
  <c r="C6374" i="38"/>
  <c r="J6373" i="38"/>
  <c r="I6373" i="38"/>
  <c r="H6373" i="38"/>
  <c r="G6373" i="38"/>
  <c r="E6373" i="38"/>
  <c r="D6373" i="38"/>
  <c r="C6373" i="38"/>
  <c r="J6372" i="38"/>
  <c r="I6372" i="38"/>
  <c r="H6372" i="38"/>
  <c r="G6372" i="38"/>
  <c r="F6372" i="38"/>
  <c r="E6372" i="38"/>
  <c r="C6372" i="38"/>
  <c r="H6371" i="38"/>
  <c r="G6371" i="38"/>
  <c r="E6371" i="38"/>
  <c r="C6371" i="38"/>
  <c r="H6370" i="38"/>
  <c r="G6370" i="38"/>
  <c r="E6370" i="38"/>
  <c r="D6370" i="38"/>
  <c r="C6370" i="38"/>
  <c r="H6369" i="38"/>
  <c r="G6369" i="38"/>
  <c r="E6369" i="38"/>
  <c r="D6369" i="38"/>
  <c r="C6369" i="38"/>
  <c r="H6368" i="38"/>
  <c r="G6368" i="38"/>
  <c r="E6368" i="38"/>
  <c r="D6368" i="38"/>
  <c r="C6368" i="38"/>
  <c r="H6367" i="38"/>
  <c r="G6367" i="38"/>
  <c r="E6367" i="38"/>
  <c r="D6367" i="38"/>
  <c r="C6367" i="38"/>
  <c r="J6366" i="38"/>
  <c r="I6366" i="38"/>
  <c r="H6366" i="38"/>
  <c r="G6366" i="38"/>
  <c r="F6366" i="38"/>
  <c r="E6366" i="38"/>
  <c r="D6366" i="38"/>
  <c r="C6366" i="38"/>
  <c r="J6365" i="38"/>
  <c r="I6365" i="38"/>
  <c r="H6365" i="38"/>
  <c r="G6365" i="38"/>
  <c r="F6365" i="38"/>
  <c r="E6365" i="38"/>
  <c r="D6365" i="38"/>
  <c r="C6365" i="38"/>
  <c r="J6364" i="38"/>
  <c r="I6364" i="38"/>
  <c r="H6364" i="38"/>
  <c r="G6364" i="38"/>
  <c r="F6364" i="38"/>
  <c r="E6364" i="38"/>
  <c r="D6364" i="38"/>
  <c r="C6364" i="38"/>
  <c r="J6363" i="38"/>
  <c r="I6363" i="38"/>
  <c r="H6363" i="38"/>
  <c r="G6363" i="38"/>
  <c r="E6363" i="38"/>
  <c r="D6363" i="38"/>
  <c r="C6363" i="38"/>
  <c r="J6362" i="38"/>
  <c r="I6362" i="38"/>
  <c r="H6362" i="38"/>
  <c r="G6362" i="38"/>
  <c r="F6362" i="38"/>
  <c r="E6362" i="38"/>
  <c r="C6362" i="38"/>
  <c r="H6361" i="38"/>
  <c r="G6361" i="38"/>
  <c r="E6361" i="38"/>
  <c r="C6361" i="38"/>
  <c r="H6360" i="38"/>
  <c r="G6360" i="38"/>
  <c r="E6360" i="38"/>
  <c r="D6360" i="38"/>
  <c r="C6360" i="38"/>
  <c r="H6359" i="38"/>
  <c r="G6359" i="38"/>
  <c r="E6359" i="38"/>
  <c r="D6359" i="38"/>
  <c r="C6359" i="38"/>
  <c r="H6358" i="38"/>
  <c r="G6358" i="38"/>
  <c r="E6358" i="38"/>
  <c r="D6358" i="38"/>
  <c r="C6358" i="38"/>
  <c r="H6357" i="38"/>
  <c r="G6357" i="38"/>
  <c r="E6357" i="38"/>
  <c r="D6357" i="38"/>
  <c r="C6357" i="38"/>
  <c r="J6356" i="38"/>
  <c r="I6356" i="38"/>
  <c r="H6356" i="38"/>
  <c r="G6356" i="38"/>
  <c r="F6356" i="38"/>
  <c r="E6356" i="38"/>
  <c r="D6356" i="38"/>
  <c r="C6356" i="38"/>
  <c r="J6355" i="38"/>
  <c r="I6355" i="38"/>
  <c r="H6355" i="38"/>
  <c r="G6355" i="38"/>
  <c r="F6355" i="38"/>
  <c r="E6355" i="38"/>
  <c r="D6355" i="38"/>
  <c r="C6355" i="38"/>
  <c r="J6354" i="38"/>
  <c r="I6354" i="38"/>
  <c r="H6354" i="38"/>
  <c r="G6354" i="38"/>
  <c r="F6354" i="38"/>
  <c r="E6354" i="38"/>
  <c r="D6354" i="38"/>
  <c r="C6354" i="38"/>
  <c r="J6353" i="38"/>
  <c r="I6353" i="38"/>
  <c r="H6353" i="38"/>
  <c r="G6353" i="38"/>
  <c r="E6353" i="38"/>
  <c r="D6353" i="38"/>
  <c r="C6353" i="38"/>
  <c r="J6352" i="38"/>
  <c r="I6352" i="38"/>
  <c r="H6352" i="38"/>
  <c r="G6352" i="38"/>
  <c r="F6352" i="38"/>
  <c r="E6352" i="38"/>
  <c r="C6352" i="38"/>
  <c r="H6351" i="38"/>
  <c r="G6351" i="38"/>
  <c r="E6351" i="38"/>
  <c r="C6351" i="38"/>
  <c r="H6350" i="38"/>
  <c r="G6350" i="38"/>
  <c r="E6350" i="38"/>
  <c r="D6350" i="38"/>
  <c r="C6350" i="38"/>
  <c r="H6349" i="38"/>
  <c r="G6349" i="38"/>
  <c r="E6349" i="38"/>
  <c r="D6349" i="38"/>
  <c r="C6349" i="38"/>
  <c r="H6348" i="38"/>
  <c r="G6348" i="38"/>
  <c r="E6348" i="38"/>
  <c r="D6348" i="38"/>
  <c r="C6348" i="38"/>
  <c r="H6347" i="38"/>
  <c r="G6347" i="38"/>
  <c r="E6347" i="38"/>
  <c r="D6347" i="38"/>
  <c r="C6347" i="38"/>
  <c r="J6346" i="38"/>
  <c r="I6346" i="38"/>
  <c r="H6346" i="38"/>
  <c r="G6346" i="38"/>
  <c r="F6346" i="38"/>
  <c r="E6346" i="38"/>
  <c r="D6346" i="38"/>
  <c r="C6346" i="38"/>
  <c r="J6345" i="38"/>
  <c r="I6345" i="38"/>
  <c r="H6345" i="38"/>
  <c r="G6345" i="38"/>
  <c r="F6345" i="38"/>
  <c r="E6345" i="38"/>
  <c r="D6345" i="38"/>
  <c r="C6345" i="38"/>
  <c r="J6344" i="38"/>
  <c r="I6344" i="38"/>
  <c r="H6344" i="38"/>
  <c r="G6344" i="38"/>
  <c r="F6344" i="38"/>
  <c r="E6344" i="38"/>
  <c r="D6344" i="38"/>
  <c r="C6344" i="38"/>
  <c r="J6343" i="38"/>
  <c r="I6343" i="38"/>
  <c r="H6343" i="38"/>
  <c r="G6343" i="38"/>
  <c r="E6343" i="38"/>
  <c r="D6343" i="38"/>
  <c r="C6343" i="38"/>
  <c r="J6342" i="38"/>
  <c r="I6342" i="38"/>
  <c r="H6342" i="38"/>
  <c r="G6342" i="38"/>
  <c r="F6342" i="38"/>
  <c r="E6342" i="38"/>
  <c r="C6342" i="38"/>
  <c r="H6341" i="38"/>
  <c r="G6341" i="38"/>
  <c r="E6341" i="38"/>
  <c r="C6341" i="38"/>
  <c r="H6340" i="38"/>
  <c r="G6340" i="38"/>
  <c r="E6340" i="38"/>
  <c r="D6340" i="38"/>
  <c r="C6340" i="38"/>
  <c r="H6339" i="38"/>
  <c r="G6339" i="38"/>
  <c r="E6339" i="38"/>
  <c r="D6339" i="38"/>
  <c r="C6339" i="38"/>
  <c r="H6338" i="38"/>
  <c r="G6338" i="38"/>
  <c r="E6338" i="38"/>
  <c r="D6338" i="38"/>
  <c r="C6338" i="38"/>
  <c r="H6337" i="38"/>
  <c r="G6337" i="38"/>
  <c r="E6337" i="38"/>
  <c r="D6337" i="38"/>
  <c r="C6337" i="38"/>
  <c r="J6336" i="38"/>
  <c r="I6336" i="38"/>
  <c r="H6336" i="38"/>
  <c r="G6336" i="38"/>
  <c r="F6336" i="38"/>
  <c r="E6336" i="38"/>
  <c r="D6336" i="38"/>
  <c r="C6336" i="38"/>
  <c r="J6335" i="38"/>
  <c r="I6335" i="38"/>
  <c r="H6335" i="38"/>
  <c r="G6335" i="38"/>
  <c r="F6335" i="38"/>
  <c r="E6335" i="38"/>
  <c r="D6335" i="38"/>
  <c r="C6335" i="38"/>
  <c r="J6334" i="38"/>
  <c r="I6334" i="38"/>
  <c r="H6334" i="38"/>
  <c r="G6334" i="38"/>
  <c r="F6334" i="38"/>
  <c r="E6334" i="38"/>
  <c r="D6334" i="38"/>
  <c r="C6334" i="38"/>
  <c r="J6333" i="38"/>
  <c r="I6333" i="38"/>
  <c r="H6333" i="38"/>
  <c r="G6333" i="38"/>
  <c r="E6333" i="38"/>
  <c r="D6333" i="38"/>
  <c r="C6333" i="38"/>
  <c r="J6332" i="38"/>
  <c r="I6332" i="38"/>
  <c r="H6332" i="38"/>
  <c r="G6332" i="38"/>
  <c r="F6332" i="38"/>
  <c r="E6332" i="38"/>
  <c r="C6332" i="38"/>
  <c r="H6331" i="38"/>
  <c r="G6331" i="38"/>
  <c r="E6331" i="38"/>
  <c r="C6331" i="38"/>
  <c r="H6330" i="38"/>
  <c r="G6330" i="38"/>
  <c r="E6330" i="38"/>
  <c r="D6330" i="38"/>
  <c r="C6330" i="38"/>
  <c r="H6329" i="38"/>
  <c r="G6329" i="38"/>
  <c r="E6329" i="38"/>
  <c r="D6329" i="38"/>
  <c r="C6329" i="38"/>
  <c r="H6328" i="38"/>
  <c r="G6328" i="38"/>
  <c r="E6328" i="38"/>
  <c r="D6328" i="38"/>
  <c r="C6328" i="38"/>
  <c r="H6327" i="38"/>
  <c r="G6327" i="38"/>
  <c r="E6327" i="38"/>
  <c r="D6327" i="38"/>
  <c r="C6327" i="38"/>
  <c r="J6326" i="38"/>
  <c r="I6326" i="38"/>
  <c r="H6326" i="38"/>
  <c r="G6326" i="38"/>
  <c r="F6326" i="38"/>
  <c r="E6326" i="38"/>
  <c r="D6326" i="38"/>
  <c r="C6326" i="38"/>
  <c r="J6325" i="38"/>
  <c r="I6325" i="38"/>
  <c r="H6325" i="38"/>
  <c r="G6325" i="38"/>
  <c r="F6325" i="38"/>
  <c r="E6325" i="38"/>
  <c r="D6325" i="38"/>
  <c r="C6325" i="38"/>
  <c r="J6324" i="38"/>
  <c r="I6324" i="38"/>
  <c r="H6324" i="38"/>
  <c r="G6324" i="38"/>
  <c r="F6324" i="38"/>
  <c r="E6324" i="38"/>
  <c r="D6324" i="38"/>
  <c r="C6324" i="38"/>
  <c r="J6323" i="38"/>
  <c r="I6323" i="38"/>
  <c r="H6323" i="38"/>
  <c r="G6323" i="38"/>
  <c r="E6323" i="38"/>
  <c r="D6323" i="38"/>
  <c r="C6323" i="38"/>
  <c r="J6322" i="38"/>
  <c r="I6322" i="38"/>
  <c r="H6322" i="38"/>
  <c r="G6322" i="38"/>
  <c r="F6322" i="38"/>
  <c r="E6322" i="38"/>
  <c r="C6322" i="38"/>
  <c r="H6321" i="38"/>
  <c r="G6321" i="38"/>
  <c r="E6321" i="38"/>
  <c r="C6321" i="38"/>
  <c r="H6320" i="38"/>
  <c r="G6320" i="38"/>
  <c r="E6320" i="38"/>
  <c r="D6320" i="38"/>
  <c r="C6320" i="38"/>
  <c r="H6319" i="38"/>
  <c r="G6319" i="38"/>
  <c r="E6319" i="38"/>
  <c r="D6319" i="38"/>
  <c r="C6319" i="38"/>
  <c r="H6318" i="38"/>
  <c r="G6318" i="38"/>
  <c r="E6318" i="38"/>
  <c r="D6318" i="38"/>
  <c r="C6318" i="38"/>
  <c r="H6317" i="38"/>
  <c r="G6317" i="38"/>
  <c r="E6317" i="38"/>
  <c r="D6317" i="38"/>
  <c r="C6317" i="38"/>
  <c r="J6316" i="38"/>
  <c r="I6316" i="38"/>
  <c r="H6316" i="38"/>
  <c r="G6316" i="38"/>
  <c r="F6316" i="38"/>
  <c r="E6316" i="38"/>
  <c r="D6316" i="38"/>
  <c r="C6316" i="38"/>
  <c r="J6315" i="38"/>
  <c r="I6315" i="38"/>
  <c r="H6315" i="38"/>
  <c r="G6315" i="38"/>
  <c r="F6315" i="38"/>
  <c r="E6315" i="38"/>
  <c r="D6315" i="38"/>
  <c r="C6315" i="38"/>
  <c r="J6314" i="38"/>
  <c r="I6314" i="38"/>
  <c r="H6314" i="38"/>
  <c r="G6314" i="38"/>
  <c r="F6314" i="38"/>
  <c r="E6314" i="38"/>
  <c r="D6314" i="38"/>
  <c r="C6314" i="38"/>
  <c r="J6313" i="38"/>
  <c r="I6313" i="38"/>
  <c r="H6313" i="38"/>
  <c r="G6313" i="38"/>
  <c r="E6313" i="38"/>
  <c r="D6313" i="38"/>
  <c r="C6313" i="38"/>
  <c r="J6312" i="38"/>
  <c r="I6312" i="38"/>
  <c r="H6312" i="38"/>
  <c r="G6312" i="38"/>
  <c r="F6312" i="38"/>
  <c r="E6312" i="38"/>
  <c r="C6312" i="38"/>
  <c r="H6311" i="38"/>
  <c r="G6311" i="38"/>
  <c r="E6311" i="38"/>
  <c r="C6311" i="38"/>
  <c r="H6310" i="38"/>
  <c r="G6310" i="38"/>
  <c r="E6310" i="38"/>
  <c r="D6310" i="38"/>
  <c r="C6310" i="38"/>
  <c r="H6309" i="38"/>
  <c r="G6309" i="38"/>
  <c r="E6309" i="38"/>
  <c r="D6309" i="38"/>
  <c r="C6309" i="38"/>
  <c r="H6308" i="38"/>
  <c r="G6308" i="38"/>
  <c r="E6308" i="38"/>
  <c r="D6308" i="38"/>
  <c r="C6308" i="38"/>
  <c r="H6307" i="38"/>
  <c r="G6307" i="38"/>
  <c r="E6307" i="38"/>
  <c r="D6307" i="38"/>
  <c r="C6307" i="38"/>
  <c r="J6306" i="38"/>
  <c r="I6306" i="38"/>
  <c r="H6306" i="38"/>
  <c r="G6306" i="38"/>
  <c r="F6306" i="38"/>
  <c r="E6306" i="38"/>
  <c r="D6306" i="38"/>
  <c r="C6306" i="38"/>
  <c r="J6305" i="38"/>
  <c r="I6305" i="38"/>
  <c r="H6305" i="38"/>
  <c r="G6305" i="38"/>
  <c r="F6305" i="38"/>
  <c r="E6305" i="38"/>
  <c r="D6305" i="38"/>
  <c r="C6305" i="38"/>
  <c r="J6304" i="38"/>
  <c r="I6304" i="38"/>
  <c r="H6304" i="38"/>
  <c r="G6304" i="38"/>
  <c r="F6304" i="38"/>
  <c r="E6304" i="38"/>
  <c r="D6304" i="38"/>
  <c r="C6304" i="38"/>
  <c r="J6303" i="38"/>
  <c r="I6303" i="38"/>
  <c r="H6303" i="38"/>
  <c r="G6303" i="38"/>
  <c r="E6303" i="38"/>
  <c r="D6303" i="38"/>
  <c r="C6303" i="38"/>
  <c r="J6302" i="38"/>
  <c r="I6302" i="38"/>
  <c r="H6302" i="38"/>
  <c r="G6302" i="38"/>
  <c r="F6302" i="38"/>
  <c r="E6302" i="38"/>
  <c r="C6302" i="38"/>
  <c r="H6301" i="38"/>
  <c r="G6301" i="38"/>
  <c r="E6301" i="38"/>
  <c r="C6301" i="38"/>
  <c r="H6300" i="38"/>
  <c r="G6300" i="38"/>
  <c r="E6300" i="38"/>
  <c r="D6300" i="38"/>
  <c r="C6300" i="38"/>
  <c r="H6299" i="38"/>
  <c r="G6299" i="38"/>
  <c r="E6299" i="38"/>
  <c r="D6299" i="38"/>
  <c r="C6299" i="38"/>
  <c r="H6298" i="38"/>
  <c r="G6298" i="38"/>
  <c r="E6298" i="38"/>
  <c r="D6298" i="38"/>
  <c r="C6298" i="38"/>
  <c r="H6297" i="38"/>
  <c r="G6297" i="38"/>
  <c r="E6297" i="38"/>
  <c r="D6297" i="38"/>
  <c r="C6297" i="38"/>
  <c r="J6296" i="38"/>
  <c r="I6296" i="38"/>
  <c r="H6296" i="38"/>
  <c r="G6296" i="38"/>
  <c r="F6296" i="38"/>
  <c r="E6296" i="38"/>
  <c r="D6296" i="38"/>
  <c r="C6296" i="38"/>
  <c r="J6295" i="38"/>
  <c r="I6295" i="38"/>
  <c r="H6295" i="38"/>
  <c r="G6295" i="38"/>
  <c r="F6295" i="38"/>
  <c r="E6295" i="38"/>
  <c r="D6295" i="38"/>
  <c r="C6295" i="38"/>
  <c r="J6294" i="38"/>
  <c r="I6294" i="38"/>
  <c r="H6294" i="38"/>
  <c r="G6294" i="38"/>
  <c r="F6294" i="38"/>
  <c r="E6294" i="38"/>
  <c r="D6294" i="38"/>
  <c r="C6294" i="38"/>
  <c r="J6293" i="38"/>
  <c r="I6293" i="38"/>
  <c r="H6293" i="38"/>
  <c r="G6293" i="38"/>
  <c r="E6293" i="38"/>
  <c r="D6293" i="38"/>
  <c r="C6293" i="38"/>
  <c r="J6292" i="38"/>
  <c r="I6292" i="38"/>
  <c r="H6292" i="38"/>
  <c r="G6292" i="38"/>
  <c r="F6292" i="38"/>
  <c r="E6292" i="38"/>
  <c r="C6292" i="38"/>
  <c r="H6291" i="38"/>
  <c r="G6291" i="38"/>
  <c r="E6291" i="38"/>
  <c r="C6291" i="38"/>
  <c r="J6290" i="38"/>
  <c r="I6290" i="38"/>
  <c r="H6290" i="38"/>
  <c r="G6290" i="38"/>
  <c r="F6290" i="38"/>
  <c r="E6290" i="38"/>
  <c r="D6290" i="38"/>
  <c r="C6290" i="38"/>
  <c r="J6289" i="38"/>
  <c r="I6289" i="38"/>
  <c r="H6289" i="38"/>
  <c r="G6289" i="38"/>
  <c r="F6289" i="38"/>
  <c r="E6289" i="38"/>
  <c r="D6289" i="38"/>
  <c r="C6289" i="38"/>
  <c r="J6288" i="38"/>
  <c r="I6288" i="38"/>
  <c r="H6288" i="38"/>
  <c r="G6288" i="38"/>
  <c r="F6288" i="38"/>
  <c r="E6288" i="38"/>
  <c r="D6288" i="38"/>
  <c r="C6288" i="38"/>
  <c r="J6287" i="38"/>
  <c r="I6287" i="38"/>
  <c r="H6287" i="38"/>
  <c r="G6287" i="38"/>
  <c r="F6287" i="38"/>
  <c r="E6287" i="38"/>
  <c r="D6287" i="38"/>
  <c r="C6287" i="38"/>
  <c r="J6286" i="38"/>
  <c r="I6286" i="38"/>
  <c r="H6286" i="38"/>
  <c r="G6286" i="38"/>
  <c r="F6286" i="38"/>
  <c r="E6286" i="38"/>
  <c r="D6286" i="38"/>
  <c r="C6286" i="38"/>
  <c r="J6285" i="38"/>
  <c r="I6285" i="38"/>
  <c r="H6285" i="38"/>
  <c r="G6285" i="38"/>
  <c r="F6285" i="38"/>
  <c r="E6285" i="38"/>
  <c r="D6285" i="38"/>
  <c r="C6285" i="38"/>
  <c r="J6284" i="38"/>
  <c r="I6284" i="38"/>
  <c r="H6284" i="38"/>
  <c r="G6284" i="38"/>
  <c r="F6284" i="38"/>
  <c r="E6284" i="38"/>
  <c r="D6284" i="38"/>
  <c r="C6284" i="38"/>
  <c r="J6283" i="38"/>
  <c r="I6283" i="38"/>
  <c r="H6283" i="38"/>
  <c r="G6283" i="38"/>
  <c r="F6283" i="38"/>
  <c r="E6283" i="38"/>
  <c r="D6283" i="38"/>
  <c r="C6283" i="38"/>
  <c r="J6282" i="38"/>
  <c r="I6282" i="38"/>
  <c r="H6282" i="38"/>
  <c r="G6282" i="38"/>
  <c r="F6282" i="38"/>
  <c r="E6282" i="38"/>
  <c r="D6282" i="38"/>
  <c r="C6282" i="38"/>
  <c r="J6281" i="38"/>
  <c r="I6281" i="38"/>
  <c r="H6281" i="38"/>
  <c r="G6281" i="38"/>
  <c r="F6281" i="38"/>
  <c r="E6281" i="38"/>
  <c r="D6281" i="38"/>
  <c r="C6281" i="38"/>
  <c r="J6280" i="38"/>
  <c r="I6280" i="38"/>
  <c r="H6280" i="38"/>
  <c r="G6280" i="38"/>
  <c r="F6280" i="38"/>
  <c r="E6280" i="38"/>
  <c r="D6280" i="38"/>
  <c r="C6280" i="38"/>
  <c r="J6279" i="38"/>
  <c r="I6279" i="38"/>
  <c r="H6279" i="38"/>
  <c r="G6279" i="38"/>
  <c r="F6279" i="38"/>
  <c r="E6279" i="38"/>
  <c r="D6279" i="38"/>
  <c r="C6279" i="38"/>
  <c r="J6278" i="38"/>
  <c r="I6278" i="38"/>
  <c r="H6278" i="38"/>
  <c r="G6278" i="38"/>
  <c r="F6278" i="38"/>
  <c r="E6278" i="38"/>
  <c r="D6278" i="38"/>
  <c r="C6278" i="38"/>
  <c r="J6277" i="38"/>
  <c r="I6277" i="38"/>
  <c r="H6277" i="38"/>
  <c r="G6277" i="38"/>
  <c r="F6277" i="38"/>
  <c r="E6277" i="38"/>
  <c r="D6277" i="38"/>
  <c r="C6277" i="38"/>
  <c r="J6276" i="38"/>
  <c r="I6276" i="38"/>
  <c r="H6276" i="38"/>
  <c r="G6276" i="38"/>
  <c r="F6276" i="38"/>
  <c r="E6276" i="38"/>
  <c r="D6276" i="38"/>
  <c r="C6276" i="38"/>
  <c r="J6275" i="38"/>
  <c r="I6275" i="38"/>
  <c r="H6275" i="38"/>
  <c r="G6275" i="38"/>
  <c r="F6275" i="38"/>
  <c r="E6275" i="38"/>
  <c r="D6275" i="38"/>
  <c r="C6275" i="38"/>
  <c r="J6274" i="38"/>
  <c r="I6274" i="38"/>
  <c r="H6274" i="38"/>
  <c r="G6274" i="38"/>
  <c r="F6274" i="38"/>
  <c r="E6274" i="38"/>
  <c r="D6274" i="38"/>
  <c r="C6274" i="38"/>
  <c r="J6273" i="38"/>
  <c r="I6273" i="38"/>
  <c r="H6273" i="38"/>
  <c r="G6273" i="38"/>
  <c r="E6273" i="38"/>
  <c r="D6273" i="38"/>
  <c r="C6273" i="38"/>
  <c r="J6272" i="38"/>
  <c r="I6272" i="38"/>
  <c r="H6272" i="38"/>
  <c r="G6272" i="38"/>
  <c r="F6272" i="38"/>
  <c r="E6272" i="38"/>
  <c r="C6272" i="38"/>
  <c r="H6271" i="38"/>
  <c r="G6271" i="38"/>
  <c r="E6271" i="38"/>
  <c r="C6271" i="38"/>
  <c r="H6270" i="38"/>
  <c r="G6270" i="38"/>
  <c r="E6270" i="38"/>
  <c r="D6270" i="38"/>
  <c r="C6270" i="38"/>
  <c r="H6269" i="38"/>
  <c r="G6269" i="38"/>
  <c r="E6269" i="38"/>
  <c r="D6269" i="38"/>
  <c r="C6269" i="38"/>
  <c r="H6268" i="38"/>
  <c r="G6268" i="38"/>
  <c r="E6268" i="38"/>
  <c r="D6268" i="38"/>
  <c r="C6268" i="38"/>
  <c r="H6267" i="38"/>
  <c r="G6267" i="38"/>
  <c r="E6267" i="38"/>
  <c r="D6267" i="38"/>
  <c r="C6267" i="38"/>
  <c r="J6266" i="38"/>
  <c r="I6266" i="38"/>
  <c r="H6266" i="38"/>
  <c r="G6266" i="38"/>
  <c r="F6266" i="38"/>
  <c r="E6266" i="38"/>
  <c r="D6266" i="38"/>
  <c r="C6266" i="38"/>
  <c r="J6265" i="38"/>
  <c r="I6265" i="38"/>
  <c r="H6265" i="38"/>
  <c r="G6265" i="38"/>
  <c r="F6265" i="38"/>
  <c r="E6265" i="38"/>
  <c r="D6265" i="38"/>
  <c r="C6265" i="38"/>
  <c r="J6264" i="38"/>
  <c r="I6264" i="38"/>
  <c r="H6264" i="38"/>
  <c r="G6264" i="38"/>
  <c r="F6264" i="38"/>
  <c r="E6264" i="38"/>
  <c r="D6264" i="38"/>
  <c r="C6264" i="38"/>
  <c r="J6263" i="38"/>
  <c r="I6263" i="38"/>
  <c r="H6263" i="38"/>
  <c r="G6263" i="38"/>
  <c r="E6263" i="38"/>
  <c r="D6263" i="38"/>
  <c r="C6263" i="38"/>
  <c r="J6262" i="38"/>
  <c r="I6262" i="38"/>
  <c r="H6262" i="38"/>
  <c r="G6262" i="38"/>
  <c r="F6262" i="38"/>
  <c r="E6262" i="38"/>
  <c r="C6262" i="38"/>
  <c r="H6261" i="38"/>
  <c r="G6261" i="38"/>
  <c r="E6261" i="38"/>
  <c r="C6261" i="38"/>
  <c r="H6260" i="38"/>
  <c r="G6260" i="38"/>
  <c r="E6260" i="38"/>
  <c r="D6260" i="38"/>
  <c r="C6260" i="38"/>
  <c r="H6259" i="38"/>
  <c r="G6259" i="38"/>
  <c r="E6259" i="38"/>
  <c r="D6259" i="38"/>
  <c r="C6259" i="38"/>
  <c r="H6258" i="38"/>
  <c r="G6258" i="38"/>
  <c r="E6258" i="38"/>
  <c r="D6258" i="38"/>
  <c r="C6258" i="38"/>
  <c r="H6257" i="38"/>
  <c r="G6257" i="38"/>
  <c r="E6257" i="38"/>
  <c r="D6257" i="38"/>
  <c r="C6257" i="38"/>
  <c r="J6256" i="38"/>
  <c r="I6256" i="38"/>
  <c r="H6256" i="38"/>
  <c r="G6256" i="38"/>
  <c r="F6256" i="38"/>
  <c r="E6256" i="38"/>
  <c r="D6256" i="38"/>
  <c r="C6256" i="38"/>
  <c r="J6255" i="38"/>
  <c r="I6255" i="38"/>
  <c r="H6255" i="38"/>
  <c r="G6255" i="38"/>
  <c r="F6255" i="38"/>
  <c r="E6255" i="38"/>
  <c r="D6255" i="38"/>
  <c r="C6255" i="38"/>
  <c r="J6254" i="38"/>
  <c r="I6254" i="38"/>
  <c r="H6254" i="38"/>
  <c r="G6254" i="38"/>
  <c r="F6254" i="38"/>
  <c r="E6254" i="38"/>
  <c r="D6254" i="38"/>
  <c r="C6254" i="38"/>
  <c r="J6253" i="38"/>
  <c r="I6253" i="38"/>
  <c r="H6253" i="38"/>
  <c r="G6253" i="38"/>
  <c r="E6253" i="38"/>
  <c r="D6253" i="38"/>
  <c r="C6253" i="38"/>
  <c r="J6252" i="38"/>
  <c r="I6252" i="38"/>
  <c r="H6252" i="38"/>
  <c r="G6252" i="38"/>
  <c r="F6252" i="38"/>
  <c r="E6252" i="38"/>
  <c r="C6252" i="38"/>
  <c r="H6251" i="38"/>
  <c r="G6251" i="38"/>
  <c r="E6251" i="38"/>
  <c r="C6251" i="38"/>
  <c r="H6250" i="38"/>
  <c r="G6250" i="38"/>
  <c r="E6250" i="38"/>
  <c r="D6250" i="38"/>
  <c r="C6250" i="38"/>
  <c r="H6249" i="38"/>
  <c r="G6249" i="38"/>
  <c r="E6249" i="38"/>
  <c r="D6249" i="38"/>
  <c r="C6249" i="38"/>
  <c r="H6248" i="38"/>
  <c r="G6248" i="38"/>
  <c r="E6248" i="38"/>
  <c r="D6248" i="38"/>
  <c r="C6248" i="38"/>
  <c r="H6247" i="38"/>
  <c r="G6247" i="38"/>
  <c r="E6247" i="38"/>
  <c r="D6247" i="38"/>
  <c r="C6247" i="38"/>
  <c r="J6246" i="38"/>
  <c r="I6246" i="38"/>
  <c r="H6246" i="38"/>
  <c r="G6246" i="38"/>
  <c r="F6246" i="38"/>
  <c r="E6246" i="38"/>
  <c r="D6246" i="38"/>
  <c r="C6246" i="38"/>
  <c r="J6245" i="38"/>
  <c r="I6245" i="38"/>
  <c r="H6245" i="38"/>
  <c r="G6245" i="38"/>
  <c r="F6245" i="38"/>
  <c r="E6245" i="38"/>
  <c r="D6245" i="38"/>
  <c r="C6245" i="38"/>
  <c r="J6244" i="38"/>
  <c r="I6244" i="38"/>
  <c r="H6244" i="38"/>
  <c r="G6244" i="38"/>
  <c r="F6244" i="38"/>
  <c r="E6244" i="38"/>
  <c r="D6244" i="38"/>
  <c r="C6244" i="38"/>
  <c r="J6243" i="38"/>
  <c r="I6243" i="38"/>
  <c r="H6243" i="38"/>
  <c r="G6243" i="38"/>
  <c r="E6243" i="38"/>
  <c r="D6243" i="38"/>
  <c r="C6243" i="38"/>
  <c r="J6242" i="38"/>
  <c r="I6242" i="38"/>
  <c r="H6242" i="38"/>
  <c r="G6242" i="38"/>
  <c r="F6242" i="38"/>
  <c r="E6242" i="38"/>
  <c r="C6242" i="38"/>
  <c r="H6241" i="38"/>
  <c r="G6241" i="38"/>
  <c r="E6241" i="38"/>
  <c r="C6241" i="38"/>
  <c r="H6240" i="38"/>
  <c r="G6240" i="38"/>
  <c r="E6240" i="38"/>
  <c r="D6240" i="38"/>
  <c r="C6240" i="38"/>
  <c r="H6239" i="38"/>
  <c r="G6239" i="38"/>
  <c r="E6239" i="38"/>
  <c r="D6239" i="38"/>
  <c r="C6239" i="38"/>
  <c r="H6238" i="38"/>
  <c r="G6238" i="38"/>
  <c r="E6238" i="38"/>
  <c r="D6238" i="38"/>
  <c r="C6238" i="38"/>
  <c r="H6237" i="38"/>
  <c r="G6237" i="38"/>
  <c r="E6237" i="38"/>
  <c r="D6237" i="38"/>
  <c r="C6237" i="38"/>
  <c r="J6236" i="38"/>
  <c r="I6236" i="38"/>
  <c r="H6236" i="38"/>
  <c r="G6236" i="38"/>
  <c r="F6236" i="38"/>
  <c r="E6236" i="38"/>
  <c r="D6236" i="38"/>
  <c r="C6236" i="38"/>
  <c r="J6235" i="38"/>
  <c r="I6235" i="38"/>
  <c r="H6235" i="38"/>
  <c r="G6235" i="38"/>
  <c r="F6235" i="38"/>
  <c r="E6235" i="38"/>
  <c r="D6235" i="38"/>
  <c r="C6235" i="38"/>
  <c r="J6234" i="38"/>
  <c r="I6234" i="38"/>
  <c r="H6234" i="38"/>
  <c r="G6234" i="38"/>
  <c r="F6234" i="38"/>
  <c r="E6234" i="38"/>
  <c r="D6234" i="38"/>
  <c r="C6234" i="38"/>
  <c r="J6233" i="38"/>
  <c r="I6233" i="38"/>
  <c r="H6233" i="38"/>
  <c r="G6233" i="38"/>
  <c r="E6233" i="38"/>
  <c r="D6233" i="38"/>
  <c r="C6233" i="38"/>
  <c r="J6232" i="38"/>
  <c r="I6232" i="38"/>
  <c r="H6232" i="38"/>
  <c r="G6232" i="38"/>
  <c r="F6232" i="38"/>
  <c r="E6232" i="38"/>
  <c r="C6232" i="38"/>
  <c r="H6231" i="38"/>
  <c r="G6231" i="38"/>
  <c r="E6231" i="38"/>
  <c r="C6231" i="38"/>
  <c r="H6230" i="38"/>
  <c r="G6230" i="38"/>
  <c r="E6230" i="38"/>
  <c r="D6230" i="38"/>
  <c r="C6230" i="38"/>
  <c r="H6229" i="38"/>
  <c r="G6229" i="38"/>
  <c r="E6229" i="38"/>
  <c r="D6229" i="38"/>
  <c r="C6229" i="38"/>
  <c r="H6228" i="38"/>
  <c r="G6228" i="38"/>
  <c r="E6228" i="38"/>
  <c r="D6228" i="38"/>
  <c r="C6228" i="38"/>
  <c r="H6227" i="38"/>
  <c r="G6227" i="38"/>
  <c r="E6227" i="38"/>
  <c r="D6227" i="38"/>
  <c r="C6227" i="38"/>
  <c r="J6226" i="38"/>
  <c r="I6226" i="38"/>
  <c r="H6226" i="38"/>
  <c r="G6226" i="38"/>
  <c r="F6226" i="38"/>
  <c r="E6226" i="38"/>
  <c r="D6226" i="38"/>
  <c r="C6226" i="38"/>
  <c r="J6225" i="38"/>
  <c r="I6225" i="38"/>
  <c r="H6225" i="38"/>
  <c r="G6225" i="38"/>
  <c r="F6225" i="38"/>
  <c r="E6225" i="38"/>
  <c r="D6225" i="38"/>
  <c r="C6225" i="38"/>
  <c r="J6224" i="38"/>
  <c r="I6224" i="38"/>
  <c r="H6224" i="38"/>
  <c r="G6224" i="38"/>
  <c r="F6224" i="38"/>
  <c r="E6224" i="38"/>
  <c r="D6224" i="38"/>
  <c r="C6224" i="38"/>
  <c r="J6223" i="38"/>
  <c r="I6223" i="38"/>
  <c r="H6223" i="38"/>
  <c r="G6223" i="38"/>
  <c r="E6223" i="38"/>
  <c r="D6223" i="38"/>
  <c r="C6223" i="38"/>
  <c r="J6222" i="38"/>
  <c r="I6222" i="38"/>
  <c r="H6222" i="38"/>
  <c r="G6222" i="38"/>
  <c r="F6222" i="38"/>
  <c r="E6222" i="38"/>
  <c r="C6222" i="38"/>
  <c r="H6221" i="38"/>
  <c r="G6221" i="38"/>
  <c r="E6221" i="38"/>
  <c r="C6221" i="38"/>
  <c r="H6220" i="38"/>
  <c r="G6220" i="38"/>
  <c r="E6220" i="38"/>
  <c r="D6220" i="38"/>
  <c r="C6220" i="38"/>
  <c r="H6219" i="38"/>
  <c r="G6219" i="38"/>
  <c r="E6219" i="38"/>
  <c r="D6219" i="38"/>
  <c r="C6219" i="38"/>
  <c r="H6218" i="38"/>
  <c r="G6218" i="38"/>
  <c r="E6218" i="38"/>
  <c r="D6218" i="38"/>
  <c r="C6218" i="38"/>
  <c r="H6217" i="38"/>
  <c r="G6217" i="38"/>
  <c r="E6217" i="38"/>
  <c r="D6217" i="38"/>
  <c r="C6217" i="38"/>
  <c r="J6216" i="38"/>
  <c r="I6216" i="38"/>
  <c r="H6216" i="38"/>
  <c r="G6216" i="38"/>
  <c r="F6216" i="38"/>
  <c r="E6216" i="38"/>
  <c r="D6216" i="38"/>
  <c r="C6216" i="38"/>
  <c r="J6215" i="38"/>
  <c r="I6215" i="38"/>
  <c r="H6215" i="38"/>
  <c r="G6215" i="38"/>
  <c r="F6215" i="38"/>
  <c r="E6215" i="38"/>
  <c r="D6215" i="38"/>
  <c r="C6215" i="38"/>
  <c r="J6214" i="38"/>
  <c r="I6214" i="38"/>
  <c r="H6214" i="38"/>
  <c r="G6214" i="38"/>
  <c r="F6214" i="38"/>
  <c r="E6214" i="38"/>
  <c r="D6214" i="38"/>
  <c r="C6214" i="38"/>
  <c r="J6213" i="38"/>
  <c r="I6213" i="38"/>
  <c r="H6213" i="38"/>
  <c r="G6213" i="38"/>
  <c r="E6213" i="38"/>
  <c r="D6213" i="38"/>
  <c r="C6213" i="38"/>
  <c r="J6212" i="38"/>
  <c r="I6212" i="38"/>
  <c r="H6212" i="38"/>
  <c r="G6212" i="38"/>
  <c r="F6212" i="38"/>
  <c r="E6212" i="38"/>
  <c r="C6212" i="38"/>
  <c r="H6211" i="38"/>
  <c r="G6211" i="38"/>
  <c r="E6211" i="38"/>
  <c r="C6211" i="38"/>
  <c r="H6210" i="38"/>
  <c r="G6210" i="38"/>
  <c r="E6210" i="38"/>
  <c r="D6210" i="38"/>
  <c r="C6210" i="38"/>
  <c r="H6209" i="38"/>
  <c r="G6209" i="38"/>
  <c r="E6209" i="38"/>
  <c r="D6209" i="38"/>
  <c r="C6209" i="38"/>
  <c r="H6208" i="38"/>
  <c r="G6208" i="38"/>
  <c r="E6208" i="38"/>
  <c r="D6208" i="38"/>
  <c r="C6208" i="38"/>
  <c r="H6207" i="38"/>
  <c r="G6207" i="38"/>
  <c r="E6207" i="38"/>
  <c r="D6207" i="38"/>
  <c r="C6207" i="38"/>
  <c r="J6206" i="38"/>
  <c r="I6206" i="38"/>
  <c r="H6206" i="38"/>
  <c r="G6206" i="38"/>
  <c r="F6206" i="38"/>
  <c r="E6206" i="38"/>
  <c r="D6206" i="38"/>
  <c r="C6206" i="38"/>
  <c r="J6205" i="38"/>
  <c r="I6205" i="38"/>
  <c r="H6205" i="38"/>
  <c r="G6205" i="38"/>
  <c r="F6205" i="38"/>
  <c r="E6205" i="38"/>
  <c r="D6205" i="38"/>
  <c r="C6205" i="38"/>
  <c r="J6204" i="38"/>
  <c r="I6204" i="38"/>
  <c r="H6204" i="38"/>
  <c r="G6204" i="38"/>
  <c r="F6204" i="38"/>
  <c r="E6204" i="38"/>
  <c r="D6204" i="38"/>
  <c r="C6204" i="38"/>
  <c r="J6203" i="38"/>
  <c r="I6203" i="38"/>
  <c r="H6203" i="38"/>
  <c r="G6203" i="38"/>
  <c r="E6203" i="38"/>
  <c r="D6203" i="38"/>
  <c r="C6203" i="38"/>
  <c r="J6202" i="38"/>
  <c r="I6202" i="38"/>
  <c r="H6202" i="38"/>
  <c r="G6202" i="38"/>
  <c r="F6202" i="38"/>
  <c r="E6202" i="38"/>
  <c r="C6202" i="38"/>
  <c r="H6201" i="38"/>
  <c r="G6201" i="38"/>
  <c r="E6201" i="38"/>
  <c r="C6201" i="38"/>
  <c r="H6200" i="38"/>
  <c r="G6200" i="38"/>
  <c r="E6200" i="38"/>
  <c r="D6200" i="38"/>
  <c r="C6200" i="38"/>
  <c r="H6199" i="38"/>
  <c r="G6199" i="38"/>
  <c r="E6199" i="38"/>
  <c r="D6199" i="38"/>
  <c r="C6199" i="38"/>
  <c r="H6198" i="38"/>
  <c r="G6198" i="38"/>
  <c r="E6198" i="38"/>
  <c r="D6198" i="38"/>
  <c r="C6198" i="38"/>
  <c r="H6197" i="38"/>
  <c r="G6197" i="38"/>
  <c r="E6197" i="38"/>
  <c r="D6197" i="38"/>
  <c r="C6197" i="38"/>
  <c r="J6196" i="38"/>
  <c r="I6196" i="38"/>
  <c r="H6196" i="38"/>
  <c r="G6196" i="38"/>
  <c r="F6196" i="38"/>
  <c r="E6196" i="38"/>
  <c r="D6196" i="38"/>
  <c r="C6196" i="38"/>
  <c r="J6195" i="38"/>
  <c r="I6195" i="38"/>
  <c r="H6195" i="38"/>
  <c r="G6195" i="38"/>
  <c r="F6195" i="38"/>
  <c r="E6195" i="38"/>
  <c r="D6195" i="38"/>
  <c r="C6195" i="38"/>
  <c r="J6194" i="38"/>
  <c r="I6194" i="38"/>
  <c r="H6194" i="38"/>
  <c r="G6194" i="38"/>
  <c r="F6194" i="38"/>
  <c r="E6194" i="38"/>
  <c r="D6194" i="38"/>
  <c r="C6194" i="38"/>
  <c r="J6193" i="38"/>
  <c r="I6193" i="38"/>
  <c r="H6193" i="38"/>
  <c r="G6193" i="38"/>
  <c r="E6193" i="38"/>
  <c r="D6193" i="38"/>
  <c r="C6193" i="38"/>
  <c r="J6192" i="38"/>
  <c r="I6192" i="38"/>
  <c r="H6192" i="38"/>
  <c r="G6192" i="38"/>
  <c r="F6192" i="38"/>
  <c r="E6192" i="38"/>
  <c r="C6192" i="38"/>
  <c r="H6191" i="38"/>
  <c r="G6191" i="38"/>
  <c r="E6191" i="38"/>
  <c r="C6191" i="38"/>
  <c r="H6190" i="38"/>
  <c r="G6190" i="38"/>
  <c r="E6190" i="38"/>
  <c r="D6190" i="38"/>
  <c r="C6190" i="38"/>
  <c r="H6189" i="38"/>
  <c r="G6189" i="38"/>
  <c r="E6189" i="38"/>
  <c r="D6189" i="38"/>
  <c r="C6189" i="38"/>
  <c r="H6188" i="38"/>
  <c r="G6188" i="38"/>
  <c r="E6188" i="38"/>
  <c r="D6188" i="38"/>
  <c r="C6188" i="38"/>
  <c r="H6187" i="38"/>
  <c r="G6187" i="38"/>
  <c r="E6187" i="38"/>
  <c r="D6187" i="38"/>
  <c r="C6187" i="38"/>
  <c r="J6186" i="38"/>
  <c r="I6186" i="38"/>
  <c r="H6186" i="38"/>
  <c r="G6186" i="38"/>
  <c r="F6186" i="38"/>
  <c r="E6186" i="38"/>
  <c r="D6186" i="38"/>
  <c r="C6186" i="38"/>
  <c r="J6185" i="38"/>
  <c r="I6185" i="38"/>
  <c r="H6185" i="38"/>
  <c r="G6185" i="38"/>
  <c r="F6185" i="38"/>
  <c r="E6185" i="38"/>
  <c r="D6185" i="38"/>
  <c r="C6185" i="38"/>
  <c r="J6184" i="38"/>
  <c r="I6184" i="38"/>
  <c r="H6184" i="38"/>
  <c r="G6184" i="38"/>
  <c r="F6184" i="38"/>
  <c r="E6184" i="38"/>
  <c r="D6184" i="38"/>
  <c r="C6184" i="38"/>
  <c r="J6183" i="38"/>
  <c r="I6183" i="38"/>
  <c r="H6183" i="38"/>
  <c r="G6183" i="38"/>
  <c r="E6183" i="38"/>
  <c r="D6183" i="38"/>
  <c r="C6183" i="38"/>
  <c r="J6182" i="38"/>
  <c r="I6182" i="38"/>
  <c r="H6182" i="38"/>
  <c r="G6182" i="38"/>
  <c r="F6182" i="38"/>
  <c r="E6182" i="38"/>
  <c r="C6182" i="38"/>
  <c r="H6181" i="38"/>
  <c r="G6181" i="38"/>
  <c r="E6181" i="38"/>
  <c r="C6181" i="38"/>
  <c r="H6180" i="38"/>
  <c r="G6180" i="38"/>
  <c r="E6180" i="38"/>
  <c r="D6180" i="38"/>
  <c r="C6180" i="38"/>
  <c r="H6179" i="38"/>
  <c r="G6179" i="38"/>
  <c r="E6179" i="38"/>
  <c r="D6179" i="38"/>
  <c r="C6179" i="38"/>
  <c r="H6178" i="38"/>
  <c r="G6178" i="38"/>
  <c r="E6178" i="38"/>
  <c r="D6178" i="38"/>
  <c r="C6178" i="38"/>
  <c r="H6177" i="38"/>
  <c r="G6177" i="38"/>
  <c r="E6177" i="38"/>
  <c r="D6177" i="38"/>
  <c r="C6177" i="38"/>
  <c r="J6176" i="38"/>
  <c r="I6176" i="38"/>
  <c r="H6176" i="38"/>
  <c r="G6176" i="38"/>
  <c r="F6176" i="38"/>
  <c r="E6176" i="38"/>
  <c r="D6176" i="38"/>
  <c r="C6176" i="38"/>
  <c r="J6175" i="38"/>
  <c r="I6175" i="38"/>
  <c r="H6175" i="38"/>
  <c r="G6175" i="38"/>
  <c r="F6175" i="38"/>
  <c r="E6175" i="38"/>
  <c r="D6175" i="38"/>
  <c r="C6175" i="38"/>
  <c r="J6174" i="38"/>
  <c r="I6174" i="38"/>
  <c r="H6174" i="38"/>
  <c r="G6174" i="38"/>
  <c r="F6174" i="38"/>
  <c r="E6174" i="38"/>
  <c r="D6174" i="38"/>
  <c r="C6174" i="38"/>
  <c r="J6173" i="38"/>
  <c r="I6173" i="38"/>
  <c r="H6173" i="38"/>
  <c r="G6173" i="38"/>
  <c r="E6173" i="38"/>
  <c r="D6173" i="38"/>
  <c r="C6173" i="38"/>
  <c r="J6172" i="38"/>
  <c r="I6172" i="38"/>
  <c r="H6172" i="38"/>
  <c r="G6172" i="38"/>
  <c r="F6172" i="38"/>
  <c r="E6172" i="38"/>
  <c r="C6172" i="38"/>
  <c r="H6171" i="38"/>
  <c r="G6171" i="38"/>
  <c r="E6171" i="38"/>
  <c r="C6171" i="38"/>
  <c r="H6170" i="38"/>
  <c r="G6170" i="38"/>
  <c r="E6170" i="38"/>
  <c r="D6170" i="38"/>
  <c r="C6170" i="38"/>
  <c r="H6169" i="38"/>
  <c r="G6169" i="38"/>
  <c r="E6169" i="38"/>
  <c r="D6169" i="38"/>
  <c r="C6169" i="38"/>
  <c r="H6168" i="38"/>
  <c r="G6168" i="38"/>
  <c r="E6168" i="38"/>
  <c r="D6168" i="38"/>
  <c r="C6168" i="38"/>
  <c r="H6167" i="38"/>
  <c r="G6167" i="38"/>
  <c r="E6167" i="38"/>
  <c r="D6167" i="38"/>
  <c r="C6167" i="38"/>
  <c r="J6166" i="38"/>
  <c r="I6166" i="38"/>
  <c r="H6166" i="38"/>
  <c r="G6166" i="38"/>
  <c r="F6166" i="38"/>
  <c r="E6166" i="38"/>
  <c r="D6166" i="38"/>
  <c r="C6166" i="38"/>
  <c r="J6165" i="38"/>
  <c r="I6165" i="38"/>
  <c r="H6165" i="38"/>
  <c r="G6165" i="38"/>
  <c r="F6165" i="38"/>
  <c r="E6165" i="38"/>
  <c r="D6165" i="38"/>
  <c r="C6165" i="38"/>
  <c r="J6164" i="38"/>
  <c r="I6164" i="38"/>
  <c r="H6164" i="38"/>
  <c r="G6164" i="38"/>
  <c r="F6164" i="38"/>
  <c r="E6164" i="38"/>
  <c r="D6164" i="38"/>
  <c r="C6164" i="38"/>
  <c r="J6163" i="38"/>
  <c r="I6163" i="38"/>
  <c r="H6163" i="38"/>
  <c r="G6163" i="38"/>
  <c r="E6163" i="38"/>
  <c r="D6163" i="38"/>
  <c r="C6163" i="38"/>
  <c r="J6162" i="38"/>
  <c r="I6162" i="38"/>
  <c r="H6162" i="38"/>
  <c r="G6162" i="38"/>
  <c r="F6162" i="38"/>
  <c r="E6162" i="38"/>
  <c r="C6162" i="38"/>
  <c r="H6161" i="38"/>
  <c r="G6161" i="38"/>
  <c r="E6161" i="38"/>
  <c r="C6161" i="38"/>
  <c r="H6160" i="38"/>
  <c r="G6160" i="38"/>
  <c r="E6160" i="38"/>
  <c r="D6160" i="38"/>
  <c r="C6160" i="38"/>
  <c r="H6159" i="38"/>
  <c r="G6159" i="38"/>
  <c r="E6159" i="38"/>
  <c r="D6159" i="38"/>
  <c r="C6159" i="38"/>
  <c r="H6158" i="38"/>
  <c r="G6158" i="38"/>
  <c r="E6158" i="38"/>
  <c r="D6158" i="38"/>
  <c r="C6158" i="38"/>
  <c r="H6157" i="38"/>
  <c r="G6157" i="38"/>
  <c r="E6157" i="38"/>
  <c r="D6157" i="38"/>
  <c r="C6157" i="38"/>
  <c r="J6156" i="38"/>
  <c r="I6156" i="38"/>
  <c r="H6156" i="38"/>
  <c r="G6156" i="38"/>
  <c r="F6156" i="38"/>
  <c r="E6156" i="38"/>
  <c r="D6156" i="38"/>
  <c r="C6156" i="38"/>
  <c r="J6155" i="38"/>
  <c r="I6155" i="38"/>
  <c r="H6155" i="38"/>
  <c r="G6155" i="38"/>
  <c r="F6155" i="38"/>
  <c r="E6155" i="38"/>
  <c r="D6155" i="38"/>
  <c r="C6155" i="38"/>
  <c r="J6154" i="38"/>
  <c r="I6154" i="38"/>
  <c r="H6154" i="38"/>
  <c r="G6154" i="38"/>
  <c r="F6154" i="38"/>
  <c r="E6154" i="38"/>
  <c r="D6154" i="38"/>
  <c r="C6154" i="38"/>
  <c r="J6153" i="38"/>
  <c r="I6153" i="38"/>
  <c r="H6153" i="38"/>
  <c r="G6153" i="38"/>
  <c r="E6153" i="38"/>
  <c r="D6153" i="38"/>
  <c r="C6153" i="38"/>
  <c r="J6152" i="38"/>
  <c r="I6152" i="38"/>
  <c r="H6152" i="38"/>
  <c r="G6152" i="38"/>
  <c r="F6152" i="38"/>
  <c r="E6152" i="38"/>
  <c r="C6152" i="38"/>
  <c r="H6151" i="38"/>
  <c r="G6151" i="38"/>
  <c r="E6151" i="38"/>
  <c r="C6151" i="38"/>
  <c r="H6150" i="38"/>
  <c r="G6150" i="38"/>
  <c r="E6150" i="38"/>
  <c r="D6150" i="38"/>
  <c r="C6150" i="38"/>
  <c r="H6149" i="38"/>
  <c r="G6149" i="38"/>
  <c r="E6149" i="38"/>
  <c r="D6149" i="38"/>
  <c r="C6149" i="38"/>
  <c r="H6148" i="38"/>
  <c r="G6148" i="38"/>
  <c r="E6148" i="38"/>
  <c r="D6148" i="38"/>
  <c r="C6148" i="38"/>
  <c r="H6147" i="38"/>
  <c r="G6147" i="38"/>
  <c r="E6147" i="38"/>
  <c r="D6147" i="38"/>
  <c r="C6147" i="38"/>
  <c r="J6146" i="38"/>
  <c r="I6146" i="38"/>
  <c r="H6146" i="38"/>
  <c r="G6146" i="38"/>
  <c r="F6146" i="38"/>
  <c r="E6146" i="38"/>
  <c r="D6146" i="38"/>
  <c r="C6146" i="38"/>
  <c r="J6145" i="38"/>
  <c r="I6145" i="38"/>
  <c r="H6145" i="38"/>
  <c r="G6145" i="38"/>
  <c r="F6145" i="38"/>
  <c r="E6145" i="38"/>
  <c r="D6145" i="38"/>
  <c r="C6145" i="38"/>
  <c r="J6144" i="38"/>
  <c r="I6144" i="38"/>
  <c r="H6144" i="38"/>
  <c r="G6144" i="38"/>
  <c r="F6144" i="38"/>
  <c r="E6144" i="38"/>
  <c r="D6144" i="38"/>
  <c r="C6144" i="38"/>
  <c r="J6143" i="38"/>
  <c r="I6143" i="38"/>
  <c r="H6143" i="38"/>
  <c r="G6143" i="38"/>
  <c r="E6143" i="38"/>
  <c r="D6143" i="38"/>
  <c r="C6143" i="38"/>
  <c r="J6142" i="38"/>
  <c r="I6142" i="38"/>
  <c r="H6142" i="38"/>
  <c r="G6142" i="38"/>
  <c r="F6142" i="38"/>
  <c r="E6142" i="38"/>
  <c r="C6142" i="38"/>
  <c r="H6141" i="38"/>
  <c r="G6141" i="38"/>
  <c r="E6141" i="38"/>
  <c r="C6141" i="38"/>
  <c r="H6140" i="38"/>
  <c r="G6140" i="38"/>
  <c r="E6140" i="38"/>
  <c r="D6140" i="38"/>
  <c r="C6140" i="38"/>
  <c r="H6139" i="38"/>
  <c r="G6139" i="38"/>
  <c r="E6139" i="38"/>
  <c r="D6139" i="38"/>
  <c r="C6139" i="38"/>
  <c r="H6138" i="38"/>
  <c r="G6138" i="38"/>
  <c r="E6138" i="38"/>
  <c r="D6138" i="38"/>
  <c r="C6138" i="38"/>
  <c r="H6137" i="38"/>
  <c r="G6137" i="38"/>
  <c r="E6137" i="38"/>
  <c r="D6137" i="38"/>
  <c r="C6137" i="38"/>
  <c r="J6136" i="38"/>
  <c r="I6136" i="38"/>
  <c r="H6136" i="38"/>
  <c r="G6136" i="38"/>
  <c r="F6136" i="38"/>
  <c r="E6136" i="38"/>
  <c r="D6136" i="38"/>
  <c r="C6136" i="38"/>
  <c r="J6135" i="38"/>
  <c r="I6135" i="38"/>
  <c r="H6135" i="38"/>
  <c r="G6135" i="38"/>
  <c r="F6135" i="38"/>
  <c r="E6135" i="38"/>
  <c r="D6135" i="38"/>
  <c r="C6135" i="38"/>
  <c r="J6134" i="38"/>
  <c r="I6134" i="38"/>
  <c r="H6134" i="38"/>
  <c r="G6134" i="38"/>
  <c r="F6134" i="38"/>
  <c r="E6134" i="38"/>
  <c r="D6134" i="38"/>
  <c r="C6134" i="38"/>
  <c r="J6133" i="38"/>
  <c r="I6133" i="38"/>
  <c r="H6133" i="38"/>
  <c r="G6133" i="38"/>
  <c r="E6133" i="38"/>
  <c r="D6133" i="38"/>
  <c r="C6133" i="38"/>
  <c r="J6132" i="38"/>
  <c r="I6132" i="38"/>
  <c r="H6132" i="38"/>
  <c r="G6132" i="38"/>
  <c r="F6132" i="38"/>
  <c r="E6132" i="38"/>
  <c r="C6132" i="38"/>
  <c r="H6131" i="38"/>
  <c r="G6131" i="38"/>
  <c r="E6131" i="38"/>
  <c r="C6131" i="38"/>
  <c r="H6130" i="38"/>
  <c r="G6130" i="38"/>
  <c r="E6130" i="38"/>
  <c r="D6130" i="38"/>
  <c r="C6130" i="38"/>
  <c r="H6129" i="38"/>
  <c r="G6129" i="38"/>
  <c r="E6129" i="38"/>
  <c r="D6129" i="38"/>
  <c r="C6129" i="38"/>
  <c r="H6128" i="38"/>
  <c r="G6128" i="38"/>
  <c r="E6128" i="38"/>
  <c r="D6128" i="38"/>
  <c r="C6128" i="38"/>
  <c r="H6127" i="38"/>
  <c r="G6127" i="38"/>
  <c r="E6127" i="38"/>
  <c r="D6127" i="38"/>
  <c r="C6127" i="38"/>
  <c r="J6126" i="38"/>
  <c r="I6126" i="38"/>
  <c r="H6126" i="38"/>
  <c r="G6126" i="38"/>
  <c r="F6126" i="38"/>
  <c r="E6126" i="38"/>
  <c r="D6126" i="38"/>
  <c r="C6126" i="38"/>
  <c r="J6125" i="38"/>
  <c r="I6125" i="38"/>
  <c r="H6125" i="38"/>
  <c r="G6125" i="38"/>
  <c r="F6125" i="38"/>
  <c r="E6125" i="38"/>
  <c r="D6125" i="38"/>
  <c r="C6125" i="38"/>
  <c r="J6124" i="38"/>
  <c r="I6124" i="38"/>
  <c r="H6124" i="38"/>
  <c r="G6124" i="38"/>
  <c r="F6124" i="38"/>
  <c r="E6124" i="38"/>
  <c r="D6124" i="38"/>
  <c r="C6124" i="38"/>
  <c r="J6123" i="38"/>
  <c r="I6123" i="38"/>
  <c r="H6123" i="38"/>
  <c r="G6123" i="38"/>
  <c r="E6123" i="38"/>
  <c r="D6123" i="38"/>
  <c r="C6123" i="38"/>
  <c r="J6122" i="38"/>
  <c r="I6122" i="38"/>
  <c r="H6122" i="38"/>
  <c r="G6122" i="38"/>
  <c r="F6122" i="38"/>
  <c r="E6122" i="38"/>
  <c r="C6122" i="38"/>
  <c r="H6121" i="38"/>
  <c r="G6121" i="38"/>
  <c r="E6121" i="38"/>
  <c r="C6121" i="38"/>
  <c r="H6120" i="38"/>
  <c r="G6120" i="38"/>
  <c r="E6120" i="38"/>
  <c r="D6120" i="38"/>
  <c r="C6120" i="38"/>
  <c r="H6119" i="38"/>
  <c r="G6119" i="38"/>
  <c r="E6119" i="38"/>
  <c r="D6119" i="38"/>
  <c r="C6119" i="38"/>
  <c r="H6118" i="38"/>
  <c r="G6118" i="38"/>
  <c r="E6118" i="38"/>
  <c r="D6118" i="38"/>
  <c r="C6118" i="38"/>
  <c r="H6117" i="38"/>
  <c r="G6117" i="38"/>
  <c r="E6117" i="38"/>
  <c r="D6117" i="38"/>
  <c r="C6117" i="38"/>
  <c r="J6116" i="38"/>
  <c r="I6116" i="38"/>
  <c r="H6116" i="38"/>
  <c r="G6116" i="38"/>
  <c r="F6116" i="38"/>
  <c r="E6116" i="38"/>
  <c r="D6116" i="38"/>
  <c r="C6116" i="38"/>
  <c r="J6115" i="38"/>
  <c r="I6115" i="38"/>
  <c r="H6115" i="38"/>
  <c r="G6115" i="38"/>
  <c r="F6115" i="38"/>
  <c r="E6115" i="38"/>
  <c r="D6115" i="38"/>
  <c r="C6115" i="38"/>
  <c r="J6114" i="38"/>
  <c r="I6114" i="38"/>
  <c r="H6114" i="38"/>
  <c r="G6114" i="38"/>
  <c r="F6114" i="38"/>
  <c r="E6114" i="38"/>
  <c r="D6114" i="38"/>
  <c r="C6114" i="38"/>
  <c r="J6113" i="38"/>
  <c r="I6113" i="38"/>
  <c r="H6113" i="38"/>
  <c r="G6113" i="38"/>
  <c r="E6113" i="38"/>
  <c r="D6113" i="38"/>
  <c r="C6113" i="38"/>
  <c r="J6112" i="38"/>
  <c r="I6112" i="38"/>
  <c r="H6112" i="38"/>
  <c r="G6112" i="38"/>
  <c r="F6112" i="38"/>
  <c r="E6112" i="38"/>
  <c r="C6112" i="38"/>
  <c r="H6111" i="38"/>
  <c r="G6111" i="38"/>
  <c r="E6111" i="38"/>
  <c r="C6111" i="38"/>
  <c r="J6110" i="38"/>
  <c r="I6110" i="38"/>
  <c r="H6110" i="38"/>
  <c r="G6110" i="38"/>
  <c r="F6110" i="38"/>
  <c r="E6110" i="38"/>
  <c r="D6110" i="38"/>
  <c r="C6110" i="38"/>
  <c r="J6109" i="38"/>
  <c r="I6109" i="38"/>
  <c r="H6109" i="38"/>
  <c r="G6109" i="38"/>
  <c r="F6109" i="38"/>
  <c r="E6109" i="38"/>
  <c r="D6109" i="38"/>
  <c r="C6109" i="38"/>
  <c r="J6108" i="38"/>
  <c r="I6108" i="38"/>
  <c r="H6108" i="38"/>
  <c r="G6108" i="38"/>
  <c r="F6108" i="38"/>
  <c r="E6108" i="38"/>
  <c r="D6108" i="38"/>
  <c r="C6108" i="38"/>
  <c r="J6107" i="38"/>
  <c r="I6107" i="38"/>
  <c r="H6107" i="38"/>
  <c r="G6107" i="38"/>
  <c r="F6107" i="38"/>
  <c r="E6107" i="38"/>
  <c r="D6107" i="38"/>
  <c r="C6107" i="38"/>
  <c r="J6106" i="38"/>
  <c r="I6106" i="38"/>
  <c r="H6106" i="38"/>
  <c r="G6106" i="38"/>
  <c r="F6106" i="38"/>
  <c r="E6106" i="38"/>
  <c r="D6106" i="38"/>
  <c r="C6106" i="38"/>
  <c r="J6105" i="38"/>
  <c r="I6105" i="38"/>
  <c r="H6105" i="38"/>
  <c r="G6105" i="38"/>
  <c r="F6105" i="38"/>
  <c r="E6105" i="38"/>
  <c r="D6105" i="38"/>
  <c r="C6105" i="38"/>
  <c r="J6104" i="38"/>
  <c r="I6104" i="38"/>
  <c r="H6104" i="38"/>
  <c r="G6104" i="38"/>
  <c r="F6104" i="38"/>
  <c r="E6104" i="38"/>
  <c r="D6104" i="38"/>
  <c r="C6104" i="38"/>
  <c r="J6103" i="38"/>
  <c r="I6103" i="38"/>
  <c r="H6103" i="38"/>
  <c r="G6103" i="38"/>
  <c r="F6103" i="38"/>
  <c r="E6103" i="38"/>
  <c r="D6103" i="38"/>
  <c r="C6103" i="38"/>
  <c r="J6102" i="38"/>
  <c r="I6102" i="38"/>
  <c r="H6102" i="38"/>
  <c r="G6102" i="38"/>
  <c r="F6102" i="38"/>
  <c r="E6102" i="38"/>
  <c r="D6102" i="38"/>
  <c r="C6102" i="38"/>
  <c r="J6101" i="38"/>
  <c r="I6101" i="38"/>
  <c r="H6101" i="38"/>
  <c r="G6101" i="38"/>
  <c r="F6101" i="38"/>
  <c r="E6101" i="38"/>
  <c r="D6101" i="38"/>
  <c r="C6101" i="38"/>
  <c r="J6100" i="38"/>
  <c r="I6100" i="38"/>
  <c r="H6100" i="38"/>
  <c r="G6100" i="38"/>
  <c r="F6100" i="38"/>
  <c r="E6100" i="38"/>
  <c r="D6100" i="38"/>
  <c r="C6100" i="38"/>
  <c r="J6099" i="38"/>
  <c r="I6099" i="38"/>
  <c r="H6099" i="38"/>
  <c r="G6099" i="38"/>
  <c r="F6099" i="38"/>
  <c r="E6099" i="38"/>
  <c r="D6099" i="38"/>
  <c r="C6099" i="38"/>
  <c r="J6098" i="38"/>
  <c r="I6098" i="38"/>
  <c r="H6098" i="38"/>
  <c r="G6098" i="38"/>
  <c r="F6098" i="38"/>
  <c r="E6098" i="38"/>
  <c r="D6098" i="38"/>
  <c r="C6098" i="38"/>
  <c r="J6097" i="38"/>
  <c r="I6097" i="38"/>
  <c r="H6097" i="38"/>
  <c r="G6097" i="38"/>
  <c r="F6097" i="38"/>
  <c r="E6097" i="38"/>
  <c r="D6097" i="38"/>
  <c r="C6097" i="38"/>
  <c r="J6096" i="38"/>
  <c r="I6096" i="38"/>
  <c r="H6096" i="38"/>
  <c r="G6096" i="38"/>
  <c r="F6096" i="38"/>
  <c r="E6096" i="38"/>
  <c r="D6096" i="38"/>
  <c r="C6096" i="38"/>
  <c r="J6095" i="38"/>
  <c r="I6095" i="38"/>
  <c r="H6095" i="38"/>
  <c r="G6095" i="38"/>
  <c r="F6095" i="38"/>
  <c r="E6095" i="38"/>
  <c r="D6095" i="38"/>
  <c r="C6095" i="38"/>
  <c r="J6094" i="38"/>
  <c r="I6094" i="38"/>
  <c r="H6094" i="38"/>
  <c r="G6094" i="38"/>
  <c r="F6094" i="38"/>
  <c r="E6094" i="38"/>
  <c r="D6094" i="38"/>
  <c r="C6094" i="38"/>
  <c r="J6093" i="38"/>
  <c r="I6093" i="38"/>
  <c r="H6093" i="38"/>
  <c r="G6093" i="38"/>
  <c r="E6093" i="38"/>
  <c r="D6093" i="38"/>
  <c r="C6093" i="38"/>
  <c r="J6092" i="38"/>
  <c r="I6092" i="38"/>
  <c r="H6092" i="38"/>
  <c r="G6092" i="38"/>
  <c r="F6092" i="38"/>
  <c r="E6092" i="38"/>
  <c r="C6092" i="38"/>
  <c r="H6091" i="38"/>
  <c r="G6091" i="38"/>
  <c r="E6091" i="38"/>
  <c r="C6091" i="38"/>
  <c r="H6090" i="38"/>
  <c r="G6090" i="38"/>
  <c r="E6090" i="38"/>
  <c r="D6090" i="38"/>
  <c r="C6090" i="38"/>
  <c r="H6089" i="38"/>
  <c r="G6089" i="38"/>
  <c r="E6089" i="38"/>
  <c r="D6089" i="38"/>
  <c r="C6089" i="38"/>
  <c r="H6088" i="38"/>
  <c r="G6088" i="38"/>
  <c r="E6088" i="38"/>
  <c r="D6088" i="38"/>
  <c r="C6088" i="38"/>
  <c r="H6087" i="38"/>
  <c r="G6087" i="38"/>
  <c r="E6087" i="38"/>
  <c r="D6087" i="38"/>
  <c r="C6087" i="38"/>
  <c r="J6086" i="38"/>
  <c r="I6086" i="38"/>
  <c r="H6086" i="38"/>
  <c r="G6086" i="38"/>
  <c r="F6086" i="38"/>
  <c r="E6086" i="38"/>
  <c r="D6086" i="38"/>
  <c r="C6086" i="38"/>
  <c r="J6085" i="38"/>
  <c r="I6085" i="38"/>
  <c r="H6085" i="38"/>
  <c r="G6085" i="38"/>
  <c r="F6085" i="38"/>
  <c r="E6085" i="38"/>
  <c r="D6085" i="38"/>
  <c r="C6085" i="38"/>
  <c r="J6084" i="38"/>
  <c r="I6084" i="38"/>
  <c r="H6084" i="38"/>
  <c r="G6084" i="38"/>
  <c r="F6084" i="38"/>
  <c r="E6084" i="38"/>
  <c r="D6084" i="38"/>
  <c r="C6084" i="38"/>
  <c r="J6083" i="38"/>
  <c r="I6083" i="38"/>
  <c r="H6083" i="38"/>
  <c r="G6083" i="38"/>
  <c r="E6083" i="38"/>
  <c r="D6083" i="38"/>
  <c r="C6083" i="38"/>
  <c r="J6082" i="38"/>
  <c r="I6082" i="38"/>
  <c r="H6082" i="38"/>
  <c r="G6082" i="38"/>
  <c r="F6082" i="38"/>
  <c r="E6082" i="38"/>
  <c r="C6082" i="38"/>
  <c r="H6081" i="38"/>
  <c r="G6081" i="38"/>
  <c r="E6081" i="38"/>
  <c r="C6081" i="38"/>
  <c r="H6080" i="38"/>
  <c r="G6080" i="38"/>
  <c r="E6080" i="38"/>
  <c r="D6080" i="38"/>
  <c r="C6080" i="38"/>
  <c r="H6079" i="38"/>
  <c r="G6079" i="38"/>
  <c r="E6079" i="38"/>
  <c r="D6079" i="38"/>
  <c r="C6079" i="38"/>
  <c r="H6078" i="38"/>
  <c r="G6078" i="38"/>
  <c r="E6078" i="38"/>
  <c r="D6078" i="38"/>
  <c r="C6078" i="38"/>
  <c r="H6077" i="38"/>
  <c r="G6077" i="38"/>
  <c r="E6077" i="38"/>
  <c r="D6077" i="38"/>
  <c r="C6077" i="38"/>
  <c r="J6076" i="38"/>
  <c r="I6076" i="38"/>
  <c r="H6076" i="38"/>
  <c r="G6076" i="38"/>
  <c r="F6076" i="38"/>
  <c r="E6076" i="38"/>
  <c r="D6076" i="38"/>
  <c r="C6076" i="38"/>
  <c r="J6075" i="38"/>
  <c r="I6075" i="38"/>
  <c r="H6075" i="38"/>
  <c r="G6075" i="38"/>
  <c r="F6075" i="38"/>
  <c r="E6075" i="38"/>
  <c r="D6075" i="38"/>
  <c r="C6075" i="38"/>
  <c r="J6074" i="38"/>
  <c r="I6074" i="38"/>
  <c r="H6074" i="38"/>
  <c r="G6074" i="38"/>
  <c r="F6074" i="38"/>
  <c r="E6074" i="38"/>
  <c r="D6074" i="38"/>
  <c r="C6074" i="38"/>
  <c r="J6073" i="38"/>
  <c r="I6073" i="38"/>
  <c r="H6073" i="38"/>
  <c r="G6073" i="38"/>
  <c r="E6073" i="38"/>
  <c r="D6073" i="38"/>
  <c r="C6073" i="38"/>
  <c r="J6072" i="38"/>
  <c r="I6072" i="38"/>
  <c r="H6072" i="38"/>
  <c r="G6072" i="38"/>
  <c r="F6072" i="38"/>
  <c r="E6072" i="38"/>
  <c r="C6072" i="38"/>
  <c r="H6071" i="38"/>
  <c r="G6071" i="38"/>
  <c r="E6071" i="38"/>
  <c r="C6071" i="38"/>
  <c r="H6070" i="38"/>
  <c r="G6070" i="38"/>
  <c r="E6070" i="38"/>
  <c r="D6070" i="38"/>
  <c r="C6070" i="38"/>
  <c r="H6069" i="38"/>
  <c r="G6069" i="38"/>
  <c r="E6069" i="38"/>
  <c r="D6069" i="38"/>
  <c r="C6069" i="38"/>
  <c r="H6068" i="38"/>
  <c r="G6068" i="38"/>
  <c r="E6068" i="38"/>
  <c r="D6068" i="38"/>
  <c r="C6068" i="38"/>
  <c r="H6067" i="38"/>
  <c r="G6067" i="38"/>
  <c r="E6067" i="38"/>
  <c r="D6067" i="38"/>
  <c r="C6067" i="38"/>
  <c r="J6066" i="38"/>
  <c r="I6066" i="38"/>
  <c r="H6066" i="38"/>
  <c r="G6066" i="38"/>
  <c r="F6066" i="38"/>
  <c r="E6066" i="38"/>
  <c r="D6066" i="38"/>
  <c r="C6066" i="38"/>
  <c r="J6065" i="38"/>
  <c r="I6065" i="38"/>
  <c r="H6065" i="38"/>
  <c r="G6065" i="38"/>
  <c r="F6065" i="38"/>
  <c r="E6065" i="38"/>
  <c r="D6065" i="38"/>
  <c r="C6065" i="38"/>
  <c r="J6064" i="38"/>
  <c r="I6064" i="38"/>
  <c r="H6064" i="38"/>
  <c r="G6064" i="38"/>
  <c r="F6064" i="38"/>
  <c r="E6064" i="38"/>
  <c r="D6064" i="38"/>
  <c r="C6064" i="38"/>
  <c r="J6063" i="38"/>
  <c r="I6063" i="38"/>
  <c r="H6063" i="38"/>
  <c r="G6063" i="38"/>
  <c r="E6063" i="38"/>
  <c r="D6063" i="38"/>
  <c r="C6063" i="38"/>
  <c r="J6062" i="38"/>
  <c r="I6062" i="38"/>
  <c r="H6062" i="38"/>
  <c r="G6062" i="38"/>
  <c r="F6062" i="38"/>
  <c r="E6062" i="38"/>
  <c r="C6062" i="38"/>
  <c r="H6061" i="38"/>
  <c r="G6061" i="38"/>
  <c r="E6061" i="38"/>
  <c r="C6061" i="38"/>
  <c r="H6060" i="38"/>
  <c r="G6060" i="38"/>
  <c r="E6060" i="38"/>
  <c r="D6060" i="38"/>
  <c r="C6060" i="38"/>
  <c r="H6059" i="38"/>
  <c r="G6059" i="38"/>
  <c r="E6059" i="38"/>
  <c r="D6059" i="38"/>
  <c r="C6059" i="38"/>
  <c r="H6058" i="38"/>
  <c r="G6058" i="38"/>
  <c r="E6058" i="38"/>
  <c r="D6058" i="38"/>
  <c r="C6058" i="38"/>
  <c r="H6057" i="38"/>
  <c r="G6057" i="38"/>
  <c r="E6057" i="38"/>
  <c r="D6057" i="38"/>
  <c r="C6057" i="38"/>
  <c r="J6056" i="38"/>
  <c r="I6056" i="38"/>
  <c r="H6056" i="38"/>
  <c r="G6056" i="38"/>
  <c r="F6056" i="38"/>
  <c r="E6056" i="38"/>
  <c r="D6056" i="38"/>
  <c r="C6056" i="38"/>
  <c r="J6055" i="38"/>
  <c r="I6055" i="38"/>
  <c r="H6055" i="38"/>
  <c r="G6055" i="38"/>
  <c r="F6055" i="38"/>
  <c r="E6055" i="38"/>
  <c r="D6055" i="38"/>
  <c r="C6055" i="38"/>
  <c r="J6054" i="38"/>
  <c r="I6054" i="38"/>
  <c r="H6054" i="38"/>
  <c r="G6054" i="38"/>
  <c r="F6054" i="38"/>
  <c r="E6054" i="38"/>
  <c r="D6054" i="38"/>
  <c r="C6054" i="38"/>
  <c r="J6053" i="38"/>
  <c r="I6053" i="38"/>
  <c r="H6053" i="38"/>
  <c r="G6053" i="38"/>
  <c r="E6053" i="38"/>
  <c r="D6053" i="38"/>
  <c r="C6053" i="38"/>
  <c r="J6052" i="38"/>
  <c r="I6052" i="38"/>
  <c r="H6052" i="38"/>
  <c r="G6052" i="38"/>
  <c r="F6052" i="38"/>
  <c r="E6052" i="38"/>
  <c r="C6052" i="38"/>
  <c r="H6051" i="38"/>
  <c r="G6051" i="38"/>
  <c r="E6051" i="38"/>
  <c r="C6051" i="38"/>
  <c r="H6050" i="38"/>
  <c r="G6050" i="38"/>
  <c r="E6050" i="38"/>
  <c r="D6050" i="38"/>
  <c r="C6050" i="38"/>
  <c r="H6049" i="38"/>
  <c r="G6049" i="38"/>
  <c r="E6049" i="38"/>
  <c r="D6049" i="38"/>
  <c r="C6049" i="38"/>
  <c r="H6048" i="38"/>
  <c r="G6048" i="38"/>
  <c r="E6048" i="38"/>
  <c r="D6048" i="38"/>
  <c r="C6048" i="38"/>
  <c r="H6047" i="38"/>
  <c r="G6047" i="38"/>
  <c r="E6047" i="38"/>
  <c r="D6047" i="38"/>
  <c r="C6047" i="38"/>
  <c r="J6046" i="38"/>
  <c r="I6046" i="38"/>
  <c r="H6046" i="38"/>
  <c r="G6046" i="38"/>
  <c r="F6046" i="38"/>
  <c r="E6046" i="38"/>
  <c r="D6046" i="38"/>
  <c r="C6046" i="38"/>
  <c r="J6045" i="38"/>
  <c r="I6045" i="38"/>
  <c r="H6045" i="38"/>
  <c r="G6045" i="38"/>
  <c r="F6045" i="38"/>
  <c r="E6045" i="38"/>
  <c r="D6045" i="38"/>
  <c r="C6045" i="38"/>
  <c r="J6044" i="38"/>
  <c r="I6044" i="38"/>
  <c r="H6044" i="38"/>
  <c r="G6044" i="38"/>
  <c r="F6044" i="38"/>
  <c r="E6044" i="38"/>
  <c r="D6044" i="38"/>
  <c r="C6044" i="38"/>
  <c r="J6043" i="38"/>
  <c r="I6043" i="38"/>
  <c r="H6043" i="38"/>
  <c r="G6043" i="38"/>
  <c r="E6043" i="38"/>
  <c r="D6043" i="38"/>
  <c r="C6043" i="38"/>
  <c r="J6042" i="38"/>
  <c r="I6042" i="38"/>
  <c r="H6042" i="38"/>
  <c r="G6042" i="38"/>
  <c r="F6042" i="38"/>
  <c r="E6042" i="38"/>
  <c r="C6042" i="38"/>
  <c r="H6041" i="38"/>
  <c r="G6041" i="38"/>
  <c r="E6041" i="38"/>
  <c r="C6041" i="38"/>
  <c r="H6040" i="38"/>
  <c r="G6040" i="38"/>
  <c r="E6040" i="38"/>
  <c r="D6040" i="38"/>
  <c r="C6040" i="38"/>
  <c r="H6039" i="38"/>
  <c r="G6039" i="38"/>
  <c r="E6039" i="38"/>
  <c r="D6039" i="38"/>
  <c r="C6039" i="38"/>
  <c r="H6038" i="38"/>
  <c r="G6038" i="38"/>
  <c r="E6038" i="38"/>
  <c r="D6038" i="38"/>
  <c r="C6038" i="38"/>
  <c r="H6037" i="38"/>
  <c r="G6037" i="38"/>
  <c r="E6037" i="38"/>
  <c r="D6037" i="38"/>
  <c r="C6037" i="38"/>
  <c r="J6036" i="38"/>
  <c r="I6036" i="38"/>
  <c r="H6036" i="38"/>
  <c r="G6036" i="38"/>
  <c r="F6036" i="38"/>
  <c r="E6036" i="38"/>
  <c r="D6036" i="38"/>
  <c r="C6036" i="38"/>
  <c r="J6035" i="38"/>
  <c r="I6035" i="38"/>
  <c r="H6035" i="38"/>
  <c r="G6035" i="38"/>
  <c r="F6035" i="38"/>
  <c r="E6035" i="38"/>
  <c r="D6035" i="38"/>
  <c r="C6035" i="38"/>
  <c r="J6034" i="38"/>
  <c r="I6034" i="38"/>
  <c r="H6034" i="38"/>
  <c r="G6034" i="38"/>
  <c r="F6034" i="38"/>
  <c r="E6034" i="38"/>
  <c r="D6034" i="38"/>
  <c r="C6034" i="38"/>
  <c r="J6033" i="38"/>
  <c r="I6033" i="38"/>
  <c r="H6033" i="38"/>
  <c r="G6033" i="38"/>
  <c r="E6033" i="38"/>
  <c r="D6033" i="38"/>
  <c r="C6033" i="38"/>
  <c r="J6032" i="38"/>
  <c r="I6032" i="38"/>
  <c r="H6032" i="38"/>
  <c r="G6032" i="38"/>
  <c r="F6032" i="38"/>
  <c r="E6032" i="38"/>
  <c r="C6032" i="38"/>
  <c r="H6031" i="38"/>
  <c r="G6031" i="38"/>
  <c r="E6031" i="38"/>
  <c r="C6031" i="38"/>
  <c r="H6030" i="38"/>
  <c r="G6030" i="38"/>
  <c r="E6030" i="38"/>
  <c r="D6030" i="38"/>
  <c r="C6030" i="38"/>
  <c r="H6029" i="38"/>
  <c r="G6029" i="38"/>
  <c r="E6029" i="38"/>
  <c r="D6029" i="38"/>
  <c r="C6029" i="38"/>
  <c r="H6028" i="38"/>
  <c r="G6028" i="38"/>
  <c r="E6028" i="38"/>
  <c r="D6028" i="38"/>
  <c r="C6028" i="38"/>
  <c r="H6027" i="38"/>
  <c r="G6027" i="38"/>
  <c r="E6027" i="38"/>
  <c r="D6027" i="38"/>
  <c r="C6027" i="38"/>
  <c r="J6026" i="38"/>
  <c r="I6026" i="38"/>
  <c r="H6026" i="38"/>
  <c r="G6026" i="38"/>
  <c r="F6026" i="38"/>
  <c r="E6026" i="38"/>
  <c r="D6026" i="38"/>
  <c r="C6026" i="38"/>
  <c r="J6025" i="38"/>
  <c r="I6025" i="38"/>
  <c r="H6025" i="38"/>
  <c r="G6025" i="38"/>
  <c r="F6025" i="38"/>
  <c r="E6025" i="38"/>
  <c r="D6025" i="38"/>
  <c r="C6025" i="38"/>
  <c r="J6024" i="38"/>
  <c r="I6024" i="38"/>
  <c r="H6024" i="38"/>
  <c r="G6024" i="38"/>
  <c r="F6024" i="38"/>
  <c r="E6024" i="38"/>
  <c r="D6024" i="38"/>
  <c r="C6024" i="38"/>
  <c r="J6023" i="38"/>
  <c r="I6023" i="38"/>
  <c r="H6023" i="38"/>
  <c r="G6023" i="38"/>
  <c r="E6023" i="38"/>
  <c r="D6023" i="38"/>
  <c r="C6023" i="38"/>
  <c r="J6022" i="38"/>
  <c r="I6022" i="38"/>
  <c r="H6022" i="38"/>
  <c r="G6022" i="38"/>
  <c r="F6022" i="38"/>
  <c r="E6022" i="38"/>
  <c r="C6022" i="38"/>
  <c r="H6021" i="38"/>
  <c r="G6021" i="38"/>
  <c r="E6021" i="38"/>
  <c r="C6021" i="38"/>
  <c r="H6020" i="38"/>
  <c r="G6020" i="38"/>
  <c r="E6020" i="38"/>
  <c r="D6020" i="38"/>
  <c r="C6020" i="38"/>
  <c r="H6019" i="38"/>
  <c r="G6019" i="38"/>
  <c r="E6019" i="38"/>
  <c r="D6019" i="38"/>
  <c r="C6019" i="38"/>
  <c r="H6018" i="38"/>
  <c r="G6018" i="38"/>
  <c r="E6018" i="38"/>
  <c r="D6018" i="38"/>
  <c r="C6018" i="38"/>
  <c r="H6017" i="38"/>
  <c r="G6017" i="38"/>
  <c r="E6017" i="38"/>
  <c r="D6017" i="38"/>
  <c r="C6017" i="38"/>
  <c r="J6016" i="38"/>
  <c r="I6016" i="38"/>
  <c r="H6016" i="38"/>
  <c r="G6016" i="38"/>
  <c r="F6016" i="38"/>
  <c r="E6016" i="38"/>
  <c r="D6016" i="38"/>
  <c r="C6016" i="38"/>
  <c r="J6015" i="38"/>
  <c r="I6015" i="38"/>
  <c r="H6015" i="38"/>
  <c r="G6015" i="38"/>
  <c r="F6015" i="38"/>
  <c r="E6015" i="38"/>
  <c r="D6015" i="38"/>
  <c r="C6015" i="38"/>
  <c r="J6014" i="38"/>
  <c r="I6014" i="38"/>
  <c r="H6014" i="38"/>
  <c r="G6014" i="38"/>
  <c r="F6014" i="38"/>
  <c r="E6014" i="38"/>
  <c r="D6014" i="38"/>
  <c r="C6014" i="38"/>
  <c r="J6013" i="38"/>
  <c r="I6013" i="38"/>
  <c r="H6013" i="38"/>
  <c r="G6013" i="38"/>
  <c r="E6013" i="38"/>
  <c r="D6013" i="38"/>
  <c r="C6013" i="38"/>
  <c r="J6012" i="38"/>
  <c r="I6012" i="38"/>
  <c r="H6012" i="38"/>
  <c r="G6012" i="38"/>
  <c r="F6012" i="38"/>
  <c r="E6012" i="38"/>
  <c r="C6012" i="38"/>
  <c r="H6011" i="38"/>
  <c r="G6011" i="38"/>
  <c r="E6011" i="38"/>
  <c r="C6011" i="38"/>
  <c r="H6010" i="38"/>
  <c r="G6010" i="38"/>
  <c r="E6010" i="38"/>
  <c r="D6010" i="38"/>
  <c r="C6010" i="38"/>
  <c r="H6009" i="38"/>
  <c r="G6009" i="38"/>
  <c r="E6009" i="38"/>
  <c r="D6009" i="38"/>
  <c r="C6009" i="38"/>
  <c r="H6008" i="38"/>
  <c r="G6008" i="38"/>
  <c r="E6008" i="38"/>
  <c r="D6008" i="38"/>
  <c r="C6008" i="38"/>
  <c r="H6007" i="38"/>
  <c r="G6007" i="38"/>
  <c r="E6007" i="38"/>
  <c r="D6007" i="38"/>
  <c r="C6007" i="38"/>
  <c r="J6006" i="38"/>
  <c r="I6006" i="38"/>
  <c r="H6006" i="38"/>
  <c r="G6006" i="38"/>
  <c r="F6006" i="38"/>
  <c r="E6006" i="38"/>
  <c r="D6006" i="38"/>
  <c r="C6006" i="38"/>
  <c r="J6005" i="38"/>
  <c r="I6005" i="38"/>
  <c r="H6005" i="38"/>
  <c r="G6005" i="38"/>
  <c r="F6005" i="38"/>
  <c r="E6005" i="38"/>
  <c r="D6005" i="38"/>
  <c r="C6005" i="38"/>
  <c r="J6004" i="38"/>
  <c r="I6004" i="38"/>
  <c r="H6004" i="38"/>
  <c r="G6004" i="38"/>
  <c r="F6004" i="38"/>
  <c r="E6004" i="38"/>
  <c r="D6004" i="38"/>
  <c r="C6004" i="38"/>
  <c r="J6003" i="38"/>
  <c r="I6003" i="38"/>
  <c r="H6003" i="38"/>
  <c r="G6003" i="38"/>
  <c r="E6003" i="38"/>
  <c r="D6003" i="38"/>
  <c r="C6003" i="38"/>
  <c r="J6002" i="38"/>
  <c r="I6002" i="38"/>
  <c r="H6002" i="38"/>
  <c r="G6002" i="38"/>
  <c r="F6002" i="38"/>
  <c r="E6002" i="38"/>
  <c r="C6002" i="38"/>
  <c r="H6001" i="38"/>
  <c r="G6001" i="38"/>
  <c r="E6001" i="38"/>
  <c r="C6001" i="38"/>
  <c r="H6000" i="38"/>
  <c r="G6000" i="38"/>
  <c r="E6000" i="38"/>
  <c r="D6000" i="38"/>
  <c r="C6000" i="38"/>
  <c r="H5999" i="38"/>
  <c r="G5999" i="38"/>
  <c r="E5999" i="38"/>
  <c r="D5999" i="38"/>
  <c r="C5999" i="38"/>
  <c r="H5998" i="38"/>
  <c r="G5998" i="38"/>
  <c r="E5998" i="38"/>
  <c r="D5998" i="38"/>
  <c r="C5998" i="38"/>
  <c r="H5997" i="38"/>
  <c r="G5997" i="38"/>
  <c r="E5997" i="38"/>
  <c r="D5997" i="38"/>
  <c r="C5997" i="38"/>
  <c r="J5996" i="38"/>
  <c r="I5996" i="38"/>
  <c r="H5996" i="38"/>
  <c r="G5996" i="38"/>
  <c r="F5996" i="38"/>
  <c r="E5996" i="38"/>
  <c r="D5996" i="38"/>
  <c r="C5996" i="38"/>
  <c r="J5995" i="38"/>
  <c r="I5995" i="38"/>
  <c r="H5995" i="38"/>
  <c r="G5995" i="38"/>
  <c r="F5995" i="38"/>
  <c r="E5995" i="38"/>
  <c r="D5995" i="38"/>
  <c r="C5995" i="38"/>
  <c r="J5994" i="38"/>
  <c r="I5994" i="38"/>
  <c r="H5994" i="38"/>
  <c r="G5994" i="38"/>
  <c r="F5994" i="38"/>
  <c r="E5994" i="38"/>
  <c r="D5994" i="38"/>
  <c r="C5994" i="38"/>
  <c r="J5993" i="38"/>
  <c r="I5993" i="38"/>
  <c r="H5993" i="38"/>
  <c r="G5993" i="38"/>
  <c r="E5993" i="38"/>
  <c r="D5993" i="38"/>
  <c r="C5993" i="38"/>
  <c r="J5992" i="38"/>
  <c r="I5992" i="38"/>
  <c r="H5992" i="38"/>
  <c r="G5992" i="38"/>
  <c r="F5992" i="38"/>
  <c r="E5992" i="38"/>
  <c r="C5992" i="38"/>
  <c r="H5991" i="38"/>
  <c r="G5991" i="38"/>
  <c r="E5991" i="38"/>
  <c r="C5991" i="38"/>
  <c r="H5990" i="38"/>
  <c r="G5990" i="38"/>
  <c r="E5990" i="38"/>
  <c r="D5990" i="38"/>
  <c r="C5990" i="38"/>
  <c r="H5989" i="38"/>
  <c r="G5989" i="38"/>
  <c r="E5989" i="38"/>
  <c r="D5989" i="38"/>
  <c r="C5989" i="38"/>
  <c r="H5988" i="38"/>
  <c r="G5988" i="38"/>
  <c r="E5988" i="38"/>
  <c r="D5988" i="38"/>
  <c r="C5988" i="38"/>
  <c r="H5987" i="38"/>
  <c r="G5987" i="38"/>
  <c r="E5987" i="38"/>
  <c r="D5987" i="38"/>
  <c r="C5987" i="38"/>
  <c r="J5986" i="38"/>
  <c r="I5986" i="38"/>
  <c r="H5986" i="38"/>
  <c r="G5986" i="38"/>
  <c r="F5986" i="38"/>
  <c r="E5986" i="38"/>
  <c r="D5986" i="38"/>
  <c r="C5986" i="38"/>
  <c r="J5985" i="38"/>
  <c r="I5985" i="38"/>
  <c r="H5985" i="38"/>
  <c r="G5985" i="38"/>
  <c r="F5985" i="38"/>
  <c r="E5985" i="38"/>
  <c r="D5985" i="38"/>
  <c r="C5985" i="38"/>
  <c r="J5984" i="38"/>
  <c r="I5984" i="38"/>
  <c r="H5984" i="38"/>
  <c r="G5984" i="38"/>
  <c r="F5984" i="38"/>
  <c r="E5984" i="38"/>
  <c r="D5984" i="38"/>
  <c r="C5984" i="38"/>
  <c r="J5983" i="38"/>
  <c r="I5983" i="38"/>
  <c r="H5983" i="38"/>
  <c r="G5983" i="38"/>
  <c r="E5983" i="38"/>
  <c r="D5983" i="38"/>
  <c r="C5983" i="38"/>
  <c r="J5982" i="38"/>
  <c r="I5982" i="38"/>
  <c r="H5982" i="38"/>
  <c r="G5982" i="38"/>
  <c r="F5982" i="38"/>
  <c r="E5982" i="38"/>
  <c r="C5982" i="38"/>
  <c r="H5981" i="38"/>
  <c r="G5981" i="38"/>
  <c r="E5981" i="38"/>
  <c r="C5981" i="38"/>
  <c r="H5980" i="38"/>
  <c r="G5980" i="38"/>
  <c r="E5980" i="38"/>
  <c r="D5980" i="38"/>
  <c r="C5980" i="38"/>
  <c r="H5979" i="38"/>
  <c r="G5979" i="38"/>
  <c r="E5979" i="38"/>
  <c r="D5979" i="38"/>
  <c r="C5979" i="38"/>
  <c r="H5978" i="38"/>
  <c r="G5978" i="38"/>
  <c r="E5978" i="38"/>
  <c r="D5978" i="38"/>
  <c r="C5978" i="38"/>
  <c r="H5977" i="38"/>
  <c r="G5977" i="38"/>
  <c r="E5977" i="38"/>
  <c r="D5977" i="38"/>
  <c r="C5977" i="38"/>
  <c r="J5976" i="38"/>
  <c r="I5976" i="38"/>
  <c r="H5976" i="38"/>
  <c r="G5976" i="38"/>
  <c r="F5976" i="38"/>
  <c r="E5976" i="38"/>
  <c r="D5976" i="38"/>
  <c r="C5976" i="38"/>
  <c r="J5975" i="38"/>
  <c r="I5975" i="38"/>
  <c r="H5975" i="38"/>
  <c r="G5975" i="38"/>
  <c r="F5975" i="38"/>
  <c r="E5975" i="38"/>
  <c r="D5975" i="38"/>
  <c r="C5975" i="38"/>
  <c r="J5974" i="38"/>
  <c r="I5974" i="38"/>
  <c r="H5974" i="38"/>
  <c r="G5974" i="38"/>
  <c r="F5974" i="38"/>
  <c r="E5974" i="38"/>
  <c r="D5974" i="38"/>
  <c r="C5974" i="38"/>
  <c r="J5973" i="38"/>
  <c r="I5973" i="38"/>
  <c r="H5973" i="38"/>
  <c r="G5973" i="38"/>
  <c r="E5973" i="38"/>
  <c r="D5973" i="38"/>
  <c r="C5973" i="38"/>
  <c r="J5972" i="38"/>
  <c r="I5972" i="38"/>
  <c r="H5972" i="38"/>
  <c r="G5972" i="38"/>
  <c r="F5972" i="38"/>
  <c r="E5972" i="38"/>
  <c r="C5972" i="38"/>
  <c r="H5971" i="38"/>
  <c r="G5971" i="38"/>
  <c r="E5971" i="38"/>
  <c r="C5971" i="38"/>
  <c r="H5970" i="38"/>
  <c r="G5970" i="38"/>
  <c r="E5970" i="38"/>
  <c r="D5970" i="38"/>
  <c r="C5970" i="38"/>
  <c r="H5969" i="38"/>
  <c r="G5969" i="38"/>
  <c r="E5969" i="38"/>
  <c r="D5969" i="38"/>
  <c r="C5969" i="38"/>
  <c r="H5968" i="38"/>
  <c r="G5968" i="38"/>
  <c r="E5968" i="38"/>
  <c r="D5968" i="38"/>
  <c r="C5968" i="38"/>
  <c r="H5967" i="38"/>
  <c r="G5967" i="38"/>
  <c r="E5967" i="38"/>
  <c r="D5967" i="38"/>
  <c r="C5967" i="38"/>
  <c r="J5966" i="38"/>
  <c r="I5966" i="38"/>
  <c r="H5966" i="38"/>
  <c r="G5966" i="38"/>
  <c r="F5966" i="38"/>
  <c r="E5966" i="38"/>
  <c r="D5966" i="38"/>
  <c r="C5966" i="38"/>
  <c r="J5965" i="38"/>
  <c r="I5965" i="38"/>
  <c r="H5965" i="38"/>
  <c r="G5965" i="38"/>
  <c r="F5965" i="38"/>
  <c r="E5965" i="38"/>
  <c r="D5965" i="38"/>
  <c r="C5965" i="38"/>
  <c r="J5964" i="38"/>
  <c r="I5964" i="38"/>
  <c r="H5964" i="38"/>
  <c r="G5964" i="38"/>
  <c r="F5964" i="38"/>
  <c r="E5964" i="38"/>
  <c r="D5964" i="38"/>
  <c r="C5964" i="38"/>
  <c r="J5963" i="38"/>
  <c r="I5963" i="38"/>
  <c r="H5963" i="38"/>
  <c r="G5963" i="38"/>
  <c r="E5963" i="38"/>
  <c r="D5963" i="38"/>
  <c r="C5963" i="38"/>
  <c r="J5962" i="38"/>
  <c r="I5962" i="38"/>
  <c r="H5962" i="38"/>
  <c r="G5962" i="38"/>
  <c r="F5962" i="38"/>
  <c r="E5962" i="38"/>
  <c r="C5962" i="38"/>
  <c r="H5961" i="38"/>
  <c r="G5961" i="38"/>
  <c r="E5961" i="38"/>
  <c r="C5961" i="38"/>
  <c r="H5960" i="38"/>
  <c r="G5960" i="38"/>
  <c r="E5960" i="38"/>
  <c r="D5960" i="38"/>
  <c r="C5960" i="38"/>
  <c r="H5959" i="38"/>
  <c r="G5959" i="38"/>
  <c r="E5959" i="38"/>
  <c r="D5959" i="38"/>
  <c r="C5959" i="38"/>
  <c r="H5958" i="38"/>
  <c r="G5958" i="38"/>
  <c r="E5958" i="38"/>
  <c r="D5958" i="38"/>
  <c r="C5958" i="38"/>
  <c r="H5957" i="38"/>
  <c r="G5957" i="38"/>
  <c r="E5957" i="38"/>
  <c r="D5957" i="38"/>
  <c r="C5957" i="38"/>
  <c r="J5956" i="38"/>
  <c r="I5956" i="38"/>
  <c r="H5956" i="38"/>
  <c r="G5956" i="38"/>
  <c r="F5956" i="38"/>
  <c r="E5956" i="38"/>
  <c r="D5956" i="38"/>
  <c r="C5956" i="38"/>
  <c r="J5955" i="38"/>
  <c r="I5955" i="38"/>
  <c r="H5955" i="38"/>
  <c r="G5955" i="38"/>
  <c r="F5955" i="38"/>
  <c r="E5955" i="38"/>
  <c r="D5955" i="38"/>
  <c r="C5955" i="38"/>
  <c r="J5954" i="38"/>
  <c r="I5954" i="38"/>
  <c r="H5954" i="38"/>
  <c r="G5954" i="38"/>
  <c r="F5954" i="38"/>
  <c r="E5954" i="38"/>
  <c r="D5954" i="38"/>
  <c r="C5954" i="38"/>
  <c r="J5953" i="38"/>
  <c r="I5953" i="38"/>
  <c r="H5953" i="38"/>
  <c r="G5953" i="38"/>
  <c r="E5953" i="38"/>
  <c r="D5953" i="38"/>
  <c r="C5953" i="38"/>
  <c r="J5952" i="38"/>
  <c r="I5952" i="38"/>
  <c r="H5952" i="38"/>
  <c r="G5952" i="38"/>
  <c r="F5952" i="38"/>
  <c r="E5952" i="38"/>
  <c r="C5952" i="38"/>
  <c r="H5951" i="38"/>
  <c r="G5951" i="38"/>
  <c r="E5951" i="38"/>
  <c r="C5951" i="38"/>
  <c r="H5950" i="38"/>
  <c r="G5950" i="38"/>
  <c r="E5950" i="38"/>
  <c r="D5950" i="38"/>
  <c r="C5950" i="38"/>
  <c r="H5949" i="38"/>
  <c r="G5949" i="38"/>
  <c r="E5949" i="38"/>
  <c r="D5949" i="38"/>
  <c r="C5949" i="38"/>
  <c r="H5948" i="38"/>
  <c r="G5948" i="38"/>
  <c r="E5948" i="38"/>
  <c r="D5948" i="38"/>
  <c r="C5948" i="38"/>
  <c r="H5947" i="38"/>
  <c r="G5947" i="38"/>
  <c r="E5947" i="38"/>
  <c r="D5947" i="38"/>
  <c r="C5947" i="38"/>
  <c r="J5946" i="38"/>
  <c r="I5946" i="38"/>
  <c r="H5946" i="38"/>
  <c r="G5946" i="38"/>
  <c r="F5946" i="38"/>
  <c r="E5946" i="38"/>
  <c r="D5946" i="38"/>
  <c r="C5946" i="38"/>
  <c r="J5945" i="38"/>
  <c r="I5945" i="38"/>
  <c r="H5945" i="38"/>
  <c r="G5945" i="38"/>
  <c r="F5945" i="38"/>
  <c r="E5945" i="38"/>
  <c r="D5945" i="38"/>
  <c r="C5945" i="38"/>
  <c r="J5944" i="38"/>
  <c r="I5944" i="38"/>
  <c r="H5944" i="38"/>
  <c r="G5944" i="38"/>
  <c r="F5944" i="38"/>
  <c r="E5944" i="38"/>
  <c r="D5944" i="38"/>
  <c r="C5944" i="38"/>
  <c r="J5943" i="38"/>
  <c r="I5943" i="38"/>
  <c r="H5943" i="38"/>
  <c r="G5943" i="38"/>
  <c r="E5943" i="38"/>
  <c r="D5943" i="38"/>
  <c r="C5943" i="38"/>
  <c r="J5942" i="38"/>
  <c r="I5942" i="38"/>
  <c r="H5942" i="38"/>
  <c r="G5942" i="38"/>
  <c r="F5942" i="38"/>
  <c r="E5942" i="38"/>
  <c r="C5942" i="38"/>
  <c r="H5941" i="38"/>
  <c r="G5941" i="38"/>
  <c r="E5941" i="38"/>
  <c r="C5941" i="38"/>
  <c r="H5940" i="38"/>
  <c r="G5940" i="38"/>
  <c r="E5940" i="38"/>
  <c r="D5940" i="38"/>
  <c r="C5940" i="38"/>
  <c r="H5939" i="38"/>
  <c r="G5939" i="38"/>
  <c r="E5939" i="38"/>
  <c r="D5939" i="38"/>
  <c r="C5939" i="38"/>
  <c r="H5938" i="38"/>
  <c r="G5938" i="38"/>
  <c r="E5938" i="38"/>
  <c r="D5938" i="38"/>
  <c r="C5938" i="38"/>
  <c r="H5937" i="38"/>
  <c r="G5937" i="38"/>
  <c r="E5937" i="38"/>
  <c r="D5937" i="38"/>
  <c r="C5937" i="38"/>
  <c r="J5936" i="38"/>
  <c r="I5936" i="38"/>
  <c r="H5936" i="38"/>
  <c r="G5936" i="38"/>
  <c r="F5936" i="38"/>
  <c r="E5936" i="38"/>
  <c r="D5936" i="38"/>
  <c r="C5936" i="38"/>
  <c r="J5935" i="38"/>
  <c r="I5935" i="38"/>
  <c r="H5935" i="38"/>
  <c r="G5935" i="38"/>
  <c r="F5935" i="38"/>
  <c r="E5935" i="38"/>
  <c r="D5935" i="38"/>
  <c r="C5935" i="38"/>
  <c r="J5934" i="38"/>
  <c r="I5934" i="38"/>
  <c r="H5934" i="38"/>
  <c r="G5934" i="38"/>
  <c r="F5934" i="38"/>
  <c r="E5934" i="38"/>
  <c r="D5934" i="38"/>
  <c r="C5934" i="38"/>
  <c r="J5933" i="38"/>
  <c r="I5933" i="38"/>
  <c r="H5933" i="38"/>
  <c r="G5933" i="38"/>
  <c r="E5933" i="38"/>
  <c r="D5933" i="38"/>
  <c r="C5933" i="38"/>
  <c r="J5932" i="38"/>
  <c r="I5932" i="38"/>
  <c r="H5932" i="38"/>
  <c r="G5932" i="38"/>
  <c r="F5932" i="38"/>
  <c r="E5932" i="38"/>
  <c r="C5932" i="38"/>
  <c r="H5931" i="38"/>
  <c r="G5931" i="38"/>
  <c r="E5931" i="38"/>
  <c r="C5931" i="38"/>
  <c r="J5930" i="38"/>
  <c r="I5930" i="38"/>
  <c r="H5930" i="38"/>
  <c r="G5930" i="38"/>
  <c r="F5930" i="38"/>
  <c r="E5930" i="38"/>
  <c r="D5930" i="38"/>
  <c r="C5930" i="38"/>
  <c r="J5929" i="38"/>
  <c r="I5929" i="38"/>
  <c r="H5929" i="38"/>
  <c r="G5929" i="38"/>
  <c r="F5929" i="38"/>
  <c r="E5929" i="38"/>
  <c r="D5929" i="38"/>
  <c r="C5929" i="38"/>
  <c r="J5928" i="38"/>
  <c r="I5928" i="38"/>
  <c r="H5928" i="38"/>
  <c r="G5928" i="38"/>
  <c r="F5928" i="38"/>
  <c r="E5928" i="38"/>
  <c r="D5928" i="38"/>
  <c r="C5928" i="38"/>
  <c r="J5927" i="38"/>
  <c r="I5927" i="38"/>
  <c r="H5927" i="38"/>
  <c r="G5927" i="38"/>
  <c r="F5927" i="38"/>
  <c r="E5927" i="38"/>
  <c r="D5927" i="38"/>
  <c r="C5927" i="38"/>
  <c r="J5926" i="38"/>
  <c r="I5926" i="38"/>
  <c r="H5926" i="38"/>
  <c r="G5926" i="38"/>
  <c r="F5926" i="38"/>
  <c r="E5926" i="38"/>
  <c r="D5926" i="38"/>
  <c r="C5926" i="38"/>
  <c r="J5925" i="38"/>
  <c r="I5925" i="38"/>
  <c r="H5925" i="38"/>
  <c r="G5925" i="38"/>
  <c r="F5925" i="38"/>
  <c r="E5925" i="38"/>
  <c r="D5925" i="38"/>
  <c r="C5925" i="38"/>
  <c r="J5924" i="38"/>
  <c r="I5924" i="38"/>
  <c r="H5924" i="38"/>
  <c r="G5924" i="38"/>
  <c r="F5924" i="38"/>
  <c r="E5924" i="38"/>
  <c r="D5924" i="38"/>
  <c r="C5924" i="38"/>
  <c r="J5923" i="38"/>
  <c r="I5923" i="38"/>
  <c r="H5923" i="38"/>
  <c r="G5923" i="38"/>
  <c r="F5923" i="38"/>
  <c r="E5923" i="38"/>
  <c r="D5923" i="38"/>
  <c r="C5923" i="38"/>
  <c r="J5922" i="38"/>
  <c r="I5922" i="38"/>
  <c r="H5922" i="38"/>
  <c r="G5922" i="38"/>
  <c r="F5922" i="38"/>
  <c r="E5922" i="38"/>
  <c r="D5922" i="38"/>
  <c r="C5922" i="38"/>
  <c r="J5921" i="38"/>
  <c r="I5921" i="38"/>
  <c r="H5921" i="38"/>
  <c r="G5921" i="38"/>
  <c r="F5921" i="38"/>
  <c r="E5921" i="38"/>
  <c r="D5921" i="38"/>
  <c r="C5921" i="38"/>
  <c r="J5920" i="38"/>
  <c r="I5920" i="38"/>
  <c r="H5920" i="38"/>
  <c r="G5920" i="38"/>
  <c r="F5920" i="38"/>
  <c r="E5920" i="38"/>
  <c r="D5920" i="38"/>
  <c r="C5920" i="38"/>
  <c r="J5919" i="38"/>
  <c r="I5919" i="38"/>
  <c r="H5919" i="38"/>
  <c r="G5919" i="38"/>
  <c r="F5919" i="38"/>
  <c r="E5919" i="38"/>
  <c r="D5919" i="38"/>
  <c r="C5919" i="38"/>
  <c r="J5918" i="38"/>
  <c r="I5918" i="38"/>
  <c r="H5918" i="38"/>
  <c r="G5918" i="38"/>
  <c r="F5918" i="38"/>
  <c r="E5918" i="38"/>
  <c r="D5918" i="38"/>
  <c r="C5918" i="38"/>
  <c r="J5917" i="38"/>
  <c r="I5917" i="38"/>
  <c r="H5917" i="38"/>
  <c r="G5917" i="38"/>
  <c r="F5917" i="38"/>
  <c r="E5917" i="38"/>
  <c r="D5917" i="38"/>
  <c r="C5917" i="38"/>
  <c r="J5916" i="38"/>
  <c r="I5916" i="38"/>
  <c r="H5916" i="38"/>
  <c r="G5916" i="38"/>
  <c r="F5916" i="38"/>
  <c r="E5916" i="38"/>
  <c r="D5916" i="38"/>
  <c r="C5916" i="38"/>
  <c r="J5915" i="38"/>
  <c r="I5915" i="38"/>
  <c r="H5915" i="38"/>
  <c r="G5915" i="38"/>
  <c r="F5915" i="38"/>
  <c r="E5915" i="38"/>
  <c r="D5915" i="38"/>
  <c r="C5915" i="38"/>
  <c r="J5914" i="38"/>
  <c r="I5914" i="38"/>
  <c r="H5914" i="38"/>
  <c r="G5914" i="38"/>
  <c r="F5914" i="38"/>
  <c r="E5914" i="38"/>
  <c r="D5914" i="38"/>
  <c r="C5914" i="38"/>
  <c r="J5913" i="38"/>
  <c r="I5913" i="38"/>
  <c r="H5913" i="38"/>
  <c r="G5913" i="38"/>
  <c r="E5913" i="38"/>
  <c r="D5913" i="38"/>
  <c r="C5913" i="38"/>
  <c r="J5912" i="38"/>
  <c r="I5912" i="38"/>
  <c r="H5912" i="38"/>
  <c r="G5912" i="38"/>
  <c r="F5912" i="38"/>
  <c r="E5912" i="38"/>
  <c r="C5912" i="38"/>
  <c r="H5911" i="38"/>
  <c r="G5911" i="38"/>
  <c r="E5911" i="38"/>
  <c r="C5911" i="38"/>
  <c r="H5910" i="38"/>
  <c r="G5910" i="38"/>
  <c r="E5910" i="38"/>
  <c r="D5910" i="38"/>
  <c r="C5910" i="38"/>
  <c r="H5909" i="38"/>
  <c r="G5909" i="38"/>
  <c r="E5909" i="38"/>
  <c r="D5909" i="38"/>
  <c r="C5909" i="38"/>
  <c r="H5908" i="38"/>
  <c r="G5908" i="38"/>
  <c r="E5908" i="38"/>
  <c r="D5908" i="38"/>
  <c r="C5908" i="38"/>
  <c r="H5907" i="38"/>
  <c r="G5907" i="38"/>
  <c r="E5907" i="38"/>
  <c r="D5907" i="38"/>
  <c r="C5907" i="38"/>
  <c r="J5906" i="38"/>
  <c r="I5906" i="38"/>
  <c r="H5906" i="38"/>
  <c r="G5906" i="38"/>
  <c r="F5906" i="38"/>
  <c r="E5906" i="38"/>
  <c r="D5906" i="38"/>
  <c r="C5906" i="38"/>
  <c r="J5905" i="38"/>
  <c r="I5905" i="38"/>
  <c r="H5905" i="38"/>
  <c r="G5905" i="38"/>
  <c r="F5905" i="38"/>
  <c r="E5905" i="38"/>
  <c r="D5905" i="38"/>
  <c r="C5905" i="38"/>
  <c r="J5904" i="38"/>
  <c r="I5904" i="38"/>
  <c r="H5904" i="38"/>
  <c r="G5904" i="38"/>
  <c r="F5904" i="38"/>
  <c r="E5904" i="38"/>
  <c r="D5904" i="38"/>
  <c r="C5904" i="38"/>
  <c r="J5903" i="38"/>
  <c r="I5903" i="38"/>
  <c r="H5903" i="38"/>
  <c r="G5903" i="38"/>
  <c r="E5903" i="38"/>
  <c r="D5903" i="38"/>
  <c r="C5903" i="38"/>
  <c r="J5902" i="38"/>
  <c r="I5902" i="38"/>
  <c r="H5902" i="38"/>
  <c r="G5902" i="38"/>
  <c r="F5902" i="38"/>
  <c r="E5902" i="38"/>
  <c r="C5902" i="38"/>
  <c r="H5901" i="38"/>
  <c r="G5901" i="38"/>
  <c r="E5901" i="38"/>
  <c r="C5901" i="38"/>
  <c r="H5900" i="38"/>
  <c r="G5900" i="38"/>
  <c r="E5900" i="38"/>
  <c r="D5900" i="38"/>
  <c r="C5900" i="38"/>
  <c r="H5899" i="38"/>
  <c r="G5899" i="38"/>
  <c r="E5899" i="38"/>
  <c r="D5899" i="38"/>
  <c r="C5899" i="38"/>
  <c r="H5898" i="38"/>
  <c r="G5898" i="38"/>
  <c r="E5898" i="38"/>
  <c r="D5898" i="38"/>
  <c r="C5898" i="38"/>
  <c r="H5897" i="38"/>
  <c r="G5897" i="38"/>
  <c r="E5897" i="38"/>
  <c r="D5897" i="38"/>
  <c r="C5897" i="38"/>
  <c r="J5896" i="38"/>
  <c r="I5896" i="38"/>
  <c r="H5896" i="38"/>
  <c r="G5896" i="38"/>
  <c r="F5896" i="38"/>
  <c r="E5896" i="38"/>
  <c r="D5896" i="38"/>
  <c r="C5896" i="38"/>
  <c r="J5895" i="38"/>
  <c r="I5895" i="38"/>
  <c r="H5895" i="38"/>
  <c r="G5895" i="38"/>
  <c r="F5895" i="38"/>
  <c r="E5895" i="38"/>
  <c r="D5895" i="38"/>
  <c r="C5895" i="38"/>
  <c r="J5894" i="38"/>
  <c r="I5894" i="38"/>
  <c r="H5894" i="38"/>
  <c r="G5894" i="38"/>
  <c r="F5894" i="38"/>
  <c r="E5894" i="38"/>
  <c r="D5894" i="38"/>
  <c r="C5894" i="38"/>
  <c r="J5893" i="38"/>
  <c r="I5893" i="38"/>
  <c r="H5893" i="38"/>
  <c r="G5893" i="38"/>
  <c r="E5893" i="38"/>
  <c r="D5893" i="38"/>
  <c r="C5893" i="38"/>
  <c r="J5892" i="38"/>
  <c r="I5892" i="38"/>
  <c r="H5892" i="38"/>
  <c r="G5892" i="38"/>
  <c r="F5892" i="38"/>
  <c r="E5892" i="38"/>
  <c r="C5892" i="38"/>
  <c r="H5891" i="38"/>
  <c r="G5891" i="38"/>
  <c r="E5891" i="38"/>
  <c r="C5891" i="38"/>
  <c r="H5890" i="38"/>
  <c r="G5890" i="38"/>
  <c r="E5890" i="38"/>
  <c r="D5890" i="38"/>
  <c r="C5890" i="38"/>
  <c r="H5889" i="38"/>
  <c r="G5889" i="38"/>
  <c r="E5889" i="38"/>
  <c r="D5889" i="38"/>
  <c r="C5889" i="38"/>
  <c r="H5888" i="38"/>
  <c r="G5888" i="38"/>
  <c r="E5888" i="38"/>
  <c r="D5888" i="38"/>
  <c r="C5888" i="38"/>
  <c r="H5887" i="38"/>
  <c r="G5887" i="38"/>
  <c r="E5887" i="38"/>
  <c r="D5887" i="38"/>
  <c r="C5887" i="38"/>
  <c r="J5886" i="38"/>
  <c r="I5886" i="38"/>
  <c r="H5886" i="38"/>
  <c r="G5886" i="38"/>
  <c r="F5886" i="38"/>
  <c r="E5886" i="38"/>
  <c r="D5886" i="38"/>
  <c r="C5886" i="38"/>
  <c r="J5885" i="38"/>
  <c r="I5885" i="38"/>
  <c r="H5885" i="38"/>
  <c r="G5885" i="38"/>
  <c r="F5885" i="38"/>
  <c r="E5885" i="38"/>
  <c r="D5885" i="38"/>
  <c r="C5885" i="38"/>
  <c r="J5884" i="38"/>
  <c r="I5884" i="38"/>
  <c r="H5884" i="38"/>
  <c r="G5884" i="38"/>
  <c r="F5884" i="38"/>
  <c r="E5884" i="38"/>
  <c r="D5884" i="38"/>
  <c r="C5884" i="38"/>
  <c r="J5883" i="38"/>
  <c r="I5883" i="38"/>
  <c r="H5883" i="38"/>
  <c r="G5883" i="38"/>
  <c r="E5883" i="38"/>
  <c r="D5883" i="38"/>
  <c r="C5883" i="38"/>
  <c r="J5882" i="38"/>
  <c r="I5882" i="38"/>
  <c r="H5882" i="38"/>
  <c r="G5882" i="38"/>
  <c r="F5882" i="38"/>
  <c r="E5882" i="38"/>
  <c r="C5882" i="38"/>
  <c r="H5881" i="38"/>
  <c r="G5881" i="38"/>
  <c r="E5881" i="38"/>
  <c r="C5881" i="38"/>
  <c r="H5880" i="38"/>
  <c r="G5880" i="38"/>
  <c r="E5880" i="38"/>
  <c r="D5880" i="38"/>
  <c r="C5880" i="38"/>
  <c r="H5879" i="38"/>
  <c r="G5879" i="38"/>
  <c r="E5879" i="38"/>
  <c r="D5879" i="38"/>
  <c r="C5879" i="38"/>
  <c r="H5878" i="38"/>
  <c r="G5878" i="38"/>
  <c r="E5878" i="38"/>
  <c r="D5878" i="38"/>
  <c r="C5878" i="38"/>
  <c r="H5877" i="38"/>
  <c r="G5877" i="38"/>
  <c r="E5877" i="38"/>
  <c r="D5877" i="38"/>
  <c r="C5877" i="38"/>
  <c r="J5876" i="38"/>
  <c r="I5876" i="38"/>
  <c r="H5876" i="38"/>
  <c r="G5876" i="38"/>
  <c r="F5876" i="38"/>
  <c r="E5876" i="38"/>
  <c r="D5876" i="38"/>
  <c r="C5876" i="38"/>
  <c r="J5875" i="38"/>
  <c r="I5875" i="38"/>
  <c r="H5875" i="38"/>
  <c r="G5875" i="38"/>
  <c r="F5875" i="38"/>
  <c r="E5875" i="38"/>
  <c r="D5875" i="38"/>
  <c r="C5875" i="38"/>
  <c r="J5874" i="38"/>
  <c r="I5874" i="38"/>
  <c r="H5874" i="38"/>
  <c r="G5874" i="38"/>
  <c r="F5874" i="38"/>
  <c r="E5874" i="38"/>
  <c r="D5874" i="38"/>
  <c r="C5874" i="38"/>
  <c r="J5873" i="38"/>
  <c r="I5873" i="38"/>
  <c r="H5873" i="38"/>
  <c r="G5873" i="38"/>
  <c r="E5873" i="38"/>
  <c r="D5873" i="38"/>
  <c r="C5873" i="38"/>
  <c r="J5872" i="38"/>
  <c r="I5872" i="38"/>
  <c r="H5872" i="38"/>
  <c r="G5872" i="38"/>
  <c r="F5872" i="38"/>
  <c r="E5872" i="38"/>
  <c r="C5872" i="38"/>
  <c r="H5871" i="38"/>
  <c r="G5871" i="38"/>
  <c r="E5871" i="38"/>
  <c r="C5871" i="38"/>
  <c r="H5870" i="38"/>
  <c r="G5870" i="38"/>
  <c r="E5870" i="38"/>
  <c r="D5870" i="38"/>
  <c r="C5870" i="38"/>
  <c r="H5869" i="38"/>
  <c r="G5869" i="38"/>
  <c r="E5869" i="38"/>
  <c r="D5869" i="38"/>
  <c r="C5869" i="38"/>
  <c r="H5868" i="38"/>
  <c r="G5868" i="38"/>
  <c r="E5868" i="38"/>
  <c r="D5868" i="38"/>
  <c r="C5868" i="38"/>
  <c r="H5867" i="38"/>
  <c r="G5867" i="38"/>
  <c r="E5867" i="38"/>
  <c r="D5867" i="38"/>
  <c r="C5867" i="38"/>
  <c r="J5866" i="38"/>
  <c r="I5866" i="38"/>
  <c r="H5866" i="38"/>
  <c r="G5866" i="38"/>
  <c r="F5866" i="38"/>
  <c r="E5866" i="38"/>
  <c r="D5866" i="38"/>
  <c r="C5866" i="38"/>
  <c r="J5865" i="38"/>
  <c r="I5865" i="38"/>
  <c r="H5865" i="38"/>
  <c r="G5865" i="38"/>
  <c r="F5865" i="38"/>
  <c r="E5865" i="38"/>
  <c r="D5865" i="38"/>
  <c r="C5865" i="38"/>
  <c r="J5864" i="38"/>
  <c r="I5864" i="38"/>
  <c r="H5864" i="38"/>
  <c r="G5864" i="38"/>
  <c r="F5864" i="38"/>
  <c r="E5864" i="38"/>
  <c r="D5864" i="38"/>
  <c r="C5864" i="38"/>
  <c r="J5863" i="38"/>
  <c r="I5863" i="38"/>
  <c r="H5863" i="38"/>
  <c r="G5863" i="38"/>
  <c r="E5863" i="38"/>
  <c r="D5863" i="38"/>
  <c r="C5863" i="38"/>
  <c r="J5862" i="38"/>
  <c r="I5862" i="38"/>
  <c r="H5862" i="38"/>
  <c r="G5862" i="38"/>
  <c r="F5862" i="38"/>
  <c r="E5862" i="38"/>
  <c r="C5862" i="38"/>
  <c r="H5861" i="38"/>
  <c r="G5861" i="38"/>
  <c r="E5861" i="38"/>
  <c r="C5861" i="38"/>
  <c r="H5860" i="38"/>
  <c r="G5860" i="38"/>
  <c r="E5860" i="38"/>
  <c r="D5860" i="38"/>
  <c r="C5860" i="38"/>
  <c r="H5859" i="38"/>
  <c r="G5859" i="38"/>
  <c r="E5859" i="38"/>
  <c r="D5859" i="38"/>
  <c r="C5859" i="38"/>
  <c r="H5858" i="38"/>
  <c r="G5858" i="38"/>
  <c r="E5858" i="38"/>
  <c r="D5858" i="38"/>
  <c r="C5858" i="38"/>
  <c r="H5857" i="38"/>
  <c r="G5857" i="38"/>
  <c r="E5857" i="38"/>
  <c r="D5857" i="38"/>
  <c r="C5857" i="38"/>
  <c r="J5856" i="38"/>
  <c r="I5856" i="38"/>
  <c r="H5856" i="38"/>
  <c r="G5856" i="38"/>
  <c r="F5856" i="38"/>
  <c r="E5856" i="38"/>
  <c r="D5856" i="38"/>
  <c r="C5856" i="38"/>
  <c r="J5855" i="38"/>
  <c r="I5855" i="38"/>
  <c r="H5855" i="38"/>
  <c r="G5855" i="38"/>
  <c r="F5855" i="38"/>
  <c r="E5855" i="38"/>
  <c r="D5855" i="38"/>
  <c r="C5855" i="38"/>
  <c r="J5854" i="38"/>
  <c r="I5854" i="38"/>
  <c r="H5854" i="38"/>
  <c r="G5854" i="38"/>
  <c r="F5854" i="38"/>
  <c r="E5854" i="38"/>
  <c r="D5854" i="38"/>
  <c r="C5854" i="38"/>
  <c r="J5853" i="38"/>
  <c r="I5853" i="38"/>
  <c r="H5853" i="38"/>
  <c r="G5853" i="38"/>
  <c r="E5853" i="38"/>
  <c r="D5853" i="38"/>
  <c r="C5853" i="38"/>
  <c r="J5852" i="38"/>
  <c r="I5852" i="38"/>
  <c r="H5852" i="38"/>
  <c r="G5852" i="38"/>
  <c r="F5852" i="38"/>
  <c r="E5852" i="38"/>
  <c r="C5852" i="38"/>
  <c r="H5851" i="38"/>
  <c r="G5851" i="38"/>
  <c r="E5851" i="38"/>
  <c r="C5851" i="38"/>
  <c r="H5850" i="38"/>
  <c r="G5850" i="38"/>
  <c r="E5850" i="38"/>
  <c r="D5850" i="38"/>
  <c r="C5850" i="38"/>
  <c r="H5849" i="38"/>
  <c r="G5849" i="38"/>
  <c r="E5849" i="38"/>
  <c r="D5849" i="38"/>
  <c r="C5849" i="38"/>
  <c r="H5848" i="38"/>
  <c r="G5848" i="38"/>
  <c r="E5848" i="38"/>
  <c r="D5848" i="38"/>
  <c r="C5848" i="38"/>
  <c r="H5847" i="38"/>
  <c r="G5847" i="38"/>
  <c r="E5847" i="38"/>
  <c r="D5847" i="38"/>
  <c r="C5847" i="38"/>
  <c r="J5846" i="38"/>
  <c r="I5846" i="38"/>
  <c r="H5846" i="38"/>
  <c r="G5846" i="38"/>
  <c r="F5846" i="38"/>
  <c r="E5846" i="38"/>
  <c r="D5846" i="38"/>
  <c r="C5846" i="38"/>
  <c r="J5845" i="38"/>
  <c r="I5845" i="38"/>
  <c r="H5845" i="38"/>
  <c r="G5845" i="38"/>
  <c r="F5845" i="38"/>
  <c r="E5845" i="38"/>
  <c r="D5845" i="38"/>
  <c r="C5845" i="38"/>
  <c r="J5844" i="38"/>
  <c r="I5844" i="38"/>
  <c r="H5844" i="38"/>
  <c r="G5844" i="38"/>
  <c r="F5844" i="38"/>
  <c r="E5844" i="38"/>
  <c r="D5844" i="38"/>
  <c r="C5844" i="38"/>
  <c r="J5843" i="38"/>
  <c r="I5843" i="38"/>
  <c r="H5843" i="38"/>
  <c r="G5843" i="38"/>
  <c r="E5843" i="38"/>
  <c r="D5843" i="38"/>
  <c r="C5843" i="38"/>
  <c r="J5842" i="38"/>
  <c r="I5842" i="38"/>
  <c r="H5842" i="38"/>
  <c r="G5842" i="38"/>
  <c r="F5842" i="38"/>
  <c r="E5842" i="38"/>
  <c r="C5842" i="38"/>
  <c r="H5841" i="38"/>
  <c r="G5841" i="38"/>
  <c r="E5841" i="38"/>
  <c r="C5841" i="38"/>
  <c r="H5840" i="38"/>
  <c r="G5840" i="38"/>
  <c r="E5840" i="38"/>
  <c r="D5840" i="38"/>
  <c r="C5840" i="38"/>
  <c r="H5839" i="38"/>
  <c r="G5839" i="38"/>
  <c r="E5839" i="38"/>
  <c r="D5839" i="38"/>
  <c r="C5839" i="38"/>
  <c r="H5838" i="38"/>
  <c r="G5838" i="38"/>
  <c r="E5838" i="38"/>
  <c r="D5838" i="38"/>
  <c r="C5838" i="38"/>
  <c r="H5837" i="38"/>
  <c r="G5837" i="38"/>
  <c r="E5837" i="38"/>
  <c r="D5837" i="38"/>
  <c r="C5837" i="38"/>
  <c r="J5836" i="38"/>
  <c r="I5836" i="38"/>
  <c r="H5836" i="38"/>
  <c r="G5836" i="38"/>
  <c r="F5836" i="38"/>
  <c r="E5836" i="38"/>
  <c r="D5836" i="38"/>
  <c r="C5836" i="38"/>
  <c r="J5835" i="38"/>
  <c r="I5835" i="38"/>
  <c r="H5835" i="38"/>
  <c r="G5835" i="38"/>
  <c r="F5835" i="38"/>
  <c r="E5835" i="38"/>
  <c r="D5835" i="38"/>
  <c r="C5835" i="38"/>
  <c r="J5834" i="38"/>
  <c r="I5834" i="38"/>
  <c r="H5834" i="38"/>
  <c r="G5834" i="38"/>
  <c r="F5834" i="38"/>
  <c r="E5834" i="38"/>
  <c r="D5834" i="38"/>
  <c r="C5834" i="38"/>
  <c r="J5833" i="38"/>
  <c r="I5833" i="38"/>
  <c r="H5833" i="38"/>
  <c r="G5833" i="38"/>
  <c r="E5833" i="38"/>
  <c r="D5833" i="38"/>
  <c r="C5833" i="38"/>
  <c r="J5832" i="38"/>
  <c r="I5832" i="38"/>
  <c r="H5832" i="38"/>
  <c r="G5832" i="38"/>
  <c r="F5832" i="38"/>
  <c r="E5832" i="38"/>
  <c r="C5832" i="38"/>
  <c r="H5831" i="38"/>
  <c r="G5831" i="38"/>
  <c r="E5831" i="38"/>
  <c r="C5831" i="38"/>
  <c r="H5830" i="38"/>
  <c r="G5830" i="38"/>
  <c r="E5830" i="38"/>
  <c r="D5830" i="38"/>
  <c r="C5830" i="38"/>
  <c r="H5829" i="38"/>
  <c r="G5829" i="38"/>
  <c r="E5829" i="38"/>
  <c r="D5829" i="38"/>
  <c r="C5829" i="38"/>
  <c r="H5828" i="38"/>
  <c r="G5828" i="38"/>
  <c r="E5828" i="38"/>
  <c r="D5828" i="38"/>
  <c r="C5828" i="38"/>
  <c r="H5827" i="38"/>
  <c r="G5827" i="38"/>
  <c r="E5827" i="38"/>
  <c r="D5827" i="38"/>
  <c r="C5827" i="38"/>
  <c r="J5826" i="38"/>
  <c r="I5826" i="38"/>
  <c r="H5826" i="38"/>
  <c r="G5826" i="38"/>
  <c r="F5826" i="38"/>
  <c r="E5826" i="38"/>
  <c r="D5826" i="38"/>
  <c r="C5826" i="38"/>
  <c r="J5825" i="38"/>
  <c r="I5825" i="38"/>
  <c r="H5825" i="38"/>
  <c r="G5825" i="38"/>
  <c r="F5825" i="38"/>
  <c r="E5825" i="38"/>
  <c r="D5825" i="38"/>
  <c r="C5825" i="38"/>
  <c r="J5824" i="38"/>
  <c r="I5824" i="38"/>
  <c r="H5824" i="38"/>
  <c r="G5824" i="38"/>
  <c r="F5824" i="38"/>
  <c r="E5824" i="38"/>
  <c r="D5824" i="38"/>
  <c r="C5824" i="38"/>
  <c r="J5823" i="38"/>
  <c r="I5823" i="38"/>
  <c r="H5823" i="38"/>
  <c r="G5823" i="38"/>
  <c r="E5823" i="38"/>
  <c r="D5823" i="38"/>
  <c r="C5823" i="38"/>
  <c r="J5822" i="38"/>
  <c r="I5822" i="38"/>
  <c r="H5822" i="38"/>
  <c r="G5822" i="38"/>
  <c r="F5822" i="38"/>
  <c r="E5822" i="38"/>
  <c r="C5822" i="38"/>
  <c r="H5821" i="38"/>
  <c r="G5821" i="38"/>
  <c r="E5821" i="38"/>
  <c r="C5821" i="38"/>
  <c r="H5820" i="38"/>
  <c r="G5820" i="38"/>
  <c r="E5820" i="38"/>
  <c r="D5820" i="38"/>
  <c r="C5820" i="38"/>
  <c r="H5819" i="38"/>
  <c r="G5819" i="38"/>
  <c r="E5819" i="38"/>
  <c r="D5819" i="38"/>
  <c r="C5819" i="38"/>
  <c r="H5818" i="38"/>
  <c r="G5818" i="38"/>
  <c r="E5818" i="38"/>
  <c r="D5818" i="38"/>
  <c r="C5818" i="38"/>
  <c r="H5817" i="38"/>
  <c r="G5817" i="38"/>
  <c r="E5817" i="38"/>
  <c r="D5817" i="38"/>
  <c r="C5817" i="38"/>
  <c r="J5816" i="38"/>
  <c r="I5816" i="38"/>
  <c r="H5816" i="38"/>
  <c r="G5816" i="38"/>
  <c r="F5816" i="38"/>
  <c r="E5816" i="38"/>
  <c r="D5816" i="38"/>
  <c r="C5816" i="38"/>
  <c r="J5815" i="38"/>
  <c r="I5815" i="38"/>
  <c r="H5815" i="38"/>
  <c r="G5815" i="38"/>
  <c r="F5815" i="38"/>
  <c r="E5815" i="38"/>
  <c r="D5815" i="38"/>
  <c r="C5815" i="38"/>
  <c r="J5814" i="38"/>
  <c r="I5814" i="38"/>
  <c r="H5814" i="38"/>
  <c r="G5814" i="38"/>
  <c r="F5814" i="38"/>
  <c r="E5814" i="38"/>
  <c r="D5814" i="38"/>
  <c r="C5814" i="38"/>
  <c r="J5813" i="38"/>
  <c r="I5813" i="38"/>
  <c r="H5813" i="38"/>
  <c r="G5813" i="38"/>
  <c r="E5813" i="38"/>
  <c r="D5813" i="38"/>
  <c r="C5813" i="38"/>
  <c r="J5812" i="38"/>
  <c r="I5812" i="38"/>
  <c r="H5812" i="38"/>
  <c r="G5812" i="38"/>
  <c r="F5812" i="38"/>
  <c r="E5812" i="38"/>
  <c r="C5812" i="38"/>
  <c r="H5811" i="38"/>
  <c r="G5811" i="38"/>
  <c r="E5811" i="38"/>
  <c r="C5811" i="38"/>
  <c r="H5810" i="38"/>
  <c r="G5810" i="38"/>
  <c r="E5810" i="38"/>
  <c r="D5810" i="38"/>
  <c r="C5810" i="38"/>
  <c r="H5809" i="38"/>
  <c r="G5809" i="38"/>
  <c r="E5809" i="38"/>
  <c r="D5809" i="38"/>
  <c r="C5809" i="38"/>
  <c r="H5808" i="38"/>
  <c r="G5808" i="38"/>
  <c r="E5808" i="38"/>
  <c r="D5808" i="38"/>
  <c r="C5808" i="38"/>
  <c r="H5807" i="38"/>
  <c r="G5807" i="38"/>
  <c r="E5807" i="38"/>
  <c r="D5807" i="38"/>
  <c r="C5807" i="38"/>
  <c r="J5806" i="38"/>
  <c r="I5806" i="38"/>
  <c r="H5806" i="38"/>
  <c r="G5806" i="38"/>
  <c r="F5806" i="38"/>
  <c r="E5806" i="38"/>
  <c r="D5806" i="38"/>
  <c r="C5806" i="38"/>
  <c r="J5805" i="38"/>
  <c r="I5805" i="38"/>
  <c r="H5805" i="38"/>
  <c r="G5805" i="38"/>
  <c r="F5805" i="38"/>
  <c r="E5805" i="38"/>
  <c r="D5805" i="38"/>
  <c r="C5805" i="38"/>
  <c r="J5804" i="38"/>
  <c r="I5804" i="38"/>
  <c r="H5804" i="38"/>
  <c r="G5804" i="38"/>
  <c r="F5804" i="38"/>
  <c r="E5804" i="38"/>
  <c r="D5804" i="38"/>
  <c r="C5804" i="38"/>
  <c r="J5803" i="38"/>
  <c r="I5803" i="38"/>
  <c r="H5803" i="38"/>
  <c r="G5803" i="38"/>
  <c r="E5803" i="38"/>
  <c r="D5803" i="38"/>
  <c r="C5803" i="38"/>
  <c r="J5802" i="38"/>
  <c r="I5802" i="38"/>
  <c r="H5802" i="38"/>
  <c r="G5802" i="38"/>
  <c r="F5802" i="38"/>
  <c r="E5802" i="38"/>
  <c r="C5802" i="38"/>
  <c r="H5801" i="38"/>
  <c r="G5801" i="38"/>
  <c r="E5801" i="38"/>
  <c r="C5801" i="38"/>
  <c r="H5800" i="38"/>
  <c r="G5800" i="38"/>
  <c r="E5800" i="38"/>
  <c r="D5800" i="38"/>
  <c r="C5800" i="38"/>
  <c r="H5799" i="38"/>
  <c r="G5799" i="38"/>
  <c r="E5799" i="38"/>
  <c r="D5799" i="38"/>
  <c r="C5799" i="38"/>
  <c r="H5798" i="38"/>
  <c r="G5798" i="38"/>
  <c r="E5798" i="38"/>
  <c r="D5798" i="38"/>
  <c r="C5798" i="38"/>
  <c r="H5797" i="38"/>
  <c r="G5797" i="38"/>
  <c r="E5797" i="38"/>
  <c r="D5797" i="38"/>
  <c r="C5797" i="38"/>
  <c r="J5796" i="38"/>
  <c r="I5796" i="38"/>
  <c r="H5796" i="38"/>
  <c r="G5796" i="38"/>
  <c r="F5796" i="38"/>
  <c r="E5796" i="38"/>
  <c r="D5796" i="38"/>
  <c r="C5796" i="38"/>
  <c r="J5795" i="38"/>
  <c r="I5795" i="38"/>
  <c r="H5795" i="38"/>
  <c r="G5795" i="38"/>
  <c r="F5795" i="38"/>
  <c r="E5795" i="38"/>
  <c r="D5795" i="38"/>
  <c r="C5795" i="38"/>
  <c r="J5794" i="38"/>
  <c r="I5794" i="38"/>
  <c r="H5794" i="38"/>
  <c r="G5794" i="38"/>
  <c r="F5794" i="38"/>
  <c r="E5794" i="38"/>
  <c r="D5794" i="38"/>
  <c r="C5794" i="38"/>
  <c r="J5793" i="38"/>
  <c r="I5793" i="38"/>
  <c r="H5793" i="38"/>
  <c r="G5793" i="38"/>
  <c r="E5793" i="38"/>
  <c r="D5793" i="38"/>
  <c r="C5793" i="38"/>
  <c r="J5792" i="38"/>
  <c r="I5792" i="38"/>
  <c r="H5792" i="38"/>
  <c r="G5792" i="38"/>
  <c r="F5792" i="38"/>
  <c r="E5792" i="38"/>
  <c r="C5792" i="38"/>
  <c r="H5791" i="38"/>
  <c r="G5791" i="38"/>
  <c r="E5791" i="38"/>
  <c r="C5791" i="38"/>
  <c r="H5790" i="38"/>
  <c r="G5790" i="38"/>
  <c r="E5790" i="38"/>
  <c r="D5790" i="38"/>
  <c r="C5790" i="38"/>
  <c r="H5789" i="38"/>
  <c r="G5789" i="38"/>
  <c r="E5789" i="38"/>
  <c r="D5789" i="38"/>
  <c r="C5789" i="38"/>
  <c r="H5788" i="38"/>
  <c r="G5788" i="38"/>
  <c r="E5788" i="38"/>
  <c r="D5788" i="38"/>
  <c r="C5788" i="38"/>
  <c r="H5787" i="38"/>
  <c r="G5787" i="38"/>
  <c r="E5787" i="38"/>
  <c r="D5787" i="38"/>
  <c r="C5787" i="38"/>
  <c r="J5786" i="38"/>
  <c r="I5786" i="38"/>
  <c r="H5786" i="38"/>
  <c r="G5786" i="38"/>
  <c r="F5786" i="38"/>
  <c r="E5786" i="38"/>
  <c r="D5786" i="38"/>
  <c r="C5786" i="38"/>
  <c r="J5785" i="38"/>
  <c r="I5785" i="38"/>
  <c r="H5785" i="38"/>
  <c r="G5785" i="38"/>
  <c r="F5785" i="38"/>
  <c r="E5785" i="38"/>
  <c r="D5785" i="38"/>
  <c r="C5785" i="38"/>
  <c r="J5784" i="38"/>
  <c r="I5784" i="38"/>
  <c r="H5784" i="38"/>
  <c r="G5784" i="38"/>
  <c r="F5784" i="38"/>
  <c r="E5784" i="38"/>
  <c r="D5784" i="38"/>
  <c r="C5784" i="38"/>
  <c r="J5783" i="38"/>
  <c r="I5783" i="38"/>
  <c r="H5783" i="38"/>
  <c r="G5783" i="38"/>
  <c r="E5783" i="38"/>
  <c r="D5783" i="38"/>
  <c r="C5783" i="38"/>
  <c r="J5782" i="38"/>
  <c r="I5782" i="38"/>
  <c r="H5782" i="38"/>
  <c r="G5782" i="38"/>
  <c r="F5782" i="38"/>
  <c r="E5782" i="38"/>
  <c r="C5782" i="38"/>
  <c r="H5781" i="38"/>
  <c r="G5781" i="38"/>
  <c r="E5781" i="38"/>
  <c r="C5781" i="38"/>
  <c r="H5780" i="38"/>
  <c r="G5780" i="38"/>
  <c r="E5780" i="38"/>
  <c r="D5780" i="38"/>
  <c r="C5780" i="38"/>
  <c r="H5779" i="38"/>
  <c r="G5779" i="38"/>
  <c r="E5779" i="38"/>
  <c r="D5779" i="38"/>
  <c r="C5779" i="38"/>
  <c r="H5778" i="38"/>
  <c r="G5778" i="38"/>
  <c r="E5778" i="38"/>
  <c r="D5778" i="38"/>
  <c r="C5778" i="38"/>
  <c r="H5777" i="38"/>
  <c r="G5777" i="38"/>
  <c r="E5777" i="38"/>
  <c r="D5777" i="38"/>
  <c r="C5777" i="38"/>
  <c r="J5776" i="38"/>
  <c r="I5776" i="38"/>
  <c r="H5776" i="38"/>
  <c r="G5776" i="38"/>
  <c r="F5776" i="38"/>
  <c r="E5776" i="38"/>
  <c r="D5776" i="38"/>
  <c r="C5776" i="38"/>
  <c r="J5775" i="38"/>
  <c r="I5775" i="38"/>
  <c r="H5775" i="38"/>
  <c r="G5775" i="38"/>
  <c r="F5775" i="38"/>
  <c r="E5775" i="38"/>
  <c r="D5775" i="38"/>
  <c r="C5775" i="38"/>
  <c r="J5774" i="38"/>
  <c r="I5774" i="38"/>
  <c r="H5774" i="38"/>
  <c r="G5774" i="38"/>
  <c r="F5774" i="38"/>
  <c r="E5774" i="38"/>
  <c r="D5774" i="38"/>
  <c r="C5774" i="38"/>
  <c r="J5773" i="38"/>
  <c r="I5773" i="38"/>
  <c r="H5773" i="38"/>
  <c r="G5773" i="38"/>
  <c r="E5773" i="38"/>
  <c r="D5773" i="38"/>
  <c r="C5773" i="38"/>
  <c r="J5772" i="38"/>
  <c r="I5772" i="38"/>
  <c r="H5772" i="38"/>
  <c r="G5772" i="38"/>
  <c r="F5772" i="38"/>
  <c r="E5772" i="38"/>
  <c r="C5772" i="38"/>
  <c r="H5771" i="38"/>
  <c r="G5771" i="38"/>
  <c r="E5771" i="38"/>
  <c r="C5771" i="38"/>
  <c r="H5770" i="38"/>
  <c r="G5770" i="38"/>
  <c r="E5770" i="38"/>
  <c r="D5770" i="38"/>
  <c r="C5770" i="38"/>
  <c r="H5769" i="38"/>
  <c r="G5769" i="38"/>
  <c r="E5769" i="38"/>
  <c r="D5769" i="38"/>
  <c r="C5769" i="38"/>
  <c r="H5768" i="38"/>
  <c r="G5768" i="38"/>
  <c r="E5768" i="38"/>
  <c r="D5768" i="38"/>
  <c r="C5768" i="38"/>
  <c r="H5767" i="38"/>
  <c r="G5767" i="38"/>
  <c r="E5767" i="38"/>
  <c r="D5767" i="38"/>
  <c r="C5767" i="38"/>
  <c r="J5766" i="38"/>
  <c r="I5766" i="38"/>
  <c r="H5766" i="38"/>
  <c r="G5766" i="38"/>
  <c r="F5766" i="38"/>
  <c r="E5766" i="38"/>
  <c r="D5766" i="38"/>
  <c r="C5766" i="38"/>
  <c r="J5765" i="38"/>
  <c r="I5765" i="38"/>
  <c r="H5765" i="38"/>
  <c r="G5765" i="38"/>
  <c r="F5765" i="38"/>
  <c r="E5765" i="38"/>
  <c r="D5765" i="38"/>
  <c r="C5765" i="38"/>
  <c r="J5764" i="38"/>
  <c r="I5764" i="38"/>
  <c r="H5764" i="38"/>
  <c r="G5764" i="38"/>
  <c r="F5764" i="38"/>
  <c r="E5764" i="38"/>
  <c r="D5764" i="38"/>
  <c r="C5764" i="38"/>
  <c r="J5763" i="38"/>
  <c r="I5763" i="38"/>
  <c r="H5763" i="38"/>
  <c r="G5763" i="38"/>
  <c r="E5763" i="38"/>
  <c r="D5763" i="38"/>
  <c r="C5763" i="38"/>
  <c r="J5762" i="38"/>
  <c r="I5762" i="38"/>
  <c r="H5762" i="38"/>
  <c r="G5762" i="38"/>
  <c r="F5762" i="38"/>
  <c r="E5762" i="38"/>
  <c r="C5762" i="38"/>
  <c r="H5761" i="38"/>
  <c r="G5761" i="38"/>
  <c r="E5761" i="38"/>
  <c r="C5761" i="38"/>
  <c r="H5760" i="38"/>
  <c r="G5760" i="38"/>
  <c r="E5760" i="38"/>
  <c r="D5760" i="38"/>
  <c r="C5760" i="38"/>
  <c r="H5759" i="38"/>
  <c r="G5759" i="38"/>
  <c r="E5759" i="38"/>
  <c r="D5759" i="38"/>
  <c r="C5759" i="38"/>
  <c r="H5758" i="38"/>
  <c r="G5758" i="38"/>
  <c r="E5758" i="38"/>
  <c r="D5758" i="38"/>
  <c r="C5758" i="38"/>
  <c r="H5757" i="38"/>
  <c r="G5757" i="38"/>
  <c r="E5757" i="38"/>
  <c r="D5757" i="38"/>
  <c r="C5757" i="38"/>
  <c r="J5756" i="38"/>
  <c r="I5756" i="38"/>
  <c r="H5756" i="38"/>
  <c r="G5756" i="38"/>
  <c r="F5756" i="38"/>
  <c r="E5756" i="38"/>
  <c r="D5756" i="38"/>
  <c r="C5756" i="38"/>
  <c r="J5755" i="38"/>
  <c r="I5755" i="38"/>
  <c r="H5755" i="38"/>
  <c r="G5755" i="38"/>
  <c r="F5755" i="38"/>
  <c r="E5755" i="38"/>
  <c r="D5755" i="38"/>
  <c r="C5755" i="38"/>
  <c r="J5754" i="38"/>
  <c r="I5754" i="38"/>
  <c r="H5754" i="38"/>
  <c r="G5754" i="38"/>
  <c r="F5754" i="38"/>
  <c r="E5754" i="38"/>
  <c r="D5754" i="38"/>
  <c r="C5754" i="38"/>
  <c r="J5753" i="38"/>
  <c r="I5753" i="38"/>
  <c r="H5753" i="38"/>
  <c r="G5753" i="38"/>
  <c r="E5753" i="38"/>
  <c r="D5753" i="38"/>
  <c r="C5753" i="38"/>
  <c r="J5752" i="38"/>
  <c r="I5752" i="38"/>
  <c r="H5752" i="38"/>
  <c r="G5752" i="38"/>
  <c r="F5752" i="38"/>
  <c r="E5752" i="38"/>
  <c r="C5752" i="38"/>
  <c r="H5751" i="38"/>
  <c r="G5751" i="38"/>
  <c r="E5751" i="38"/>
  <c r="C5751" i="38"/>
  <c r="J5750" i="38"/>
  <c r="I5750" i="38"/>
  <c r="H5750" i="38"/>
  <c r="G5750" i="38"/>
  <c r="F5750" i="38"/>
  <c r="E5750" i="38"/>
  <c r="D5750" i="38"/>
  <c r="C5750" i="38"/>
  <c r="J5749" i="38"/>
  <c r="I5749" i="38"/>
  <c r="H5749" i="38"/>
  <c r="G5749" i="38"/>
  <c r="F5749" i="38"/>
  <c r="E5749" i="38"/>
  <c r="D5749" i="38"/>
  <c r="C5749" i="38"/>
  <c r="J5748" i="38"/>
  <c r="I5748" i="38"/>
  <c r="H5748" i="38"/>
  <c r="G5748" i="38"/>
  <c r="F5748" i="38"/>
  <c r="E5748" i="38"/>
  <c r="D5748" i="38"/>
  <c r="C5748" i="38"/>
  <c r="J5747" i="38"/>
  <c r="I5747" i="38"/>
  <c r="H5747" i="38"/>
  <c r="G5747" i="38"/>
  <c r="F5747" i="38"/>
  <c r="E5747" i="38"/>
  <c r="D5747" i="38"/>
  <c r="C5747" i="38"/>
  <c r="J5746" i="38"/>
  <c r="I5746" i="38"/>
  <c r="H5746" i="38"/>
  <c r="G5746" i="38"/>
  <c r="F5746" i="38"/>
  <c r="E5746" i="38"/>
  <c r="D5746" i="38"/>
  <c r="C5746" i="38"/>
  <c r="J5745" i="38"/>
  <c r="I5745" i="38"/>
  <c r="H5745" i="38"/>
  <c r="G5745" i="38"/>
  <c r="F5745" i="38"/>
  <c r="E5745" i="38"/>
  <c r="D5745" i="38"/>
  <c r="C5745" i="38"/>
  <c r="J5744" i="38"/>
  <c r="I5744" i="38"/>
  <c r="H5744" i="38"/>
  <c r="G5744" i="38"/>
  <c r="F5744" i="38"/>
  <c r="E5744" i="38"/>
  <c r="D5744" i="38"/>
  <c r="C5744" i="38"/>
  <c r="J5743" i="38"/>
  <c r="I5743" i="38"/>
  <c r="H5743" i="38"/>
  <c r="G5743" i="38"/>
  <c r="F5743" i="38"/>
  <c r="E5743" i="38"/>
  <c r="D5743" i="38"/>
  <c r="C5743" i="38"/>
  <c r="J5742" i="38"/>
  <c r="I5742" i="38"/>
  <c r="H5742" i="38"/>
  <c r="G5742" i="38"/>
  <c r="F5742" i="38"/>
  <c r="E5742" i="38"/>
  <c r="D5742" i="38"/>
  <c r="C5742" i="38"/>
  <c r="J5741" i="38"/>
  <c r="I5741" i="38"/>
  <c r="H5741" i="38"/>
  <c r="G5741" i="38"/>
  <c r="F5741" i="38"/>
  <c r="E5741" i="38"/>
  <c r="D5741" i="38"/>
  <c r="C5741" i="38"/>
  <c r="J5740" i="38"/>
  <c r="I5740" i="38"/>
  <c r="H5740" i="38"/>
  <c r="G5740" i="38"/>
  <c r="F5740" i="38"/>
  <c r="E5740" i="38"/>
  <c r="D5740" i="38"/>
  <c r="C5740" i="38"/>
  <c r="J5739" i="38"/>
  <c r="I5739" i="38"/>
  <c r="H5739" i="38"/>
  <c r="G5739" i="38"/>
  <c r="F5739" i="38"/>
  <c r="E5739" i="38"/>
  <c r="D5739" i="38"/>
  <c r="C5739" i="38"/>
  <c r="J5738" i="38"/>
  <c r="I5738" i="38"/>
  <c r="H5738" i="38"/>
  <c r="G5738" i="38"/>
  <c r="F5738" i="38"/>
  <c r="E5738" i="38"/>
  <c r="D5738" i="38"/>
  <c r="C5738" i="38"/>
  <c r="J5737" i="38"/>
  <c r="I5737" i="38"/>
  <c r="H5737" i="38"/>
  <c r="G5737" i="38"/>
  <c r="F5737" i="38"/>
  <c r="E5737" i="38"/>
  <c r="D5737" i="38"/>
  <c r="C5737" i="38"/>
  <c r="J5736" i="38"/>
  <c r="I5736" i="38"/>
  <c r="H5736" i="38"/>
  <c r="G5736" i="38"/>
  <c r="F5736" i="38"/>
  <c r="E5736" i="38"/>
  <c r="D5736" i="38"/>
  <c r="C5736" i="38"/>
  <c r="J5735" i="38"/>
  <c r="I5735" i="38"/>
  <c r="H5735" i="38"/>
  <c r="G5735" i="38"/>
  <c r="F5735" i="38"/>
  <c r="E5735" i="38"/>
  <c r="D5735" i="38"/>
  <c r="C5735" i="38"/>
  <c r="J5734" i="38"/>
  <c r="I5734" i="38"/>
  <c r="H5734" i="38"/>
  <c r="G5734" i="38"/>
  <c r="F5734" i="38"/>
  <c r="E5734" i="38"/>
  <c r="D5734" i="38"/>
  <c r="C5734" i="38"/>
  <c r="J5733" i="38"/>
  <c r="I5733" i="38"/>
  <c r="H5733" i="38"/>
  <c r="G5733" i="38"/>
  <c r="E5733" i="38"/>
  <c r="D5733" i="38"/>
  <c r="C5733" i="38"/>
  <c r="J5732" i="38"/>
  <c r="I5732" i="38"/>
  <c r="H5732" i="38"/>
  <c r="G5732" i="38"/>
  <c r="F5732" i="38"/>
  <c r="E5732" i="38"/>
  <c r="C5732" i="38"/>
  <c r="H5731" i="38"/>
  <c r="G5731" i="38"/>
  <c r="E5731" i="38"/>
  <c r="C5731" i="38"/>
  <c r="H5730" i="38"/>
  <c r="G5730" i="38"/>
  <c r="E5730" i="38"/>
  <c r="D5730" i="38"/>
  <c r="C5730" i="38"/>
  <c r="H5729" i="38"/>
  <c r="G5729" i="38"/>
  <c r="E5729" i="38"/>
  <c r="D5729" i="38"/>
  <c r="C5729" i="38"/>
  <c r="H5728" i="38"/>
  <c r="G5728" i="38"/>
  <c r="E5728" i="38"/>
  <c r="D5728" i="38"/>
  <c r="C5728" i="38"/>
  <c r="H5727" i="38"/>
  <c r="G5727" i="38"/>
  <c r="E5727" i="38"/>
  <c r="D5727" i="38"/>
  <c r="C5727" i="38"/>
  <c r="J5726" i="38"/>
  <c r="I5726" i="38"/>
  <c r="H5726" i="38"/>
  <c r="G5726" i="38"/>
  <c r="F5726" i="38"/>
  <c r="E5726" i="38"/>
  <c r="D5726" i="38"/>
  <c r="C5726" i="38"/>
  <c r="J5725" i="38"/>
  <c r="I5725" i="38"/>
  <c r="H5725" i="38"/>
  <c r="G5725" i="38"/>
  <c r="F5725" i="38"/>
  <c r="E5725" i="38"/>
  <c r="D5725" i="38"/>
  <c r="C5725" i="38"/>
  <c r="J5724" i="38"/>
  <c r="I5724" i="38"/>
  <c r="H5724" i="38"/>
  <c r="G5724" i="38"/>
  <c r="F5724" i="38"/>
  <c r="E5724" i="38"/>
  <c r="D5724" i="38"/>
  <c r="C5724" i="38"/>
  <c r="J5723" i="38"/>
  <c r="I5723" i="38"/>
  <c r="H5723" i="38"/>
  <c r="G5723" i="38"/>
  <c r="E5723" i="38"/>
  <c r="D5723" i="38"/>
  <c r="C5723" i="38"/>
  <c r="J5722" i="38"/>
  <c r="I5722" i="38"/>
  <c r="H5722" i="38"/>
  <c r="G5722" i="38"/>
  <c r="F5722" i="38"/>
  <c r="E5722" i="38"/>
  <c r="C5722" i="38"/>
  <c r="H5721" i="38"/>
  <c r="G5721" i="38"/>
  <c r="E5721" i="38"/>
  <c r="C5721" i="38"/>
  <c r="H5720" i="38"/>
  <c r="G5720" i="38"/>
  <c r="E5720" i="38"/>
  <c r="D5720" i="38"/>
  <c r="C5720" i="38"/>
  <c r="H5719" i="38"/>
  <c r="G5719" i="38"/>
  <c r="E5719" i="38"/>
  <c r="D5719" i="38"/>
  <c r="C5719" i="38"/>
  <c r="H5718" i="38"/>
  <c r="G5718" i="38"/>
  <c r="E5718" i="38"/>
  <c r="D5718" i="38"/>
  <c r="C5718" i="38"/>
  <c r="H5717" i="38"/>
  <c r="G5717" i="38"/>
  <c r="E5717" i="38"/>
  <c r="D5717" i="38"/>
  <c r="C5717" i="38"/>
  <c r="J5716" i="38"/>
  <c r="I5716" i="38"/>
  <c r="H5716" i="38"/>
  <c r="G5716" i="38"/>
  <c r="F5716" i="38"/>
  <c r="E5716" i="38"/>
  <c r="D5716" i="38"/>
  <c r="C5716" i="38"/>
  <c r="J5715" i="38"/>
  <c r="I5715" i="38"/>
  <c r="H5715" i="38"/>
  <c r="G5715" i="38"/>
  <c r="F5715" i="38"/>
  <c r="E5715" i="38"/>
  <c r="D5715" i="38"/>
  <c r="C5715" i="38"/>
  <c r="J5714" i="38"/>
  <c r="I5714" i="38"/>
  <c r="H5714" i="38"/>
  <c r="G5714" i="38"/>
  <c r="F5714" i="38"/>
  <c r="E5714" i="38"/>
  <c r="D5714" i="38"/>
  <c r="C5714" i="38"/>
  <c r="J5713" i="38"/>
  <c r="I5713" i="38"/>
  <c r="H5713" i="38"/>
  <c r="G5713" i="38"/>
  <c r="E5713" i="38"/>
  <c r="D5713" i="38"/>
  <c r="C5713" i="38"/>
  <c r="J5712" i="38"/>
  <c r="I5712" i="38"/>
  <c r="H5712" i="38"/>
  <c r="G5712" i="38"/>
  <c r="F5712" i="38"/>
  <c r="E5712" i="38"/>
  <c r="C5712" i="38"/>
  <c r="H5711" i="38"/>
  <c r="G5711" i="38"/>
  <c r="E5711" i="38"/>
  <c r="C5711" i="38"/>
  <c r="H5710" i="38"/>
  <c r="G5710" i="38"/>
  <c r="E5710" i="38"/>
  <c r="D5710" i="38"/>
  <c r="C5710" i="38"/>
  <c r="H5709" i="38"/>
  <c r="G5709" i="38"/>
  <c r="E5709" i="38"/>
  <c r="D5709" i="38"/>
  <c r="C5709" i="38"/>
  <c r="H5708" i="38"/>
  <c r="G5708" i="38"/>
  <c r="E5708" i="38"/>
  <c r="D5708" i="38"/>
  <c r="C5708" i="38"/>
  <c r="H5707" i="38"/>
  <c r="G5707" i="38"/>
  <c r="E5707" i="38"/>
  <c r="D5707" i="38"/>
  <c r="C5707" i="38"/>
  <c r="J5706" i="38"/>
  <c r="I5706" i="38"/>
  <c r="H5706" i="38"/>
  <c r="G5706" i="38"/>
  <c r="F5706" i="38"/>
  <c r="E5706" i="38"/>
  <c r="D5706" i="38"/>
  <c r="C5706" i="38"/>
  <c r="J5705" i="38"/>
  <c r="I5705" i="38"/>
  <c r="H5705" i="38"/>
  <c r="G5705" i="38"/>
  <c r="F5705" i="38"/>
  <c r="E5705" i="38"/>
  <c r="D5705" i="38"/>
  <c r="C5705" i="38"/>
  <c r="J5704" i="38"/>
  <c r="I5704" i="38"/>
  <c r="H5704" i="38"/>
  <c r="G5704" i="38"/>
  <c r="F5704" i="38"/>
  <c r="E5704" i="38"/>
  <c r="D5704" i="38"/>
  <c r="C5704" i="38"/>
  <c r="J5703" i="38"/>
  <c r="I5703" i="38"/>
  <c r="H5703" i="38"/>
  <c r="G5703" i="38"/>
  <c r="E5703" i="38"/>
  <c r="D5703" i="38"/>
  <c r="C5703" i="38"/>
  <c r="J5702" i="38"/>
  <c r="I5702" i="38"/>
  <c r="H5702" i="38"/>
  <c r="G5702" i="38"/>
  <c r="F5702" i="38"/>
  <c r="E5702" i="38"/>
  <c r="C5702" i="38"/>
  <c r="H5701" i="38"/>
  <c r="G5701" i="38"/>
  <c r="E5701" i="38"/>
  <c r="C5701" i="38"/>
  <c r="H5700" i="38"/>
  <c r="G5700" i="38"/>
  <c r="E5700" i="38"/>
  <c r="D5700" i="38"/>
  <c r="C5700" i="38"/>
  <c r="H5699" i="38"/>
  <c r="G5699" i="38"/>
  <c r="E5699" i="38"/>
  <c r="D5699" i="38"/>
  <c r="C5699" i="38"/>
  <c r="H5698" i="38"/>
  <c r="G5698" i="38"/>
  <c r="E5698" i="38"/>
  <c r="D5698" i="38"/>
  <c r="C5698" i="38"/>
  <c r="H5697" i="38"/>
  <c r="G5697" i="38"/>
  <c r="E5697" i="38"/>
  <c r="D5697" i="38"/>
  <c r="C5697" i="38"/>
  <c r="J5696" i="38"/>
  <c r="I5696" i="38"/>
  <c r="H5696" i="38"/>
  <c r="G5696" i="38"/>
  <c r="F5696" i="38"/>
  <c r="E5696" i="38"/>
  <c r="D5696" i="38"/>
  <c r="C5696" i="38"/>
  <c r="J5695" i="38"/>
  <c r="I5695" i="38"/>
  <c r="H5695" i="38"/>
  <c r="G5695" i="38"/>
  <c r="F5695" i="38"/>
  <c r="E5695" i="38"/>
  <c r="D5695" i="38"/>
  <c r="C5695" i="38"/>
  <c r="J5694" i="38"/>
  <c r="I5694" i="38"/>
  <c r="H5694" i="38"/>
  <c r="G5694" i="38"/>
  <c r="F5694" i="38"/>
  <c r="E5694" i="38"/>
  <c r="D5694" i="38"/>
  <c r="C5694" i="38"/>
  <c r="J5693" i="38"/>
  <c r="I5693" i="38"/>
  <c r="H5693" i="38"/>
  <c r="G5693" i="38"/>
  <c r="E5693" i="38"/>
  <c r="D5693" i="38"/>
  <c r="C5693" i="38"/>
  <c r="J5692" i="38"/>
  <c r="I5692" i="38"/>
  <c r="H5692" i="38"/>
  <c r="G5692" i="38"/>
  <c r="F5692" i="38"/>
  <c r="E5692" i="38"/>
  <c r="C5692" i="38"/>
  <c r="H5691" i="38"/>
  <c r="G5691" i="38"/>
  <c r="E5691" i="38"/>
  <c r="C5691" i="38"/>
  <c r="H5690" i="38"/>
  <c r="G5690" i="38"/>
  <c r="E5690" i="38"/>
  <c r="D5690" i="38"/>
  <c r="C5690" i="38"/>
  <c r="H5689" i="38"/>
  <c r="G5689" i="38"/>
  <c r="E5689" i="38"/>
  <c r="D5689" i="38"/>
  <c r="C5689" i="38"/>
  <c r="H5688" i="38"/>
  <c r="G5688" i="38"/>
  <c r="E5688" i="38"/>
  <c r="D5688" i="38"/>
  <c r="C5688" i="38"/>
  <c r="H5687" i="38"/>
  <c r="G5687" i="38"/>
  <c r="E5687" i="38"/>
  <c r="D5687" i="38"/>
  <c r="C5687" i="38"/>
  <c r="J5686" i="38"/>
  <c r="I5686" i="38"/>
  <c r="H5686" i="38"/>
  <c r="G5686" i="38"/>
  <c r="F5686" i="38"/>
  <c r="E5686" i="38"/>
  <c r="D5686" i="38"/>
  <c r="C5686" i="38"/>
  <c r="J5685" i="38"/>
  <c r="I5685" i="38"/>
  <c r="H5685" i="38"/>
  <c r="G5685" i="38"/>
  <c r="F5685" i="38"/>
  <c r="E5685" i="38"/>
  <c r="D5685" i="38"/>
  <c r="C5685" i="38"/>
  <c r="J5684" i="38"/>
  <c r="I5684" i="38"/>
  <c r="H5684" i="38"/>
  <c r="G5684" i="38"/>
  <c r="F5684" i="38"/>
  <c r="E5684" i="38"/>
  <c r="D5684" i="38"/>
  <c r="C5684" i="38"/>
  <c r="J5683" i="38"/>
  <c r="I5683" i="38"/>
  <c r="H5683" i="38"/>
  <c r="G5683" i="38"/>
  <c r="E5683" i="38"/>
  <c r="D5683" i="38"/>
  <c r="C5683" i="38"/>
  <c r="J5682" i="38"/>
  <c r="I5682" i="38"/>
  <c r="H5682" i="38"/>
  <c r="G5682" i="38"/>
  <c r="F5682" i="38"/>
  <c r="E5682" i="38"/>
  <c r="C5682" i="38"/>
  <c r="H5681" i="38"/>
  <c r="G5681" i="38"/>
  <c r="E5681" i="38"/>
  <c r="C5681" i="38"/>
  <c r="H5680" i="38"/>
  <c r="G5680" i="38"/>
  <c r="E5680" i="38"/>
  <c r="D5680" i="38"/>
  <c r="C5680" i="38"/>
  <c r="H5679" i="38"/>
  <c r="G5679" i="38"/>
  <c r="E5679" i="38"/>
  <c r="D5679" i="38"/>
  <c r="C5679" i="38"/>
  <c r="H5678" i="38"/>
  <c r="G5678" i="38"/>
  <c r="E5678" i="38"/>
  <c r="D5678" i="38"/>
  <c r="C5678" i="38"/>
  <c r="H5677" i="38"/>
  <c r="G5677" i="38"/>
  <c r="E5677" i="38"/>
  <c r="D5677" i="38"/>
  <c r="C5677" i="38"/>
  <c r="J5676" i="38"/>
  <c r="I5676" i="38"/>
  <c r="H5676" i="38"/>
  <c r="G5676" i="38"/>
  <c r="F5676" i="38"/>
  <c r="E5676" i="38"/>
  <c r="D5676" i="38"/>
  <c r="C5676" i="38"/>
  <c r="J5675" i="38"/>
  <c r="I5675" i="38"/>
  <c r="H5675" i="38"/>
  <c r="G5675" i="38"/>
  <c r="F5675" i="38"/>
  <c r="E5675" i="38"/>
  <c r="D5675" i="38"/>
  <c r="C5675" i="38"/>
  <c r="J5674" i="38"/>
  <c r="I5674" i="38"/>
  <c r="H5674" i="38"/>
  <c r="G5674" i="38"/>
  <c r="F5674" i="38"/>
  <c r="E5674" i="38"/>
  <c r="D5674" i="38"/>
  <c r="C5674" i="38"/>
  <c r="J5673" i="38"/>
  <c r="I5673" i="38"/>
  <c r="H5673" i="38"/>
  <c r="G5673" i="38"/>
  <c r="E5673" i="38"/>
  <c r="D5673" i="38"/>
  <c r="C5673" i="38"/>
  <c r="J5672" i="38"/>
  <c r="I5672" i="38"/>
  <c r="H5672" i="38"/>
  <c r="G5672" i="38"/>
  <c r="F5672" i="38"/>
  <c r="E5672" i="38"/>
  <c r="C5672" i="38"/>
  <c r="H5671" i="38"/>
  <c r="G5671" i="38"/>
  <c r="E5671" i="38"/>
  <c r="C5671" i="38"/>
  <c r="H5670" i="38"/>
  <c r="G5670" i="38"/>
  <c r="E5670" i="38"/>
  <c r="D5670" i="38"/>
  <c r="C5670" i="38"/>
  <c r="H5669" i="38"/>
  <c r="G5669" i="38"/>
  <c r="E5669" i="38"/>
  <c r="D5669" i="38"/>
  <c r="C5669" i="38"/>
  <c r="H5668" i="38"/>
  <c r="G5668" i="38"/>
  <c r="E5668" i="38"/>
  <c r="D5668" i="38"/>
  <c r="C5668" i="38"/>
  <c r="H5667" i="38"/>
  <c r="G5667" i="38"/>
  <c r="E5667" i="38"/>
  <c r="D5667" i="38"/>
  <c r="C5667" i="38"/>
  <c r="J5666" i="38"/>
  <c r="I5666" i="38"/>
  <c r="H5666" i="38"/>
  <c r="G5666" i="38"/>
  <c r="F5666" i="38"/>
  <c r="E5666" i="38"/>
  <c r="D5666" i="38"/>
  <c r="C5666" i="38"/>
  <c r="J5665" i="38"/>
  <c r="I5665" i="38"/>
  <c r="H5665" i="38"/>
  <c r="G5665" i="38"/>
  <c r="F5665" i="38"/>
  <c r="E5665" i="38"/>
  <c r="D5665" i="38"/>
  <c r="C5665" i="38"/>
  <c r="J5664" i="38"/>
  <c r="I5664" i="38"/>
  <c r="H5664" i="38"/>
  <c r="G5664" i="38"/>
  <c r="F5664" i="38"/>
  <c r="E5664" i="38"/>
  <c r="D5664" i="38"/>
  <c r="C5664" i="38"/>
  <c r="J5663" i="38"/>
  <c r="I5663" i="38"/>
  <c r="H5663" i="38"/>
  <c r="G5663" i="38"/>
  <c r="E5663" i="38"/>
  <c r="D5663" i="38"/>
  <c r="C5663" i="38"/>
  <c r="J5662" i="38"/>
  <c r="I5662" i="38"/>
  <c r="H5662" i="38"/>
  <c r="G5662" i="38"/>
  <c r="F5662" i="38"/>
  <c r="E5662" i="38"/>
  <c r="C5662" i="38"/>
  <c r="H5661" i="38"/>
  <c r="G5661" i="38"/>
  <c r="E5661" i="38"/>
  <c r="C5661" i="38"/>
  <c r="H5660" i="38"/>
  <c r="G5660" i="38"/>
  <c r="E5660" i="38"/>
  <c r="D5660" i="38"/>
  <c r="C5660" i="38"/>
  <c r="H5659" i="38"/>
  <c r="G5659" i="38"/>
  <c r="E5659" i="38"/>
  <c r="D5659" i="38"/>
  <c r="C5659" i="38"/>
  <c r="H5658" i="38"/>
  <c r="G5658" i="38"/>
  <c r="E5658" i="38"/>
  <c r="D5658" i="38"/>
  <c r="C5658" i="38"/>
  <c r="H5657" i="38"/>
  <c r="G5657" i="38"/>
  <c r="E5657" i="38"/>
  <c r="D5657" i="38"/>
  <c r="C5657" i="38"/>
  <c r="J5656" i="38"/>
  <c r="I5656" i="38"/>
  <c r="H5656" i="38"/>
  <c r="G5656" i="38"/>
  <c r="F5656" i="38"/>
  <c r="E5656" i="38"/>
  <c r="D5656" i="38"/>
  <c r="C5656" i="38"/>
  <c r="J5655" i="38"/>
  <c r="I5655" i="38"/>
  <c r="H5655" i="38"/>
  <c r="G5655" i="38"/>
  <c r="F5655" i="38"/>
  <c r="E5655" i="38"/>
  <c r="D5655" i="38"/>
  <c r="C5655" i="38"/>
  <c r="J5654" i="38"/>
  <c r="I5654" i="38"/>
  <c r="H5654" i="38"/>
  <c r="G5654" i="38"/>
  <c r="F5654" i="38"/>
  <c r="E5654" i="38"/>
  <c r="D5654" i="38"/>
  <c r="C5654" i="38"/>
  <c r="J5653" i="38"/>
  <c r="I5653" i="38"/>
  <c r="H5653" i="38"/>
  <c r="G5653" i="38"/>
  <c r="E5653" i="38"/>
  <c r="D5653" i="38"/>
  <c r="C5653" i="38"/>
  <c r="J5652" i="38"/>
  <c r="I5652" i="38"/>
  <c r="H5652" i="38"/>
  <c r="G5652" i="38"/>
  <c r="F5652" i="38"/>
  <c r="E5652" i="38"/>
  <c r="C5652" i="38"/>
  <c r="H5651" i="38"/>
  <c r="G5651" i="38"/>
  <c r="E5651" i="38"/>
  <c r="C5651" i="38"/>
  <c r="H5650" i="38"/>
  <c r="G5650" i="38"/>
  <c r="E5650" i="38"/>
  <c r="D5650" i="38"/>
  <c r="C5650" i="38"/>
  <c r="H5649" i="38"/>
  <c r="G5649" i="38"/>
  <c r="E5649" i="38"/>
  <c r="D5649" i="38"/>
  <c r="C5649" i="38"/>
  <c r="H5648" i="38"/>
  <c r="G5648" i="38"/>
  <c r="E5648" i="38"/>
  <c r="D5648" i="38"/>
  <c r="C5648" i="38"/>
  <c r="H5647" i="38"/>
  <c r="G5647" i="38"/>
  <c r="E5647" i="38"/>
  <c r="D5647" i="38"/>
  <c r="C5647" i="38"/>
  <c r="J5646" i="38"/>
  <c r="I5646" i="38"/>
  <c r="H5646" i="38"/>
  <c r="G5646" i="38"/>
  <c r="F5646" i="38"/>
  <c r="E5646" i="38"/>
  <c r="D5646" i="38"/>
  <c r="C5646" i="38"/>
  <c r="J5645" i="38"/>
  <c r="I5645" i="38"/>
  <c r="H5645" i="38"/>
  <c r="G5645" i="38"/>
  <c r="F5645" i="38"/>
  <c r="E5645" i="38"/>
  <c r="D5645" i="38"/>
  <c r="C5645" i="38"/>
  <c r="J5644" i="38"/>
  <c r="I5644" i="38"/>
  <c r="H5644" i="38"/>
  <c r="G5644" i="38"/>
  <c r="F5644" i="38"/>
  <c r="E5644" i="38"/>
  <c r="D5644" i="38"/>
  <c r="C5644" i="38"/>
  <c r="J5643" i="38"/>
  <c r="I5643" i="38"/>
  <c r="H5643" i="38"/>
  <c r="G5643" i="38"/>
  <c r="E5643" i="38"/>
  <c r="D5643" i="38"/>
  <c r="C5643" i="38"/>
  <c r="J5642" i="38"/>
  <c r="I5642" i="38"/>
  <c r="H5642" i="38"/>
  <c r="G5642" i="38"/>
  <c r="F5642" i="38"/>
  <c r="E5642" i="38"/>
  <c r="C5642" i="38"/>
  <c r="H5641" i="38"/>
  <c r="G5641" i="38"/>
  <c r="E5641" i="38"/>
  <c r="C5641" i="38"/>
  <c r="H5640" i="38"/>
  <c r="G5640" i="38"/>
  <c r="E5640" i="38"/>
  <c r="D5640" i="38"/>
  <c r="C5640" i="38"/>
  <c r="H5639" i="38"/>
  <c r="G5639" i="38"/>
  <c r="E5639" i="38"/>
  <c r="D5639" i="38"/>
  <c r="C5639" i="38"/>
  <c r="H5638" i="38"/>
  <c r="G5638" i="38"/>
  <c r="E5638" i="38"/>
  <c r="D5638" i="38"/>
  <c r="C5638" i="38"/>
  <c r="H5637" i="38"/>
  <c r="G5637" i="38"/>
  <c r="E5637" i="38"/>
  <c r="D5637" i="38"/>
  <c r="C5637" i="38"/>
  <c r="J5636" i="38"/>
  <c r="I5636" i="38"/>
  <c r="H5636" i="38"/>
  <c r="G5636" i="38"/>
  <c r="F5636" i="38"/>
  <c r="E5636" i="38"/>
  <c r="D5636" i="38"/>
  <c r="C5636" i="38"/>
  <c r="J5635" i="38"/>
  <c r="I5635" i="38"/>
  <c r="H5635" i="38"/>
  <c r="G5635" i="38"/>
  <c r="F5635" i="38"/>
  <c r="E5635" i="38"/>
  <c r="D5635" i="38"/>
  <c r="C5635" i="38"/>
  <c r="J5634" i="38"/>
  <c r="I5634" i="38"/>
  <c r="H5634" i="38"/>
  <c r="G5634" i="38"/>
  <c r="F5634" i="38"/>
  <c r="E5634" i="38"/>
  <c r="D5634" i="38"/>
  <c r="C5634" i="38"/>
  <c r="J5633" i="38"/>
  <c r="I5633" i="38"/>
  <c r="H5633" i="38"/>
  <c r="G5633" i="38"/>
  <c r="E5633" i="38"/>
  <c r="D5633" i="38"/>
  <c r="C5633" i="38"/>
  <c r="J5632" i="38"/>
  <c r="I5632" i="38"/>
  <c r="H5632" i="38"/>
  <c r="G5632" i="38"/>
  <c r="F5632" i="38"/>
  <c r="E5632" i="38"/>
  <c r="C5632" i="38"/>
  <c r="H5631" i="38"/>
  <c r="G5631" i="38"/>
  <c r="E5631" i="38"/>
  <c r="C5631" i="38"/>
  <c r="H5630" i="38"/>
  <c r="G5630" i="38"/>
  <c r="E5630" i="38"/>
  <c r="D5630" i="38"/>
  <c r="C5630" i="38"/>
  <c r="H5629" i="38"/>
  <c r="G5629" i="38"/>
  <c r="E5629" i="38"/>
  <c r="D5629" i="38"/>
  <c r="C5629" i="38"/>
  <c r="H5628" i="38"/>
  <c r="G5628" i="38"/>
  <c r="E5628" i="38"/>
  <c r="D5628" i="38"/>
  <c r="C5628" i="38"/>
  <c r="H5627" i="38"/>
  <c r="G5627" i="38"/>
  <c r="E5627" i="38"/>
  <c r="D5627" i="38"/>
  <c r="C5627" i="38"/>
  <c r="J5626" i="38"/>
  <c r="I5626" i="38"/>
  <c r="H5626" i="38"/>
  <c r="G5626" i="38"/>
  <c r="F5626" i="38"/>
  <c r="E5626" i="38"/>
  <c r="D5626" i="38"/>
  <c r="C5626" i="38"/>
  <c r="J5625" i="38"/>
  <c r="I5625" i="38"/>
  <c r="H5625" i="38"/>
  <c r="G5625" i="38"/>
  <c r="F5625" i="38"/>
  <c r="E5625" i="38"/>
  <c r="D5625" i="38"/>
  <c r="C5625" i="38"/>
  <c r="J5624" i="38"/>
  <c r="I5624" i="38"/>
  <c r="H5624" i="38"/>
  <c r="G5624" i="38"/>
  <c r="F5624" i="38"/>
  <c r="E5624" i="38"/>
  <c r="D5624" i="38"/>
  <c r="C5624" i="38"/>
  <c r="J5623" i="38"/>
  <c r="I5623" i="38"/>
  <c r="H5623" i="38"/>
  <c r="G5623" i="38"/>
  <c r="E5623" i="38"/>
  <c r="D5623" i="38"/>
  <c r="C5623" i="38"/>
  <c r="J5622" i="38"/>
  <c r="I5622" i="38"/>
  <c r="H5622" i="38"/>
  <c r="G5622" i="38"/>
  <c r="F5622" i="38"/>
  <c r="E5622" i="38"/>
  <c r="C5622" i="38"/>
  <c r="H5621" i="38"/>
  <c r="G5621" i="38"/>
  <c r="E5621" i="38"/>
  <c r="C5621" i="38"/>
  <c r="H5620" i="38"/>
  <c r="G5620" i="38"/>
  <c r="E5620" i="38"/>
  <c r="D5620" i="38"/>
  <c r="C5620" i="38"/>
  <c r="H5619" i="38"/>
  <c r="G5619" i="38"/>
  <c r="E5619" i="38"/>
  <c r="D5619" i="38"/>
  <c r="C5619" i="38"/>
  <c r="H5618" i="38"/>
  <c r="G5618" i="38"/>
  <c r="E5618" i="38"/>
  <c r="D5618" i="38"/>
  <c r="C5618" i="38"/>
  <c r="H5617" i="38"/>
  <c r="G5617" i="38"/>
  <c r="E5617" i="38"/>
  <c r="D5617" i="38"/>
  <c r="C5617" i="38"/>
  <c r="J5616" i="38"/>
  <c r="I5616" i="38"/>
  <c r="H5616" i="38"/>
  <c r="G5616" i="38"/>
  <c r="F5616" i="38"/>
  <c r="E5616" i="38"/>
  <c r="D5616" i="38"/>
  <c r="C5616" i="38"/>
  <c r="J5615" i="38"/>
  <c r="I5615" i="38"/>
  <c r="H5615" i="38"/>
  <c r="G5615" i="38"/>
  <c r="F5615" i="38"/>
  <c r="E5615" i="38"/>
  <c r="D5615" i="38"/>
  <c r="C5615" i="38"/>
  <c r="J5614" i="38"/>
  <c r="I5614" i="38"/>
  <c r="H5614" i="38"/>
  <c r="G5614" i="38"/>
  <c r="F5614" i="38"/>
  <c r="E5614" i="38"/>
  <c r="D5614" i="38"/>
  <c r="C5614" i="38"/>
  <c r="J5613" i="38"/>
  <c r="I5613" i="38"/>
  <c r="H5613" i="38"/>
  <c r="G5613" i="38"/>
  <c r="E5613" i="38"/>
  <c r="D5613" i="38"/>
  <c r="C5613" i="38"/>
  <c r="J5612" i="38"/>
  <c r="I5612" i="38"/>
  <c r="H5612" i="38"/>
  <c r="G5612" i="38"/>
  <c r="F5612" i="38"/>
  <c r="E5612" i="38"/>
  <c r="C5612" i="38"/>
  <c r="H5611" i="38"/>
  <c r="G5611" i="38"/>
  <c r="E5611" i="38"/>
  <c r="C5611" i="38"/>
  <c r="H5610" i="38"/>
  <c r="G5610" i="38"/>
  <c r="E5610" i="38"/>
  <c r="D5610" i="38"/>
  <c r="C5610" i="38"/>
  <c r="H5609" i="38"/>
  <c r="G5609" i="38"/>
  <c r="E5609" i="38"/>
  <c r="D5609" i="38"/>
  <c r="C5609" i="38"/>
  <c r="H5608" i="38"/>
  <c r="G5608" i="38"/>
  <c r="E5608" i="38"/>
  <c r="D5608" i="38"/>
  <c r="C5608" i="38"/>
  <c r="H5607" i="38"/>
  <c r="G5607" i="38"/>
  <c r="E5607" i="38"/>
  <c r="D5607" i="38"/>
  <c r="C5607" i="38"/>
  <c r="J5606" i="38"/>
  <c r="I5606" i="38"/>
  <c r="H5606" i="38"/>
  <c r="G5606" i="38"/>
  <c r="F5606" i="38"/>
  <c r="E5606" i="38"/>
  <c r="D5606" i="38"/>
  <c r="C5606" i="38"/>
  <c r="J5605" i="38"/>
  <c r="I5605" i="38"/>
  <c r="H5605" i="38"/>
  <c r="G5605" i="38"/>
  <c r="F5605" i="38"/>
  <c r="E5605" i="38"/>
  <c r="D5605" i="38"/>
  <c r="C5605" i="38"/>
  <c r="J5604" i="38"/>
  <c r="I5604" i="38"/>
  <c r="H5604" i="38"/>
  <c r="G5604" i="38"/>
  <c r="F5604" i="38"/>
  <c r="E5604" i="38"/>
  <c r="D5604" i="38"/>
  <c r="C5604" i="38"/>
  <c r="J5603" i="38"/>
  <c r="I5603" i="38"/>
  <c r="H5603" i="38"/>
  <c r="G5603" i="38"/>
  <c r="E5603" i="38"/>
  <c r="D5603" i="38"/>
  <c r="C5603" i="38"/>
  <c r="J5602" i="38"/>
  <c r="I5602" i="38"/>
  <c r="H5602" i="38"/>
  <c r="G5602" i="38"/>
  <c r="F5602" i="38"/>
  <c r="E5602" i="38"/>
  <c r="C5602" i="38"/>
  <c r="H5601" i="38"/>
  <c r="G5601" i="38"/>
  <c r="E5601" i="38"/>
  <c r="C5601" i="38"/>
  <c r="H5600" i="38"/>
  <c r="G5600" i="38"/>
  <c r="E5600" i="38"/>
  <c r="D5600" i="38"/>
  <c r="C5600" i="38"/>
  <c r="H5599" i="38"/>
  <c r="G5599" i="38"/>
  <c r="E5599" i="38"/>
  <c r="D5599" i="38"/>
  <c r="C5599" i="38"/>
  <c r="H5598" i="38"/>
  <c r="G5598" i="38"/>
  <c r="E5598" i="38"/>
  <c r="D5598" i="38"/>
  <c r="C5598" i="38"/>
  <c r="H5597" i="38"/>
  <c r="G5597" i="38"/>
  <c r="E5597" i="38"/>
  <c r="D5597" i="38"/>
  <c r="C5597" i="38"/>
  <c r="J5596" i="38"/>
  <c r="I5596" i="38"/>
  <c r="H5596" i="38"/>
  <c r="G5596" i="38"/>
  <c r="F5596" i="38"/>
  <c r="E5596" i="38"/>
  <c r="D5596" i="38"/>
  <c r="C5596" i="38"/>
  <c r="J5595" i="38"/>
  <c r="I5595" i="38"/>
  <c r="H5595" i="38"/>
  <c r="G5595" i="38"/>
  <c r="F5595" i="38"/>
  <c r="E5595" i="38"/>
  <c r="D5595" i="38"/>
  <c r="C5595" i="38"/>
  <c r="J5594" i="38"/>
  <c r="I5594" i="38"/>
  <c r="H5594" i="38"/>
  <c r="G5594" i="38"/>
  <c r="F5594" i="38"/>
  <c r="E5594" i="38"/>
  <c r="D5594" i="38"/>
  <c r="C5594" i="38"/>
  <c r="J5593" i="38"/>
  <c r="I5593" i="38"/>
  <c r="H5593" i="38"/>
  <c r="G5593" i="38"/>
  <c r="E5593" i="38"/>
  <c r="D5593" i="38"/>
  <c r="C5593" i="38"/>
  <c r="J5592" i="38"/>
  <c r="I5592" i="38"/>
  <c r="H5592" i="38"/>
  <c r="G5592" i="38"/>
  <c r="F5592" i="38"/>
  <c r="E5592" i="38"/>
  <c r="C5592" i="38"/>
  <c r="H5591" i="38"/>
  <c r="G5591" i="38"/>
  <c r="E5591" i="38"/>
  <c r="C5591" i="38"/>
  <c r="H5590" i="38"/>
  <c r="G5590" i="38"/>
  <c r="E5590" i="38"/>
  <c r="D5590" i="38"/>
  <c r="C5590" i="38"/>
  <c r="H5589" i="38"/>
  <c r="G5589" i="38"/>
  <c r="E5589" i="38"/>
  <c r="D5589" i="38"/>
  <c r="C5589" i="38"/>
  <c r="H5588" i="38"/>
  <c r="G5588" i="38"/>
  <c r="E5588" i="38"/>
  <c r="D5588" i="38"/>
  <c r="C5588" i="38"/>
  <c r="H5587" i="38"/>
  <c r="G5587" i="38"/>
  <c r="E5587" i="38"/>
  <c r="D5587" i="38"/>
  <c r="C5587" i="38"/>
  <c r="J5586" i="38"/>
  <c r="I5586" i="38"/>
  <c r="H5586" i="38"/>
  <c r="G5586" i="38"/>
  <c r="F5586" i="38"/>
  <c r="E5586" i="38"/>
  <c r="D5586" i="38"/>
  <c r="C5586" i="38"/>
  <c r="J5585" i="38"/>
  <c r="I5585" i="38"/>
  <c r="H5585" i="38"/>
  <c r="G5585" i="38"/>
  <c r="F5585" i="38"/>
  <c r="E5585" i="38"/>
  <c r="D5585" i="38"/>
  <c r="C5585" i="38"/>
  <c r="J5584" i="38"/>
  <c r="I5584" i="38"/>
  <c r="H5584" i="38"/>
  <c r="G5584" i="38"/>
  <c r="F5584" i="38"/>
  <c r="E5584" i="38"/>
  <c r="D5584" i="38"/>
  <c r="C5584" i="38"/>
  <c r="J5583" i="38"/>
  <c r="I5583" i="38"/>
  <c r="H5583" i="38"/>
  <c r="G5583" i="38"/>
  <c r="E5583" i="38"/>
  <c r="D5583" i="38"/>
  <c r="C5583" i="38"/>
  <c r="J5582" i="38"/>
  <c r="I5582" i="38"/>
  <c r="H5582" i="38"/>
  <c r="G5582" i="38"/>
  <c r="F5582" i="38"/>
  <c r="E5582" i="38"/>
  <c r="C5582" i="38"/>
  <c r="H5581" i="38"/>
  <c r="G5581" i="38"/>
  <c r="E5581" i="38"/>
  <c r="C5581" i="38"/>
  <c r="H5580" i="38"/>
  <c r="G5580" i="38"/>
  <c r="E5580" i="38"/>
  <c r="D5580" i="38"/>
  <c r="C5580" i="38"/>
  <c r="H5579" i="38"/>
  <c r="G5579" i="38"/>
  <c r="E5579" i="38"/>
  <c r="D5579" i="38"/>
  <c r="C5579" i="38"/>
  <c r="H5578" i="38"/>
  <c r="G5578" i="38"/>
  <c r="E5578" i="38"/>
  <c r="D5578" i="38"/>
  <c r="C5578" i="38"/>
  <c r="H5577" i="38"/>
  <c r="G5577" i="38"/>
  <c r="E5577" i="38"/>
  <c r="D5577" i="38"/>
  <c r="C5577" i="38"/>
  <c r="J5576" i="38"/>
  <c r="I5576" i="38"/>
  <c r="H5576" i="38"/>
  <c r="G5576" i="38"/>
  <c r="F5576" i="38"/>
  <c r="E5576" i="38"/>
  <c r="D5576" i="38"/>
  <c r="C5576" i="38"/>
  <c r="J5575" i="38"/>
  <c r="I5575" i="38"/>
  <c r="H5575" i="38"/>
  <c r="G5575" i="38"/>
  <c r="F5575" i="38"/>
  <c r="E5575" i="38"/>
  <c r="D5575" i="38"/>
  <c r="C5575" i="38"/>
  <c r="J5574" i="38"/>
  <c r="I5574" i="38"/>
  <c r="H5574" i="38"/>
  <c r="G5574" i="38"/>
  <c r="F5574" i="38"/>
  <c r="E5574" i="38"/>
  <c r="D5574" i="38"/>
  <c r="C5574" i="38"/>
  <c r="J5573" i="38"/>
  <c r="I5573" i="38"/>
  <c r="H5573" i="38"/>
  <c r="G5573" i="38"/>
  <c r="E5573" i="38"/>
  <c r="D5573" i="38"/>
  <c r="C5573" i="38"/>
  <c r="J5572" i="38"/>
  <c r="I5572" i="38"/>
  <c r="H5572" i="38"/>
  <c r="G5572" i="38"/>
  <c r="F5572" i="38"/>
  <c r="E5572" i="38"/>
  <c r="C5572" i="38"/>
  <c r="H5571" i="38"/>
  <c r="G5571" i="38"/>
  <c r="E5571" i="38"/>
  <c r="C5571" i="38"/>
  <c r="J5570" i="38"/>
  <c r="I5570" i="38"/>
  <c r="H5570" i="38"/>
  <c r="G5570" i="38"/>
  <c r="F5570" i="38"/>
  <c r="E5570" i="38"/>
  <c r="D5570" i="38"/>
  <c r="C5570" i="38"/>
  <c r="J5569" i="38"/>
  <c r="I5569" i="38"/>
  <c r="H5569" i="38"/>
  <c r="G5569" i="38"/>
  <c r="F5569" i="38"/>
  <c r="E5569" i="38"/>
  <c r="D5569" i="38"/>
  <c r="C5569" i="38"/>
  <c r="J5568" i="38"/>
  <c r="I5568" i="38"/>
  <c r="H5568" i="38"/>
  <c r="G5568" i="38"/>
  <c r="F5568" i="38"/>
  <c r="E5568" i="38"/>
  <c r="D5568" i="38"/>
  <c r="C5568" i="38"/>
  <c r="J5567" i="38"/>
  <c r="I5567" i="38"/>
  <c r="H5567" i="38"/>
  <c r="G5567" i="38"/>
  <c r="F5567" i="38"/>
  <c r="E5567" i="38"/>
  <c r="D5567" i="38"/>
  <c r="C5567" i="38"/>
  <c r="J5566" i="38"/>
  <c r="I5566" i="38"/>
  <c r="H5566" i="38"/>
  <c r="G5566" i="38"/>
  <c r="F5566" i="38"/>
  <c r="E5566" i="38"/>
  <c r="D5566" i="38"/>
  <c r="C5566" i="38"/>
  <c r="J5565" i="38"/>
  <c r="I5565" i="38"/>
  <c r="H5565" i="38"/>
  <c r="G5565" i="38"/>
  <c r="F5565" i="38"/>
  <c r="E5565" i="38"/>
  <c r="D5565" i="38"/>
  <c r="C5565" i="38"/>
  <c r="J5564" i="38"/>
  <c r="I5564" i="38"/>
  <c r="H5564" i="38"/>
  <c r="G5564" i="38"/>
  <c r="F5564" i="38"/>
  <c r="E5564" i="38"/>
  <c r="D5564" i="38"/>
  <c r="C5564" i="38"/>
  <c r="J5563" i="38"/>
  <c r="I5563" i="38"/>
  <c r="H5563" i="38"/>
  <c r="G5563" i="38"/>
  <c r="F5563" i="38"/>
  <c r="E5563" i="38"/>
  <c r="D5563" i="38"/>
  <c r="C5563" i="38"/>
  <c r="J5562" i="38"/>
  <c r="I5562" i="38"/>
  <c r="H5562" i="38"/>
  <c r="G5562" i="38"/>
  <c r="F5562" i="38"/>
  <c r="E5562" i="38"/>
  <c r="D5562" i="38"/>
  <c r="C5562" i="38"/>
  <c r="J5561" i="38"/>
  <c r="I5561" i="38"/>
  <c r="H5561" i="38"/>
  <c r="G5561" i="38"/>
  <c r="F5561" i="38"/>
  <c r="E5561" i="38"/>
  <c r="D5561" i="38"/>
  <c r="C5561" i="38"/>
  <c r="J5560" i="38"/>
  <c r="I5560" i="38"/>
  <c r="H5560" i="38"/>
  <c r="G5560" i="38"/>
  <c r="F5560" i="38"/>
  <c r="E5560" i="38"/>
  <c r="D5560" i="38"/>
  <c r="C5560" i="38"/>
  <c r="J5559" i="38"/>
  <c r="I5559" i="38"/>
  <c r="H5559" i="38"/>
  <c r="G5559" i="38"/>
  <c r="F5559" i="38"/>
  <c r="E5559" i="38"/>
  <c r="D5559" i="38"/>
  <c r="C5559" i="38"/>
  <c r="J5558" i="38"/>
  <c r="I5558" i="38"/>
  <c r="H5558" i="38"/>
  <c r="G5558" i="38"/>
  <c r="F5558" i="38"/>
  <c r="E5558" i="38"/>
  <c r="D5558" i="38"/>
  <c r="C5558" i="38"/>
  <c r="J5557" i="38"/>
  <c r="I5557" i="38"/>
  <c r="H5557" i="38"/>
  <c r="G5557" i="38"/>
  <c r="F5557" i="38"/>
  <c r="E5557" i="38"/>
  <c r="D5557" i="38"/>
  <c r="C5557" i="38"/>
  <c r="J5556" i="38"/>
  <c r="I5556" i="38"/>
  <c r="H5556" i="38"/>
  <c r="G5556" i="38"/>
  <c r="F5556" i="38"/>
  <c r="E5556" i="38"/>
  <c r="D5556" i="38"/>
  <c r="C5556" i="38"/>
  <c r="J5555" i="38"/>
  <c r="I5555" i="38"/>
  <c r="H5555" i="38"/>
  <c r="G5555" i="38"/>
  <c r="F5555" i="38"/>
  <c r="E5555" i="38"/>
  <c r="D5555" i="38"/>
  <c r="C5555" i="38"/>
  <c r="J5554" i="38"/>
  <c r="I5554" i="38"/>
  <c r="H5554" i="38"/>
  <c r="G5554" i="38"/>
  <c r="F5554" i="38"/>
  <c r="E5554" i="38"/>
  <c r="D5554" i="38"/>
  <c r="C5554" i="38"/>
  <c r="J5553" i="38"/>
  <c r="I5553" i="38"/>
  <c r="H5553" i="38"/>
  <c r="G5553" i="38"/>
  <c r="E5553" i="38"/>
  <c r="D5553" i="38"/>
  <c r="C5553" i="38"/>
  <c r="J5552" i="38"/>
  <c r="I5552" i="38"/>
  <c r="H5552" i="38"/>
  <c r="G5552" i="38"/>
  <c r="F5552" i="38"/>
  <c r="E5552" i="38"/>
  <c r="C5552" i="38"/>
  <c r="H5551" i="38"/>
  <c r="G5551" i="38"/>
  <c r="E5551" i="38"/>
  <c r="C5551" i="38"/>
  <c r="H5550" i="38"/>
  <c r="G5550" i="38"/>
  <c r="E5550" i="38"/>
  <c r="D5550" i="38"/>
  <c r="C5550" i="38"/>
  <c r="H5549" i="38"/>
  <c r="G5549" i="38"/>
  <c r="E5549" i="38"/>
  <c r="D5549" i="38"/>
  <c r="C5549" i="38"/>
  <c r="H5548" i="38"/>
  <c r="G5548" i="38"/>
  <c r="E5548" i="38"/>
  <c r="D5548" i="38"/>
  <c r="C5548" i="38"/>
  <c r="H5547" i="38"/>
  <c r="G5547" i="38"/>
  <c r="E5547" i="38"/>
  <c r="D5547" i="38"/>
  <c r="C5547" i="38"/>
  <c r="J5546" i="38"/>
  <c r="I5546" i="38"/>
  <c r="H5546" i="38"/>
  <c r="G5546" i="38"/>
  <c r="F5546" i="38"/>
  <c r="E5546" i="38"/>
  <c r="D5546" i="38"/>
  <c r="C5546" i="38"/>
  <c r="J5545" i="38"/>
  <c r="I5545" i="38"/>
  <c r="H5545" i="38"/>
  <c r="G5545" i="38"/>
  <c r="F5545" i="38"/>
  <c r="E5545" i="38"/>
  <c r="D5545" i="38"/>
  <c r="C5545" i="38"/>
  <c r="J5544" i="38"/>
  <c r="I5544" i="38"/>
  <c r="H5544" i="38"/>
  <c r="G5544" i="38"/>
  <c r="F5544" i="38"/>
  <c r="E5544" i="38"/>
  <c r="D5544" i="38"/>
  <c r="C5544" i="38"/>
  <c r="J5543" i="38"/>
  <c r="I5543" i="38"/>
  <c r="H5543" i="38"/>
  <c r="G5543" i="38"/>
  <c r="E5543" i="38"/>
  <c r="D5543" i="38"/>
  <c r="C5543" i="38"/>
  <c r="J5542" i="38"/>
  <c r="I5542" i="38"/>
  <c r="H5542" i="38"/>
  <c r="G5542" i="38"/>
  <c r="F5542" i="38"/>
  <c r="E5542" i="38"/>
  <c r="C5542" i="38"/>
  <c r="H5541" i="38"/>
  <c r="G5541" i="38"/>
  <c r="E5541" i="38"/>
  <c r="C5541" i="38"/>
  <c r="H5540" i="38"/>
  <c r="G5540" i="38"/>
  <c r="E5540" i="38"/>
  <c r="D5540" i="38"/>
  <c r="C5540" i="38"/>
  <c r="H5539" i="38"/>
  <c r="G5539" i="38"/>
  <c r="E5539" i="38"/>
  <c r="D5539" i="38"/>
  <c r="C5539" i="38"/>
  <c r="H5538" i="38"/>
  <c r="G5538" i="38"/>
  <c r="E5538" i="38"/>
  <c r="D5538" i="38"/>
  <c r="C5538" i="38"/>
  <c r="H5537" i="38"/>
  <c r="G5537" i="38"/>
  <c r="E5537" i="38"/>
  <c r="D5537" i="38"/>
  <c r="C5537" i="38"/>
  <c r="J5536" i="38"/>
  <c r="I5536" i="38"/>
  <c r="H5536" i="38"/>
  <c r="G5536" i="38"/>
  <c r="F5536" i="38"/>
  <c r="E5536" i="38"/>
  <c r="D5536" i="38"/>
  <c r="C5536" i="38"/>
  <c r="J5535" i="38"/>
  <c r="I5535" i="38"/>
  <c r="H5535" i="38"/>
  <c r="G5535" i="38"/>
  <c r="F5535" i="38"/>
  <c r="E5535" i="38"/>
  <c r="D5535" i="38"/>
  <c r="C5535" i="38"/>
  <c r="J5534" i="38"/>
  <c r="I5534" i="38"/>
  <c r="H5534" i="38"/>
  <c r="G5534" i="38"/>
  <c r="F5534" i="38"/>
  <c r="E5534" i="38"/>
  <c r="D5534" i="38"/>
  <c r="C5534" i="38"/>
  <c r="J5533" i="38"/>
  <c r="I5533" i="38"/>
  <c r="H5533" i="38"/>
  <c r="G5533" i="38"/>
  <c r="E5533" i="38"/>
  <c r="D5533" i="38"/>
  <c r="C5533" i="38"/>
  <c r="J5532" i="38"/>
  <c r="I5532" i="38"/>
  <c r="H5532" i="38"/>
  <c r="G5532" i="38"/>
  <c r="F5532" i="38"/>
  <c r="E5532" i="38"/>
  <c r="C5532" i="38"/>
  <c r="H5531" i="38"/>
  <c r="G5531" i="38"/>
  <c r="E5531" i="38"/>
  <c r="C5531" i="38"/>
  <c r="H5530" i="38"/>
  <c r="G5530" i="38"/>
  <c r="E5530" i="38"/>
  <c r="D5530" i="38"/>
  <c r="C5530" i="38"/>
  <c r="H5529" i="38"/>
  <c r="G5529" i="38"/>
  <c r="E5529" i="38"/>
  <c r="D5529" i="38"/>
  <c r="C5529" i="38"/>
  <c r="H5528" i="38"/>
  <c r="G5528" i="38"/>
  <c r="E5528" i="38"/>
  <c r="D5528" i="38"/>
  <c r="C5528" i="38"/>
  <c r="H5527" i="38"/>
  <c r="G5527" i="38"/>
  <c r="E5527" i="38"/>
  <c r="D5527" i="38"/>
  <c r="C5527" i="38"/>
  <c r="J5526" i="38"/>
  <c r="I5526" i="38"/>
  <c r="H5526" i="38"/>
  <c r="G5526" i="38"/>
  <c r="F5526" i="38"/>
  <c r="E5526" i="38"/>
  <c r="D5526" i="38"/>
  <c r="C5526" i="38"/>
  <c r="J5525" i="38"/>
  <c r="I5525" i="38"/>
  <c r="H5525" i="38"/>
  <c r="G5525" i="38"/>
  <c r="F5525" i="38"/>
  <c r="E5525" i="38"/>
  <c r="D5525" i="38"/>
  <c r="C5525" i="38"/>
  <c r="J5524" i="38"/>
  <c r="I5524" i="38"/>
  <c r="H5524" i="38"/>
  <c r="G5524" i="38"/>
  <c r="F5524" i="38"/>
  <c r="E5524" i="38"/>
  <c r="D5524" i="38"/>
  <c r="C5524" i="38"/>
  <c r="J5523" i="38"/>
  <c r="I5523" i="38"/>
  <c r="H5523" i="38"/>
  <c r="G5523" i="38"/>
  <c r="E5523" i="38"/>
  <c r="D5523" i="38"/>
  <c r="C5523" i="38"/>
  <c r="J5522" i="38"/>
  <c r="I5522" i="38"/>
  <c r="H5522" i="38"/>
  <c r="G5522" i="38"/>
  <c r="F5522" i="38"/>
  <c r="E5522" i="38"/>
  <c r="C5522" i="38"/>
  <c r="H5521" i="38"/>
  <c r="G5521" i="38"/>
  <c r="E5521" i="38"/>
  <c r="C5521" i="38"/>
  <c r="H5520" i="38"/>
  <c r="G5520" i="38"/>
  <c r="E5520" i="38"/>
  <c r="D5520" i="38"/>
  <c r="C5520" i="38"/>
  <c r="H5519" i="38"/>
  <c r="G5519" i="38"/>
  <c r="E5519" i="38"/>
  <c r="D5519" i="38"/>
  <c r="C5519" i="38"/>
  <c r="H5518" i="38"/>
  <c r="G5518" i="38"/>
  <c r="E5518" i="38"/>
  <c r="D5518" i="38"/>
  <c r="C5518" i="38"/>
  <c r="H5517" i="38"/>
  <c r="G5517" i="38"/>
  <c r="E5517" i="38"/>
  <c r="D5517" i="38"/>
  <c r="C5517" i="38"/>
  <c r="J5516" i="38"/>
  <c r="I5516" i="38"/>
  <c r="H5516" i="38"/>
  <c r="G5516" i="38"/>
  <c r="F5516" i="38"/>
  <c r="E5516" i="38"/>
  <c r="D5516" i="38"/>
  <c r="C5516" i="38"/>
  <c r="J5515" i="38"/>
  <c r="I5515" i="38"/>
  <c r="H5515" i="38"/>
  <c r="G5515" i="38"/>
  <c r="F5515" i="38"/>
  <c r="E5515" i="38"/>
  <c r="D5515" i="38"/>
  <c r="C5515" i="38"/>
  <c r="J5514" i="38"/>
  <c r="I5514" i="38"/>
  <c r="H5514" i="38"/>
  <c r="G5514" i="38"/>
  <c r="F5514" i="38"/>
  <c r="E5514" i="38"/>
  <c r="D5514" i="38"/>
  <c r="C5514" i="38"/>
  <c r="J5513" i="38"/>
  <c r="I5513" i="38"/>
  <c r="H5513" i="38"/>
  <c r="G5513" i="38"/>
  <c r="E5513" i="38"/>
  <c r="D5513" i="38"/>
  <c r="C5513" i="38"/>
  <c r="J5512" i="38"/>
  <c r="I5512" i="38"/>
  <c r="H5512" i="38"/>
  <c r="G5512" i="38"/>
  <c r="F5512" i="38"/>
  <c r="E5512" i="38"/>
  <c r="C5512" i="38"/>
  <c r="H5511" i="38"/>
  <c r="G5511" i="38"/>
  <c r="E5511" i="38"/>
  <c r="C5511" i="38"/>
  <c r="H5510" i="38"/>
  <c r="G5510" i="38"/>
  <c r="E5510" i="38"/>
  <c r="D5510" i="38"/>
  <c r="C5510" i="38"/>
  <c r="H5509" i="38"/>
  <c r="G5509" i="38"/>
  <c r="E5509" i="38"/>
  <c r="D5509" i="38"/>
  <c r="C5509" i="38"/>
  <c r="H5508" i="38"/>
  <c r="G5508" i="38"/>
  <c r="E5508" i="38"/>
  <c r="D5508" i="38"/>
  <c r="C5508" i="38"/>
  <c r="H5507" i="38"/>
  <c r="G5507" i="38"/>
  <c r="E5507" i="38"/>
  <c r="D5507" i="38"/>
  <c r="C5507" i="38"/>
  <c r="J5506" i="38"/>
  <c r="I5506" i="38"/>
  <c r="H5506" i="38"/>
  <c r="G5506" i="38"/>
  <c r="F5506" i="38"/>
  <c r="E5506" i="38"/>
  <c r="D5506" i="38"/>
  <c r="C5506" i="38"/>
  <c r="J5505" i="38"/>
  <c r="I5505" i="38"/>
  <c r="H5505" i="38"/>
  <c r="G5505" i="38"/>
  <c r="F5505" i="38"/>
  <c r="E5505" i="38"/>
  <c r="D5505" i="38"/>
  <c r="C5505" i="38"/>
  <c r="J5504" i="38"/>
  <c r="I5504" i="38"/>
  <c r="H5504" i="38"/>
  <c r="G5504" i="38"/>
  <c r="F5504" i="38"/>
  <c r="E5504" i="38"/>
  <c r="D5504" i="38"/>
  <c r="C5504" i="38"/>
  <c r="J5503" i="38"/>
  <c r="I5503" i="38"/>
  <c r="H5503" i="38"/>
  <c r="G5503" i="38"/>
  <c r="E5503" i="38"/>
  <c r="D5503" i="38"/>
  <c r="C5503" i="38"/>
  <c r="J5502" i="38"/>
  <c r="I5502" i="38"/>
  <c r="H5502" i="38"/>
  <c r="G5502" i="38"/>
  <c r="F5502" i="38"/>
  <c r="E5502" i="38"/>
  <c r="C5502" i="38"/>
  <c r="H5501" i="38"/>
  <c r="G5501" i="38"/>
  <c r="E5501" i="38"/>
  <c r="C5501" i="38"/>
  <c r="H5500" i="38"/>
  <c r="G5500" i="38"/>
  <c r="E5500" i="38"/>
  <c r="D5500" i="38"/>
  <c r="C5500" i="38"/>
  <c r="H5499" i="38"/>
  <c r="G5499" i="38"/>
  <c r="E5499" i="38"/>
  <c r="D5499" i="38"/>
  <c r="C5499" i="38"/>
  <c r="H5498" i="38"/>
  <c r="G5498" i="38"/>
  <c r="E5498" i="38"/>
  <c r="D5498" i="38"/>
  <c r="C5498" i="38"/>
  <c r="H5497" i="38"/>
  <c r="G5497" i="38"/>
  <c r="E5497" i="38"/>
  <c r="D5497" i="38"/>
  <c r="C5497" i="38"/>
  <c r="J5496" i="38"/>
  <c r="I5496" i="38"/>
  <c r="H5496" i="38"/>
  <c r="G5496" i="38"/>
  <c r="F5496" i="38"/>
  <c r="E5496" i="38"/>
  <c r="D5496" i="38"/>
  <c r="C5496" i="38"/>
  <c r="J5495" i="38"/>
  <c r="I5495" i="38"/>
  <c r="H5495" i="38"/>
  <c r="G5495" i="38"/>
  <c r="F5495" i="38"/>
  <c r="E5495" i="38"/>
  <c r="D5495" i="38"/>
  <c r="C5495" i="38"/>
  <c r="J5494" i="38"/>
  <c r="I5494" i="38"/>
  <c r="H5494" i="38"/>
  <c r="G5494" i="38"/>
  <c r="F5494" i="38"/>
  <c r="E5494" i="38"/>
  <c r="D5494" i="38"/>
  <c r="C5494" i="38"/>
  <c r="J5493" i="38"/>
  <c r="I5493" i="38"/>
  <c r="H5493" i="38"/>
  <c r="G5493" i="38"/>
  <c r="E5493" i="38"/>
  <c r="D5493" i="38"/>
  <c r="C5493" i="38"/>
  <c r="J5492" i="38"/>
  <c r="I5492" i="38"/>
  <c r="H5492" i="38"/>
  <c r="G5492" i="38"/>
  <c r="F5492" i="38"/>
  <c r="E5492" i="38"/>
  <c r="C5492" i="38"/>
  <c r="H5491" i="38"/>
  <c r="G5491" i="38"/>
  <c r="E5491" i="38"/>
  <c r="C5491" i="38"/>
  <c r="H5490" i="38"/>
  <c r="G5490" i="38"/>
  <c r="E5490" i="38"/>
  <c r="D5490" i="38"/>
  <c r="C5490" i="38"/>
  <c r="H5489" i="38"/>
  <c r="G5489" i="38"/>
  <c r="E5489" i="38"/>
  <c r="D5489" i="38"/>
  <c r="C5489" i="38"/>
  <c r="H5488" i="38"/>
  <c r="G5488" i="38"/>
  <c r="E5488" i="38"/>
  <c r="D5488" i="38"/>
  <c r="C5488" i="38"/>
  <c r="H5487" i="38"/>
  <c r="G5487" i="38"/>
  <c r="E5487" i="38"/>
  <c r="D5487" i="38"/>
  <c r="C5487" i="38"/>
  <c r="J5486" i="38"/>
  <c r="I5486" i="38"/>
  <c r="H5486" i="38"/>
  <c r="G5486" i="38"/>
  <c r="F5486" i="38"/>
  <c r="E5486" i="38"/>
  <c r="D5486" i="38"/>
  <c r="C5486" i="38"/>
  <c r="J5485" i="38"/>
  <c r="I5485" i="38"/>
  <c r="H5485" i="38"/>
  <c r="G5485" i="38"/>
  <c r="F5485" i="38"/>
  <c r="E5485" i="38"/>
  <c r="D5485" i="38"/>
  <c r="C5485" i="38"/>
  <c r="J5484" i="38"/>
  <c r="I5484" i="38"/>
  <c r="H5484" i="38"/>
  <c r="G5484" i="38"/>
  <c r="F5484" i="38"/>
  <c r="E5484" i="38"/>
  <c r="D5484" i="38"/>
  <c r="C5484" i="38"/>
  <c r="J5483" i="38"/>
  <c r="I5483" i="38"/>
  <c r="H5483" i="38"/>
  <c r="G5483" i="38"/>
  <c r="E5483" i="38"/>
  <c r="D5483" i="38"/>
  <c r="C5483" i="38"/>
  <c r="J5482" i="38"/>
  <c r="I5482" i="38"/>
  <c r="H5482" i="38"/>
  <c r="G5482" i="38"/>
  <c r="F5482" i="38"/>
  <c r="E5482" i="38"/>
  <c r="C5482" i="38"/>
  <c r="H5481" i="38"/>
  <c r="G5481" i="38"/>
  <c r="E5481" i="38"/>
  <c r="C5481" i="38"/>
  <c r="H5480" i="38"/>
  <c r="G5480" i="38"/>
  <c r="E5480" i="38"/>
  <c r="D5480" i="38"/>
  <c r="C5480" i="38"/>
  <c r="H5479" i="38"/>
  <c r="G5479" i="38"/>
  <c r="E5479" i="38"/>
  <c r="D5479" i="38"/>
  <c r="C5479" i="38"/>
  <c r="H5478" i="38"/>
  <c r="G5478" i="38"/>
  <c r="E5478" i="38"/>
  <c r="D5478" i="38"/>
  <c r="C5478" i="38"/>
  <c r="H5477" i="38"/>
  <c r="G5477" i="38"/>
  <c r="E5477" i="38"/>
  <c r="D5477" i="38"/>
  <c r="C5477" i="38"/>
  <c r="J5476" i="38"/>
  <c r="I5476" i="38"/>
  <c r="H5476" i="38"/>
  <c r="G5476" i="38"/>
  <c r="F5476" i="38"/>
  <c r="E5476" i="38"/>
  <c r="D5476" i="38"/>
  <c r="C5476" i="38"/>
  <c r="J5475" i="38"/>
  <c r="I5475" i="38"/>
  <c r="H5475" i="38"/>
  <c r="G5475" i="38"/>
  <c r="F5475" i="38"/>
  <c r="E5475" i="38"/>
  <c r="D5475" i="38"/>
  <c r="C5475" i="38"/>
  <c r="J5474" i="38"/>
  <c r="I5474" i="38"/>
  <c r="H5474" i="38"/>
  <c r="G5474" i="38"/>
  <c r="F5474" i="38"/>
  <c r="E5474" i="38"/>
  <c r="D5474" i="38"/>
  <c r="C5474" i="38"/>
  <c r="J5473" i="38"/>
  <c r="I5473" i="38"/>
  <c r="H5473" i="38"/>
  <c r="G5473" i="38"/>
  <c r="E5473" i="38"/>
  <c r="D5473" i="38"/>
  <c r="C5473" i="38"/>
  <c r="J5472" i="38"/>
  <c r="I5472" i="38"/>
  <c r="H5472" i="38"/>
  <c r="G5472" i="38"/>
  <c r="F5472" i="38"/>
  <c r="E5472" i="38"/>
  <c r="C5472" i="38"/>
  <c r="H5471" i="38"/>
  <c r="G5471" i="38"/>
  <c r="E5471" i="38"/>
  <c r="C5471" i="38"/>
  <c r="H5470" i="38"/>
  <c r="G5470" i="38"/>
  <c r="E5470" i="38"/>
  <c r="D5470" i="38"/>
  <c r="C5470" i="38"/>
  <c r="H5469" i="38"/>
  <c r="G5469" i="38"/>
  <c r="E5469" i="38"/>
  <c r="D5469" i="38"/>
  <c r="C5469" i="38"/>
  <c r="H5468" i="38"/>
  <c r="G5468" i="38"/>
  <c r="E5468" i="38"/>
  <c r="D5468" i="38"/>
  <c r="C5468" i="38"/>
  <c r="H5467" i="38"/>
  <c r="G5467" i="38"/>
  <c r="E5467" i="38"/>
  <c r="D5467" i="38"/>
  <c r="C5467" i="38"/>
  <c r="J5466" i="38"/>
  <c r="I5466" i="38"/>
  <c r="H5466" i="38"/>
  <c r="G5466" i="38"/>
  <c r="F5466" i="38"/>
  <c r="E5466" i="38"/>
  <c r="D5466" i="38"/>
  <c r="C5466" i="38"/>
  <c r="J5465" i="38"/>
  <c r="I5465" i="38"/>
  <c r="H5465" i="38"/>
  <c r="G5465" i="38"/>
  <c r="F5465" i="38"/>
  <c r="E5465" i="38"/>
  <c r="D5465" i="38"/>
  <c r="C5465" i="38"/>
  <c r="J5464" i="38"/>
  <c r="I5464" i="38"/>
  <c r="H5464" i="38"/>
  <c r="G5464" i="38"/>
  <c r="F5464" i="38"/>
  <c r="E5464" i="38"/>
  <c r="D5464" i="38"/>
  <c r="C5464" i="38"/>
  <c r="J5463" i="38"/>
  <c r="I5463" i="38"/>
  <c r="H5463" i="38"/>
  <c r="G5463" i="38"/>
  <c r="E5463" i="38"/>
  <c r="D5463" i="38"/>
  <c r="C5463" i="38"/>
  <c r="J5462" i="38"/>
  <c r="I5462" i="38"/>
  <c r="H5462" i="38"/>
  <c r="G5462" i="38"/>
  <c r="F5462" i="38"/>
  <c r="E5462" i="38"/>
  <c r="C5462" i="38"/>
  <c r="H5461" i="38"/>
  <c r="G5461" i="38"/>
  <c r="E5461" i="38"/>
  <c r="C5461" i="38"/>
  <c r="H5460" i="38"/>
  <c r="G5460" i="38"/>
  <c r="E5460" i="38"/>
  <c r="D5460" i="38"/>
  <c r="C5460" i="38"/>
  <c r="H5459" i="38"/>
  <c r="G5459" i="38"/>
  <c r="E5459" i="38"/>
  <c r="D5459" i="38"/>
  <c r="C5459" i="38"/>
  <c r="H5458" i="38"/>
  <c r="G5458" i="38"/>
  <c r="E5458" i="38"/>
  <c r="D5458" i="38"/>
  <c r="C5458" i="38"/>
  <c r="H5457" i="38"/>
  <c r="G5457" i="38"/>
  <c r="E5457" i="38"/>
  <c r="D5457" i="38"/>
  <c r="C5457" i="38"/>
  <c r="J5456" i="38"/>
  <c r="I5456" i="38"/>
  <c r="H5456" i="38"/>
  <c r="G5456" i="38"/>
  <c r="F5456" i="38"/>
  <c r="E5456" i="38"/>
  <c r="D5456" i="38"/>
  <c r="C5456" i="38"/>
  <c r="J5455" i="38"/>
  <c r="I5455" i="38"/>
  <c r="H5455" i="38"/>
  <c r="G5455" i="38"/>
  <c r="F5455" i="38"/>
  <c r="E5455" i="38"/>
  <c r="D5455" i="38"/>
  <c r="C5455" i="38"/>
  <c r="J5454" i="38"/>
  <c r="I5454" i="38"/>
  <c r="H5454" i="38"/>
  <c r="G5454" i="38"/>
  <c r="F5454" i="38"/>
  <c r="E5454" i="38"/>
  <c r="D5454" i="38"/>
  <c r="C5454" i="38"/>
  <c r="J5453" i="38"/>
  <c r="I5453" i="38"/>
  <c r="H5453" i="38"/>
  <c r="G5453" i="38"/>
  <c r="E5453" i="38"/>
  <c r="D5453" i="38"/>
  <c r="C5453" i="38"/>
  <c r="J5452" i="38"/>
  <c r="I5452" i="38"/>
  <c r="H5452" i="38"/>
  <c r="G5452" i="38"/>
  <c r="F5452" i="38"/>
  <c r="E5452" i="38"/>
  <c r="C5452" i="38"/>
  <c r="H5451" i="38"/>
  <c r="G5451" i="38"/>
  <c r="E5451" i="38"/>
  <c r="C5451" i="38"/>
  <c r="H5450" i="38"/>
  <c r="G5450" i="38"/>
  <c r="E5450" i="38"/>
  <c r="D5450" i="38"/>
  <c r="C5450" i="38"/>
  <c r="H5449" i="38"/>
  <c r="G5449" i="38"/>
  <c r="E5449" i="38"/>
  <c r="D5449" i="38"/>
  <c r="C5449" i="38"/>
  <c r="H5448" i="38"/>
  <c r="G5448" i="38"/>
  <c r="E5448" i="38"/>
  <c r="D5448" i="38"/>
  <c r="C5448" i="38"/>
  <c r="H5447" i="38"/>
  <c r="G5447" i="38"/>
  <c r="E5447" i="38"/>
  <c r="D5447" i="38"/>
  <c r="C5447" i="38"/>
  <c r="J5446" i="38"/>
  <c r="I5446" i="38"/>
  <c r="H5446" i="38"/>
  <c r="G5446" i="38"/>
  <c r="F5446" i="38"/>
  <c r="E5446" i="38"/>
  <c r="D5446" i="38"/>
  <c r="C5446" i="38"/>
  <c r="J5445" i="38"/>
  <c r="I5445" i="38"/>
  <c r="H5445" i="38"/>
  <c r="G5445" i="38"/>
  <c r="F5445" i="38"/>
  <c r="E5445" i="38"/>
  <c r="D5445" i="38"/>
  <c r="C5445" i="38"/>
  <c r="J5444" i="38"/>
  <c r="I5444" i="38"/>
  <c r="H5444" i="38"/>
  <c r="G5444" i="38"/>
  <c r="F5444" i="38"/>
  <c r="E5444" i="38"/>
  <c r="D5444" i="38"/>
  <c r="C5444" i="38"/>
  <c r="J5443" i="38"/>
  <c r="I5443" i="38"/>
  <c r="H5443" i="38"/>
  <c r="G5443" i="38"/>
  <c r="E5443" i="38"/>
  <c r="D5443" i="38"/>
  <c r="C5443" i="38"/>
  <c r="J5442" i="38"/>
  <c r="I5442" i="38"/>
  <c r="H5442" i="38"/>
  <c r="G5442" i="38"/>
  <c r="F5442" i="38"/>
  <c r="E5442" i="38"/>
  <c r="C5442" i="38"/>
  <c r="H5441" i="38"/>
  <c r="G5441" i="38"/>
  <c r="E5441" i="38"/>
  <c r="C5441" i="38"/>
  <c r="H5440" i="38"/>
  <c r="G5440" i="38"/>
  <c r="E5440" i="38"/>
  <c r="D5440" i="38"/>
  <c r="C5440" i="38"/>
  <c r="H5439" i="38"/>
  <c r="G5439" i="38"/>
  <c r="E5439" i="38"/>
  <c r="D5439" i="38"/>
  <c r="C5439" i="38"/>
  <c r="H5438" i="38"/>
  <c r="G5438" i="38"/>
  <c r="E5438" i="38"/>
  <c r="D5438" i="38"/>
  <c r="C5438" i="38"/>
  <c r="H5437" i="38"/>
  <c r="G5437" i="38"/>
  <c r="E5437" i="38"/>
  <c r="D5437" i="38"/>
  <c r="C5437" i="38"/>
  <c r="J5436" i="38"/>
  <c r="I5436" i="38"/>
  <c r="H5436" i="38"/>
  <c r="G5436" i="38"/>
  <c r="F5436" i="38"/>
  <c r="E5436" i="38"/>
  <c r="D5436" i="38"/>
  <c r="C5436" i="38"/>
  <c r="J5435" i="38"/>
  <c r="I5435" i="38"/>
  <c r="H5435" i="38"/>
  <c r="G5435" i="38"/>
  <c r="F5435" i="38"/>
  <c r="E5435" i="38"/>
  <c r="D5435" i="38"/>
  <c r="C5435" i="38"/>
  <c r="J5434" i="38"/>
  <c r="I5434" i="38"/>
  <c r="H5434" i="38"/>
  <c r="G5434" i="38"/>
  <c r="F5434" i="38"/>
  <c r="E5434" i="38"/>
  <c r="D5434" i="38"/>
  <c r="C5434" i="38"/>
  <c r="J5433" i="38"/>
  <c r="I5433" i="38"/>
  <c r="H5433" i="38"/>
  <c r="G5433" i="38"/>
  <c r="E5433" i="38"/>
  <c r="D5433" i="38"/>
  <c r="C5433" i="38"/>
  <c r="J5432" i="38"/>
  <c r="I5432" i="38"/>
  <c r="H5432" i="38"/>
  <c r="G5432" i="38"/>
  <c r="F5432" i="38"/>
  <c r="E5432" i="38"/>
  <c r="C5432" i="38"/>
  <c r="H5431" i="38"/>
  <c r="G5431" i="38"/>
  <c r="E5431" i="38"/>
  <c r="C5431" i="38"/>
  <c r="H5430" i="38"/>
  <c r="G5430" i="38"/>
  <c r="E5430" i="38"/>
  <c r="D5430" i="38"/>
  <c r="C5430" i="38"/>
  <c r="H5429" i="38"/>
  <c r="G5429" i="38"/>
  <c r="E5429" i="38"/>
  <c r="D5429" i="38"/>
  <c r="C5429" i="38"/>
  <c r="H5428" i="38"/>
  <c r="G5428" i="38"/>
  <c r="E5428" i="38"/>
  <c r="D5428" i="38"/>
  <c r="C5428" i="38"/>
  <c r="H5427" i="38"/>
  <c r="G5427" i="38"/>
  <c r="E5427" i="38"/>
  <c r="D5427" i="38"/>
  <c r="C5427" i="38"/>
  <c r="J5426" i="38"/>
  <c r="I5426" i="38"/>
  <c r="H5426" i="38"/>
  <c r="G5426" i="38"/>
  <c r="F5426" i="38"/>
  <c r="E5426" i="38"/>
  <c r="D5426" i="38"/>
  <c r="C5426" i="38"/>
  <c r="J5425" i="38"/>
  <c r="I5425" i="38"/>
  <c r="H5425" i="38"/>
  <c r="G5425" i="38"/>
  <c r="F5425" i="38"/>
  <c r="E5425" i="38"/>
  <c r="D5425" i="38"/>
  <c r="C5425" i="38"/>
  <c r="J5424" i="38"/>
  <c r="I5424" i="38"/>
  <c r="H5424" i="38"/>
  <c r="G5424" i="38"/>
  <c r="F5424" i="38"/>
  <c r="E5424" i="38"/>
  <c r="D5424" i="38"/>
  <c r="C5424" i="38"/>
  <c r="J5423" i="38"/>
  <c r="I5423" i="38"/>
  <c r="H5423" i="38"/>
  <c r="G5423" i="38"/>
  <c r="E5423" i="38"/>
  <c r="D5423" i="38"/>
  <c r="C5423" i="38"/>
  <c r="J5422" i="38"/>
  <c r="I5422" i="38"/>
  <c r="H5422" i="38"/>
  <c r="G5422" i="38"/>
  <c r="F5422" i="38"/>
  <c r="E5422" i="38"/>
  <c r="C5422" i="38"/>
  <c r="H5421" i="38"/>
  <c r="G5421" i="38"/>
  <c r="E5421" i="38"/>
  <c r="C5421" i="38"/>
  <c r="H5420" i="38"/>
  <c r="G5420" i="38"/>
  <c r="E5420" i="38"/>
  <c r="D5420" i="38"/>
  <c r="C5420" i="38"/>
  <c r="H5419" i="38"/>
  <c r="G5419" i="38"/>
  <c r="E5419" i="38"/>
  <c r="D5419" i="38"/>
  <c r="C5419" i="38"/>
  <c r="H5418" i="38"/>
  <c r="G5418" i="38"/>
  <c r="E5418" i="38"/>
  <c r="D5418" i="38"/>
  <c r="C5418" i="38"/>
  <c r="H5417" i="38"/>
  <c r="G5417" i="38"/>
  <c r="E5417" i="38"/>
  <c r="D5417" i="38"/>
  <c r="C5417" i="38"/>
  <c r="J5416" i="38"/>
  <c r="I5416" i="38"/>
  <c r="H5416" i="38"/>
  <c r="G5416" i="38"/>
  <c r="F5416" i="38"/>
  <c r="E5416" i="38"/>
  <c r="D5416" i="38"/>
  <c r="C5416" i="38"/>
  <c r="J5415" i="38"/>
  <c r="I5415" i="38"/>
  <c r="H5415" i="38"/>
  <c r="G5415" i="38"/>
  <c r="F5415" i="38"/>
  <c r="E5415" i="38"/>
  <c r="D5415" i="38"/>
  <c r="C5415" i="38"/>
  <c r="J5414" i="38"/>
  <c r="I5414" i="38"/>
  <c r="H5414" i="38"/>
  <c r="G5414" i="38"/>
  <c r="F5414" i="38"/>
  <c r="E5414" i="38"/>
  <c r="D5414" i="38"/>
  <c r="C5414" i="38"/>
  <c r="J5413" i="38"/>
  <c r="I5413" i="38"/>
  <c r="H5413" i="38"/>
  <c r="G5413" i="38"/>
  <c r="E5413" i="38"/>
  <c r="D5413" i="38"/>
  <c r="C5413" i="38"/>
  <c r="J5412" i="38"/>
  <c r="I5412" i="38"/>
  <c r="H5412" i="38"/>
  <c r="G5412" i="38"/>
  <c r="F5412" i="38"/>
  <c r="E5412" i="38"/>
  <c r="C5412" i="38"/>
  <c r="H5411" i="38"/>
  <c r="G5411" i="38"/>
  <c r="E5411" i="38"/>
  <c r="C5411" i="38"/>
  <c r="H5410" i="38"/>
  <c r="G5410" i="38"/>
  <c r="E5410" i="38"/>
  <c r="D5410" i="38"/>
  <c r="C5410" i="38"/>
  <c r="H5409" i="38"/>
  <c r="G5409" i="38"/>
  <c r="E5409" i="38"/>
  <c r="D5409" i="38"/>
  <c r="C5409" i="38"/>
  <c r="H5408" i="38"/>
  <c r="G5408" i="38"/>
  <c r="E5408" i="38"/>
  <c r="D5408" i="38"/>
  <c r="C5408" i="38"/>
  <c r="H5407" i="38"/>
  <c r="G5407" i="38"/>
  <c r="E5407" i="38"/>
  <c r="D5407" i="38"/>
  <c r="C5407" i="38"/>
  <c r="J5406" i="38"/>
  <c r="I5406" i="38"/>
  <c r="H5406" i="38"/>
  <c r="G5406" i="38"/>
  <c r="F5406" i="38"/>
  <c r="E5406" i="38"/>
  <c r="D5406" i="38"/>
  <c r="C5406" i="38"/>
  <c r="J5405" i="38"/>
  <c r="I5405" i="38"/>
  <c r="H5405" i="38"/>
  <c r="G5405" i="38"/>
  <c r="F5405" i="38"/>
  <c r="E5405" i="38"/>
  <c r="D5405" i="38"/>
  <c r="C5405" i="38"/>
  <c r="J5404" i="38"/>
  <c r="I5404" i="38"/>
  <c r="H5404" i="38"/>
  <c r="G5404" i="38"/>
  <c r="F5404" i="38"/>
  <c r="E5404" i="38"/>
  <c r="D5404" i="38"/>
  <c r="C5404" i="38"/>
  <c r="J5403" i="38"/>
  <c r="I5403" i="38"/>
  <c r="H5403" i="38"/>
  <c r="G5403" i="38"/>
  <c r="E5403" i="38"/>
  <c r="D5403" i="38"/>
  <c r="C5403" i="38"/>
  <c r="J5402" i="38"/>
  <c r="I5402" i="38"/>
  <c r="H5402" i="38"/>
  <c r="G5402" i="38"/>
  <c r="F5402" i="38"/>
  <c r="E5402" i="38"/>
  <c r="C5402" i="38"/>
  <c r="H5401" i="38"/>
  <c r="G5401" i="38"/>
  <c r="E5401" i="38"/>
  <c r="C5401" i="38"/>
  <c r="H5400" i="38"/>
  <c r="G5400" i="38"/>
  <c r="E5400" i="38"/>
  <c r="D5400" i="38"/>
  <c r="C5400" i="38"/>
  <c r="H5399" i="38"/>
  <c r="G5399" i="38"/>
  <c r="E5399" i="38"/>
  <c r="D5399" i="38"/>
  <c r="C5399" i="38"/>
  <c r="H5398" i="38"/>
  <c r="G5398" i="38"/>
  <c r="E5398" i="38"/>
  <c r="D5398" i="38"/>
  <c r="C5398" i="38"/>
  <c r="H5397" i="38"/>
  <c r="G5397" i="38"/>
  <c r="E5397" i="38"/>
  <c r="D5397" i="38"/>
  <c r="C5397" i="38"/>
  <c r="J5396" i="38"/>
  <c r="I5396" i="38"/>
  <c r="H5396" i="38"/>
  <c r="G5396" i="38"/>
  <c r="F5396" i="38"/>
  <c r="E5396" i="38"/>
  <c r="D5396" i="38"/>
  <c r="C5396" i="38"/>
  <c r="J5395" i="38"/>
  <c r="I5395" i="38"/>
  <c r="H5395" i="38"/>
  <c r="G5395" i="38"/>
  <c r="F5395" i="38"/>
  <c r="E5395" i="38"/>
  <c r="D5395" i="38"/>
  <c r="C5395" i="38"/>
  <c r="J5394" i="38"/>
  <c r="I5394" i="38"/>
  <c r="H5394" i="38"/>
  <c r="G5394" i="38"/>
  <c r="F5394" i="38"/>
  <c r="E5394" i="38"/>
  <c r="D5394" i="38"/>
  <c r="C5394" i="38"/>
  <c r="J5393" i="38"/>
  <c r="I5393" i="38"/>
  <c r="H5393" i="38"/>
  <c r="G5393" i="38"/>
  <c r="E5393" i="38"/>
  <c r="D5393" i="38"/>
  <c r="C5393" i="38"/>
  <c r="J5392" i="38"/>
  <c r="I5392" i="38"/>
  <c r="H5392" i="38"/>
  <c r="G5392" i="38"/>
  <c r="F5392" i="38"/>
  <c r="E5392" i="38"/>
  <c r="C5392" i="38"/>
  <c r="H5391" i="38"/>
  <c r="G5391" i="38"/>
  <c r="E5391" i="38"/>
  <c r="C5391" i="38"/>
  <c r="J5390" i="38"/>
  <c r="I5390" i="38"/>
  <c r="H5390" i="38"/>
  <c r="G5390" i="38"/>
  <c r="F5390" i="38"/>
  <c r="E5390" i="38"/>
  <c r="D5390" i="38"/>
  <c r="C5390" i="38"/>
  <c r="J5389" i="38"/>
  <c r="I5389" i="38"/>
  <c r="H5389" i="38"/>
  <c r="G5389" i="38"/>
  <c r="F5389" i="38"/>
  <c r="E5389" i="38"/>
  <c r="D5389" i="38"/>
  <c r="C5389" i="38"/>
  <c r="J5388" i="38"/>
  <c r="I5388" i="38"/>
  <c r="H5388" i="38"/>
  <c r="G5388" i="38"/>
  <c r="F5388" i="38"/>
  <c r="E5388" i="38"/>
  <c r="D5388" i="38"/>
  <c r="C5388" i="38"/>
  <c r="J5387" i="38"/>
  <c r="I5387" i="38"/>
  <c r="H5387" i="38"/>
  <c r="G5387" i="38"/>
  <c r="F5387" i="38"/>
  <c r="E5387" i="38"/>
  <c r="D5387" i="38"/>
  <c r="C5387" i="38"/>
  <c r="J5386" i="38"/>
  <c r="I5386" i="38"/>
  <c r="H5386" i="38"/>
  <c r="G5386" i="38"/>
  <c r="F5386" i="38"/>
  <c r="E5386" i="38"/>
  <c r="D5386" i="38"/>
  <c r="C5386" i="38"/>
  <c r="J5385" i="38"/>
  <c r="I5385" i="38"/>
  <c r="H5385" i="38"/>
  <c r="G5385" i="38"/>
  <c r="F5385" i="38"/>
  <c r="E5385" i="38"/>
  <c r="D5385" i="38"/>
  <c r="C5385" i="38"/>
  <c r="J5384" i="38"/>
  <c r="I5384" i="38"/>
  <c r="H5384" i="38"/>
  <c r="G5384" i="38"/>
  <c r="F5384" i="38"/>
  <c r="E5384" i="38"/>
  <c r="D5384" i="38"/>
  <c r="C5384" i="38"/>
  <c r="J5383" i="38"/>
  <c r="I5383" i="38"/>
  <c r="H5383" i="38"/>
  <c r="G5383" i="38"/>
  <c r="F5383" i="38"/>
  <c r="E5383" i="38"/>
  <c r="D5383" i="38"/>
  <c r="C5383" i="38"/>
  <c r="J5382" i="38"/>
  <c r="I5382" i="38"/>
  <c r="H5382" i="38"/>
  <c r="G5382" i="38"/>
  <c r="F5382" i="38"/>
  <c r="E5382" i="38"/>
  <c r="D5382" i="38"/>
  <c r="C5382" i="38"/>
  <c r="J5381" i="38"/>
  <c r="I5381" i="38"/>
  <c r="H5381" i="38"/>
  <c r="G5381" i="38"/>
  <c r="F5381" i="38"/>
  <c r="E5381" i="38"/>
  <c r="D5381" i="38"/>
  <c r="C5381" i="38"/>
  <c r="J5380" i="38"/>
  <c r="I5380" i="38"/>
  <c r="H5380" i="38"/>
  <c r="G5380" i="38"/>
  <c r="F5380" i="38"/>
  <c r="E5380" i="38"/>
  <c r="D5380" i="38"/>
  <c r="C5380" i="38"/>
  <c r="J5379" i="38"/>
  <c r="I5379" i="38"/>
  <c r="H5379" i="38"/>
  <c r="G5379" i="38"/>
  <c r="F5379" i="38"/>
  <c r="E5379" i="38"/>
  <c r="D5379" i="38"/>
  <c r="C5379" i="38"/>
  <c r="J5378" i="38"/>
  <c r="I5378" i="38"/>
  <c r="H5378" i="38"/>
  <c r="G5378" i="38"/>
  <c r="F5378" i="38"/>
  <c r="E5378" i="38"/>
  <c r="D5378" i="38"/>
  <c r="C5378" i="38"/>
  <c r="J5377" i="38"/>
  <c r="I5377" i="38"/>
  <c r="H5377" i="38"/>
  <c r="G5377" i="38"/>
  <c r="F5377" i="38"/>
  <c r="E5377" i="38"/>
  <c r="D5377" i="38"/>
  <c r="C5377" i="38"/>
  <c r="J5376" i="38"/>
  <c r="I5376" i="38"/>
  <c r="H5376" i="38"/>
  <c r="G5376" i="38"/>
  <c r="F5376" i="38"/>
  <c r="E5376" i="38"/>
  <c r="D5376" i="38"/>
  <c r="C5376" i="38"/>
  <c r="J5375" i="38"/>
  <c r="I5375" i="38"/>
  <c r="H5375" i="38"/>
  <c r="G5375" i="38"/>
  <c r="F5375" i="38"/>
  <c r="E5375" i="38"/>
  <c r="D5375" i="38"/>
  <c r="C5375" i="38"/>
  <c r="J5374" i="38"/>
  <c r="I5374" i="38"/>
  <c r="H5374" i="38"/>
  <c r="G5374" i="38"/>
  <c r="F5374" i="38"/>
  <c r="E5374" i="38"/>
  <c r="D5374" i="38"/>
  <c r="C5374" i="38"/>
  <c r="J5373" i="38"/>
  <c r="I5373" i="38"/>
  <c r="H5373" i="38"/>
  <c r="G5373" i="38"/>
  <c r="E5373" i="38"/>
  <c r="D5373" i="38"/>
  <c r="C5373" i="38"/>
  <c r="J5372" i="38"/>
  <c r="I5372" i="38"/>
  <c r="H5372" i="38"/>
  <c r="G5372" i="38"/>
  <c r="F5372" i="38"/>
  <c r="E5372" i="38"/>
  <c r="C5372" i="38"/>
  <c r="H5371" i="38"/>
  <c r="G5371" i="38"/>
  <c r="E5371" i="38"/>
  <c r="C5371" i="38"/>
  <c r="H5370" i="38"/>
  <c r="G5370" i="38"/>
  <c r="E5370" i="38"/>
  <c r="D5370" i="38"/>
  <c r="C5370" i="38"/>
  <c r="H5369" i="38"/>
  <c r="G5369" i="38"/>
  <c r="E5369" i="38"/>
  <c r="D5369" i="38"/>
  <c r="C5369" i="38"/>
  <c r="H5368" i="38"/>
  <c r="G5368" i="38"/>
  <c r="E5368" i="38"/>
  <c r="D5368" i="38"/>
  <c r="C5368" i="38"/>
  <c r="H5367" i="38"/>
  <c r="G5367" i="38"/>
  <c r="E5367" i="38"/>
  <c r="D5367" i="38"/>
  <c r="C5367" i="38"/>
  <c r="J5366" i="38"/>
  <c r="I5366" i="38"/>
  <c r="H5366" i="38"/>
  <c r="G5366" i="38"/>
  <c r="F5366" i="38"/>
  <c r="E5366" i="38"/>
  <c r="D5366" i="38"/>
  <c r="C5366" i="38"/>
  <c r="J5365" i="38"/>
  <c r="I5365" i="38"/>
  <c r="H5365" i="38"/>
  <c r="G5365" i="38"/>
  <c r="F5365" i="38"/>
  <c r="E5365" i="38"/>
  <c r="D5365" i="38"/>
  <c r="C5365" i="38"/>
  <c r="J5364" i="38"/>
  <c r="I5364" i="38"/>
  <c r="H5364" i="38"/>
  <c r="G5364" i="38"/>
  <c r="F5364" i="38"/>
  <c r="E5364" i="38"/>
  <c r="D5364" i="38"/>
  <c r="C5364" i="38"/>
  <c r="J5363" i="38"/>
  <c r="I5363" i="38"/>
  <c r="H5363" i="38"/>
  <c r="G5363" i="38"/>
  <c r="E5363" i="38"/>
  <c r="D5363" i="38"/>
  <c r="C5363" i="38"/>
  <c r="J5362" i="38"/>
  <c r="I5362" i="38"/>
  <c r="H5362" i="38"/>
  <c r="G5362" i="38"/>
  <c r="F5362" i="38"/>
  <c r="E5362" i="38"/>
  <c r="C5362" i="38"/>
  <c r="H5361" i="38"/>
  <c r="G5361" i="38"/>
  <c r="E5361" i="38"/>
  <c r="C5361" i="38"/>
  <c r="H5360" i="38"/>
  <c r="G5360" i="38"/>
  <c r="E5360" i="38"/>
  <c r="D5360" i="38"/>
  <c r="C5360" i="38"/>
  <c r="H5359" i="38"/>
  <c r="G5359" i="38"/>
  <c r="E5359" i="38"/>
  <c r="D5359" i="38"/>
  <c r="C5359" i="38"/>
  <c r="H5358" i="38"/>
  <c r="G5358" i="38"/>
  <c r="E5358" i="38"/>
  <c r="D5358" i="38"/>
  <c r="C5358" i="38"/>
  <c r="H5357" i="38"/>
  <c r="G5357" i="38"/>
  <c r="E5357" i="38"/>
  <c r="D5357" i="38"/>
  <c r="C5357" i="38"/>
  <c r="J5356" i="38"/>
  <c r="I5356" i="38"/>
  <c r="H5356" i="38"/>
  <c r="G5356" i="38"/>
  <c r="F5356" i="38"/>
  <c r="E5356" i="38"/>
  <c r="D5356" i="38"/>
  <c r="C5356" i="38"/>
  <c r="J5355" i="38"/>
  <c r="I5355" i="38"/>
  <c r="H5355" i="38"/>
  <c r="G5355" i="38"/>
  <c r="F5355" i="38"/>
  <c r="E5355" i="38"/>
  <c r="D5355" i="38"/>
  <c r="C5355" i="38"/>
  <c r="J5354" i="38"/>
  <c r="I5354" i="38"/>
  <c r="H5354" i="38"/>
  <c r="G5354" i="38"/>
  <c r="F5354" i="38"/>
  <c r="E5354" i="38"/>
  <c r="D5354" i="38"/>
  <c r="C5354" i="38"/>
  <c r="J5353" i="38"/>
  <c r="I5353" i="38"/>
  <c r="H5353" i="38"/>
  <c r="G5353" i="38"/>
  <c r="E5353" i="38"/>
  <c r="D5353" i="38"/>
  <c r="C5353" i="38"/>
  <c r="J5352" i="38"/>
  <c r="I5352" i="38"/>
  <c r="H5352" i="38"/>
  <c r="G5352" i="38"/>
  <c r="F5352" i="38"/>
  <c r="E5352" i="38"/>
  <c r="C5352" i="38"/>
  <c r="H5351" i="38"/>
  <c r="G5351" i="38"/>
  <c r="E5351" i="38"/>
  <c r="C5351" i="38"/>
  <c r="H5350" i="38"/>
  <c r="G5350" i="38"/>
  <c r="E5350" i="38"/>
  <c r="D5350" i="38"/>
  <c r="C5350" i="38"/>
  <c r="H5349" i="38"/>
  <c r="G5349" i="38"/>
  <c r="E5349" i="38"/>
  <c r="D5349" i="38"/>
  <c r="C5349" i="38"/>
  <c r="H5348" i="38"/>
  <c r="G5348" i="38"/>
  <c r="E5348" i="38"/>
  <c r="D5348" i="38"/>
  <c r="C5348" i="38"/>
  <c r="H5347" i="38"/>
  <c r="G5347" i="38"/>
  <c r="E5347" i="38"/>
  <c r="D5347" i="38"/>
  <c r="C5347" i="38"/>
  <c r="J5346" i="38"/>
  <c r="I5346" i="38"/>
  <c r="H5346" i="38"/>
  <c r="G5346" i="38"/>
  <c r="F5346" i="38"/>
  <c r="E5346" i="38"/>
  <c r="D5346" i="38"/>
  <c r="C5346" i="38"/>
  <c r="J5345" i="38"/>
  <c r="I5345" i="38"/>
  <c r="H5345" i="38"/>
  <c r="G5345" i="38"/>
  <c r="F5345" i="38"/>
  <c r="E5345" i="38"/>
  <c r="D5345" i="38"/>
  <c r="C5345" i="38"/>
  <c r="J5344" i="38"/>
  <c r="I5344" i="38"/>
  <c r="H5344" i="38"/>
  <c r="G5344" i="38"/>
  <c r="F5344" i="38"/>
  <c r="E5344" i="38"/>
  <c r="D5344" i="38"/>
  <c r="C5344" i="38"/>
  <c r="J5343" i="38"/>
  <c r="I5343" i="38"/>
  <c r="H5343" i="38"/>
  <c r="G5343" i="38"/>
  <c r="E5343" i="38"/>
  <c r="D5343" i="38"/>
  <c r="C5343" i="38"/>
  <c r="J5342" i="38"/>
  <c r="I5342" i="38"/>
  <c r="H5342" i="38"/>
  <c r="G5342" i="38"/>
  <c r="F5342" i="38"/>
  <c r="E5342" i="38"/>
  <c r="C5342" i="38"/>
  <c r="H5341" i="38"/>
  <c r="G5341" i="38"/>
  <c r="E5341" i="38"/>
  <c r="C5341" i="38"/>
  <c r="H5340" i="38"/>
  <c r="G5340" i="38"/>
  <c r="E5340" i="38"/>
  <c r="D5340" i="38"/>
  <c r="C5340" i="38"/>
  <c r="H5339" i="38"/>
  <c r="G5339" i="38"/>
  <c r="E5339" i="38"/>
  <c r="D5339" i="38"/>
  <c r="C5339" i="38"/>
  <c r="H5338" i="38"/>
  <c r="G5338" i="38"/>
  <c r="E5338" i="38"/>
  <c r="D5338" i="38"/>
  <c r="C5338" i="38"/>
  <c r="H5337" i="38"/>
  <c r="G5337" i="38"/>
  <c r="E5337" i="38"/>
  <c r="D5337" i="38"/>
  <c r="C5337" i="38"/>
  <c r="J5336" i="38"/>
  <c r="I5336" i="38"/>
  <c r="H5336" i="38"/>
  <c r="G5336" i="38"/>
  <c r="F5336" i="38"/>
  <c r="E5336" i="38"/>
  <c r="D5336" i="38"/>
  <c r="C5336" i="38"/>
  <c r="J5335" i="38"/>
  <c r="I5335" i="38"/>
  <c r="H5335" i="38"/>
  <c r="G5335" i="38"/>
  <c r="F5335" i="38"/>
  <c r="E5335" i="38"/>
  <c r="D5335" i="38"/>
  <c r="C5335" i="38"/>
  <c r="J5334" i="38"/>
  <c r="I5334" i="38"/>
  <c r="H5334" i="38"/>
  <c r="G5334" i="38"/>
  <c r="F5334" i="38"/>
  <c r="E5334" i="38"/>
  <c r="D5334" i="38"/>
  <c r="C5334" i="38"/>
  <c r="J5333" i="38"/>
  <c r="I5333" i="38"/>
  <c r="H5333" i="38"/>
  <c r="G5333" i="38"/>
  <c r="E5333" i="38"/>
  <c r="D5333" i="38"/>
  <c r="C5333" i="38"/>
  <c r="J5332" i="38"/>
  <c r="I5332" i="38"/>
  <c r="H5332" i="38"/>
  <c r="G5332" i="38"/>
  <c r="F5332" i="38"/>
  <c r="E5332" i="38"/>
  <c r="C5332" i="38"/>
  <c r="H5331" i="38"/>
  <c r="G5331" i="38"/>
  <c r="E5331" i="38"/>
  <c r="C5331" i="38"/>
  <c r="H5330" i="38"/>
  <c r="G5330" i="38"/>
  <c r="E5330" i="38"/>
  <c r="D5330" i="38"/>
  <c r="C5330" i="38"/>
  <c r="H5329" i="38"/>
  <c r="G5329" i="38"/>
  <c r="E5329" i="38"/>
  <c r="D5329" i="38"/>
  <c r="C5329" i="38"/>
  <c r="H5328" i="38"/>
  <c r="G5328" i="38"/>
  <c r="E5328" i="38"/>
  <c r="D5328" i="38"/>
  <c r="C5328" i="38"/>
  <c r="H5327" i="38"/>
  <c r="G5327" i="38"/>
  <c r="E5327" i="38"/>
  <c r="D5327" i="38"/>
  <c r="C5327" i="38"/>
  <c r="J5326" i="38"/>
  <c r="I5326" i="38"/>
  <c r="H5326" i="38"/>
  <c r="G5326" i="38"/>
  <c r="F5326" i="38"/>
  <c r="E5326" i="38"/>
  <c r="D5326" i="38"/>
  <c r="C5326" i="38"/>
  <c r="J5325" i="38"/>
  <c r="I5325" i="38"/>
  <c r="H5325" i="38"/>
  <c r="G5325" i="38"/>
  <c r="F5325" i="38"/>
  <c r="E5325" i="38"/>
  <c r="D5325" i="38"/>
  <c r="C5325" i="38"/>
  <c r="J5324" i="38"/>
  <c r="I5324" i="38"/>
  <c r="H5324" i="38"/>
  <c r="G5324" i="38"/>
  <c r="F5324" i="38"/>
  <c r="E5324" i="38"/>
  <c r="D5324" i="38"/>
  <c r="C5324" i="38"/>
  <c r="J5323" i="38"/>
  <c r="I5323" i="38"/>
  <c r="H5323" i="38"/>
  <c r="G5323" i="38"/>
  <c r="E5323" i="38"/>
  <c r="D5323" i="38"/>
  <c r="C5323" i="38"/>
  <c r="J5322" i="38"/>
  <c r="I5322" i="38"/>
  <c r="H5322" i="38"/>
  <c r="G5322" i="38"/>
  <c r="F5322" i="38"/>
  <c r="E5322" i="38"/>
  <c r="C5322" i="38"/>
  <c r="H5321" i="38"/>
  <c r="G5321" i="38"/>
  <c r="E5321" i="38"/>
  <c r="C5321" i="38"/>
  <c r="H5320" i="38"/>
  <c r="G5320" i="38"/>
  <c r="E5320" i="38"/>
  <c r="D5320" i="38"/>
  <c r="C5320" i="38"/>
  <c r="H5319" i="38"/>
  <c r="G5319" i="38"/>
  <c r="E5319" i="38"/>
  <c r="D5319" i="38"/>
  <c r="C5319" i="38"/>
  <c r="H5318" i="38"/>
  <c r="G5318" i="38"/>
  <c r="E5318" i="38"/>
  <c r="D5318" i="38"/>
  <c r="C5318" i="38"/>
  <c r="H5317" i="38"/>
  <c r="G5317" i="38"/>
  <c r="E5317" i="38"/>
  <c r="D5317" i="38"/>
  <c r="C5317" i="38"/>
  <c r="J5316" i="38"/>
  <c r="I5316" i="38"/>
  <c r="H5316" i="38"/>
  <c r="G5316" i="38"/>
  <c r="F5316" i="38"/>
  <c r="E5316" i="38"/>
  <c r="D5316" i="38"/>
  <c r="C5316" i="38"/>
  <c r="J5315" i="38"/>
  <c r="I5315" i="38"/>
  <c r="H5315" i="38"/>
  <c r="G5315" i="38"/>
  <c r="F5315" i="38"/>
  <c r="E5315" i="38"/>
  <c r="D5315" i="38"/>
  <c r="C5315" i="38"/>
  <c r="J5314" i="38"/>
  <c r="I5314" i="38"/>
  <c r="H5314" i="38"/>
  <c r="G5314" i="38"/>
  <c r="F5314" i="38"/>
  <c r="E5314" i="38"/>
  <c r="D5314" i="38"/>
  <c r="C5314" i="38"/>
  <c r="J5313" i="38"/>
  <c r="I5313" i="38"/>
  <c r="H5313" i="38"/>
  <c r="G5313" i="38"/>
  <c r="E5313" i="38"/>
  <c r="D5313" i="38"/>
  <c r="C5313" i="38"/>
  <c r="J5312" i="38"/>
  <c r="I5312" i="38"/>
  <c r="H5312" i="38"/>
  <c r="G5312" i="38"/>
  <c r="F5312" i="38"/>
  <c r="E5312" i="38"/>
  <c r="C5312" i="38"/>
  <c r="H5311" i="38"/>
  <c r="G5311" i="38"/>
  <c r="E5311" i="38"/>
  <c r="C5311" i="38"/>
  <c r="H5310" i="38"/>
  <c r="G5310" i="38"/>
  <c r="E5310" i="38"/>
  <c r="D5310" i="38"/>
  <c r="C5310" i="38"/>
  <c r="H5309" i="38"/>
  <c r="G5309" i="38"/>
  <c r="E5309" i="38"/>
  <c r="D5309" i="38"/>
  <c r="C5309" i="38"/>
  <c r="H5308" i="38"/>
  <c r="G5308" i="38"/>
  <c r="E5308" i="38"/>
  <c r="D5308" i="38"/>
  <c r="C5308" i="38"/>
  <c r="H5307" i="38"/>
  <c r="G5307" i="38"/>
  <c r="E5307" i="38"/>
  <c r="D5307" i="38"/>
  <c r="C5307" i="38"/>
  <c r="J5306" i="38"/>
  <c r="I5306" i="38"/>
  <c r="H5306" i="38"/>
  <c r="G5306" i="38"/>
  <c r="F5306" i="38"/>
  <c r="E5306" i="38"/>
  <c r="D5306" i="38"/>
  <c r="C5306" i="38"/>
  <c r="J5305" i="38"/>
  <c r="I5305" i="38"/>
  <c r="H5305" i="38"/>
  <c r="G5305" i="38"/>
  <c r="F5305" i="38"/>
  <c r="E5305" i="38"/>
  <c r="D5305" i="38"/>
  <c r="C5305" i="38"/>
  <c r="J5304" i="38"/>
  <c r="I5304" i="38"/>
  <c r="H5304" i="38"/>
  <c r="G5304" i="38"/>
  <c r="F5304" i="38"/>
  <c r="E5304" i="38"/>
  <c r="D5304" i="38"/>
  <c r="C5304" i="38"/>
  <c r="J5303" i="38"/>
  <c r="I5303" i="38"/>
  <c r="H5303" i="38"/>
  <c r="G5303" i="38"/>
  <c r="E5303" i="38"/>
  <c r="D5303" i="38"/>
  <c r="C5303" i="38"/>
  <c r="J5302" i="38"/>
  <c r="I5302" i="38"/>
  <c r="H5302" i="38"/>
  <c r="G5302" i="38"/>
  <c r="F5302" i="38"/>
  <c r="E5302" i="38"/>
  <c r="C5302" i="38"/>
  <c r="H5301" i="38"/>
  <c r="G5301" i="38"/>
  <c r="E5301" i="38"/>
  <c r="C5301" i="38"/>
  <c r="H5300" i="38"/>
  <c r="G5300" i="38"/>
  <c r="E5300" i="38"/>
  <c r="D5300" i="38"/>
  <c r="C5300" i="38"/>
  <c r="H5299" i="38"/>
  <c r="G5299" i="38"/>
  <c r="E5299" i="38"/>
  <c r="D5299" i="38"/>
  <c r="C5299" i="38"/>
  <c r="H5298" i="38"/>
  <c r="G5298" i="38"/>
  <c r="E5298" i="38"/>
  <c r="D5298" i="38"/>
  <c r="C5298" i="38"/>
  <c r="H5297" i="38"/>
  <c r="G5297" i="38"/>
  <c r="E5297" i="38"/>
  <c r="D5297" i="38"/>
  <c r="C5297" i="38"/>
  <c r="J5296" i="38"/>
  <c r="I5296" i="38"/>
  <c r="H5296" i="38"/>
  <c r="G5296" i="38"/>
  <c r="F5296" i="38"/>
  <c r="E5296" i="38"/>
  <c r="D5296" i="38"/>
  <c r="C5296" i="38"/>
  <c r="J5295" i="38"/>
  <c r="I5295" i="38"/>
  <c r="H5295" i="38"/>
  <c r="G5295" i="38"/>
  <c r="F5295" i="38"/>
  <c r="E5295" i="38"/>
  <c r="D5295" i="38"/>
  <c r="C5295" i="38"/>
  <c r="J5294" i="38"/>
  <c r="I5294" i="38"/>
  <c r="H5294" i="38"/>
  <c r="G5294" i="38"/>
  <c r="F5294" i="38"/>
  <c r="E5294" i="38"/>
  <c r="D5294" i="38"/>
  <c r="C5294" i="38"/>
  <c r="J5293" i="38"/>
  <c r="I5293" i="38"/>
  <c r="H5293" i="38"/>
  <c r="G5293" i="38"/>
  <c r="E5293" i="38"/>
  <c r="D5293" i="38"/>
  <c r="C5293" i="38"/>
  <c r="J5292" i="38"/>
  <c r="I5292" i="38"/>
  <c r="H5292" i="38"/>
  <c r="G5292" i="38"/>
  <c r="F5292" i="38"/>
  <c r="E5292" i="38"/>
  <c r="C5292" i="38"/>
  <c r="H5291" i="38"/>
  <c r="G5291" i="38"/>
  <c r="E5291" i="38"/>
  <c r="C5291" i="38"/>
  <c r="H5290" i="38"/>
  <c r="G5290" i="38"/>
  <c r="E5290" i="38"/>
  <c r="D5290" i="38"/>
  <c r="C5290" i="38"/>
  <c r="H5289" i="38"/>
  <c r="G5289" i="38"/>
  <c r="E5289" i="38"/>
  <c r="D5289" i="38"/>
  <c r="C5289" i="38"/>
  <c r="H5288" i="38"/>
  <c r="G5288" i="38"/>
  <c r="E5288" i="38"/>
  <c r="D5288" i="38"/>
  <c r="C5288" i="38"/>
  <c r="H5287" i="38"/>
  <c r="G5287" i="38"/>
  <c r="E5287" i="38"/>
  <c r="D5287" i="38"/>
  <c r="C5287" i="38"/>
  <c r="J5286" i="38"/>
  <c r="I5286" i="38"/>
  <c r="H5286" i="38"/>
  <c r="G5286" i="38"/>
  <c r="F5286" i="38"/>
  <c r="E5286" i="38"/>
  <c r="D5286" i="38"/>
  <c r="C5286" i="38"/>
  <c r="J5285" i="38"/>
  <c r="I5285" i="38"/>
  <c r="H5285" i="38"/>
  <c r="G5285" i="38"/>
  <c r="F5285" i="38"/>
  <c r="E5285" i="38"/>
  <c r="D5285" i="38"/>
  <c r="C5285" i="38"/>
  <c r="J5284" i="38"/>
  <c r="I5284" i="38"/>
  <c r="H5284" i="38"/>
  <c r="G5284" i="38"/>
  <c r="F5284" i="38"/>
  <c r="E5284" i="38"/>
  <c r="D5284" i="38"/>
  <c r="C5284" i="38"/>
  <c r="J5283" i="38"/>
  <c r="I5283" i="38"/>
  <c r="H5283" i="38"/>
  <c r="G5283" i="38"/>
  <c r="E5283" i="38"/>
  <c r="D5283" i="38"/>
  <c r="C5283" i="38"/>
  <c r="J5282" i="38"/>
  <c r="I5282" i="38"/>
  <c r="H5282" i="38"/>
  <c r="G5282" i="38"/>
  <c r="F5282" i="38"/>
  <c r="E5282" i="38"/>
  <c r="C5282" i="38"/>
  <c r="H5281" i="38"/>
  <c r="G5281" i="38"/>
  <c r="E5281" i="38"/>
  <c r="C5281" i="38"/>
  <c r="H5280" i="38"/>
  <c r="G5280" i="38"/>
  <c r="E5280" i="38"/>
  <c r="D5280" i="38"/>
  <c r="C5280" i="38"/>
  <c r="H5279" i="38"/>
  <c r="G5279" i="38"/>
  <c r="E5279" i="38"/>
  <c r="D5279" i="38"/>
  <c r="C5279" i="38"/>
  <c r="H5278" i="38"/>
  <c r="G5278" i="38"/>
  <c r="E5278" i="38"/>
  <c r="D5278" i="38"/>
  <c r="C5278" i="38"/>
  <c r="H5277" i="38"/>
  <c r="G5277" i="38"/>
  <c r="E5277" i="38"/>
  <c r="D5277" i="38"/>
  <c r="C5277" i="38"/>
  <c r="J5276" i="38"/>
  <c r="I5276" i="38"/>
  <c r="H5276" i="38"/>
  <c r="G5276" i="38"/>
  <c r="F5276" i="38"/>
  <c r="E5276" i="38"/>
  <c r="D5276" i="38"/>
  <c r="C5276" i="38"/>
  <c r="J5275" i="38"/>
  <c r="I5275" i="38"/>
  <c r="H5275" i="38"/>
  <c r="G5275" i="38"/>
  <c r="F5275" i="38"/>
  <c r="E5275" i="38"/>
  <c r="D5275" i="38"/>
  <c r="C5275" i="38"/>
  <c r="J5274" i="38"/>
  <c r="I5274" i="38"/>
  <c r="H5274" i="38"/>
  <c r="G5274" i="38"/>
  <c r="F5274" i="38"/>
  <c r="E5274" i="38"/>
  <c r="D5274" i="38"/>
  <c r="C5274" i="38"/>
  <c r="J5273" i="38"/>
  <c r="I5273" i="38"/>
  <c r="H5273" i="38"/>
  <c r="G5273" i="38"/>
  <c r="E5273" i="38"/>
  <c r="D5273" i="38"/>
  <c r="C5273" i="38"/>
  <c r="J5272" i="38"/>
  <c r="I5272" i="38"/>
  <c r="H5272" i="38"/>
  <c r="G5272" i="38"/>
  <c r="F5272" i="38"/>
  <c r="E5272" i="38"/>
  <c r="C5272" i="38"/>
  <c r="H5271" i="38"/>
  <c r="G5271" i="38"/>
  <c r="E5271" i="38"/>
  <c r="C5271" i="38"/>
  <c r="H5270" i="38"/>
  <c r="G5270" i="38"/>
  <c r="E5270" i="38"/>
  <c r="D5270" i="38"/>
  <c r="C5270" i="38"/>
  <c r="H5269" i="38"/>
  <c r="G5269" i="38"/>
  <c r="E5269" i="38"/>
  <c r="D5269" i="38"/>
  <c r="C5269" i="38"/>
  <c r="H5268" i="38"/>
  <c r="G5268" i="38"/>
  <c r="E5268" i="38"/>
  <c r="D5268" i="38"/>
  <c r="C5268" i="38"/>
  <c r="H5267" i="38"/>
  <c r="G5267" i="38"/>
  <c r="E5267" i="38"/>
  <c r="D5267" i="38"/>
  <c r="C5267" i="38"/>
  <c r="J5266" i="38"/>
  <c r="I5266" i="38"/>
  <c r="H5266" i="38"/>
  <c r="G5266" i="38"/>
  <c r="F5266" i="38"/>
  <c r="E5266" i="38"/>
  <c r="D5266" i="38"/>
  <c r="C5266" i="38"/>
  <c r="J5265" i="38"/>
  <c r="I5265" i="38"/>
  <c r="H5265" i="38"/>
  <c r="G5265" i="38"/>
  <c r="F5265" i="38"/>
  <c r="E5265" i="38"/>
  <c r="D5265" i="38"/>
  <c r="C5265" i="38"/>
  <c r="J5264" i="38"/>
  <c r="I5264" i="38"/>
  <c r="H5264" i="38"/>
  <c r="G5264" i="38"/>
  <c r="F5264" i="38"/>
  <c r="E5264" i="38"/>
  <c r="D5264" i="38"/>
  <c r="C5264" i="38"/>
  <c r="J5263" i="38"/>
  <c r="I5263" i="38"/>
  <c r="H5263" i="38"/>
  <c r="G5263" i="38"/>
  <c r="E5263" i="38"/>
  <c r="D5263" i="38"/>
  <c r="C5263" i="38"/>
  <c r="J5262" i="38"/>
  <c r="I5262" i="38"/>
  <c r="H5262" i="38"/>
  <c r="G5262" i="38"/>
  <c r="F5262" i="38"/>
  <c r="E5262" i="38"/>
  <c r="C5262" i="38"/>
  <c r="H5261" i="38"/>
  <c r="G5261" i="38"/>
  <c r="E5261" i="38"/>
  <c r="C5261" i="38"/>
  <c r="H5260" i="38"/>
  <c r="G5260" i="38"/>
  <c r="E5260" i="38"/>
  <c r="D5260" i="38"/>
  <c r="C5260" i="38"/>
  <c r="H5259" i="38"/>
  <c r="G5259" i="38"/>
  <c r="E5259" i="38"/>
  <c r="D5259" i="38"/>
  <c r="C5259" i="38"/>
  <c r="H5258" i="38"/>
  <c r="G5258" i="38"/>
  <c r="E5258" i="38"/>
  <c r="D5258" i="38"/>
  <c r="C5258" i="38"/>
  <c r="H5257" i="38"/>
  <c r="G5257" i="38"/>
  <c r="E5257" i="38"/>
  <c r="D5257" i="38"/>
  <c r="C5257" i="38"/>
  <c r="J5256" i="38"/>
  <c r="I5256" i="38"/>
  <c r="H5256" i="38"/>
  <c r="G5256" i="38"/>
  <c r="F5256" i="38"/>
  <c r="E5256" i="38"/>
  <c r="D5256" i="38"/>
  <c r="C5256" i="38"/>
  <c r="J5255" i="38"/>
  <c r="I5255" i="38"/>
  <c r="H5255" i="38"/>
  <c r="G5255" i="38"/>
  <c r="F5255" i="38"/>
  <c r="E5255" i="38"/>
  <c r="D5255" i="38"/>
  <c r="C5255" i="38"/>
  <c r="J5254" i="38"/>
  <c r="I5254" i="38"/>
  <c r="H5254" i="38"/>
  <c r="G5254" i="38"/>
  <c r="F5254" i="38"/>
  <c r="E5254" i="38"/>
  <c r="D5254" i="38"/>
  <c r="C5254" i="38"/>
  <c r="J5253" i="38"/>
  <c r="I5253" i="38"/>
  <c r="H5253" i="38"/>
  <c r="G5253" i="38"/>
  <c r="E5253" i="38"/>
  <c r="D5253" i="38"/>
  <c r="C5253" i="38"/>
  <c r="J5252" i="38"/>
  <c r="I5252" i="38"/>
  <c r="H5252" i="38"/>
  <c r="G5252" i="38"/>
  <c r="F5252" i="38"/>
  <c r="E5252" i="38"/>
  <c r="C5252" i="38"/>
  <c r="H5251" i="38"/>
  <c r="G5251" i="38"/>
  <c r="E5251" i="38"/>
  <c r="C5251" i="38"/>
  <c r="H5250" i="38"/>
  <c r="G5250" i="38"/>
  <c r="E5250" i="38"/>
  <c r="D5250" i="38"/>
  <c r="C5250" i="38"/>
  <c r="H5249" i="38"/>
  <c r="G5249" i="38"/>
  <c r="E5249" i="38"/>
  <c r="D5249" i="38"/>
  <c r="C5249" i="38"/>
  <c r="H5248" i="38"/>
  <c r="G5248" i="38"/>
  <c r="E5248" i="38"/>
  <c r="D5248" i="38"/>
  <c r="C5248" i="38"/>
  <c r="H5247" i="38"/>
  <c r="G5247" i="38"/>
  <c r="E5247" i="38"/>
  <c r="D5247" i="38"/>
  <c r="C5247" i="38"/>
  <c r="J5246" i="38"/>
  <c r="I5246" i="38"/>
  <c r="H5246" i="38"/>
  <c r="G5246" i="38"/>
  <c r="F5246" i="38"/>
  <c r="E5246" i="38"/>
  <c r="D5246" i="38"/>
  <c r="C5246" i="38"/>
  <c r="J5245" i="38"/>
  <c r="I5245" i="38"/>
  <c r="H5245" i="38"/>
  <c r="G5245" i="38"/>
  <c r="F5245" i="38"/>
  <c r="E5245" i="38"/>
  <c r="D5245" i="38"/>
  <c r="C5245" i="38"/>
  <c r="J5244" i="38"/>
  <c r="I5244" i="38"/>
  <c r="H5244" i="38"/>
  <c r="G5244" i="38"/>
  <c r="F5244" i="38"/>
  <c r="E5244" i="38"/>
  <c r="D5244" i="38"/>
  <c r="C5244" i="38"/>
  <c r="J5243" i="38"/>
  <c r="I5243" i="38"/>
  <c r="H5243" i="38"/>
  <c r="G5243" i="38"/>
  <c r="E5243" i="38"/>
  <c r="D5243" i="38"/>
  <c r="C5243" i="38"/>
  <c r="J5242" i="38"/>
  <c r="I5242" i="38"/>
  <c r="H5242" i="38"/>
  <c r="G5242" i="38"/>
  <c r="F5242" i="38"/>
  <c r="E5242" i="38"/>
  <c r="C5242" i="38"/>
  <c r="H5241" i="38"/>
  <c r="G5241" i="38"/>
  <c r="E5241" i="38"/>
  <c r="C5241" i="38"/>
  <c r="H5240" i="38"/>
  <c r="G5240" i="38"/>
  <c r="E5240" i="38"/>
  <c r="D5240" i="38"/>
  <c r="C5240" i="38"/>
  <c r="H5239" i="38"/>
  <c r="G5239" i="38"/>
  <c r="E5239" i="38"/>
  <c r="D5239" i="38"/>
  <c r="C5239" i="38"/>
  <c r="H5238" i="38"/>
  <c r="G5238" i="38"/>
  <c r="E5238" i="38"/>
  <c r="D5238" i="38"/>
  <c r="C5238" i="38"/>
  <c r="H5237" i="38"/>
  <c r="G5237" i="38"/>
  <c r="E5237" i="38"/>
  <c r="D5237" i="38"/>
  <c r="C5237" i="38"/>
  <c r="J5236" i="38"/>
  <c r="I5236" i="38"/>
  <c r="H5236" i="38"/>
  <c r="G5236" i="38"/>
  <c r="F5236" i="38"/>
  <c r="E5236" i="38"/>
  <c r="D5236" i="38"/>
  <c r="C5236" i="38"/>
  <c r="J5235" i="38"/>
  <c r="I5235" i="38"/>
  <c r="H5235" i="38"/>
  <c r="G5235" i="38"/>
  <c r="F5235" i="38"/>
  <c r="E5235" i="38"/>
  <c r="D5235" i="38"/>
  <c r="C5235" i="38"/>
  <c r="J5234" i="38"/>
  <c r="I5234" i="38"/>
  <c r="H5234" i="38"/>
  <c r="G5234" i="38"/>
  <c r="F5234" i="38"/>
  <c r="E5234" i="38"/>
  <c r="D5234" i="38"/>
  <c r="C5234" i="38"/>
  <c r="J5233" i="38"/>
  <c r="I5233" i="38"/>
  <c r="H5233" i="38"/>
  <c r="G5233" i="38"/>
  <c r="E5233" i="38"/>
  <c r="D5233" i="38"/>
  <c r="C5233" i="38"/>
  <c r="J5232" i="38"/>
  <c r="I5232" i="38"/>
  <c r="H5232" i="38"/>
  <c r="G5232" i="38"/>
  <c r="F5232" i="38"/>
  <c r="E5232" i="38"/>
  <c r="C5232" i="38"/>
  <c r="H5231" i="38"/>
  <c r="G5231" i="38"/>
  <c r="E5231" i="38"/>
  <c r="C5231" i="38"/>
  <c r="H5230" i="38"/>
  <c r="G5230" i="38"/>
  <c r="E5230" i="38"/>
  <c r="D5230" i="38"/>
  <c r="C5230" i="38"/>
  <c r="H5229" i="38"/>
  <c r="G5229" i="38"/>
  <c r="E5229" i="38"/>
  <c r="D5229" i="38"/>
  <c r="C5229" i="38"/>
  <c r="H5228" i="38"/>
  <c r="G5228" i="38"/>
  <c r="E5228" i="38"/>
  <c r="D5228" i="38"/>
  <c r="C5228" i="38"/>
  <c r="H5227" i="38"/>
  <c r="G5227" i="38"/>
  <c r="E5227" i="38"/>
  <c r="D5227" i="38"/>
  <c r="C5227" i="38"/>
  <c r="J5226" i="38"/>
  <c r="I5226" i="38"/>
  <c r="H5226" i="38"/>
  <c r="G5226" i="38"/>
  <c r="F5226" i="38"/>
  <c r="E5226" i="38"/>
  <c r="D5226" i="38"/>
  <c r="C5226" i="38"/>
  <c r="J5225" i="38"/>
  <c r="I5225" i="38"/>
  <c r="H5225" i="38"/>
  <c r="G5225" i="38"/>
  <c r="F5225" i="38"/>
  <c r="E5225" i="38"/>
  <c r="D5225" i="38"/>
  <c r="C5225" i="38"/>
  <c r="J5224" i="38"/>
  <c r="I5224" i="38"/>
  <c r="H5224" i="38"/>
  <c r="G5224" i="38"/>
  <c r="F5224" i="38"/>
  <c r="E5224" i="38"/>
  <c r="D5224" i="38"/>
  <c r="C5224" i="38"/>
  <c r="J5223" i="38"/>
  <c r="I5223" i="38"/>
  <c r="H5223" i="38"/>
  <c r="G5223" i="38"/>
  <c r="E5223" i="38"/>
  <c r="D5223" i="38"/>
  <c r="C5223" i="38"/>
  <c r="J5222" i="38"/>
  <c r="I5222" i="38"/>
  <c r="H5222" i="38"/>
  <c r="G5222" i="38"/>
  <c r="F5222" i="38"/>
  <c r="E5222" i="38"/>
  <c r="C5222" i="38"/>
  <c r="H5221" i="38"/>
  <c r="G5221" i="38"/>
  <c r="E5221" i="38"/>
  <c r="C5221" i="38"/>
  <c r="H5220" i="38"/>
  <c r="G5220" i="38"/>
  <c r="E5220" i="38"/>
  <c r="D5220" i="38"/>
  <c r="C5220" i="38"/>
  <c r="H5219" i="38"/>
  <c r="G5219" i="38"/>
  <c r="E5219" i="38"/>
  <c r="D5219" i="38"/>
  <c r="C5219" i="38"/>
  <c r="H5218" i="38"/>
  <c r="G5218" i="38"/>
  <c r="E5218" i="38"/>
  <c r="D5218" i="38"/>
  <c r="C5218" i="38"/>
  <c r="H5217" i="38"/>
  <c r="G5217" i="38"/>
  <c r="E5217" i="38"/>
  <c r="D5217" i="38"/>
  <c r="C5217" i="38"/>
  <c r="J5216" i="38"/>
  <c r="I5216" i="38"/>
  <c r="H5216" i="38"/>
  <c r="G5216" i="38"/>
  <c r="F5216" i="38"/>
  <c r="E5216" i="38"/>
  <c r="D5216" i="38"/>
  <c r="C5216" i="38"/>
  <c r="J5215" i="38"/>
  <c r="I5215" i="38"/>
  <c r="H5215" i="38"/>
  <c r="G5215" i="38"/>
  <c r="F5215" i="38"/>
  <c r="E5215" i="38"/>
  <c r="D5215" i="38"/>
  <c r="C5215" i="38"/>
  <c r="J5214" i="38"/>
  <c r="I5214" i="38"/>
  <c r="H5214" i="38"/>
  <c r="G5214" i="38"/>
  <c r="F5214" i="38"/>
  <c r="E5214" i="38"/>
  <c r="D5214" i="38"/>
  <c r="C5214" i="38"/>
  <c r="J5213" i="38"/>
  <c r="I5213" i="38"/>
  <c r="H5213" i="38"/>
  <c r="G5213" i="38"/>
  <c r="E5213" i="38"/>
  <c r="D5213" i="38"/>
  <c r="C5213" i="38"/>
  <c r="J5212" i="38"/>
  <c r="I5212" i="38"/>
  <c r="H5212" i="38"/>
  <c r="G5212" i="38"/>
  <c r="F5212" i="38"/>
  <c r="E5212" i="38"/>
  <c r="C5212" i="38"/>
  <c r="H5211" i="38"/>
  <c r="G5211" i="38"/>
  <c r="E5211" i="38"/>
  <c r="C5211" i="38"/>
  <c r="J5210" i="38"/>
  <c r="I5210" i="38"/>
  <c r="H5210" i="38"/>
  <c r="G5210" i="38"/>
  <c r="F5210" i="38"/>
  <c r="E5210" i="38"/>
  <c r="D5210" i="38"/>
  <c r="C5210" i="38"/>
  <c r="J5209" i="38"/>
  <c r="I5209" i="38"/>
  <c r="H5209" i="38"/>
  <c r="G5209" i="38"/>
  <c r="F5209" i="38"/>
  <c r="E5209" i="38"/>
  <c r="D5209" i="38"/>
  <c r="C5209" i="38"/>
  <c r="J5208" i="38"/>
  <c r="I5208" i="38"/>
  <c r="H5208" i="38"/>
  <c r="G5208" i="38"/>
  <c r="F5208" i="38"/>
  <c r="E5208" i="38"/>
  <c r="D5208" i="38"/>
  <c r="C5208" i="38"/>
  <c r="J5207" i="38"/>
  <c r="I5207" i="38"/>
  <c r="H5207" i="38"/>
  <c r="G5207" i="38"/>
  <c r="F5207" i="38"/>
  <c r="E5207" i="38"/>
  <c r="D5207" i="38"/>
  <c r="C5207" i="38"/>
  <c r="J5206" i="38"/>
  <c r="I5206" i="38"/>
  <c r="H5206" i="38"/>
  <c r="G5206" i="38"/>
  <c r="F5206" i="38"/>
  <c r="E5206" i="38"/>
  <c r="D5206" i="38"/>
  <c r="C5206" i="38"/>
  <c r="J5205" i="38"/>
  <c r="I5205" i="38"/>
  <c r="H5205" i="38"/>
  <c r="G5205" i="38"/>
  <c r="F5205" i="38"/>
  <c r="E5205" i="38"/>
  <c r="D5205" i="38"/>
  <c r="C5205" i="38"/>
  <c r="J5204" i="38"/>
  <c r="I5204" i="38"/>
  <c r="H5204" i="38"/>
  <c r="G5204" i="38"/>
  <c r="F5204" i="38"/>
  <c r="E5204" i="38"/>
  <c r="D5204" i="38"/>
  <c r="C5204" i="38"/>
  <c r="J5203" i="38"/>
  <c r="I5203" i="38"/>
  <c r="H5203" i="38"/>
  <c r="G5203" i="38"/>
  <c r="F5203" i="38"/>
  <c r="E5203" i="38"/>
  <c r="D5203" i="38"/>
  <c r="C5203" i="38"/>
  <c r="J5202" i="38"/>
  <c r="I5202" i="38"/>
  <c r="H5202" i="38"/>
  <c r="G5202" i="38"/>
  <c r="F5202" i="38"/>
  <c r="E5202" i="38"/>
  <c r="D5202" i="38"/>
  <c r="C5202" i="38"/>
  <c r="J5201" i="38"/>
  <c r="I5201" i="38"/>
  <c r="H5201" i="38"/>
  <c r="G5201" i="38"/>
  <c r="F5201" i="38"/>
  <c r="E5201" i="38"/>
  <c r="D5201" i="38"/>
  <c r="C5201" i="38"/>
  <c r="J5200" i="38"/>
  <c r="I5200" i="38"/>
  <c r="H5200" i="38"/>
  <c r="G5200" i="38"/>
  <c r="F5200" i="38"/>
  <c r="E5200" i="38"/>
  <c r="D5200" i="38"/>
  <c r="C5200" i="38"/>
  <c r="J5199" i="38"/>
  <c r="I5199" i="38"/>
  <c r="H5199" i="38"/>
  <c r="G5199" i="38"/>
  <c r="F5199" i="38"/>
  <c r="E5199" i="38"/>
  <c r="D5199" i="38"/>
  <c r="C5199" i="38"/>
  <c r="J5198" i="38"/>
  <c r="I5198" i="38"/>
  <c r="H5198" i="38"/>
  <c r="G5198" i="38"/>
  <c r="F5198" i="38"/>
  <c r="E5198" i="38"/>
  <c r="D5198" i="38"/>
  <c r="C5198" i="38"/>
  <c r="J5197" i="38"/>
  <c r="I5197" i="38"/>
  <c r="H5197" i="38"/>
  <c r="G5197" i="38"/>
  <c r="F5197" i="38"/>
  <c r="E5197" i="38"/>
  <c r="D5197" i="38"/>
  <c r="C5197" i="38"/>
  <c r="J5196" i="38"/>
  <c r="I5196" i="38"/>
  <c r="H5196" i="38"/>
  <c r="G5196" i="38"/>
  <c r="F5196" i="38"/>
  <c r="E5196" i="38"/>
  <c r="D5196" i="38"/>
  <c r="C5196" i="38"/>
  <c r="J5195" i="38"/>
  <c r="I5195" i="38"/>
  <c r="H5195" i="38"/>
  <c r="G5195" i="38"/>
  <c r="F5195" i="38"/>
  <c r="E5195" i="38"/>
  <c r="D5195" i="38"/>
  <c r="C5195" i="38"/>
  <c r="J5194" i="38"/>
  <c r="I5194" i="38"/>
  <c r="H5194" i="38"/>
  <c r="G5194" i="38"/>
  <c r="F5194" i="38"/>
  <c r="E5194" i="38"/>
  <c r="D5194" i="38"/>
  <c r="C5194" i="38"/>
  <c r="J5193" i="38"/>
  <c r="I5193" i="38"/>
  <c r="H5193" i="38"/>
  <c r="G5193" i="38"/>
  <c r="E5193" i="38"/>
  <c r="D5193" i="38"/>
  <c r="C5193" i="38"/>
  <c r="J5192" i="38"/>
  <c r="I5192" i="38"/>
  <c r="H5192" i="38"/>
  <c r="G5192" i="38"/>
  <c r="F5192" i="38"/>
  <c r="E5192" i="38"/>
  <c r="C5192" i="38"/>
  <c r="H5191" i="38"/>
  <c r="G5191" i="38"/>
  <c r="E5191" i="38"/>
  <c r="C5191" i="38"/>
  <c r="H5190" i="38"/>
  <c r="G5190" i="38"/>
  <c r="E5190" i="38"/>
  <c r="D5190" i="38"/>
  <c r="C5190" i="38"/>
  <c r="H5189" i="38"/>
  <c r="G5189" i="38"/>
  <c r="E5189" i="38"/>
  <c r="D5189" i="38"/>
  <c r="C5189" i="38"/>
  <c r="H5188" i="38"/>
  <c r="G5188" i="38"/>
  <c r="E5188" i="38"/>
  <c r="D5188" i="38"/>
  <c r="C5188" i="38"/>
  <c r="H5187" i="38"/>
  <c r="G5187" i="38"/>
  <c r="E5187" i="38"/>
  <c r="D5187" i="38"/>
  <c r="C5187" i="38"/>
  <c r="J5186" i="38"/>
  <c r="I5186" i="38"/>
  <c r="H5186" i="38"/>
  <c r="G5186" i="38"/>
  <c r="F5186" i="38"/>
  <c r="E5186" i="38"/>
  <c r="D5186" i="38"/>
  <c r="C5186" i="38"/>
  <c r="J5185" i="38"/>
  <c r="I5185" i="38"/>
  <c r="H5185" i="38"/>
  <c r="G5185" i="38"/>
  <c r="F5185" i="38"/>
  <c r="E5185" i="38"/>
  <c r="D5185" i="38"/>
  <c r="C5185" i="38"/>
  <c r="J5184" i="38"/>
  <c r="I5184" i="38"/>
  <c r="H5184" i="38"/>
  <c r="G5184" i="38"/>
  <c r="F5184" i="38"/>
  <c r="E5184" i="38"/>
  <c r="D5184" i="38"/>
  <c r="C5184" i="38"/>
  <c r="J5183" i="38"/>
  <c r="I5183" i="38"/>
  <c r="H5183" i="38"/>
  <c r="G5183" i="38"/>
  <c r="E5183" i="38"/>
  <c r="D5183" i="38"/>
  <c r="C5183" i="38"/>
  <c r="J5182" i="38"/>
  <c r="I5182" i="38"/>
  <c r="H5182" i="38"/>
  <c r="G5182" i="38"/>
  <c r="F5182" i="38"/>
  <c r="E5182" i="38"/>
  <c r="C5182" i="38"/>
  <c r="H5181" i="38"/>
  <c r="G5181" i="38"/>
  <c r="E5181" i="38"/>
  <c r="C5181" i="38"/>
  <c r="H5180" i="38"/>
  <c r="G5180" i="38"/>
  <c r="E5180" i="38"/>
  <c r="D5180" i="38"/>
  <c r="C5180" i="38"/>
  <c r="H5179" i="38"/>
  <c r="G5179" i="38"/>
  <c r="E5179" i="38"/>
  <c r="D5179" i="38"/>
  <c r="C5179" i="38"/>
  <c r="H5178" i="38"/>
  <c r="G5178" i="38"/>
  <c r="E5178" i="38"/>
  <c r="D5178" i="38"/>
  <c r="C5178" i="38"/>
  <c r="H5177" i="38"/>
  <c r="G5177" i="38"/>
  <c r="E5177" i="38"/>
  <c r="D5177" i="38"/>
  <c r="C5177" i="38"/>
  <c r="J5176" i="38"/>
  <c r="I5176" i="38"/>
  <c r="H5176" i="38"/>
  <c r="G5176" i="38"/>
  <c r="F5176" i="38"/>
  <c r="E5176" i="38"/>
  <c r="D5176" i="38"/>
  <c r="C5176" i="38"/>
  <c r="J5175" i="38"/>
  <c r="I5175" i="38"/>
  <c r="H5175" i="38"/>
  <c r="G5175" i="38"/>
  <c r="F5175" i="38"/>
  <c r="E5175" i="38"/>
  <c r="D5175" i="38"/>
  <c r="C5175" i="38"/>
  <c r="J5174" i="38"/>
  <c r="I5174" i="38"/>
  <c r="H5174" i="38"/>
  <c r="G5174" i="38"/>
  <c r="F5174" i="38"/>
  <c r="E5174" i="38"/>
  <c r="D5174" i="38"/>
  <c r="C5174" i="38"/>
  <c r="J5173" i="38"/>
  <c r="I5173" i="38"/>
  <c r="H5173" i="38"/>
  <c r="G5173" i="38"/>
  <c r="E5173" i="38"/>
  <c r="D5173" i="38"/>
  <c r="C5173" i="38"/>
  <c r="J5172" i="38"/>
  <c r="I5172" i="38"/>
  <c r="H5172" i="38"/>
  <c r="G5172" i="38"/>
  <c r="F5172" i="38"/>
  <c r="E5172" i="38"/>
  <c r="C5172" i="38"/>
  <c r="H5171" i="38"/>
  <c r="G5171" i="38"/>
  <c r="E5171" i="38"/>
  <c r="C5171" i="38"/>
  <c r="H5170" i="38"/>
  <c r="G5170" i="38"/>
  <c r="E5170" i="38"/>
  <c r="D5170" i="38"/>
  <c r="C5170" i="38"/>
  <c r="H5169" i="38"/>
  <c r="G5169" i="38"/>
  <c r="E5169" i="38"/>
  <c r="D5169" i="38"/>
  <c r="C5169" i="38"/>
  <c r="H5168" i="38"/>
  <c r="G5168" i="38"/>
  <c r="E5168" i="38"/>
  <c r="D5168" i="38"/>
  <c r="C5168" i="38"/>
  <c r="H5167" i="38"/>
  <c r="G5167" i="38"/>
  <c r="E5167" i="38"/>
  <c r="D5167" i="38"/>
  <c r="C5167" i="38"/>
  <c r="J5166" i="38"/>
  <c r="I5166" i="38"/>
  <c r="H5166" i="38"/>
  <c r="G5166" i="38"/>
  <c r="F5166" i="38"/>
  <c r="E5166" i="38"/>
  <c r="D5166" i="38"/>
  <c r="C5166" i="38"/>
  <c r="J5165" i="38"/>
  <c r="I5165" i="38"/>
  <c r="H5165" i="38"/>
  <c r="G5165" i="38"/>
  <c r="F5165" i="38"/>
  <c r="E5165" i="38"/>
  <c r="D5165" i="38"/>
  <c r="C5165" i="38"/>
  <c r="J5164" i="38"/>
  <c r="I5164" i="38"/>
  <c r="H5164" i="38"/>
  <c r="G5164" i="38"/>
  <c r="F5164" i="38"/>
  <c r="E5164" i="38"/>
  <c r="D5164" i="38"/>
  <c r="C5164" i="38"/>
  <c r="J5163" i="38"/>
  <c r="I5163" i="38"/>
  <c r="H5163" i="38"/>
  <c r="G5163" i="38"/>
  <c r="E5163" i="38"/>
  <c r="D5163" i="38"/>
  <c r="C5163" i="38"/>
  <c r="J5162" i="38"/>
  <c r="I5162" i="38"/>
  <c r="H5162" i="38"/>
  <c r="G5162" i="38"/>
  <c r="F5162" i="38"/>
  <c r="E5162" i="38"/>
  <c r="C5162" i="38"/>
  <c r="H5161" i="38"/>
  <c r="G5161" i="38"/>
  <c r="E5161" i="38"/>
  <c r="C5161" i="38"/>
  <c r="H5160" i="38"/>
  <c r="G5160" i="38"/>
  <c r="E5160" i="38"/>
  <c r="D5160" i="38"/>
  <c r="C5160" i="38"/>
  <c r="H5159" i="38"/>
  <c r="G5159" i="38"/>
  <c r="E5159" i="38"/>
  <c r="D5159" i="38"/>
  <c r="C5159" i="38"/>
  <c r="H5158" i="38"/>
  <c r="G5158" i="38"/>
  <c r="E5158" i="38"/>
  <c r="D5158" i="38"/>
  <c r="C5158" i="38"/>
  <c r="H5157" i="38"/>
  <c r="G5157" i="38"/>
  <c r="E5157" i="38"/>
  <c r="D5157" i="38"/>
  <c r="C5157" i="38"/>
  <c r="J5156" i="38"/>
  <c r="I5156" i="38"/>
  <c r="H5156" i="38"/>
  <c r="G5156" i="38"/>
  <c r="F5156" i="38"/>
  <c r="E5156" i="38"/>
  <c r="D5156" i="38"/>
  <c r="C5156" i="38"/>
  <c r="J5155" i="38"/>
  <c r="I5155" i="38"/>
  <c r="H5155" i="38"/>
  <c r="G5155" i="38"/>
  <c r="F5155" i="38"/>
  <c r="E5155" i="38"/>
  <c r="D5155" i="38"/>
  <c r="C5155" i="38"/>
  <c r="J5154" i="38"/>
  <c r="I5154" i="38"/>
  <c r="H5154" i="38"/>
  <c r="G5154" i="38"/>
  <c r="F5154" i="38"/>
  <c r="E5154" i="38"/>
  <c r="D5154" i="38"/>
  <c r="C5154" i="38"/>
  <c r="J5153" i="38"/>
  <c r="I5153" i="38"/>
  <c r="H5153" i="38"/>
  <c r="G5153" i="38"/>
  <c r="E5153" i="38"/>
  <c r="D5153" i="38"/>
  <c r="C5153" i="38"/>
  <c r="J5152" i="38"/>
  <c r="I5152" i="38"/>
  <c r="H5152" i="38"/>
  <c r="G5152" i="38"/>
  <c r="F5152" i="38"/>
  <c r="E5152" i="38"/>
  <c r="C5152" i="38"/>
  <c r="H5151" i="38"/>
  <c r="G5151" i="38"/>
  <c r="E5151" i="38"/>
  <c r="C5151" i="38"/>
  <c r="H5150" i="38"/>
  <c r="G5150" i="38"/>
  <c r="E5150" i="38"/>
  <c r="D5150" i="38"/>
  <c r="C5150" i="38"/>
  <c r="H5149" i="38"/>
  <c r="G5149" i="38"/>
  <c r="E5149" i="38"/>
  <c r="D5149" i="38"/>
  <c r="C5149" i="38"/>
  <c r="H5148" i="38"/>
  <c r="G5148" i="38"/>
  <c r="E5148" i="38"/>
  <c r="D5148" i="38"/>
  <c r="C5148" i="38"/>
  <c r="H5147" i="38"/>
  <c r="G5147" i="38"/>
  <c r="E5147" i="38"/>
  <c r="D5147" i="38"/>
  <c r="C5147" i="38"/>
  <c r="J5146" i="38"/>
  <c r="I5146" i="38"/>
  <c r="H5146" i="38"/>
  <c r="G5146" i="38"/>
  <c r="F5146" i="38"/>
  <c r="E5146" i="38"/>
  <c r="D5146" i="38"/>
  <c r="C5146" i="38"/>
  <c r="J5145" i="38"/>
  <c r="I5145" i="38"/>
  <c r="H5145" i="38"/>
  <c r="G5145" i="38"/>
  <c r="F5145" i="38"/>
  <c r="E5145" i="38"/>
  <c r="D5145" i="38"/>
  <c r="C5145" i="38"/>
  <c r="J5144" i="38"/>
  <c r="I5144" i="38"/>
  <c r="H5144" i="38"/>
  <c r="G5144" i="38"/>
  <c r="F5144" i="38"/>
  <c r="E5144" i="38"/>
  <c r="D5144" i="38"/>
  <c r="C5144" i="38"/>
  <c r="J5143" i="38"/>
  <c r="I5143" i="38"/>
  <c r="H5143" i="38"/>
  <c r="G5143" i="38"/>
  <c r="E5143" i="38"/>
  <c r="D5143" i="38"/>
  <c r="C5143" i="38"/>
  <c r="J5142" i="38"/>
  <c r="I5142" i="38"/>
  <c r="H5142" i="38"/>
  <c r="G5142" i="38"/>
  <c r="F5142" i="38"/>
  <c r="E5142" i="38"/>
  <c r="C5142" i="38"/>
  <c r="H5141" i="38"/>
  <c r="G5141" i="38"/>
  <c r="E5141" i="38"/>
  <c r="C5141" i="38"/>
  <c r="H5140" i="38"/>
  <c r="G5140" i="38"/>
  <c r="E5140" i="38"/>
  <c r="D5140" i="38"/>
  <c r="C5140" i="38"/>
  <c r="H5139" i="38"/>
  <c r="G5139" i="38"/>
  <c r="E5139" i="38"/>
  <c r="D5139" i="38"/>
  <c r="C5139" i="38"/>
  <c r="H5138" i="38"/>
  <c r="G5138" i="38"/>
  <c r="E5138" i="38"/>
  <c r="D5138" i="38"/>
  <c r="C5138" i="38"/>
  <c r="H5137" i="38"/>
  <c r="G5137" i="38"/>
  <c r="E5137" i="38"/>
  <c r="D5137" i="38"/>
  <c r="C5137" i="38"/>
  <c r="J5136" i="38"/>
  <c r="I5136" i="38"/>
  <c r="H5136" i="38"/>
  <c r="G5136" i="38"/>
  <c r="F5136" i="38"/>
  <c r="E5136" i="38"/>
  <c r="D5136" i="38"/>
  <c r="C5136" i="38"/>
  <c r="J5135" i="38"/>
  <c r="I5135" i="38"/>
  <c r="H5135" i="38"/>
  <c r="G5135" i="38"/>
  <c r="F5135" i="38"/>
  <c r="E5135" i="38"/>
  <c r="D5135" i="38"/>
  <c r="C5135" i="38"/>
  <c r="J5134" i="38"/>
  <c r="I5134" i="38"/>
  <c r="H5134" i="38"/>
  <c r="G5134" i="38"/>
  <c r="F5134" i="38"/>
  <c r="E5134" i="38"/>
  <c r="D5134" i="38"/>
  <c r="C5134" i="38"/>
  <c r="J5133" i="38"/>
  <c r="I5133" i="38"/>
  <c r="H5133" i="38"/>
  <c r="G5133" i="38"/>
  <c r="E5133" i="38"/>
  <c r="D5133" i="38"/>
  <c r="C5133" i="38"/>
  <c r="J5132" i="38"/>
  <c r="I5132" i="38"/>
  <c r="H5132" i="38"/>
  <c r="G5132" i="38"/>
  <c r="F5132" i="38"/>
  <c r="E5132" i="38"/>
  <c r="C5132" i="38"/>
  <c r="H5131" i="38"/>
  <c r="G5131" i="38"/>
  <c r="E5131" i="38"/>
  <c r="C5131" i="38"/>
  <c r="H5130" i="38"/>
  <c r="G5130" i="38"/>
  <c r="E5130" i="38"/>
  <c r="D5130" i="38"/>
  <c r="C5130" i="38"/>
  <c r="H5129" i="38"/>
  <c r="G5129" i="38"/>
  <c r="E5129" i="38"/>
  <c r="D5129" i="38"/>
  <c r="C5129" i="38"/>
  <c r="H5128" i="38"/>
  <c r="G5128" i="38"/>
  <c r="E5128" i="38"/>
  <c r="D5128" i="38"/>
  <c r="C5128" i="38"/>
  <c r="H5127" i="38"/>
  <c r="G5127" i="38"/>
  <c r="E5127" i="38"/>
  <c r="D5127" i="38"/>
  <c r="C5127" i="38"/>
  <c r="J5126" i="38"/>
  <c r="I5126" i="38"/>
  <c r="H5126" i="38"/>
  <c r="G5126" i="38"/>
  <c r="F5126" i="38"/>
  <c r="E5126" i="38"/>
  <c r="D5126" i="38"/>
  <c r="C5126" i="38"/>
  <c r="J5125" i="38"/>
  <c r="I5125" i="38"/>
  <c r="H5125" i="38"/>
  <c r="G5125" i="38"/>
  <c r="F5125" i="38"/>
  <c r="E5125" i="38"/>
  <c r="D5125" i="38"/>
  <c r="C5125" i="38"/>
  <c r="J5124" i="38"/>
  <c r="I5124" i="38"/>
  <c r="H5124" i="38"/>
  <c r="G5124" i="38"/>
  <c r="F5124" i="38"/>
  <c r="E5124" i="38"/>
  <c r="D5124" i="38"/>
  <c r="C5124" i="38"/>
  <c r="J5123" i="38"/>
  <c r="I5123" i="38"/>
  <c r="H5123" i="38"/>
  <c r="G5123" i="38"/>
  <c r="E5123" i="38"/>
  <c r="D5123" i="38"/>
  <c r="C5123" i="38"/>
  <c r="J5122" i="38"/>
  <c r="I5122" i="38"/>
  <c r="H5122" i="38"/>
  <c r="G5122" i="38"/>
  <c r="F5122" i="38"/>
  <c r="E5122" i="38"/>
  <c r="C5122" i="38"/>
  <c r="H5121" i="38"/>
  <c r="G5121" i="38"/>
  <c r="E5121" i="38"/>
  <c r="C5121" i="38"/>
  <c r="H5120" i="38"/>
  <c r="G5120" i="38"/>
  <c r="E5120" i="38"/>
  <c r="D5120" i="38"/>
  <c r="C5120" i="38"/>
  <c r="H5119" i="38"/>
  <c r="G5119" i="38"/>
  <c r="E5119" i="38"/>
  <c r="D5119" i="38"/>
  <c r="C5119" i="38"/>
  <c r="H5118" i="38"/>
  <c r="G5118" i="38"/>
  <c r="E5118" i="38"/>
  <c r="D5118" i="38"/>
  <c r="C5118" i="38"/>
  <c r="H5117" i="38"/>
  <c r="G5117" i="38"/>
  <c r="E5117" i="38"/>
  <c r="D5117" i="38"/>
  <c r="C5117" i="38"/>
  <c r="J5116" i="38"/>
  <c r="I5116" i="38"/>
  <c r="H5116" i="38"/>
  <c r="G5116" i="38"/>
  <c r="F5116" i="38"/>
  <c r="E5116" i="38"/>
  <c r="D5116" i="38"/>
  <c r="C5116" i="38"/>
  <c r="J5115" i="38"/>
  <c r="I5115" i="38"/>
  <c r="H5115" i="38"/>
  <c r="G5115" i="38"/>
  <c r="F5115" i="38"/>
  <c r="E5115" i="38"/>
  <c r="D5115" i="38"/>
  <c r="C5115" i="38"/>
  <c r="J5114" i="38"/>
  <c r="I5114" i="38"/>
  <c r="H5114" i="38"/>
  <c r="G5114" i="38"/>
  <c r="F5114" i="38"/>
  <c r="E5114" i="38"/>
  <c r="D5114" i="38"/>
  <c r="C5114" i="38"/>
  <c r="J5113" i="38"/>
  <c r="I5113" i="38"/>
  <c r="H5113" i="38"/>
  <c r="G5113" i="38"/>
  <c r="E5113" i="38"/>
  <c r="D5113" i="38"/>
  <c r="C5113" i="38"/>
  <c r="J5112" i="38"/>
  <c r="I5112" i="38"/>
  <c r="H5112" i="38"/>
  <c r="G5112" i="38"/>
  <c r="F5112" i="38"/>
  <c r="E5112" i="38"/>
  <c r="C5112" i="38"/>
  <c r="H5111" i="38"/>
  <c r="G5111" i="38"/>
  <c r="E5111" i="38"/>
  <c r="C5111" i="38"/>
  <c r="H5110" i="38"/>
  <c r="G5110" i="38"/>
  <c r="E5110" i="38"/>
  <c r="D5110" i="38"/>
  <c r="C5110" i="38"/>
  <c r="H5109" i="38"/>
  <c r="G5109" i="38"/>
  <c r="E5109" i="38"/>
  <c r="D5109" i="38"/>
  <c r="C5109" i="38"/>
  <c r="H5108" i="38"/>
  <c r="G5108" i="38"/>
  <c r="E5108" i="38"/>
  <c r="D5108" i="38"/>
  <c r="C5108" i="38"/>
  <c r="H5107" i="38"/>
  <c r="G5107" i="38"/>
  <c r="E5107" i="38"/>
  <c r="D5107" i="38"/>
  <c r="C5107" i="38"/>
  <c r="J5106" i="38"/>
  <c r="I5106" i="38"/>
  <c r="H5106" i="38"/>
  <c r="G5106" i="38"/>
  <c r="F5106" i="38"/>
  <c r="E5106" i="38"/>
  <c r="D5106" i="38"/>
  <c r="C5106" i="38"/>
  <c r="J5105" i="38"/>
  <c r="I5105" i="38"/>
  <c r="H5105" i="38"/>
  <c r="G5105" i="38"/>
  <c r="F5105" i="38"/>
  <c r="E5105" i="38"/>
  <c r="D5105" i="38"/>
  <c r="C5105" i="38"/>
  <c r="J5104" i="38"/>
  <c r="I5104" i="38"/>
  <c r="H5104" i="38"/>
  <c r="G5104" i="38"/>
  <c r="F5104" i="38"/>
  <c r="E5104" i="38"/>
  <c r="D5104" i="38"/>
  <c r="C5104" i="38"/>
  <c r="J5103" i="38"/>
  <c r="I5103" i="38"/>
  <c r="H5103" i="38"/>
  <c r="G5103" i="38"/>
  <c r="E5103" i="38"/>
  <c r="D5103" i="38"/>
  <c r="C5103" i="38"/>
  <c r="J5102" i="38"/>
  <c r="I5102" i="38"/>
  <c r="H5102" i="38"/>
  <c r="G5102" i="38"/>
  <c r="F5102" i="38"/>
  <c r="E5102" i="38"/>
  <c r="C5102" i="38"/>
  <c r="H5101" i="38"/>
  <c r="G5101" i="38"/>
  <c r="E5101" i="38"/>
  <c r="C5101" i="38"/>
  <c r="H5100" i="38"/>
  <c r="G5100" i="38"/>
  <c r="E5100" i="38"/>
  <c r="D5100" i="38"/>
  <c r="C5100" i="38"/>
  <c r="H5099" i="38"/>
  <c r="G5099" i="38"/>
  <c r="E5099" i="38"/>
  <c r="D5099" i="38"/>
  <c r="C5099" i="38"/>
  <c r="H5098" i="38"/>
  <c r="G5098" i="38"/>
  <c r="E5098" i="38"/>
  <c r="D5098" i="38"/>
  <c r="C5098" i="38"/>
  <c r="H5097" i="38"/>
  <c r="G5097" i="38"/>
  <c r="E5097" i="38"/>
  <c r="D5097" i="38"/>
  <c r="C5097" i="38"/>
  <c r="J5096" i="38"/>
  <c r="I5096" i="38"/>
  <c r="H5096" i="38"/>
  <c r="G5096" i="38"/>
  <c r="F5096" i="38"/>
  <c r="E5096" i="38"/>
  <c r="D5096" i="38"/>
  <c r="C5096" i="38"/>
  <c r="J5095" i="38"/>
  <c r="I5095" i="38"/>
  <c r="H5095" i="38"/>
  <c r="G5095" i="38"/>
  <c r="F5095" i="38"/>
  <c r="E5095" i="38"/>
  <c r="D5095" i="38"/>
  <c r="C5095" i="38"/>
  <c r="J5094" i="38"/>
  <c r="I5094" i="38"/>
  <c r="H5094" i="38"/>
  <c r="G5094" i="38"/>
  <c r="F5094" i="38"/>
  <c r="E5094" i="38"/>
  <c r="D5094" i="38"/>
  <c r="C5094" i="38"/>
  <c r="J5093" i="38"/>
  <c r="I5093" i="38"/>
  <c r="H5093" i="38"/>
  <c r="G5093" i="38"/>
  <c r="E5093" i="38"/>
  <c r="D5093" i="38"/>
  <c r="C5093" i="38"/>
  <c r="J5092" i="38"/>
  <c r="I5092" i="38"/>
  <c r="H5092" i="38"/>
  <c r="G5092" i="38"/>
  <c r="F5092" i="38"/>
  <c r="E5092" i="38"/>
  <c r="C5092" i="38"/>
  <c r="H5091" i="38"/>
  <c r="G5091" i="38"/>
  <c r="E5091" i="38"/>
  <c r="C5091" i="38"/>
  <c r="H5090" i="38"/>
  <c r="G5090" i="38"/>
  <c r="E5090" i="38"/>
  <c r="D5090" i="38"/>
  <c r="C5090" i="38"/>
  <c r="H5089" i="38"/>
  <c r="G5089" i="38"/>
  <c r="E5089" i="38"/>
  <c r="D5089" i="38"/>
  <c r="C5089" i="38"/>
  <c r="H5088" i="38"/>
  <c r="G5088" i="38"/>
  <c r="E5088" i="38"/>
  <c r="D5088" i="38"/>
  <c r="C5088" i="38"/>
  <c r="H5087" i="38"/>
  <c r="G5087" i="38"/>
  <c r="E5087" i="38"/>
  <c r="D5087" i="38"/>
  <c r="C5087" i="38"/>
  <c r="J5086" i="38"/>
  <c r="I5086" i="38"/>
  <c r="H5086" i="38"/>
  <c r="G5086" i="38"/>
  <c r="F5086" i="38"/>
  <c r="E5086" i="38"/>
  <c r="D5086" i="38"/>
  <c r="C5086" i="38"/>
  <c r="J5085" i="38"/>
  <c r="I5085" i="38"/>
  <c r="H5085" i="38"/>
  <c r="G5085" i="38"/>
  <c r="F5085" i="38"/>
  <c r="E5085" i="38"/>
  <c r="D5085" i="38"/>
  <c r="C5085" i="38"/>
  <c r="J5084" i="38"/>
  <c r="I5084" i="38"/>
  <c r="H5084" i="38"/>
  <c r="G5084" i="38"/>
  <c r="F5084" i="38"/>
  <c r="E5084" i="38"/>
  <c r="D5084" i="38"/>
  <c r="C5084" i="38"/>
  <c r="J5083" i="38"/>
  <c r="I5083" i="38"/>
  <c r="H5083" i="38"/>
  <c r="G5083" i="38"/>
  <c r="E5083" i="38"/>
  <c r="D5083" i="38"/>
  <c r="C5083" i="38"/>
  <c r="J5082" i="38"/>
  <c r="I5082" i="38"/>
  <c r="H5082" i="38"/>
  <c r="G5082" i="38"/>
  <c r="F5082" i="38"/>
  <c r="E5082" i="38"/>
  <c r="C5082" i="38"/>
  <c r="H5081" i="38"/>
  <c r="G5081" i="38"/>
  <c r="E5081" i="38"/>
  <c r="C5081" i="38"/>
  <c r="H5080" i="38"/>
  <c r="G5080" i="38"/>
  <c r="E5080" i="38"/>
  <c r="D5080" i="38"/>
  <c r="C5080" i="38"/>
  <c r="H5079" i="38"/>
  <c r="G5079" i="38"/>
  <c r="E5079" i="38"/>
  <c r="D5079" i="38"/>
  <c r="C5079" i="38"/>
  <c r="H5078" i="38"/>
  <c r="G5078" i="38"/>
  <c r="E5078" i="38"/>
  <c r="D5078" i="38"/>
  <c r="C5078" i="38"/>
  <c r="H5077" i="38"/>
  <c r="G5077" i="38"/>
  <c r="E5077" i="38"/>
  <c r="D5077" i="38"/>
  <c r="C5077" i="38"/>
  <c r="J5076" i="38"/>
  <c r="I5076" i="38"/>
  <c r="H5076" i="38"/>
  <c r="G5076" i="38"/>
  <c r="F5076" i="38"/>
  <c r="E5076" i="38"/>
  <c r="D5076" i="38"/>
  <c r="C5076" i="38"/>
  <c r="J5075" i="38"/>
  <c r="I5075" i="38"/>
  <c r="H5075" i="38"/>
  <c r="G5075" i="38"/>
  <c r="F5075" i="38"/>
  <c r="E5075" i="38"/>
  <c r="D5075" i="38"/>
  <c r="C5075" i="38"/>
  <c r="J5074" i="38"/>
  <c r="I5074" i="38"/>
  <c r="H5074" i="38"/>
  <c r="G5074" i="38"/>
  <c r="F5074" i="38"/>
  <c r="E5074" i="38"/>
  <c r="D5074" i="38"/>
  <c r="C5074" i="38"/>
  <c r="J5073" i="38"/>
  <c r="I5073" i="38"/>
  <c r="H5073" i="38"/>
  <c r="G5073" i="38"/>
  <c r="E5073" i="38"/>
  <c r="D5073" i="38"/>
  <c r="C5073" i="38"/>
  <c r="J5072" i="38"/>
  <c r="I5072" i="38"/>
  <c r="H5072" i="38"/>
  <c r="G5072" i="38"/>
  <c r="F5072" i="38"/>
  <c r="E5072" i="38"/>
  <c r="C5072" i="38"/>
  <c r="H5071" i="38"/>
  <c r="G5071" i="38"/>
  <c r="E5071" i="38"/>
  <c r="C5071" i="38"/>
  <c r="H5070" i="38"/>
  <c r="G5070" i="38"/>
  <c r="E5070" i="38"/>
  <c r="D5070" i="38"/>
  <c r="C5070" i="38"/>
  <c r="H5069" i="38"/>
  <c r="G5069" i="38"/>
  <c r="E5069" i="38"/>
  <c r="D5069" i="38"/>
  <c r="C5069" i="38"/>
  <c r="H5068" i="38"/>
  <c r="G5068" i="38"/>
  <c r="E5068" i="38"/>
  <c r="D5068" i="38"/>
  <c r="C5068" i="38"/>
  <c r="H5067" i="38"/>
  <c r="G5067" i="38"/>
  <c r="E5067" i="38"/>
  <c r="D5067" i="38"/>
  <c r="C5067" i="38"/>
  <c r="J5066" i="38"/>
  <c r="I5066" i="38"/>
  <c r="H5066" i="38"/>
  <c r="G5066" i="38"/>
  <c r="F5066" i="38"/>
  <c r="E5066" i="38"/>
  <c r="D5066" i="38"/>
  <c r="C5066" i="38"/>
  <c r="J5065" i="38"/>
  <c r="I5065" i="38"/>
  <c r="H5065" i="38"/>
  <c r="G5065" i="38"/>
  <c r="F5065" i="38"/>
  <c r="E5065" i="38"/>
  <c r="D5065" i="38"/>
  <c r="C5065" i="38"/>
  <c r="J5064" i="38"/>
  <c r="I5064" i="38"/>
  <c r="H5064" i="38"/>
  <c r="G5064" i="38"/>
  <c r="F5064" i="38"/>
  <c r="E5064" i="38"/>
  <c r="D5064" i="38"/>
  <c r="C5064" i="38"/>
  <c r="J5063" i="38"/>
  <c r="I5063" i="38"/>
  <c r="H5063" i="38"/>
  <c r="G5063" i="38"/>
  <c r="E5063" i="38"/>
  <c r="D5063" i="38"/>
  <c r="C5063" i="38"/>
  <c r="J5062" i="38"/>
  <c r="I5062" i="38"/>
  <c r="H5062" i="38"/>
  <c r="G5062" i="38"/>
  <c r="F5062" i="38"/>
  <c r="E5062" i="38"/>
  <c r="C5062" i="38"/>
  <c r="H5061" i="38"/>
  <c r="G5061" i="38"/>
  <c r="E5061" i="38"/>
  <c r="C5061" i="38"/>
  <c r="H5060" i="38"/>
  <c r="G5060" i="38"/>
  <c r="E5060" i="38"/>
  <c r="D5060" i="38"/>
  <c r="C5060" i="38"/>
  <c r="H5059" i="38"/>
  <c r="G5059" i="38"/>
  <c r="E5059" i="38"/>
  <c r="D5059" i="38"/>
  <c r="C5059" i="38"/>
  <c r="H5058" i="38"/>
  <c r="G5058" i="38"/>
  <c r="E5058" i="38"/>
  <c r="D5058" i="38"/>
  <c r="C5058" i="38"/>
  <c r="H5057" i="38"/>
  <c r="G5057" i="38"/>
  <c r="E5057" i="38"/>
  <c r="D5057" i="38"/>
  <c r="C5057" i="38"/>
  <c r="J5056" i="38"/>
  <c r="I5056" i="38"/>
  <c r="H5056" i="38"/>
  <c r="G5056" i="38"/>
  <c r="F5056" i="38"/>
  <c r="E5056" i="38"/>
  <c r="D5056" i="38"/>
  <c r="C5056" i="38"/>
  <c r="J5055" i="38"/>
  <c r="I5055" i="38"/>
  <c r="H5055" i="38"/>
  <c r="G5055" i="38"/>
  <c r="F5055" i="38"/>
  <c r="E5055" i="38"/>
  <c r="D5055" i="38"/>
  <c r="C5055" i="38"/>
  <c r="J5054" i="38"/>
  <c r="I5054" i="38"/>
  <c r="H5054" i="38"/>
  <c r="G5054" i="38"/>
  <c r="F5054" i="38"/>
  <c r="E5054" i="38"/>
  <c r="D5054" i="38"/>
  <c r="C5054" i="38"/>
  <c r="J5053" i="38"/>
  <c r="I5053" i="38"/>
  <c r="H5053" i="38"/>
  <c r="G5053" i="38"/>
  <c r="E5053" i="38"/>
  <c r="D5053" i="38"/>
  <c r="C5053" i="38"/>
  <c r="J5052" i="38"/>
  <c r="I5052" i="38"/>
  <c r="H5052" i="38"/>
  <c r="G5052" i="38"/>
  <c r="F5052" i="38"/>
  <c r="E5052" i="38"/>
  <c r="C5052" i="38"/>
  <c r="H5051" i="38"/>
  <c r="G5051" i="38"/>
  <c r="E5051" i="38"/>
  <c r="C5051" i="38"/>
  <c r="H5050" i="38"/>
  <c r="G5050" i="38"/>
  <c r="E5050" i="38"/>
  <c r="D5050" i="38"/>
  <c r="C5050" i="38"/>
  <c r="H5049" i="38"/>
  <c r="G5049" i="38"/>
  <c r="E5049" i="38"/>
  <c r="D5049" i="38"/>
  <c r="C5049" i="38"/>
  <c r="H5048" i="38"/>
  <c r="G5048" i="38"/>
  <c r="E5048" i="38"/>
  <c r="D5048" i="38"/>
  <c r="C5048" i="38"/>
  <c r="H5047" i="38"/>
  <c r="G5047" i="38"/>
  <c r="E5047" i="38"/>
  <c r="D5047" i="38"/>
  <c r="C5047" i="38"/>
  <c r="J5046" i="38"/>
  <c r="I5046" i="38"/>
  <c r="H5046" i="38"/>
  <c r="G5046" i="38"/>
  <c r="F5046" i="38"/>
  <c r="E5046" i="38"/>
  <c r="D5046" i="38"/>
  <c r="C5046" i="38"/>
  <c r="J5045" i="38"/>
  <c r="I5045" i="38"/>
  <c r="H5045" i="38"/>
  <c r="G5045" i="38"/>
  <c r="F5045" i="38"/>
  <c r="E5045" i="38"/>
  <c r="D5045" i="38"/>
  <c r="C5045" i="38"/>
  <c r="J5044" i="38"/>
  <c r="I5044" i="38"/>
  <c r="H5044" i="38"/>
  <c r="G5044" i="38"/>
  <c r="F5044" i="38"/>
  <c r="E5044" i="38"/>
  <c r="D5044" i="38"/>
  <c r="C5044" i="38"/>
  <c r="J5043" i="38"/>
  <c r="I5043" i="38"/>
  <c r="H5043" i="38"/>
  <c r="G5043" i="38"/>
  <c r="E5043" i="38"/>
  <c r="D5043" i="38"/>
  <c r="C5043" i="38"/>
  <c r="J5042" i="38"/>
  <c r="I5042" i="38"/>
  <c r="H5042" i="38"/>
  <c r="G5042" i="38"/>
  <c r="F5042" i="38"/>
  <c r="E5042" i="38"/>
  <c r="C5042" i="38"/>
  <c r="H5041" i="38"/>
  <c r="G5041" i="38"/>
  <c r="E5041" i="38"/>
  <c r="C5041" i="38"/>
  <c r="H5040" i="38"/>
  <c r="G5040" i="38"/>
  <c r="E5040" i="38"/>
  <c r="D5040" i="38"/>
  <c r="C5040" i="38"/>
  <c r="H5039" i="38"/>
  <c r="G5039" i="38"/>
  <c r="E5039" i="38"/>
  <c r="D5039" i="38"/>
  <c r="C5039" i="38"/>
  <c r="H5038" i="38"/>
  <c r="G5038" i="38"/>
  <c r="E5038" i="38"/>
  <c r="D5038" i="38"/>
  <c r="C5038" i="38"/>
  <c r="H5037" i="38"/>
  <c r="G5037" i="38"/>
  <c r="E5037" i="38"/>
  <c r="D5037" i="38"/>
  <c r="C5037" i="38"/>
  <c r="J5036" i="38"/>
  <c r="I5036" i="38"/>
  <c r="H5036" i="38"/>
  <c r="G5036" i="38"/>
  <c r="F5036" i="38"/>
  <c r="E5036" i="38"/>
  <c r="D5036" i="38"/>
  <c r="C5036" i="38"/>
  <c r="J5035" i="38"/>
  <c r="I5035" i="38"/>
  <c r="H5035" i="38"/>
  <c r="G5035" i="38"/>
  <c r="F5035" i="38"/>
  <c r="E5035" i="38"/>
  <c r="D5035" i="38"/>
  <c r="C5035" i="38"/>
  <c r="J5034" i="38"/>
  <c r="I5034" i="38"/>
  <c r="H5034" i="38"/>
  <c r="G5034" i="38"/>
  <c r="F5034" i="38"/>
  <c r="E5034" i="38"/>
  <c r="D5034" i="38"/>
  <c r="C5034" i="38"/>
  <c r="J5033" i="38"/>
  <c r="I5033" i="38"/>
  <c r="H5033" i="38"/>
  <c r="G5033" i="38"/>
  <c r="E5033" i="38"/>
  <c r="D5033" i="38"/>
  <c r="C5033" i="38"/>
  <c r="J5032" i="38"/>
  <c r="I5032" i="38"/>
  <c r="H5032" i="38"/>
  <c r="G5032" i="38"/>
  <c r="F5032" i="38"/>
  <c r="E5032" i="38"/>
  <c r="C5032" i="38"/>
  <c r="H5031" i="38"/>
  <c r="G5031" i="38"/>
  <c r="E5031" i="38"/>
  <c r="C5031" i="38"/>
  <c r="J5030" i="38"/>
  <c r="I5030" i="38"/>
  <c r="H5030" i="38"/>
  <c r="G5030" i="38"/>
  <c r="F5030" i="38"/>
  <c r="E5030" i="38"/>
  <c r="D5030" i="38"/>
  <c r="C5030" i="38"/>
  <c r="J5029" i="38"/>
  <c r="I5029" i="38"/>
  <c r="H5029" i="38"/>
  <c r="G5029" i="38"/>
  <c r="F5029" i="38"/>
  <c r="E5029" i="38"/>
  <c r="D5029" i="38"/>
  <c r="C5029" i="38"/>
  <c r="J5028" i="38"/>
  <c r="I5028" i="38"/>
  <c r="H5028" i="38"/>
  <c r="G5028" i="38"/>
  <c r="F5028" i="38"/>
  <c r="E5028" i="38"/>
  <c r="D5028" i="38"/>
  <c r="C5028" i="38"/>
  <c r="J5027" i="38"/>
  <c r="I5027" i="38"/>
  <c r="H5027" i="38"/>
  <c r="G5027" i="38"/>
  <c r="F5027" i="38"/>
  <c r="E5027" i="38"/>
  <c r="D5027" i="38"/>
  <c r="C5027" i="38"/>
  <c r="J5026" i="38"/>
  <c r="I5026" i="38"/>
  <c r="H5026" i="38"/>
  <c r="G5026" i="38"/>
  <c r="F5026" i="38"/>
  <c r="E5026" i="38"/>
  <c r="D5026" i="38"/>
  <c r="C5026" i="38"/>
  <c r="J5025" i="38"/>
  <c r="I5025" i="38"/>
  <c r="H5025" i="38"/>
  <c r="G5025" i="38"/>
  <c r="F5025" i="38"/>
  <c r="E5025" i="38"/>
  <c r="D5025" i="38"/>
  <c r="C5025" i="38"/>
  <c r="J5024" i="38"/>
  <c r="I5024" i="38"/>
  <c r="H5024" i="38"/>
  <c r="G5024" i="38"/>
  <c r="F5024" i="38"/>
  <c r="E5024" i="38"/>
  <c r="D5024" i="38"/>
  <c r="C5024" i="38"/>
  <c r="J5023" i="38"/>
  <c r="I5023" i="38"/>
  <c r="H5023" i="38"/>
  <c r="G5023" i="38"/>
  <c r="F5023" i="38"/>
  <c r="E5023" i="38"/>
  <c r="D5023" i="38"/>
  <c r="C5023" i="38"/>
  <c r="J5022" i="38"/>
  <c r="I5022" i="38"/>
  <c r="H5022" i="38"/>
  <c r="G5022" i="38"/>
  <c r="F5022" i="38"/>
  <c r="E5022" i="38"/>
  <c r="D5022" i="38"/>
  <c r="C5022" i="38"/>
  <c r="J5021" i="38"/>
  <c r="I5021" i="38"/>
  <c r="H5021" i="38"/>
  <c r="G5021" i="38"/>
  <c r="F5021" i="38"/>
  <c r="E5021" i="38"/>
  <c r="D5021" i="38"/>
  <c r="C5021" i="38"/>
  <c r="J5020" i="38"/>
  <c r="I5020" i="38"/>
  <c r="H5020" i="38"/>
  <c r="G5020" i="38"/>
  <c r="F5020" i="38"/>
  <c r="E5020" i="38"/>
  <c r="D5020" i="38"/>
  <c r="C5020" i="38"/>
  <c r="J5019" i="38"/>
  <c r="I5019" i="38"/>
  <c r="H5019" i="38"/>
  <c r="G5019" i="38"/>
  <c r="F5019" i="38"/>
  <c r="E5019" i="38"/>
  <c r="D5019" i="38"/>
  <c r="C5019" i="38"/>
  <c r="J5018" i="38"/>
  <c r="I5018" i="38"/>
  <c r="H5018" i="38"/>
  <c r="G5018" i="38"/>
  <c r="F5018" i="38"/>
  <c r="E5018" i="38"/>
  <c r="D5018" i="38"/>
  <c r="C5018" i="38"/>
  <c r="J5017" i="38"/>
  <c r="I5017" i="38"/>
  <c r="H5017" i="38"/>
  <c r="G5017" i="38"/>
  <c r="F5017" i="38"/>
  <c r="E5017" i="38"/>
  <c r="D5017" i="38"/>
  <c r="C5017" i="38"/>
  <c r="J5016" i="38"/>
  <c r="I5016" i="38"/>
  <c r="H5016" i="38"/>
  <c r="G5016" i="38"/>
  <c r="F5016" i="38"/>
  <c r="E5016" i="38"/>
  <c r="D5016" i="38"/>
  <c r="C5016" i="38"/>
  <c r="J5015" i="38"/>
  <c r="I5015" i="38"/>
  <c r="H5015" i="38"/>
  <c r="G5015" i="38"/>
  <c r="F5015" i="38"/>
  <c r="E5015" i="38"/>
  <c r="D5015" i="38"/>
  <c r="C5015" i="38"/>
  <c r="J5014" i="38"/>
  <c r="I5014" i="38"/>
  <c r="H5014" i="38"/>
  <c r="G5014" i="38"/>
  <c r="F5014" i="38"/>
  <c r="E5014" i="38"/>
  <c r="D5014" i="38"/>
  <c r="C5014" i="38"/>
  <c r="J5013" i="38"/>
  <c r="I5013" i="38"/>
  <c r="H5013" i="38"/>
  <c r="G5013" i="38"/>
  <c r="E5013" i="38"/>
  <c r="D5013" i="38"/>
  <c r="C5013" i="38"/>
  <c r="J5012" i="38"/>
  <c r="I5012" i="38"/>
  <c r="H5012" i="38"/>
  <c r="G5012" i="38"/>
  <c r="F5012" i="38"/>
  <c r="E5012" i="38"/>
  <c r="C5012" i="38"/>
  <c r="H5011" i="38"/>
  <c r="G5011" i="38"/>
  <c r="E5011" i="38"/>
  <c r="C5011" i="38"/>
  <c r="H5010" i="38"/>
  <c r="G5010" i="38"/>
  <c r="E5010" i="38"/>
  <c r="D5010" i="38"/>
  <c r="C5010" i="38"/>
  <c r="H5009" i="38"/>
  <c r="G5009" i="38"/>
  <c r="E5009" i="38"/>
  <c r="D5009" i="38"/>
  <c r="C5009" i="38"/>
  <c r="H5008" i="38"/>
  <c r="G5008" i="38"/>
  <c r="E5008" i="38"/>
  <c r="D5008" i="38"/>
  <c r="C5008" i="38"/>
  <c r="H5007" i="38"/>
  <c r="G5007" i="38"/>
  <c r="E5007" i="38"/>
  <c r="D5007" i="38"/>
  <c r="C5007" i="38"/>
  <c r="J5006" i="38"/>
  <c r="I5006" i="38"/>
  <c r="H5006" i="38"/>
  <c r="G5006" i="38"/>
  <c r="F5006" i="38"/>
  <c r="E5006" i="38"/>
  <c r="D5006" i="38"/>
  <c r="C5006" i="38"/>
  <c r="J5005" i="38"/>
  <c r="I5005" i="38"/>
  <c r="H5005" i="38"/>
  <c r="G5005" i="38"/>
  <c r="F5005" i="38"/>
  <c r="E5005" i="38"/>
  <c r="D5005" i="38"/>
  <c r="C5005" i="38"/>
  <c r="J5004" i="38"/>
  <c r="I5004" i="38"/>
  <c r="H5004" i="38"/>
  <c r="G5004" i="38"/>
  <c r="F5004" i="38"/>
  <c r="E5004" i="38"/>
  <c r="D5004" i="38"/>
  <c r="C5004" i="38"/>
  <c r="J5003" i="38"/>
  <c r="I5003" i="38"/>
  <c r="H5003" i="38"/>
  <c r="G5003" i="38"/>
  <c r="E5003" i="38"/>
  <c r="D5003" i="38"/>
  <c r="C5003" i="38"/>
  <c r="J5002" i="38"/>
  <c r="I5002" i="38"/>
  <c r="H5002" i="38"/>
  <c r="G5002" i="38"/>
  <c r="F5002" i="38"/>
  <c r="E5002" i="38"/>
  <c r="C5002" i="38"/>
  <c r="H5001" i="38"/>
  <c r="G5001" i="38"/>
  <c r="E5001" i="38"/>
  <c r="C5001" i="38"/>
  <c r="H5000" i="38"/>
  <c r="G5000" i="38"/>
  <c r="E5000" i="38"/>
  <c r="D5000" i="38"/>
  <c r="C5000" i="38"/>
  <c r="H4999" i="38"/>
  <c r="G4999" i="38"/>
  <c r="E4999" i="38"/>
  <c r="D4999" i="38"/>
  <c r="C4999" i="38"/>
  <c r="H4998" i="38"/>
  <c r="G4998" i="38"/>
  <c r="E4998" i="38"/>
  <c r="D4998" i="38"/>
  <c r="C4998" i="38"/>
  <c r="H4997" i="38"/>
  <c r="G4997" i="38"/>
  <c r="E4997" i="38"/>
  <c r="D4997" i="38"/>
  <c r="C4997" i="38"/>
  <c r="J4996" i="38"/>
  <c r="I4996" i="38"/>
  <c r="H4996" i="38"/>
  <c r="G4996" i="38"/>
  <c r="F4996" i="38"/>
  <c r="E4996" i="38"/>
  <c r="D4996" i="38"/>
  <c r="C4996" i="38"/>
  <c r="J4995" i="38"/>
  <c r="I4995" i="38"/>
  <c r="H4995" i="38"/>
  <c r="G4995" i="38"/>
  <c r="F4995" i="38"/>
  <c r="E4995" i="38"/>
  <c r="D4995" i="38"/>
  <c r="C4995" i="38"/>
  <c r="J4994" i="38"/>
  <c r="I4994" i="38"/>
  <c r="H4994" i="38"/>
  <c r="G4994" i="38"/>
  <c r="F4994" i="38"/>
  <c r="E4994" i="38"/>
  <c r="D4994" i="38"/>
  <c r="C4994" i="38"/>
  <c r="J4993" i="38"/>
  <c r="I4993" i="38"/>
  <c r="H4993" i="38"/>
  <c r="G4993" i="38"/>
  <c r="E4993" i="38"/>
  <c r="D4993" i="38"/>
  <c r="C4993" i="38"/>
  <c r="J4992" i="38"/>
  <c r="I4992" i="38"/>
  <c r="H4992" i="38"/>
  <c r="G4992" i="38"/>
  <c r="F4992" i="38"/>
  <c r="E4992" i="38"/>
  <c r="C4992" i="38"/>
  <c r="H4991" i="38"/>
  <c r="G4991" i="38"/>
  <c r="E4991" i="38"/>
  <c r="C4991" i="38"/>
  <c r="H4990" i="38"/>
  <c r="G4990" i="38"/>
  <c r="E4990" i="38"/>
  <c r="D4990" i="38"/>
  <c r="C4990" i="38"/>
  <c r="H4989" i="38"/>
  <c r="G4989" i="38"/>
  <c r="E4989" i="38"/>
  <c r="D4989" i="38"/>
  <c r="C4989" i="38"/>
  <c r="H4988" i="38"/>
  <c r="G4988" i="38"/>
  <c r="E4988" i="38"/>
  <c r="D4988" i="38"/>
  <c r="C4988" i="38"/>
  <c r="H4987" i="38"/>
  <c r="G4987" i="38"/>
  <c r="E4987" i="38"/>
  <c r="D4987" i="38"/>
  <c r="C4987" i="38"/>
  <c r="J4986" i="38"/>
  <c r="I4986" i="38"/>
  <c r="H4986" i="38"/>
  <c r="G4986" i="38"/>
  <c r="F4986" i="38"/>
  <c r="E4986" i="38"/>
  <c r="D4986" i="38"/>
  <c r="C4986" i="38"/>
  <c r="J4985" i="38"/>
  <c r="I4985" i="38"/>
  <c r="H4985" i="38"/>
  <c r="G4985" i="38"/>
  <c r="F4985" i="38"/>
  <c r="E4985" i="38"/>
  <c r="D4985" i="38"/>
  <c r="C4985" i="38"/>
  <c r="J4984" i="38"/>
  <c r="I4984" i="38"/>
  <c r="H4984" i="38"/>
  <c r="G4984" i="38"/>
  <c r="F4984" i="38"/>
  <c r="E4984" i="38"/>
  <c r="D4984" i="38"/>
  <c r="C4984" i="38"/>
  <c r="J4983" i="38"/>
  <c r="I4983" i="38"/>
  <c r="H4983" i="38"/>
  <c r="G4983" i="38"/>
  <c r="E4983" i="38"/>
  <c r="D4983" i="38"/>
  <c r="C4983" i="38"/>
  <c r="J4982" i="38"/>
  <c r="I4982" i="38"/>
  <c r="H4982" i="38"/>
  <c r="G4982" i="38"/>
  <c r="F4982" i="38"/>
  <c r="E4982" i="38"/>
  <c r="C4982" i="38"/>
  <c r="H4981" i="38"/>
  <c r="G4981" i="38"/>
  <c r="E4981" i="38"/>
  <c r="C4981" i="38"/>
  <c r="H4980" i="38"/>
  <c r="G4980" i="38"/>
  <c r="E4980" i="38"/>
  <c r="D4980" i="38"/>
  <c r="C4980" i="38"/>
  <c r="H4979" i="38"/>
  <c r="G4979" i="38"/>
  <c r="E4979" i="38"/>
  <c r="D4979" i="38"/>
  <c r="C4979" i="38"/>
  <c r="H4978" i="38"/>
  <c r="G4978" i="38"/>
  <c r="E4978" i="38"/>
  <c r="D4978" i="38"/>
  <c r="C4978" i="38"/>
  <c r="H4977" i="38"/>
  <c r="G4977" i="38"/>
  <c r="E4977" i="38"/>
  <c r="D4977" i="38"/>
  <c r="C4977" i="38"/>
  <c r="J4976" i="38"/>
  <c r="I4976" i="38"/>
  <c r="H4976" i="38"/>
  <c r="G4976" i="38"/>
  <c r="F4976" i="38"/>
  <c r="E4976" i="38"/>
  <c r="D4976" i="38"/>
  <c r="C4976" i="38"/>
  <c r="J4975" i="38"/>
  <c r="I4975" i="38"/>
  <c r="H4975" i="38"/>
  <c r="G4975" i="38"/>
  <c r="F4975" i="38"/>
  <c r="E4975" i="38"/>
  <c r="D4975" i="38"/>
  <c r="C4975" i="38"/>
  <c r="J4974" i="38"/>
  <c r="I4974" i="38"/>
  <c r="H4974" i="38"/>
  <c r="G4974" i="38"/>
  <c r="F4974" i="38"/>
  <c r="E4974" i="38"/>
  <c r="D4974" i="38"/>
  <c r="C4974" i="38"/>
  <c r="J4973" i="38"/>
  <c r="I4973" i="38"/>
  <c r="H4973" i="38"/>
  <c r="G4973" i="38"/>
  <c r="E4973" i="38"/>
  <c r="D4973" i="38"/>
  <c r="C4973" i="38"/>
  <c r="J4972" i="38"/>
  <c r="I4972" i="38"/>
  <c r="H4972" i="38"/>
  <c r="G4972" i="38"/>
  <c r="F4972" i="38"/>
  <c r="E4972" i="38"/>
  <c r="C4972" i="38"/>
  <c r="H4971" i="38"/>
  <c r="G4971" i="38"/>
  <c r="E4971" i="38"/>
  <c r="C4971" i="38"/>
  <c r="H4970" i="38"/>
  <c r="G4970" i="38"/>
  <c r="E4970" i="38"/>
  <c r="D4970" i="38"/>
  <c r="C4970" i="38"/>
  <c r="H4969" i="38"/>
  <c r="G4969" i="38"/>
  <c r="E4969" i="38"/>
  <c r="D4969" i="38"/>
  <c r="C4969" i="38"/>
  <c r="H4968" i="38"/>
  <c r="G4968" i="38"/>
  <c r="E4968" i="38"/>
  <c r="D4968" i="38"/>
  <c r="C4968" i="38"/>
  <c r="H4967" i="38"/>
  <c r="G4967" i="38"/>
  <c r="E4967" i="38"/>
  <c r="D4967" i="38"/>
  <c r="C4967" i="38"/>
  <c r="J4966" i="38"/>
  <c r="I4966" i="38"/>
  <c r="H4966" i="38"/>
  <c r="G4966" i="38"/>
  <c r="F4966" i="38"/>
  <c r="E4966" i="38"/>
  <c r="D4966" i="38"/>
  <c r="C4966" i="38"/>
  <c r="J4965" i="38"/>
  <c r="I4965" i="38"/>
  <c r="H4965" i="38"/>
  <c r="G4965" i="38"/>
  <c r="F4965" i="38"/>
  <c r="E4965" i="38"/>
  <c r="D4965" i="38"/>
  <c r="C4965" i="38"/>
  <c r="J4964" i="38"/>
  <c r="I4964" i="38"/>
  <c r="H4964" i="38"/>
  <c r="G4964" i="38"/>
  <c r="F4964" i="38"/>
  <c r="E4964" i="38"/>
  <c r="D4964" i="38"/>
  <c r="C4964" i="38"/>
  <c r="J4963" i="38"/>
  <c r="I4963" i="38"/>
  <c r="H4963" i="38"/>
  <c r="G4963" i="38"/>
  <c r="E4963" i="38"/>
  <c r="D4963" i="38"/>
  <c r="C4963" i="38"/>
  <c r="J4962" i="38"/>
  <c r="I4962" i="38"/>
  <c r="H4962" i="38"/>
  <c r="G4962" i="38"/>
  <c r="F4962" i="38"/>
  <c r="E4962" i="38"/>
  <c r="C4962" i="38"/>
  <c r="H4961" i="38"/>
  <c r="G4961" i="38"/>
  <c r="E4961" i="38"/>
  <c r="C4961" i="38"/>
  <c r="H4960" i="38"/>
  <c r="G4960" i="38"/>
  <c r="E4960" i="38"/>
  <c r="D4960" i="38"/>
  <c r="C4960" i="38"/>
  <c r="H4959" i="38"/>
  <c r="G4959" i="38"/>
  <c r="E4959" i="38"/>
  <c r="D4959" i="38"/>
  <c r="C4959" i="38"/>
  <c r="H4958" i="38"/>
  <c r="G4958" i="38"/>
  <c r="E4958" i="38"/>
  <c r="D4958" i="38"/>
  <c r="C4958" i="38"/>
  <c r="H4957" i="38"/>
  <c r="G4957" i="38"/>
  <c r="E4957" i="38"/>
  <c r="D4957" i="38"/>
  <c r="C4957" i="38"/>
  <c r="J4956" i="38"/>
  <c r="I4956" i="38"/>
  <c r="H4956" i="38"/>
  <c r="G4956" i="38"/>
  <c r="F4956" i="38"/>
  <c r="E4956" i="38"/>
  <c r="D4956" i="38"/>
  <c r="C4956" i="38"/>
  <c r="J4955" i="38"/>
  <c r="I4955" i="38"/>
  <c r="H4955" i="38"/>
  <c r="G4955" i="38"/>
  <c r="F4955" i="38"/>
  <c r="E4955" i="38"/>
  <c r="D4955" i="38"/>
  <c r="C4955" i="38"/>
  <c r="J4954" i="38"/>
  <c r="I4954" i="38"/>
  <c r="H4954" i="38"/>
  <c r="G4954" i="38"/>
  <c r="F4954" i="38"/>
  <c r="E4954" i="38"/>
  <c r="D4954" i="38"/>
  <c r="C4954" i="38"/>
  <c r="J4953" i="38"/>
  <c r="I4953" i="38"/>
  <c r="H4953" i="38"/>
  <c r="G4953" i="38"/>
  <c r="E4953" i="38"/>
  <c r="D4953" i="38"/>
  <c r="C4953" i="38"/>
  <c r="J4952" i="38"/>
  <c r="I4952" i="38"/>
  <c r="H4952" i="38"/>
  <c r="G4952" i="38"/>
  <c r="F4952" i="38"/>
  <c r="E4952" i="38"/>
  <c r="C4952" i="38"/>
  <c r="H4951" i="38"/>
  <c r="G4951" i="38"/>
  <c r="E4951" i="38"/>
  <c r="C4951" i="38"/>
  <c r="H4950" i="38"/>
  <c r="G4950" i="38"/>
  <c r="E4950" i="38"/>
  <c r="D4950" i="38"/>
  <c r="C4950" i="38"/>
  <c r="H4949" i="38"/>
  <c r="G4949" i="38"/>
  <c r="E4949" i="38"/>
  <c r="D4949" i="38"/>
  <c r="C4949" i="38"/>
  <c r="H4948" i="38"/>
  <c r="G4948" i="38"/>
  <c r="E4948" i="38"/>
  <c r="D4948" i="38"/>
  <c r="C4948" i="38"/>
  <c r="H4947" i="38"/>
  <c r="G4947" i="38"/>
  <c r="E4947" i="38"/>
  <c r="D4947" i="38"/>
  <c r="C4947" i="38"/>
  <c r="J4946" i="38"/>
  <c r="I4946" i="38"/>
  <c r="H4946" i="38"/>
  <c r="G4946" i="38"/>
  <c r="F4946" i="38"/>
  <c r="E4946" i="38"/>
  <c r="D4946" i="38"/>
  <c r="C4946" i="38"/>
  <c r="J4945" i="38"/>
  <c r="I4945" i="38"/>
  <c r="H4945" i="38"/>
  <c r="G4945" i="38"/>
  <c r="F4945" i="38"/>
  <c r="E4945" i="38"/>
  <c r="D4945" i="38"/>
  <c r="C4945" i="38"/>
  <c r="J4944" i="38"/>
  <c r="I4944" i="38"/>
  <c r="H4944" i="38"/>
  <c r="G4944" i="38"/>
  <c r="F4944" i="38"/>
  <c r="E4944" i="38"/>
  <c r="D4944" i="38"/>
  <c r="C4944" i="38"/>
  <c r="J4943" i="38"/>
  <c r="I4943" i="38"/>
  <c r="H4943" i="38"/>
  <c r="G4943" i="38"/>
  <c r="E4943" i="38"/>
  <c r="D4943" i="38"/>
  <c r="C4943" i="38"/>
  <c r="J4942" i="38"/>
  <c r="I4942" i="38"/>
  <c r="H4942" i="38"/>
  <c r="G4942" i="38"/>
  <c r="F4942" i="38"/>
  <c r="E4942" i="38"/>
  <c r="C4942" i="38"/>
  <c r="H4941" i="38"/>
  <c r="G4941" i="38"/>
  <c r="E4941" i="38"/>
  <c r="C4941" i="38"/>
  <c r="H4940" i="38"/>
  <c r="G4940" i="38"/>
  <c r="E4940" i="38"/>
  <c r="D4940" i="38"/>
  <c r="C4940" i="38"/>
  <c r="H4939" i="38"/>
  <c r="G4939" i="38"/>
  <c r="E4939" i="38"/>
  <c r="D4939" i="38"/>
  <c r="C4939" i="38"/>
  <c r="H4938" i="38"/>
  <c r="G4938" i="38"/>
  <c r="E4938" i="38"/>
  <c r="D4938" i="38"/>
  <c r="C4938" i="38"/>
  <c r="H4937" i="38"/>
  <c r="G4937" i="38"/>
  <c r="E4937" i="38"/>
  <c r="D4937" i="38"/>
  <c r="C4937" i="38"/>
  <c r="J4936" i="38"/>
  <c r="I4936" i="38"/>
  <c r="H4936" i="38"/>
  <c r="G4936" i="38"/>
  <c r="F4936" i="38"/>
  <c r="E4936" i="38"/>
  <c r="D4936" i="38"/>
  <c r="C4936" i="38"/>
  <c r="J4935" i="38"/>
  <c r="I4935" i="38"/>
  <c r="H4935" i="38"/>
  <c r="G4935" i="38"/>
  <c r="F4935" i="38"/>
  <c r="E4935" i="38"/>
  <c r="D4935" i="38"/>
  <c r="C4935" i="38"/>
  <c r="J4934" i="38"/>
  <c r="I4934" i="38"/>
  <c r="H4934" i="38"/>
  <c r="G4934" i="38"/>
  <c r="F4934" i="38"/>
  <c r="E4934" i="38"/>
  <c r="D4934" i="38"/>
  <c r="C4934" i="38"/>
  <c r="J4933" i="38"/>
  <c r="I4933" i="38"/>
  <c r="H4933" i="38"/>
  <c r="G4933" i="38"/>
  <c r="E4933" i="38"/>
  <c r="D4933" i="38"/>
  <c r="C4933" i="38"/>
  <c r="J4932" i="38"/>
  <c r="I4932" i="38"/>
  <c r="H4932" i="38"/>
  <c r="G4932" i="38"/>
  <c r="F4932" i="38"/>
  <c r="E4932" i="38"/>
  <c r="C4932" i="38"/>
  <c r="H4931" i="38"/>
  <c r="G4931" i="38"/>
  <c r="E4931" i="38"/>
  <c r="C4931" i="38"/>
  <c r="H4930" i="38"/>
  <c r="G4930" i="38"/>
  <c r="E4930" i="38"/>
  <c r="D4930" i="38"/>
  <c r="C4930" i="38"/>
  <c r="H4929" i="38"/>
  <c r="G4929" i="38"/>
  <c r="E4929" i="38"/>
  <c r="D4929" i="38"/>
  <c r="C4929" i="38"/>
  <c r="H4928" i="38"/>
  <c r="G4928" i="38"/>
  <c r="E4928" i="38"/>
  <c r="D4928" i="38"/>
  <c r="C4928" i="38"/>
  <c r="H4927" i="38"/>
  <c r="G4927" i="38"/>
  <c r="E4927" i="38"/>
  <c r="D4927" i="38"/>
  <c r="C4927" i="38"/>
  <c r="J4926" i="38"/>
  <c r="I4926" i="38"/>
  <c r="H4926" i="38"/>
  <c r="G4926" i="38"/>
  <c r="F4926" i="38"/>
  <c r="E4926" i="38"/>
  <c r="D4926" i="38"/>
  <c r="C4926" i="38"/>
  <c r="J4925" i="38"/>
  <c r="I4925" i="38"/>
  <c r="H4925" i="38"/>
  <c r="G4925" i="38"/>
  <c r="F4925" i="38"/>
  <c r="E4925" i="38"/>
  <c r="D4925" i="38"/>
  <c r="C4925" i="38"/>
  <c r="J4924" i="38"/>
  <c r="I4924" i="38"/>
  <c r="H4924" i="38"/>
  <c r="G4924" i="38"/>
  <c r="F4924" i="38"/>
  <c r="E4924" i="38"/>
  <c r="D4924" i="38"/>
  <c r="C4924" i="38"/>
  <c r="J4923" i="38"/>
  <c r="I4923" i="38"/>
  <c r="H4923" i="38"/>
  <c r="G4923" i="38"/>
  <c r="E4923" i="38"/>
  <c r="D4923" i="38"/>
  <c r="C4923" i="38"/>
  <c r="J4922" i="38"/>
  <c r="I4922" i="38"/>
  <c r="H4922" i="38"/>
  <c r="G4922" i="38"/>
  <c r="F4922" i="38"/>
  <c r="E4922" i="38"/>
  <c r="C4922" i="38"/>
  <c r="H4921" i="38"/>
  <c r="G4921" i="38"/>
  <c r="E4921" i="38"/>
  <c r="C4921" i="38"/>
  <c r="H4920" i="38"/>
  <c r="G4920" i="38"/>
  <c r="E4920" i="38"/>
  <c r="D4920" i="38"/>
  <c r="C4920" i="38"/>
  <c r="H4919" i="38"/>
  <c r="G4919" i="38"/>
  <c r="E4919" i="38"/>
  <c r="D4919" i="38"/>
  <c r="C4919" i="38"/>
  <c r="H4918" i="38"/>
  <c r="G4918" i="38"/>
  <c r="E4918" i="38"/>
  <c r="D4918" i="38"/>
  <c r="C4918" i="38"/>
  <c r="H4917" i="38"/>
  <c r="G4917" i="38"/>
  <c r="E4917" i="38"/>
  <c r="D4917" i="38"/>
  <c r="C4917" i="38"/>
  <c r="J4916" i="38"/>
  <c r="I4916" i="38"/>
  <c r="H4916" i="38"/>
  <c r="G4916" i="38"/>
  <c r="F4916" i="38"/>
  <c r="E4916" i="38"/>
  <c r="D4916" i="38"/>
  <c r="C4916" i="38"/>
  <c r="J4915" i="38"/>
  <c r="I4915" i="38"/>
  <c r="H4915" i="38"/>
  <c r="G4915" i="38"/>
  <c r="F4915" i="38"/>
  <c r="E4915" i="38"/>
  <c r="D4915" i="38"/>
  <c r="C4915" i="38"/>
  <c r="J4914" i="38"/>
  <c r="I4914" i="38"/>
  <c r="H4914" i="38"/>
  <c r="G4914" i="38"/>
  <c r="F4914" i="38"/>
  <c r="E4914" i="38"/>
  <c r="D4914" i="38"/>
  <c r="C4914" i="38"/>
  <c r="J4913" i="38"/>
  <c r="I4913" i="38"/>
  <c r="H4913" i="38"/>
  <c r="G4913" i="38"/>
  <c r="E4913" i="38"/>
  <c r="D4913" i="38"/>
  <c r="C4913" i="38"/>
  <c r="J4912" i="38"/>
  <c r="I4912" i="38"/>
  <c r="H4912" i="38"/>
  <c r="G4912" i="38"/>
  <c r="F4912" i="38"/>
  <c r="E4912" i="38"/>
  <c r="C4912" i="38"/>
  <c r="H4911" i="38"/>
  <c r="G4911" i="38"/>
  <c r="E4911" i="38"/>
  <c r="C4911" i="38"/>
  <c r="H4910" i="38"/>
  <c r="G4910" i="38"/>
  <c r="E4910" i="38"/>
  <c r="D4910" i="38"/>
  <c r="C4910" i="38"/>
  <c r="H4909" i="38"/>
  <c r="G4909" i="38"/>
  <c r="E4909" i="38"/>
  <c r="D4909" i="38"/>
  <c r="C4909" i="38"/>
  <c r="H4908" i="38"/>
  <c r="G4908" i="38"/>
  <c r="E4908" i="38"/>
  <c r="D4908" i="38"/>
  <c r="C4908" i="38"/>
  <c r="H4907" i="38"/>
  <c r="G4907" i="38"/>
  <c r="E4907" i="38"/>
  <c r="D4907" i="38"/>
  <c r="C4907" i="38"/>
  <c r="J4906" i="38"/>
  <c r="I4906" i="38"/>
  <c r="H4906" i="38"/>
  <c r="G4906" i="38"/>
  <c r="F4906" i="38"/>
  <c r="E4906" i="38"/>
  <c r="D4906" i="38"/>
  <c r="C4906" i="38"/>
  <c r="J4905" i="38"/>
  <c r="I4905" i="38"/>
  <c r="H4905" i="38"/>
  <c r="G4905" i="38"/>
  <c r="F4905" i="38"/>
  <c r="E4905" i="38"/>
  <c r="D4905" i="38"/>
  <c r="C4905" i="38"/>
  <c r="J4904" i="38"/>
  <c r="I4904" i="38"/>
  <c r="H4904" i="38"/>
  <c r="G4904" i="38"/>
  <c r="F4904" i="38"/>
  <c r="E4904" i="38"/>
  <c r="D4904" i="38"/>
  <c r="C4904" i="38"/>
  <c r="J4903" i="38"/>
  <c r="I4903" i="38"/>
  <c r="H4903" i="38"/>
  <c r="G4903" i="38"/>
  <c r="E4903" i="38"/>
  <c r="D4903" i="38"/>
  <c r="C4903" i="38"/>
  <c r="J4902" i="38"/>
  <c r="I4902" i="38"/>
  <c r="H4902" i="38"/>
  <c r="G4902" i="38"/>
  <c r="F4902" i="38"/>
  <c r="E4902" i="38"/>
  <c r="C4902" i="38"/>
  <c r="H4901" i="38"/>
  <c r="G4901" i="38"/>
  <c r="E4901" i="38"/>
  <c r="C4901" i="38"/>
  <c r="H4900" i="38"/>
  <c r="G4900" i="38"/>
  <c r="E4900" i="38"/>
  <c r="D4900" i="38"/>
  <c r="C4900" i="38"/>
  <c r="H4899" i="38"/>
  <c r="G4899" i="38"/>
  <c r="E4899" i="38"/>
  <c r="D4899" i="38"/>
  <c r="C4899" i="38"/>
  <c r="H4898" i="38"/>
  <c r="G4898" i="38"/>
  <c r="E4898" i="38"/>
  <c r="D4898" i="38"/>
  <c r="C4898" i="38"/>
  <c r="H4897" i="38"/>
  <c r="G4897" i="38"/>
  <c r="E4897" i="38"/>
  <c r="D4897" i="38"/>
  <c r="C4897" i="38"/>
  <c r="J4896" i="38"/>
  <c r="I4896" i="38"/>
  <c r="H4896" i="38"/>
  <c r="G4896" i="38"/>
  <c r="F4896" i="38"/>
  <c r="E4896" i="38"/>
  <c r="D4896" i="38"/>
  <c r="C4896" i="38"/>
  <c r="J4895" i="38"/>
  <c r="I4895" i="38"/>
  <c r="H4895" i="38"/>
  <c r="G4895" i="38"/>
  <c r="F4895" i="38"/>
  <c r="E4895" i="38"/>
  <c r="D4895" i="38"/>
  <c r="C4895" i="38"/>
  <c r="J4894" i="38"/>
  <c r="I4894" i="38"/>
  <c r="H4894" i="38"/>
  <c r="G4894" i="38"/>
  <c r="F4894" i="38"/>
  <c r="E4894" i="38"/>
  <c r="D4894" i="38"/>
  <c r="C4894" i="38"/>
  <c r="J4893" i="38"/>
  <c r="I4893" i="38"/>
  <c r="H4893" i="38"/>
  <c r="G4893" i="38"/>
  <c r="E4893" i="38"/>
  <c r="D4893" i="38"/>
  <c r="C4893" i="38"/>
  <c r="J4892" i="38"/>
  <c r="I4892" i="38"/>
  <c r="H4892" i="38"/>
  <c r="G4892" i="38"/>
  <c r="F4892" i="38"/>
  <c r="E4892" i="38"/>
  <c r="C4892" i="38"/>
  <c r="H4891" i="38"/>
  <c r="G4891" i="38"/>
  <c r="E4891" i="38"/>
  <c r="C4891" i="38"/>
  <c r="H4890" i="38"/>
  <c r="G4890" i="38"/>
  <c r="E4890" i="38"/>
  <c r="D4890" i="38"/>
  <c r="C4890" i="38"/>
  <c r="H4889" i="38"/>
  <c r="G4889" i="38"/>
  <c r="E4889" i="38"/>
  <c r="D4889" i="38"/>
  <c r="C4889" i="38"/>
  <c r="H4888" i="38"/>
  <c r="G4888" i="38"/>
  <c r="E4888" i="38"/>
  <c r="D4888" i="38"/>
  <c r="C4888" i="38"/>
  <c r="H4887" i="38"/>
  <c r="G4887" i="38"/>
  <c r="E4887" i="38"/>
  <c r="D4887" i="38"/>
  <c r="C4887" i="38"/>
  <c r="J4886" i="38"/>
  <c r="I4886" i="38"/>
  <c r="H4886" i="38"/>
  <c r="G4886" i="38"/>
  <c r="F4886" i="38"/>
  <c r="E4886" i="38"/>
  <c r="D4886" i="38"/>
  <c r="C4886" i="38"/>
  <c r="J4885" i="38"/>
  <c r="I4885" i="38"/>
  <c r="H4885" i="38"/>
  <c r="G4885" i="38"/>
  <c r="F4885" i="38"/>
  <c r="E4885" i="38"/>
  <c r="D4885" i="38"/>
  <c r="C4885" i="38"/>
  <c r="J4884" i="38"/>
  <c r="I4884" i="38"/>
  <c r="H4884" i="38"/>
  <c r="G4884" i="38"/>
  <c r="F4884" i="38"/>
  <c r="E4884" i="38"/>
  <c r="D4884" i="38"/>
  <c r="C4884" i="38"/>
  <c r="J4883" i="38"/>
  <c r="I4883" i="38"/>
  <c r="H4883" i="38"/>
  <c r="G4883" i="38"/>
  <c r="E4883" i="38"/>
  <c r="D4883" i="38"/>
  <c r="C4883" i="38"/>
  <c r="J4882" i="38"/>
  <c r="I4882" i="38"/>
  <c r="H4882" i="38"/>
  <c r="G4882" i="38"/>
  <c r="F4882" i="38"/>
  <c r="E4882" i="38"/>
  <c r="C4882" i="38"/>
  <c r="H4881" i="38"/>
  <c r="G4881" i="38"/>
  <c r="E4881" i="38"/>
  <c r="C4881" i="38"/>
  <c r="H4880" i="38"/>
  <c r="G4880" i="38"/>
  <c r="E4880" i="38"/>
  <c r="D4880" i="38"/>
  <c r="C4880" i="38"/>
  <c r="H4879" i="38"/>
  <c r="G4879" i="38"/>
  <c r="E4879" i="38"/>
  <c r="D4879" i="38"/>
  <c r="C4879" i="38"/>
  <c r="H4878" i="38"/>
  <c r="G4878" i="38"/>
  <c r="E4878" i="38"/>
  <c r="D4878" i="38"/>
  <c r="C4878" i="38"/>
  <c r="H4877" i="38"/>
  <c r="G4877" i="38"/>
  <c r="E4877" i="38"/>
  <c r="D4877" i="38"/>
  <c r="C4877" i="38"/>
  <c r="J4876" i="38"/>
  <c r="I4876" i="38"/>
  <c r="H4876" i="38"/>
  <c r="G4876" i="38"/>
  <c r="F4876" i="38"/>
  <c r="E4876" i="38"/>
  <c r="D4876" i="38"/>
  <c r="C4876" i="38"/>
  <c r="J4875" i="38"/>
  <c r="I4875" i="38"/>
  <c r="H4875" i="38"/>
  <c r="G4875" i="38"/>
  <c r="F4875" i="38"/>
  <c r="E4875" i="38"/>
  <c r="D4875" i="38"/>
  <c r="C4875" i="38"/>
  <c r="J4874" i="38"/>
  <c r="I4874" i="38"/>
  <c r="H4874" i="38"/>
  <c r="G4874" i="38"/>
  <c r="F4874" i="38"/>
  <c r="E4874" i="38"/>
  <c r="D4874" i="38"/>
  <c r="C4874" i="38"/>
  <c r="J4873" i="38"/>
  <c r="I4873" i="38"/>
  <c r="H4873" i="38"/>
  <c r="G4873" i="38"/>
  <c r="E4873" i="38"/>
  <c r="D4873" i="38"/>
  <c r="C4873" i="38"/>
  <c r="J4872" i="38"/>
  <c r="I4872" i="38"/>
  <c r="H4872" i="38"/>
  <c r="G4872" i="38"/>
  <c r="F4872" i="38"/>
  <c r="E4872" i="38"/>
  <c r="C4872" i="38"/>
  <c r="H4871" i="38"/>
  <c r="G4871" i="38"/>
  <c r="E4871" i="38"/>
  <c r="C4871" i="38"/>
  <c r="H4870" i="38"/>
  <c r="G4870" i="38"/>
  <c r="E4870" i="38"/>
  <c r="D4870" i="38"/>
  <c r="C4870" i="38"/>
  <c r="H4869" i="38"/>
  <c r="G4869" i="38"/>
  <c r="E4869" i="38"/>
  <c r="D4869" i="38"/>
  <c r="C4869" i="38"/>
  <c r="H4868" i="38"/>
  <c r="G4868" i="38"/>
  <c r="E4868" i="38"/>
  <c r="D4868" i="38"/>
  <c r="C4868" i="38"/>
  <c r="H4867" i="38"/>
  <c r="G4867" i="38"/>
  <c r="E4867" i="38"/>
  <c r="D4867" i="38"/>
  <c r="C4867" i="38"/>
  <c r="J4866" i="38"/>
  <c r="I4866" i="38"/>
  <c r="H4866" i="38"/>
  <c r="G4866" i="38"/>
  <c r="F4866" i="38"/>
  <c r="E4866" i="38"/>
  <c r="D4866" i="38"/>
  <c r="C4866" i="38"/>
  <c r="J4865" i="38"/>
  <c r="I4865" i="38"/>
  <c r="H4865" i="38"/>
  <c r="G4865" i="38"/>
  <c r="F4865" i="38"/>
  <c r="E4865" i="38"/>
  <c r="D4865" i="38"/>
  <c r="C4865" i="38"/>
  <c r="J4864" i="38"/>
  <c r="I4864" i="38"/>
  <c r="H4864" i="38"/>
  <c r="G4864" i="38"/>
  <c r="F4864" i="38"/>
  <c r="E4864" i="38"/>
  <c r="D4864" i="38"/>
  <c r="C4864" i="38"/>
  <c r="J4863" i="38"/>
  <c r="I4863" i="38"/>
  <c r="H4863" i="38"/>
  <c r="G4863" i="38"/>
  <c r="E4863" i="38"/>
  <c r="D4863" i="38"/>
  <c r="C4863" i="38"/>
  <c r="J4862" i="38"/>
  <c r="I4862" i="38"/>
  <c r="H4862" i="38"/>
  <c r="G4862" i="38"/>
  <c r="F4862" i="38"/>
  <c r="E4862" i="38"/>
  <c r="C4862" i="38"/>
  <c r="H4861" i="38"/>
  <c r="G4861" i="38"/>
  <c r="E4861" i="38"/>
  <c r="C4861" i="38"/>
  <c r="H4860" i="38"/>
  <c r="G4860" i="38"/>
  <c r="E4860" i="38"/>
  <c r="D4860" i="38"/>
  <c r="C4860" i="38"/>
  <c r="H4859" i="38"/>
  <c r="G4859" i="38"/>
  <c r="E4859" i="38"/>
  <c r="D4859" i="38"/>
  <c r="C4859" i="38"/>
  <c r="H4858" i="38"/>
  <c r="G4858" i="38"/>
  <c r="E4858" i="38"/>
  <c r="D4858" i="38"/>
  <c r="C4858" i="38"/>
  <c r="H4857" i="38"/>
  <c r="G4857" i="38"/>
  <c r="E4857" i="38"/>
  <c r="D4857" i="38"/>
  <c r="C4857" i="38"/>
  <c r="J4856" i="38"/>
  <c r="I4856" i="38"/>
  <c r="H4856" i="38"/>
  <c r="G4856" i="38"/>
  <c r="F4856" i="38"/>
  <c r="E4856" i="38"/>
  <c r="D4856" i="38"/>
  <c r="C4856" i="38"/>
  <c r="J4855" i="38"/>
  <c r="I4855" i="38"/>
  <c r="H4855" i="38"/>
  <c r="G4855" i="38"/>
  <c r="F4855" i="38"/>
  <c r="E4855" i="38"/>
  <c r="D4855" i="38"/>
  <c r="C4855" i="38"/>
  <c r="J4854" i="38"/>
  <c r="I4854" i="38"/>
  <c r="H4854" i="38"/>
  <c r="G4854" i="38"/>
  <c r="F4854" i="38"/>
  <c r="E4854" i="38"/>
  <c r="D4854" i="38"/>
  <c r="C4854" i="38"/>
  <c r="J4853" i="38"/>
  <c r="I4853" i="38"/>
  <c r="H4853" i="38"/>
  <c r="G4853" i="38"/>
  <c r="E4853" i="38"/>
  <c r="D4853" i="38"/>
  <c r="C4853" i="38"/>
  <c r="J4852" i="38"/>
  <c r="I4852" i="38"/>
  <c r="H4852" i="38"/>
  <c r="G4852" i="38"/>
  <c r="F4852" i="38"/>
  <c r="E4852" i="38"/>
  <c r="C4852" i="38"/>
  <c r="H4851" i="38"/>
  <c r="G4851" i="38"/>
  <c r="E4851" i="38"/>
  <c r="C4851" i="38"/>
  <c r="J4850" i="38"/>
  <c r="I4850" i="38"/>
  <c r="H4850" i="38"/>
  <c r="G4850" i="38"/>
  <c r="F4850" i="38"/>
  <c r="E4850" i="38"/>
  <c r="D4850" i="38"/>
  <c r="C4850" i="38"/>
  <c r="J4849" i="38"/>
  <c r="I4849" i="38"/>
  <c r="H4849" i="38"/>
  <c r="G4849" i="38"/>
  <c r="F4849" i="38"/>
  <c r="E4849" i="38"/>
  <c r="D4849" i="38"/>
  <c r="C4849" i="38"/>
  <c r="J4848" i="38"/>
  <c r="I4848" i="38"/>
  <c r="H4848" i="38"/>
  <c r="G4848" i="38"/>
  <c r="F4848" i="38"/>
  <c r="E4848" i="38"/>
  <c r="D4848" i="38"/>
  <c r="C4848" i="38"/>
  <c r="J4847" i="38"/>
  <c r="I4847" i="38"/>
  <c r="H4847" i="38"/>
  <c r="G4847" i="38"/>
  <c r="F4847" i="38"/>
  <c r="E4847" i="38"/>
  <c r="D4847" i="38"/>
  <c r="C4847" i="38"/>
  <c r="J4846" i="38"/>
  <c r="I4846" i="38"/>
  <c r="H4846" i="38"/>
  <c r="G4846" i="38"/>
  <c r="F4846" i="38"/>
  <c r="E4846" i="38"/>
  <c r="D4846" i="38"/>
  <c r="C4846" i="38"/>
  <c r="J4845" i="38"/>
  <c r="I4845" i="38"/>
  <c r="H4845" i="38"/>
  <c r="G4845" i="38"/>
  <c r="F4845" i="38"/>
  <c r="E4845" i="38"/>
  <c r="D4845" i="38"/>
  <c r="C4845" i="38"/>
  <c r="J4844" i="38"/>
  <c r="I4844" i="38"/>
  <c r="H4844" i="38"/>
  <c r="G4844" i="38"/>
  <c r="F4844" i="38"/>
  <c r="E4844" i="38"/>
  <c r="D4844" i="38"/>
  <c r="C4844" i="38"/>
  <c r="J4843" i="38"/>
  <c r="I4843" i="38"/>
  <c r="H4843" i="38"/>
  <c r="G4843" i="38"/>
  <c r="F4843" i="38"/>
  <c r="E4843" i="38"/>
  <c r="D4843" i="38"/>
  <c r="C4843" i="38"/>
  <c r="J4842" i="38"/>
  <c r="I4842" i="38"/>
  <c r="H4842" i="38"/>
  <c r="G4842" i="38"/>
  <c r="F4842" i="38"/>
  <c r="E4842" i="38"/>
  <c r="D4842" i="38"/>
  <c r="C4842" i="38"/>
  <c r="J4841" i="38"/>
  <c r="I4841" i="38"/>
  <c r="H4841" i="38"/>
  <c r="G4841" i="38"/>
  <c r="F4841" i="38"/>
  <c r="E4841" i="38"/>
  <c r="D4841" i="38"/>
  <c r="C4841" i="38"/>
  <c r="J4840" i="38"/>
  <c r="I4840" i="38"/>
  <c r="H4840" i="38"/>
  <c r="G4840" i="38"/>
  <c r="F4840" i="38"/>
  <c r="E4840" i="38"/>
  <c r="D4840" i="38"/>
  <c r="C4840" i="38"/>
  <c r="J4839" i="38"/>
  <c r="I4839" i="38"/>
  <c r="H4839" i="38"/>
  <c r="G4839" i="38"/>
  <c r="F4839" i="38"/>
  <c r="E4839" i="38"/>
  <c r="D4839" i="38"/>
  <c r="C4839" i="38"/>
  <c r="J4838" i="38"/>
  <c r="I4838" i="38"/>
  <c r="H4838" i="38"/>
  <c r="G4838" i="38"/>
  <c r="F4838" i="38"/>
  <c r="E4838" i="38"/>
  <c r="D4838" i="38"/>
  <c r="C4838" i="38"/>
  <c r="J4837" i="38"/>
  <c r="I4837" i="38"/>
  <c r="H4837" i="38"/>
  <c r="G4837" i="38"/>
  <c r="F4837" i="38"/>
  <c r="E4837" i="38"/>
  <c r="D4837" i="38"/>
  <c r="C4837" i="38"/>
  <c r="J4836" i="38"/>
  <c r="I4836" i="38"/>
  <c r="H4836" i="38"/>
  <c r="G4836" i="38"/>
  <c r="F4836" i="38"/>
  <c r="E4836" i="38"/>
  <c r="D4836" i="38"/>
  <c r="C4836" i="38"/>
  <c r="J4835" i="38"/>
  <c r="I4835" i="38"/>
  <c r="H4835" i="38"/>
  <c r="G4835" i="38"/>
  <c r="F4835" i="38"/>
  <c r="E4835" i="38"/>
  <c r="D4835" i="38"/>
  <c r="C4835" i="38"/>
  <c r="J4834" i="38"/>
  <c r="I4834" i="38"/>
  <c r="H4834" i="38"/>
  <c r="G4834" i="38"/>
  <c r="F4834" i="38"/>
  <c r="E4834" i="38"/>
  <c r="D4834" i="38"/>
  <c r="C4834" i="38"/>
  <c r="J4833" i="38"/>
  <c r="I4833" i="38"/>
  <c r="H4833" i="38"/>
  <c r="G4833" i="38"/>
  <c r="E4833" i="38"/>
  <c r="D4833" i="38"/>
  <c r="C4833" i="38"/>
  <c r="J4832" i="38"/>
  <c r="I4832" i="38"/>
  <c r="H4832" i="38"/>
  <c r="G4832" i="38"/>
  <c r="F4832" i="38"/>
  <c r="E4832" i="38"/>
  <c r="C4832" i="38"/>
  <c r="H4831" i="38"/>
  <c r="G4831" i="38"/>
  <c r="E4831" i="38"/>
  <c r="C4831" i="38"/>
  <c r="H4830" i="38"/>
  <c r="G4830" i="38"/>
  <c r="E4830" i="38"/>
  <c r="D4830" i="38"/>
  <c r="C4830" i="38"/>
  <c r="H4829" i="38"/>
  <c r="G4829" i="38"/>
  <c r="E4829" i="38"/>
  <c r="D4829" i="38"/>
  <c r="C4829" i="38"/>
  <c r="H4828" i="38"/>
  <c r="G4828" i="38"/>
  <c r="E4828" i="38"/>
  <c r="D4828" i="38"/>
  <c r="C4828" i="38"/>
  <c r="H4827" i="38"/>
  <c r="G4827" i="38"/>
  <c r="E4827" i="38"/>
  <c r="D4827" i="38"/>
  <c r="C4827" i="38"/>
  <c r="J4826" i="38"/>
  <c r="I4826" i="38"/>
  <c r="H4826" i="38"/>
  <c r="G4826" i="38"/>
  <c r="F4826" i="38"/>
  <c r="E4826" i="38"/>
  <c r="D4826" i="38"/>
  <c r="C4826" i="38"/>
  <c r="J4825" i="38"/>
  <c r="I4825" i="38"/>
  <c r="H4825" i="38"/>
  <c r="G4825" i="38"/>
  <c r="F4825" i="38"/>
  <c r="E4825" i="38"/>
  <c r="D4825" i="38"/>
  <c r="C4825" i="38"/>
  <c r="J4824" i="38"/>
  <c r="I4824" i="38"/>
  <c r="H4824" i="38"/>
  <c r="G4824" i="38"/>
  <c r="F4824" i="38"/>
  <c r="E4824" i="38"/>
  <c r="D4824" i="38"/>
  <c r="C4824" i="38"/>
  <c r="J4823" i="38"/>
  <c r="I4823" i="38"/>
  <c r="H4823" i="38"/>
  <c r="G4823" i="38"/>
  <c r="E4823" i="38"/>
  <c r="D4823" i="38"/>
  <c r="C4823" i="38"/>
  <c r="J4822" i="38"/>
  <c r="I4822" i="38"/>
  <c r="H4822" i="38"/>
  <c r="G4822" i="38"/>
  <c r="F4822" i="38"/>
  <c r="E4822" i="38"/>
  <c r="C4822" i="38"/>
  <c r="H4821" i="38"/>
  <c r="G4821" i="38"/>
  <c r="E4821" i="38"/>
  <c r="C4821" i="38"/>
  <c r="H4820" i="38"/>
  <c r="G4820" i="38"/>
  <c r="E4820" i="38"/>
  <c r="D4820" i="38"/>
  <c r="C4820" i="38"/>
  <c r="H4819" i="38"/>
  <c r="G4819" i="38"/>
  <c r="E4819" i="38"/>
  <c r="D4819" i="38"/>
  <c r="C4819" i="38"/>
  <c r="H4818" i="38"/>
  <c r="G4818" i="38"/>
  <c r="E4818" i="38"/>
  <c r="D4818" i="38"/>
  <c r="C4818" i="38"/>
  <c r="H4817" i="38"/>
  <c r="G4817" i="38"/>
  <c r="E4817" i="38"/>
  <c r="D4817" i="38"/>
  <c r="C4817" i="38"/>
  <c r="J4816" i="38"/>
  <c r="I4816" i="38"/>
  <c r="H4816" i="38"/>
  <c r="G4816" i="38"/>
  <c r="F4816" i="38"/>
  <c r="E4816" i="38"/>
  <c r="D4816" i="38"/>
  <c r="C4816" i="38"/>
  <c r="J4815" i="38"/>
  <c r="I4815" i="38"/>
  <c r="H4815" i="38"/>
  <c r="G4815" i="38"/>
  <c r="F4815" i="38"/>
  <c r="E4815" i="38"/>
  <c r="D4815" i="38"/>
  <c r="C4815" i="38"/>
  <c r="J4814" i="38"/>
  <c r="I4814" i="38"/>
  <c r="H4814" i="38"/>
  <c r="G4814" i="38"/>
  <c r="F4814" i="38"/>
  <c r="E4814" i="38"/>
  <c r="D4814" i="38"/>
  <c r="C4814" i="38"/>
  <c r="J4813" i="38"/>
  <c r="I4813" i="38"/>
  <c r="H4813" i="38"/>
  <c r="G4813" i="38"/>
  <c r="E4813" i="38"/>
  <c r="D4813" i="38"/>
  <c r="C4813" i="38"/>
  <c r="J4812" i="38"/>
  <c r="I4812" i="38"/>
  <c r="H4812" i="38"/>
  <c r="G4812" i="38"/>
  <c r="F4812" i="38"/>
  <c r="E4812" i="38"/>
  <c r="C4812" i="38"/>
  <c r="H4811" i="38"/>
  <c r="G4811" i="38"/>
  <c r="E4811" i="38"/>
  <c r="C4811" i="38"/>
  <c r="H4810" i="38"/>
  <c r="G4810" i="38"/>
  <c r="E4810" i="38"/>
  <c r="D4810" i="38"/>
  <c r="C4810" i="38"/>
  <c r="H4809" i="38"/>
  <c r="G4809" i="38"/>
  <c r="E4809" i="38"/>
  <c r="D4809" i="38"/>
  <c r="C4809" i="38"/>
  <c r="H4808" i="38"/>
  <c r="G4808" i="38"/>
  <c r="E4808" i="38"/>
  <c r="D4808" i="38"/>
  <c r="C4808" i="38"/>
  <c r="H4807" i="38"/>
  <c r="G4807" i="38"/>
  <c r="E4807" i="38"/>
  <c r="D4807" i="38"/>
  <c r="C4807" i="38"/>
  <c r="J4806" i="38"/>
  <c r="I4806" i="38"/>
  <c r="H4806" i="38"/>
  <c r="G4806" i="38"/>
  <c r="F4806" i="38"/>
  <c r="E4806" i="38"/>
  <c r="D4806" i="38"/>
  <c r="C4806" i="38"/>
  <c r="J4805" i="38"/>
  <c r="I4805" i="38"/>
  <c r="H4805" i="38"/>
  <c r="G4805" i="38"/>
  <c r="F4805" i="38"/>
  <c r="E4805" i="38"/>
  <c r="D4805" i="38"/>
  <c r="C4805" i="38"/>
  <c r="J4804" i="38"/>
  <c r="I4804" i="38"/>
  <c r="H4804" i="38"/>
  <c r="G4804" i="38"/>
  <c r="F4804" i="38"/>
  <c r="E4804" i="38"/>
  <c r="D4804" i="38"/>
  <c r="C4804" i="38"/>
  <c r="J4803" i="38"/>
  <c r="I4803" i="38"/>
  <c r="H4803" i="38"/>
  <c r="G4803" i="38"/>
  <c r="E4803" i="38"/>
  <c r="D4803" i="38"/>
  <c r="C4803" i="38"/>
  <c r="J4802" i="38"/>
  <c r="I4802" i="38"/>
  <c r="H4802" i="38"/>
  <c r="G4802" i="38"/>
  <c r="F4802" i="38"/>
  <c r="E4802" i="38"/>
  <c r="C4802" i="38"/>
  <c r="H4801" i="38"/>
  <c r="G4801" i="38"/>
  <c r="E4801" i="38"/>
  <c r="C4801" i="38"/>
  <c r="H4800" i="38"/>
  <c r="G4800" i="38"/>
  <c r="E4800" i="38"/>
  <c r="D4800" i="38"/>
  <c r="C4800" i="38"/>
  <c r="H4799" i="38"/>
  <c r="G4799" i="38"/>
  <c r="E4799" i="38"/>
  <c r="D4799" i="38"/>
  <c r="C4799" i="38"/>
  <c r="H4798" i="38"/>
  <c r="G4798" i="38"/>
  <c r="E4798" i="38"/>
  <c r="D4798" i="38"/>
  <c r="C4798" i="38"/>
  <c r="H4797" i="38"/>
  <c r="G4797" i="38"/>
  <c r="E4797" i="38"/>
  <c r="D4797" i="38"/>
  <c r="C4797" i="38"/>
  <c r="J4796" i="38"/>
  <c r="I4796" i="38"/>
  <c r="H4796" i="38"/>
  <c r="G4796" i="38"/>
  <c r="F4796" i="38"/>
  <c r="E4796" i="38"/>
  <c r="D4796" i="38"/>
  <c r="C4796" i="38"/>
  <c r="J4795" i="38"/>
  <c r="I4795" i="38"/>
  <c r="H4795" i="38"/>
  <c r="G4795" i="38"/>
  <c r="F4795" i="38"/>
  <c r="E4795" i="38"/>
  <c r="D4795" i="38"/>
  <c r="C4795" i="38"/>
  <c r="J4794" i="38"/>
  <c r="I4794" i="38"/>
  <c r="H4794" i="38"/>
  <c r="G4794" i="38"/>
  <c r="F4794" i="38"/>
  <c r="E4794" i="38"/>
  <c r="D4794" i="38"/>
  <c r="C4794" i="38"/>
  <c r="J4793" i="38"/>
  <c r="I4793" i="38"/>
  <c r="H4793" i="38"/>
  <c r="G4793" i="38"/>
  <c r="E4793" i="38"/>
  <c r="D4793" i="38"/>
  <c r="C4793" i="38"/>
  <c r="J4792" i="38"/>
  <c r="I4792" i="38"/>
  <c r="H4792" i="38"/>
  <c r="G4792" i="38"/>
  <c r="F4792" i="38"/>
  <c r="E4792" i="38"/>
  <c r="C4792" i="38"/>
  <c r="H4791" i="38"/>
  <c r="G4791" i="38"/>
  <c r="E4791" i="38"/>
  <c r="C4791" i="38"/>
  <c r="H4790" i="38"/>
  <c r="G4790" i="38"/>
  <c r="E4790" i="38"/>
  <c r="D4790" i="38"/>
  <c r="C4790" i="38"/>
  <c r="H4789" i="38"/>
  <c r="G4789" i="38"/>
  <c r="E4789" i="38"/>
  <c r="D4789" i="38"/>
  <c r="C4789" i="38"/>
  <c r="H4788" i="38"/>
  <c r="G4788" i="38"/>
  <c r="E4788" i="38"/>
  <c r="D4788" i="38"/>
  <c r="C4788" i="38"/>
  <c r="H4787" i="38"/>
  <c r="G4787" i="38"/>
  <c r="E4787" i="38"/>
  <c r="D4787" i="38"/>
  <c r="C4787" i="38"/>
  <c r="J4786" i="38"/>
  <c r="I4786" i="38"/>
  <c r="H4786" i="38"/>
  <c r="G4786" i="38"/>
  <c r="F4786" i="38"/>
  <c r="E4786" i="38"/>
  <c r="D4786" i="38"/>
  <c r="C4786" i="38"/>
  <c r="J4785" i="38"/>
  <c r="I4785" i="38"/>
  <c r="H4785" i="38"/>
  <c r="G4785" i="38"/>
  <c r="F4785" i="38"/>
  <c r="E4785" i="38"/>
  <c r="D4785" i="38"/>
  <c r="C4785" i="38"/>
  <c r="J4784" i="38"/>
  <c r="I4784" i="38"/>
  <c r="H4784" i="38"/>
  <c r="G4784" i="38"/>
  <c r="F4784" i="38"/>
  <c r="E4784" i="38"/>
  <c r="D4784" i="38"/>
  <c r="C4784" i="38"/>
  <c r="J4783" i="38"/>
  <c r="I4783" i="38"/>
  <c r="H4783" i="38"/>
  <c r="G4783" i="38"/>
  <c r="E4783" i="38"/>
  <c r="D4783" i="38"/>
  <c r="C4783" i="38"/>
  <c r="J4782" i="38"/>
  <c r="I4782" i="38"/>
  <c r="H4782" i="38"/>
  <c r="G4782" i="38"/>
  <c r="F4782" i="38"/>
  <c r="E4782" i="38"/>
  <c r="C4782" i="38"/>
  <c r="H4781" i="38"/>
  <c r="G4781" i="38"/>
  <c r="E4781" i="38"/>
  <c r="C4781" i="38"/>
  <c r="H4780" i="38"/>
  <c r="G4780" i="38"/>
  <c r="E4780" i="38"/>
  <c r="D4780" i="38"/>
  <c r="C4780" i="38"/>
  <c r="H4779" i="38"/>
  <c r="G4779" i="38"/>
  <c r="E4779" i="38"/>
  <c r="D4779" i="38"/>
  <c r="C4779" i="38"/>
  <c r="H4778" i="38"/>
  <c r="G4778" i="38"/>
  <c r="E4778" i="38"/>
  <c r="D4778" i="38"/>
  <c r="C4778" i="38"/>
  <c r="H4777" i="38"/>
  <c r="G4777" i="38"/>
  <c r="E4777" i="38"/>
  <c r="D4777" i="38"/>
  <c r="C4777" i="38"/>
  <c r="J4776" i="38"/>
  <c r="I4776" i="38"/>
  <c r="H4776" i="38"/>
  <c r="G4776" i="38"/>
  <c r="F4776" i="38"/>
  <c r="E4776" i="38"/>
  <c r="D4776" i="38"/>
  <c r="C4776" i="38"/>
  <c r="J4775" i="38"/>
  <c r="I4775" i="38"/>
  <c r="H4775" i="38"/>
  <c r="G4775" i="38"/>
  <c r="F4775" i="38"/>
  <c r="E4775" i="38"/>
  <c r="D4775" i="38"/>
  <c r="C4775" i="38"/>
  <c r="J4774" i="38"/>
  <c r="I4774" i="38"/>
  <c r="H4774" i="38"/>
  <c r="G4774" i="38"/>
  <c r="F4774" i="38"/>
  <c r="E4774" i="38"/>
  <c r="D4774" i="38"/>
  <c r="C4774" i="38"/>
  <c r="J4773" i="38"/>
  <c r="I4773" i="38"/>
  <c r="H4773" i="38"/>
  <c r="G4773" i="38"/>
  <c r="E4773" i="38"/>
  <c r="D4773" i="38"/>
  <c r="C4773" i="38"/>
  <c r="J4772" i="38"/>
  <c r="I4772" i="38"/>
  <c r="H4772" i="38"/>
  <c r="G4772" i="38"/>
  <c r="F4772" i="38"/>
  <c r="E4772" i="38"/>
  <c r="C4772" i="38"/>
  <c r="H4771" i="38"/>
  <c r="G4771" i="38"/>
  <c r="E4771" i="38"/>
  <c r="C4771" i="38"/>
  <c r="H4770" i="38"/>
  <c r="G4770" i="38"/>
  <c r="E4770" i="38"/>
  <c r="D4770" i="38"/>
  <c r="C4770" i="38"/>
  <c r="H4769" i="38"/>
  <c r="G4769" i="38"/>
  <c r="E4769" i="38"/>
  <c r="D4769" i="38"/>
  <c r="C4769" i="38"/>
  <c r="H4768" i="38"/>
  <c r="G4768" i="38"/>
  <c r="E4768" i="38"/>
  <c r="D4768" i="38"/>
  <c r="C4768" i="38"/>
  <c r="H4767" i="38"/>
  <c r="G4767" i="38"/>
  <c r="E4767" i="38"/>
  <c r="D4767" i="38"/>
  <c r="C4767" i="38"/>
  <c r="J4766" i="38"/>
  <c r="I4766" i="38"/>
  <c r="H4766" i="38"/>
  <c r="G4766" i="38"/>
  <c r="F4766" i="38"/>
  <c r="E4766" i="38"/>
  <c r="D4766" i="38"/>
  <c r="C4766" i="38"/>
  <c r="J4765" i="38"/>
  <c r="I4765" i="38"/>
  <c r="H4765" i="38"/>
  <c r="G4765" i="38"/>
  <c r="F4765" i="38"/>
  <c r="E4765" i="38"/>
  <c r="D4765" i="38"/>
  <c r="C4765" i="38"/>
  <c r="J4764" i="38"/>
  <c r="I4764" i="38"/>
  <c r="H4764" i="38"/>
  <c r="G4764" i="38"/>
  <c r="F4764" i="38"/>
  <c r="E4764" i="38"/>
  <c r="D4764" i="38"/>
  <c r="C4764" i="38"/>
  <c r="J4763" i="38"/>
  <c r="I4763" i="38"/>
  <c r="H4763" i="38"/>
  <c r="G4763" i="38"/>
  <c r="E4763" i="38"/>
  <c r="D4763" i="38"/>
  <c r="C4763" i="38"/>
  <c r="J4762" i="38"/>
  <c r="I4762" i="38"/>
  <c r="H4762" i="38"/>
  <c r="G4762" i="38"/>
  <c r="F4762" i="38"/>
  <c r="E4762" i="38"/>
  <c r="C4762" i="38"/>
  <c r="H4761" i="38"/>
  <c r="G4761" i="38"/>
  <c r="E4761" i="38"/>
  <c r="C4761" i="38"/>
  <c r="H4760" i="38"/>
  <c r="G4760" i="38"/>
  <c r="E4760" i="38"/>
  <c r="D4760" i="38"/>
  <c r="C4760" i="38"/>
  <c r="H4759" i="38"/>
  <c r="G4759" i="38"/>
  <c r="E4759" i="38"/>
  <c r="D4759" i="38"/>
  <c r="C4759" i="38"/>
  <c r="H4758" i="38"/>
  <c r="G4758" i="38"/>
  <c r="E4758" i="38"/>
  <c r="D4758" i="38"/>
  <c r="C4758" i="38"/>
  <c r="H4757" i="38"/>
  <c r="G4757" i="38"/>
  <c r="E4757" i="38"/>
  <c r="D4757" i="38"/>
  <c r="C4757" i="38"/>
  <c r="J4756" i="38"/>
  <c r="I4756" i="38"/>
  <c r="H4756" i="38"/>
  <c r="G4756" i="38"/>
  <c r="F4756" i="38"/>
  <c r="E4756" i="38"/>
  <c r="D4756" i="38"/>
  <c r="C4756" i="38"/>
  <c r="J4755" i="38"/>
  <c r="I4755" i="38"/>
  <c r="H4755" i="38"/>
  <c r="G4755" i="38"/>
  <c r="F4755" i="38"/>
  <c r="E4755" i="38"/>
  <c r="D4755" i="38"/>
  <c r="C4755" i="38"/>
  <c r="J4754" i="38"/>
  <c r="I4754" i="38"/>
  <c r="H4754" i="38"/>
  <c r="G4754" i="38"/>
  <c r="F4754" i="38"/>
  <c r="E4754" i="38"/>
  <c r="D4754" i="38"/>
  <c r="C4754" i="38"/>
  <c r="J4753" i="38"/>
  <c r="I4753" i="38"/>
  <c r="H4753" i="38"/>
  <c r="G4753" i="38"/>
  <c r="E4753" i="38"/>
  <c r="D4753" i="38"/>
  <c r="C4753" i="38"/>
  <c r="J4752" i="38"/>
  <c r="I4752" i="38"/>
  <c r="H4752" i="38"/>
  <c r="G4752" i="38"/>
  <c r="F4752" i="38"/>
  <c r="E4752" i="38"/>
  <c r="C4752" i="38"/>
  <c r="H4751" i="38"/>
  <c r="G4751" i="38"/>
  <c r="E4751" i="38"/>
  <c r="C4751" i="38"/>
  <c r="H4750" i="38"/>
  <c r="G4750" i="38"/>
  <c r="E4750" i="38"/>
  <c r="D4750" i="38"/>
  <c r="C4750" i="38"/>
  <c r="H4749" i="38"/>
  <c r="G4749" i="38"/>
  <c r="E4749" i="38"/>
  <c r="D4749" i="38"/>
  <c r="C4749" i="38"/>
  <c r="H4748" i="38"/>
  <c r="G4748" i="38"/>
  <c r="E4748" i="38"/>
  <c r="D4748" i="38"/>
  <c r="C4748" i="38"/>
  <c r="H4747" i="38"/>
  <c r="G4747" i="38"/>
  <c r="E4747" i="38"/>
  <c r="D4747" i="38"/>
  <c r="C4747" i="38"/>
  <c r="J4746" i="38"/>
  <c r="I4746" i="38"/>
  <c r="H4746" i="38"/>
  <c r="G4746" i="38"/>
  <c r="F4746" i="38"/>
  <c r="E4746" i="38"/>
  <c r="D4746" i="38"/>
  <c r="C4746" i="38"/>
  <c r="J4745" i="38"/>
  <c r="I4745" i="38"/>
  <c r="H4745" i="38"/>
  <c r="G4745" i="38"/>
  <c r="F4745" i="38"/>
  <c r="E4745" i="38"/>
  <c r="D4745" i="38"/>
  <c r="C4745" i="38"/>
  <c r="J4744" i="38"/>
  <c r="I4744" i="38"/>
  <c r="H4744" i="38"/>
  <c r="G4744" i="38"/>
  <c r="F4744" i="38"/>
  <c r="E4744" i="38"/>
  <c r="D4744" i="38"/>
  <c r="C4744" i="38"/>
  <c r="J4743" i="38"/>
  <c r="I4743" i="38"/>
  <c r="H4743" i="38"/>
  <c r="G4743" i="38"/>
  <c r="E4743" i="38"/>
  <c r="D4743" i="38"/>
  <c r="C4743" i="38"/>
  <c r="J4742" i="38"/>
  <c r="I4742" i="38"/>
  <c r="H4742" i="38"/>
  <c r="G4742" i="38"/>
  <c r="F4742" i="38"/>
  <c r="E4742" i="38"/>
  <c r="C4742" i="38"/>
  <c r="H4741" i="38"/>
  <c r="G4741" i="38"/>
  <c r="E4741" i="38"/>
  <c r="C4741" i="38"/>
  <c r="H4740" i="38"/>
  <c r="G4740" i="38"/>
  <c r="E4740" i="38"/>
  <c r="D4740" i="38"/>
  <c r="C4740" i="38"/>
  <c r="H4739" i="38"/>
  <c r="G4739" i="38"/>
  <c r="E4739" i="38"/>
  <c r="D4739" i="38"/>
  <c r="C4739" i="38"/>
  <c r="H4738" i="38"/>
  <c r="G4738" i="38"/>
  <c r="E4738" i="38"/>
  <c r="D4738" i="38"/>
  <c r="C4738" i="38"/>
  <c r="H4737" i="38"/>
  <c r="G4737" i="38"/>
  <c r="E4737" i="38"/>
  <c r="D4737" i="38"/>
  <c r="C4737" i="38"/>
  <c r="J4736" i="38"/>
  <c r="I4736" i="38"/>
  <c r="H4736" i="38"/>
  <c r="G4736" i="38"/>
  <c r="F4736" i="38"/>
  <c r="E4736" i="38"/>
  <c r="D4736" i="38"/>
  <c r="C4736" i="38"/>
  <c r="J4735" i="38"/>
  <c r="I4735" i="38"/>
  <c r="H4735" i="38"/>
  <c r="G4735" i="38"/>
  <c r="F4735" i="38"/>
  <c r="E4735" i="38"/>
  <c r="D4735" i="38"/>
  <c r="C4735" i="38"/>
  <c r="J4734" i="38"/>
  <c r="I4734" i="38"/>
  <c r="H4734" i="38"/>
  <c r="G4734" i="38"/>
  <c r="F4734" i="38"/>
  <c r="E4734" i="38"/>
  <c r="D4734" i="38"/>
  <c r="C4734" i="38"/>
  <c r="J4733" i="38"/>
  <c r="I4733" i="38"/>
  <c r="H4733" i="38"/>
  <c r="G4733" i="38"/>
  <c r="E4733" i="38"/>
  <c r="D4733" i="38"/>
  <c r="C4733" i="38"/>
  <c r="J4732" i="38"/>
  <c r="I4732" i="38"/>
  <c r="H4732" i="38"/>
  <c r="G4732" i="38"/>
  <c r="F4732" i="38"/>
  <c r="E4732" i="38"/>
  <c r="C4732" i="38"/>
  <c r="H4731" i="38"/>
  <c r="G4731" i="38"/>
  <c r="E4731" i="38"/>
  <c r="C4731" i="38"/>
  <c r="H4730" i="38"/>
  <c r="G4730" i="38"/>
  <c r="E4730" i="38"/>
  <c r="D4730" i="38"/>
  <c r="C4730" i="38"/>
  <c r="H4729" i="38"/>
  <c r="G4729" i="38"/>
  <c r="E4729" i="38"/>
  <c r="D4729" i="38"/>
  <c r="C4729" i="38"/>
  <c r="H4728" i="38"/>
  <c r="G4728" i="38"/>
  <c r="E4728" i="38"/>
  <c r="D4728" i="38"/>
  <c r="C4728" i="38"/>
  <c r="H4727" i="38"/>
  <c r="G4727" i="38"/>
  <c r="E4727" i="38"/>
  <c r="D4727" i="38"/>
  <c r="C4727" i="38"/>
  <c r="J4726" i="38"/>
  <c r="I4726" i="38"/>
  <c r="H4726" i="38"/>
  <c r="G4726" i="38"/>
  <c r="F4726" i="38"/>
  <c r="E4726" i="38"/>
  <c r="D4726" i="38"/>
  <c r="C4726" i="38"/>
  <c r="J4725" i="38"/>
  <c r="I4725" i="38"/>
  <c r="H4725" i="38"/>
  <c r="G4725" i="38"/>
  <c r="F4725" i="38"/>
  <c r="E4725" i="38"/>
  <c r="D4725" i="38"/>
  <c r="C4725" i="38"/>
  <c r="J4724" i="38"/>
  <c r="I4724" i="38"/>
  <c r="H4724" i="38"/>
  <c r="G4724" i="38"/>
  <c r="F4724" i="38"/>
  <c r="E4724" i="38"/>
  <c r="D4724" i="38"/>
  <c r="C4724" i="38"/>
  <c r="J4723" i="38"/>
  <c r="I4723" i="38"/>
  <c r="H4723" i="38"/>
  <c r="G4723" i="38"/>
  <c r="E4723" i="38"/>
  <c r="D4723" i="38"/>
  <c r="C4723" i="38"/>
  <c r="J4722" i="38"/>
  <c r="I4722" i="38"/>
  <c r="H4722" i="38"/>
  <c r="G4722" i="38"/>
  <c r="F4722" i="38"/>
  <c r="E4722" i="38"/>
  <c r="C4722" i="38"/>
  <c r="H4721" i="38"/>
  <c r="G4721" i="38"/>
  <c r="E4721" i="38"/>
  <c r="C4721" i="38"/>
  <c r="H4720" i="38"/>
  <c r="G4720" i="38"/>
  <c r="E4720" i="38"/>
  <c r="D4720" i="38"/>
  <c r="C4720" i="38"/>
  <c r="H4719" i="38"/>
  <c r="G4719" i="38"/>
  <c r="E4719" i="38"/>
  <c r="D4719" i="38"/>
  <c r="C4719" i="38"/>
  <c r="H4718" i="38"/>
  <c r="G4718" i="38"/>
  <c r="E4718" i="38"/>
  <c r="D4718" i="38"/>
  <c r="C4718" i="38"/>
  <c r="H4717" i="38"/>
  <c r="G4717" i="38"/>
  <c r="E4717" i="38"/>
  <c r="D4717" i="38"/>
  <c r="C4717" i="38"/>
  <c r="J4716" i="38"/>
  <c r="I4716" i="38"/>
  <c r="H4716" i="38"/>
  <c r="G4716" i="38"/>
  <c r="F4716" i="38"/>
  <c r="E4716" i="38"/>
  <c r="D4716" i="38"/>
  <c r="C4716" i="38"/>
  <c r="J4715" i="38"/>
  <c r="I4715" i="38"/>
  <c r="H4715" i="38"/>
  <c r="G4715" i="38"/>
  <c r="F4715" i="38"/>
  <c r="E4715" i="38"/>
  <c r="D4715" i="38"/>
  <c r="C4715" i="38"/>
  <c r="J4714" i="38"/>
  <c r="I4714" i="38"/>
  <c r="H4714" i="38"/>
  <c r="G4714" i="38"/>
  <c r="F4714" i="38"/>
  <c r="E4714" i="38"/>
  <c r="D4714" i="38"/>
  <c r="C4714" i="38"/>
  <c r="J4713" i="38"/>
  <c r="I4713" i="38"/>
  <c r="H4713" i="38"/>
  <c r="G4713" i="38"/>
  <c r="E4713" i="38"/>
  <c r="D4713" i="38"/>
  <c r="C4713" i="38"/>
  <c r="J4712" i="38"/>
  <c r="I4712" i="38"/>
  <c r="H4712" i="38"/>
  <c r="G4712" i="38"/>
  <c r="F4712" i="38"/>
  <c r="E4712" i="38"/>
  <c r="C4712" i="38"/>
  <c r="H4711" i="38"/>
  <c r="G4711" i="38"/>
  <c r="E4711" i="38"/>
  <c r="C4711" i="38"/>
  <c r="H4710" i="38"/>
  <c r="G4710" i="38"/>
  <c r="E4710" i="38"/>
  <c r="D4710" i="38"/>
  <c r="C4710" i="38"/>
  <c r="H4709" i="38"/>
  <c r="G4709" i="38"/>
  <c r="E4709" i="38"/>
  <c r="D4709" i="38"/>
  <c r="C4709" i="38"/>
  <c r="H4708" i="38"/>
  <c r="G4708" i="38"/>
  <c r="E4708" i="38"/>
  <c r="D4708" i="38"/>
  <c r="C4708" i="38"/>
  <c r="H4707" i="38"/>
  <c r="G4707" i="38"/>
  <c r="E4707" i="38"/>
  <c r="D4707" i="38"/>
  <c r="C4707" i="38"/>
  <c r="J4706" i="38"/>
  <c r="I4706" i="38"/>
  <c r="H4706" i="38"/>
  <c r="G4706" i="38"/>
  <c r="F4706" i="38"/>
  <c r="E4706" i="38"/>
  <c r="D4706" i="38"/>
  <c r="C4706" i="38"/>
  <c r="J4705" i="38"/>
  <c r="I4705" i="38"/>
  <c r="H4705" i="38"/>
  <c r="G4705" i="38"/>
  <c r="F4705" i="38"/>
  <c r="E4705" i="38"/>
  <c r="D4705" i="38"/>
  <c r="C4705" i="38"/>
  <c r="J4704" i="38"/>
  <c r="I4704" i="38"/>
  <c r="H4704" i="38"/>
  <c r="G4704" i="38"/>
  <c r="F4704" i="38"/>
  <c r="E4704" i="38"/>
  <c r="D4704" i="38"/>
  <c r="C4704" i="38"/>
  <c r="J4703" i="38"/>
  <c r="I4703" i="38"/>
  <c r="H4703" i="38"/>
  <c r="G4703" i="38"/>
  <c r="E4703" i="38"/>
  <c r="D4703" i="38"/>
  <c r="C4703" i="38"/>
  <c r="J4702" i="38"/>
  <c r="I4702" i="38"/>
  <c r="H4702" i="38"/>
  <c r="G4702" i="38"/>
  <c r="F4702" i="38"/>
  <c r="E4702" i="38"/>
  <c r="C4702" i="38"/>
  <c r="H4701" i="38"/>
  <c r="G4701" i="38"/>
  <c r="E4701" i="38"/>
  <c r="C4701" i="38"/>
  <c r="H4700" i="38"/>
  <c r="G4700" i="38"/>
  <c r="E4700" i="38"/>
  <c r="D4700" i="38"/>
  <c r="C4700" i="38"/>
  <c r="H4699" i="38"/>
  <c r="G4699" i="38"/>
  <c r="E4699" i="38"/>
  <c r="D4699" i="38"/>
  <c r="C4699" i="38"/>
  <c r="H4698" i="38"/>
  <c r="G4698" i="38"/>
  <c r="E4698" i="38"/>
  <c r="D4698" i="38"/>
  <c r="C4698" i="38"/>
  <c r="H4697" i="38"/>
  <c r="G4697" i="38"/>
  <c r="E4697" i="38"/>
  <c r="D4697" i="38"/>
  <c r="C4697" i="38"/>
  <c r="J4696" i="38"/>
  <c r="I4696" i="38"/>
  <c r="H4696" i="38"/>
  <c r="G4696" i="38"/>
  <c r="F4696" i="38"/>
  <c r="E4696" i="38"/>
  <c r="D4696" i="38"/>
  <c r="C4696" i="38"/>
  <c r="J4695" i="38"/>
  <c r="I4695" i="38"/>
  <c r="H4695" i="38"/>
  <c r="G4695" i="38"/>
  <c r="F4695" i="38"/>
  <c r="E4695" i="38"/>
  <c r="D4695" i="38"/>
  <c r="C4695" i="38"/>
  <c r="J4694" i="38"/>
  <c r="I4694" i="38"/>
  <c r="H4694" i="38"/>
  <c r="G4694" i="38"/>
  <c r="F4694" i="38"/>
  <c r="E4694" i="38"/>
  <c r="D4694" i="38"/>
  <c r="C4694" i="38"/>
  <c r="J4693" i="38"/>
  <c r="I4693" i="38"/>
  <c r="H4693" i="38"/>
  <c r="G4693" i="38"/>
  <c r="E4693" i="38"/>
  <c r="D4693" i="38"/>
  <c r="C4693" i="38"/>
  <c r="J4692" i="38"/>
  <c r="I4692" i="38"/>
  <c r="H4692" i="38"/>
  <c r="G4692" i="38"/>
  <c r="F4692" i="38"/>
  <c r="E4692" i="38"/>
  <c r="C4692" i="38"/>
  <c r="H4691" i="38"/>
  <c r="G4691" i="38"/>
  <c r="E4691" i="38"/>
  <c r="C4691" i="38"/>
  <c r="H4690" i="38"/>
  <c r="G4690" i="38"/>
  <c r="E4690" i="38"/>
  <c r="D4690" i="38"/>
  <c r="C4690" i="38"/>
  <c r="H4689" i="38"/>
  <c r="G4689" i="38"/>
  <c r="E4689" i="38"/>
  <c r="D4689" i="38"/>
  <c r="C4689" i="38"/>
  <c r="H4688" i="38"/>
  <c r="G4688" i="38"/>
  <c r="E4688" i="38"/>
  <c r="D4688" i="38"/>
  <c r="C4688" i="38"/>
  <c r="H4687" i="38"/>
  <c r="G4687" i="38"/>
  <c r="E4687" i="38"/>
  <c r="D4687" i="38"/>
  <c r="C4687" i="38"/>
  <c r="J4686" i="38"/>
  <c r="I4686" i="38"/>
  <c r="H4686" i="38"/>
  <c r="G4686" i="38"/>
  <c r="F4686" i="38"/>
  <c r="E4686" i="38"/>
  <c r="D4686" i="38"/>
  <c r="C4686" i="38"/>
  <c r="J4685" i="38"/>
  <c r="I4685" i="38"/>
  <c r="H4685" i="38"/>
  <c r="G4685" i="38"/>
  <c r="F4685" i="38"/>
  <c r="E4685" i="38"/>
  <c r="D4685" i="38"/>
  <c r="C4685" i="38"/>
  <c r="J4684" i="38"/>
  <c r="I4684" i="38"/>
  <c r="H4684" i="38"/>
  <c r="G4684" i="38"/>
  <c r="F4684" i="38"/>
  <c r="E4684" i="38"/>
  <c r="D4684" i="38"/>
  <c r="C4684" i="38"/>
  <c r="J4683" i="38"/>
  <c r="I4683" i="38"/>
  <c r="H4683" i="38"/>
  <c r="G4683" i="38"/>
  <c r="E4683" i="38"/>
  <c r="D4683" i="38"/>
  <c r="C4683" i="38"/>
  <c r="J4682" i="38"/>
  <c r="I4682" i="38"/>
  <c r="H4682" i="38"/>
  <c r="G4682" i="38"/>
  <c r="F4682" i="38"/>
  <c r="E4682" i="38"/>
  <c r="C4682" i="38"/>
  <c r="H4681" i="38"/>
  <c r="G4681" i="38"/>
  <c r="E4681" i="38"/>
  <c r="C4681" i="38"/>
  <c r="H4680" i="38"/>
  <c r="G4680" i="38"/>
  <c r="E4680" i="38"/>
  <c r="D4680" i="38"/>
  <c r="C4680" i="38"/>
  <c r="H4679" i="38"/>
  <c r="G4679" i="38"/>
  <c r="E4679" i="38"/>
  <c r="D4679" i="38"/>
  <c r="C4679" i="38"/>
  <c r="H4678" i="38"/>
  <c r="G4678" i="38"/>
  <c r="E4678" i="38"/>
  <c r="D4678" i="38"/>
  <c r="C4678" i="38"/>
  <c r="H4677" i="38"/>
  <c r="G4677" i="38"/>
  <c r="E4677" i="38"/>
  <c r="D4677" i="38"/>
  <c r="C4677" i="38"/>
  <c r="J4676" i="38"/>
  <c r="I4676" i="38"/>
  <c r="H4676" i="38"/>
  <c r="G4676" i="38"/>
  <c r="F4676" i="38"/>
  <c r="E4676" i="38"/>
  <c r="D4676" i="38"/>
  <c r="C4676" i="38"/>
  <c r="J4675" i="38"/>
  <c r="I4675" i="38"/>
  <c r="H4675" i="38"/>
  <c r="G4675" i="38"/>
  <c r="F4675" i="38"/>
  <c r="E4675" i="38"/>
  <c r="D4675" i="38"/>
  <c r="C4675" i="38"/>
  <c r="J4674" i="38"/>
  <c r="I4674" i="38"/>
  <c r="H4674" i="38"/>
  <c r="G4674" i="38"/>
  <c r="F4674" i="38"/>
  <c r="E4674" i="38"/>
  <c r="D4674" i="38"/>
  <c r="C4674" i="38"/>
  <c r="J4673" i="38"/>
  <c r="I4673" i="38"/>
  <c r="H4673" i="38"/>
  <c r="G4673" i="38"/>
  <c r="E4673" i="38"/>
  <c r="D4673" i="38"/>
  <c r="C4673" i="38"/>
  <c r="J4672" i="38"/>
  <c r="I4672" i="38"/>
  <c r="H4672" i="38"/>
  <c r="G4672" i="38"/>
  <c r="F4672" i="38"/>
  <c r="E4672" i="38"/>
  <c r="C4672" i="38"/>
  <c r="H4671" i="38"/>
  <c r="G4671" i="38"/>
  <c r="E4671" i="38"/>
  <c r="C4671" i="38"/>
  <c r="J4670" i="38"/>
  <c r="I4670" i="38"/>
  <c r="H4670" i="38"/>
  <c r="G4670" i="38"/>
  <c r="F4670" i="38"/>
  <c r="E4670" i="38"/>
  <c r="D4670" i="38"/>
  <c r="C4670" i="38"/>
  <c r="J4669" i="38"/>
  <c r="I4669" i="38"/>
  <c r="H4669" i="38"/>
  <c r="G4669" i="38"/>
  <c r="F4669" i="38"/>
  <c r="E4669" i="38"/>
  <c r="D4669" i="38"/>
  <c r="C4669" i="38"/>
  <c r="J4668" i="38"/>
  <c r="I4668" i="38"/>
  <c r="H4668" i="38"/>
  <c r="G4668" i="38"/>
  <c r="F4668" i="38"/>
  <c r="E4668" i="38"/>
  <c r="D4668" i="38"/>
  <c r="C4668" i="38"/>
  <c r="J4667" i="38"/>
  <c r="I4667" i="38"/>
  <c r="H4667" i="38"/>
  <c r="G4667" i="38"/>
  <c r="F4667" i="38"/>
  <c r="E4667" i="38"/>
  <c r="D4667" i="38"/>
  <c r="C4667" i="38"/>
  <c r="J4666" i="38"/>
  <c r="I4666" i="38"/>
  <c r="H4666" i="38"/>
  <c r="G4666" i="38"/>
  <c r="F4666" i="38"/>
  <c r="E4666" i="38"/>
  <c r="D4666" i="38"/>
  <c r="C4666" i="38"/>
  <c r="J4665" i="38"/>
  <c r="I4665" i="38"/>
  <c r="H4665" i="38"/>
  <c r="G4665" i="38"/>
  <c r="F4665" i="38"/>
  <c r="E4665" i="38"/>
  <c r="D4665" i="38"/>
  <c r="C4665" i="38"/>
  <c r="J4664" i="38"/>
  <c r="I4664" i="38"/>
  <c r="H4664" i="38"/>
  <c r="G4664" i="38"/>
  <c r="F4664" i="38"/>
  <c r="E4664" i="38"/>
  <c r="D4664" i="38"/>
  <c r="C4664" i="38"/>
  <c r="J4663" i="38"/>
  <c r="I4663" i="38"/>
  <c r="H4663" i="38"/>
  <c r="G4663" i="38"/>
  <c r="F4663" i="38"/>
  <c r="E4663" i="38"/>
  <c r="D4663" i="38"/>
  <c r="C4663" i="38"/>
  <c r="J4662" i="38"/>
  <c r="I4662" i="38"/>
  <c r="H4662" i="38"/>
  <c r="G4662" i="38"/>
  <c r="F4662" i="38"/>
  <c r="E4662" i="38"/>
  <c r="D4662" i="38"/>
  <c r="C4662" i="38"/>
  <c r="J4661" i="38"/>
  <c r="I4661" i="38"/>
  <c r="H4661" i="38"/>
  <c r="G4661" i="38"/>
  <c r="F4661" i="38"/>
  <c r="E4661" i="38"/>
  <c r="D4661" i="38"/>
  <c r="C4661" i="38"/>
  <c r="J4660" i="38"/>
  <c r="I4660" i="38"/>
  <c r="H4660" i="38"/>
  <c r="G4660" i="38"/>
  <c r="F4660" i="38"/>
  <c r="E4660" i="38"/>
  <c r="D4660" i="38"/>
  <c r="C4660" i="38"/>
  <c r="J4659" i="38"/>
  <c r="I4659" i="38"/>
  <c r="H4659" i="38"/>
  <c r="G4659" i="38"/>
  <c r="F4659" i="38"/>
  <c r="E4659" i="38"/>
  <c r="D4659" i="38"/>
  <c r="C4659" i="38"/>
  <c r="J4658" i="38"/>
  <c r="I4658" i="38"/>
  <c r="H4658" i="38"/>
  <c r="G4658" i="38"/>
  <c r="F4658" i="38"/>
  <c r="E4658" i="38"/>
  <c r="D4658" i="38"/>
  <c r="C4658" i="38"/>
  <c r="J4657" i="38"/>
  <c r="I4657" i="38"/>
  <c r="H4657" i="38"/>
  <c r="G4657" i="38"/>
  <c r="F4657" i="38"/>
  <c r="E4657" i="38"/>
  <c r="D4657" i="38"/>
  <c r="C4657" i="38"/>
  <c r="J4656" i="38"/>
  <c r="I4656" i="38"/>
  <c r="H4656" i="38"/>
  <c r="G4656" i="38"/>
  <c r="F4656" i="38"/>
  <c r="E4656" i="38"/>
  <c r="D4656" i="38"/>
  <c r="C4656" i="38"/>
  <c r="J4655" i="38"/>
  <c r="I4655" i="38"/>
  <c r="H4655" i="38"/>
  <c r="G4655" i="38"/>
  <c r="F4655" i="38"/>
  <c r="E4655" i="38"/>
  <c r="D4655" i="38"/>
  <c r="C4655" i="38"/>
  <c r="J4654" i="38"/>
  <c r="I4654" i="38"/>
  <c r="H4654" i="38"/>
  <c r="G4654" i="38"/>
  <c r="F4654" i="38"/>
  <c r="E4654" i="38"/>
  <c r="D4654" i="38"/>
  <c r="C4654" i="38"/>
  <c r="J4653" i="38"/>
  <c r="I4653" i="38"/>
  <c r="H4653" i="38"/>
  <c r="G4653" i="38"/>
  <c r="E4653" i="38"/>
  <c r="D4653" i="38"/>
  <c r="C4653" i="38"/>
  <c r="J4652" i="38"/>
  <c r="I4652" i="38"/>
  <c r="H4652" i="38"/>
  <c r="G4652" i="38"/>
  <c r="F4652" i="38"/>
  <c r="E4652" i="38"/>
  <c r="C4652" i="38"/>
  <c r="H4651" i="38"/>
  <c r="G4651" i="38"/>
  <c r="E4651" i="38"/>
  <c r="C4651" i="38"/>
  <c r="H4650" i="38"/>
  <c r="G4650" i="38"/>
  <c r="E4650" i="38"/>
  <c r="D4650" i="38"/>
  <c r="C4650" i="38"/>
  <c r="H4649" i="38"/>
  <c r="G4649" i="38"/>
  <c r="E4649" i="38"/>
  <c r="D4649" i="38"/>
  <c r="C4649" i="38"/>
  <c r="H4648" i="38"/>
  <c r="G4648" i="38"/>
  <c r="E4648" i="38"/>
  <c r="D4648" i="38"/>
  <c r="C4648" i="38"/>
  <c r="H4647" i="38"/>
  <c r="G4647" i="38"/>
  <c r="E4647" i="38"/>
  <c r="D4647" i="38"/>
  <c r="C4647" i="38"/>
  <c r="J4646" i="38"/>
  <c r="I4646" i="38"/>
  <c r="H4646" i="38"/>
  <c r="G4646" i="38"/>
  <c r="F4646" i="38"/>
  <c r="E4646" i="38"/>
  <c r="D4646" i="38"/>
  <c r="C4646" i="38"/>
  <c r="J4645" i="38"/>
  <c r="I4645" i="38"/>
  <c r="H4645" i="38"/>
  <c r="G4645" i="38"/>
  <c r="F4645" i="38"/>
  <c r="E4645" i="38"/>
  <c r="D4645" i="38"/>
  <c r="C4645" i="38"/>
  <c r="J4644" i="38"/>
  <c r="I4644" i="38"/>
  <c r="H4644" i="38"/>
  <c r="G4644" i="38"/>
  <c r="F4644" i="38"/>
  <c r="E4644" i="38"/>
  <c r="D4644" i="38"/>
  <c r="C4644" i="38"/>
  <c r="J4643" i="38"/>
  <c r="I4643" i="38"/>
  <c r="H4643" i="38"/>
  <c r="G4643" i="38"/>
  <c r="E4643" i="38"/>
  <c r="D4643" i="38"/>
  <c r="C4643" i="38"/>
  <c r="J4642" i="38"/>
  <c r="I4642" i="38"/>
  <c r="H4642" i="38"/>
  <c r="G4642" i="38"/>
  <c r="F4642" i="38"/>
  <c r="E4642" i="38"/>
  <c r="C4642" i="38"/>
  <c r="H4641" i="38"/>
  <c r="G4641" i="38"/>
  <c r="E4641" i="38"/>
  <c r="C4641" i="38"/>
  <c r="H4640" i="38"/>
  <c r="G4640" i="38"/>
  <c r="E4640" i="38"/>
  <c r="D4640" i="38"/>
  <c r="C4640" i="38"/>
  <c r="H4639" i="38"/>
  <c r="G4639" i="38"/>
  <c r="E4639" i="38"/>
  <c r="D4639" i="38"/>
  <c r="C4639" i="38"/>
  <c r="H4638" i="38"/>
  <c r="G4638" i="38"/>
  <c r="E4638" i="38"/>
  <c r="D4638" i="38"/>
  <c r="C4638" i="38"/>
  <c r="H4637" i="38"/>
  <c r="G4637" i="38"/>
  <c r="E4637" i="38"/>
  <c r="D4637" i="38"/>
  <c r="C4637" i="38"/>
  <c r="J4636" i="38"/>
  <c r="I4636" i="38"/>
  <c r="H4636" i="38"/>
  <c r="G4636" i="38"/>
  <c r="F4636" i="38"/>
  <c r="E4636" i="38"/>
  <c r="D4636" i="38"/>
  <c r="C4636" i="38"/>
  <c r="J4635" i="38"/>
  <c r="I4635" i="38"/>
  <c r="H4635" i="38"/>
  <c r="G4635" i="38"/>
  <c r="F4635" i="38"/>
  <c r="E4635" i="38"/>
  <c r="D4635" i="38"/>
  <c r="C4635" i="38"/>
  <c r="J4634" i="38"/>
  <c r="I4634" i="38"/>
  <c r="H4634" i="38"/>
  <c r="G4634" i="38"/>
  <c r="F4634" i="38"/>
  <c r="E4634" i="38"/>
  <c r="D4634" i="38"/>
  <c r="C4634" i="38"/>
  <c r="J4633" i="38"/>
  <c r="I4633" i="38"/>
  <c r="H4633" i="38"/>
  <c r="G4633" i="38"/>
  <c r="E4633" i="38"/>
  <c r="D4633" i="38"/>
  <c r="C4633" i="38"/>
  <c r="J4632" i="38"/>
  <c r="I4632" i="38"/>
  <c r="H4632" i="38"/>
  <c r="G4632" i="38"/>
  <c r="F4632" i="38"/>
  <c r="E4632" i="38"/>
  <c r="C4632" i="38"/>
  <c r="H4631" i="38"/>
  <c r="G4631" i="38"/>
  <c r="E4631" i="38"/>
  <c r="C4631" i="38"/>
  <c r="H4630" i="38"/>
  <c r="G4630" i="38"/>
  <c r="E4630" i="38"/>
  <c r="D4630" i="38"/>
  <c r="C4630" i="38"/>
  <c r="H4629" i="38"/>
  <c r="G4629" i="38"/>
  <c r="E4629" i="38"/>
  <c r="D4629" i="38"/>
  <c r="C4629" i="38"/>
  <c r="H4628" i="38"/>
  <c r="G4628" i="38"/>
  <c r="E4628" i="38"/>
  <c r="D4628" i="38"/>
  <c r="C4628" i="38"/>
  <c r="H4627" i="38"/>
  <c r="G4627" i="38"/>
  <c r="E4627" i="38"/>
  <c r="D4627" i="38"/>
  <c r="C4627" i="38"/>
  <c r="J4626" i="38"/>
  <c r="I4626" i="38"/>
  <c r="H4626" i="38"/>
  <c r="G4626" i="38"/>
  <c r="F4626" i="38"/>
  <c r="E4626" i="38"/>
  <c r="D4626" i="38"/>
  <c r="C4626" i="38"/>
  <c r="J4625" i="38"/>
  <c r="I4625" i="38"/>
  <c r="H4625" i="38"/>
  <c r="G4625" i="38"/>
  <c r="F4625" i="38"/>
  <c r="E4625" i="38"/>
  <c r="D4625" i="38"/>
  <c r="C4625" i="38"/>
  <c r="J4624" i="38"/>
  <c r="I4624" i="38"/>
  <c r="H4624" i="38"/>
  <c r="G4624" i="38"/>
  <c r="F4624" i="38"/>
  <c r="E4624" i="38"/>
  <c r="D4624" i="38"/>
  <c r="C4624" i="38"/>
  <c r="J4623" i="38"/>
  <c r="I4623" i="38"/>
  <c r="H4623" i="38"/>
  <c r="G4623" i="38"/>
  <c r="E4623" i="38"/>
  <c r="D4623" i="38"/>
  <c r="C4623" i="38"/>
  <c r="J4622" i="38"/>
  <c r="I4622" i="38"/>
  <c r="H4622" i="38"/>
  <c r="G4622" i="38"/>
  <c r="F4622" i="38"/>
  <c r="E4622" i="38"/>
  <c r="C4622" i="38"/>
  <c r="H4621" i="38"/>
  <c r="G4621" i="38"/>
  <c r="E4621" i="38"/>
  <c r="C4621" i="38"/>
  <c r="H4620" i="38"/>
  <c r="G4620" i="38"/>
  <c r="E4620" i="38"/>
  <c r="D4620" i="38"/>
  <c r="C4620" i="38"/>
  <c r="H4619" i="38"/>
  <c r="G4619" i="38"/>
  <c r="E4619" i="38"/>
  <c r="D4619" i="38"/>
  <c r="C4619" i="38"/>
  <c r="H4618" i="38"/>
  <c r="G4618" i="38"/>
  <c r="E4618" i="38"/>
  <c r="D4618" i="38"/>
  <c r="C4618" i="38"/>
  <c r="H4617" i="38"/>
  <c r="G4617" i="38"/>
  <c r="E4617" i="38"/>
  <c r="D4617" i="38"/>
  <c r="C4617" i="38"/>
  <c r="J4616" i="38"/>
  <c r="I4616" i="38"/>
  <c r="H4616" i="38"/>
  <c r="G4616" i="38"/>
  <c r="F4616" i="38"/>
  <c r="E4616" i="38"/>
  <c r="D4616" i="38"/>
  <c r="C4616" i="38"/>
  <c r="J4615" i="38"/>
  <c r="I4615" i="38"/>
  <c r="H4615" i="38"/>
  <c r="G4615" i="38"/>
  <c r="F4615" i="38"/>
  <c r="E4615" i="38"/>
  <c r="D4615" i="38"/>
  <c r="C4615" i="38"/>
  <c r="J4614" i="38"/>
  <c r="I4614" i="38"/>
  <c r="H4614" i="38"/>
  <c r="G4614" i="38"/>
  <c r="F4614" i="38"/>
  <c r="E4614" i="38"/>
  <c r="D4614" i="38"/>
  <c r="C4614" i="38"/>
  <c r="J4613" i="38"/>
  <c r="I4613" i="38"/>
  <c r="H4613" i="38"/>
  <c r="G4613" i="38"/>
  <c r="E4613" i="38"/>
  <c r="D4613" i="38"/>
  <c r="C4613" i="38"/>
  <c r="J4612" i="38"/>
  <c r="I4612" i="38"/>
  <c r="H4612" i="38"/>
  <c r="G4612" i="38"/>
  <c r="F4612" i="38"/>
  <c r="E4612" i="38"/>
  <c r="C4612" i="38"/>
  <c r="H4611" i="38"/>
  <c r="G4611" i="38"/>
  <c r="E4611" i="38"/>
  <c r="C4611" i="38"/>
  <c r="H4610" i="38"/>
  <c r="G4610" i="38"/>
  <c r="E4610" i="38"/>
  <c r="D4610" i="38"/>
  <c r="C4610" i="38"/>
  <c r="H4609" i="38"/>
  <c r="G4609" i="38"/>
  <c r="E4609" i="38"/>
  <c r="D4609" i="38"/>
  <c r="C4609" i="38"/>
  <c r="H4608" i="38"/>
  <c r="G4608" i="38"/>
  <c r="E4608" i="38"/>
  <c r="D4608" i="38"/>
  <c r="C4608" i="38"/>
  <c r="H4607" i="38"/>
  <c r="G4607" i="38"/>
  <c r="E4607" i="38"/>
  <c r="D4607" i="38"/>
  <c r="C4607" i="38"/>
  <c r="J4606" i="38"/>
  <c r="I4606" i="38"/>
  <c r="H4606" i="38"/>
  <c r="G4606" i="38"/>
  <c r="F4606" i="38"/>
  <c r="E4606" i="38"/>
  <c r="D4606" i="38"/>
  <c r="C4606" i="38"/>
  <c r="J4605" i="38"/>
  <c r="I4605" i="38"/>
  <c r="H4605" i="38"/>
  <c r="G4605" i="38"/>
  <c r="F4605" i="38"/>
  <c r="E4605" i="38"/>
  <c r="D4605" i="38"/>
  <c r="C4605" i="38"/>
  <c r="J4604" i="38"/>
  <c r="I4604" i="38"/>
  <c r="H4604" i="38"/>
  <c r="G4604" i="38"/>
  <c r="F4604" i="38"/>
  <c r="E4604" i="38"/>
  <c r="D4604" i="38"/>
  <c r="C4604" i="38"/>
  <c r="J4603" i="38"/>
  <c r="I4603" i="38"/>
  <c r="H4603" i="38"/>
  <c r="G4603" i="38"/>
  <c r="E4603" i="38"/>
  <c r="D4603" i="38"/>
  <c r="C4603" i="38"/>
  <c r="J4602" i="38"/>
  <c r="I4602" i="38"/>
  <c r="H4602" i="38"/>
  <c r="G4602" i="38"/>
  <c r="F4602" i="38"/>
  <c r="E4602" i="38"/>
  <c r="C4602" i="38"/>
  <c r="H4601" i="38"/>
  <c r="G4601" i="38"/>
  <c r="E4601" i="38"/>
  <c r="C4601" i="38"/>
  <c r="H4600" i="38"/>
  <c r="G4600" i="38"/>
  <c r="E4600" i="38"/>
  <c r="D4600" i="38"/>
  <c r="C4600" i="38"/>
  <c r="H4599" i="38"/>
  <c r="G4599" i="38"/>
  <c r="E4599" i="38"/>
  <c r="D4599" i="38"/>
  <c r="C4599" i="38"/>
  <c r="H4598" i="38"/>
  <c r="G4598" i="38"/>
  <c r="E4598" i="38"/>
  <c r="D4598" i="38"/>
  <c r="C4598" i="38"/>
  <c r="H4597" i="38"/>
  <c r="G4597" i="38"/>
  <c r="E4597" i="38"/>
  <c r="D4597" i="38"/>
  <c r="C4597" i="38"/>
  <c r="J4596" i="38"/>
  <c r="I4596" i="38"/>
  <c r="H4596" i="38"/>
  <c r="G4596" i="38"/>
  <c r="F4596" i="38"/>
  <c r="E4596" i="38"/>
  <c r="D4596" i="38"/>
  <c r="C4596" i="38"/>
  <c r="J4595" i="38"/>
  <c r="I4595" i="38"/>
  <c r="H4595" i="38"/>
  <c r="G4595" i="38"/>
  <c r="F4595" i="38"/>
  <c r="E4595" i="38"/>
  <c r="D4595" i="38"/>
  <c r="C4595" i="38"/>
  <c r="J4594" i="38"/>
  <c r="I4594" i="38"/>
  <c r="H4594" i="38"/>
  <c r="G4594" i="38"/>
  <c r="F4594" i="38"/>
  <c r="E4594" i="38"/>
  <c r="D4594" i="38"/>
  <c r="C4594" i="38"/>
  <c r="J4593" i="38"/>
  <c r="I4593" i="38"/>
  <c r="H4593" i="38"/>
  <c r="G4593" i="38"/>
  <c r="E4593" i="38"/>
  <c r="D4593" i="38"/>
  <c r="C4593" i="38"/>
  <c r="J4592" i="38"/>
  <c r="I4592" i="38"/>
  <c r="H4592" i="38"/>
  <c r="G4592" i="38"/>
  <c r="F4592" i="38"/>
  <c r="E4592" i="38"/>
  <c r="C4592" i="38"/>
  <c r="H4591" i="38"/>
  <c r="G4591" i="38"/>
  <c r="E4591" i="38"/>
  <c r="C4591" i="38"/>
  <c r="H4590" i="38"/>
  <c r="G4590" i="38"/>
  <c r="E4590" i="38"/>
  <c r="D4590" i="38"/>
  <c r="C4590" i="38"/>
  <c r="H4589" i="38"/>
  <c r="G4589" i="38"/>
  <c r="E4589" i="38"/>
  <c r="D4589" i="38"/>
  <c r="C4589" i="38"/>
  <c r="H4588" i="38"/>
  <c r="G4588" i="38"/>
  <c r="E4588" i="38"/>
  <c r="D4588" i="38"/>
  <c r="C4588" i="38"/>
  <c r="H4587" i="38"/>
  <c r="G4587" i="38"/>
  <c r="E4587" i="38"/>
  <c r="D4587" i="38"/>
  <c r="C4587" i="38"/>
  <c r="J4586" i="38"/>
  <c r="I4586" i="38"/>
  <c r="H4586" i="38"/>
  <c r="G4586" i="38"/>
  <c r="F4586" i="38"/>
  <c r="E4586" i="38"/>
  <c r="D4586" i="38"/>
  <c r="C4586" i="38"/>
  <c r="J4585" i="38"/>
  <c r="I4585" i="38"/>
  <c r="H4585" i="38"/>
  <c r="G4585" i="38"/>
  <c r="F4585" i="38"/>
  <c r="E4585" i="38"/>
  <c r="D4585" i="38"/>
  <c r="C4585" i="38"/>
  <c r="J4584" i="38"/>
  <c r="I4584" i="38"/>
  <c r="H4584" i="38"/>
  <c r="G4584" i="38"/>
  <c r="F4584" i="38"/>
  <c r="E4584" i="38"/>
  <c r="D4584" i="38"/>
  <c r="C4584" i="38"/>
  <c r="J4583" i="38"/>
  <c r="I4583" i="38"/>
  <c r="H4583" i="38"/>
  <c r="G4583" i="38"/>
  <c r="E4583" i="38"/>
  <c r="D4583" i="38"/>
  <c r="C4583" i="38"/>
  <c r="J4582" i="38"/>
  <c r="I4582" i="38"/>
  <c r="H4582" i="38"/>
  <c r="G4582" i="38"/>
  <c r="F4582" i="38"/>
  <c r="E4582" i="38"/>
  <c r="C4582" i="38"/>
  <c r="H4581" i="38"/>
  <c r="G4581" i="38"/>
  <c r="E4581" i="38"/>
  <c r="C4581" i="38"/>
  <c r="H4580" i="38"/>
  <c r="G4580" i="38"/>
  <c r="E4580" i="38"/>
  <c r="D4580" i="38"/>
  <c r="C4580" i="38"/>
  <c r="H4579" i="38"/>
  <c r="G4579" i="38"/>
  <c r="E4579" i="38"/>
  <c r="D4579" i="38"/>
  <c r="C4579" i="38"/>
  <c r="H4578" i="38"/>
  <c r="G4578" i="38"/>
  <c r="E4578" i="38"/>
  <c r="D4578" i="38"/>
  <c r="C4578" i="38"/>
  <c r="H4577" i="38"/>
  <c r="G4577" i="38"/>
  <c r="E4577" i="38"/>
  <c r="D4577" i="38"/>
  <c r="C4577" i="38"/>
  <c r="J4576" i="38"/>
  <c r="I4576" i="38"/>
  <c r="H4576" i="38"/>
  <c r="G4576" i="38"/>
  <c r="F4576" i="38"/>
  <c r="E4576" i="38"/>
  <c r="D4576" i="38"/>
  <c r="C4576" i="38"/>
  <c r="J4575" i="38"/>
  <c r="I4575" i="38"/>
  <c r="H4575" i="38"/>
  <c r="G4575" i="38"/>
  <c r="F4575" i="38"/>
  <c r="E4575" i="38"/>
  <c r="D4575" i="38"/>
  <c r="C4575" i="38"/>
  <c r="J4574" i="38"/>
  <c r="I4574" i="38"/>
  <c r="H4574" i="38"/>
  <c r="G4574" i="38"/>
  <c r="F4574" i="38"/>
  <c r="E4574" i="38"/>
  <c r="D4574" i="38"/>
  <c r="C4574" i="38"/>
  <c r="J4573" i="38"/>
  <c r="I4573" i="38"/>
  <c r="H4573" i="38"/>
  <c r="G4573" i="38"/>
  <c r="E4573" i="38"/>
  <c r="D4573" i="38"/>
  <c r="C4573" i="38"/>
  <c r="J4572" i="38"/>
  <c r="I4572" i="38"/>
  <c r="H4572" i="38"/>
  <c r="G4572" i="38"/>
  <c r="F4572" i="38"/>
  <c r="E4572" i="38"/>
  <c r="C4572" i="38"/>
  <c r="H4571" i="38"/>
  <c r="G4571" i="38"/>
  <c r="E4571" i="38"/>
  <c r="C4571" i="38"/>
  <c r="H4570" i="38"/>
  <c r="G4570" i="38"/>
  <c r="E4570" i="38"/>
  <c r="D4570" i="38"/>
  <c r="C4570" i="38"/>
  <c r="H4569" i="38"/>
  <c r="G4569" i="38"/>
  <c r="E4569" i="38"/>
  <c r="D4569" i="38"/>
  <c r="C4569" i="38"/>
  <c r="H4568" i="38"/>
  <c r="G4568" i="38"/>
  <c r="E4568" i="38"/>
  <c r="D4568" i="38"/>
  <c r="C4568" i="38"/>
  <c r="H4567" i="38"/>
  <c r="G4567" i="38"/>
  <c r="E4567" i="38"/>
  <c r="D4567" i="38"/>
  <c r="C4567" i="38"/>
  <c r="J4566" i="38"/>
  <c r="I4566" i="38"/>
  <c r="H4566" i="38"/>
  <c r="G4566" i="38"/>
  <c r="F4566" i="38"/>
  <c r="E4566" i="38"/>
  <c r="D4566" i="38"/>
  <c r="C4566" i="38"/>
  <c r="J4565" i="38"/>
  <c r="I4565" i="38"/>
  <c r="H4565" i="38"/>
  <c r="G4565" i="38"/>
  <c r="F4565" i="38"/>
  <c r="E4565" i="38"/>
  <c r="D4565" i="38"/>
  <c r="C4565" i="38"/>
  <c r="J4564" i="38"/>
  <c r="I4564" i="38"/>
  <c r="H4564" i="38"/>
  <c r="G4564" i="38"/>
  <c r="F4564" i="38"/>
  <c r="E4564" i="38"/>
  <c r="D4564" i="38"/>
  <c r="C4564" i="38"/>
  <c r="J4563" i="38"/>
  <c r="I4563" i="38"/>
  <c r="H4563" i="38"/>
  <c r="G4563" i="38"/>
  <c r="E4563" i="38"/>
  <c r="D4563" i="38"/>
  <c r="C4563" i="38"/>
  <c r="J4562" i="38"/>
  <c r="I4562" i="38"/>
  <c r="H4562" i="38"/>
  <c r="G4562" i="38"/>
  <c r="F4562" i="38"/>
  <c r="E4562" i="38"/>
  <c r="C4562" i="38"/>
  <c r="H4561" i="38"/>
  <c r="G4561" i="38"/>
  <c r="E4561" i="38"/>
  <c r="C4561" i="38"/>
  <c r="H4560" i="38"/>
  <c r="G4560" i="38"/>
  <c r="E4560" i="38"/>
  <c r="D4560" i="38"/>
  <c r="C4560" i="38"/>
  <c r="H4559" i="38"/>
  <c r="G4559" i="38"/>
  <c r="E4559" i="38"/>
  <c r="D4559" i="38"/>
  <c r="C4559" i="38"/>
  <c r="H4558" i="38"/>
  <c r="G4558" i="38"/>
  <c r="E4558" i="38"/>
  <c r="D4558" i="38"/>
  <c r="C4558" i="38"/>
  <c r="H4557" i="38"/>
  <c r="G4557" i="38"/>
  <c r="E4557" i="38"/>
  <c r="D4557" i="38"/>
  <c r="C4557" i="38"/>
  <c r="J4556" i="38"/>
  <c r="I4556" i="38"/>
  <c r="H4556" i="38"/>
  <c r="G4556" i="38"/>
  <c r="F4556" i="38"/>
  <c r="E4556" i="38"/>
  <c r="D4556" i="38"/>
  <c r="C4556" i="38"/>
  <c r="J4555" i="38"/>
  <c r="I4555" i="38"/>
  <c r="H4555" i="38"/>
  <c r="G4555" i="38"/>
  <c r="F4555" i="38"/>
  <c r="E4555" i="38"/>
  <c r="D4555" i="38"/>
  <c r="C4555" i="38"/>
  <c r="J4554" i="38"/>
  <c r="I4554" i="38"/>
  <c r="H4554" i="38"/>
  <c r="G4554" i="38"/>
  <c r="F4554" i="38"/>
  <c r="E4554" i="38"/>
  <c r="D4554" i="38"/>
  <c r="C4554" i="38"/>
  <c r="J4553" i="38"/>
  <c r="I4553" i="38"/>
  <c r="H4553" i="38"/>
  <c r="G4553" i="38"/>
  <c r="E4553" i="38"/>
  <c r="D4553" i="38"/>
  <c r="C4553" i="38"/>
  <c r="J4552" i="38"/>
  <c r="I4552" i="38"/>
  <c r="H4552" i="38"/>
  <c r="G4552" i="38"/>
  <c r="F4552" i="38"/>
  <c r="E4552" i="38"/>
  <c r="C4552" i="38"/>
  <c r="H4551" i="38"/>
  <c r="G4551" i="38"/>
  <c r="E4551" i="38"/>
  <c r="C4551" i="38"/>
  <c r="H4550" i="38"/>
  <c r="G4550" i="38"/>
  <c r="E4550" i="38"/>
  <c r="D4550" i="38"/>
  <c r="C4550" i="38"/>
  <c r="H4549" i="38"/>
  <c r="G4549" i="38"/>
  <c r="E4549" i="38"/>
  <c r="D4549" i="38"/>
  <c r="C4549" i="38"/>
  <c r="H4548" i="38"/>
  <c r="G4548" i="38"/>
  <c r="E4548" i="38"/>
  <c r="D4548" i="38"/>
  <c r="C4548" i="38"/>
  <c r="H4547" i="38"/>
  <c r="G4547" i="38"/>
  <c r="E4547" i="38"/>
  <c r="D4547" i="38"/>
  <c r="C4547" i="38"/>
  <c r="J4546" i="38"/>
  <c r="I4546" i="38"/>
  <c r="H4546" i="38"/>
  <c r="G4546" i="38"/>
  <c r="F4546" i="38"/>
  <c r="E4546" i="38"/>
  <c r="D4546" i="38"/>
  <c r="C4546" i="38"/>
  <c r="J4545" i="38"/>
  <c r="I4545" i="38"/>
  <c r="H4545" i="38"/>
  <c r="G4545" i="38"/>
  <c r="F4545" i="38"/>
  <c r="E4545" i="38"/>
  <c r="D4545" i="38"/>
  <c r="C4545" i="38"/>
  <c r="J4544" i="38"/>
  <c r="I4544" i="38"/>
  <c r="H4544" i="38"/>
  <c r="G4544" i="38"/>
  <c r="F4544" i="38"/>
  <c r="E4544" i="38"/>
  <c r="D4544" i="38"/>
  <c r="C4544" i="38"/>
  <c r="J4543" i="38"/>
  <c r="I4543" i="38"/>
  <c r="H4543" i="38"/>
  <c r="G4543" i="38"/>
  <c r="E4543" i="38"/>
  <c r="D4543" i="38"/>
  <c r="C4543" i="38"/>
  <c r="J4542" i="38"/>
  <c r="I4542" i="38"/>
  <c r="H4542" i="38"/>
  <c r="G4542" i="38"/>
  <c r="F4542" i="38"/>
  <c r="E4542" i="38"/>
  <c r="C4542" i="38"/>
  <c r="H4541" i="38"/>
  <c r="G4541" i="38"/>
  <c r="E4541" i="38"/>
  <c r="C4541" i="38"/>
  <c r="H4540" i="38"/>
  <c r="G4540" i="38"/>
  <c r="E4540" i="38"/>
  <c r="D4540" i="38"/>
  <c r="C4540" i="38"/>
  <c r="H4539" i="38"/>
  <c r="G4539" i="38"/>
  <c r="E4539" i="38"/>
  <c r="D4539" i="38"/>
  <c r="C4539" i="38"/>
  <c r="H4538" i="38"/>
  <c r="G4538" i="38"/>
  <c r="E4538" i="38"/>
  <c r="D4538" i="38"/>
  <c r="C4538" i="38"/>
  <c r="H4537" i="38"/>
  <c r="G4537" i="38"/>
  <c r="E4537" i="38"/>
  <c r="D4537" i="38"/>
  <c r="C4537" i="38"/>
  <c r="J4536" i="38"/>
  <c r="I4536" i="38"/>
  <c r="H4536" i="38"/>
  <c r="G4536" i="38"/>
  <c r="F4536" i="38"/>
  <c r="E4536" i="38"/>
  <c r="D4536" i="38"/>
  <c r="C4536" i="38"/>
  <c r="J4535" i="38"/>
  <c r="I4535" i="38"/>
  <c r="H4535" i="38"/>
  <c r="G4535" i="38"/>
  <c r="F4535" i="38"/>
  <c r="E4535" i="38"/>
  <c r="D4535" i="38"/>
  <c r="C4535" i="38"/>
  <c r="J4534" i="38"/>
  <c r="I4534" i="38"/>
  <c r="H4534" i="38"/>
  <c r="G4534" i="38"/>
  <c r="F4534" i="38"/>
  <c r="E4534" i="38"/>
  <c r="D4534" i="38"/>
  <c r="C4534" i="38"/>
  <c r="J4533" i="38"/>
  <c r="I4533" i="38"/>
  <c r="H4533" i="38"/>
  <c r="G4533" i="38"/>
  <c r="E4533" i="38"/>
  <c r="D4533" i="38"/>
  <c r="C4533" i="38"/>
  <c r="J4532" i="38"/>
  <c r="I4532" i="38"/>
  <c r="H4532" i="38"/>
  <c r="G4532" i="38"/>
  <c r="F4532" i="38"/>
  <c r="E4532" i="38"/>
  <c r="C4532" i="38"/>
  <c r="H4531" i="38"/>
  <c r="G4531" i="38"/>
  <c r="E4531" i="38"/>
  <c r="C4531" i="38"/>
  <c r="H4530" i="38"/>
  <c r="G4530" i="38"/>
  <c r="E4530" i="38"/>
  <c r="D4530" i="38"/>
  <c r="C4530" i="38"/>
  <c r="H4529" i="38"/>
  <c r="G4529" i="38"/>
  <c r="E4529" i="38"/>
  <c r="D4529" i="38"/>
  <c r="C4529" i="38"/>
  <c r="H4528" i="38"/>
  <c r="G4528" i="38"/>
  <c r="E4528" i="38"/>
  <c r="D4528" i="38"/>
  <c r="C4528" i="38"/>
  <c r="H4527" i="38"/>
  <c r="G4527" i="38"/>
  <c r="E4527" i="38"/>
  <c r="D4527" i="38"/>
  <c r="C4527" i="38"/>
  <c r="J4526" i="38"/>
  <c r="I4526" i="38"/>
  <c r="H4526" i="38"/>
  <c r="G4526" i="38"/>
  <c r="F4526" i="38"/>
  <c r="E4526" i="38"/>
  <c r="D4526" i="38"/>
  <c r="C4526" i="38"/>
  <c r="J4525" i="38"/>
  <c r="I4525" i="38"/>
  <c r="H4525" i="38"/>
  <c r="G4525" i="38"/>
  <c r="F4525" i="38"/>
  <c r="E4525" i="38"/>
  <c r="D4525" i="38"/>
  <c r="C4525" i="38"/>
  <c r="J4524" i="38"/>
  <c r="I4524" i="38"/>
  <c r="H4524" i="38"/>
  <c r="G4524" i="38"/>
  <c r="F4524" i="38"/>
  <c r="E4524" i="38"/>
  <c r="D4524" i="38"/>
  <c r="C4524" i="38"/>
  <c r="J4523" i="38"/>
  <c r="I4523" i="38"/>
  <c r="H4523" i="38"/>
  <c r="G4523" i="38"/>
  <c r="E4523" i="38"/>
  <c r="D4523" i="38"/>
  <c r="C4523" i="38"/>
  <c r="J4522" i="38"/>
  <c r="I4522" i="38"/>
  <c r="H4522" i="38"/>
  <c r="G4522" i="38"/>
  <c r="F4522" i="38"/>
  <c r="E4522" i="38"/>
  <c r="C4522" i="38"/>
  <c r="H4521" i="38"/>
  <c r="G4521" i="38"/>
  <c r="E4521" i="38"/>
  <c r="C4521" i="38"/>
  <c r="H4520" i="38"/>
  <c r="G4520" i="38"/>
  <c r="E4520" i="38"/>
  <c r="D4520" i="38"/>
  <c r="C4520" i="38"/>
  <c r="H4519" i="38"/>
  <c r="G4519" i="38"/>
  <c r="E4519" i="38"/>
  <c r="D4519" i="38"/>
  <c r="C4519" i="38"/>
  <c r="H4518" i="38"/>
  <c r="G4518" i="38"/>
  <c r="E4518" i="38"/>
  <c r="D4518" i="38"/>
  <c r="C4518" i="38"/>
  <c r="H4517" i="38"/>
  <c r="G4517" i="38"/>
  <c r="E4517" i="38"/>
  <c r="D4517" i="38"/>
  <c r="C4517" i="38"/>
  <c r="J4516" i="38"/>
  <c r="I4516" i="38"/>
  <c r="H4516" i="38"/>
  <c r="G4516" i="38"/>
  <c r="F4516" i="38"/>
  <c r="E4516" i="38"/>
  <c r="D4516" i="38"/>
  <c r="C4516" i="38"/>
  <c r="J4515" i="38"/>
  <c r="I4515" i="38"/>
  <c r="H4515" i="38"/>
  <c r="G4515" i="38"/>
  <c r="F4515" i="38"/>
  <c r="E4515" i="38"/>
  <c r="D4515" i="38"/>
  <c r="C4515" i="38"/>
  <c r="J4514" i="38"/>
  <c r="I4514" i="38"/>
  <c r="H4514" i="38"/>
  <c r="G4514" i="38"/>
  <c r="F4514" i="38"/>
  <c r="E4514" i="38"/>
  <c r="D4514" i="38"/>
  <c r="C4514" i="38"/>
  <c r="J4513" i="38"/>
  <c r="I4513" i="38"/>
  <c r="H4513" i="38"/>
  <c r="G4513" i="38"/>
  <c r="E4513" i="38"/>
  <c r="D4513" i="38"/>
  <c r="C4513" i="38"/>
  <c r="J4512" i="38"/>
  <c r="I4512" i="38"/>
  <c r="H4512" i="38"/>
  <c r="G4512" i="38"/>
  <c r="F4512" i="38"/>
  <c r="E4512" i="38"/>
  <c r="C4512" i="38"/>
  <c r="H4511" i="38"/>
  <c r="G4511" i="38"/>
  <c r="E4511" i="38"/>
  <c r="C4511" i="38"/>
  <c r="H4510" i="38"/>
  <c r="G4510" i="38"/>
  <c r="E4510" i="38"/>
  <c r="D4510" i="38"/>
  <c r="C4510" i="38"/>
  <c r="H4509" i="38"/>
  <c r="G4509" i="38"/>
  <c r="E4509" i="38"/>
  <c r="D4509" i="38"/>
  <c r="C4509" i="38"/>
  <c r="H4508" i="38"/>
  <c r="G4508" i="38"/>
  <c r="E4508" i="38"/>
  <c r="D4508" i="38"/>
  <c r="C4508" i="38"/>
  <c r="H4507" i="38"/>
  <c r="G4507" i="38"/>
  <c r="E4507" i="38"/>
  <c r="D4507" i="38"/>
  <c r="C4507" i="38"/>
  <c r="J4506" i="38"/>
  <c r="I4506" i="38"/>
  <c r="H4506" i="38"/>
  <c r="G4506" i="38"/>
  <c r="F4506" i="38"/>
  <c r="E4506" i="38"/>
  <c r="D4506" i="38"/>
  <c r="C4506" i="38"/>
  <c r="J4505" i="38"/>
  <c r="I4505" i="38"/>
  <c r="H4505" i="38"/>
  <c r="G4505" i="38"/>
  <c r="F4505" i="38"/>
  <c r="E4505" i="38"/>
  <c r="D4505" i="38"/>
  <c r="C4505" i="38"/>
  <c r="J4504" i="38"/>
  <c r="I4504" i="38"/>
  <c r="H4504" i="38"/>
  <c r="G4504" i="38"/>
  <c r="F4504" i="38"/>
  <c r="E4504" i="38"/>
  <c r="D4504" i="38"/>
  <c r="C4504" i="38"/>
  <c r="J4503" i="38"/>
  <c r="I4503" i="38"/>
  <c r="H4503" i="38"/>
  <c r="G4503" i="38"/>
  <c r="E4503" i="38"/>
  <c r="D4503" i="38"/>
  <c r="C4503" i="38"/>
  <c r="J4502" i="38"/>
  <c r="I4502" i="38"/>
  <c r="H4502" i="38"/>
  <c r="G4502" i="38"/>
  <c r="F4502" i="38"/>
  <c r="E4502" i="38"/>
  <c r="C4502" i="38"/>
  <c r="H4501" i="38"/>
  <c r="G4501" i="38"/>
  <c r="E4501" i="38"/>
  <c r="C4501" i="38"/>
  <c r="H4500" i="38"/>
  <c r="G4500" i="38"/>
  <c r="E4500" i="38"/>
  <c r="D4500" i="38"/>
  <c r="C4500" i="38"/>
  <c r="H4499" i="38"/>
  <c r="G4499" i="38"/>
  <c r="E4499" i="38"/>
  <c r="D4499" i="38"/>
  <c r="C4499" i="38"/>
  <c r="H4498" i="38"/>
  <c r="G4498" i="38"/>
  <c r="E4498" i="38"/>
  <c r="D4498" i="38"/>
  <c r="C4498" i="38"/>
  <c r="H4497" i="38"/>
  <c r="G4497" i="38"/>
  <c r="E4497" i="38"/>
  <c r="D4497" i="38"/>
  <c r="C4497" i="38"/>
  <c r="J4496" i="38"/>
  <c r="I4496" i="38"/>
  <c r="H4496" i="38"/>
  <c r="G4496" i="38"/>
  <c r="F4496" i="38"/>
  <c r="E4496" i="38"/>
  <c r="D4496" i="38"/>
  <c r="C4496" i="38"/>
  <c r="J4495" i="38"/>
  <c r="I4495" i="38"/>
  <c r="H4495" i="38"/>
  <c r="G4495" i="38"/>
  <c r="F4495" i="38"/>
  <c r="E4495" i="38"/>
  <c r="D4495" i="38"/>
  <c r="C4495" i="38"/>
  <c r="J4494" i="38"/>
  <c r="I4494" i="38"/>
  <c r="H4494" i="38"/>
  <c r="G4494" i="38"/>
  <c r="F4494" i="38"/>
  <c r="E4494" i="38"/>
  <c r="D4494" i="38"/>
  <c r="C4494" i="38"/>
  <c r="J4493" i="38"/>
  <c r="I4493" i="38"/>
  <c r="H4493" i="38"/>
  <c r="G4493" i="38"/>
  <c r="E4493" i="38"/>
  <c r="D4493" i="38"/>
  <c r="C4493" i="38"/>
  <c r="J4492" i="38"/>
  <c r="I4492" i="38"/>
  <c r="H4492" i="38"/>
  <c r="G4492" i="38"/>
  <c r="F4492" i="38"/>
  <c r="E4492" i="38"/>
  <c r="C4492" i="38"/>
  <c r="H4491" i="38"/>
  <c r="G4491" i="38"/>
  <c r="E4491" i="38"/>
  <c r="C4491" i="38"/>
  <c r="J4490" i="38"/>
  <c r="I4490" i="38"/>
  <c r="H4490" i="38"/>
  <c r="G4490" i="38"/>
  <c r="F4490" i="38"/>
  <c r="E4490" i="38"/>
  <c r="D4490" i="38"/>
  <c r="C4490" i="38"/>
  <c r="J4489" i="38"/>
  <c r="I4489" i="38"/>
  <c r="H4489" i="38"/>
  <c r="G4489" i="38"/>
  <c r="F4489" i="38"/>
  <c r="E4489" i="38"/>
  <c r="D4489" i="38"/>
  <c r="C4489" i="38"/>
  <c r="J4488" i="38"/>
  <c r="I4488" i="38"/>
  <c r="H4488" i="38"/>
  <c r="G4488" i="38"/>
  <c r="F4488" i="38"/>
  <c r="E4488" i="38"/>
  <c r="D4488" i="38"/>
  <c r="C4488" i="38"/>
  <c r="J4487" i="38"/>
  <c r="I4487" i="38"/>
  <c r="H4487" i="38"/>
  <c r="G4487" i="38"/>
  <c r="F4487" i="38"/>
  <c r="E4487" i="38"/>
  <c r="D4487" i="38"/>
  <c r="C4487" i="38"/>
  <c r="J4486" i="38"/>
  <c r="I4486" i="38"/>
  <c r="H4486" i="38"/>
  <c r="G4486" i="38"/>
  <c r="F4486" i="38"/>
  <c r="E4486" i="38"/>
  <c r="D4486" i="38"/>
  <c r="C4486" i="38"/>
  <c r="J4485" i="38"/>
  <c r="I4485" i="38"/>
  <c r="H4485" i="38"/>
  <c r="G4485" i="38"/>
  <c r="F4485" i="38"/>
  <c r="E4485" i="38"/>
  <c r="D4485" i="38"/>
  <c r="C4485" i="38"/>
  <c r="J4484" i="38"/>
  <c r="I4484" i="38"/>
  <c r="H4484" i="38"/>
  <c r="G4484" i="38"/>
  <c r="F4484" i="38"/>
  <c r="E4484" i="38"/>
  <c r="D4484" i="38"/>
  <c r="C4484" i="38"/>
  <c r="J4483" i="38"/>
  <c r="I4483" i="38"/>
  <c r="H4483" i="38"/>
  <c r="G4483" i="38"/>
  <c r="F4483" i="38"/>
  <c r="E4483" i="38"/>
  <c r="D4483" i="38"/>
  <c r="C4483" i="38"/>
  <c r="J4482" i="38"/>
  <c r="I4482" i="38"/>
  <c r="H4482" i="38"/>
  <c r="G4482" i="38"/>
  <c r="F4482" i="38"/>
  <c r="E4482" i="38"/>
  <c r="D4482" i="38"/>
  <c r="C4482" i="38"/>
  <c r="J4481" i="38"/>
  <c r="I4481" i="38"/>
  <c r="H4481" i="38"/>
  <c r="G4481" i="38"/>
  <c r="F4481" i="38"/>
  <c r="E4481" i="38"/>
  <c r="D4481" i="38"/>
  <c r="C4481" i="38"/>
  <c r="J4480" i="38"/>
  <c r="I4480" i="38"/>
  <c r="H4480" i="38"/>
  <c r="G4480" i="38"/>
  <c r="F4480" i="38"/>
  <c r="E4480" i="38"/>
  <c r="D4480" i="38"/>
  <c r="C4480" i="38"/>
  <c r="J4479" i="38"/>
  <c r="I4479" i="38"/>
  <c r="H4479" i="38"/>
  <c r="G4479" i="38"/>
  <c r="F4479" i="38"/>
  <c r="E4479" i="38"/>
  <c r="D4479" i="38"/>
  <c r="C4479" i="38"/>
  <c r="J4478" i="38"/>
  <c r="I4478" i="38"/>
  <c r="H4478" i="38"/>
  <c r="G4478" i="38"/>
  <c r="F4478" i="38"/>
  <c r="E4478" i="38"/>
  <c r="D4478" i="38"/>
  <c r="C4478" i="38"/>
  <c r="J4477" i="38"/>
  <c r="I4477" i="38"/>
  <c r="H4477" i="38"/>
  <c r="G4477" i="38"/>
  <c r="F4477" i="38"/>
  <c r="E4477" i="38"/>
  <c r="D4477" i="38"/>
  <c r="C4477" i="38"/>
  <c r="J4476" i="38"/>
  <c r="I4476" i="38"/>
  <c r="H4476" i="38"/>
  <c r="G4476" i="38"/>
  <c r="F4476" i="38"/>
  <c r="E4476" i="38"/>
  <c r="D4476" i="38"/>
  <c r="C4476" i="38"/>
  <c r="J4475" i="38"/>
  <c r="I4475" i="38"/>
  <c r="H4475" i="38"/>
  <c r="G4475" i="38"/>
  <c r="F4475" i="38"/>
  <c r="E4475" i="38"/>
  <c r="D4475" i="38"/>
  <c r="C4475" i="38"/>
  <c r="J4474" i="38"/>
  <c r="I4474" i="38"/>
  <c r="H4474" i="38"/>
  <c r="G4474" i="38"/>
  <c r="F4474" i="38"/>
  <c r="E4474" i="38"/>
  <c r="D4474" i="38"/>
  <c r="C4474" i="38"/>
  <c r="J4473" i="38"/>
  <c r="I4473" i="38"/>
  <c r="H4473" i="38"/>
  <c r="G4473" i="38"/>
  <c r="E4473" i="38"/>
  <c r="D4473" i="38"/>
  <c r="C4473" i="38"/>
  <c r="J4472" i="38"/>
  <c r="I4472" i="38"/>
  <c r="H4472" i="38"/>
  <c r="G4472" i="38"/>
  <c r="F4472" i="38"/>
  <c r="E4472" i="38"/>
  <c r="C4472" i="38"/>
  <c r="H4471" i="38"/>
  <c r="G4471" i="38"/>
  <c r="E4471" i="38"/>
  <c r="C4471" i="38"/>
  <c r="H4470" i="38"/>
  <c r="G4470" i="38"/>
  <c r="E4470" i="38"/>
  <c r="D4470" i="38"/>
  <c r="C4470" i="38"/>
  <c r="H4469" i="38"/>
  <c r="G4469" i="38"/>
  <c r="E4469" i="38"/>
  <c r="D4469" i="38"/>
  <c r="C4469" i="38"/>
  <c r="H4468" i="38"/>
  <c r="G4468" i="38"/>
  <c r="E4468" i="38"/>
  <c r="D4468" i="38"/>
  <c r="C4468" i="38"/>
  <c r="H4467" i="38"/>
  <c r="G4467" i="38"/>
  <c r="E4467" i="38"/>
  <c r="D4467" i="38"/>
  <c r="C4467" i="38"/>
  <c r="J4466" i="38"/>
  <c r="I4466" i="38"/>
  <c r="H4466" i="38"/>
  <c r="G4466" i="38"/>
  <c r="F4466" i="38"/>
  <c r="E4466" i="38"/>
  <c r="D4466" i="38"/>
  <c r="C4466" i="38"/>
  <c r="J4465" i="38"/>
  <c r="I4465" i="38"/>
  <c r="H4465" i="38"/>
  <c r="G4465" i="38"/>
  <c r="F4465" i="38"/>
  <c r="E4465" i="38"/>
  <c r="D4465" i="38"/>
  <c r="C4465" i="38"/>
  <c r="J4464" i="38"/>
  <c r="I4464" i="38"/>
  <c r="H4464" i="38"/>
  <c r="G4464" i="38"/>
  <c r="F4464" i="38"/>
  <c r="E4464" i="38"/>
  <c r="D4464" i="38"/>
  <c r="C4464" i="38"/>
  <c r="J4463" i="38"/>
  <c r="I4463" i="38"/>
  <c r="H4463" i="38"/>
  <c r="G4463" i="38"/>
  <c r="E4463" i="38"/>
  <c r="D4463" i="38"/>
  <c r="C4463" i="38"/>
  <c r="J4462" i="38"/>
  <c r="I4462" i="38"/>
  <c r="H4462" i="38"/>
  <c r="G4462" i="38"/>
  <c r="F4462" i="38"/>
  <c r="E4462" i="38"/>
  <c r="C4462" i="38"/>
  <c r="H4461" i="38"/>
  <c r="G4461" i="38"/>
  <c r="E4461" i="38"/>
  <c r="C4461" i="38"/>
  <c r="H4460" i="38"/>
  <c r="G4460" i="38"/>
  <c r="E4460" i="38"/>
  <c r="D4460" i="38"/>
  <c r="C4460" i="38"/>
  <c r="H4459" i="38"/>
  <c r="G4459" i="38"/>
  <c r="E4459" i="38"/>
  <c r="D4459" i="38"/>
  <c r="C4459" i="38"/>
  <c r="H4458" i="38"/>
  <c r="G4458" i="38"/>
  <c r="E4458" i="38"/>
  <c r="D4458" i="38"/>
  <c r="C4458" i="38"/>
  <c r="H4457" i="38"/>
  <c r="G4457" i="38"/>
  <c r="E4457" i="38"/>
  <c r="D4457" i="38"/>
  <c r="C4457" i="38"/>
  <c r="J4456" i="38"/>
  <c r="I4456" i="38"/>
  <c r="H4456" i="38"/>
  <c r="G4456" i="38"/>
  <c r="F4456" i="38"/>
  <c r="E4456" i="38"/>
  <c r="D4456" i="38"/>
  <c r="C4456" i="38"/>
  <c r="J4455" i="38"/>
  <c r="I4455" i="38"/>
  <c r="H4455" i="38"/>
  <c r="G4455" i="38"/>
  <c r="F4455" i="38"/>
  <c r="E4455" i="38"/>
  <c r="D4455" i="38"/>
  <c r="C4455" i="38"/>
  <c r="J4454" i="38"/>
  <c r="I4454" i="38"/>
  <c r="H4454" i="38"/>
  <c r="G4454" i="38"/>
  <c r="F4454" i="38"/>
  <c r="E4454" i="38"/>
  <c r="D4454" i="38"/>
  <c r="C4454" i="38"/>
  <c r="J4453" i="38"/>
  <c r="I4453" i="38"/>
  <c r="H4453" i="38"/>
  <c r="G4453" i="38"/>
  <c r="E4453" i="38"/>
  <c r="D4453" i="38"/>
  <c r="C4453" i="38"/>
  <c r="J4452" i="38"/>
  <c r="I4452" i="38"/>
  <c r="H4452" i="38"/>
  <c r="G4452" i="38"/>
  <c r="F4452" i="38"/>
  <c r="E4452" i="38"/>
  <c r="C4452" i="38"/>
  <c r="H4451" i="38"/>
  <c r="G4451" i="38"/>
  <c r="E4451" i="38"/>
  <c r="C4451" i="38"/>
  <c r="H4450" i="38"/>
  <c r="G4450" i="38"/>
  <c r="E4450" i="38"/>
  <c r="D4450" i="38"/>
  <c r="C4450" i="38"/>
  <c r="H4449" i="38"/>
  <c r="G4449" i="38"/>
  <c r="E4449" i="38"/>
  <c r="D4449" i="38"/>
  <c r="C4449" i="38"/>
  <c r="H4448" i="38"/>
  <c r="G4448" i="38"/>
  <c r="E4448" i="38"/>
  <c r="D4448" i="38"/>
  <c r="C4448" i="38"/>
  <c r="H4447" i="38"/>
  <c r="G4447" i="38"/>
  <c r="E4447" i="38"/>
  <c r="D4447" i="38"/>
  <c r="C4447" i="38"/>
  <c r="J4446" i="38"/>
  <c r="I4446" i="38"/>
  <c r="H4446" i="38"/>
  <c r="G4446" i="38"/>
  <c r="F4446" i="38"/>
  <c r="E4446" i="38"/>
  <c r="D4446" i="38"/>
  <c r="C4446" i="38"/>
  <c r="J4445" i="38"/>
  <c r="I4445" i="38"/>
  <c r="H4445" i="38"/>
  <c r="G4445" i="38"/>
  <c r="F4445" i="38"/>
  <c r="E4445" i="38"/>
  <c r="D4445" i="38"/>
  <c r="C4445" i="38"/>
  <c r="J4444" i="38"/>
  <c r="I4444" i="38"/>
  <c r="H4444" i="38"/>
  <c r="G4444" i="38"/>
  <c r="F4444" i="38"/>
  <c r="E4444" i="38"/>
  <c r="D4444" i="38"/>
  <c r="C4444" i="38"/>
  <c r="J4443" i="38"/>
  <c r="I4443" i="38"/>
  <c r="H4443" i="38"/>
  <c r="G4443" i="38"/>
  <c r="E4443" i="38"/>
  <c r="D4443" i="38"/>
  <c r="C4443" i="38"/>
  <c r="J4442" i="38"/>
  <c r="I4442" i="38"/>
  <c r="H4442" i="38"/>
  <c r="G4442" i="38"/>
  <c r="F4442" i="38"/>
  <c r="E4442" i="38"/>
  <c r="C4442" i="38"/>
  <c r="H4441" i="38"/>
  <c r="G4441" i="38"/>
  <c r="E4441" i="38"/>
  <c r="C4441" i="38"/>
  <c r="H4440" i="38"/>
  <c r="G4440" i="38"/>
  <c r="E4440" i="38"/>
  <c r="D4440" i="38"/>
  <c r="C4440" i="38"/>
  <c r="H4439" i="38"/>
  <c r="G4439" i="38"/>
  <c r="E4439" i="38"/>
  <c r="D4439" i="38"/>
  <c r="C4439" i="38"/>
  <c r="H4438" i="38"/>
  <c r="G4438" i="38"/>
  <c r="E4438" i="38"/>
  <c r="D4438" i="38"/>
  <c r="C4438" i="38"/>
  <c r="H4437" i="38"/>
  <c r="G4437" i="38"/>
  <c r="E4437" i="38"/>
  <c r="D4437" i="38"/>
  <c r="C4437" i="38"/>
  <c r="J4436" i="38"/>
  <c r="I4436" i="38"/>
  <c r="H4436" i="38"/>
  <c r="G4436" i="38"/>
  <c r="F4436" i="38"/>
  <c r="E4436" i="38"/>
  <c r="D4436" i="38"/>
  <c r="C4436" i="38"/>
  <c r="J4435" i="38"/>
  <c r="I4435" i="38"/>
  <c r="H4435" i="38"/>
  <c r="G4435" i="38"/>
  <c r="F4435" i="38"/>
  <c r="E4435" i="38"/>
  <c r="D4435" i="38"/>
  <c r="C4435" i="38"/>
  <c r="J4434" i="38"/>
  <c r="I4434" i="38"/>
  <c r="H4434" i="38"/>
  <c r="G4434" i="38"/>
  <c r="F4434" i="38"/>
  <c r="E4434" i="38"/>
  <c r="D4434" i="38"/>
  <c r="C4434" i="38"/>
  <c r="J4433" i="38"/>
  <c r="I4433" i="38"/>
  <c r="H4433" i="38"/>
  <c r="G4433" i="38"/>
  <c r="E4433" i="38"/>
  <c r="D4433" i="38"/>
  <c r="C4433" i="38"/>
  <c r="J4432" i="38"/>
  <c r="I4432" i="38"/>
  <c r="H4432" i="38"/>
  <c r="G4432" i="38"/>
  <c r="F4432" i="38"/>
  <c r="E4432" i="38"/>
  <c r="C4432" i="38"/>
  <c r="H4431" i="38"/>
  <c r="G4431" i="38"/>
  <c r="E4431" i="38"/>
  <c r="C4431" i="38"/>
  <c r="H4430" i="38"/>
  <c r="G4430" i="38"/>
  <c r="E4430" i="38"/>
  <c r="D4430" i="38"/>
  <c r="C4430" i="38"/>
  <c r="H4429" i="38"/>
  <c r="G4429" i="38"/>
  <c r="E4429" i="38"/>
  <c r="D4429" i="38"/>
  <c r="C4429" i="38"/>
  <c r="H4428" i="38"/>
  <c r="G4428" i="38"/>
  <c r="E4428" i="38"/>
  <c r="D4428" i="38"/>
  <c r="C4428" i="38"/>
  <c r="H4427" i="38"/>
  <c r="G4427" i="38"/>
  <c r="E4427" i="38"/>
  <c r="D4427" i="38"/>
  <c r="C4427" i="38"/>
  <c r="J4426" i="38"/>
  <c r="I4426" i="38"/>
  <c r="H4426" i="38"/>
  <c r="G4426" i="38"/>
  <c r="F4426" i="38"/>
  <c r="E4426" i="38"/>
  <c r="D4426" i="38"/>
  <c r="C4426" i="38"/>
  <c r="J4425" i="38"/>
  <c r="I4425" i="38"/>
  <c r="H4425" i="38"/>
  <c r="G4425" i="38"/>
  <c r="F4425" i="38"/>
  <c r="E4425" i="38"/>
  <c r="D4425" i="38"/>
  <c r="C4425" i="38"/>
  <c r="J4424" i="38"/>
  <c r="I4424" i="38"/>
  <c r="H4424" i="38"/>
  <c r="G4424" i="38"/>
  <c r="F4424" i="38"/>
  <c r="E4424" i="38"/>
  <c r="D4424" i="38"/>
  <c r="C4424" i="38"/>
  <c r="J4423" i="38"/>
  <c r="I4423" i="38"/>
  <c r="H4423" i="38"/>
  <c r="G4423" i="38"/>
  <c r="E4423" i="38"/>
  <c r="D4423" i="38"/>
  <c r="C4423" i="38"/>
  <c r="J4422" i="38"/>
  <c r="I4422" i="38"/>
  <c r="H4422" i="38"/>
  <c r="G4422" i="38"/>
  <c r="F4422" i="38"/>
  <c r="E4422" i="38"/>
  <c r="C4422" i="38"/>
  <c r="H4421" i="38"/>
  <c r="G4421" i="38"/>
  <c r="E4421" i="38"/>
  <c r="C4421" i="38"/>
  <c r="H4420" i="38"/>
  <c r="G4420" i="38"/>
  <c r="E4420" i="38"/>
  <c r="D4420" i="38"/>
  <c r="C4420" i="38"/>
  <c r="H4419" i="38"/>
  <c r="G4419" i="38"/>
  <c r="E4419" i="38"/>
  <c r="D4419" i="38"/>
  <c r="C4419" i="38"/>
  <c r="H4418" i="38"/>
  <c r="G4418" i="38"/>
  <c r="E4418" i="38"/>
  <c r="D4418" i="38"/>
  <c r="C4418" i="38"/>
  <c r="H4417" i="38"/>
  <c r="G4417" i="38"/>
  <c r="E4417" i="38"/>
  <c r="D4417" i="38"/>
  <c r="C4417" i="38"/>
  <c r="J4416" i="38"/>
  <c r="I4416" i="38"/>
  <c r="H4416" i="38"/>
  <c r="G4416" i="38"/>
  <c r="F4416" i="38"/>
  <c r="E4416" i="38"/>
  <c r="D4416" i="38"/>
  <c r="C4416" i="38"/>
  <c r="J4415" i="38"/>
  <c r="I4415" i="38"/>
  <c r="H4415" i="38"/>
  <c r="G4415" i="38"/>
  <c r="F4415" i="38"/>
  <c r="E4415" i="38"/>
  <c r="D4415" i="38"/>
  <c r="C4415" i="38"/>
  <c r="J4414" i="38"/>
  <c r="I4414" i="38"/>
  <c r="H4414" i="38"/>
  <c r="G4414" i="38"/>
  <c r="F4414" i="38"/>
  <c r="E4414" i="38"/>
  <c r="D4414" i="38"/>
  <c r="C4414" i="38"/>
  <c r="J4413" i="38"/>
  <c r="I4413" i="38"/>
  <c r="H4413" i="38"/>
  <c r="G4413" i="38"/>
  <c r="E4413" i="38"/>
  <c r="D4413" i="38"/>
  <c r="C4413" i="38"/>
  <c r="J4412" i="38"/>
  <c r="I4412" i="38"/>
  <c r="H4412" i="38"/>
  <c r="G4412" i="38"/>
  <c r="F4412" i="38"/>
  <c r="E4412" i="38"/>
  <c r="C4412" i="38"/>
  <c r="H4411" i="38"/>
  <c r="G4411" i="38"/>
  <c r="E4411" i="38"/>
  <c r="C4411" i="38"/>
  <c r="H4410" i="38"/>
  <c r="G4410" i="38"/>
  <c r="E4410" i="38"/>
  <c r="D4410" i="38"/>
  <c r="C4410" i="38"/>
  <c r="H4409" i="38"/>
  <c r="G4409" i="38"/>
  <c r="E4409" i="38"/>
  <c r="D4409" i="38"/>
  <c r="C4409" i="38"/>
  <c r="H4408" i="38"/>
  <c r="G4408" i="38"/>
  <c r="E4408" i="38"/>
  <c r="D4408" i="38"/>
  <c r="C4408" i="38"/>
  <c r="H4407" i="38"/>
  <c r="G4407" i="38"/>
  <c r="E4407" i="38"/>
  <c r="D4407" i="38"/>
  <c r="C4407" i="38"/>
  <c r="J4406" i="38"/>
  <c r="I4406" i="38"/>
  <c r="H4406" i="38"/>
  <c r="G4406" i="38"/>
  <c r="F4406" i="38"/>
  <c r="E4406" i="38"/>
  <c r="D4406" i="38"/>
  <c r="C4406" i="38"/>
  <c r="J4405" i="38"/>
  <c r="I4405" i="38"/>
  <c r="H4405" i="38"/>
  <c r="G4405" i="38"/>
  <c r="F4405" i="38"/>
  <c r="E4405" i="38"/>
  <c r="D4405" i="38"/>
  <c r="C4405" i="38"/>
  <c r="J4404" i="38"/>
  <c r="I4404" i="38"/>
  <c r="H4404" i="38"/>
  <c r="G4404" i="38"/>
  <c r="F4404" i="38"/>
  <c r="E4404" i="38"/>
  <c r="D4404" i="38"/>
  <c r="C4404" i="38"/>
  <c r="J4403" i="38"/>
  <c r="I4403" i="38"/>
  <c r="H4403" i="38"/>
  <c r="G4403" i="38"/>
  <c r="E4403" i="38"/>
  <c r="D4403" i="38"/>
  <c r="C4403" i="38"/>
  <c r="J4402" i="38"/>
  <c r="I4402" i="38"/>
  <c r="H4402" i="38"/>
  <c r="G4402" i="38"/>
  <c r="F4402" i="38"/>
  <c r="E4402" i="38"/>
  <c r="C4402" i="38"/>
  <c r="H4401" i="38"/>
  <c r="G4401" i="38"/>
  <c r="E4401" i="38"/>
  <c r="C4401" i="38"/>
  <c r="H4400" i="38"/>
  <c r="G4400" i="38"/>
  <c r="E4400" i="38"/>
  <c r="D4400" i="38"/>
  <c r="C4400" i="38"/>
  <c r="H4399" i="38"/>
  <c r="G4399" i="38"/>
  <c r="E4399" i="38"/>
  <c r="D4399" i="38"/>
  <c r="C4399" i="38"/>
  <c r="H4398" i="38"/>
  <c r="G4398" i="38"/>
  <c r="E4398" i="38"/>
  <c r="D4398" i="38"/>
  <c r="C4398" i="38"/>
  <c r="H4397" i="38"/>
  <c r="G4397" i="38"/>
  <c r="E4397" i="38"/>
  <c r="D4397" i="38"/>
  <c r="C4397" i="38"/>
  <c r="J4396" i="38"/>
  <c r="I4396" i="38"/>
  <c r="H4396" i="38"/>
  <c r="G4396" i="38"/>
  <c r="F4396" i="38"/>
  <c r="E4396" i="38"/>
  <c r="D4396" i="38"/>
  <c r="C4396" i="38"/>
  <c r="J4395" i="38"/>
  <c r="I4395" i="38"/>
  <c r="H4395" i="38"/>
  <c r="G4395" i="38"/>
  <c r="F4395" i="38"/>
  <c r="E4395" i="38"/>
  <c r="D4395" i="38"/>
  <c r="C4395" i="38"/>
  <c r="J4394" i="38"/>
  <c r="I4394" i="38"/>
  <c r="H4394" i="38"/>
  <c r="G4394" i="38"/>
  <c r="F4394" i="38"/>
  <c r="E4394" i="38"/>
  <c r="D4394" i="38"/>
  <c r="C4394" i="38"/>
  <c r="J4393" i="38"/>
  <c r="I4393" i="38"/>
  <c r="H4393" i="38"/>
  <c r="G4393" i="38"/>
  <c r="E4393" i="38"/>
  <c r="D4393" i="38"/>
  <c r="C4393" i="38"/>
  <c r="J4392" i="38"/>
  <c r="I4392" i="38"/>
  <c r="H4392" i="38"/>
  <c r="G4392" i="38"/>
  <c r="F4392" i="38"/>
  <c r="E4392" i="38"/>
  <c r="C4392" i="38"/>
  <c r="H4391" i="38"/>
  <c r="G4391" i="38"/>
  <c r="E4391" i="38"/>
  <c r="C4391" i="38"/>
  <c r="H4390" i="38"/>
  <c r="G4390" i="38"/>
  <c r="E4390" i="38"/>
  <c r="D4390" i="38"/>
  <c r="C4390" i="38"/>
  <c r="H4389" i="38"/>
  <c r="G4389" i="38"/>
  <c r="E4389" i="38"/>
  <c r="D4389" i="38"/>
  <c r="C4389" i="38"/>
  <c r="H4388" i="38"/>
  <c r="G4388" i="38"/>
  <c r="E4388" i="38"/>
  <c r="D4388" i="38"/>
  <c r="C4388" i="38"/>
  <c r="H4387" i="38"/>
  <c r="G4387" i="38"/>
  <c r="E4387" i="38"/>
  <c r="D4387" i="38"/>
  <c r="C4387" i="38"/>
  <c r="J4386" i="38"/>
  <c r="I4386" i="38"/>
  <c r="H4386" i="38"/>
  <c r="G4386" i="38"/>
  <c r="F4386" i="38"/>
  <c r="E4386" i="38"/>
  <c r="D4386" i="38"/>
  <c r="C4386" i="38"/>
  <c r="J4385" i="38"/>
  <c r="I4385" i="38"/>
  <c r="H4385" i="38"/>
  <c r="G4385" i="38"/>
  <c r="F4385" i="38"/>
  <c r="E4385" i="38"/>
  <c r="D4385" i="38"/>
  <c r="C4385" i="38"/>
  <c r="J4384" i="38"/>
  <c r="I4384" i="38"/>
  <c r="H4384" i="38"/>
  <c r="G4384" i="38"/>
  <c r="F4384" i="38"/>
  <c r="E4384" i="38"/>
  <c r="D4384" i="38"/>
  <c r="C4384" i="38"/>
  <c r="J4383" i="38"/>
  <c r="I4383" i="38"/>
  <c r="H4383" i="38"/>
  <c r="G4383" i="38"/>
  <c r="E4383" i="38"/>
  <c r="D4383" i="38"/>
  <c r="C4383" i="38"/>
  <c r="J4382" i="38"/>
  <c r="I4382" i="38"/>
  <c r="H4382" i="38"/>
  <c r="G4382" i="38"/>
  <c r="F4382" i="38"/>
  <c r="E4382" i="38"/>
  <c r="C4382" i="38"/>
  <c r="H4381" i="38"/>
  <c r="G4381" i="38"/>
  <c r="E4381" i="38"/>
  <c r="C4381" i="38"/>
  <c r="H4380" i="38"/>
  <c r="G4380" i="38"/>
  <c r="E4380" i="38"/>
  <c r="D4380" i="38"/>
  <c r="C4380" i="38"/>
  <c r="H4379" i="38"/>
  <c r="G4379" i="38"/>
  <c r="E4379" i="38"/>
  <c r="D4379" i="38"/>
  <c r="C4379" i="38"/>
  <c r="H4378" i="38"/>
  <c r="G4378" i="38"/>
  <c r="E4378" i="38"/>
  <c r="D4378" i="38"/>
  <c r="C4378" i="38"/>
  <c r="H4377" i="38"/>
  <c r="G4377" i="38"/>
  <c r="E4377" i="38"/>
  <c r="D4377" i="38"/>
  <c r="C4377" i="38"/>
  <c r="J4376" i="38"/>
  <c r="I4376" i="38"/>
  <c r="H4376" i="38"/>
  <c r="G4376" i="38"/>
  <c r="F4376" i="38"/>
  <c r="E4376" i="38"/>
  <c r="D4376" i="38"/>
  <c r="C4376" i="38"/>
  <c r="J4375" i="38"/>
  <c r="I4375" i="38"/>
  <c r="H4375" i="38"/>
  <c r="G4375" i="38"/>
  <c r="F4375" i="38"/>
  <c r="E4375" i="38"/>
  <c r="D4375" i="38"/>
  <c r="C4375" i="38"/>
  <c r="J4374" i="38"/>
  <c r="I4374" i="38"/>
  <c r="H4374" i="38"/>
  <c r="G4374" i="38"/>
  <c r="F4374" i="38"/>
  <c r="E4374" i="38"/>
  <c r="D4374" i="38"/>
  <c r="C4374" i="38"/>
  <c r="J4373" i="38"/>
  <c r="I4373" i="38"/>
  <c r="H4373" i="38"/>
  <c r="G4373" i="38"/>
  <c r="E4373" i="38"/>
  <c r="D4373" i="38"/>
  <c r="C4373" i="38"/>
  <c r="J4372" i="38"/>
  <c r="I4372" i="38"/>
  <c r="H4372" i="38"/>
  <c r="G4372" i="38"/>
  <c r="F4372" i="38"/>
  <c r="E4372" i="38"/>
  <c r="C4372" i="38"/>
  <c r="H4371" i="38"/>
  <c r="G4371" i="38"/>
  <c r="E4371" i="38"/>
  <c r="C4371" i="38"/>
  <c r="H4370" i="38"/>
  <c r="G4370" i="38"/>
  <c r="E4370" i="38"/>
  <c r="D4370" i="38"/>
  <c r="C4370" i="38"/>
  <c r="H4369" i="38"/>
  <c r="G4369" i="38"/>
  <c r="E4369" i="38"/>
  <c r="D4369" i="38"/>
  <c r="C4369" i="38"/>
  <c r="H4368" i="38"/>
  <c r="G4368" i="38"/>
  <c r="E4368" i="38"/>
  <c r="D4368" i="38"/>
  <c r="C4368" i="38"/>
  <c r="H4367" i="38"/>
  <c r="G4367" i="38"/>
  <c r="E4367" i="38"/>
  <c r="D4367" i="38"/>
  <c r="C4367" i="38"/>
  <c r="J4366" i="38"/>
  <c r="I4366" i="38"/>
  <c r="H4366" i="38"/>
  <c r="G4366" i="38"/>
  <c r="F4366" i="38"/>
  <c r="E4366" i="38"/>
  <c r="D4366" i="38"/>
  <c r="C4366" i="38"/>
  <c r="J4365" i="38"/>
  <c r="I4365" i="38"/>
  <c r="H4365" i="38"/>
  <c r="G4365" i="38"/>
  <c r="F4365" i="38"/>
  <c r="E4365" i="38"/>
  <c r="D4365" i="38"/>
  <c r="C4365" i="38"/>
  <c r="J4364" i="38"/>
  <c r="I4364" i="38"/>
  <c r="H4364" i="38"/>
  <c r="G4364" i="38"/>
  <c r="F4364" i="38"/>
  <c r="E4364" i="38"/>
  <c r="D4364" i="38"/>
  <c r="C4364" i="38"/>
  <c r="J4363" i="38"/>
  <c r="I4363" i="38"/>
  <c r="H4363" i="38"/>
  <c r="G4363" i="38"/>
  <c r="E4363" i="38"/>
  <c r="D4363" i="38"/>
  <c r="C4363" i="38"/>
  <c r="J4362" i="38"/>
  <c r="I4362" i="38"/>
  <c r="H4362" i="38"/>
  <c r="G4362" i="38"/>
  <c r="F4362" i="38"/>
  <c r="E4362" i="38"/>
  <c r="C4362" i="38"/>
  <c r="H4361" i="38"/>
  <c r="G4361" i="38"/>
  <c r="E4361" i="38"/>
  <c r="C4361" i="38"/>
  <c r="H4360" i="38"/>
  <c r="G4360" i="38"/>
  <c r="E4360" i="38"/>
  <c r="D4360" i="38"/>
  <c r="C4360" i="38"/>
  <c r="H4359" i="38"/>
  <c r="G4359" i="38"/>
  <c r="E4359" i="38"/>
  <c r="D4359" i="38"/>
  <c r="C4359" i="38"/>
  <c r="H4358" i="38"/>
  <c r="G4358" i="38"/>
  <c r="E4358" i="38"/>
  <c r="D4358" i="38"/>
  <c r="C4358" i="38"/>
  <c r="H4357" i="38"/>
  <c r="G4357" i="38"/>
  <c r="E4357" i="38"/>
  <c r="D4357" i="38"/>
  <c r="C4357" i="38"/>
  <c r="J4356" i="38"/>
  <c r="I4356" i="38"/>
  <c r="H4356" i="38"/>
  <c r="G4356" i="38"/>
  <c r="F4356" i="38"/>
  <c r="E4356" i="38"/>
  <c r="D4356" i="38"/>
  <c r="C4356" i="38"/>
  <c r="J4355" i="38"/>
  <c r="I4355" i="38"/>
  <c r="H4355" i="38"/>
  <c r="G4355" i="38"/>
  <c r="F4355" i="38"/>
  <c r="E4355" i="38"/>
  <c r="D4355" i="38"/>
  <c r="C4355" i="38"/>
  <c r="J4354" i="38"/>
  <c r="I4354" i="38"/>
  <c r="H4354" i="38"/>
  <c r="G4354" i="38"/>
  <c r="F4354" i="38"/>
  <c r="E4354" i="38"/>
  <c r="D4354" i="38"/>
  <c r="C4354" i="38"/>
  <c r="J4353" i="38"/>
  <c r="I4353" i="38"/>
  <c r="H4353" i="38"/>
  <c r="G4353" i="38"/>
  <c r="E4353" i="38"/>
  <c r="D4353" i="38"/>
  <c r="C4353" i="38"/>
  <c r="J4352" i="38"/>
  <c r="I4352" i="38"/>
  <c r="H4352" i="38"/>
  <c r="G4352" i="38"/>
  <c r="F4352" i="38"/>
  <c r="E4352" i="38"/>
  <c r="C4352" i="38"/>
  <c r="H4351" i="38"/>
  <c r="G4351" i="38"/>
  <c r="E4351" i="38"/>
  <c r="C4351" i="38"/>
  <c r="H4350" i="38"/>
  <c r="G4350" i="38"/>
  <c r="E4350" i="38"/>
  <c r="D4350" i="38"/>
  <c r="C4350" i="38"/>
  <c r="H4349" i="38"/>
  <c r="G4349" i="38"/>
  <c r="E4349" i="38"/>
  <c r="D4349" i="38"/>
  <c r="C4349" i="38"/>
  <c r="H4348" i="38"/>
  <c r="G4348" i="38"/>
  <c r="E4348" i="38"/>
  <c r="D4348" i="38"/>
  <c r="C4348" i="38"/>
  <c r="H4347" i="38"/>
  <c r="G4347" i="38"/>
  <c r="E4347" i="38"/>
  <c r="D4347" i="38"/>
  <c r="C4347" i="38"/>
  <c r="J4346" i="38"/>
  <c r="I4346" i="38"/>
  <c r="H4346" i="38"/>
  <c r="G4346" i="38"/>
  <c r="F4346" i="38"/>
  <c r="E4346" i="38"/>
  <c r="D4346" i="38"/>
  <c r="C4346" i="38"/>
  <c r="J4345" i="38"/>
  <c r="I4345" i="38"/>
  <c r="H4345" i="38"/>
  <c r="G4345" i="38"/>
  <c r="F4345" i="38"/>
  <c r="E4345" i="38"/>
  <c r="D4345" i="38"/>
  <c r="C4345" i="38"/>
  <c r="J4344" i="38"/>
  <c r="I4344" i="38"/>
  <c r="H4344" i="38"/>
  <c r="G4344" i="38"/>
  <c r="F4344" i="38"/>
  <c r="E4344" i="38"/>
  <c r="D4344" i="38"/>
  <c r="C4344" i="38"/>
  <c r="J4343" i="38"/>
  <c r="I4343" i="38"/>
  <c r="H4343" i="38"/>
  <c r="G4343" i="38"/>
  <c r="E4343" i="38"/>
  <c r="D4343" i="38"/>
  <c r="C4343" i="38"/>
  <c r="J4342" i="38"/>
  <c r="I4342" i="38"/>
  <c r="H4342" i="38"/>
  <c r="G4342" i="38"/>
  <c r="F4342" i="38"/>
  <c r="E4342" i="38"/>
  <c r="C4342" i="38"/>
  <c r="H4341" i="38"/>
  <c r="G4341" i="38"/>
  <c r="E4341" i="38"/>
  <c r="C4341" i="38"/>
  <c r="H4340" i="38"/>
  <c r="G4340" i="38"/>
  <c r="E4340" i="38"/>
  <c r="D4340" i="38"/>
  <c r="C4340" i="38"/>
  <c r="H4339" i="38"/>
  <c r="G4339" i="38"/>
  <c r="E4339" i="38"/>
  <c r="D4339" i="38"/>
  <c r="C4339" i="38"/>
  <c r="H4338" i="38"/>
  <c r="G4338" i="38"/>
  <c r="E4338" i="38"/>
  <c r="D4338" i="38"/>
  <c r="C4338" i="38"/>
  <c r="H4337" i="38"/>
  <c r="G4337" i="38"/>
  <c r="E4337" i="38"/>
  <c r="D4337" i="38"/>
  <c r="C4337" i="38"/>
  <c r="J4336" i="38"/>
  <c r="I4336" i="38"/>
  <c r="H4336" i="38"/>
  <c r="G4336" i="38"/>
  <c r="F4336" i="38"/>
  <c r="E4336" i="38"/>
  <c r="D4336" i="38"/>
  <c r="C4336" i="38"/>
  <c r="J4335" i="38"/>
  <c r="I4335" i="38"/>
  <c r="H4335" i="38"/>
  <c r="G4335" i="38"/>
  <c r="F4335" i="38"/>
  <c r="E4335" i="38"/>
  <c r="D4335" i="38"/>
  <c r="C4335" i="38"/>
  <c r="J4334" i="38"/>
  <c r="I4334" i="38"/>
  <c r="H4334" i="38"/>
  <c r="G4334" i="38"/>
  <c r="F4334" i="38"/>
  <c r="E4334" i="38"/>
  <c r="D4334" i="38"/>
  <c r="C4334" i="38"/>
  <c r="J4333" i="38"/>
  <c r="I4333" i="38"/>
  <c r="H4333" i="38"/>
  <c r="G4333" i="38"/>
  <c r="E4333" i="38"/>
  <c r="D4333" i="38"/>
  <c r="C4333" i="38"/>
  <c r="J4332" i="38"/>
  <c r="I4332" i="38"/>
  <c r="H4332" i="38"/>
  <c r="G4332" i="38"/>
  <c r="F4332" i="38"/>
  <c r="E4332" i="38"/>
  <c r="C4332" i="38"/>
  <c r="H4331" i="38"/>
  <c r="G4331" i="38"/>
  <c r="E4331" i="38"/>
  <c r="C4331" i="38"/>
  <c r="H4330" i="38"/>
  <c r="G4330" i="38"/>
  <c r="E4330" i="38"/>
  <c r="D4330" i="38"/>
  <c r="C4330" i="38"/>
  <c r="H4329" i="38"/>
  <c r="G4329" i="38"/>
  <c r="E4329" i="38"/>
  <c r="D4329" i="38"/>
  <c r="C4329" i="38"/>
  <c r="H4328" i="38"/>
  <c r="G4328" i="38"/>
  <c r="E4328" i="38"/>
  <c r="D4328" i="38"/>
  <c r="C4328" i="38"/>
  <c r="H4327" i="38"/>
  <c r="G4327" i="38"/>
  <c r="E4327" i="38"/>
  <c r="D4327" i="38"/>
  <c r="C4327" i="38"/>
  <c r="J4326" i="38"/>
  <c r="I4326" i="38"/>
  <c r="H4326" i="38"/>
  <c r="G4326" i="38"/>
  <c r="F4326" i="38"/>
  <c r="E4326" i="38"/>
  <c r="D4326" i="38"/>
  <c r="C4326" i="38"/>
  <c r="J4325" i="38"/>
  <c r="I4325" i="38"/>
  <c r="H4325" i="38"/>
  <c r="G4325" i="38"/>
  <c r="F4325" i="38"/>
  <c r="E4325" i="38"/>
  <c r="D4325" i="38"/>
  <c r="C4325" i="38"/>
  <c r="J4324" i="38"/>
  <c r="I4324" i="38"/>
  <c r="H4324" i="38"/>
  <c r="G4324" i="38"/>
  <c r="F4324" i="38"/>
  <c r="E4324" i="38"/>
  <c r="D4324" i="38"/>
  <c r="C4324" i="38"/>
  <c r="J4323" i="38"/>
  <c r="I4323" i="38"/>
  <c r="H4323" i="38"/>
  <c r="G4323" i="38"/>
  <c r="E4323" i="38"/>
  <c r="D4323" i="38"/>
  <c r="C4323" i="38"/>
  <c r="J4322" i="38"/>
  <c r="I4322" i="38"/>
  <c r="H4322" i="38"/>
  <c r="G4322" i="38"/>
  <c r="F4322" i="38"/>
  <c r="E4322" i="38"/>
  <c r="C4322" i="38"/>
  <c r="H4321" i="38"/>
  <c r="G4321" i="38"/>
  <c r="E4321" i="38"/>
  <c r="C4321" i="38"/>
  <c r="H4320" i="38"/>
  <c r="G4320" i="38"/>
  <c r="E4320" i="38"/>
  <c r="D4320" i="38"/>
  <c r="C4320" i="38"/>
  <c r="H4319" i="38"/>
  <c r="G4319" i="38"/>
  <c r="E4319" i="38"/>
  <c r="D4319" i="38"/>
  <c r="C4319" i="38"/>
  <c r="H4318" i="38"/>
  <c r="G4318" i="38"/>
  <c r="E4318" i="38"/>
  <c r="D4318" i="38"/>
  <c r="C4318" i="38"/>
  <c r="H4317" i="38"/>
  <c r="G4317" i="38"/>
  <c r="E4317" i="38"/>
  <c r="D4317" i="38"/>
  <c r="C4317" i="38"/>
  <c r="J4316" i="38"/>
  <c r="I4316" i="38"/>
  <c r="H4316" i="38"/>
  <c r="G4316" i="38"/>
  <c r="F4316" i="38"/>
  <c r="E4316" i="38"/>
  <c r="D4316" i="38"/>
  <c r="C4316" i="38"/>
  <c r="J4315" i="38"/>
  <c r="I4315" i="38"/>
  <c r="H4315" i="38"/>
  <c r="G4315" i="38"/>
  <c r="F4315" i="38"/>
  <c r="E4315" i="38"/>
  <c r="D4315" i="38"/>
  <c r="C4315" i="38"/>
  <c r="J4314" i="38"/>
  <c r="I4314" i="38"/>
  <c r="H4314" i="38"/>
  <c r="G4314" i="38"/>
  <c r="F4314" i="38"/>
  <c r="E4314" i="38"/>
  <c r="D4314" i="38"/>
  <c r="C4314" i="38"/>
  <c r="J4313" i="38"/>
  <c r="I4313" i="38"/>
  <c r="H4313" i="38"/>
  <c r="G4313" i="38"/>
  <c r="E4313" i="38"/>
  <c r="D4313" i="38"/>
  <c r="C4313" i="38"/>
  <c r="J4312" i="38"/>
  <c r="I4312" i="38"/>
  <c r="H4312" i="38"/>
  <c r="G4312" i="38"/>
  <c r="F4312" i="38"/>
  <c r="E4312" i="38"/>
  <c r="C4312" i="38"/>
  <c r="H4311" i="38"/>
  <c r="G4311" i="38"/>
  <c r="E4311" i="38"/>
  <c r="C4311" i="38"/>
  <c r="J4310" i="38"/>
  <c r="I4310" i="38"/>
  <c r="H4310" i="38"/>
  <c r="G4310" i="38"/>
  <c r="F4310" i="38"/>
  <c r="E4310" i="38"/>
  <c r="D4310" i="38"/>
  <c r="C4310" i="38"/>
  <c r="J4309" i="38"/>
  <c r="I4309" i="38"/>
  <c r="H4309" i="38"/>
  <c r="G4309" i="38"/>
  <c r="F4309" i="38"/>
  <c r="E4309" i="38"/>
  <c r="D4309" i="38"/>
  <c r="C4309" i="38"/>
  <c r="J4308" i="38"/>
  <c r="I4308" i="38"/>
  <c r="H4308" i="38"/>
  <c r="G4308" i="38"/>
  <c r="F4308" i="38"/>
  <c r="E4308" i="38"/>
  <c r="D4308" i="38"/>
  <c r="C4308" i="38"/>
  <c r="J4307" i="38"/>
  <c r="I4307" i="38"/>
  <c r="H4307" i="38"/>
  <c r="G4307" i="38"/>
  <c r="F4307" i="38"/>
  <c r="E4307" i="38"/>
  <c r="D4307" i="38"/>
  <c r="C4307" i="38"/>
  <c r="J4306" i="38"/>
  <c r="I4306" i="38"/>
  <c r="H4306" i="38"/>
  <c r="G4306" i="38"/>
  <c r="F4306" i="38"/>
  <c r="E4306" i="38"/>
  <c r="D4306" i="38"/>
  <c r="C4306" i="38"/>
  <c r="J4305" i="38"/>
  <c r="I4305" i="38"/>
  <c r="H4305" i="38"/>
  <c r="G4305" i="38"/>
  <c r="F4305" i="38"/>
  <c r="E4305" i="38"/>
  <c r="D4305" i="38"/>
  <c r="C4305" i="38"/>
  <c r="J4304" i="38"/>
  <c r="I4304" i="38"/>
  <c r="H4304" i="38"/>
  <c r="G4304" i="38"/>
  <c r="F4304" i="38"/>
  <c r="E4304" i="38"/>
  <c r="D4304" i="38"/>
  <c r="C4304" i="38"/>
  <c r="J4303" i="38"/>
  <c r="I4303" i="38"/>
  <c r="H4303" i="38"/>
  <c r="G4303" i="38"/>
  <c r="F4303" i="38"/>
  <c r="E4303" i="38"/>
  <c r="D4303" i="38"/>
  <c r="C4303" i="38"/>
  <c r="J4302" i="38"/>
  <c r="I4302" i="38"/>
  <c r="H4302" i="38"/>
  <c r="G4302" i="38"/>
  <c r="F4302" i="38"/>
  <c r="E4302" i="38"/>
  <c r="D4302" i="38"/>
  <c r="C4302" i="38"/>
  <c r="J4301" i="38"/>
  <c r="I4301" i="38"/>
  <c r="H4301" i="38"/>
  <c r="G4301" i="38"/>
  <c r="F4301" i="38"/>
  <c r="E4301" i="38"/>
  <c r="D4301" i="38"/>
  <c r="C4301" i="38"/>
  <c r="J4300" i="38"/>
  <c r="I4300" i="38"/>
  <c r="H4300" i="38"/>
  <c r="G4300" i="38"/>
  <c r="F4300" i="38"/>
  <c r="E4300" i="38"/>
  <c r="D4300" i="38"/>
  <c r="C4300" i="38"/>
  <c r="J4299" i="38"/>
  <c r="I4299" i="38"/>
  <c r="H4299" i="38"/>
  <c r="G4299" i="38"/>
  <c r="F4299" i="38"/>
  <c r="E4299" i="38"/>
  <c r="D4299" i="38"/>
  <c r="C4299" i="38"/>
  <c r="J4298" i="38"/>
  <c r="I4298" i="38"/>
  <c r="H4298" i="38"/>
  <c r="G4298" i="38"/>
  <c r="F4298" i="38"/>
  <c r="E4298" i="38"/>
  <c r="D4298" i="38"/>
  <c r="C4298" i="38"/>
  <c r="J4297" i="38"/>
  <c r="I4297" i="38"/>
  <c r="H4297" i="38"/>
  <c r="G4297" i="38"/>
  <c r="F4297" i="38"/>
  <c r="E4297" i="38"/>
  <c r="D4297" i="38"/>
  <c r="C4297" i="38"/>
  <c r="J4296" i="38"/>
  <c r="I4296" i="38"/>
  <c r="H4296" i="38"/>
  <c r="G4296" i="38"/>
  <c r="F4296" i="38"/>
  <c r="E4296" i="38"/>
  <c r="D4296" i="38"/>
  <c r="C4296" i="38"/>
  <c r="J4295" i="38"/>
  <c r="I4295" i="38"/>
  <c r="H4295" i="38"/>
  <c r="G4295" i="38"/>
  <c r="F4295" i="38"/>
  <c r="E4295" i="38"/>
  <c r="D4295" i="38"/>
  <c r="C4295" i="38"/>
  <c r="J4294" i="38"/>
  <c r="I4294" i="38"/>
  <c r="H4294" i="38"/>
  <c r="G4294" i="38"/>
  <c r="F4294" i="38"/>
  <c r="E4294" i="38"/>
  <c r="D4294" i="38"/>
  <c r="C4294" i="38"/>
  <c r="J4293" i="38"/>
  <c r="I4293" i="38"/>
  <c r="H4293" i="38"/>
  <c r="G4293" i="38"/>
  <c r="E4293" i="38"/>
  <c r="D4293" i="38"/>
  <c r="C4293" i="38"/>
  <c r="J4292" i="38"/>
  <c r="I4292" i="38"/>
  <c r="H4292" i="38"/>
  <c r="G4292" i="38"/>
  <c r="F4292" i="38"/>
  <c r="E4292" i="38"/>
  <c r="C4292" i="38"/>
  <c r="H4291" i="38"/>
  <c r="G4291" i="38"/>
  <c r="E4291" i="38"/>
  <c r="C4291" i="38"/>
  <c r="H4290" i="38"/>
  <c r="G4290" i="38"/>
  <c r="E4290" i="38"/>
  <c r="D4290" i="38"/>
  <c r="C4290" i="38"/>
  <c r="H4289" i="38"/>
  <c r="G4289" i="38"/>
  <c r="E4289" i="38"/>
  <c r="D4289" i="38"/>
  <c r="C4289" i="38"/>
  <c r="H4288" i="38"/>
  <c r="G4288" i="38"/>
  <c r="E4288" i="38"/>
  <c r="D4288" i="38"/>
  <c r="C4288" i="38"/>
  <c r="H4287" i="38"/>
  <c r="G4287" i="38"/>
  <c r="E4287" i="38"/>
  <c r="D4287" i="38"/>
  <c r="C4287" i="38"/>
  <c r="J4286" i="38"/>
  <c r="I4286" i="38"/>
  <c r="H4286" i="38"/>
  <c r="G4286" i="38"/>
  <c r="F4286" i="38"/>
  <c r="E4286" i="38"/>
  <c r="D4286" i="38"/>
  <c r="C4286" i="38"/>
  <c r="J4285" i="38"/>
  <c r="I4285" i="38"/>
  <c r="H4285" i="38"/>
  <c r="G4285" i="38"/>
  <c r="F4285" i="38"/>
  <c r="E4285" i="38"/>
  <c r="D4285" i="38"/>
  <c r="C4285" i="38"/>
  <c r="J4284" i="38"/>
  <c r="I4284" i="38"/>
  <c r="H4284" i="38"/>
  <c r="G4284" i="38"/>
  <c r="F4284" i="38"/>
  <c r="E4284" i="38"/>
  <c r="D4284" i="38"/>
  <c r="C4284" i="38"/>
  <c r="J4283" i="38"/>
  <c r="I4283" i="38"/>
  <c r="H4283" i="38"/>
  <c r="G4283" i="38"/>
  <c r="E4283" i="38"/>
  <c r="D4283" i="38"/>
  <c r="C4283" i="38"/>
  <c r="J4282" i="38"/>
  <c r="I4282" i="38"/>
  <c r="H4282" i="38"/>
  <c r="G4282" i="38"/>
  <c r="F4282" i="38"/>
  <c r="E4282" i="38"/>
  <c r="C4282" i="38"/>
  <c r="H4281" i="38"/>
  <c r="G4281" i="38"/>
  <c r="E4281" i="38"/>
  <c r="C4281" i="38"/>
  <c r="H4280" i="38"/>
  <c r="G4280" i="38"/>
  <c r="E4280" i="38"/>
  <c r="D4280" i="38"/>
  <c r="C4280" i="38"/>
  <c r="H4279" i="38"/>
  <c r="G4279" i="38"/>
  <c r="E4279" i="38"/>
  <c r="D4279" i="38"/>
  <c r="C4279" i="38"/>
  <c r="H4278" i="38"/>
  <c r="G4278" i="38"/>
  <c r="E4278" i="38"/>
  <c r="D4278" i="38"/>
  <c r="C4278" i="38"/>
  <c r="H4277" i="38"/>
  <c r="G4277" i="38"/>
  <c r="E4277" i="38"/>
  <c r="D4277" i="38"/>
  <c r="C4277" i="38"/>
  <c r="J4276" i="38"/>
  <c r="I4276" i="38"/>
  <c r="H4276" i="38"/>
  <c r="G4276" i="38"/>
  <c r="F4276" i="38"/>
  <c r="E4276" i="38"/>
  <c r="D4276" i="38"/>
  <c r="C4276" i="38"/>
  <c r="J4275" i="38"/>
  <c r="I4275" i="38"/>
  <c r="H4275" i="38"/>
  <c r="G4275" i="38"/>
  <c r="F4275" i="38"/>
  <c r="E4275" i="38"/>
  <c r="D4275" i="38"/>
  <c r="C4275" i="38"/>
  <c r="J4274" i="38"/>
  <c r="I4274" i="38"/>
  <c r="H4274" i="38"/>
  <c r="G4274" i="38"/>
  <c r="F4274" i="38"/>
  <c r="E4274" i="38"/>
  <c r="D4274" i="38"/>
  <c r="C4274" i="38"/>
  <c r="J4273" i="38"/>
  <c r="I4273" i="38"/>
  <c r="H4273" i="38"/>
  <c r="G4273" i="38"/>
  <c r="E4273" i="38"/>
  <c r="D4273" i="38"/>
  <c r="C4273" i="38"/>
  <c r="J4272" i="38"/>
  <c r="I4272" i="38"/>
  <c r="H4272" i="38"/>
  <c r="G4272" i="38"/>
  <c r="F4272" i="38"/>
  <c r="E4272" i="38"/>
  <c r="C4272" i="38"/>
  <c r="H4271" i="38"/>
  <c r="G4271" i="38"/>
  <c r="E4271" i="38"/>
  <c r="C4271" i="38"/>
  <c r="H4270" i="38"/>
  <c r="G4270" i="38"/>
  <c r="E4270" i="38"/>
  <c r="D4270" i="38"/>
  <c r="C4270" i="38"/>
  <c r="H4269" i="38"/>
  <c r="G4269" i="38"/>
  <c r="E4269" i="38"/>
  <c r="D4269" i="38"/>
  <c r="C4269" i="38"/>
  <c r="H4268" i="38"/>
  <c r="G4268" i="38"/>
  <c r="E4268" i="38"/>
  <c r="D4268" i="38"/>
  <c r="C4268" i="38"/>
  <c r="H4267" i="38"/>
  <c r="G4267" i="38"/>
  <c r="E4267" i="38"/>
  <c r="D4267" i="38"/>
  <c r="C4267" i="38"/>
  <c r="J4266" i="38"/>
  <c r="I4266" i="38"/>
  <c r="H4266" i="38"/>
  <c r="G4266" i="38"/>
  <c r="F4266" i="38"/>
  <c r="E4266" i="38"/>
  <c r="D4266" i="38"/>
  <c r="C4266" i="38"/>
  <c r="J4265" i="38"/>
  <c r="I4265" i="38"/>
  <c r="H4265" i="38"/>
  <c r="G4265" i="38"/>
  <c r="F4265" i="38"/>
  <c r="E4265" i="38"/>
  <c r="D4265" i="38"/>
  <c r="C4265" i="38"/>
  <c r="J4264" i="38"/>
  <c r="I4264" i="38"/>
  <c r="H4264" i="38"/>
  <c r="G4264" i="38"/>
  <c r="F4264" i="38"/>
  <c r="E4264" i="38"/>
  <c r="D4264" i="38"/>
  <c r="C4264" i="38"/>
  <c r="J4263" i="38"/>
  <c r="I4263" i="38"/>
  <c r="H4263" i="38"/>
  <c r="G4263" i="38"/>
  <c r="E4263" i="38"/>
  <c r="D4263" i="38"/>
  <c r="C4263" i="38"/>
  <c r="J4262" i="38"/>
  <c r="I4262" i="38"/>
  <c r="H4262" i="38"/>
  <c r="G4262" i="38"/>
  <c r="F4262" i="38"/>
  <c r="E4262" i="38"/>
  <c r="C4262" i="38"/>
  <c r="H4261" i="38"/>
  <c r="G4261" i="38"/>
  <c r="E4261" i="38"/>
  <c r="C4261" i="38"/>
  <c r="H4260" i="38"/>
  <c r="G4260" i="38"/>
  <c r="E4260" i="38"/>
  <c r="D4260" i="38"/>
  <c r="C4260" i="38"/>
  <c r="H4259" i="38"/>
  <c r="G4259" i="38"/>
  <c r="E4259" i="38"/>
  <c r="D4259" i="38"/>
  <c r="C4259" i="38"/>
  <c r="H4258" i="38"/>
  <c r="G4258" i="38"/>
  <c r="E4258" i="38"/>
  <c r="D4258" i="38"/>
  <c r="C4258" i="38"/>
  <c r="H4257" i="38"/>
  <c r="G4257" i="38"/>
  <c r="E4257" i="38"/>
  <c r="D4257" i="38"/>
  <c r="C4257" i="38"/>
  <c r="J4256" i="38"/>
  <c r="I4256" i="38"/>
  <c r="H4256" i="38"/>
  <c r="G4256" i="38"/>
  <c r="F4256" i="38"/>
  <c r="E4256" i="38"/>
  <c r="D4256" i="38"/>
  <c r="C4256" i="38"/>
  <c r="J4255" i="38"/>
  <c r="I4255" i="38"/>
  <c r="H4255" i="38"/>
  <c r="G4255" i="38"/>
  <c r="F4255" i="38"/>
  <c r="E4255" i="38"/>
  <c r="D4255" i="38"/>
  <c r="C4255" i="38"/>
  <c r="J4254" i="38"/>
  <c r="I4254" i="38"/>
  <c r="H4254" i="38"/>
  <c r="G4254" i="38"/>
  <c r="F4254" i="38"/>
  <c r="E4254" i="38"/>
  <c r="D4254" i="38"/>
  <c r="C4254" i="38"/>
  <c r="J4253" i="38"/>
  <c r="I4253" i="38"/>
  <c r="H4253" i="38"/>
  <c r="G4253" i="38"/>
  <c r="E4253" i="38"/>
  <c r="D4253" i="38"/>
  <c r="C4253" i="38"/>
  <c r="J4252" i="38"/>
  <c r="I4252" i="38"/>
  <c r="H4252" i="38"/>
  <c r="G4252" i="38"/>
  <c r="F4252" i="38"/>
  <c r="E4252" i="38"/>
  <c r="C4252" i="38"/>
  <c r="H4251" i="38"/>
  <c r="G4251" i="38"/>
  <c r="E4251" i="38"/>
  <c r="C4251" i="38"/>
  <c r="H4250" i="38"/>
  <c r="G4250" i="38"/>
  <c r="E4250" i="38"/>
  <c r="D4250" i="38"/>
  <c r="C4250" i="38"/>
  <c r="H4249" i="38"/>
  <c r="G4249" i="38"/>
  <c r="E4249" i="38"/>
  <c r="D4249" i="38"/>
  <c r="C4249" i="38"/>
  <c r="H4248" i="38"/>
  <c r="G4248" i="38"/>
  <c r="E4248" i="38"/>
  <c r="D4248" i="38"/>
  <c r="C4248" i="38"/>
  <c r="H4247" i="38"/>
  <c r="G4247" i="38"/>
  <c r="E4247" i="38"/>
  <c r="D4247" i="38"/>
  <c r="C4247" i="38"/>
  <c r="J4246" i="38"/>
  <c r="I4246" i="38"/>
  <c r="H4246" i="38"/>
  <c r="G4246" i="38"/>
  <c r="F4246" i="38"/>
  <c r="E4246" i="38"/>
  <c r="D4246" i="38"/>
  <c r="C4246" i="38"/>
  <c r="J4245" i="38"/>
  <c r="I4245" i="38"/>
  <c r="H4245" i="38"/>
  <c r="G4245" i="38"/>
  <c r="F4245" i="38"/>
  <c r="E4245" i="38"/>
  <c r="D4245" i="38"/>
  <c r="C4245" i="38"/>
  <c r="J4244" i="38"/>
  <c r="I4244" i="38"/>
  <c r="H4244" i="38"/>
  <c r="G4244" i="38"/>
  <c r="F4244" i="38"/>
  <c r="E4244" i="38"/>
  <c r="D4244" i="38"/>
  <c r="C4244" i="38"/>
  <c r="J4243" i="38"/>
  <c r="I4243" i="38"/>
  <c r="H4243" i="38"/>
  <c r="G4243" i="38"/>
  <c r="E4243" i="38"/>
  <c r="D4243" i="38"/>
  <c r="C4243" i="38"/>
  <c r="J4242" i="38"/>
  <c r="I4242" i="38"/>
  <c r="H4242" i="38"/>
  <c r="G4242" i="38"/>
  <c r="F4242" i="38"/>
  <c r="E4242" i="38"/>
  <c r="C4242" i="38"/>
  <c r="H4241" i="38"/>
  <c r="G4241" i="38"/>
  <c r="E4241" i="38"/>
  <c r="C4241" i="38"/>
  <c r="H4240" i="38"/>
  <c r="G4240" i="38"/>
  <c r="E4240" i="38"/>
  <c r="D4240" i="38"/>
  <c r="C4240" i="38"/>
  <c r="H4239" i="38"/>
  <c r="G4239" i="38"/>
  <c r="E4239" i="38"/>
  <c r="D4239" i="38"/>
  <c r="C4239" i="38"/>
  <c r="H4238" i="38"/>
  <c r="G4238" i="38"/>
  <c r="E4238" i="38"/>
  <c r="D4238" i="38"/>
  <c r="C4238" i="38"/>
  <c r="H4237" i="38"/>
  <c r="G4237" i="38"/>
  <c r="E4237" i="38"/>
  <c r="D4237" i="38"/>
  <c r="C4237" i="38"/>
  <c r="J4236" i="38"/>
  <c r="I4236" i="38"/>
  <c r="H4236" i="38"/>
  <c r="G4236" i="38"/>
  <c r="F4236" i="38"/>
  <c r="E4236" i="38"/>
  <c r="D4236" i="38"/>
  <c r="C4236" i="38"/>
  <c r="J4235" i="38"/>
  <c r="I4235" i="38"/>
  <c r="H4235" i="38"/>
  <c r="G4235" i="38"/>
  <c r="F4235" i="38"/>
  <c r="E4235" i="38"/>
  <c r="D4235" i="38"/>
  <c r="C4235" i="38"/>
  <c r="J4234" i="38"/>
  <c r="I4234" i="38"/>
  <c r="H4234" i="38"/>
  <c r="G4234" i="38"/>
  <c r="F4234" i="38"/>
  <c r="E4234" i="38"/>
  <c r="D4234" i="38"/>
  <c r="C4234" i="38"/>
  <c r="J4233" i="38"/>
  <c r="I4233" i="38"/>
  <c r="H4233" i="38"/>
  <c r="G4233" i="38"/>
  <c r="E4233" i="38"/>
  <c r="D4233" i="38"/>
  <c r="C4233" i="38"/>
  <c r="J4232" i="38"/>
  <c r="I4232" i="38"/>
  <c r="H4232" i="38"/>
  <c r="G4232" i="38"/>
  <c r="F4232" i="38"/>
  <c r="E4232" i="38"/>
  <c r="C4232" i="38"/>
  <c r="H4231" i="38"/>
  <c r="G4231" i="38"/>
  <c r="E4231" i="38"/>
  <c r="C4231" i="38"/>
  <c r="H4230" i="38"/>
  <c r="G4230" i="38"/>
  <c r="E4230" i="38"/>
  <c r="D4230" i="38"/>
  <c r="C4230" i="38"/>
  <c r="H4229" i="38"/>
  <c r="G4229" i="38"/>
  <c r="E4229" i="38"/>
  <c r="D4229" i="38"/>
  <c r="C4229" i="38"/>
  <c r="H4228" i="38"/>
  <c r="G4228" i="38"/>
  <c r="E4228" i="38"/>
  <c r="D4228" i="38"/>
  <c r="C4228" i="38"/>
  <c r="H4227" i="38"/>
  <c r="G4227" i="38"/>
  <c r="E4227" i="38"/>
  <c r="D4227" i="38"/>
  <c r="C4227" i="38"/>
  <c r="J4226" i="38"/>
  <c r="I4226" i="38"/>
  <c r="H4226" i="38"/>
  <c r="G4226" i="38"/>
  <c r="F4226" i="38"/>
  <c r="E4226" i="38"/>
  <c r="D4226" i="38"/>
  <c r="C4226" i="38"/>
  <c r="J4225" i="38"/>
  <c r="I4225" i="38"/>
  <c r="H4225" i="38"/>
  <c r="G4225" i="38"/>
  <c r="F4225" i="38"/>
  <c r="E4225" i="38"/>
  <c r="D4225" i="38"/>
  <c r="C4225" i="38"/>
  <c r="J4224" i="38"/>
  <c r="I4224" i="38"/>
  <c r="H4224" i="38"/>
  <c r="G4224" i="38"/>
  <c r="F4224" i="38"/>
  <c r="E4224" i="38"/>
  <c r="D4224" i="38"/>
  <c r="C4224" i="38"/>
  <c r="J4223" i="38"/>
  <c r="I4223" i="38"/>
  <c r="H4223" i="38"/>
  <c r="G4223" i="38"/>
  <c r="E4223" i="38"/>
  <c r="D4223" i="38"/>
  <c r="C4223" i="38"/>
  <c r="J4222" i="38"/>
  <c r="I4222" i="38"/>
  <c r="H4222" i="38"/>
  <c r="G4222" i="38"/>
  <c r="F4222" i="38"/>
  <c r="E4222" i="38"/>
  <c r="C4222" i="38"/>
  <c r="H4221" i="38"/>
  <c r="G4221" i="38"/>
  <c r="E4221" i="38"/>
  <c r="C4221" i="38"/>
  <c r="H4220" i="38"/>
  <c r="G4220" i="38"/>
  <c r="E4220" i="38"/>
  <c r="D4220" i="38"/>
  <c r="C4220" i="38"/>
  <c r="H4219" i="38"/>
  <c r="G4219" i="38"/>
  <c r="E4219" i="38"/>
  <c r="D4219" i="38"/>
  <c r="C4219" i="38"/>
  <c r="H4218" i="38"/>
  <c r="G4218" i="38"/>
  <c r="E4218" i="38"/>
  <c r="D4218" i="38"/>
  <c r="C4218" i="38"/>
  <c r="H4217" i="38"/>
  <c r="G4217" i="38"/>
  <c r="E4217" i="38"/>
  <c r="D4217" i="38"/>
  <c r="C4217" i="38"/>
  <c r="J4216" i="38"/>
  <c r="I4216" i="38"/>
  <c r="H4216" i="38"/>
  <c r="G4216" i="38"/>
  <c r="F4216" i="38"/>
  <c r="E4216" i="38"/>
  <c r="D4216" i="38"/>
  <c r="C4216" i="38"/>
  <c r="J4215" i="38"/>
  <c r="I4215" i="38"/>
  <c r="H4215" i="38"/>
  <c r="G4215" i="38"/>
  <c r="F4215" i="38"/>
  <c r="E4215" i="38"/>
  <c r="D4215" i="38"/>
  <c r="C4215" i="38"/>
  <c r="J4214" i="38"/>
  <c r="I4214" i="38"/>
  <c r="H4214" i="38"/>
  <c r="G4214" i="38"/>
  <c r="F4214" i="38"/>
  <c r="E4214" i="38"/>
  <c r="D4214" i="38"/>
  <c r="C4214" i="38"/>
  <c r="J4213" i="38"/>
  <c r="I4213" i="38"/>
  <c r="H4213" i="38"/>
  <c r="G4213" i="38"/>
  <c r="E4213" i="38"/>
  <c r="D4213" i="38"/>
  <c r="C4213" i="38"/>
  <c r="J4212" i="38"/>
  <c r="I4212" i="38"/>
  <c r="H4212" i="38"/>
  <c r="G4212" i="38"/>
  <c r="F4212" i="38"/>
  <c r="E4212" i="38"/>
  <c r="C4212" i="38"/>
  <c r="H4211" i="38"/>
  <c r="G4211" i="38"/>
  <c r="E4211" i="38"/>
  <c r="C4211" i="38"/>
  <c r="H4210" i="38"/>
  <c r="G4210" i="38"/>
  <c r="E4210" i="38"/>
  <c r="D4210" i="38"/>
  <c r="C4210" i="38"/>
  <c r="H4209" i="38"/>
  <c r="G4209" i="38"/>
  <c r="E4209" i="38"/>
  <c r="D4209" i="38"/>
  <c r="C4209" i="38"/>
  <c r="H4208" i="38"/>
  <c r="G4208" i="38"/>
  <c r="E4208" i="38"/>
  <c r="D4208" i="38"/>
  <c r="C4208" i="38"/>
  <c r="H4207" i="38"/>
  <c r="G4207" i="38"/>
  <c r="E4207" i="38"/>
  <c r="D4207" i="38"/>
  <c r="C4207" i="38"/>
  <c r="J4206" i="38"/>
  <c r="I4206" i="38"/>
  <c r="H4206" i="38"/>
  <c r="G4206" i="38"/>
  <c r="F4206" i="38"/>
  <c r="E4206" i="38"/>
  <c r="D4206" i="38"/>
  <c r="C4206" i="38"/>
  <c r="J4205" i="38"/>
  <c r="I4205" i="38"/>
  <c r="H4205" i="38"/>
  <c r="G4205" i="38"/>
  <c r="F4205" i="38"/>
  <c r="E4205" i="38"/>
  <c r="D4205" i="38"/>
  <c r="C4205" i="38"/>
  <c r="J4204" i="38"/>
  <c r="I4204" i="38"/>
  <c r="H4204" i="38"/>
  <c r="G4204" i="38"/>
  <c r="F4204" i="38"/>
  <c r="E4204" i="38"/>
  <c r="D4204" i="38"/>
  <c r="C4204" i="38"/>
  <c r="J4203" i="38"/>
  <c r="I4203" i="38"/>
  <c r="H4203" i="38"/>
  <c r="G4203" i="38"/>
  <c r="E4203" i="38"/>
  <c r="D4203" i="38"/>
  <c r="C4203" i="38"/>
  <c r="J4202" i="38"/>
  <c r="I4202" i="38"/>
  <c r="H4202" i="38"/>
  <c r="G4202" i="38"/>
  <c r="F4202" i="38"/>
  <c r="E4202" i="38"/>
  <c r="C4202" i="38"/>
  <c r="H4201" i="38"/>
  <c r="G4201" i="38"/>
  <c r="E4201" i="38"/>
  <c r="C4201" i="38"/>
  <c r="H4200" i="38"/>
  <c r="G4200" i="38"/>
  <c r="E4200" i="38"/>
  <c r="D4200" i="38"/>
  <c r="C4200" i="38"/>
  <c r="H4199" i="38"/>
  <c r="G4199" i="38"/>
  <c r="E4199" i="38"/>
  <c r="D4199" i="38"/>
  <c r="C4199" i="38"/>
  <c r="H4198" i="38"/>
  <c r="G4198" i="38"/>
  <c r="E4198" i="38"/>
  <c r="D4198" i="38"/>
  <c r="C4198" i="38"/>
  <c r="H4197" i="38"/>
  <c r="G4197" i="38"/>
  <c r="E4197" i="38"/>
  <c r="D4197" i="38"/>
  <c r="C4197" i="38"/>
  <c r="J4196" i="38"/>
  <c r="I4196" i="38"/>
  <c r="H4196" i="38"/>
  <c r="G4196" i="38"/>
  <c r="F4196" i="38"/>
  <c r="E4196" i="38"/>
  <c r="D4196" i="38"/>
  <c r="C4196" i="38"/>
  <c r="J4195" i="38"/>
  <c r="I4195" i="38"/>
  <c r="H4195" i="38"/>
  <c r="G4195" i="38"/>
  <c r="F4195" i="38"/>
  <c r="E4195" i="38"/>
  <c r="D4195" i="38"/>
  <c r="C4195" i="38"/>
  <c r="J4194" i="38"/>
  <c r="I4194" i="38"/>
  <c r="H4194" i="38"/>
  <c r="G4194" i="38"/>
  <c r="F4194" i="38"/>
  <c r="E4194" i="38"/>
  <c r="D4194" i="38"/>
  <c r="C4194" i="38"/>
  <c r="J4193" i="38"/>
  <c r="I4193" i="38"/>
  <c r="H4193" i="38"/>
  <c r="G4193" i="38"/>
  <c r="E4193" i="38"/>
  <c r="D4193" i="38"/>
  <c r="C4193" i="38"/>
  <c r="J4192" i="38"/>
  <c r="I4192" i="38"/>
  <c r="H4192" i="38"/>
  <c r="G4192" i="38"/>
  <c r="F4192" i="38"/>
  <c r="E4192" i="38"/>
  <c r="C4192" i="38"/>
  <c r="H4191" i="38"/>
  <c r="G4191" i="38"/>
  <c r="E4191" i="38"/>
  <c r="C4191" i="38"/>
  <c r="H4190" i="38"/>
  <c r="G4190" i="38"/>
  <c r="E4190" i="38"/>
  <c r="D4190" i="38"/>
  <c r="C4190" i="38"/>
  <c r="H4189" i="38"/>
  <c r="G4189" i="38"/>
  <c r="E4189" i="38"/>
  <c r="D4189" i="38"/>
  <c r="C4189" i="38"/>
  <c r="H4188" i="38"/>
  <c r="G4188" i="38"/>
  <c r="E4188" i="38"/>
  <c r="D4188" i="38"/>
  <c r="C4188" i="38"/>
  <c r="H4187" i="38"/>
  <c r="G4187" i="38"/>
  <c r="E4187" i="38"/>
  <c r="D4187" i="38"/>
  <c r="C4187" i="38"/>
  <c r="J4186" i="38"/>
  <c r="I4186" i="38"/>
  <c r="H4186" i="38"/>
  <c r="G4186" i="38"/>
  <c r="F4186" i="38"/>
  <c r="E4186" i="38"/>
  <c r="D4186" i="38"/>
  <c r="C4186" i="38"/>
  <c r="J4185" i="38"/>
  <c r="I4185" i="38"/>
  <c r="H4185" i="38"/>
  <c r="G4185" i="38"/>
  <c r="F4185" i="38"/>
  <c r="E4185" i="38"/>
  <c r="D4185" i="38"/>
  <c r="C4185" i="38"/>
  <c r="J4184" i="38"/>
  <c r="I4184" i="38"/>
  <c r="H4184" i="38"/>
  <c r="G4184" i="38"/>
  <c r="F4184" i="38"/>
  <c r="E4184" i="38"/>
  <c r="D4184" i="38"/>
  <c r="C4184" i="38"/>
  <c r="J4183" i="38"/>
  <c r="I4183" i="38"/>
  <c r="H4183" i="38"/>
  <c r="G4183" i="38"/>
  <c r="E4183" i="38"/>
  <c r="D4183" i="38"/>
  <c r="C4183" i="38"/>
  <c r="J4182" i="38"/>
  <c r="I4182" i="38"/>
  <c r="H4182" i="38"/>
  <c r="G4182" i="38"/>
  <c r="F4182" i="38"/>
  <c r="E4182" i="38"/>
  <c r="C4182" i="38"/>
  <c r="H4181" i="38"/>
  <c r="G4181" i="38"/>
  <c r="E4181" i="38"/>
  <c r="C4181" i="38"/>
  <c r="H4180" i="38"/>
  <c r="G4180" i="38"/>
  <c r="E4180" i="38"/>
  <c r="D4180" i="38"/>
  <c r="C4180" i="38"/>
  <c r="H4179" i="38"/>
  <c r="G4179" i="38"/>
  <c r="E4179" i="38"/>
  <c r="D4179" i="38"/>
  <c r="C4179" i="38"/>
  <c r="H4178" i="38"/>
  <c r="G4178" i="38"/>
  <c r="E4178" i="38"/>
  <c r="D4178" i="38"/>
  <c r="C4178" i="38"/>
  <c r="H4177" i="38"/>
  <c r="G4177" i="38"/>
  <c r="E4177" i="38"/>
  <c r="D4177" i="38"/>
  <c r="C4177" i="38"/>
  <c r="J4176" i="38"/>
  <c r="I4176" i="38"/>
  <c r="H4176" i="38"/>
  <c r="G4176" i="38"/>
  <c r="F4176" i="38"/>
  <c r="E4176" i="38"/>
  <c r="D4176" i="38"/>
  <c r="C4176" i="38"/>
  <c r="J4175" i="38"/>
  <c r="I4175" i="38"/>
  <c r="H4175" i="38"/>
  <c r="G4175" i="38"/>
  <c r="F4175" i="38"/>
  <c r="E4175" i="38"/>
  <c r="D4175" i="38"/>
  <c r="C4175" i="38"/>
  <c r="J4174" i="38"/>
  <c r="I4174" i="38"/>
  <c r="H4174" i="38"/>
  <c r="G4174" i="38"/>
  <c r="F4174" i="38"/>
  <c r="E4174" i="38"/>
  <c r="D4174" i="38"/>
  <c r="C4174" i="38"/>
  <c r="J4173" i="38"/>
  <c r="I4173" i="38"/>
  <c r="H4173" i="38"/>
  <c r="G4173" i="38"/>
  <c r="E4173" i="38"/>
  <c r="D4173" i="38"/>
  <c r="C4173" i="38"/>
  <c r="J4172" i="38"/>
  <c r="I4172" i="38"/>
  <c r="H4172" i="38"/>
  <c r="G4172" i="38"/>
  <c r="F4172" i="38"/>
  <c r="E4172" i="38"/>
  <c r="C4172" i="38"/>
  <c r="H4171" i="38"/>
  <c r="G4171" i="38"/>
  <c r="E4171" i="38"/>
  <c r="C4171" i="38"/>
  <c r="H4170" i="38"/>
  <c r="G4170" i="38"/>
  <c r="E4170" i="38"/>
  <c r="D4170" i="38"/>
  <c r="C4170" i="38"/>
  <c r="H4169" i="38"/>
  <c r="G4169" i="38"/>
  <c r="E4169" i="38"/>
  <c r="D4169" i="38"/>
  <c r="C4169" i="38"/>
  <c r="H4168" i="38"/>
  <c r="G4168" i="38"/>
  <c r="E4168" i="38"/>
  <c r="D4168" i="38"/>
  <c r="C4168" i="38"/>
  <c r="H4167" i="38"/>
  <c r="G4167" i="38"/>
  <c r="E4167" i="38"/>
  <c r="D4167" i="38"/>
  <c r="C4167" i="38"/>
  <c r="J4166" i="38"/>
  <c r="I4166" i="38"/>
  <c r="H4166" i="38"/>
  <c r="G4166" i="38"/>
  <c r="F4166" i="38"/>
  <c r="E4166" i="38"/>
  <c r="D4166" i="38"/>
  <c r="C4166" i="38"/>
  <c r="J4165" i="38"/>
  <c r="I4165" i="38"/>
  <c r="H4165" i="38"/>
  <c r="G4165" i="38"/>
  <c r="F4165" i="38"/>
  <c r="E4165" i="38"/>
  <c r="D4165" i="38"/>
  <c r="C4165" i="38"/>
  <c r="J4164" i="38"/>
  <c r="I4164" i="38"/>
  <c r="H4164" i="38"/>
  <c r="G4164" i="38"/>
  <c r="F4164" i="38"/>
  <c r="E4164" i="38"/>
  <c r="D4164" i="38"/>
  <c r="C4164" i="38"/>
  <c r="J4163" i="38"/>
  <c r="I4163" i="38"/>
  <c r="H4163" i="38"/>
  <c r="G4163" i="38"/>
  <c r="E4163" i="38"/>
  <c r="D4163" i="38"/>
  <c r="C4163" i="38"/>
  <c r="J4162" i="38"/>
  <c r="I4162" i="38"/>
  <c r="H4162" i="38"/>
  <c r="G4162" i="38"/>
  <c r="F4162" i="38"/>
  <c r="E4162" i="38"/>
  <c r="C4162" i="38"/>
  <c r="H4161" i="38"/>
  <c r="G4161" i="38"/>
  <c r="E4161" i="38"/>
  <c r="C4161" i="38"/>
  <c r="H4160" i="38"/>
  <c r="G4160" i="38"/>
  <c r="E4160" i="38"/>
  <c r="D4160" i="38"/>
  <c r="C4160" i="38"/>
  <c r="H4159" i="38"/>
  <c r="G4159" i="38"/>
  <c r="E4159" i="38"/>
  <c r="D4159" i="38"/>
  <c r="C4159" i="38"/>
  <c r="H4158" i="38"/>
  <c r="G4158" i="38"/>
  <c r="E4158" i="38"/>
  <c r="D4158" i="38"/>
  <c r="C4158" i="38"/>
  <c r="H4157" i="38"/>
  <c r="G4157" i="38"/>
  <c r="E4157" i="38"/>
  <c r="D4157" i="38"/>
  <c r="C4157" i="38"/>
  <c r="J4156" i="38"/>
  <c r="I4156" i="38"/>
  <c r="H4156" i="38"/>
  <c r="G4156" i="38"/>
  <c r="F4156" i="38"/>
  <c r="E4156" i="38"/>
  <c r="D4156" i="38"/>
  <c r="C4156" i="38"/>
  <c r="J4155" i="38"/>
  <c r="I4155" i="38"/>
  <c r="H4155" i="38"/>
  <c r="G4155" i="38"/>
  <c r="F4155" i="38"/>
  <c r="E4155" i="38"/>
  <c r="D4155" i="38"/>
  <c r="C4155" i="38"/>
  <c r="J4154" i="38"/>
  <c r="I4154" i="38"/>
  <c r="H4154" i="38"/>
  <c r="G4154" i="38"/>
  <c r="F4154" i="38"/>
  <c r="E4154" i="38"/>
  <c r="D4154" i="38"/>
  <c r="C4154" i="38"/>
  <c r="J4153" i="38"/>
  <c r="I4153" i="38"/>
  <c r="H4153" i="38"/>
  <c r="G4153" i="38"/>
  <c r="E4153" i="38"/>
  <c r="D4153" i="38"/>
  <c r="C4153" i="38"/>
  <c r="J4152" i="38"/>
  <c r="I4152" i="38"/>
  <c r="H4152" i="38"/>
  <c r="G4152" i="38"/>
  <c r="F4152" i="38"/>
  <c r="E4152" i="38"/>
  <c r="C4152" i="38"/>
  <c r="H4151" i="38"/>
  <c r="G4151" i="38"/>
  <c r="E4151" i="38"/>
  <c r="C4151" i="38"/>
  <c r="H4150" i="38"/>
  <c r="G4150" i="38"/>
  <c r="E4150" i="38"/>
  <c r="D4150" i="38"/>
  <c r="C4150" i="38"/>
  <c r="H4149" i="38"/>
  <c r="G4149" i="38"/>
  <c r="E4149" i="38"/>
  <c r="D4149" i="38"/>
  <c r="C4149" i="38"/>
  <c r="H4148" i="38"/>
  <c r="G4148" i="38"/>
  <c r="E4148" i="38"/>
  <c r="D4148" i="38"/>
  <c r="C4148" i="38"/>
  <c r="H4147" i="38"/>
  <c r="G4147" i="38"/>
  <c r="E4147" i="38"/>
  <c r="D4147" i="38"/>
  <c r="C4147" i="38"/>
  <c r="J4146" i="38"/>
  <c r="I4146" i="38"/>
  <c r="H4146" i="38"/>
  <c r="G4146" i="38"/>
  <c r="F4146" i="38"/>
  <c r="E4146" i="38"/>
  <c r="D4146" i="38"/>
  <c r="C4146" i="38"/>
  <c r="J4145" i="38"/>
  <c r="I4145" i="38"/>
  <c r="H4145" i="38"/>
  <c r="G4145" i="38"/>
  <c r="F4145" i="38"/>
  <c r="E4145" i="38"/>
  <c r="D4145" i="38"/>
  <c r="C4145" i="38"/>
  <c r="J4144" i="38"/>
  <c r="I4144" i="38"/>
  <c r="H4144" i="38"/>
  <c r="G4144" i="38"/>
  <c r="F4144" i="38"/>
  <c r="E4144" i="38"/>
  <c r="D4144" i="38"/>
  <c r="C4144" i="38"/>
  <c r="J4143" i="38"/>
  <c r="I4143" i="38"/>
  <c r="H4143" i="38"/>
  <c r="G4143" i="38"/>
  <c r="E4143" i="38"/>
  <c r="D4143" i="38"/>
  <c r="C4143" i="38"/>
  <c r="J4142" i="38"/>
  <c r="I4142" i="38"/>
  <c r="H4142" i="38"/>
  <c r="G4142" i="38"/>
  <c r="F4142" i="38"/>
  <c r="E4142" i="38"/>
  <c r="C4142" i="38"/>
  <c r="H4141" i="38"/>
  <c r="G4141" i="38"/>
  <c r="E4141" i="38"/>
  <c r="C4141" i="38"/>
  <c r="H4140" i="38"/>
  <c r="G4140" i="38"/>
  <c r="E4140" i="38"/>
  <c r="D4140" i="38"/>
  <c r="C4140" i="38"/>
  <c r="H4139" i="38"/>
  <c r="G4139" i="38"/>
  <c r="E4139" i="38"/>
  <c r="D4139" i="38"/>
  <c r="C4139" i="38"/>
  <c r="H4138" i="38"/>
  <c r="G4138" i="38"/>
  <c r="E4138" i="38"/>
  <c r="D4138" i="38"/>
  <c r="C4138" i="38"/>
  <c r="H4137" i="38"/>
  <c r="G4137" i="38"/>
  <c r="E4137" i="38"/>
  <c r="D4137" i="38"/>
  <c r="C4137" i="38"/>
  <c r="J4136" i="38"/>
  <c r="I4136" i="38"/>
  <c r="H4136" i="38"/>
  <c r="G4136" i="38"/>
  <c r="F4136" i="38"/>
  <c r="E4136" i="38"/>
  <c r="D4136" i="38"/>
  <c r="C4136" i="38"/>
  <c r="J4135" i="38"/>
  <c r="I4135" i="38"/>
  <c r="H4135" i="38"/>
  <c r="G4135" i="38"/>
  <c r="F4135" i="38"/>
  <c r="E4135" i="38"/>
  <c r="D4135" i="38"/>
  <c r="C4135" i="38"/>
  <c r="J4134" i="38"/>
  <c r="I4134" i="38"/>
  <c r="H4134" i="38"/>
  <c r="G4134" i="38"/>
  <c r="F4134" i="38"/>
  <c r="E4134" i="38"/>
  <c r="D4134" i="38"/>
  <c r="C4134" i="38"/>
  <c r="J4133" i="38"/>
  <c r="I4133" i="38"/>
  <c r="H4133" i="38"/>
  <c r="G4133" i="38"/>
  <c r="E4133" i="38"/>
  <c r="D4133" i="38"/>
  <c r="C4133" i="38"/>
  <c r="J4132" i="38"/>
  <c r="I4132" i="38"/>
  <c r="H4132" i="38"/>
  <c r="G4132" i="38"/>
  <c r="F4132" i="38"/>
  <c r="E4132" i="38"/>
  <c r="C4132" i="38"/>
  <c r="H4131" i="38"/>
  <c r="G4131" i="38"/>
  <c r="E4131" i="38"/>
  <c r="C4131" i="38"/>
  <c r="J4130" i="38"/>
  <c r="I4130" i="38"/>
  <c r="H4130" i="38"/>
  <c r="G4130" i="38"/>
  <c r="F4130" i="38"/>
  <c r="E4130" i="38"/>
  <c r="D4130" i="38"/>
  <c r="C4130" i="38"/>
  <c r="J4129" i="38"/>
  <c r="I4129" i="38"/>
  <c r="H4129" i="38"/>
  <c r="G4129" i="38"/>
  <c r="F4129" i="38"/>
  <c r="E4129" i="38"/>
  <c r="D4129" i="38"/>
  <c r="C4129" i="38"/>
  <c r="J4128" i="38"/>
  <c r="I4128" i="38"/>
  <c r="H4128" i="38"/>
  <c r="G4128" i="38"/>
  <c r="F4128" i="38"/>
  <c r="E4128" i="38"/>
  <c r="D4128" i="38"/>
  <c r="C4128" i="38"/>
  <c r="J4127" i="38"/>
  <c r="I4127" i="38"/>
  <c r="H4127" i="38"/>
  <c r="G4127" i="38"/>
  <c r="F4127" i="38"/>
  <c r="E4127" i="38"/>
  <c r="D4127" i="38"/>
  <c r="C4127" i="38"/>
  <c r="J4126" i="38"/>
  <c r="I4126" i="38"/>
  <c r="H4126" i="38"/>
  <c r="G4126" i="38"/>
  <c r="F4126" i="38"/>
  <c r="E4126" i="38"/>
  <c r="D4126" i="38"/>
  <c r="C4126" i="38"/>
  <c r="J4125" i="38"/>
  <c r="I4125" i="38"/>
  <c r="H4125" i="38"/>
  <c r="G4125" i="38"/>
  <c r="F4125" i="38"/>
  <c r="E4125" i="38"/>
  <c r="D4125" i="38"/>
  <c r="C4125" i="38"/>
  <c r="J4124" i="38"/>
  <c r="I4124" i="38"/>
  <c r="H4124" i="38"/>
  <c r="G4124" i="38"/>
  <c r="F4124" i="38"/>
  <c r="E4124" i="38"/>
  <c r="D4124" i="38"/>
  <c r="C4124" i="38"/>
  <c r="J4123" i="38"/>
  <c r="I4123" i="38"/>
  <c r="H4123" i="38"/>
  <c r="G4123" i="38"/>
  <c r="F4123" i="38"/>
  <c r="E4123" i="38"/>
  <c r="D4123" i="38"/>
  <c r="C4123" i="38"/>
  <c r="J4122" i="38"/>
  <c r="I4122" i="38"/>
  <c r="H4122" i="38"/>
  <c r="G4122" i="38"/>
  <c r="F4122" i="38"/>
  <c r="E4122" i="38"/>
  <c r="D4122" i="38"/>
  <c r="C4122" i="38"/>
  <c r="J4121" i="38"/>
  <c r="I4121" i="38"/>
  <c r="H4121" i="38"/>
  <c r="G4121" i="38"/>
  <c r="F4121" i="38"/>
  <c r="E4121" i="38"/>
  <c r="D4121" i="38"/>
  <c r="C4121" i="38"/>
  <c r="J4120" i="38"/>
  <c r="I4120" i="38"/>
  <c r="H4120" i="38"/>
  <c r="G4120" i="38"/>
  <c r="F4120" i="38"/>
  <c r="E4120" i="38"/>
  <c r="D4120" i="38"/>
  <c r="C4120" i="38"/>
  <c r="J4119" i="38"/>
  <c r="I4119" i="38"/>
  <c r="H4119" i="38"/>
  <c r="G4119" i="38"/>
  <c r="F4119" i="38"/>
  <c r="E4119" i="38"/>
  <c r="D4119" i="38"/>
  <c r="C4119" i="38"/>
  <c r="J4118" i="38"/>
  <c r="I4118" i="38"/>
  <c r="H4118" i="38"/>
  <c r="G4118" i="38"/>
  <c r="F4118" i="38"/>
  <c r="E4118" i="38"/>
  <c r="D4118" i="38"/>
  <c r="C4118" i="38"/>
  <c r="J4117" i="38"/>
  <c r="I4117" i="38"/>
  <c r="H4117" i="38"/>
  <c r="G4117" i="38"/>
  <c r="F4117" i="38"/>
  <c r="E4117" i="38"/>
  <c r="D4117" i="38"/>
  <c r="C4117" i="38"/>
  <c r="J4116" i="38"/>
  <c r="I4116" i="38"/>
  <c r="H4116" i="38"/>
  <c r="G4116" i="38"/>
  <c r="F4116" i="38"/>
  <c r="E4116" i="38"/>
  <c r="D4116" i="38"/>
  <c r="C4116" i="38"/>
  <c r="J4115" i="38"/>
  <c r="I4115" i="38"/>
  <c r="H4115" i="38"/>
  <c r="G4115" i="38"/>
  <c r="F4115" i="38"/>
  <c r="E4115" i="38"/>
  <c r="D4115" i="38"/>
  <c r="C4115" i="38"/>
  <c r="J4114" i="38"/>
  <c r="I4114" i="38"/>
  <c r="H4114" i="38"/>
  <c r="G4114" i="38"/>
  <c r="F4114" i="38"/>
  <c r="E4114" i="38"/>
  <c r="D4114" i="38"/>
  <c r="C4114" i="38"/>
  <c r="J4113" i="38"/>
  <c r="I4113" i="38"/>
  <c r="H4113" i="38"/>
  <c r="G4113" i="38"/>
  <c r="E4113" i="38"/>
  <c r="D4113" i="38"/>
  <c r="C4113" i="38"/>
  <c r="J4112" i="38"/>
  <c r="I4112" i="38"/>
  <c r="H4112" i="38"/>
  <c r="G4112" i="38"/>
  <c r="F4112" i="38"/>
  <c r="E4112" i="38"/>
  <c r="C4112" i="38"/>
  <c r="H4111" i="38"/>
  <c r="G4111" i="38"/>
  <c r="E4111" i="38"/>
  <c r="C4111" i="38"/>
  <c r="H4110" i="38"/>
  <c r="G4110" i="38"/>
  <c r="E4110" i="38"/>
  <c r="D4110" i="38"/>
  <c r="C4110" i="38"/>
  <c r="H4109" i="38"/>
  <c r="G4109" i="38"/>
  <c r="E4109" i="38"/>
  <c r="D4109" i="38"/>
  <c r="C4109" i="38"/>
  <c r="H4108" i="38"/>
  <c r="G4108" i="38"/>
  <c r="E4108" i="38"/>
  <c r="D4108" i="38"/>
  <c r="C4108" i="38"/>
  <c r="H4107" i="38"/>
  <c r="G4107" i="38"/>
  <c r="E4107" i="38"/>
  <c r="D4107" i="38"/>
  <c r="C4107" i="38"/>
  <c r="J4106" i="38"/>
  <c r="I4106" i="38"/>
  <c r="H4106" i="38"/>
  <c r="G4106" i="38"/>
  <c r="F4106" i="38"/>
  <c r="E4106" i="38"/>
  <c r="D4106" i="38"/>
  <c r="C4106" i="38"/>
  <c r="J4105" i="38"/>
  <c r="I4105" i="38"/>
  <c r="H4105" i="38"/>
  <c r="G4105" i="38"/>
  <c r="F4105" i="38"/>
  <c r="E4105" i="38"/>
  <c r="D4105" i="38"/>
  <c r="C4105" i="38"/>
  <c r="J4104" i="38"/>
  <c r="I4104" i="38"/>
  <c r="H4104" i="38"/>
  <c r="G4104" i="38"/>
  <c r="F4104" i="38"/>
  <c r="E4104" i="38"/>
  <c r="D4104" i="38"/>
  <c r="C4104" i="38"/>
  <c r="J4103" i="38"/>
  <c r="I4103" i="38"/>
  <c r="H4103" i="38"/>
  <c r="G4103" i="38"/>
  <c r="E4103" i="38"/>
  <c r="D4103" i="38"/>
  <c r="C4103" i="38"/>
  <c r="J4102" i="38"/>
  <c r="I4102" i="38"/>
  <c r="H4102" i="38"/>
  <c r="G4102" i="38"/>
  <c r="F4102" i="38"/>
  <c r="E4102" i="38"/>
  <c r="C4102" i="38"/>
  <c r="H4101" i="38"/>
  <c r="G4101" i="38"/>
  <c r="E4101" i="38"/>
  <c r="C4101" i="38"/>
  <c r="H4100" i="38"/>
  <c r="G4100" i="38"/>
  <c r="E4100" i="38"/>
  <c r="D4100" i="38"/>
  <c r="C4100" i="38"/>
  <c r="H4099" i="38"/>
  <c r="G4099" i="38"/>
  <c r="E4099" i="38"/>
  <c r="D4099" i="38"/>
  <c r="C4099" i="38"/>
  <c r="H4098" i="38"/>
  <c r="G4098" i="38"/>
  <c r="E4098" i="38"/>
  <c r="D4098" i="38"/>
  <c r="C4098" i="38"/>
  <c r="H4097" i="38"/>
  <c r="G4097" i="38"/>
  <c r="E4097" i="38"/>
  <c r="D4097" i="38"/>
  <c r="C4097" i="38"/>
  <c r="J4096" i="38"/>
  <c r="I4096" i="38"/>
  <c r="H4096" i="38"/>
  <c r="G4096" i="38"/>
  <c r="F4096" i="38"/>
  <c r="E4096" i="38"/>
  <c r="D4096" i="38"/>
  <c r="C4096" i="38"/>
  <c r="J4095" i="38"/>
  <c r="I4095" i="38"/>
  <c r="H4095" i="38"/>
  <c r="G4095" i="38"/>
  <c r="F4095" i="38"/>
  <c r="E4095" i="38"/>
  <c r="D4095" i="38"/>
  <c r="C4095" i="38"/>
  <c r="J4094" i="38"/>
  <c r="I4094" i="38"/>
  <c r="H4094" i="38"/>
  <c r="G4094" i="38"/>
  <c r="F4094" i="38"/>
  <c r="E4094" i="38"/>
  <c r="D4094" i="38"/>
  <c r="C4094" i="38"/>
  <c r="J4093" i="38"/>
  <c r="I4093" i="38"/>
  <c r="H4093" i="38"/>
  <c r="G4093" i="38"/>
  <c r="E4093" i="38"/>
  <c r="D4093" i="38"/>
  <c r="C4093" i="38"/>
  <c r="J4092" i="38"/>
  <c r="I4092" i="38"/>
  <c r="H4092" i="38"/>
  <c r="G4092" i="38"/>
  <c r="F4092" i="38"/>
  <c r="E4092" i="38"/>
  <c r="C4092" i="38"/>
  <c r="H4091" i="38"/>
  <c r="G4091" i="38"/>
  <c r="E4091" i="38"/>
  <c r="C4091" i="38"/>
  <c r="H4090" i="38"/>
  <c r="G4090" i="38"/>
  <c r="E4090" i="38"/>
  <c r="D4090" i="38"/>
  <c r="C4090" i="38"/>
  <c r="H4089" i="38"/>
  <c r="G4089" i="38"/>
  <c r="E4089" i="38"/>
  <c r="D4089" i="38"/>
  <c r="C4089" i="38"/>
  <c r="H4088" i="38"/>
  <c r="G4088" i="38"/>
  <c r="E4088" i="38"/>
  <c r="D4088" i="38"/>
  <c r="C4088" i="38"/>
  <c r="H4087" i="38"/>
  <c r="G4087" i="38"/>
  <c r="E4087" i="38"/>
  <c r="D4087" i="38"/>
  <c r="C4087" i="38"/>
  <c r="J4086" i="38"/>
  <c r="I4086" i="38"/>
  <c r="H4086" i="38"/>
  <c r="G4086" i="38"/>
  <c r="F4086" i="38"/>
  <c r="E4086" i="38"/>
  <c r="D4086" i="38"/>
  <c r="C4086" i="38"/>
  <c r="J4085" i="38"/>
  <c r="I4085" i="38"/>
  <c r="H4085" i="38"/>
  <c r="G4085" i="38"/>
  <c r="F4085" i="38"/>
  <c r="E4085" i="38"/>
  <c r="D4085" i="38"/>
  <c r="C4085" i="38"/>
  <c r="J4084" i="38"/>
  <c r="I4084" i="38"/>
  <c r="H4084" i="38"/>
  <c r="G4084" i="38"/>
  <c r="F4084" i="38"/>
  <c r="E4084" i="38"/>
  <c r="D4084" i="38"/>
  <c r="C4084" i="38"/>
  <c r="J4083" i="38"/>
  <c r="I4083" i="38"/>
  <c r="H4083" i="38"/>
  <c r="G4083" i="38"/>
  <c r="E4083" i="38"/>
  <c r="D4083" i="38"/>
  <c r="C4083" i="38"/>
  <c r="J4082" i="38"/>
  <c r="I4082" i="38"/>
  <c r="H4082" i="38"/>
  <c r="G4082" i="38"/>
  <c r="F4082" i="38"/>
  <c r="E4082" i="38"/>
  <c r="C4082" i="38"/>
  <c r="H4081" i="38"/>
  <c r="G4081" i="38"/>
  <c r="E4081" i="38"/>
  <c r="C4081" i="38"/>
  <c r="H4080" i="38"/>
  <c r="G4080" i="38"/>
  <c r="E4080" i="38"/>
  <c r="D4080" i="38"/>
  <c r="C4080" i="38"/>
  <c r="H4079" i="38"/>
  <c r="G4079" i="38"/>
  <c r="E4079" i="38"/>
  <c r="D4079" i="38"/>
  <c r="C4079" i="38"/>
  <c r="H4078" i="38"/>
  <c r="G4078" i="38"/>
  <c r="E4078" i="38"/>
  <c r="D4078" i="38"/>
  <c r="C4078" i="38"/>
  <c r="H4077" i="38"/>
  <c r="G4077" i="38"/>
  <c r="E4077" i="38"/>
  <c r="D4077" i="38"/>
  <c r="C4077" i="38"/>
  <c r="J4076" i="38"/>
  <c r="I4076" i="38"/>
  <c r="H4076" i="38"/>
  <c r="G4076" i="38"/>
  <c r="F4076" i="38"/>
  <c r="E4076" i="38"/>
  <c r="D4076" i="38"/>
  <c r="C4076" i="38"/>
  <c r="J4075" i="38"/>
  <c r="I4075" i="38"/>
  <c r="H4075" i="38"/>
  <c r="G4075" i="38"/>
  <c r="F4075" i="38"/>
  <c r="E4075" i="38"/>
  <c r="D4075" i="38"/>
  <c r="C4075" i="38"/>
  <c r="J4074" i="38"/>
  <c r="I4074" i="38"/>
  <c r="H4074" i="38"/>
  <c r="G4074" i="38"/>
  <c r="F4074" i="38"/>
  <c r="E4074" i="38"/>
  <c r="D4074" i="38"/>
  <c r="C4074" i="38"/>
  <c r="J4073" i="38"/>
  <c r="I4073" i="38"/>
  <c r="H4073" i="38"/>
  <c r="G4073" i="38"/>
  <c r="E4073" i="38"/>
  <c r="D4073" i="38"/>
  <c r="C4073" i="38"/>
  <c r="J4072" i="38"/>
  <c r="I4072" i="38"/>
  <c r="H4072" i="38"/>
  <c r="G4072" i="38"/>
  <c r="F4072" i="38"/>
  <c r="E4072" i="38"/>
  <c r="C4072" i="38"/>
  <c r="H4071" i="38"/>
  <c r="G4071" i="38"/>
  <c r="E4071" i="38"/>
  <c r="C4071" i="38"/>
  <c r="H4070" i="38"/>
  <c r="G4070" i="38"/>
  <c r="E4070" i="38"/>
  <c r="D4070" i="38"/>
  <c r="C4070" i="38"/>
  <c r="H4069" i="38"/>
  <c r="G4069" i="38"/>
  <c r="E4069" i="38"/>
  <c r="D4069" i="38"/>
  <c r="C4069" i="38"/>
  <c r="H4068" i="38"/>
  <c r="G4068" i="38"/>
  <c r="E4068" i="38"/>
  <c r="D4068" i="38"/>
  <c r="C4068" i="38"/>
  <c r="H4067" i="38"/>
  <c r="G4067" i="38"/>
  <c r="E4067" i="38"/>
  <c r="D4067" i="38"/>
  <c r="C4067" i="38"/>
  <c r="J4066" i="38"/>
  <c r="I4066" i="38"/>
  <c r="H4066" i="38"/>
  <c r="G4066" i="38"/>
  <c r="F4066" i="38"/>
  <c r="E4066" i="38"/>
  <c r="D4066" i="38"/>
  <c r="C4066" i="38"/>
  <c r="J4065" i="38"/>
  <c r="I4065" i="38"/>
  <c r="H4065" i="38"/>
  <c r="G4065" i="38"/>
  <c r="F4065" i="38"/>
  <c r="E4065" i="38"/>
  <c r="D4065" i="38"/>
  <c r="C4065" i="38"/>
  <c r="J4064" i="38"/>
  <c r="I4064" i="38"/>
  <c r="H4064" i="38"/>
  <c r="G4064" i="38"/>
  <c r="F4064" i="38"/>
  <c r="E4064" i="38"/>
  <c r="D4064" i="38"/>
  <c r="C4064" i="38"/>
  <c r="J4063" i="38"/>
  <c r="I4063" i="38"/>
  <c r="H4063" i="38"/>
  <c r="G4063" i="38"/>
  <c r="E4063" i="38"/>
  <c r="D4063" i="38"/>
  <c r="C4063" i="38"/>
  <c r="J4062" i="38"/>
  <c r="I4062" i="38"/>
  <c r="H4062" i="38"/>
  <c r="G4062" i="38"/>
  <c r="F4062" i="38"/>
  <c r="E4062" i="38"/>
  <c r="C4062" i="38"/>
  <c r="H4061" i="38"/>
  <c r="G4061" i="38"/>
  <c r="E4061" i="38"/>
  <c r="C4061" i="38"/>
  <c r="H4060" i="38"/>
  <c r="G4060" i="38"/>
  <c r="E4060" i="38"/>
  <c r="D4060" i="38"/>
  <c r="C4060" i="38"/>
  <c r="H4059" i="38"/>
  <c r="G4059" i="38"/>
  <c r="E4059" i="38"/>
  <c r="D4059" i="38"/>
  <c r="C4059" i="38"/>
  <c r="H4058" i="38"/>
  <c r="G4058" i="38"/>
  <c r="E4058" i="38"/>
  <c r="D4058" i="38"/>
  <c r="C4058" i="38"/>
  <c r="H4057" i="38"/>
  <c r="G4057" i="38"/>
  <c r="E4057" i="38"/>
  <c r="D4057" i="38"/>
  <c r="C4057" i="38"/>
  <c r="J4056" i="38"/>
  <c r="I4056" i="38"/>
  <c r="H4056" i="38"/>
  <c r="G4056" i="38"/>
  <c r="F4056" i="38"/>
  <c r="E4056" i="38"/>
  <c r="D4056" i="38"/>
  <c r="C4056" i="38"/>
  <c r="J4055" i="38"/>
  <c r="I4055" i="38"/>
  <c r="H4055" i="38"/>
  <c r="G4055" i="38"/>
  <c r="F4055" i="38"/>
  <c r="E4055" i="38"/>
  <c r="D4055" i="38"/>
  <c r="C4055" i="38"/>
  <c r="J4054" i="38"/>
  <c r="I4054" i="38"/>
  <c r="H4054" i="38"/>
  <c r="G4054" i="38"/>
  <c r="F4054" i="38"/>
  <c r="E4054" i="38"/>
  <c r="D4054" i="38"/>
  <c r="C4054" i="38"/>
  <c r="J4053" i="38"/>
  <c r="I4053" i="38"/>
  <c r="H4053" i="38"/>
  <c r="G4053" i="38"/>
  <c r="E4053" i="38"/>
  <c r="D4053" i="38"/>
  <c r="C4053" i="38"/>
  <c r="J4052" i="38"/>
  <c r="I4052" i="38"/>
  <c r="H4052" i="38"/>
  <c r="G4052" i="38"/>
  <c r="F4052" i="38"/>
  <c r="E4052" i="38"/>
  <c r="C4052" i="38"/>
  <c r="H4051" i="38"/>
  <c r="G4051" i="38"/>
  <c r="E4051" i="38"/>
  <c r="C4051" i="38"/>
  <c r="H4050" i="38"/>
  <c r="G4050" i="38"/>
  <c r="E4050" i="38"/>
  <c r="D4050" i="38"/>
  <c r="C4050" i="38"/>
  <c r="H4049" i="38"/>
  <c r="G4049" i="38"/>
  <c r="E4049" i="38"/>
  <c r="D4049" i="38"/>
  <c r="C4049" i="38"/>
  <c r="H4048" i="38"/>
  <c r="G4048" i="38"/>
  <c r="E4048" i="38"/>
  <c r="D4048" i="38"/>
  <c r="C4048" i="38"/>
  <c r="H4047" i="38"/>
  <c r="G4047" i="38"/>
  <c r="E4047" i="38"/>
  <c r="D4047" i="38"/>
  <c r="C4047" i="38"/>
  <c r="J4046" i="38"/>
  <c r="I4046" i="38"/>
  <c r="H4046" i="38"/>
  <c r="G4046" i="38"/>
  <c r="F4046" i="38"/>
  <c r="E4046" i="38"/>
  <c r="D4046" i="38"/>
  <c r="C4046" i="38"/>
  <c r="J4045" i="38"/>
  <c r="I4045" i="38"/>
  <c r="H4045" i="38"/>
  <c r="G4045" i="38"/>
  <c r="F4045" i="38"/>
  <c r="E4045" i="38"/>
  <c r="D4045" i="38"/>
  <c r="C4045" i="38"/>
  <c r="J4044" i="38"/>
  <c r="I4044" i="38"/>
  <c r="H4044" i="38"/>
  <c r="G4044" i="38"/>
  <c r="F4044" i="38"/>
  <c r="E4044" i="38"/>
  <c r="D4044" i="38"/>
  <c r="C4044" i="38"/>
  <c r="J4043" i="38"/>
  <c r="I4043" i="38"/>
  <c r="H4043" i="38"/>
  <c r="G4043" i="38"/>
  <c r="E4043" i="38"/>
  <c r="D4043" i="38"/>
  <c r="C4043" i="38"/>
  <c r="J4042" i="38"/>
  <c r="I4042" i="38"/>
  <c r="H4042" i="38"/>
  <c r="G4042" i="38"/>
  <c r="F4042" i="38"/>
  <c r="E4042" i="38"/>
  <c r="C4042" i="38"/>
  <c r="H4041" i="38"/>
  <c r="G4041" i="38"/>
  <c r="E4041" i="38"/>
  <c r="C4041" i="38"/>
  <c r="H4040" i="38"/>
  <c r="G4040" i="38"/>
  <c r="E4040" i="38"/>
  <c r="D4040" i="38"/>
  <c r="C4040" i="38"/>
  <c r="H4039" i="38"/>
  <c r="G4039" i="38"/>
  <c r="E4039" i="38"/>
  <c r="D4039" i="38"/>
  <c r="C4039" i="38"/>
  <c r="H4038" i="38"/>
  <c r="G4038" i="38"/>
  <c r="E4038" i="38"/>
  <c r="D4038" i="38"/>
  <c r="C4038" i="38"/>
  <c r="H4037" i="38"/>
  <c r="G4037" i="38"/>
  <c r="E4037" i="38"/>
  <c r="D4037" i="38"/>
  <c r="C4037" i="38"/>
  <c r="J4036" i="38"/>
  <c r="I4036" i="38"/>
  <c r="H4036" i="38"/>
  <c r="G4036" i="38"/>
  <c r="F4036" i="38"/>
  <c r="E4036" i="38"/>
  <c r="D4036" i="38"/>
  <c r="C4036" i="38"/>
  <c r="J4035" i="38"/>
  <c r="I4035" i="38"/>
  <c r="H4035" i="38"/>
  <c r="G4035" i="38"/>
  <c r="F4035" i="38"/>
  <c r="E4035" i="38"/>
  <c r="D4035" i="38"/>
  <c r="C4035" i="38"/>
  <c r="J4034" i="38"/>
  <c r="I4034" i="38"/>
  <c r="H4034" i="38"/>
  <c r="G4034" i="38"/>
  <c r="F4034" i="38"/>
  <c r="E4034" i="38"/>
  <c r="D4034" i="38"/>
  <c r="C4034" i="38"/>
  <c r="J4033" i="38"/>
  <c r="I4033" i="38"/>
  <c r="H4033" i="38"/>
  <c r="G4033" i="38"/>
  <c r="E4033" i="38"/>
  <c r="D4033" i="38"/>
  <c r="C4033" i="38"/>
  <c r="J4032" i="38"/>
  <c r="I4032" i="38"/>
  <c r="H4032" i="38"/>
  <c r="G4032" i="38"/>
  <c r="F4032" i="38"/>
  <c r="E4032" i="38"/>
  <c r="C4032" i="38"/>
  <c r="H4031" i="38"/>
  <c r="G4031" i="38"/>
  <c r="E4031" i="38"/>
  <c r="C4031" i="38"/>
  <c r="H4030" i="38"/>
  <c r="G4030" i="38"/>
  <c r="E4030" i="38"/>
  <c r="D4030" i="38"/>
  <c r="C4030" i="38"/>
  <c r="H4029" i="38"/>
  <c r="G4029" i="38"/>
  <c r="E4029" i="38"/>
  <c r="D4029" i="38"/>
  <c r="C4029" i="38"/>
  <c r="H4028" i="38"/>
  <c r="G4028" i="38"/>
  <c r="E4028" i="38"/>
  <c r="D4028" i="38"/>
  <c r="C4028" i="38"/>
  <c r="H4027" i="38"/>
  <c r="G4027" i="38"/>
  <c r="E4027" i="38"/>
  <c r="D4027" i="38"/>
  <c r="C4027" i="38"/>
  <c r="J4026" i="38"/>
  <c r="I4026" i="38"/>
  <c r="H4026" i="38"/>
  <c r="G4026" i="38"/>
  <c r="F4026" i="38"/>
  <c r="E4026" i="38"/>
  <c r="D4026" i="38"/>
  <c r="C4026" i="38"/>
  <c r="J4025" i="38"/>
  <c r="I4025" i="38"/>
  <c r="H4025" i="38"/>
  <c r="G4025" i="38"/>
  <c r="F4025" i="38"/>
  <c r="E4025" i="38"/>
  <c r="D4025" i="38"/>
  <c r="C4025" i="38"/>
  <c r="J4024" i="38"/>
  <c r="I4024" i="38"/>
  <c r="H4024" i="38"/>
  <c r="G4024" i="38"/>
  <c r="F4024" i="38"/>
  <c r="E4024" i="38"/>
  <c r="D4024" i="38"/>
  <c r="C4024" i="38"/>
  <c r="J4023" i="38"/>
  <c r="I4023" i="38"/>
  <c r="H4023" i="38"/>
  <c r="G4023" i="38"/>
  <c r="E4023" i="38"/>
  <c r="D4023" i="38"/>
  <c r="C4023" i="38"/>
  <c r="J4022" i="38"/>
  <c r="I4022" i="38"/>
  <c r="H4022" i="38"/>
  <c r="G4022" i="38"/>
  <c r="F4022" i="38"/>
  <c r="E4022" i="38"/>
  <c r="C4022" i="38"/>
  <c r="H4021" i="38"/>
  <c r="G4021" i="38"/>
  <c r="E4021" i="38"/>
  <c r="C4021" i="38"/>
  <c r="H4020" i="38"/>
  <c r="G4020" i="38"/>
  <c r="E4020" i="38"/>
  <c r="D4020" i="38"/>
  <c r="C4020" i="38"/>
  <c r="H4019" i="38"/>
  <c r="G4019" i="38"/>
  <c r="E4019" i="38"/>
  <c r="D4019" i="38"/>
  <c r="C4019" i="38"/>
  <c r="H4018" i="38"/>
  <c r="G4018" i="38"/>
  <c r="E4018" i="38"/>
  <c r="D4018" i="38"/>
  <c r="C4018" i="38"/>
  <c r="H4017" i="38"/>
  <c r="G4017" i="38"/>
  <c r="E4017" i="38"/>
  <c r="D4017" i="38"/>
  <c r="C4017" i="38"/>
  <c r="J4016" i="38"/>
  <c r="I4016" i="38"/>
  <c r="H4016" i="38"/>
  <c r="G4016" i="38"/>
  <c r="F4016" i="38"/>
  <c r="E4016" i="38"/>
  <c r="D4016" i="38"/>
  <c r="C4016" i="38"/>
  <c r="J4015" i="38"/>
  <c r="I4015" i="38"/>
  <c r="H4015" i="38"/>
  <c r="G4015" i="38"/>
  <c r="F4015" i="38"/>
  <c r="E4015" i="38"/>
  <c r="D4015" i="38"/>
  <c r="C4015" i="38"/>
  <c r="J4014" i="38"/>
  <c r="I4014" i="38"/>
  <c r="H4014" i="38"/>
  <c r="G4014" i="38"/>
  <c r="F4014" i="38"/>
  <c r="E4014" i="38"/>
  <c r="D4014" i="38"/>
  <c r="C4014" i="38"/>
  <c r="J4013" i="38"/>
  <c r="I4013" i="38"/>
  <c r="H4013" i="38"/>
  <c r="G4013" i="38"/>
  <c r="E4013" i="38"/>
  <c r="D4013" i="38"/>
  <c r="C4013" i="38"/>
  <c r="J4012" i="38"/>
  <c r="I4012" i="38"/>
  <c r="H4012" i="38"/>
  <c r="G4012" i="38"/>
  <c r="F4012" i="38"/>
  <c r="E4012" i="38"/>
  <c r="C4012" i="38"/>
  <c r="H4011" i="38"/>
  <c r="G4011" i="38"/>
  <c r="E4011" i="38"/>
  <c r="C4011" i="38"/>
  <c r="H4010" i="38"/>
  <c r="G4010" i="38"/>
  <c r="E4010" i="38"/>
  <c r="D4010" i="38"/>
  <c r="C4010" i="38"/>
  <c r="H4009" i="38"/>
  <c r="G4009" i="38"/>
  <c r="E4009" i="38"/>
  <c r="D4009" i="38"/>
  <c r="C4009" i="38"/>
  <c r="H4008" i="38"/>
  <c r="G4008" i="38"/>
  <c r="E4008" i="38"/>
  <c r="D4008" i="38"/>
  <c r="C4008" i="38"/>
  <c r="H4007" i="38"/>
  <c r="G4007" i="38"/>
  <c r="E4007" i="38"/>
  <c r="D4007" i="38"/>
  <c r="C4007" i="38"/>
  <c r="J4006" i="38"/>
  <c r="I4006" i="38"/>
  <c r="H4006" i="38"/>
  <c r="G4006" i="38"/>
  <c r="F4006" i="38"/>
  <c r="E4006" i="38"/>
  <c r="D4006" i="38"/>
  <c r="C4006" i="38"/>
  <c r="J4005" i="38"/>
  <c r="I4005" i="38"/>
  <c r="H4005" i="38"/>
  <c r="G4005" i="38"/>
  <c r="F4005" i="38"/>
  <c r="E4005" i="38"/>
  <c r="D4005" i="38"/>
  <c r="C4005" i="38"/>
  <c r="J4004" i="38"/>
  <c r="I4004" i="38"/>
  <c r="H4004" i="38"/>
  <c r="G4004" i="38"/>
  <c r="F4004" i="38"/>
  <c r="E4004" i="38"/>
  <c r="D4004" i="38"/>
  <c r="C4004" i="38"/>
  <c r="J4003" i="38"/>
  <c r="I4003" i="38"/>
  <c r="H4003" i="38"/>
  <c r="G4003" i="38"/>
  <c r="E4003" i="38"/>
  <c r="D4003" i="38"/>
  <c r="C4003" i="38"/>
  <c r="J4002" i="38"/>
  <c r="I4002" i="38"/>
  <c r="H4002" i="38"/>
  <c r="G4002" i="38"/>
  <c r="F4002" i="38"/>
  <c r="E4002" i="38"/>
  <c r="C4002" i="38"/>
  <c r="H4001" i="38"/>
  <c r="G4001" i="38"/>
  <c r="E4001" i="38"/>
  <c r="C4001" i="38"/>
  <c r="H4000" i="38"/>
  <c r="G4000" i="38"/>
  <c r="E4000" i="38"/>
  <c r="D4000" i="38"/>
  <c r="C4000" i="38"/>
  <c r="H3999" i="38"/>
  <c r="G3999" i="38"/>
  <c r="E3999" i="38"/>
  <c r="D3999" i="38"/>
  <c r="C3999" i="38"/>
  <c r="H3998" i="38"/>
  <c r="G3998" i="38"/>
  <c r="E3998" i="38"/>
  <c r="D3998" i="38"/>
  <c r="C3998" i="38"/>
  <c r="H3997" i="38"/>
  <c r="G3997" i="38"/>
  <c r="E3997" i="38"/>
  <c r="D3997" i="38"/>
  <c r="C3997" i="38"/>
  <c r="J3996" i="38"/>
  <c r="I3996" i="38"/>
  <c r="H3996" i="38"/>
  <c r="G3996" i="38"/>
  <c r="F3996" i="38"/>
  <c r="E3996" i="38"/>
  <c r="D3996" i="38"/>
  <c r="C3996" i="38"/>
  <c r="J3995" i="38"/>
  <c r="I3995" i="38"/>
  <c r="H3995" i="38"/>
  <c r="G3995" i="38"/>
  <c r="F3995" i="38"/>
  <c r="E3995" i="38"/>
  <c r="D3995" i="38"/>
  <c r="C3995" i="38"/>
  <c r="J3994" i="38"/>
  <c r="I3994" i="38"/>
  <c r="H3994" i="38"/>
  <c r="G3994" i="38"/>
  <c r="F3994" i="38"/>
  <c r="E3994" i="38"/>
  <c r="D3994" i="38"/>
  <c r="C3994" i="38"/>
  <c r="J3993" i="38"/>
  <c r="I3993" i="38"/>
  <c r="H3993" i="38"/>
  <c r="G3993" i="38"/>
  <c r="E3993" i="38"/>
  <c r="D3993" i="38"/>
  <c r="C3993" i="38"/>
  <c r="J3992" i="38"/>
  <c r="I3992" i="38"/>
  <c r="H3992" i="38"/>
  <c r="G3992" i="38"/>
  <c r="F3992" i="38"/>
  <c r="E3992" i="38"/>
  <c r="C3992" i="38"/>
  <c r="H3991" i="38"/>
  <c r="G3991" i="38"/>
  <c r="E3991" i="38"/>
  <c r="C3991" i="38"/>
  <c r="H3990" i="38"/>
  <c r="G3990" i="38"/>
  <c r="E3990" i="38"/>
  <c r="D3990" i="38"/>
  <c r="C3990" i="38"/>
  <c r="H3989" i="38"/>
  <c r="G3989" i="38"/>
  <c r="E3989" i="38"/>
  <c r="D3989" i="38"/>
  <c r="C3989" i="38"/>
  <c r="H3988" i="38"/>
  <c r="G3988" i="38"/>
  <c r="E3988" i="38"/>
  <c r="D3988" i="38"/>
  <c r="C3988" i="38"/>
  <c r="H3987" i="38"/>
  <c r="G3987" i="38"/>
  <c r="E3987" i="38"/>
  <c r="D3987" i="38"/>
  <c r="C3987" i="38"/>
  <c r="J3986" i="38"/>
  <c r="I3986" i="38"/>
  <c r="H3986" i="38"/>
  <c r="G3986" i="38"/>
  <c r="F3986" i="38"/>
  <c r="E3986" i="38"/>
  <c r="D3986" i="38"/>
  <c r="C3986" i="38"/>
  <c r="J3985" i="38"/>
  <c r="I3985" i="38"/>
  <c r="H3985" i="38"/>
  <c r="G3985" i="38"/>
  <c r="F3985" i="38"/>
  <c r="E3985" i="38"/>
  <c r="D3985" i="38"/>
  <c r="C3985" i="38"/>
  <c r="J3984" i="38"/>
  <c r="I3984" i="38"/>
  <c r="H3984" i="38"/>
  <c r="G3984" i="38"/>
  <c r="F3984" i="38"/>
  <c r="E3984" i="38"/>
  <c r="D3984" i="38"/>
  <c r="C3984" i="38"/>
  <c r="J3983" i="38"/>
  <c r="I3983" i="38"/>
  <c r="H3983" i="38"/>
  <c r="G3983" i="38"/>
  <c r="E3983" i="38"/>
  <c r="D3983" i="38"/>
  <c r="C3983" i="38"/>
  <c r="J3982" i="38"/>
  <c r="I3982" i="38"/>
  <c r="H3982" i="38"/>
  <c r="G3982" i="38"/>
  <c r="F3982" i="38"/>
  <c r="E3982" i="38"/>
  <c r="C3982" i="38"/>
  <c r="H3981" i="38"/>
  <c r="G3981" i="38"/>
  <c r="E3981" i="38"/>
  <c r="C3981" i="38"/>
  <c r="H3980" i="38"/>
  <c r="G3980" i="38"/>
  <c r="E3980" i="38"/>
  <c r="D3980" i="38"/>
  <c r="C3980" i="38"/>
  <c r="H3979" i="38"/>
  <c r="G3979" i="38"/>
  <c r="E3979" i="38"/>
  <c r="D3979" i="38"/>
  <c r="C3979" i="38"/>
  <c r="H3978" i="38"/>
  <c r="G3978" i="38"/>
  <c r="E3978" i="38"/>
  <c r="D3978" i="38"/>
  <c r="C3978" i="38"/>
  <c r="H3977" i="38"/>
  <c r="G3977" i="38"/>
  <c r="E3977" i="38"/>
  <c r="D3977" i="38"/>
  <c r="C3977" i="38"/>
  <c r="J3976" i="38"/>
  <c r="I3976" i="38"/>
  <c r="H3976" i="38"/>
  <c r="G3976" i="38"/>
  <c r="F3976" i="38"/>
  <c r="E3976" i="38"/>
  <c r="D3976" i="38"/>
  <c r="C3976" i="38"/>
  <c r="J3975" i="38"/>
  <c r="I3975" i="38"/>
  <c r="H3975" i="38"/>
  <c r="G3975" i="38"/>
  <c r="F3975" i="38"/>
  <c r="E3975" i="38"/>
  <c r="D3975" i="38"/>
  <c r="C3975" i="38"/>
  <c r="J3974" i="38"/>
  <c r="I3974" i="38"/>
  <c r="H3974" i="38"/>
  <c r="G3974" i="38"/>
  <c r="F3974" i="38"/>
  <c r="E3974" i="38"/>
  <c r="D3974" i="38"/>
  <c r="C3974" i="38"/>
  <c r="J3973" i="38"/>
  <c r="I3973" i="38"/>
  <c r="H3973" i="38"/>
  <c r="G3973" i="38"/>
  <c r="E3973" i="38"/>
  <c r="D3973" i="38"/>
  <c r="C3973" i="38"/>
  <c r="J3972" i="38"/>
  <c r="I3972" i="38"/>
  <c r="H3972" i="38"/>
  <c r="G3972" i="38"/>
  <c r="F3972" i="38"/>
  <c r="E3972" i="38"/>
  <c r="C3972" i="38"/>
  <c r="H3971" i="38"/>
  <c r="G3971" i="38"/>
  <c r="E3971" i="38"/>
  <c r="C3971" i="38"/>
  <c r="H3970" i="38"/>
  <c r="G3970" i="38"/>
  <c r="E3970" i="38"/>
  <c r="D3970" i="38"/>
  <c r="C3970" i="38"/>
  <c r="H3969" i="38"/>
  <c r="G3969" i="38"/>
  <c r="E3969" i="38"/>
  <c r="D3969" i="38"/>
  <c r="C3969" i="38"/>
  <c r="H3968" i="38"/>
  <c r="G3968" i="38"/>
  <c r="E3968" i="38"/>
  <c r="D3968" i="38"/>
  <c r="C3968" i="38"/>
  <c r="H3967" i="38"/>
  <c r="G3967" i="38"/>
  <c r="E3967" i="38"/>
  <c r="D3967" i="38"/>
  <c r="C3967" i="38"/>
  <c r="J3966" i="38"/>
  <c r="I3966" i="38"/>
  <c r="H3966" i="38"/>
  <c r="G3966" i="38"/>
  <c r="F3966" i="38"/>
  <c r="E3966" i="38"/>
  <c r="D3966" i="38"/>
  <c r="C3966" i="38"/>
  <c r="J3965" i="38"/>
  <c r="I3965" i="38"/>
  <c r="H3965" i="38"/>
  <c r="G3965" i="38"/>
  <c r="F3965" i="38"/>
  <c r="E3965" i="38"/>
  <c r="D3965" i="38"/>
  <c r="C3965" i="38"/>
  <c r="J3964" i="38"/>
  <c r="I3964" i="38"/>
  <c r="H3964" i="38"/>
  <c r="G3964" i="38"/>
  <c r="F3964" i="38"/>
  <c r="E3964" i="38"/>
  <c r="D3964" i="38"/>
  <c r="C3964" i="38"/>
  <c r="J3963" i="38"/>
  <c r="I3963" i="38"/>
  <c r="H3963" i="38"/>
  <c r="G3963" i="38"/>
  <c r="E3963" i="38"/>
  <c r="D3963" i="38"/>
  <c r="C3963" i="38"/>
  <c r="J3962" i="38"/>
  <c r="I3962" i="38"/>
  <c r="H3962" i="38"/>
  <c r="G3962" i="38"/>
  <c r="F3962" i="38"/>
  <c r="E3962" i="38"/>
  <c r="C3962" i="38"/>
  <c r="H3961" i="38"/>
  <c r="G3961" i="38"/>
  <c r="E3961" i="38"/>
  <c r="C3961" i="38"/>
  <c r="H3960" i="38"/>
  <c r="G3960" i="38"/>
  <c r="E3960" i="38"/>
  <c r="D3960" i="38"/>
  <c r="C3960" i="38"/>
  <c r="H3959" i="38"/>
  <c r="G3959" i="38"/>
  <c r="E3959" i="38"/>
  <c r="D3959" i="38"/>
  <c r="C3959" i="38"/>
  <c r="H3958" i="38"/>
  <c r="G3958" i="38"/>
  <c r="E3958" i="38"/>
  <c r="D3958" i="38"/>
  <c r="C3958" i="38"/>
  <c r="H3957" i="38"/>
  <c r="G3957" i="38"/>
  <c r="E3957" i="38"/>
  <c r="D3957" i="38"/>
  <c r="C3957" i="38"/>
  <c r="J3956" i="38"/>
  <c r="I3956" i="38"/>
  <c r="H3956" i="38"/>
  <c r="G3956" i="38"/>
  <c r="F3956" i="38"/>
  <c r="E3956" i="38"/>
  <c r="D3956" i="38"/>
  <c r="C3956" i="38"/>
  <c r="J3955" i="38"/>
  <c r="I3955" i="38"/>
  <c r="H3955" i="38"/>
  <c r="G3955" i="38"/>
  <c r="F3955" i="38"/>
  <c r="E3955" i="38"/>
  <c r="D3955" i="38"/>
  <c r="C3955" i="38"/>
  <c r="J3954" i="38"/>
  <c r="I3954" i="38"/>
  <c r="H3954" i="38"/>
  <c r="G3954" i="38"/>
  <c r="F3954" i="38"/>
  <c r="E3954" i="38"/>
  <c r="D3954" i="38"/>
  <c r="C3954" i="38"/>
  <c r="J3953" i="38"/>
  <c r="I3953" i="38"/>
  <c r="H3953" i="38"/>
  <c r="G3953" i="38"/>
  <c r="E3953" i="38"/>
  <c r="D3953" i="38"/>
  <c r="C3953" i="38"/>
  <c r="J3952" i="38"/>
  <c r="I3952" i="38"/>
  <c r="H3952" i="38"/>
  <c r="G3952" i="38"/>
  <c r="F3952" i="38"/>
  <c r="E3952" i="38"/>
  <c r="C3952" i="38"/>
  <c r="H3951" i="38"/>
  <c r="G3951" i="38"/>
  <c r="E3951" i="38"/>
  <c r="C3951" i="38"/>
  <c r="J3950" i="38"/>
  <c r="I3950" i="38"/>
  <c r="H3950" i="38"/>
  <c r="G3950" i="38"/>
  <c r="F3950" i="38"/>
  <c r="E3950" i="38"/>
  <c r="D3950" i="38"/>
  <c r="C3950" i="38"/>
  <c r="J3949" i="38"/>
  <c r="I3949" i="38"/>
  <c r="H3949" i="38"/>
  <c r="G3949" i="38"/>
  <c r="F3949" i="38"/>
  <c r="E3949" i="38"/>
  <c r="D3949" i="38"/>
  <c r="C3949" i="38"/>
  <c r="J3948" i="38"/>
  <c r="I3948" i="38"/>
  <c r="H3948" i="38"/>
  <c r="G3948" i="38"/>
  <c r="F3948" i="38"/>
  <c r="E3948" i="38"/>
  <c r="D3948" i="38"/>
  <c r="C3948" i="38"/>
  <c r="J3947" i="38"/>
  <c r="I3947" i="38"/>
  <c r="H3947" i="38"/>
  <c r="G3947" i="38"/>
  <c r="F3947" i="38"/>
  <c r="E3947" i="38"/>
  <c r="D3947" i="38"/>
  <c r="C3947" i="38"/>
  <c r="J3946" i="38"/>
  <c r="I3946" i="38"/>
  <c r="H3946" i="38"/>
  <c r="G3946" i="38"/>
  <c r="F3946" i="38"/>
  <c r="E3946" i="38"/>
  <c r="D3946" i="38"/>
  <c r="C3946" i="38"/>
  <c r="J3945" i="38"/>
  <c r="I3945" i="38"/>
  <c r="H3945" i="38"/>
  <c r="G3945" i="38"/>
  <c r="F3945" i="38"/>
  <c r="E3945" i="38"/>
  <c r="D3945" i="38"/>
  <c r="C3945" i="38"/>
  <c r="J3944" i="38"/>
  <c r="I3944" i="38"/>
  <c r="H3944" i="38"/>
  <c r="G3944" i="38"/>
  <c r="F3944" i="38"/>
  <c r="E3944" i="38"/>
  <c r="D3944" i="38"/>
  <c r="C3944" i="38"/>
  <c r="J3943" i="38"/>
  <c r="I3943" i="38"/>
  <c r="H3943" i="38"/>
  <c r="G3943" i="38"/>
  <c r="F3943" i="38"/>
  <c r="E3943" i="38"/>
  <c r="D3943" i="38"/>
  <c r="C3943" i="38"/>
  <c r="J3942" i="38"/>
  <c r="I3942" i="38"/>
  <c r="H3942" i="38"/>
  <c r="G3942" i="38"/>
  <c r="F3942" i="38"/>
  <c r="E3942" i="38"/>
  <c r="D3942" i="38"/>
  <c r="C3942" i="38"/>
  <c r="J3941" i="38"/>
  <c r="I3941" i="38"/>
  <c r="H3941" i="38"/>
  <c r="G3941" i="38"/>
  <c r="F3941" i="38"/>
  <c r="E3941" i="38"/>
  <c r="D3941" i="38"/>
  <c r="C3941" i="38"/>
  <c r="J3940" i="38"/>
  <c r="I3940" i="38"/>
  <c r="H3940" i="38"/>
  <c r="G3940" i="38"/>
  <c r="F3940" i="38"/>
  <c r="E3940" i="38"/>
  <c r="D3940" i="38"/>
  <c r="C3940" i="38"/>
  <c r="J3939" i="38"/>
  <c r="I3939" i="38"/>
  <c r="H3939" i="38"/>
  <c r="G3939" i="38"/>
  <c r="F3939" i="38"/>
  <c r="E3939" i="38"/>
  <c r="D3939" i="38"/>
  <c r="C3939" i="38"/>
  <c r="J3938" i="38"/>
  <c r="I3938" i="38"/>
  <c r="H3938" i="38"/>
  <c r="G3938" i="38"/>
  <c r="F3938" i="38"/>
  <c r="E3938" i="38"/>
  <c r="D3938" i="38"/>
  <c r="C3938" i="38"/>
  <c r="J3937" i="38"/>
  <c r="I3937" i="38"/>
  <c r="H3937" i="38"/>
  <c r="G3937" i="38"/>
  <c r="F3937" i="38"/>
  <c r="E3937" i="38"/>
  <c r="D3937" i="38"/>
  <c r="C3937" i="38"/>
  <c r="J3936" i="38"/>
  <c r="I3936" i="38"/>
  <c r="H3936" i="38"/>
  <c r="G3936" i="38"/>
  <c r="F3936" i="38"/>
  <c r="E3936" i="38"/>
  <c r="D3936" i="38"/>
  <c r="C3936" i="38"/>
  <c r="J3935" i="38"/>
  <c r="I3935" i="38"/>
  <c r="H3935" i="38"/>
  <c r="G3935" i="38"/>
  <c r="F3935" i="38"/>
  <c r="E3935" i="38"/>
  <c r="D3935" i="38"/>
  <c r="C3935" i="38"/>
  <c r="J3934" i="38"/>
  <c r="I3934" i="38"/>
  <c r="H3934" i="38"/>
  <c r="G3934" i="38"/>
  <c r="F3934" i="38"/>
  <c r="E3934" i="38"/>
  <c r="D3934" i="38"/>
  <c r="C3934" i="38"/>
  <c r="J3933" i="38"/>
  <c r="I3933" i="38"/>
  <c r="H3933" i="38"/>
  <c r="G3933" i="38"/>
  <c r="E3933" i="38"/>
  <c r="D3933" i="38"/>
  <c r="C3933" i="38"/>
  <c r="J3932" i="38"/>
  <c r="I3932" i="38"/>
  <c r="H3932" i="38"/>
  <c r="G3932" i="38"/>
  <c r="F3932" i="38"/>
  <c r="E3932" i="38"/>
  <c r="C3932" i="38"/>
  <c r="H3931" i="38"/>
  <c r="G3931" i="38"/>
  <c r="E3931" i="38"/>
  <c r="C3931" i="38"/>
  <c r="H3930" i="38"/>
  <c r="G3930" i="38"/>
  <c r="E3930" i="38"/>
  <c r="D3930" i="38"/>
  <c r="C3930" i="38"/>
  <c r="H3929" i="38"/>
  <c r="G3929" i="38"/>
  <c r="E3929" i="38"/>
  <c r="D3929" i="38"/>
  <c r="C3929" i="38"/>
  <c r="H3928" i="38"/>
  <c r="G3928" i="38"/>
  <c r="E3928" i="38"/>
  <c r="D3928" i="38"/>
  <c r="C3928" i="38"/>
  <c r="H3927" i="38"/>
  <c r="G3927" i="38"/>
  <c r="E3927" i="38"/>
  <c r="D3927" i="38"/>
  <c r="C3927" i="38"/>
  <c r="J3926" i="38"/>
  <c r="I3926" i="38"/>
  <c r="H3926" i="38"/>
  <c r="G3926" i="38"/>
  <c r="F3926" i="38"/>
  <c r="E3926" i="38"/>
  <c r="D3926" i="38"/>
  <c r="C3926" i="38"/>
  <c r="J3925" i="38"/>
  <c r="I3925" i="38"/>
  <c r="H3925" i="38"/>
  <c r="G3925" i="38"/>
  <c r="F3925" i="38"/>
  <c r="E3925" i="38"/>
  <c r="D3925" i="38"/>
  <c r="C3925" i="38"/>
  <c r="J3924" i="38"/>
  <c r="I3924" i="38"/>
  <c r="H3924" i="38"/>
  <c r="G3924" i="38"/>
  <c r="F3924" i="38"/>
  <c r="E3924" i="38"/>
  <c r="D3924" i="38"/>
  <c r="C3924" i="38"/>
  <c r="J3923" i="38"/>
  <c r="I3923" i="38"/>
  <c r="H3923" i="38"/>
  <c r="G3923" i="38"/>
  <c r="E3923" i="38"/>
  <c r="D3923" i="38"/>
  <c r="C3923" i="38"/>
  <c r="J3922" i="38"/>
  <c r="I3922" i="38"/>
  <c r="H3922" i="38"/>
  <c r="G3922" i="38"/>
  <c r="F3922" i="38"/>
  <c r="E3922" i="38"/>
  <c r="C3922" i="38"/>
  <c r="H3921" i="38"/>
  <c r="G3921" i="38"/>
  <c r="E3921" i="38"/>
  <c r="C3921" i="38"/>
  <c r="H3920" i="38"/>
  <c r="G3920" i="38"/>
  <c r="E3920" i="38"/>
  <c r="D3920" i="38"/>
  <c r="C3920" i="38"/>
  <c r="H3919" i="38"/>
  <c r="G3919" i="38"/>
  <c r="E3919" i="38"/>
  <c r="D3919" i="38"/>
  <c r="C3919" i="38"/>
  <c r="H3918" i="38"/>
  <c r="G3918" i="38"/>
  <c r="E3918" i="38"/>
  <c r="D3918" i="38"/>
  <c r="C3918" i="38"/>
  <c r="H3917" i="38"/>
  <c r="G3917" i="38"/>
  <c r="E3917" i="38"/>
  <c r="D3917" i="38"/>
  <c r="C3917" i="38"/>
  <c r="J3916" i="38"/>
  <c r="I3916" i="38"/>
  <c r="H3916" i="38"/>
  <c r="G3916" i="38"/>
  <c r="F3916" i="38"/>
  <c r="E3916" i="38"/>
  <c r="D3916" i="38"/>
  <c r="C3916" i="38"/>
  <c r="J3915" i="38"/>
  <c r="I3915" i="38"/>
  <c r="H3915" i="38"/>
  <c r="G3915" i="38"/>
  <c r="F3915" i="38"/>
  <c r="E3915" i="38"/>
  <c r="D3915" i="38"/>
  <c r="C3915" i="38"/>
  <c r="J3914" i="38"/>
  <c r="I3914" i="38"/>
  <c r="H3914" i="38"/>
  <c r="G3914" i="38"/>
  <c r="F3914" i="38"/>
  <c r="E3914" i="38"/>
  <c r="D3914" i="38"/>
  <c r="C3914" i="38"/>
  <c r="J3913" i="38"/>
  <c r="I3913" i="38"/>
  <c r="H3913" i="38"/>
  <c r="G3913" i="38"/>
  <c r="E3913" i="38"/>
  <c r="D3913" i="38"/>
  <c r="C3913" i="38"/>
  <c r="J3912" i="38"/>
  <c r="I3912" i="38"/>
  <c r="H3912" i="38"/>
  <c r="G3912" i="38"/>
  <c r="F3912" i="38"/>
  <c r="E3912" i="38"/>
  <c r="C3912" i="38"/>
  <c r="H3911" i="38"/>
  <c r="G3911" i="38"/>
  <c r="E3911" i="38"/>
  <c r="C3911" i="38"/>
  <c r="H3910" i="38"/>
  <c r="G3910" i="38"/>
  <c r="E3910" i="38"/>
  <c r="D3910" i="38"/>
  <c r="C3910" i="38"/>
  <c r="H3909" i="38"/>
  <c r="G3909" i="38"/>
  <c r="E3909" i="38"/>
  <c r="D3909" i="38"/>
  <c r="C3909" i="38"/>
  <c r="H3908" i="38"/>
  <c r="G3908" i="38"/>
  <c r="E3908" i="38"/>
  <c r="D3908" i="38"/>
  <c r="C3908" i="38"/>
  <c r="H3907" i="38"/>
  <c r="G3907" i="38"/>
  <c r="E3907" i="38"/>
  <c r="D3907" i="38"/>
  <c r="C3907" i="38"/>
  <c r="J3906" i="38"/>
  <c r="I3906" i="38"/>
  <c r="H3906" i="38"/>
  <c r="G3906" i="38"/>
  <c r="F3906" i="38"/>
  <c r="E3906" i="38"/>
  <c r="D3906" i="38"/>
  <c r="C3906" i="38"/>
  <c r="J3905" i="38"/>
  <c r="I3905" i="38"/>
  <c r="H3905" i="38"/>
  <c r="G3905" i="38"/>
  <c r="F3905" i="38"/>
  <c r="E3905" i="38"/>
  <c r="D3905" i="38"/>
  <c r="C3905" i="38"/>
  <c r="J3904" i="38"/>
  <c r="I3904" i="38"/>
  <c r="H3904" i="38"/>
  <c r="G3904" i="38"/>
  <c r="F3904" i="38"/>
  <c r="E3904" i="38"/>
  <c r="D3904" i="38"/>
  <c r="C3904" i="38"/>
  <c r="J3903" i="38"/>
  <c r="I3903" i="38"/>
  <c r="H3903" i="38"/>
  <c r="G3903" i="38"/>
  <c r="E3903" i="38"/>
  <c r="D3903" i="38"/>
  <c r="C3903" i="38"/>
  <c r="J3902" i="38"/>
  <c r="I3902" i="38"/>
  <c r="H3902" i="38"/>
  <c r="G3902" i="38"/>
  <c r="F3902" i="38"/>
  <c r="E3902" i="38"/>
  <c r="C3902" i="38"/>
  <c r="H3901" i="38"/>
  <c r="G3901" i="38"/>
  <c r="E3901" i="38"/>
  <c r="C3901" i="38"/>
  <c r="H3900" i="38"/>
  <c r="G3900" i="38"/>
  <c r="E3900" i="38"/>
  <c r="D3900" i="38"/>
  <c r="C3900" i="38"/>
  <c r="H3899" i="38"/>
  <c r="G3899" i="38"/>
  <c r="E3899" i="38"/>
  <c r="D3899" i="38"/>
  <c r="C3899" i="38"/>
  <c r="H3898" i="38"/>
  <c r="G3898" i="38"/>
  <c r="E3898" i="38"/>
  <c r="D3898" i="38"/>
  <c r="C3898" i="38"/>
  <c r="H3897" i="38"/>
  <c r="G3897" i="38"/>
  <c r="E3897" i="38"/>
  <c r="D3897" i="38"/>
  <c r="C3897" i="38"/>
  <c r="J3896" i="38"/>
  <c r="I3896" i="38"/>
  <c r="H3896" i="38"/>
  <c r="G3896" i="38"/>
  <c r="F3896" i="38"/>
  <c r="E3896" i="38"/>
  <c r="D3896" i="38"/>
  <c r="C3896" i="38"/>
  <c r="J3895" i="38"/>
  <c r="I3895" i="38"/>
  <c r="H3895" i="38"/>
  <c r="G3895" i="38"/>
  <c r="F3895" i="38"/>
  <c r="E3895" i="38"/>
  <c r="D3895" i="38"/>
  <c r="C3895" i="38"/>
  <c r="J3894" i="38"/>
  <c r="I3894" i="38"/>
  <c r="H3894" i="38"/>
  <c r="G3894" i="38"/>
  <c r="F3894" i="38"/>
  <c r="E3894" i="38"/>
  <c r="D3894" i="38"/>
  <c r="C3894" i="38"/>
  <c r="J3893" i="38"/>
  <c r="I3893" i="38"/>
  <c r="H3893" i="38"/>
  <c r="G3893" i="38"/>
  <c r="E3893" i="38"/>
  <c r="D3893" i="38"/>
  <c r="C3893" i="38"/>
  <c r="J3892" i="38"/>
  <c r="I3892" i="38"/>
  <c r="H3892" i="38"/>
  <c r="G3892" i="38"/>
  <c r="F3892" i="38"/>
  <c r="E3892" i="38"/>
  <c r="C3892" i="38"/>
  <c r="H3891" i="38"/>
  <c r="G3891" i="38"/>
  <c r="E3891" i="38"/>
  <c r="C3891" i="38"/>
  <c r="H3890" i="38"/>
  <c r="G3890" i="38"/>
  <c r="E3890" i="38"/>
  <c r="D3890" i="38"/>
  <c r="C3890" i="38"/>
  <c r="H3889" i="38"/>
  <c r="G3889" i="38"/>
  <c r="E3889" i="38"/>
  <c r="D3889" i="38"/>
  <c r="C3889" i="38"/>
  <c r="H3888" i="38"/>
  <c r="G3888" i="38"/>
  <c r="E3888" i="38"/>
  <c r="D3888" i="38"/>
  <c r="C3888" i="38"/>
  <c r="H3887" i="38"/>
  <c r="G3887" i="38"/>
  <c r="E3887" i="38"/>
  <c r="D3887" i="38"/>
  <c r="C3887" i="38"/>
  <c r="J3886" i="38"/>
  <c r="I3886" i="38"/>
  <c r="H3886" i="38"/>
  <c r="G3886" i="38"/>
  <c r="F3886" i="38"/>
  <c r="E3886" i="38"/>
  <c r="D3886" i="38"/>
  <c r="C3886" i="38"/>
  <c r="J3885" i="38"/>
  <c r="I3885" i="38"/>
  <c r="H3885" i="38"/>
  <c r="G3885" i="38"/>
  <c r="F3885" i="38"/>
  <c r="E3885" i="38"/>
  <c r="D3885" i="38"/>
  <c r="C3885" i="38"/>
  <c r="J3884" i="38"/>
  <c r="I3884" i="38"/>
  <c r="H3884" i="38"/>
  <c r="G3884" i="38"/>
  <c r="F3884" i="38"/>
  <c r="E3884" i="38"/>
  <c r="D3884" i="38"/>
  <c r="C3884" i="38"/>
  <c r="J3883" i="38"/>
  <c r="I3883" i="38"/>
  <c r="H3883" i="38"/>
  <c r="G3883" i="38"/>
  <c r="E3883" i="38"/>
  <c r="D3883" i="38"/>
  <c r="C3883" i="38"/>
  <c r="J3882" i="38"/>
  <c r="I3882" i="38"/>
  <c r="H3882" i="38"/>
  <c r="G3882" i="38"/>
  <c r="F3882" i="38"/>
  <c r="E3882" i="38"/>
  <c r="C3882" i="38"/>
  <c r="H3881" i="38"/>
  <c r="G3881" i="38"/>
  <c r="E3881" i="38"/>
  <c r="C3881" i="38"/>
  <c r="H3880" i="38"/>
  <c r="G3880" i="38"/>
  <c r="E3880" i="38"/>
  <c r="D3880" i="38"/>
  <c r="C3880" i="38"/>
  <c r="H3879" i="38"/>
  <c r="G3879" i="38"/>
  <c r="E3879" i="38"/>
  <c r="D3879" i="38"/>
  <c r="C3879" i="38"/>
  <c r="H3878" i="38"/>
  <c r="G3878" i="38"/>
  <c r="E3878" i="38"/>
  <c r="D3878" i="38"/>
  <c r="C3878" i="38"/>
  <c r="H3877" i="38"/>
  <c r="G3877" i="38"/>
  <c r="E3877" i="38"/>
  <c r="D3877" i="38"/>
  <c r="C3877" i="38"/>
  <c r="J3876" i="38"/>
  <c r="I3876" i="38"/>
  <c r="H3876" i="38"/>
  <c r="G3876" i="38"/>
  <c r="F3876" i="38"/>
  <c r="E3876" i="38"/>
  <c r="D3876" i="38"/>
  <c r="C3876" i="38"/>
  <c r="J3875" i="38"/>
  <c r="I3875" i="38"/>
  <c r="H3875" i="38"/>
  <c r="G3875" i="38"/>
  <c r="F3875" i="38"/>
  <c r="E3875" i="38"/>
  <c r="D3875" i="38"/>
  <c r="C3875" i="38"/>
  <c r="J3874" i="38"/>
  <c r="I3874" i="38"/>
  <c r="H3874" i="38"/>
  <c r="G3874" i="38"/>
  <c r="F3874" i="38"/>
  <c r="E3874" i="38"/>
  <c r="D3874" i="38"/>
  <c r="C3874" i="38"/>
  <c r="J3873" i="38"/>
  <c r="I3873" i="38"/>
  <c r="H3873" i="38"/>
  <c r="G3873" i="38"/>
  <c r="E3873" i="38"/>
  <c r="D3873" i="38"/>
  <c r="C3873" i="38"/>
  <c r="J3872" i="38"/>
  <c r="I3872" i="38"/>
  <c r="H3872" i="38"/>
  <c r="G3872" i="38"/>
  <c r="F3872" i="38"/>
  <c r="E3872" i="38"/>
  <c r="C3872" i="38"/>
  <c r="H3871" i="38"/>
  <c r="G3871" i="38"/>
  <c r="E3871" i="38"/>
  <c r="C3871" i="38"/>
  <c r="H3870" i="38"/>
  <c r="G3870" i="38"/>
  <c r="E3870" i="38"/>
  <c r="D3870" i="38"/>
  <c r="C3870" i="38"/>
  <c r="H3869" i="38"/>
  <c r="G3869" i="38"/>
  <c r="E3869" i="38"/>
  <c r="D3869" i="38"/>
  <c r="C3869" i="38"/>
  <c r="H3868" i="38"/>
  <c r="G3868" i="38"/>
  <c r="E3868" i="38"/>
  <c r="D3868" i="38"/>
  <c r="C3868" i="38"/>
  <c r="H3867" i="38"/>
  <c r="G3867" i="38"/>
  <c r="E3867" i="38"/>
  <c r="D3867" i="38"/>
  <c r="C3867" i="38"/>
  <c r="J3866" i="38"/>
  <c r="I3866" i="38"/>
  <c r="H3866" i="38"/>
  <c r="G3866" i="38"/>
  <c r="F3866" i="38"/>
  <c r="E3866" i="38"/>
  <c r="D3866" i="38"/>
  <c r="C3866" i="38"/>
  <c r="J3865" i="38"/>
  <c r="I3865" i="38"/>
  <c r="H3865" i="38"/>
  <c r="G3865" i="38"/>
  <c r="F3865" i="38"/>
  <c r="E3865" i="38"/>
  <c r="D3865" i="38"/>
  <c r="C3865" i="38"/>
  <c r="J3864" i="38"/>
  <c r="I3864" i="38"/>
  <c r="H3864" i="38"/>
  <c r="G3864" i="38"/>
  <c r="F3864" i="38"/>
  <c r="E3864" i="38"/>
  <c r="D3864" i="38"/>
  <c r="C3864" i="38"/>
  <c r="J3863" i="38"/>
  <c r="I3863" i="38"/>
  <c r="H3863" i="38"/>
  <c r="G3863" i="38"/>
  <c r="E3863" i="38"/>
  <c r="D3863" i="38"/>
  <c r="C3863" i="38"/>
  <c r="J3862" i="38"/>
  <c r="I3862" i="38"/>
  <c r="H3862" i="38"/>
  <c r="G3862" i="38"/>
  <c r="F3862" i="38"/>
  <c r="E3862" i="38"/>
  <c r="C3862" i="38"/>
  <c r="H3861" i="38"/>
  <c r="G3861" i="38"/>
  <c r="E3861" i="38"/>
  <c r="C3861" i="38"/>
  <c r="H3860" i="38"/>
  <c r="G3860" i="38"/>
  <c r="E3860" i="38"/>
  <c r="D3860" i="38"/>
  <c r="C3860" i="38"/>
  <c r="H3859" i="38"/>
  <c r="G3859" i="38"/>
  <c r="E3859" i="38"/>
  <c r="D3859" i="38"/>
  <c r="C3859" i="38"/>
  <c r="H3858" i="38"/>
  <c r="G3858" i="38"/>
  <c r="E3858" i="38"/>
  <c r="D3858" i="38"/>
  <c r="C3858" i="38"/>
  <c r="H3857" i="38"/>
  <c r="G3857" i="38"/>
  <c r="E3857" i="38"/>
  <c r="D3857" i="38"/>
  <c r="C3857" i="38"/>
  <c r="J3856" i="38"/>
  <c r="I3856" i="38"/>
  <c r="H3856" i="38"/>
  <c r="G3856" i="38"/>
  <c r="F3856" i="38"/>
  <c r="E3856" i="38"/>
  <c r="D3856" i="38"/>
  <c r="C3856" i="38"/>
  <c r="J3855" i="38"/>
  <c r="I3855" i="38"/>
  <c r="H3855" i="38"/>
  <c r="G3855" i="38"/>
  <c r="F3855" i="38"/>
  <c r="E3855" i="38"/>
  <c r="D3855" i="38"/>
  <c r="C3855" i="38"/>
  <c r="J3854" i="38"/>
  <c r="I3854" i="38"/>
  <c r="H3854" i="38"/>
  <c r="G3854" i="38"/>
  <c r="F3854" i="38"/>
  <c r="E3854" i="38"/>
  <c r="D3854" i="38"/>
  <c r="C3854" i="38"/>
  <c r="J3853" i="38"/>
  <c r="I3853" i="38"/>
  <c r="H3853" i="38"/>
  <c r="G3853" i="38"/>
  <c r="E3853" i="38"/>
  <c r="D3853" i="38"/>
  <c r="C3853" i="38"/>
  <c r="J3852" i="38"/>
  <c r="I3852" i="38"/>
  <c r="H3852" i="38"/>
  <c r="G3852" i="38"/>
  <c r="F3852" i="38"/>
  <c r="E3852" i="38"/>
  <c r="C3852" i="38"/>
  <c r="H3851" i="38"/>
  <c r="G3851" i="38"/>
  <c r="E3851" i="38"/>
  <c r="C3851" i="38"/>
  <c r="H3850" i="38"/>
  <c r="G3850" i="38"/>
  <c r="E3850" i="38"/>
  <c r="D3850" i="38"/>
  <c r="C3850" i="38"/>
  <c r="H3849" i="38"/>
  <c r="G3849" i="38"/>
  <c r="E3849" i="38"/>
  <c r="D3849" i="38"/>
  <c r="C3849" i="38"/>
  <c r="H3848" i="38"/>
  <c r="G3848" i="38"/>
  <c r="E3848" i="38"/>
  <c r="D3848" i="38"/>
  <c r="C3848" i="38"/>
  <c r="H3847" i="38"/>
  <c r="G3847" i="38"/>
  <c r="E3847" i="38"/>
  <c r="D3847" i="38"/>
  <c r="C3847" i="38"/>
  <c r="J3846" i="38"/>
  <c r="I3846" i="38"/>
  <c r="H3846" i="38"/>
  <c r="G3846" i="38"/>
  <c r="F3846" i="38"/>
  <c r="E3846" i="38"/>
  <c r="D3846" i="38"/>
  <c r="C3846" i="38"/>
  <c r="J3845" i="38"/>
  <c r="I3845" i="38"/>
  <c r="H3845" i="38"/>
  <c r="G3845" i="38"/>
  <c r="F3845" i="38"/>
  <c r="E3845" i="38"/>
  <c r="D3845" i="38"/>
  <c r="C3845" i="38"/>
  <c r="J3844" i="38"/>
  <c r="I3844" i="38"/>
  <c r="H3844" i="38"/>
  <c r="G3844" i="38"/>
  <c r="F3844" i="38"/>
  <c r="E3844" i="38"/>
  <c r="D3844" i="38"/>
  <c r="C3844" i="38"/>
  <c r="J3843" i="38"/>
  <c r="I3843" i="38"/>
  <c r="H3843" i="38"/>
  <c r="G3843" i="38"/>
  <c r="E3843" i="38"/>
  <c r="D3843" i="38"/>
  <c r="C3843" i="38"/>
  <c r="J3842" i="38"/>
  <c r="I3842" i="38"/>
  <c r="H3842" i="38"/>
  <c r="G3842" i="38"/>
  <c r="F3842" i="38"/>
  <c r="E3842" i="38"/>
  <c r="C3842" i="38"/>
  <c r="H3841" i="38"/>
  <c r="G3841" i="38"/>
  <c r="E3841" i="38"/>
  <c r="C3841" i="38"/>
  <c r="H3840" i="38"/>
  <c r="G3840" i="38"/>
  <c r="E3840" i="38"/>
  <c r="D3840" i="38"/>
  <c r="C3840" i="38"/>
  <c r="H3839" i="38"/>
  <c r="G3839" i="38"/>
  <c r="E3839" i="38"/>
  <c r="D3839" i="38"/>
  <c r="C3839" i="38"/>
  <c r="H3838" i="38"/>
  <c r="G3838" i="38"/>
  <c r="E3838" i="38"/>
  <c r="D3838" i="38"/>
  <c r="C3838" i="38"/>
  <c r="H3837" i="38"/>
  <c r="G3837" i="38"/>
  <c r="E3837" i="38"/>
  <c r="D3837" i="38"/>
  <c r="C3837" i="38"/>
  <c r="J3836" i="38"/>
  <c r="I3836" i="38"/>
  <c r="H3836" i="38"/>
  <c r="G3836" i="38"/>
  <c r="F3836" i="38"/>
  <c r="E3836" i="38"/>
  <c r="D3836" i="38"/>
  <c r="C3836" i="38"/>
  <c r="J3835" i="38"/>
  <c r="I3835" i="38"/>
  <c r="H3835" i="38"/>
  <c r="G3835" i="38"/>
  <c r="F3835" i="38"/>
  <c r="E3835" i="38"/>
  <c r="D3835" i="38"/>
  <c r="C3835" i="38"/>
  <c r="J3834" i="38"/>
  <c r="I3834" i="38"/>
  <c r="H3834" i="38"/>
  <c r="G3834" i="38"/>
  <c r="F3834" i="38"/>
  <c r="E3834" i="38"/>
  <c r="D3834" i="38"/>
  <c r="C3834" i="38"/>
  <c r="J3833" i="38"/>
  <c r="I3833" i="38"/>
  <c r="H3833" i="38"/>
  <c r="G3833" i="38"/>
  <c r="E3833" i="38"/>
  <c r="D3833" i="38"/>
  <c r="C3833" i="38"/>
  <c r="J3832" i="38"/>
  <c r="I3832" i="38"/>
  <c r="H3832" i="38"/>
  <c r="G3832" i="38"/>
  <c r="F3832" i="38"/>
  <c r="E3832" i="38"/>
  <c r="C3832" i="38"/>
  <c r="H3831" i="38"/>
  <c r="G3831" i="38"/>
  <c r="E3831" i="38"/>
  <c r="C3831" i="38"/>
  <c r="H3830" i="38"/>
  <c r="G3830" i="38"/>
  <c r="E3830" i="38"/>
  <c r="D3830" i="38"/>
  <c r="C3830" i="38"/>
  <c r="H3829" i="38"/>
  <c r="G3829" i="38"/>
  <c r="E3829" i="38"/>
  <c r="D3829" i="38"/>
  <c r="C3829" i="38"/>
  <c r="H3828" i="38"/>
  <c r="G3828" i="38"/>
  <c r="E3828" i="38"/>
  <c r="D3828" i="38"/>
  <c r="C3828" i="38"/>
  <c r="H3827" i="38"/>
  <c r="G3827" i="38"/>
  <c r="E3827" i="38"/>
  <c r="D3827" i="38"/>
  <c r="C3827" i="38"/>
  <c r="J3826" i="38"/>
  <c r="I3826" i="38"/>
  <c r="H3826" i="38"/>
  <c r="G3826" i="38"/>
  <c r="F3826" i="38"/>
  <c r="E3826" i="38"/>
  <c r="D3826" i="38"/>
  <c r="C3826" i="38"/>
  <c r="J3825" i="38"/>
  <c r="I3825" i="38"/>
  <c r="H3825" i="38"/>
  <c r="G3825" i="38"/>
  <c r="F3825" i="38"/>
  <c r="E3825" i="38"/>
  <c r="D3825" i="38"/>
  <c r="C3825" i="38"/>
  <c r="J3824" i="38"/>
  <c r="I3824" i="38"/>
  <c r="H3824" i="38"/>
  <c r="G3824" i="38"/>
  <c r="F3824" i="38"/>
  <c r="E3824" i="38"/>
  <c r="D3824" i="38"/>
  <c r="C3824" i="38"/>
  <c r="J3823" i="38"/>
  <c r="I3823" i="38"/>
  <c r="H3823" i="38"/>
  <c r="G3823" i="38"/>
  <c r="E3823" i="38"/>
  <c r="D3823" i="38"/>
  <c r="C3823" i="38"/>
  <c r="J3822" i="38"/>
  <c r="I3822" i="38"/>
  <c r="H3822" i="38"/>
  <c r="G3822" i="38"/>
  <c r="F3822" i="38"/>
  <c r="E3822" i="38"/>
  <c r="C3822" i="38"/>
  <c r="H3821" i="38"/>
  <c r="G3821" i="38"/>
  <c r="E3821" i="38"/>
  <c r="C3821" i="38"/>
  <c r="H3820" i="38"/>
  <c r="G3820" i="38"/>
  <c r="E3820" i="38"/>
  <c r="D3820" i="38"/>
  <c r="C3820" i="38"/>
  <c r="H3819" i="38"/>
  <c r="G3819" i="38"/>
  <c r="E3819" i="38"/>
  <c r="D3819" i="38"/>
  <c r="C3819" i="38"/>
  <c r="H3818" i="38"/>
  <c r="G3818" i="38"/>
  <c r="E3818" i="38"/>
  <c r="D3818" i="38"/>
  <c r="C3818" i="38"/>
  <c r="H3817" i="38"/>
  <c r="G3817" i="38"/>
  <c r="E3817" i="38"/>
  <c r="D3817" i="38"/>
  <c r="C3817" i="38"/>
  <c r="J3816" i="38"/>
  <c r="I3816" i="38"/>
  <c r="H3816" i="38"/>
  <c r="G3816" i="38"/>
  <c r="F3816" i="38"/>
  <c r="E3816" i="38"/>
  <c r="D3816" i="38"/>
  <c r="C3816" i="38"/>
  <c r="J3815" i="38"/>
  <c r="I3815" i="38"/>
  <c r="H3815" i="38"/>
  <c r="G3815" i="38"/>
  <c r="F3815" i="38"/>
  <c r="E3815" i="38"/>
  <c r="D3815" i="38"/>
  <c r="C3815" i="38"/>
  <c r="J3814" i="38"/>
  <c r="I3814" i="38"/>
  <c r="H3814" i="38"/>
  <c r="G3814" i="38"/>
  <c r="F3814" i="38"/>
  <c r="E3814" i="38"/>
  <c r="D3814" i="38"/>
  <c r="C3814" i="38"/>
  <c r="J3813" i="38"/>
  <c r="I3813" i="38"/>
  <c r="H3813" i="38"/>
  <c r="G3813" i="38"/>
  <c r="E3813" i="38"/>
  <c r="D3813" i="38"/>
  <c r="C3813" i="38"/>
  <c r="J3812" i="38"/>
  <c r="I3812" i="38"/>
  <c r="H3812" i="38"/>
  <c r="G3812" i="38"/>
  <c r="F3812" i="38"/>
  <c r="E3812" i="38"/>
  <c r="C3812" i="38"/>
  <c r="H3811" i="38"/>
  <c r="G3811" i="38"/>
  <c r="E3811" i="38"/>
  <c r="C3811" i="38"/>
  <c r="H3810" i="38"/>
  <c r="G3810" i="38"/>
  <c r="E3810" i="38"/>
  <c r="D3810" i="38"/>
  <c r="C3810" i="38"/>
  <c r="H3809" i="38"/>
  <c r="G3809" i="38"/>
  <c r="E3809" i="38"/>
  <c r="D3809" i="38"/>
  <c r="C3809" i="38"/>
  <c r="H3808" i="38"/>
  <c r="G3808" i="38"/>
  <c r="E3808" i="38"/>
  <c r="D3808" i="38"/>
  <c r="C3808" i="38"/>
  <c r="H3807" i="38"/>
  <c r="G3807" i="38"/>
  <c r="E3807" i="38"/>
  <c r="D3807" i="38"/>
  <c r="C3807" i="38"/>
  <c r="J3806" i="38"/>
  <c r="I3806" i="38"/>
  <c r="H3806" i="38"/>
  <c r="G3806" i="38"/>
  <c r="F3806" i="38"/>
  <c r="E3806" i="38"/>
  <c r="D3806" i="38"/>
  <c r="C3806" i="38"/>
  <c r="J3805" i="38"/>
  <c r="I3805" i="38"/>
  <c r="H3805" i="38"/>
  <c r="G3805" i="38"/>
  <c r="F3805" i="38"/>
  <c r="E3805" i="38"/>
  <c r="D3805" i="38"/>
  <c r="C3805" i="38"/>
  <c r="J3804" i="38"/>
  <c r="I3804" i="38"/>
  <c r="H3804" i="38"/>
  <c r="G3804" i="38"/>
  <c r="F3804" i="38"/>
  <c r="E3804" i="38"/>
  <c r="D3804" i="38"/>
  <c r="C3804" i="38"/>
  <c r="J3803" i="38"/>
  <c r="I3803" i="38"/>
  <c r="H3803" i="38"/>
  <c r="G3803" i="38"/>
  <c r="E3803" i="38"/>
  <c r="D3803" i="38"/>
  <c r="C3803" i="38"/>
  <c r="J3802" i="38"/>
  <c r="I3802" i="38"/>
  <c r="H3802" i="38"/>
  <c r="G3802" i="38"/>
  <c r="F3802" i="38"/>
  <c r="E3802" i="38"/>
  <c r="C3802" i="38"/>
  <c r="H3801" i="38"/>
  <c r="G3801" i="38"/>
  <c r="E3801" i="38"/>
  <c r="C3801" i="38"/>
  <c r="H3800" i="38"/>
  <c r="G3800" i="38"/>
  <c r="E3800" i="38"/>
  <c r="D3800" i="38"/>
  <c r="C3800" i="38"/>
  <c r="H3799" i="38"/>
  <c r="G3799" i="38"/>
  <c r="E3799" i="38"/>
  <c r="D3799" i="38"/>
  <c r="C3799" i="38"/>
  <c r="H3798" i="38"/>
  <c r="G3798" i="38"/>
  <c r="E3798" i="38"/>
  <c r="D3798" i="38"/>
  <c r="C3798" i="38"/>
  <c r="H3797" i="38"/>
  <c r="G3797" i="38"/>
  <c r="E3797" i="38"/>
  <c r="D3797" i="38"/>
  <c r="C3797" i="38"/>
  <c r="J3796" i="38"/>
  <c r="I3796" i="38"/>
  <c r="H3796" i="38"/>
  <c r="G3796" i="38"/>
  <c r="F3796" i="38"/>
  <c r="E3796" i="38"/>
  <c r="D3796" i="38"/>
  <c r="C3796" i="38"/>
  <c r="J3795" i="38"/>
  <c r="I3795" i="38"/>
  <c r="H3795" i="38"/>
  <c r="G3795" i="38"/>
  <c r="F3795" i="38"/>
  <c r="E3795" i="38"/>
  <c r="D3795" i="38"/>
  <c r="C3795" i="38"/>
  <c r="J3794" i="38"/>
  <c r="I3794" i="38"/>
  <c r="H3794" i="38"/>
  <c r="G3794" i="38"/>
  <c r="F3794" i="38"/>
  <c r="E3794" i="38"/>
  <c r="D3794" i="38"/>
  <c r="C3794" i="38"/>
  <c r="J3793" i="38"/>
  <c r="I3793" i="38"/>
  <c r="H3793" i="38"/>
  <c r="G3793" i="38"/>
  <c r="E3793" i="38"/>
  <c r="D3793" i="38"/>
  <c r="C3793" i="38"/>
  <c r="J3792" i="38"/>
  <c r="I3792" i="38"/>
  <c r="H3792" i="38"/>
  <c r="G3792" i="38"/>
  <c r="F3792" i="38"/>
  <c r="E3792" i="38"/>
  <c r="C3792" i="38"/>
  <c r="H3791" i="38"/>
  <c r="G3791" i="38"/>
  <c r="E3791" i="38"/>
  <c r="C3791" i="38"/>
  <c r="H3790" i="38"/>
  <c r="G3790" i="38"/>
  <c r="E3790" i="38"/>
  <c r="D3790" i="38"/>
  <c r="C3790" i="38"/>
  <c r="H3789" i="38"/>
  <c r="G3789" i="38"/>
  <c r="E3789" i="38"/>
  <c r="D3789" i="38"/>
  <c r="C3789" i="38"/>
  <c r="H3788" i="38"/>
  <c r="G3788" i="38"/>
  <c r="E3788" i="38"/>
  <c r="D3788" i="38"/>
  <c r="C3788" i="38"/>
  <c r="H3787" i="38"/>
  <c r="G3787" i="38"/>
  <c r="E3787" i="38"/>
  <c r="D3787" i="38"/>
  <c r="C3787" i="38"/>
  <c r="J3786" i="38"/>
  <c r="I3786" i="38"/>
  <c r="H3786" i="38"/>
  <c r="G3786" i="38"/>
  <c r="F3786" i="38"/>
  <c r="E3786" i="38"/>
  <c r="D3786" i="38"/>
  <c r="C3786" i="38"/>
  <c r="J3785" i="38"/>
  <c r="I3785" i="38"/>
  <c r="H3785" i="38"/>
  <c r="G3785" i="38"/>
  <c r="F3785" i="38"/>
  <c r="E3785" i="38"/>
  <c r="D3785" i="38"/>
  <c r="C3785" i="38"/>
  <c r="J3784" i="38"/>
  <c r="I3784" i="38"/>
  <c r="H3784" i="38"/>
  <c r="G3784" i="38"/>
  <c r="F3784" i="38"/>
  <c r="E3784" i="38"/>
  <c r="D3784" i="38"/>
  <c r="C3784" i="38"/>
  <c r="J3783" i="38"/>
  <c r="I3783" i="38"/>
  <c r="H3783" i="38"/>
  <c r="G3783" i="38"/>
  <c r="E3783" i="38"/>
  <c r="D3783" i="38"/>
  <c r="C3783" i="38"/>
  <c r="J3782" i="38"/>
  <c r="I3782" i="38"/>
  <c r="H3782" i="38"/>
  <c r="G3782" i="38"/>
  <c r="F3782" i="38"/>
  <c r="E3782" i="38"/>
  <c r="C3782" i="38"/>
  <c r="H3781" i="38"/>
  <c r="G3781" i="38"/>
  <c r="E3781" i="38"/>
  <c r="C3781" i="38"/>
  <c r="H3780" i="38"/>
  <c r="G3780" i="38"/>
  <c r="E3780" i="38"/>
  <c r="D3780" i="38"/>
  <c r="C3780" i="38"/>
  <c r="H3779" i="38"/>
  <c r="G3779" i="38"/>
  <c r="E3779" i="38"/>
  <c r="D3779" i="38"/>
  <c r="C3779" i="38"/>
  <c r="H3778" i="38"/>
  <c r="G3778" i="38"/>
  <c r="E3778" i="38"/>
  <c r="D3778" i="38"/>
  <c r="C3778" i="38"/>
  <c r="H3777" i="38"/>
  <c r="G3777" i="38"/>
  <c r="E3777" i="38"/>
  <c r="D3777" i="38"/>
  <c r="C3777" i="38"/>
  <c r="J3776" i="38"/>
  <c r="I3776" i="38"/>
  <c r="H3776" i="38"/>
  <c r="G3776" i="38"/>
  <c r="F3776" i="38"/>
  <c r="E3776" i="38"/>
  <c r="D3776" i="38"/>
  <c r="C3776" i="38"/>
  <c r="J3775" i="38"/>
  <c r="I3775" i="38"/>
  <c r="H3775" i="38"/>
  <c r="G3775" i="38"/>
  <c r="F3775" i="38"/>
  <c r="E3775" i="38"/>
  <c r="D3775" i="38"/>
  <c r="C3775" i="38"/>
  <c r="J3774" i="38"/>
  <c r="I3774" i="38"/>
  <c r="H3774" i="38"/>
  <c r="G3774" i="38"/>
  <c r="F3774" i="38"/>
  <c r="E3774" i="38"/>
  <c r="D3774" i="38"/>
  <c r="C3774" i="38"/>
  <c r="J3773" i="38"/>
  <c r="I3773" i="38"/>
  <c r="H3773" i="38"/>
  <c r="G3773" i="38"/>
  <c r="E3773" i="38"/>
  <c r="D3773" i="38"/>
  <c r="C3773" i="38"/>
  <c r="J3772" i="38"/>
  <c r="I3772" i="38"/>
  <c r="H3772" i="38"/>
  <c r="G3772" i="38"/>
  <c r="F3772" i="38"/>
  <c r="E3772" i="38"/>
  <c r="C3772" i="38"/>
  <c r="H3771" i="38"/>
  <c r="G3771" i="38"/>
  <c r="E3771" i="38"/>
  <c r="C3771" i="38"/>
  <c r="J3770" i="38"/>
  <c r="I3770" i="38"/>
  <c r="H3770" i="38"/>
  <c r="G3770" i="38"/>
  <c r="F3770" i="38"/>
  <c r="E3770" i="38"/>
  <c r="D3770" i="38"/>
  <c r="C3770" i="38"/>
  <c r="J3769" i="38"/>
  <c r="I3769" i="38"/>
  <c r="H3769" i="38"/>
  <c r="G3769" i="38"/>
  <c r="F3769" i="38"/>
  <c r="E3769" i="38"/>
  <c r="D3769" i="38"/>
  <c r="C3769" i="38"/>
  <c r="J3768" i="38"/>
  <c r="I3768" i="38"/>
  <c r="H3768" i="38"/>
  <c r="G3768" i="38"/>
  <c r="F3768" i="38"/>
  <c r="E3768" i="38"/>
  <c r="D3768" i="38"/>
  <c r="C3768" i="38"/>
  <c r="J3767" i="38"/>
  <c r="I3767" i="38"/>
  <c r="H3767" i="38"/>
  <c r="G3767" i="38"/>
  <c r="F3767" i="38"/>
  <c r="E3767" i="38"/>
  <c r="D3767" i="38"/>
  <c r="C3767" i="38"/>
  <c r="J3766" i="38"/>
  <c r="I3766" i="38"/>
  <c r="H3766" i="38"/>
  <c r="G3766" i="38"/>
  <c r="F3766" i="38"/>
  <c r="E3766" i="38"/>
  <c r="D3766" i="38"/>
  <c r="C3766" i="38"/>
  <c r="J3765" i="38"/>
  <c r="I3765" i="38"/>
  <c r="H3765" i="38"/>
  <c r="G3765" i="38"/>
  <c r="F3765" i="38"/>
  <c r="E3765" i="38"/>
  <c r="D3765" i="38"/>
  <c r="C3765" i="38"/>
  <c r="J3764" i="38"/>
  <c r="I3764" i="38"/>
  <c r="H3764" i="38"/>
  <c r="G3764" i="38"/>
  <c r="F3764" i="38"/>
  <c r="E3764" i="38"/>
  <c r="D3764" i="38"/>
  <c r="C3764" i="38"/>
  <c r="J3763" i="38"/>
  <c r="I3763" i="38"/>
  <c r="H3763" i="38"/>
  <c r="G3763" i="38"/>
  <c r="F3763" i="38"/>
  <c r="E3763" i="38"/>
  <c r="D3763" i="38"/>
  <c r="C3763" i="38"/>
  <c r="J3762" i="38"/>
  <c r="I3762" i="38"/>
  <c r="H3762" i="38"/>
  <c r="G3762" i="38"/>
  <c r="F3762" i="38"/>
  <c r="E3762" i="38"/>
  <c r="D3762" i="38"/>
  <c r="C3762" i="38"/>
  <c r="J3761" i="38"/>
  <c r="I3761" i="38"/>
  <c r="H3761" i="38"/>
  <c r="G3761" i="38"/>
  <c r="F3761" i="38"/>
  <c r="E3761" i="38"/>
  <c r="D3761" i="38"/>
  <c r="C3761" i="38"/>
  <c r="J3760" i="38"/>
  <c r="I3760" i="38"/>
  <c r="H3760" i="38"/>
  <c r="G3760" i="38"/>
  <c r="F3760" i="38"/>
  <c r="E3760" i="38"/>
  <c r="D3760" i="38"/>
  <c r="C3760" i="38"/>
  <c r="J3759" i="38"/>
  <c r="I3759" i="38"/>
  <c r="H3759" i="38"/>
  <c r="G3759" i="38"/>
  <c r="F3759" i="38"/>
  <c r="E3759" i="38"/>
  <c r="D3759" i="38"/>
  <c r="C3759" i="38"/>
  <c r="J3758" i="38"/>
  <c r="I3758" i="38"/>
  <c r="H3758" i="38"/>
  <c r="G3758" i="38"/>
  <c r="F3758" i="38"/>
  <c r="E3758" i="38"/>
  <c r="D3758" i="38"/>
  <c r="C3758" i="38"/>
  <c r="J3757" i="38"/>
  <c r="I3757" i="38"/>
  <c r="H3757" i="38"/>
  <c r="G3757" i="38"/>
  <c r="F3757" i="38"/>
  <c r="E3757" i="38"/>
  <c r="D3757" i="38"/>
  <c r="C3757" i="38"/>
  <c r="J3756" i="38"/>
  <c r="I3756" i="38"/>
  <c r="H3756" i="38"/>
  <c r="G3756" i="38"/>
  <c r="F3756" i="38"/>
  <c r="E3756" i="38"/>
  <c r="D3756" i="38"/>
  <c r="C3756" i="38"/>
  <c r="J3755" i="38"/>
  <c r="I3755" i="38"/>
  <c r="H3755" i="38"/>
  <c r="G3755" i="38"/>
  <c r="F3755" i="38"/>
  <c r="E3755" i="38"/>
  <c r="D3755" i="38"/>
  <c r="C3755" i="38"/>
  <c r="J3754" i="38"/>
  <c r="I3754" i="38"/>
  <c r="H3754" i="38"/>
  <c r="G3754" i="38"/>
  <c r="F3754" i="38"/>
  <c r="E3754" i="38"/>
  <c r="D3754" i="38"/>
  <c r="C3754" i="38"/>
  <c r="J3753" i="38"/>
  <c r="I3753" i="38"/>
  <c r="H3753" i="38"/>
  <c r="G3753" i="38"/>
  <c r="E3753" i="38"/>
  <c r="D3753" i="38"/>
  <c r="C3753" i="38"/>
  <c r="J3752" i="38"/>
  <c r="I3752" i="38"/>
  <c r="H3752" i="38"/>
  <c r="G3752" i="38"/>
  <c r="F3752" i="38"/>
  <c r="E3752" i="38"/>
  <c r="C3752" i="38"/>
  <c r="H3751" i="38"/>
  <c r="G3751" i="38"/>
  <c r="E3751" i="38"/>
  <c r="C3751" i="38"/>
  <c r="H3750" i="38"/>
  <c r="G3750" i="38"/>
  <c r="E3750" i="38"/>
  <c r="D3750" i="38"/>
  <c r="C3750" i="38"/>
  <c r="H3749" i="38"/>
  <c r="G3749" i="38"/>
  <c r="E3749" i="38"/>
  <c r="D3749" i="38"/>
  <c r="C3749" i="38"/>
  <c r="H3748" i="38"/>
  <c r="G3748" i="38"/>
  <c r="E3748" i="38"/>
  <c r="D3748" i="38"/>
  <c r="C3748" i="38"/>
  <c r="H3747" i="38"/>
  <c r="G3747" i="38"/>
  <c r="E3747" i="38"/>
  <c r="D3747" i="38"/>
  <c r="C3747" i="38"/>
  <c r="J3746" i="38"/>
  <c r="I3746" i="38"/>
  <c r="H3746" i="38"/>
  <c r="G3746" i="38"/>
  <c r="F3746" i="38"/>
  <c r="E3746" i="38"/>
  <c r="D3746" i="38"/>
  <c r="C3746" i="38"/>
  <c r="J3745" i="38"/>
  <c r="I3745" i="38"/>
  <c r="H3745" i="38"/>
  <c r="G3745" i="38"/>
  <c r="F3745" i="38"/>
  <c r="E3745" i="38"/>
  <c r="D3745" i="38"/>
  <c r="C3745" i="38"/>
  <c r="J3744" i="38"/>
  <c r="I3744" i="38"/>
  <c r="H3744" i="38"/>
  <c r="G3744" i="38"/>
  <c r="F3744" i="38"/>
  <c r="E3744" i="38"/>
  <c r="D3744" i="38"/>
  <c r="C3744" i="38"/>
  <c r="J3743" i="38"/>
  <c r="I3743" i="38"/>
  <c r="H3743" i="38"/>
  <c r="G3743" i="38"/>
  <c r="E3743" i="38"/>
  <c r="D3743" i="38"/>
  <c r="C3743" i="38"/>
  <c r="J3742" i="38"/>
  <c r="I3742" i="38"/>
  <c r="H3742" i="38"/>
  <c r="G3742" i="38"/>
  <c r="F3742" i="38"/>
  <c r="E3742" i="38"/>
  <c r="C3742" i="38"/>
  <c r="H3741" i="38"/>
  <c r="G3741" i="38"/>
  <c r="E3741" i="38"/>
  <c r="C3741" i="38"/>
  <c r="H3740" i="38"/>
  <c r="G3740" i="38"/>
  <c r="E3740" i="38"/>
  <c r="D3740" i="38"/>
  <c r="C3740" i="38"/>
  <c r="H3739" i="38"/>
  <c r="G3739" i="38"/>
  <c r="E3739" i="38"/>
  <c r="D3739" i="38"/>
  <c r="C3739" i="38"/>
  <c r="H3738" i="38"/>
  <c r="G3738" i="38"/>
  <c r="E3738" i="38"/>
  <c r="D3738" i="38"/>
  <c r="C3738" i="38"/>
  <c r="H3737" i="38"/>
  <c r="G3737" i="38"/>
  <c r="E3737" i="38"/>
  <c r="D3737" i="38"/>
  <c r="C3737" i="38"/>
  <c r="J3736" i="38"/>
  <c r="I3736" i="38"/>
  <c r="H3736" i="38"/>
  <c r="G3736" i="38"/>
  <c r="F3736" i="38"/>
  <c r="E3736" i="38"/>
  <c r="D3736" i="38"/>
  <c r="C3736" i="38"/>
  <c r="J3735" i="38"/>
  <c r="I3735" i="38"/>
  <c r="H3735" i="38"/>
  <c r="G3735" i="38"/>
  <c r="F3735" i="38"/>
  <c r="E3735" i="38"/>
  <c r="D3735" i="38"/>
  <c r="C3735" i="38"/>
  <c r="J3734" i="38"/>
  <c r="I3734" i="38"/>
  <c r="H3734" i="38"/>
  <c r="G3734" i="38"/>
  <c r="F3734" i="38"/>
  <c r="E3734" i="38"/>
  <c r="D3734" i="38"/>
  <c r="C3734" i="38"/>
  <c r="J3733" i="38"/>
  <c r="I3733" i="38"/>
  <c r="H3733" i="38"/>
  <c r="G3733" i="38"/>
  <c r="E3733" i="38"/>
  <c r="D3733" i="38"/>
  <c r="C3733" i="38"/>
  <c r="J3732" i="38"/>
  <c r="I3732" i="38"/>
  <c r="H3732" i="38"/>
  <c r="G3732" i="38"/>
  <c r="F3732" i="38"/>
  <c r="E3732" i="38"/>
  <c r="C3732" i="38"/>
  <c r="H3731" i="38"/>
  <c r="G3731" i="38"/>
  <c r="E3731" i="38"/>
  <c r="C3731" i="38"/>
  <c r="H3730" i="38"/>
  <c r="G3730" i="38"/>
  <c r="E3730" i="38"/>
  <c r="D3730" i="38"/>
  <c r="C3730" i="38"/>
  <c r="H3729" i="38"/>
  <c r="G3729" i="38"/>
  <c r="E3729" i="38"/>
  <c r="D3729" i="38"/>
  <c r="C3729" i="38"/>
  <c r="H3728" i="38"/>
  <c r="G3728" i="38"/>
  <c r="E3728" i="38"/>
  <c r="D3728" i="38"/>
  <c r="C3728" i="38"/>
  <c r="H3727" i="38"/>
  <c r="G3727" i="38"/>
  <c r="E3727" i="38"/>
  <c r="D3727" i="38"/>
  <c r="C3727" i="38"/>
  <c r="J3726" i="38"/>
  <c r="I3726" i="38"/>
  <c r="H3726" i="38"/>
  <c r="G3726" i="38"/>
  <c r="F3726" i="38"/>
  <c r="E3726" i="38"/>
  <c r="D3726" i="38"/>
  <c r="C3726" i="38"/>
  <c r="J3725" i="38"/>
  <c r="I3725" i="38"/>
  <c r="H3725" i="38"/>
  <c r="G3725" i="38"/>
  <c r="F3725" i="38"/>
  <c r="E3725" i="38"/>
  <c r="D3725" i="38"/>
  <c r="C3725" i="38"/>
  <c r="J3724" i="38"/>
  <c r="I3724" i="38"/>
  <c r="H3724" i="38"/>
  <c r="G3724" i="38"/>
  <c r="F3724" i="38"/>
  <c r="E3724" i="38"/>
  <c r="D3724" i="38"/>
  <c r="C3724" i="38"/>
  <c r="J3723" i="38"/>
  <c r="I3723" i="38"/>
  <c r="H3723" i="38"/>
  <c r="G3723" i="38"/>
  <c r="E3723" i="38"/>
  <c r="D3723" i="38"/>
  <c r="C3723" i="38"/>
  <c r="J3722" i="38"/>
  <c r="I3722" i="38"/>
  <c r="H3722" i="38"/>
  <c r="G3722" i="38"/>
  <c r="F3722" i="38"/>
  <c r="E3722" i="38"/>
  <c r="C3722" i="38"/>
  <c r="H3721" i="38"/>
  <c r="G3721" i="38"/>
  <c r="E3721" i="38"/>
  <c r="C3721" i="38"/>
  <c r="H3720" i="38"/>
  <c r="G3720" i="38"/>
  <c r="E3720" i="38"/>
  <c r="D3720" i="38"/>
  <c r="C3720" i="38"/>
  <c r="H3719" i="38"/>
  <c r="G3719" i="38"/>
  <c r="E3719" i="38"/>
  <c r="D3719" i="38"/>
  <c r="C3719" i="38"/>
  <c r="H3718" i="38"/>
  <c r="G3718" i="38"/>
  <c r="E3718" i="38"/>
  <c r="D3718" i="38"/>
  <c r="C3718" i="38"/>
  <c r="H3717" i="38"/>
  <c r="G3717" i="38"/>
  <c r="E3717" i="38"/>
  <c r="D3717" i="38"/>
  <c r="C3717" i="38"/>
  <c r="J3716" i="38"/>
  <c r="I3716" i="38"/>
  <c r="H3716" i="38"/>
  <c r="G3716" i="38"/>
  <c r="F3716" i="38"/>
  <c r="E3716" i="38"/>
  <c r="D3716" i="38"/>
  <c r="C3716" i="38"/>
  <c r="J3715" i="38"/>
  <c r="I3715" i="38"/>
  <c r="H3715" i="38"/>
  <c r="G3715" i="38"/>
  <c r="F3715" i="38"/>
  <c r="E3715" i="38"/>
  <c r="D3715" i="38"/>
  <c r="C3715" i="38"/>
  <c r="J3714" i="38"/>
  <c r="I3714" i="38"/>
  <c r="H3714" i="38"/>
  <c r="G3714" i="38"/>
  <c r="F3714" i="38"/>
  <c r="E3714" i="38"/>
  <c r="D3714" i="38"/>
  <c r="C3714" i="38"/>
  <c r="J3713" i="38"/>
  <c r="I3713" i="38"/>
  <c r="H3713" i="38"/>
  <c r="G3713" i="38"/>
  <c r="E3713" i="38"/>
  <c r="D3713" i="38"/>
  <c r="C3713" i="38"/>
  <c r="J3712" i="38"/>
  <c r="I3712" i="38"/>
  <c r="H3712" i="38"/>
  <c r="G3712" i="38"/>
  <c r="F3712" i="38"/>
  <c r="E3712" i="38"/>
  <c r="C3712" i="38"/>
  <c r="H3711" i="38"/>
  <c r="G3711" i="38"/>
  <c r="E3711" i="38"/>
  <c r="C3711" i="38"/>
  <c r="H3710" i="38"/>
  <c r="G3710" i="38"/>
  <c r="E3710" i="38"/>
  <c r="D3710" i="38"/>
  <c r="C3710" i="38"/>
  <c r="H3709" i="38"/>
  <c r="G3709" i="38"/>
  <c r="E3709" i="38"/>
  <c r="D3709" i="38"/>
  <c r="C3709" i="38"/>
  <c r="H3708" i="38"/>
  <c r="G3708" i="38"/>
  <c r="E3708" i="38"/>
  <c r="D3708" i="38"/>
  <c r="C3708" i="38"/>
  <c r="H3707" i="38"/>
  <c r="G3707" i="38"/>
  <c r="E3707" i="38"/>
  <c r="D3707" i="38"/>
  <c r="C3707" i="38"/>
  <c r="J3706" i="38"/>
  <c r="I3706" i="38"/>
  <c r="H3706" i="38"/>
  <c r="G3706" i="38"/>
  <c r="F3706" i="38"/>
  <c r="E3706" i="38"/>
  <c r="D3706" i="38"/>
  <c r="C3706" i="38"/>
  <c r="J3705" i="38"/>
  <c r="I3705" i="38"/>
  <c r="H3705" i="38"/>
  <c r="G3705" i="38"/>
  <c r="F3705" i="38"/>
  <c r="E3705" i="38"/>
  <c r="D3705" i="38"/>
  <c r="C3705" i="38"/>
  <c r="J3704" i="38"/>
  <c r="I3704" i="38"/>
  <c r="H3704" i="38"/>
  <c r="G3704" i="38"/>
  <c r="F3704" i="38"/>
  <c r="E3704" i="38"/>
  <c r="D3704" i="38"/>
  <c r="C3704" i="38"/>
  <c r="J3703" i="38"/>
  <c r="I3703" i="38"/>
  <c r="H3703" i="38"/>
  <c r="G3703" i="38"/>
  <c r="E3703" i="38"/>
  <c r="D3703" i="38"/>
  <c r="C3703" i="38"/>
  <c r="J3702" i="38"/>
  <c r="I3702" i="38"/>
  <c r="H3702" i="38"/>
  <c r="G3702" i="38"/>
  <c r="F3702" i="38"/>
  <c r="E3702" i="38"/>
  <c r="C3702" i="38"/>
  <c r="H3701" i="38"/>
  <c r="G3701" i="38"/>
  <c r="E3701" i="38"/>
  <c r="C3701" i="38"/>
  <c r="H3700" i="38"/>
  <c r="G3700" i="38"/>
  <c r="E3700" i="38"/>
  <c r="D3700" i="38"/>
  <c r="C3700" i="38"/>
  <c r="H3699" i="38"/>
  <c r="G3699" i="38"/>
  <c r="E3699" i="38"/>
  <c r="D3699" i="38"/>
  <c r="C3699" i="38"/>
  <c r="H3698" i="38"/>
  <c r="G3698" i="38"/>
  <c r="E3698" i="38"/>
  <c r="D3698" i="38"/>
  <c r="C3698" i="38"/>
  <c r="H3697" i="38"/>
  <c r="G3697" i="38"/>
  <c r="E3697" i="38"/>
  <c r="D3697" i="38"/>
  <c r="C3697" i="38"/>
  <c r="J3696" i="38"/>
  <c r="I3696" i="38"/>
  <c r="H3696" i="38"/>
  <c r="G3696" i="38"/>
  <c r="F3696" i="38"/>
  <c r="E3696" i="38"/>
  <c r="D3696" i="38"/>
  <c r="C3696" i="38"/>
  <c r="J3695" i="38"/>
  <c r="I3695" i="38"/>
  <c r="H3695" i="38"/>
  <c r="G3695" i="38"/>
  <c r="F3695" i="38"/>
  <c r="E3695" i="38"/>
  <c r="D3695" i="38"/>
  <c r="C3695" i="38"/>
  <c r="J3694" i="38"/>
  <c r="I3694" i="38"/>
  <c r="H3694" i="38"/>
  <c r="G3694" i="38"/>
  <c r="F3694" i="38"/>
  <c r="E3694" i="38"/>
  <c r="D3694" i="38"/>
  <c r="C3694" i="38"/>
  <c r="J3693" i="38"/>
  <c r="I3693" i="38"/>
  <c r="H3693" i="38"/>
  <c r="G3693" i="38"/>
  <c r="E3693" i="38"/>
  <c r="D3693" i="38"/>
  <c r="C3693" i="38"/>
  <c r="J3692" i="38"/>
  <c r="I3692" i="38"/>
  <c r="H3692" i="38"/>
  <c r="G3692" i="38"/>
  <c r="F3692" i="38"/>
  <c r="E3692" i="38"/>
  <c r="C3692" i="38"/>
  <c r="H3691" i="38"/>
  <c r="G3691" i="38"/>
  <c r="E3691" i="38"/>
  <c r="C3691" i="38"/>
  <c r="H3690" i="38"/>
  <c r="G3690" i="38"/>
  <c r="E3690" i="38"/>
  <c r="D3690" i="38"/>
  <c r="C3690" i="38"/>
  <c r="H3689" i="38"/>
  <c r="G3689" i="38"/>
  <c r="E3689" i="38"/>
  <c r="D3689" i="38"/>
  <c r="C3689" i="38"/>
  <c r="H3688" i="38"/>
  <c r="G3688" i="38"/>
  <c r="E3688" i="38"/>
  <c r="D3688" i="38"/>
  <c r="C3688" i="38"/>
  <c r="H3687" i="38"/>
  <c r="G3687" i="38"/>
  <c r="E3687" i="38"/>
  <c r="D3687" i="38"/>
  <c r="C3687" i="38"/>
  <c r="J3686" i="38"/>
  <c r="I3686" i="38"/>
  <c r="H3686" i="38"/>
  <c r="G3686" i="38"/>
  <c r="F3686" i="38"/>
  <c r="E3686" i="38"/>
  <c r="D3686" i="38"/>
  <c r="C3686" i="38"/>
  <c r="J3685" i="38"/>
  <c r="I3685" i="38"/>
  <c r="H3685" i="38"/>
  <c r="G3685" i="38"/>
  <c r="F3685" i="38"/>
  <c r="E3685" i="38"/>
  <c r="D3685" i="38"/>
  <c r="C3685" i="38"/>
  <c r="J3684" i="38"/>
  <c r="I3684" i="38"/>
  <c r="H3684" i="38"/>
  <c r="G3684" i="38"/>
  <c r="F3684" i="38"/>
  <c r="E3684" i="38"/>
  <c r="D3684" i="38"/>
  <c r="C3684" i="38"/>
  <c r="J3683" i="38"/>
  <c r="I3683" i="38"/>
  <c r="H3683" i="38"/>
  <c r="G3683" i="38"/>
  <c r="E3683" i="38"/>
  <c r="D3683" i="38"/>
  <c r="C3683" i="38"/>
  <c r="J3682" i="38"/>
  <c r="I3682" i="38"/>
  <c r="H3682" i="38"/>
  <c r="G3682" i="38"/>
  <c r="F3682" i="38"/>
  <c r="E3682" i="38"/>
  <c r="C3682" i="38"/>
  <c r="H3681" i="38"/>
  <c r="G3681" i="38"/>
  <c r="E3681" i="38"/>
  <c r="C3681" i="38"/>
  <c r="H3680" i="38"/>
  <c r="G3680" i="38"/>
  <c r="E3680" i="38"/>
  <c r="D3680" i="38"/>
  <c r="C3680" i="38"/>
  <c r="H3679" i="38"/>
  <c r="G3679" i="38"/>
  <c r="E3679" i="38"/>
  <c r="D3679" i="38"/>
  <c r="C3679" i="38"/>
  <c r="H3678" i="38"/>
  <c r="G3678" i="38"/>
  <c r="E3678" i="38"/>
  <c r="D3678" i="38"/>
  <c r="C3678" i="38"/>
  <c r="H3677" i="38"/>
  <c r="G3677" i="38"/>
  <c r="E3677" i="38"/>
  <c r="D3677" i="38"/>
  <c r="C3677" i="38"/>
  <c r="J3676" i="38"/>
  <c r="I3676" i="38"/>
  <c r="H3676" i="38"/>
  <c r="G3676" i="38"/>
  <c r="F3676" i="38"/>
  <c r="E3676" i="38"/>
  <c r="D3676" i="38"/>
  <c r="C3676" i="38"/>
  <c r="J3675" i="38"/>
  <c r="I3675" i="38"/>
  <c r="H3675" i="38"/>
  <c r="G3675" i="38"/>
  <c r="F3675" i="38"/>
  <c r="E3675" i="38"/>
  <c r="D3675" i="38"/>
  <c r="C3675" i="38"/>
  <c r="J3674" i="38"/>
  <c r="I3674" i="38"/>
  <c r="H3674" i="38"/>
  <c r="G3674" i="38"/>
  <c r="F3674" i="38"/>
  <c r="E3674" i="38"/>
  <c r="D3674" i="38"/>
  <c r="C3674" i="38"/>
  <c r="J3673" i="38"/>
  <c r="I3673" i="38"/>
  <c r="H3673" i="38"/>
  <c r="G3673" i="38"/>
  <c r="E3673" i="38"/>
  <c r="D3673" i="38"/>
  <c r="C3673" i="38"/>
  <c r="J3672" i="38"/>
  <c r="I3672" i="38"/>
  <c r="H3672" i="38"/>
  <c r="G3672" i="38"/>
  <c r="F3672" i="38"/>
  <c r="E3672" i="38"/>
  <c r="C3672" i="38"/>
  <c r="H3671" i="38"/>
  <c r="G3671" i="38"/>
  <c r="E3671" i="38"/>
  <c r="C3671" i="38"/>
  <c r="H3670" i="38"/>
  <c r="G3670" i="38"/>
  <c r="E3670" i="38"/>
  <c r="D3670" i="38"/>
  <c r="C3670" i="38"/>
  <c r="H3669" i="38"/>
  <c r="G3669" i="38"/>
  <c r="E3669" i="38"/>
  <c r="D3669" i="38"/>
  <c r="C3669" i="38"/>
  <c r="H3668" i="38"/>
  <c r="G3668" i="38"/>
  <c r="E3668" i="38"/>
  <c r="D3668" i="38"/>
  <c r="C3668" i="38"/>
  <c r="H3667" i="38"/>
  <c r="G3667" i="38"/>
  <c r="E3667" i="38"/>
  <c r="D3667" i="38"/>
  <c r="C3667" i="38"/>
  <c r="J3666" i="38"/>
  <c r="I3666" i="38"/>
  <c r="H3666" i="38"/>
  <c r="G3666" i="38"/>
  <c r="F3666" i="38"/>
  <c r="E3666" i="38"/>
  <c r="D3666" i="38"/>
  <c r="C3666" i="38"/>
  <c r="J3665" i="38"/>
  <c r="I3665" i="38"/>
  <c r="H3665" i="38"/>
  <c r="G3665" i="38"/>
  <c r="F3665" i="38"/>
  <c r="E3665" i="38"/>
  <c r="D3665" i="38"/>
  <c r="C3665" i="38"/>
  <c r="J3664" i="38"/>
  <c r="I3664" i="38"/>
  <c r="H3664" i="38"/>
  <c r="G3664" i="38"/>
  <c r="F3664" i="38"/>
  <c r="E3664" i="38"/>
  <c r="D3664" i="38"/>
  <c r="C3664" i="38"/>
  <c r="J3663" i="38"/>
  <c r="I3663" i="38"/>
  <c r="H3663" i="38"/>
  <c r="G3663" i="38"/>
  <c r="E3663" i="38"/>
  <c r="D3663" i="38"/>
  <c r="C3663" i="38"/>
  <c r="J3662" i="38"/>
  <c r="I3662" i="38"/>
  <c r="H3662" i="38"/>
  <c r="G3662" i="38"/>
  <c r="F3662" i="38"/>
  <c r="E3662" i="38"/>
  <c r="C3662" i="38"/>
  <c r="H3661" i="38"/>
  <c r="G3661" i="38"/>
  <c r="E3661" i="38"/>
  <c r="C3661" i="38"/>
  <c r="H3660" i="38"/>
  <c r="G3660" i="38"/>
  <c r="E3660" i="38"/>
  <c r="D3660" i="38"/>
  <c r="C3660" i="38"/>
  <c r="H3659" i="38"/>
  <c r="G3659" i="38"/>
  <c r="E3659" i="38"/>
  <c r="D3659" i="38"/>
  <c r="C3659" i="38"/>
  <c r="H3658" i="38"/>
  <c r="G3658" i="38"/>
  <c r="E3658" i="38"/>
  <c r="D3658" i="38"/>
  <c r="C3658" i="38"/>
  <c r="H3657" i="38"/>
  <c r="G3657" i="38"/>
  <c r="E3657" i="38"/>
  <c r="D3657" i="38"/>
  <c r="C3657" i="38"/>
  <c r="J3656" i="38"/>
  <c r="I3656" i="38"/>
  <c r="H3656" i="38"/>
  <c r="G3656" i="38"/>
  <c r="F3656" i="38"/>
  <c r="E3656" i="38"/>
  <c r="D3656" i="38"/>
  <c r="C3656" i="38"/>
  <c r="J3655" i="38"/>
  <c r="I3655" i="38"/>
  <c r="H3655" i="38"/>
  <c r="G3655" i="38"/>
  <c r="F3655" i="38"/>
  <c r="E3655" i="38"/>
  <c r="D3655" i="38"/>
  <c r="C3655" i="38"/>
  <c r="J3654" i="38"/>
  <c r="I3654" i="38"/>
  <c r="H3654" i="38"/>
  <c r="G3654" i="38"/>
  <c r="F3654" i="38"/>
  <c r="E3654" i="38"/>
  <c r="D3654" i="38"/>
  <c r="C3654" i="38"/>
  <c r="J3653" i="38"/>
  <c r="I3653" i="38"/>
  <c r="H3653" i="38"/>
  <c r="G3653" i="38"/>
  <c r="E3653" i="38"/>
  <c r="D3653" i="38"/>
  <c r="C3653" i="38"/>
  <c r="J3652" i="38"/>
  <c r="I3652" i="38"/>
  <c r="H3652" i="38"/>
  <c r="G3652" i="38"/>
  <c r="F3652" i="38"/>
  <c r="E3652" i="38"/>
  <c r="C3652" i="38"/>
  <c r="H3651" i="38"/>
  <c r="G3651" i="38"/>
  <c r="E3651" i="38"/>
  <c r="C3651" i="38"/>
  <c r="H3650" i="38"/>
  <c r="G3650" i="38"/>
  <c r="E3650" i="38"/>
  <c r="D3650" i="38"/>
  <c r="C3650" i="38"/>
  <c r="H3649" i="38"/>
  <c r="G3649" i="38"/>
  <c r="E3649" i="38"/>
  <c r="D3649" i="38"/>
  <c r="C3649" i="38"/>
  <c r="H3648" i="38"/>
  <c r="G3648" i="38"/>
  <c r="E3648" i="38"/>
  <c r="D3648" i="38"/>
  <c r="C3648" i="38"/>
  <c r="H3647" i="38"/>
  <c r="G3647" i="38"/>
  <c r="E3647" i="38"/>
  <c r="D3647" i="38"/>
  <c r="C3647" i="38"/>
  <c r="J3646" i="38"/>
  <c r="I3646" i="38"/>
  <c r="H3646" i="38"/>
  <c r="G3646" i="38"/>
  <c r="F3646" i="38"/>
  <c r="E3646" i="38"/>
  <c r="D3646" i="38"/>
  <c r="C3646" i="38"/>
  <c r="J3645" i="38"/>
  <c r="I3645" i="38"/>
  <c r="H3645" i="38"/>
  <c r="G3645" i="38"/>
  <c r="F3645" i="38"/>
  <c r="E3645" i="38"/>
  <c r="D3645" i="38"/>
  <c r="C3645" i="38"/>
  <c r="J3644" i="38"/>
  <c r="I3644" i="38"/>
  <c r="H3644" i="38"/>
  <c r="G3644" i="38"/>
  <c r="F3644" i="38"/>
  <c r="E3644" i="38"/>
  <c r="D3644" i="38"/>
  <c r="C3644" i="38"/>
  <c r="J3643" i="38"/>
  <c r="I3643" i="38"/>
  <c r="H3643" i="38"/>
  <c r="G3643" i="38"/>
  <c r="E3643" i="38"/>
  <c r="D3643" i="38"/>
  <c r="C3643" i="38"/>
  <c r="J3642" i="38"/>
  <c r="I3642" i="38"/>
  <c r="H3642" i="38"/>
  <c r="G3642" i="38"/>
  <c r="F3642" i="38"/>
  <c r="E3642" i="38"/>
  <c r="C3642" i="38"/>
  <c r="H3641" i="38"/>
  <c r="G3641" i="38"/>
  <c r="E3641" i="38"/>
  <c r="C3641" i="38"/>
  <c r="H3640" i="38"/>
  <c r="G3640" i="38"/>
  <c r="E3640" i="38"/>
  <c r="D3640" i="38"/>
  <c r="C3640" i="38"/>
  <c r="H3639" i="38"/>
  <c r="G3639" i="38"/>
  <c r="E3639" i="38"/>
  <c r="D3639" i="38"/>
  <c r="C3639" i="38"/>
  <c r="H3638" i="38"/>
  <c r="G3638" i="38"/>
  <c r="E3638" i="38"/>
  <c r="D3638" i="38"/>
  <c r="C3638" i="38"/>
  <c r="H3637" i="38"/>
  <c r="G3637" i="38"/>
  <c r="E3637" i="38"/>
  <c r="D3637" i="38"/>
  <c r="C3637" i="38"/>
  <c r="J3636" i="38"/>
  <c r="I3636" i="38"/>
  <c r="H3636" i="38"/>
  <c r="G3636" i="38"/>
  <c r="F3636" i="38"/>
  <c r="E3636" i="38"/>
  <c r="D3636" i="38"/>
  <c r="C3636" i="38"/>
  <c r="J3635" i="38"/>
  <c r="I3635" i="38"/>
  <c r="H3635" i="38"/>
  <c r="G3635" i="38"/>
  <c r="F3635" i="38"/>
  <c r="E3635" i="38"/>
  <c r="D3635" i="38"/>
  <c r="C3635" i="38"/>
  <c r="J3634" i="38"/>
  <c r="I3634" i="38"/>
  <c r="H3634" i="38"/>
  <c r="G3634" i="38"/>
  <c r="F3634" i="38"/>
  <c r="E3634" i="38"/>
  <c r="D3634" i="38"/>
  <c r="C3634" i="38"/>
  <c r="J3633" i="38"/>
  <c r="I3633" i="38"/>
  <c r="H3633" i="38"/>
  <c r="G3633" i="38"/>
  <c r="E3633" i="38"/>
  <c r="D3633" i="38"/>
  <c r="C3633" i="38"/>
  <c r="J3632" i="38"/>
  <c r="I3632" i="38"/>
  <c r="H3632" i="38"/>
  <c r="G3632" i="38"/>
  <c r="F3632" i="38"/>
  <c r="E3632" i="38"/>
  <c r="C3632" i="38"/>
  <c r="H3631" i="38"/>
  <c r="G3631" i="38"/>
  <c r="E3631" i="38"/>
  <c r="C3631" i="38"/>
  <c r="H3630" i="38"/>
  <c r="G3630" i="38"/>
  <c r="E3630" i="38"/>
  <c r="D3630" i="38"/>
  <c r="C3630" i="38"/>
  <c r="H3629" i="38"/>
  <c r="G3629" i="38"/>
  <c r="E3629" i="38"/>
  <c r="D3629" i="38"/>
  <c r="C3629" i="38"/>
  <c r="H3628" i="38"/>
  <c r="G3628" i="38"/>
  <c r="E3628" i="38"/>
  <c r="D3628" i="38"/>
  <c r="C3628" i="38"/>
  <c r="H3627" i="38"/>
  <c r="G3627" i="38"/>
  <c r="E3627" i="38"/>
  <c r="D3627" i="38"/>
  <c r="C3627" i="38"/>
  <c r="J3626" i="38"/>
  <c r="I3626" i="38"/>
  <c r="H3626" i="38"/>
  <c r="G3626" i="38"/>
  <c r="F3626" i="38"/>
  <c r="E3626" i="38"/>
  <c r="D3626" i="38"/>
  <c r="C3626" i="38"/>
  <c r="J3625" i="38"/>
  <c r="I3625" i="38"/>
  <c r="H3625" i="38"/>
  <c r="G3625" i="38"/>
  <c r="F3625" i="38"/>
  <c r="E3625" i="38"/>
  <c r="D3625" i="38"/>
  <c r="C3625" i="38"/>
  <c r="J3624" i="38"/>
  <c r="I3624" i="38"/>
  <c r="H3624" i="38"/>
  <c r="G3624" i="38"/>
  <c r="F3624" i="38"/>
  <c r="E3624" i="38"/>
  <c r="D3624" i="38"/>
  <c r="C3624" i="38"/>
  <c r="J3623" i="38"/>
  <c r="I3623" i="38"/>
  <c r="H3623" i="38"/>
  <c r="G3623" i="38"/>
  <c r="E3623" i="38"/>
  <c r="D3623" i="38"/>
  <c r="C3623" i="38"/>
  <c r="J3622" i="38"/>
  <c r="I3622" i="38"/>
  <c r="H3622" i="38"/>
  <c r="G3622" i="38"/>
  <c r="F3622" i="38"/>
  <c r="E3622" i="38"/>
  <c r="C3622" i="38"/>
  <c r="H3621" i="38"/>
  <c r="G3621" i="38"/>
  <c r="E3621" i="38"/>
  <c r="C3621" i="38"/>
  <c r="H3620" i="38"/>
  <c r="G3620" i="38"/>
  <c r="E3620" i="38"/>
  <c r="D3620" i="38"/>
  <c r="C3620" i="38"/>
  <c r="H3619" i="38"/>
  <c r="G3619" i="38"/>
  <c r="E3619" i="38"/>
  <c r="D3619" i="38"/>
  <c r="C3619" i="38"/>
  <c r="H3618" i="38"/>
  <c r="G3618" i="38"/>
  <c r="E3618" i="38"/>
  <c r="D3618" i="38"/>
  <c r="C3618" i="38"/>
  <c r="H3617" i="38"/>
  <c r="G3617" i="38"/>
  <c r="E3617" i="38"/>
  <c r="D3617" i="38"/>
  <c r="C3617" i="38"/>
  <c r="J3616" i="38"/>
  <c r="I3616" i="38"/>
  <c r="H3616" i="38"/>
  <c r="G3616" i="38"/>
  <c r="F3616" i="38"/>
  <c r="E3616" i="38"/>
  <c r="D3616" i="38"/>
  <c r="C3616" i="38"/>
  <c r="J3615" i="38"/>
  <c r="I3615" i="38"/>
  <c r="H3615" i="38"/>
  <c r="G3615" i="38"/>
  <c r="F3615" i="38"/>
  <c r="E3615" i="38"/>
  <c r="D3615" i="38"/>
  <c r="C3615" i="38"/>
  <c r="J3614" i="38"/>
  <c r="I3614" i="38"/>
  <c r="H3614" i="38"/>
  <c r="G3614" i="38"/>
  <c r="F3614" i="38"/>
  <c r="E3614" i="38"/>
  <c r="D3614" i="38"/>
  <c r="C3614" i="38"/>
  <c r="J3613" i="38"/>
  <c r="I3613" i="38"/>
  <c r="H3613" i="38"/>
  <c r="G3613" i="38"/>
  <c r="E3613" i="38"/>
  <c r="D3613" i="38"/>
  <c r="C3613" i="38"/>
  <c r="J3612" i="38"/>
  <c r="I3612" i="38"/>
  <c r="H3612" i="38"/>
  <c r="G3612" i="38"/>
  <c r="F3612" i="38"/>
  <c r="E3612" i="38"/>
  <c r="C3612" i="38"/>
  <c r="H3611" i="38"/>
  <c r="G3611" i="38"/>
  <c r="E3611" i="38"/>
  <c r="C3611" i="38"/>
  <c r="H3610" i="38"/>
  <c r="G3610" i="38"/>
  <c r="E3610" i="38"/>
  <c r="D3610" i="38"/>
  <c r="C3610" i="38"/>
  <c r="H3609" i="38"/>
  <c r="G3609" i="38"/>
  <c r="E3609" i="38"/>
  <c r="D3609" i="38"/>
  <c r="C3609" i="38"/>
  <c r="H3608" i="38"/>
  <c r="G3608" i="38"/>
  <c r="E3608" i="38"/>
  <c r="D3608" i="38"/>
  <c r="C3608" i="38"/>
  <c r="H3607" i="38"/>
  <c r="G3607" i="38"/>
  <c r="E3607" i="38"/>
  <c r="D3607" i="38"/>
  <c r="C3607" i="38"/>
  <c r="J3606" i="38"/>
  <c r="I3606" i="38"/>
  <c r="H3606" i="38"/>
  <c r="G3606" i="38"/>
  <c r="F3606" i="38"/>
  <c r="E3606" i="38"/>
  <c r="D3606" i="38"/>
  <c r="C3606" i="38"/>
  <c r="J3605" i="38"/>
  <c r="I3605" i="38"/>
  <c r="H3605" i="38"/>
  <c r="G3605" i="38"/>
  <c r="F3605" i="38"/>
  <c r="E3605" i="38"/>
  <c r="D3605" i="38"/>
  <c r="C3605" i="38"/>
  <c r="J3604" i="38"/>
  <c r="I3604" i="38"/>
  <c r="H3604" i="38"/>
  <c r="G3604" i="38"/>
  <c r="F3604" i="38"/>
  <c r="E3604" i="38"/>
  <c r="D3604" i="38"/>
  <c r="C3604" i="38"/>
  <c r="J3603" i="38"/>
  <c r="I3603" i="38"/>
  <c r="H3603" i="38"/>
  <c r="G3603" i="38"/>
  <c r="E3603" i="38"/>
  <c r="D3603" i="38"/>
  <c r="C3603" i="38"/>
  <c r="J3602" i="38"/>
  <c r="I3602" i="38"/>
  <c r="H3602" i="38"/>
  <c r="G3602" i="38"/>
  <c r="F3602" i="38"/>
  <c r="E3602" i="38"/>
  <c r="C3602" i="38"/>
  <c r="H3601" i="38"/>
  <c r="G3601" i="38"/>
  <c r="E3601" i="38"/>
  <c r="C3601" i="38"/>
  <c r="H3600" i="38"/>
  <c r="G3600" i="38"/>
  <c r="E3600" i="38"/>
  <c r="D3600" i="38"/>
  <c r="C3600" i="38"/>
  <c r="H3599" i="38"/>
  <c r="G3599" i="38"/>
  <c r="E3599" i="38"/>
  <c r="D3599" i="38"/>
  <c r="C3599" i="38"/>
  <c r="H3598" i="38"/>
  <c r="G3598" i="38"/>
  <c r="E3598" i="38"/>
  <c r="D3598" i="38"/>
  <c r="C3598" i="38"/>
  <c r="H3597" i="38"/>
  <c r="G3597" i="38"/>
  <c r="E3597" i="38"/>
  <c r="D3597" i="38"/>
  <c r="C3597" i="38"/>
  <c r="J3596" i="38"/>
  <c r="I3596" i="38"/>
  <c r="H3596" i="38"/>
  <c r="G3596" i="38"/>
  <c r="F3596" i="38"/>
  <c r="E3596" i="38"/>
  <c r="D3596" i="38"/>
  <c r="C3596" i="38"/>
  <c r="J3595" i="38"/>
  <c r="I3595" i="38"/>
  <c r="H3595" i="38"/>
  <c r="G3595" i="38"/>
  <c r="F3595" i="38"/>
  <c r="E3595" i="38"/>
  <c r="D3595" i="38"/>
  <c r="C3595" i="38"/>
  <c r="J3594" i="38"/>
  <c r="I3594" i="38"/>
  <c r="H3594" i="38"/>
  <c r="G3594" i="38"/>
  <c r="F3594" i="38"/>
  <c r="E3594" i="38"/>
  <c r="D3594" i="38"/>
  <c r="C3594" i="38"/>
  <c r="J3593" i="38"/>
  <c r="I3593" i="38"/>
  <c r="H3593" i="38"/>
  <c r="G3593" i="38"/>
  <c r="E3593" i="38"/>
  <c r="D3593" i="38"/>
  <c r="C3593" i="38"/>
  <c r="J3592" i="38"/>
  <c r="I3592" i="38"/>
  <c r="H3592" i="38"/>
  <c r="G3592" i="38"/>
  <c r="F3592" i="38"/>
  <c r="E3592" i="38"/>
  <c r="C3592" i="38"/>
  <c r="H3591" i="38"/>
  <c r="G3591" i="38"/>
  <c r="E3591" i="38"/>
  <c r="C3591" i="38"/>
  <c r="J3590" i="38"/>
  <c r="I3590" i="38"/>
  <c r="H3590" i="38"/>
  <c r="G3590" i="38"/>
  <c r="F3590" i="38"/>
  <c r="E3590" i="38"/>
  <c r="D3590" i="38"/>
  <c r="C3590" i="38"/>
  <c r="J3589" i="38"/>
  <c r="I3589" i="38"/>
  <c r="H3589" i="38"/>
  <c r="G3589" i="38"/>
  <c r="F3589" i="38"/>
  <c r="E3589" i="38"/>
  <c r="D3589" i="38"/>
  <c r="C3589" i="38"/>
  <c r="J3588" i="38"/>
  <c r="I3588" i="38"/>
  <c r="H3588" i="38"/>
  <c r="G3588" i="38"/>
  <c r="F3588" i="38"/>
  <c r="E3588" i="38"/>
  <c r="D3588" i="38"/>
  <c r="C3588" i="38"/>
  <c r="J3587" i="38"/>
  <c r="I3587" i="38"/>
  <c r="H3587" i="38"/>
  <c r="G3587" i="38"/>
  <c r="F3587" i="38"/>
  <c r="E3587" i="38"/>
  <c r="D3587" i="38"/>
  <c r="C3587" i="38"/>
  <c r="J3586" i="38"/>
  <c r="I3586" i="38"/>
  <c r="H3586" i="38"/>
  <c r="G3586" i="38"/>
  <c r="F3586" i="38"/>
  <c r="E3586" i="38"/>
  <c r="D3586" i="38"/>
  <c r="C3586" i="38"/>
  <c r="J3585" i="38"/>
  <c r="I3585" i="38"/>
  <c r="H3585" i="38"/>
  <c r="G3585" i="38"/>
  <c r="F3585" i="38"/>
  <c r="E3585" i="38"/>
  <c r="D3585" i="38"/>
  <c r="C3585" i="38"/>
  <c r="J3584" i="38"/>
  <c r="I3584" i="38"/>
  <c r="H3584" i="38"/>
  <c r="G3584" i="38"/>
  <c r="F3584" i="38"/>
  <c r="E3584" i="38"/>
  <c r="D3584" i="38"/>
  <c r="C3584" i="38"/>
  <c r="J3583" i="38"/>
  <c r="I3583" i="38"/>
  <c r="H3583" i="38"/>
  <c r="G3583" i="38"/>
  <c r="F3583" i="38"/>
  <c r="E3583" i="38"/>
  <c r="D3583" i="38"/>
  <c r="C3583" i="38"/>
  <c r="J3582" i="38"/>
  <c r="I3582" i="38"/>
  <c r="H3582" i="38"/>
  <c r="G3582" i="38"/>
  <c r="F3582" i="38"/>
  <c r="E3582" i="38"/>
  <c r="D3582" i="38"/>
  <c r="C3582" i="38"/>
  <c r="J3581" i="38"/>
  <c r="I3581" i="38"/>
  <c r="H3581" i="38"/>
  <c r="G3581" i="38"/>
  <c r="F3581" i="38"/>
  <c r="E3581" i="38"/>
  <c r="D3581" i="38"/>
  <c r="C3581" i="38"/>
  <c r="J3580" i="38"/>
  <c r="I3580" i="38"/>
  <c r="H3580" i="38"/>
  <c r="G3580" i="38"/>
  <c r="F3580" i="38"/>
  <c r="E3580" i="38"/>
  <c r="D3580" i="38"/>
  <c r="C3580" i="38"/>
  <c r="J3579" i="38"/>
  <c r="I3579" i="38"/>
  <c r="H3579" i="38"/>
  <c r="G3579" i="38"/>
  <c r="F3579" i="38"/>
  <c r="E3579" i="38"/>
  <c r="D3579" i="38"/>
  <c r="C3579" i="38"/>
  <c r="J3578" i="38"/>
  <c r="I3578" i="38"/>
  <c r="H3578" i="38"/>
  <c r="G3578" i="38"/>
  <c r="F3578" i="38"/>
  <c r="E3578" i="38"/>
  <c r="D3578" i="38"/>
  <c r="C3578" i="38"/>
  <c r="J3577" i="38"/>
  <c r="I3577" i="38"/>
  <c r="H3577" i="38"/>
  <c r="G3577" i="38"/>
  <c r="F3577" i="38"/>
  <c r="E3577" i="38"/>
  <c r="D3577" i="38"/>
  <c r="C3577" i="38"/>
  <c r="J3576" i="38"/>
  <c r="I3576" i="38"/>
  <c r="H3576" i="38"/>
  <c r="G3576" i="38"/>
  <c r="F3576" i="38"/>
  <c r="E3576" i="38"/>
  <c r="D3576" i="38"/>
  <c r="C3576" i="38"/>
  <c r="J3575" i="38"/>
  <c r="I3575" i="38"/>
  <c r="H3575" i="38"/>
  <c r="G3575" i="38"/>
  <c r="F3575" i="38"/>
  <c r="E3575" i="38"/>
  <c r="D3575" i="38"/>
  <c r="C3575" i="38"/>
  <c r="J3574" i="38"/>
  <c r="I3574" i="38"/>
  <c r="H3574" i="38"/>
  <c r="G3574" i="38"/>
  <c r="F3574" i="38"/>
  <c r="E3574" i="38"/>
  <c r="D3574" i="38"/>
  <c r="C3574" i="38"/>
  <c r="J3573" i="38"/>
  <c r="I3573" i="38"/>
  <c r="H3573" i="38"/>
  <c r="G3573" i="38"/>
  <c r="E3573" i="38"/>
  <c r="D3573" i="38"/>
  <c r="C3573" i="38"/>
  <c r="J3572" i="38"/>
  <c r="I3572" i="38"/>
  <c r="H3572" i="38"/>
  <c r="G3572" i="38"/>
  <c r="F3572" i="38"/>
  <c r="E3572" i="38"/>
  <c r="C3572" i="38"/>
  <c r="H3571" i="38"/>
  <c r="G3571" i="38"/>
  <c r="E3571" i="38"/>
  <c r="C3571" i="38"/>
  <c r="H3570" i="38"/>
  <c r="G3570" i="38"/>
  <c r="E3570" i="38"/>
  <c r="D3570" i="38"/>
  <c r="C3570" i="38"/>
  <c r="H3569" i="38"/>
  <c r="G3569" i="38"/>
  <c r="E3569" i="38"/>
  <c r="D3569" i="38"/>
  <c r="C3569" i="38"/>
  <c r="H3568" i="38"/>
  <c r="G3568" i="38"/>
  <c r="E3568" i="38"/>
  <c r="D3568" i="38"/>
  <c r="C3568" i="38"/>
  <c r="H3567" i="38"/>
  <c r="G3567" i="38"/>
  <c r="E3567" i="38"/>
  <c r="D3567" i="38"/>
  <c r="C3567" i="38"/>
  <c r="J3566" i="38"/>
  <c r="I3566" i="38"/>
  <c r="H3566" i="38"/>
  <c r="G3566" i="38"/>
  <c r="F3566" i="38"/>
  <c r="E3566" i="38"/>
  <c r="D3566" i="38"/>
  <c r="C3566" i="38"/>
  <c r="J3565" i="38"/>
  <c r="I3565" i="38"/>
  <c r="H3565" i="38"/>
  <c r="G3565" i="38"/>
  <c r="F3565" i="38"/>
  <c r="E3565" i="38"/>
  <c r="D3565" i="38"/>
  <c r="C3565" i="38"/>
  <c r="J3564" i="38"/>
  <c r="I3564" i="38"/>
  <c r="H3564" i="38"/>
  <c r="G3564" i="38"/>
  <c r="F3564" i="38"/>
  <c r="E3564" i="38"/>
  <c r="D3564" i="38"/>
  <c r="C3564" i="38"/>
  <c r="J3563" i="38"/>
  <c r="I3563" i="38"/>
  <c r="H3563" i="38"/>
  <c r="G3563" i="38"/>
  <c r="E3563" i="38"/>
  <c r="D3563" i="38"/>
  <c r="C3563" i="38"/>
  <c r="J3562" i="38"/>
  <c r="I3562" i="38"/>
  <c r="H3562" i="38"/>
  <c r="G3562" i="38"/>
  <c r="F3562" i="38"/>
  <c r="E3562" i="38"/>
  <c r="C3562" i="38"/>
  <c r="H3561" i="38"/>
  <c r="G3561" i="38"/>
  <c r="E3561" i="38"/>
  <c r="C3561" i="38"/>
  <c r="H3560" i="38"/>
  <c r="G3560" i="38"/>
  <c r="E3560" i="38"/>
  <c r="D3560" i="38"/>
  <c r="C3560" i="38"/>
  <c r="H3559" i="38"/>
  <c r="G3559" i="38"/>
  <c r="E3559" i="38"/>
  <c r="D3559" i="38"/>
  <c r="C3559" i="38"/>
  <c r="H3558" i="38"/>
  <c r="G3558" i="38"/>
  <c r="E3558" i="38"/>
  <c r="D3558" i="38"/>
  <c r="C3558" i="38"/>
  <c r="H3557" i="38"/>
  <c r="G3557" i="38"/>
  <c r="E3557" i="38"/>
  <c r="D3557" i="38"/>
  <c r="C3557" i="38"/>
  <c r="J3556" i="38"/>
  <c r="I3556" i="38"/>
  <c r="H3556" i="38"/>
  <c r="G3556" i="38"/>
  <c r="F3556" i="38"/>
  <c r="E3556" i="38"/>
  <c r="D3556" i="38"/>
  <c r="C3556" i="38"/>
  <c r="J3555" i="38"/>
  <c r="I3555" i="38"/>
  <c r="H3555" i="38"/>
  <c r="G3555" i="38"/>
  <c r="F3555" i="38"/>
  <c r="E3555" i="38"/>
  <c r="D3555" i="38"/>
  <c r="C3555" i="38"/>
  <c r="J3554" i="38"/>
  <c r="I3554" i="38"/>
  <c r="H3554" i="38"/>
  <c r="G3554" i="38"/>
  <c r="F3554" i="38"/>
  <c r="E3554" i="38"/>
  <c r="D3554" i="38"/>
  <c r="C3554" i="38"/>
  <c r="J3553" i="38"/>
  <c r="I3553" i="38"/>
  <c r="H3553" i="38"/>
  <c r="G3553" i="38"/>
  <c r="E3553" i="38"/>
  <c r="D3553" i="38"/>
  <c r="C3553" i="38"/>
  <c r="J3552" i="38"/>
  <c r="I3552" i="38"/>
  <c r="H3552" i="38"/>
  <c r="G3552" i="38"/>
  <c r="F3552" i="38"/>
  <c r="E3552" i="38"/>
  <c r="C3552" i="38"/>
  <c r="H3551" i="38"/>
  <c r="G3551" i="38"/>
  <c r="E3551" i="38"/>
  <c r="C3551" i="38"/>
  <c r="H3550" i="38"/>
  <c r="G3550" i="38"/>
  <c r="E3550" i="38"/>
  <c r="D3550" i="38"/>
  <c r="C3550" i="38"/>
  <c r="H3549" i="38"/>
  <c r="G3549" i="38"/>
  <c r="E3549" i="38"/>
  <c r="D3549" i="38"/>
  <c r="C3549" i="38"/>
  <c r="H3548" i="38"/>
  <c r="G3548" i="38"/>
  <c r="E3548" i="38"/>
  <c r="D3548" i="38"/>
  <c r="C3548" i="38"/>
  <c r="H3547" i="38"/>
  <c r="G3547" i="38"/>
  <c r="E3547" i="38"/>
  <c r="D3547" i="38"/>
  <c r="C3547" i="38"/>
  <c r="J3546" i="38"/>
  <c r="I3546" i="38"/>
  <c r="H3546" i="38"/>
  <c r="G3546" i="38"/>
  <c r="F3546" i="38"/>
  <c r="E3546" i="38"/>
  <c r="D3546" i="38"/>
  <c r="C3546" i="38"/>
  <c r="J3545" i="38"/>
  <c r="I3545" i="38"/>
  <c r="H3545" i="38"/>
  <c r="G3545" i="38"/>
  <c r="F3545" i="38"/>
  <c r="E3545" i="38"/>
  <c r="D3545" i="38"/>
  <c r="C3545" i="38"/>
  <c r="J3544" i="38"/>
  <c r="I3544" i="38"/>
  <c r="H3544" i="38"/>
  <c r="G3544" i="38"/>
  <c r="F3544" i="38"/>
  <c r="E3544" i="38"/>
  <c r="D3544" i="38"/>
  <c r="C3544" i="38"/>
  <c r="J3543" i="38"/>
  <c r="I3543" i="38"/>
  <c r="H3543" i="38"/>
  <c r="G3543" i="38"/>
  <c r="E3543" i="38"/>
  <c r="D3543" i="38"/>
  <c r="C3543" i="38"/>
  <c r="J3542" i="38"/>
  <c r="I3542" i="38"/>
  <c r="H3542" i="38"/>
  <c r="G3542" i="38"/>
  <c r="F3542" i="38"/>
  <c r="E3542" i="38"/>
  <c r="C3542" i="38"/>
  <c r="H3541" i="38"/>
  <c r="G3541" i="38"/>
  <c r="E3541" i="38"/>
  <c r="C3541" i="38"/>
  <c r="H3540" i="38"/>
  <c r="G3540" i="38"/>
  <c r="E3540" i="38"/>
  <c r="D3540" i="38"/>
  <c r="C3540" i="38"/>
  <c r="H3539" i="38"/>
  <c r="G3539" i="38"/>
  <c r="E3539" i="38"/>
  <c r="D3539" i="38"/>
  <c r="C3539" i="38"/>
  <c r="H3538" i="38"/>
  <c r="G3538" i="38"/>
  <c r="E3538" i="38"/>
  <c r="D3538" i="38"/>
  <c r="C3538" i="38"/>
  <c r="H3537" i="38"/>
  <c r="G3537" i="38"/>
  <c r="E3537" i="38"/>
  <c r="D3537" i="38"/>
  <c r="C3537" i="38"/>
  <c r="J3536" i="38"/>
  <c r="I3536" i="38"/>
  <c r="H3536" i="38"/>
  <c r="G3536" i="38"/>
  <c r="F3536" i="38"/>
  <c r="E3536" i="38"/>
  <c r="D3536" i="38"/>
  <c r="C3536" i="38"/>
  <c r="J3535" i="38"/>
  <c r="I3535" i="38"/>
  <c r="H3535" i="38"/>
  <c r="G3535" i="38"/>
  <c r="F3535" i="38"/>
  <c r="E3535" i="38"/>
  <c r="D3535" i="38"/>
  <c r="C3535" i="38"/>
  <c r="J3534" i="38"/>
  <c r="I3534" i="38"/>
  <c r="H3534" i="38"/>
  <c r="G3534" i="38"/>
  <c r="F3534" i="38"/>
  <c r="E3534" i="38"/>
  <c r="D3534" i="38"/>
  <c r="C3534" i="38"/>
  <c r="J3533" i="38"/>
  <c r="I3533" i="38"/>
  <c r="H3533" i="38"/>
  <c r="G3533" i="38"/>
  <c r="E3533" i="38"/>
  <c r="D3533" i="38"/>
  <c r="C3533" i="38"/>
  <c r="J3532" i="38"/>
  <c r="I3532" i="38"/>
  <c r="H3532" i="38"/>
  <c r="G3532" i="38"/>
  <c r="F3532" i="38"/>
  <c r="E3532" i="38"/>
  <c r="C3532" i="38"/>
  <c r="H3531" i="38"/>
  <c r="G3531" i="38"/>
  <c r="E3531" i="38"/>
  <c r="C3531" i="38"/>
  <c r="H3530" i="38"/>
  <c r="G3530" i="38"/>
  <c r="E3530" i="38"/>
  <c r="D3530" i="38"/>
  <c r="C3530" i="38"/>
  <c r="H3529" i="38"/>
  <c r="G3529" i="38"/>
  <c r="E3529" i="38"/>
  <c r="D3529" i="38"/>
  <c r="C3529" i="38"/>
  <c r="H3528" i="38"/>
  <c r="G3528" i="38"/>
  <c r="E3528" i="38"/>
  <c r="D3528" i="38"/>
  <c r="C3528" i="38"/>
  <c r="H3527" i="38"/>
  <c r="G3527" i="38"/>
  <c r="E3527" i="38"/>
  <c r="D3527" i="38"/>
  <c r="C3527" i="38"/>
  <c r="J3526" i="38"/>
  <c r="I3526" i="38"/>
  <c r="H3526" i="38"/>
  <c r="G3526" i="38"/>
  <c r="F3526" i="38"/>
  <c r="E3526" i="38"/>
  <c r="D3526" i="38"/>
  <c r="C3526" i="38"/>
  <c r="J3525" i="38"/>
  <c r="I3525" i="38"/>
  <c r="H3525" i="38"/>
  <c r="G3525" i="38"/>
  <c r="F3525" i="38"/>
  <c r="E3525" i="38"/>
  <c r="D3525" i="38"/>
  <c r="C3525" i="38"/>
  <c r="J3524" i="38"/>
  <c r="I3524" i="38"/>
  <c r="H3524" i="38"/>
  <c r="G3524" i="38"/>
  <c r="F3524" i="38"/>
  <c r="E3524" i="38"/>
  <c r="D3524" i="38"/>
  <c r="C3524" i="38"/>
  <c r="J3523" i="38"/>
  <c r="I3523" i="38"/>
  <c r="H3523" i="38"/>
  <c r="G3523" i="38"/>
  <c r="E3523" i="38"/>
  <c r="D3523" i="38"/>
  <c r="C3523" i="38"/>
  <c r="J3522" i="38"/>
  <c r="I3522" i="38"/>
  <c r="H3522" i="38"/>
  <c r="G3522" i="38"/>
  <c r="F3522" i="38"/>
  <c r="E3522" i="38"/>
  <c r="C3522" i="38"/>
  <c r="H3521" i="38"/>
  <c r="G3521" i="38"/>
  <c r="E3521" i="38"/>
  <c r="C3521" i="38"/>
  <c r="H3520" i="38"/>
  <c r="G3520" i="38"/>
  <c r="E3520" i="38"/>
  <c r="D3520" i="38"/>
  <c r="C3520" i="38"/>
  <c r="H3519" i="38"/>
  <c r="G3519" i="38"/>
  <c r="E3519" i="38"/>
  <c r="D3519" i="38"/>
  <c r="C3519" i="38"/>
  <c r="H3518" i="38"/>
  <c r="G3518" i="38"/>
  <c r="E3518" i="38"/>
  <c r="D3518" i="38"/>
  <c r="C3518" i="38"/>
  <c r="H3517" i="38"/>
  <c r="G3517" i="38"/>
  <c r="E3517" i="38"/>
  <c r="D3517" i="38"/>
  <c r="C3517" i="38"/>
  <c r="J3516" i="38"/>
  <c r="I3516" i="38"/>
  <c r="H3516" i="38"/>
  <c r="G3516" i="38"/>
  <c r="F3516" i="38"/>
  <c r="E3516" i="38"/>
  <c r="D3516" i="38"/>
  <c r="C3516" i="38"/>
  <c r="J3515" i="38"/>
  <c r="I3515" i="38"/>
  <c r="H3515" i="38"/>
  <c r="G3515" i="38"/>
  <c r="F3515" i="38"/>
  <c r="E3515" i="38"/>
  <c r="D3515" i="38"/>
  <c r="C3515" i="38"/>
  <c r="J3514" i="38"/>
  <c r="I3514" i="38"/>
  <c r="H3514" i="38"/>
  <c r="G3514" i="38"/>
  <c r="F3514" i="38"/>
  <c r="E3514" i="38"/>
  <c r="D3514" i="38"/>
  <c r="C3514" i="38"/>
  <c r="J3513" i="38"/>
  <c r="I3513" i="38"/>
  <c r="H3513" i="38"/>
  <c r="G3513" i="38"/>
  <c r="E3513" i="38"/>
  <c r="D3513" i="38"/>
  <c r="C3513" i="38"/>
  <c r="J3512" i="38"/>
  <c r="I3512" i="38"/>
  <c r="H3512" i="38"/>
  <c r="G3512" i="38"/>
  <c r="F3512" i="38"/>
  <c r="E3512" i="38"/>
  <c r="C3512" i="38"/>
  <c r="H3511" i="38"/>
  <c r="G3511" i="38"/>
  <c r="E3511" i="38"/>
  <c r="C3511" i="38"/>
  <c r="H3510" i="38"/>
  <c r="G3510" i="38"/>
  <c r="E3510" i="38"/>
  <c r="D3510" i="38"/>
  <c r="C3510" i="38"/>
  <c r="H3509" i="38"/>
  <c r="G3509" i="38"/>
  <c r="E3509" i="38"/>
  <c r="D3509" i="38"/>
  <c r="C3509" i="38"/>
  <c r="H3508" i="38"/>
  <c r="G3508" i="38"/>
  <c r="E3508" i="38"/>
  <c r="D3508" i="38"/>
  <c r="C3508" i="38"/>
  <c r="H3507" i="38"/>
  <c r="G3507" i="38"/>
  <c r="E3507" i="38"/>
  <c r="D3507" i="38"/>
  <c r="C3507" i="38"/>
  <c r="J3506" i="38"/>
  <c r="I3506" i="38"/>
  <c r="H3506" i="38"/>
  <c r="G3506" i="38"/>
  <c r="F3506" i="38"/>
  <c r="E3506" i="38"/>
  <c r="D3506" i="38"/>
  <c r="C3506" i="38"/>
  <c r="J3505" i="38"/>
  <c r="I3505" i="38"/>
  <c r="H3505" i="38"/>
  <c r="G3505" i="38"/>
  <c r="F3505" i="38"/>
  <c r="E3505" i="38"/>
  <c r="D3505" i="38"/>
  <c r="C3505" i="38"/>
  <c r="J3504" i="38"/>
  <c r="I3504" i="38"/>
  <c r="H3504" i="38"/>
  <c r="G3504" i="38"/>
  <c r="F3504" i="38"/>
  <c r="E3504" i="38"/>
  <c r="D3504" i="38"/>
  <c r="C3504" i="38"/>
  <c r="J3503" i="38"/>
  <c r="I3503" i="38"/>
  <c r="H3503" i="38"/>
  <c r="G3503" i="38"/>
  <c r="E3503" i="38"/>
  <c r="D3503" i="38"/>
  <c r="C3503" i="38"/>
  <c r="J3502" i="38"/>
  <c r="I3502" i="38"/>
  <c r="H3502" i="38"/>
  <c r="G3502" i="38"/>
  <c r="F3502" i="38"/>
  <c r="E3502" i="38"/>
  <c r="C3502" i="38"/>
  <c r="H3501" i="38"/>
  <c r="G3501" i="38"/>
  <c r="E3501" i="38"/>
  <c r="C3501" i="38"/>
  <c r="H3500" i="38"/>
  <c r="G3500" i="38"/>
  <c r="E3500" i="38"/>
  <c r="D3500" i="38"/>
  <c r="C3500" i="38"/>
  <c r="H3499" i="38"/>
  <c r="G3499" i="38"/>
  <c r="E3499" i="38"/>
  <c r="D3499" i="38"/>
  <c r="C3499" i="38"/>
  <c r="H3498" i="38"/>
  <c r="G3498" i="38"/>
  <c r="E3498" i="38"/>
  <c r="D3498" i="38"/>
  <c r="C3498" i="38"/>
  <c r="H3497" i="38"/>
  <c r="G3497" i="38"/>
  <c r="E3497" i="38"/>
  <c r="D3497" i="38"/>
  <c r="C3497" i="38"/>
  <c r="J3496" i="38"/>
  <c r="I3496" i="38"/>
  <c r="H3496" i="38"/>
  <c r="G3496" i="38"/>
  <c r="F3496" i="38"/>
  <c r="E3496" i="38"/>
  <c r="D3496" i="38"/>
  <c r="C3496" i="38"/>
  <c r="J3495" i="38"/>
  <c r="I3495" i="38"/>
  <c r="H3495" i="38"/>
  <c r="G3495" i="38"/>
  <c r="F3495" i="38"/>
  <c r="E3495" i="38"/>
  <c r="D3495" i="38"/>
  <c r="C3495" i="38"/>
  <c r="J3494" i="38"/>
  <c r="I3494" i="38"/>
  <c r="H3494" i="38"/>
  <c r="G3494" i="38"/>
  <c r="F3494" i="38"/>
  <c r="E3494" i="38"/>
  <c r="D3494" i="38"/>
  <c r="C3494" i="38"/>
  <c r="J3493" i="38"/>
  <c r="I3493" i="38"/>
  <c r="H3493" i="38"/>
  <c r="G3493" i="38"/>
  <c r="E3493" i="38"/>
  <c r="D3493" i="38"/>
  <c r="C3493" i="38"/>
  <c r="J3492" i="38"/>
  <c r="I3492" i="38"/>
  <c r="H3492" i="38"/>
  <c r="G3492" i="38"/>
  <c r="F3492" i="38"/>
  <c r="E3492" i="38"/>
  <c r="C3492" i="38"/>
  <c r="H3491" i="38"/>
  <c r="G3491" i="38"/>
  <c r="E3491" i="38"/>
  <c r="C3491" i="38"/>
  <c r="H3490" i="38"/>
  <c r="G3490" i="38"/>
  <c r="E3490" i="38"/>
  <c r="D3490" i="38"/>
  <c r="C3490" i="38"/>
  <c r="H3489" i="38"/>
  <c r="G3489" i="38"/>
  <c r="E3489" i="38"/>
  <c r="D3489" i="38"/>
  <c r="C3489" i="38"/>
  <c r="H3488" i="38"/>
  <c r="G3488" i="38"/>
  <c r="E3488" i="38"/>
  <c r="D3488" i="38"/>
  <c r="C3488" i="38"/>
  <c r="H3487" i="38"/>
  <c r="G3487" i="38"/>
  <c r="E3487" i="38"/>
  <c r="D3487" i="38"/>
  <c r="C3487" i="38"/>
  <c r="J3486" i="38"/>
  <c r="I3486" i="38"/>
  <c r="H3486" i="38"/>
  <c r="G3486" i="38"/>
  <c r="F3486" i="38"/>
  <c r="E3486" i="38"/>
  <c r="D3486" i="38"/>
  <c r="C3486" i="38"/>
  <c r="J3485" i="38"/>
  <c r="I3485" i="38"/>
  <c r="H3485" i="38"/>
  <c r="G3485" i="38"/>
  <c r="F3485" i="38"/>
  <c r="E3485" i="38"/>
  <c r="D3485" i="38"/>
  <c r="C3485" i="38"/>
  <c r="J3484" i="38"/>
  <c r="I3484" i="38"/>
  <c r="H3484" i="38"/>
  <c r="G3484" i="38"/>
  <c r="F3484" i="38"/>
  <c r="E3484" i="38"/>
  <c r="D3484" i="38"/>
  <c r="C3484" i="38"/>
  <c r="J3483" i="38"/>
  <c r="I3483" i="38"/>
  <c r="H3483" i="38"/>
  <c r="G3483" i="38"/>
  <c r="E3483" i="38"/>
  <c r="D3483" i="38"/>
  <c r="C3483" i="38"/>
  <c r="J3482" i="38"/>
  <c r="I3482" i="38"/>
  <c r="H3482" i="38"/>
  <c r="G3482" i="38"/>
  <c r="F3482" i="38"/>
  <c r="E3482" i="38"/>
  <c r="C3482" i="38"/>
  <c r="H3481" i="38"/>
  <c r="G3481" i="38"/>
  <c r="E3481" i="38"/>
  <c r="C3481" i="38"/>
  <c r="H3480" i="38"/>
  <c r="G3480" i="38"/>
  <c r="E3480" i="38"/>
  <c r="D3480" i="38"/>
  <c r="C3480" i="38"/>
  <c r="H3479" i="38"/>
  <c r="G3479" i="38"/>
  <c r="E3479" i="38"/>
  <c r="D3479" i="38"/>
  <c r="C3479" i="38"/>
  <c r="H3478" i="38"/>
  <c r="G3478" i="38"/>
  <c r="E3478" i="38"/>
  <c r="D3478" i="38"/>
  <c r="C3478" i="38"/>
  <c r="H3477" i="38"/>
  <c r="G3477" i="38"/>
  <c r="E3477" i="38"/>
  <c r="D3477" i="38"/>
  <c r="C3477" i="38"/>
  <c r="J3476" i="38"/>
  <c r="I3476" i="38"/>
  <c r="H3476" i="38"/>
  <c r="G3476" i="38"/>
  <c r="F3476" i="38"/>
  <c r="E3476" i="38"/>
  <c r="D3476" i="38"/>
  <c r="C3476" i="38"/>
  <c r="J3475" i="38"/>
  <c r="I3475" i="38"/>
  <c r="H3475" i="38"/>
  <c r="G3475" i="38"/>
  <c r="F3475" i="38"/>
  <c r="E3475" i="38"/>
  <c r="D3475" i="38"/>
  <c r="C3475" i="38"/>
  <c r="J3474" i="38"/>
  <c r="I3474" i="38"/>
  <c r="H3474" i="38"/>
  <c r="G3474" i="38"/>
  <c r="F3474" i="38"/>
  <c r="E3474" i="38"/>
  <c r="D3474" i="38"/>
  <c r="C3474" i="38"/>
  <c r="J3473" i="38"/>
  <c r="I3473" i="38"/>
  <c r="H3473" i="38"/>
  <c r="G3473" i="38"/>
  <c r="E3473" i="38"/>
  <c r="D3473" i="38"/>
  <c r="C3473" i="38"/>
  <c r="J3472" i="38"/>
  <c r="I3472" i="38"/>
  <c r="H3472" i="38"/>
  <c r="G3472" i="38"/>
  <c r="F3472" i="38"/>
  <c r="E3472" i="38"/>
  <c r="C3472" i="38"/>
  <c r="H3471" i="38"/>
  <c r="G3471" i="38"/>
  <c r="E3471" i="38"/>
  <c r="C3471" i="38"/>
  <c r="H3470" i="38"/>
  <c r="G3470" i="38"/>
  <c r="E3470" i="38"/>
  <c r="D3470" i="38"/>
  <c r="C3470" i="38"/>
  <c r="H3469" i="38"/>
  <c r="G3469" i="38"/>
  <c r="E3469" i="38"/>
  <c r="D3469" i="38"/>
  <c r="C3469" i="38"/>
  <c r="H3468" i="38"/>
  <c r="G3468" i="38"/>
  <c r="E3468" i="38"/>
  <c r="D3468" i="38"/>
  <c r="C3468" i="38"/>
  <c r="H3467" i="38"/>
  <c r="G3467" i="38"/>
  <c r="E3467" i="38"/>
  <c r="D3467" i="38"/>
  <c r="C3467" i="38"/>
  <c r="J3466" i="38"/>
  <c r="I3466" i="38"/>
  <c r="H3466" i="38"/>
  <c r="G3466" i="38"/>
  <c r="F3466" i="38"/>
  <c r="E3466" i="38"/>
  <c r="D3466" i="38"/>
  <c r="C3466" i="38"/>
  <c r="J3465" i="38"/>
  <c r="I3465" i="38"/>
  <c r="H3465" i="38"/>
  <c r="G3465" i="38"/>
  <c r="F3465" i="38"/>
  <c r="E3465" i="38"/>
  <c r="D3465" i="38"/>
  <c r="C3465" i="38"/>
  <c r="J3464" i="38"/>
  <c r="I3464" i="38"/>
  <c r="H3464" i="38"/>
  <c r="G3464" i="38"/>
  <c r="F3464" i="38"/>
  <c r="E3464" i="38"/>
  <c r="D3464" i="38"/>
  <c r="C3464" i="38"/>
  <c r="J3463" i="38"/>
  <c r="I3463" i="38"/>
  <c r="H3463" i="38"/>
  <c r="G3463" i="38"/>
  <c r="E3463" i="38"/>
  <c r="D3463" i="38"/>
  <c r="C3463" i="38"/>
  <c r="J3462" i="38"/>
  <c r="I3462" i="38"/>
  <c r="H3462" i="38"/>
  <c r="G3462" i="38"/>
  <c r="F3462" i="38"/>
  <c r="E3462" i="38"/>
  <c r="C3462" i="38"/>
  <c r="H3461" i="38"/>
  <c r="G3461" i="38"/>
  <c r="E3461" i="38"/>
  <c r="C3461" i="38"/>
  <c r="H3460" i="38"/>
  <c r="G3460" i="38"/>
  <c r="E3460" i="38"/>
  <c r="D3460" i="38"/>
  <c r="C3460" i="38"/>
  <c r="H3459" i="38"/>
  <c r="G3459" i="38"/>
  <c r="E3459" i="38"/>
  <c r="D3459" i="38"/>
  <c r="C3459" i="38"/>
  <c r="H3458" i="38"/>
  <c r="G3458" i="38"/>
  <c r="E3458" i="38"/>
  <c r="D3458" i="38"/>
  <c r="C3458" i="38"/>
  <c r="H3457" i="38"/>
  <c r="G3457" i="38"/>
  <c r="E3457" i="38"/>
  <c r="D3457" i="38"/>
  <c r="C3457" i="38"/>
  <c r="J3456" i="38"/>
  <c r="I3456" i="38"/>
  <c r="H3456" i="38"/>
  <c r="G3456" i="38"/>
  <c r="F3456" i="38"/>
  <c r="E3456" i="38"/>
  <c r="D3456" i="38"/>
  <c r="C3456" i="38"/>
  <c r="J3455" i="38"/>
  <c r="I3455" i="38"/>
  <c r="H3455" i="38"/>
  <c r="G3455" i="38"/>
  <c r="F3455" i="38"/>
  <c r="E3455" i="38"/>
  <c r="D3455" i="38"/>
  <c r="C3455" i="38"/>
  <c r="J3454" i="38"/>
  <c r="I3454" i="38"/>
  <c r="H3454" i="38"/>
  <c r="G3454" i="38"/>
  <c r="F3454" i="38"/>
  <c r="E3454" i="38"/>
  <c r="D3454" i="38"/>
  <c r="C3454" i="38"/>
  <c r="J3453" i="38"/>
  <c r="I3453" i="38"/>
  <c r="H3453" i="38"/>
  <c r="G3453" i="38"/>
  <c r="E3453" i="38"/>
  <c r="D3453" i="38"/>
  <c r="C3453" i="38"/>
  <c r="J3452" i="38"/>
  <c r="I3452" i="38"/>
  <c r="H3452" i="38"/>
  <c r="G3452" i="38"/>
  <c r="F3452" i="38"/>
  <c r="E3452" i="38"/>
  <c r="C3452" i="38"/>
  <c r="H3451" i="38"/>
  <c r="G3451" i="38"/>
  <c r="E3451" i="38"/>
  <c r="C3451" i="38"/>
  <c r="H3450" i="38"/>
  <c r="G3450" i="38"/>
  <c r="E3450" i="38"/>
  <c r="D3450" i="38"/>
  <c r="C3450" i="38"/>
  <c r="H3449" i="38"/>
  <c r="G3449" i="38"/>
  <c r="E3449" i="38"/>
  <c r="D3449" i="38"/>
  <c r="C3449" i="38"/>
  <c r="H3448" i="38"/>
  <c r="G3448" i="38"/>
  <c r="E3448" i="38"/>
  <c r="D3448" i="38"/>
  <c r="C3448" i="38"/>
  <c r="H3447" i="38"/>
  <c r="G3447" i="38"/>
  <c r="E3447" i="38"/>
  <c r="D3447" i="38"/>
  <c r="C3447" i="38"/>
  <c r="J3446" i="38"/>
  <c r="I3446" i="38"/>
  <c r="H3446" i="38"/>
  <c r="G3446" i="38"/>
  <c r="F3446" i="38"/>
  <c r="E3446" i="38"/>
  <c r="D3446" i="38"/>
  <c r="C3446" i="38"/>
  <c r="J3445" i="38"/>
  <c r="I3445" i="38"/>
  <c r="H3445" i="38"/>
  <c r="G3445" i="38"/>
  <c r="F3445" i="38"/>
  <c r="E3445" i="38"/>
  <c r="D3445" i="38"/>
  <c r="C3445" i="38"/>
  <c r="J3444" i="38"/>
  <c r="I3444" i="38"/>
  <c r="H3444" i="38"/>
  <c r="G3444" i="38"/>
  <c r="F3444" i="38"/>
  <c r="E3444" i="38"/>
  <c r="D3444" i="38"/>
  <c r="C3444" i="38"/>
  <c r="J3443" i="38"/>
  <c r="I3443" i="38"/>
  <c r="H3443" i="38"/>
  <c r="G3443" i="38"/>
  <c r="E3443" i="38"/>
  <c r="D3443" i="38"/>
  <c r="C3443" i="38"/>
  <c r="J3442" i="38"/>
  <c r="I3442" i="38"/>
  <c r="H3442" i="38"/>
  <c r="G3442" i="38"/>
  <c r="F3442" i="38"/>
  <c r="E3442" i="38"/>
  <c r="C3442" i="38"/>
  <c r="H3441" i="38"/>
  <c r="G3441" i="38"/>
  <c r="E3441" i="38"/>
  <c r="C3441" i="38"/>
  <c r="H3440" i="38"/>
  <c r="G3440" i="38"/>
  <c r="E3440" i="38"/>
  <c r="D3440" i="38"/>
  <c r="C3440" i="38"/>
  <c r="H3439" i="38"/>
  <c r="G3439" i="38"/>
  <c r="E3439" i="38"/>
  <c r="D3439" i="38"/>
  <c r="C3439" i="38"/>
  <c r="H3438" i="38"/>
  <c r="G3438" i="38"/>
  <c r="E3438" i="38"/>
  <c r="D3438" i="38"/>
  <c r="C3438" i="38"/>
  <c r="H3437" i="38"/>
  <c r="G3437" i="38"/>
  <c r="E3437" i="38"/>
  <c r="D3437" i="38"/>
  <c r="C3437" i="38"/>
  <c r="J3436" i="38"/>
  <c r="I3436" i="38"/>
  <c r="H3436" i="38"/>
  <c r="G3436" i="38"/>
  <c r="F3436" i="38"/>
  <c r="E3436" i="38"/>
  <c r="D3436" i="38"/>
  <c r="C3436" i="38"/>
  <c r="J3435" i="38"/>
  <c r="I3435" i="38"/>
  <c r="H3435" i="38"/>
  <c r="G3435" i="38"/>
  <c r="F3435" i="38"/>
  <c r="E3435" i="38"/>
  <c r="D3435" i="38"/>
  <c r="C3435" i="38"/>
  <c r="J3434" i="38"/>
  <c r="I3434" i="38"/>
  <c r="H3434" i="38"/>
  <c r="G3434" i="38"/>
  <c r="F3434" i="38"/>
  <c r="E3434" i="38"/>
  <c r="D3434" i="38"/>
  <c r="C3434" i="38"/>
  <c r="J3433" i="38"/>
  <c r="I3433" i="38"/>
  <c r="H3433" i="38"/>
  <c r="G3433" i="38"/>
  <c r="E3433" i="38"/>
  <c r="D3433" i="38"/>
  <c r="C3433" i="38"/>
  <c r="J3432" i="38"/>
  <c r="I3432" i="38"/>
  <c r="H3432" i="38"/>
  <c r="G3432" i="38"/>
  <c r="F3432" i="38"/>
  <c r="E3432" i="38"/>
  <c r="C3432" i="38"/>
  <c r="H3431" i="38"/>
  <c r="G3431" i="38"/>
  <c r="E3431" i="38"/>
  <c r="C3431" i="38"/>
  <c r="H3430" i="38"/>
  <c r="G3430" i="38"/>
  <c r="E3430" i="38"/>
  <c r="D3430" i="38"/>
  <c r="C3430" i="38"/>
  <c r="H3429" i="38"/>
  <c r="G3429" i="38"/>
  <c r="E3429" i="38"/>
  <c r="D3429" i="38"/>
  <c r="C3429" i="38"/>
  <c r="H3428" i="38"/>
  <c r="G3428" i="38"/>
  <c r="E3428" i="38"/>
  <c r="D3428" i="38"/>
  <c r="C3428" i="38"/>
  <c r="H3427" i="38"/>
  <c r="G3427" i="38"/>
  <c r="E3427" i="38"/>
  <c r="D3427" i="38"/>
  <c r="C3427" i="38"/>
  <c r="J3426" i="38"/>
  <c r="I3426" i="38"/>
  <c r="H3426" i="38"/>
  <c r="G3426" i="38"/>
  <c r="F3426" i="38"/>
  <c r="E3426" i="38"/>
  <c r="D3426" i="38"/>
  <c r="C3426" i="38"/>
  <c r="J3425" i="38"/>
  <c r="I3425" i="38"/>
  <c r="H3425" i="38"/>
  <c r="G3425" i="38"/>
  <c r="F3425" i="38"/>
  <c r="E3425" i="38"/>
  <c r="D3425" i="38"/>
  <c r="C3425" i="38"/>
  <c r="J3424" i="38"/>
  <c r="I3424" i="38"/>
  <c r="H3424" i="38"/>
  <c r="G3424" i="38"/>
  <c r="F3424" i="38"/>
  <c r="E3424" i="38"/>
  <c r="D3424" i="38"/>
  <c r="C3424" i="38"/>
  <c r="J3423" i="38"/>
  <c r="I3423" i="38"/>
  <c r="H3423" i="38"/>
  <c r="G3423" i="38"/>
  <c r="E3423" i="38"/>
  <c r="D3423" i="38"/>
  <c r="C3423" i="38"/>
  <c r="J3422" i="38"/>
  <c r="I3422" i="38"/>
  <c r="H3422" i="38"/>
  <c r="G3422" i="38"/>
  <c r="F3422" i="38"/>
  <c r="E3422" i="38"/>
  <c r="C3422" i="38"/>
  <c r="H3421" i="38"/>
  <c r="G3421" i="38"/>
  <c r="E3421" i="38"/>
  <c r="C3421" i="38"/>
  <c r="H3420" i="38"/>
  <c r="G3420" i="38"/>
  <c r="E3420" i="38"/>
  <c r="D3420" i="38"/>
  <c r="C3420" i="38"/>
  <c r="H3419" i="38"/>
  <c r="G3419" i="38"/>
  <c r="E3419" i="38"/>
  <c r="D3419" i="38"/>
  <c r="C3419" i="38"/>
  <c r="H3418" i="38"/>
  <c r="G3418" i="38"/>
  <c r="E3418" i="38"/>
  <c r="D3418" i="38"/>
  <c r="C3418" i="38"/>
  <c r="H3417" i="38"/>
  <c r="G3417" i="38"/>
  <c r="E3417" i="38"/>
  <c r="D3417" i="38"/>
  <c r="C3417" i="38"/>
  <c r="J3416" i="38"/>
  <c r="I3416" i="38"/>
  <c r="H3416" i="38"/>
  <c r="G3416" i="38"/>
  <c r="F3416" i="38"/>
  <c r="E3416" i="38"/>
  <c r="D3416" i="38"/>
  <c r="C3416" i="38"/>
  <c r="J3415" i="38"/>
  <c r="I3415" i="38"/>
  <c r="H3415" i="38"/>
  <c r="G3415" i="38"/>
  <c r="F3415" i="38"/>
  <c r="E3415" i="38"/>
  <c r="D3415" i="38"/>
  <c r="C3415" i="38"/>
  <c r="J3414" i="38"/>
  <c r="I3414" i="38"/>
  <c r="H3414" i="38"/>
  <c r="G3414" i="38"/>
  <c r="F3414" i="38"/>
  <c r="E3414" i="38"/>
  <c r="D3414" i="38"/>
  <c r="C3414" i="38"/>
  <c r="J3413" i="38"/>
  <c r="I3413" i="38"/>
  <c r="H3413" i="38"/>
  <c r="G3413" i="38"/>
  <c r="E3413" i="38"/>
  <c r="D3413" i="38"/>
  <c r="C3413" i="38"/>
  <c r="J3412" i="38"/>
  <c r="I3412" i="38"/>
  <c r="H3412" i="38"/>
  <c r="G3412" i="38"/>
  <c r="F3412" i="38"/>
  <c r="E3412" i="38"/>
  <c r="C3412" i="38"/>
  <c r="H3411" i="38"/>
  <c r="G3411" i="38"/>
  <c r="E3411" i="38"/>
  <c r="C3411" i="38"/>
  <c r="J3410" i="38"/>
  <c r="I3410" i="38"/>
  <c r="H3410" i="38"/>
  <c r="G3410" i="38"/>
  <c r="F3410" i="38"/>
  <c r="E3410" i="38"/>
  <c r="D3410" i="38"/>
  <c r="C3410" i="38"/>
  <c r="J3409" i="38"/>
  <c r="I3409" i="38"/>
  <c r="H3409" i="38"/>
  <c r="G3409" i="38"/>
  <c r="F3409" i="38"/>
  <c r="E3409" i="38"/>
  <c r="D3409" i="38"/>
  <c r="C3409" i="38"/>
  <c r="J3408" i="38"/>
  <c r="I3408" i="38"/>
  <c r="H3408" i="38"/>
  <c r="G3408" i="38"/>
  <c r="F3408" i="38"/>
  <c r="E3408" i="38"/>
  <c r="D3408" i="38"/>
  <c r="C3408" i="38"/>
  <c r="J3407" i="38"/>
  <c r="I3407" i="38"/>
  <c r="H3407" i="38"/>
  <c r="G3407" i="38"/>
  <c r="F3407" i="38"/>
  <c r="E3407" i="38"/>
  <c r="D3407" i="38"/>
  <c r="C3407" i="38"/>
  <c r="J3406" i="38"/>
  <c r="I3406" i="38"/>
  <c r="H3406" i="38"/>
  <c r="G3406" i="38"/>
  <c r="F3406" i="38"/>
  <c r="E3406" i="38"/>
  <c r="D3406" i="38"/>
  <c r="C3406" i="38"/>
  <c r="J3405" i="38"/>
  <c r="I3405" i="38"/>
  <c r="H3405" i="38"/>
  <c r="G3405" i="38"/>
  <c r="F3405" i="38"/>
  <c r="E3405" i="38"/>
  <c r="D3405" i="38"/>
  <c r="C3405" i="38"/>
  <c r="J3404" i="38"/>
  <c r="I3404" i="38"/>
  <c r="H3404" i="38"/>
  <c r="G3404" i="38"/>
  <c r="F3404" i="38"/>
  <c r="E3404" i="38"/>
  <c r="D3404" i="38"/>
  <c r="C3404" i="38"/>
  <c r="J3403" i="38"/>
  <c r="I3403" i="38"/>
  <c r="H3403" i="38"/>
  <c r="G3403" i="38"/>
  <c r="F3403" i="38"/>
  <c r="E3403" i="38"/>
  <c r="D3403" i="38"/>
  <c r="C3403" i="38"/>
  <c r="J3402" i="38"/>
  <c r="I3402" i="38"/>
  <c r="H3402" i="38"/>
  <c r="G3402" i="38"/>
  <c r="F3402" i="38"/>
  <c r="E3402" i="38"/>
  <c r="D3402" i="38"/>
  <c r="C3402" i="38"/>
  <c r="J3401" i="38"/>
  <c r="I3401" i="38"/>
  <c r="H3401" i="38"/>
  <c r="G3401" i="38"/>
  <c r="F3401" i="38"/>
  <c r="E3401" i="38"/>
  <c r="D3401" i="38"/>
  <c r="C3401" i="38"/>
  <c r="J3400" i="38"/>
  <c r="I3400" i="38"/>
  <c r="H3400" i="38"/>
  <c r="G3400" i="38"/>
  <c r="F3400" i="38"/>
  <c r="E3400" i="38"/>
  <c r="D3400" i="38"/>
  <c r="C3400" i="38"/>
  <c r="J3399" i="38"/>
  <c r="I3399" i="38"/>
  <c r="H3399" i="38"/>
  <c r="G3399" i="38"/>
  <c r="F3399" i="38"/>
  <c r="E3399" i="38"/>
  <c r="D3399" i="38"/>
  <c r="C3399" i="38"/>
  <c r="J3398" i="38"/>
  <c r="I3398" i="38"/>
  <c r="H3398" i="38"/>
  <c r="G3398" i="38"/>
  <c r="F3398" i="38"/>
  <c r="E3398" i="38"/>
  <c r="D3398" i="38"/>
  <c r="C3398" i="38"/>
  <c r="J3397" i="38"/>
  <c r="I3397" i="38"/>
  <c r="H3397" i="38"/>
  <c r="G3397" i="38"/>
  <c r="F3397" i="38"/>
  <c r="E3397" i="38"/>
  <c r="D3397" i="38"/>
  <c r="C3397" i="38"/>
  <c r="J3396" i="38"/>
  <c r="I3396" i="38"/>
  <c r="H3396" i="38"/>
  <c r="G3396" i="38"/>
  <c r="F3396" i="38"/>
  <c r="E3396" i="38"/>
  <c r="D3396" i="38"/>
  <c r="C3396" i="38"/>
  <c r="J3395" i="38"/>
  <c r="I3395" i="38"/>
  <c r="H3395" i="38"/>
  <c r="G3395" i="38"/>
  <c r="F3395" i="38"/>
  <c r="E3395" i="38"/>
  <c r="D3395" i="38"/>
  <c r="C3395" i="38"/>
  <c r="J3394" i="38"/>
  <c r="I3394" i="38"/>
  <c r="H3394" i="38"/>
  <c r="G3394" i="38"/>
  <c r="F3394" i="38"/>
  <c r="E3394" i="38"/>
  <c r="D3394" i="38"/>
  <c r="C3394" i="38"/>
  <c r="J3393" i="38"/>
  <c r="I3393" i="38"/>
  <c r="H3393" i="38"/>
  <c r="G3393" i="38"/>
  <c r="E3393" i="38"/>
  <c r="D3393" i="38"/>
  <c r="C3393" i="38"/>
  <c r="J3392" i="38"/>
  <c r="I3392" i="38"/>
  <c r="H3392" i="38"/>
  <c r="G3392" i="38"/>
  <c r="F3392" i="38"/>
  <c r="E3392" i="38"/>
  <c r="C3392" i="38"/>
  <c r="H3391" i="38"/>
  <c r="G3391" i="38"/>
  <c r="E3391" i="38"/>
  <c r="C3391" i="38"/>
  <c r="H3390" i="38"/>
  <c r="G3390" i="38"/>
  <c r="E3390" i="38"/>
  <c r="D3390" i="38"/>
  <c r="C3390" i="38"/>
  <c r="H3389" i="38"/>
  <c r="G3389" i="38"/>
  <c r="E3389" i="38"/>
  <c r="D3389" i="38"/>
  <c r="C3389" i="38"/>
  <c r="H3388" i="38"/>
  <c r="G3388" i="38"/>
  <c r="E3388" i="38"/>
  <c r="D3388" i="38"/>
  <c r="C3388" i="38"/>
  <c r="H3387" i="38"/>
  <c r="G3387" i="38"/>
  <c r="E3387" i="38"/>
  <c r="D3387" i="38"/>
  <c r="C3387" i="38"/>
  <c r="J3386" i="38"/>
  <c r="I3386" i="38"/>
  <c r="H3386" i="38"/>
  <c r="G3386" i="38"/>
  <c r="F3386" i="38"/>
  <c r="E3386" i="38"/>
  <c r="D3386" i="38"/>
  <c r="C3386" i="38"/>
  <c r="J3385" i="38"/>
  <c r="I3385" i="38"/>
  <c r="H3385" i="38"/>
  <c r="G3385" i="38"/>
  <c r="F3385" i="38"/>
  <c r="E3385" i="38"/>
  <c r="D3385" i="38"/>
  <c r="C3385" i="38"/>
  <c r="J3384" i="38"/>
  <c r="I3384" i="38"/>
  <c r="H3384" i="38"/>
  <c r="G3384" i="38"/>
  <c r="F3384" i="38"/>
  <c r="E3384" i="38"/>
  <c r="D3384" i="38"/>
  <c r="C3384" i="38"/>
  <c r="J3383" i="38"/>
  <c r="I3383" i="38"/>
  <c r="H3383" i="38"/>
  <c r="G3383" i="38"/>
  <c r="E3383" i="38"/>
  <c r="D3383" i="38"/>
  <c r="C3383" i="38"/>
  <c r="J3382" i="38"/>
  <c r="I3382" i="38"/>
  <c r="H3382" i="38"/>
  <c r="G3382" i="38"/>
  <c r="F3382" i="38"/>
  <c r="E3382" i="38"/>
  <c r="C3382" i="38"/>
  <c r="H3381" i="38"/>
  <c r="G3381" i="38"/>
  <c r="E3381" i="38"/>
  <c r="C3381" i="38"/>
  <c r="H3380" i="38"/>
  <c r="G3380" i="38"/>
  <c r="E3380" i="38"/>
  <c r="D3380" i="38"/>
  <c r="C3380" i="38"/>
  <c r="H3379" i="38"/>
  <c r="G3379" i="38"/>
  <c r="E3379" i="38"/>
  <c r="D3379" i="38"/>
  <c r="C3379" i="38"/>
  <c r="H3378" i="38"/>
  <c r="G3378" i="38"/>
  <c r="E3378" i="38"/>
  <c r="D3378" i="38"/>
  <c r="C3378" i="38"/>
  <c r="H3377" i="38"/>
  <c r="G3377" i="38"/>
  <c r="E3377" i="38"/>
  <c r="D3377" i="38"/>
  <c r="C3377" i="38"/>
  <c r="J3376" i="38"/>
  <c r="I3376" i="38"/>
  <c r="H3376" i="38"/>
  <c r="G3376" i="38"/>
  <c r="F3376" i="38"/>
  <c r="E3376" i="38"/>
  <c r="D3376" i="38"/>
  <c r="C3376" i="38"/>
  <c r="J3375" i="38"/>
  <c r="I3375" i="38"/>
  <c r="H3375" i="38"/>
  <c r="G3375" i="38"/>
  <c r="F3375" i="38"/>
  <c r="E3375" i="38"/>
  <c r="D3375" i="38"/>
  <c r="C3375" i="38"/>
  <c r="J3374" i="38"/>
  <c r="I3374" i="38"/>
  <c r="H3374" i="38"/>
  <c r="G3374" i="38"/>
  <c r="F3374" i="38"/>
  <c r="E3374" i="38"/>
  <c r="D3374" i="38"/>
  <c r="C3374" i="38"/>
  <c r="J3373" i="38"/>
  <c r="I3373" i="38"/>
  <c r="H3373" i="38"/>
  <c r="G3373" i="38"/>
  <c r="E3373" i="38"/>
  <c r="D3373" i="38"/>
  <c r="C3373" i="38"/>
  <c r="J3372" i="38"/>
  <c r="I3372" i="38"/>
  <c r="H3372" i="38"/>
  <c r="G3372" i="38"/>
  <c r="F3372" i="38"/>
  <c r="E3372" i="38"/>
  <c r="C3372" i="38"/>
  <c r="H3371" i="38"/>
  <c r="G3371" i="38"/>
  <c r="E3371" i="38"/>
  <c r="C3371" i="38"/>
  <c r="H3370" i="38"/>
  <c r="G3370" i="38"/>
  <c r="E3370" i="38"/>
  <c r="D3370" i="38"/>
  <c r="C3370" i="38"/>
  <c r="H3369" i="38"/>
  <c r="G3369" i="38"/>
  <c r="E3369" i="38"/>
  <c r="D3369" i="38"/>
  <c r="C3369" i="38"/>
  <c r="H3368" i="38"/>
  <c r="G3368" i="38"/>
  <c r="E3368" i="38"/>
  <c r="D3368" i="38"/>
  <c r="C3368" i="38"/>
  <c r="H3367" i="38"/>
  <c r="G3367" i="38"/>
  <c r="E3367" i="38"/>
  <c r="D3367" i="38"/>
  <c r="C3367" i="38"/>
  <c r="J3366" i="38"/>
  <c r="I3366" i="38"/>
  <c r="H3366" i="38"/>
  <c r="G3366" i="38"/>
  <c r="F3366" i="38"/>
  <c r="E3366" i="38"/>
  <c r="D3366" i="38"/>
  <c r="C3366" i="38"/>
  <c r="J3365" i="38"/>
  <c r="I3365" i="38"/>
  <c r="H3365" i="38"/>
  <c r="G3365" i="38"/>
  <c r="F3365" i="38"/>
  <c r="E3365" i="38"/>
  <c r="D3365" i="38"/>
  <c r="C3365" i="38"/>
  <c r="J3364" i="38"/>
  <c r="I3364" i="38"/>
  <c r="H3364" i="38"/>
  <c r="G3364" i="38"/>
  <c r="F3364" i="38"/>
  <c r="E3364" i="38"/>
  <c r="D3364" i="38"/>
  <c r="C3364" i="38"/>
  <c r="J3363" i="38"/>
  <c r="I3363" i="38"/>
  <c r="H3363" i="38"/>
  <c r="G3363" i="38"/>
  <c r="E3363" i="38"/>
  <c r="D3363" i="38"/>
  <c r="C3363" i="38"/>
  <c r="J3362" i="38"/>
  <c r="I3362" i="38"/>
  <c r="H3362" i="38"/>
  <c r="G3362" i="38"/>
  <c r="F3362" i="38"/>
  <c r="E3362" i="38"/>
  <c r="C3362" i="38"/>
  <c r="H3361" i="38"/>
  <c r="G3361" i="38"/>
  <c r="E3361" i="38"/>
  <c r="C3361" i="38"/>
  <c r="H3360" i="38"/>
  <c r="G3360" i="38"/>
  <c r="E3360" i="38"/>
  <c r="D3360" i="38"/>
  <c r="C3360" i="38"/>
  <c r="H3359" i="38"/>
  <c r="G3359" i="38"/>
  <c r="E3359" i="38"/>
  <c r="D3359" i="38"/>
  <c r="C3359" i="38"/>
  <c r="H3358" i="38"/>
  <c r="G3358" i="38"/>
  <c r="E3358" i="38"/>
  <c r="D3358" i="38"/>
  <c r="C3358" i="38"/>
  <c r="H3357" i="38"/>
  <c r="G3357" i="38"/>
  <c r="E3357" i="38"/>
  <c r="D3357" i="38"/>
  <c r="C3357" i="38"/>
  <c r="J3356" i="38"/>
  <c r="I3356" i="38"/>
  <c r="H3356" i="38"/>
  <c r="G3356" i="38"/>
  <c r="F3356" i="38"/>
  <c r="E3356" i="38"/>
  <c r="D3356" i="38"/>
  <c r="C3356" i="38"/>
  <c r="J3355" i="38"/>
  <c r="I3355" i="38"/>
  <c r="H3355" i="38"/>
  <c r="G3355" i="38"/>
  <c r="F3355" i="38"/>
  <c r="E3355" i="38"/>
  <c r="D3355" i="38"/>
  <c r="C3355" i="38"/>
  <c r="J3354" i="38"/>
  <c r="I3354" i="38"/>
  <c r="H3354" i="38"/>
  <c r="G3354" i="38"/>
  <c r="F3354" i="38"/>
  <c r="E3354" i="38"/>
  <c r="D3354" i="38"/>
  <c r="C3354" i="38"/>
  <c r="J3353" i="38"/>
  <c r="I3353" i="38"/>
  <c r="H3353" i="38"/>
  <c r="G3353" i="38"/>
  <c r="E3353" i="38"/>
  <c r="D3353" i="38"/>
  <c r="C3353" i="38"/>
  <c r="J3352" i="38"/>
  <c r="I3352" i="38"/>
  <c r="H3352" i="38"/>
  <c r="G3352" i="38"/>
  <c r="F3352" i="38"/>
  <c r="E3352" i="38"/>
  <c r="C3352" i="38"/>
  <c r="H3351" i="38"/>
  <c r="G3351" i="38"/>
  <c r="E3351" i="38"/>
  <c r="C3351" i="38"/>
  <c r="H3350" i="38"/>
  <c r="G3350" i="38"/>
  <c r="E3350" i="38"/>
  <c r="D3350" i="38"/>
  <c r="C3350" i="38"/>
  <c r="H3349" i="38"/>
  <c r="G3349" i="38"/>
  <c r="E3349" i="38"/>
  <c r="D3349" i="38"/>
  <c r="C3349" i="38"/>
  <c r="H3348" i="38"/>
  <c r="G3348" i="38"/>
  <c r="E3348" i="38"/>
  <c r="D3348" i="38"/>
  <c r="C3348" i="38"/>
  <c r="H3347" i="38"/>
  <c r="G3347" i="38"/>
  <c r="E3347" i="38"/>
  <c r="D3347" i="38"/>
  <c r="C3347" i="38"/>
  <c r="J3346" i="38"/>
  <c r="I3346" i="38"/>
  <c r="H3346" i="38"/>
  <c r="G3346" i="38"/>
  <c r="F3346" i="38"/>
  <c r="E3346" i="38"/>
  <c r="D3346" i="38"/>
  <c r="C3346" i="38"/>
  <c r="J3345" i="38"/>
  <c r="I3345" i="38"/>
  <c r="H3345" i="38"/>
  <c r="G3345" i="38"/>
  <c r="F3345" i="38"/>
  <c r="E3345" i="38"/>
  <c r="D3345" i="38"/>
  <c r="C3345" i="38"/>
  <c r="J3344" i="38"/>
  <c r="I3344" i="38"/>
  <c r="H3344" i="38"/>
  <c r="G3344" i="38"/>
  <c r="F3344" i="38"/>
  <c r="E3344" i="38"/>
  <c r="D3344" i="38"/>
  <c r="C3344" i="38"/>
  <c r="J3343" i="38"/>
  <c r="I3343" i="38"/>
  <c r="H3343" i="38"/>
  <c r="G3343" i="38"/>
  <c r="E3343" i="38"/>
  <c r="D3343" i="38"/>
  <c r="C3343" i="38"/>
  <c r="J3342" i="38"/>
  <c r="I3342" i="38"/>
  <c r="H3342" i="38"/>
  <c r="G3342" i="38"/>
  <c r="F3342" i="38"/>
  <c r="E3342" i="38"/>
  <c r="C3342" i="38"/>
  <c r="H3341" i="38"/>
  <c r="G3341" i="38"/>
  <c r="E3341" i="38"/>
  <c r="C3341" i="38"/>
  <c r="H3340" i="38"/>
  <c r="G3340" i="38"/>
  <c r="E3340" i="38"/>
  <c r="D3340" i="38"/>
  <c r="C3340" i="38"/>
  <c r="H3339" i="38"/>
  <c r="G3339" i="38"/>
  <c r="E3339" i="38"/>
  <c r="D3339" i="38"/>
  <c r="C3339" i="38"/>
  <c r="H3338" i="38"/>
  <c r="G3338" i="38"/>
  <c r="E3338" i="38"/>
  <c r="D3338" i="38"/>
  <c r="C3338" i="38"/>
  <c r="H3337" i="38"/>
  <c r="G3337" i="38"/>
  <c r="E3337" i="38"/>
  <c r="D3337" i="38"/>
  <c r="C3337" i="38"/>
  <c r="J3336" i="38"/>
  <c r="I3336" i="38"/>
  <c r="H3336" i="38"/>
  <c r="G3336" i="38"/>
  <c r="F3336" i="38"/>
  <c r="E3336" i="38"/>
  <c r="D3336" i="38"/>
  <c r="C3336" i="38"/>
  <c r="J3335" i="38"/>
  <c r="I3335" i="38"/>
  <c r="H3335" i="38"/>
  <c r="G3335" i="38"/>
  <c r="F3335" i="38"/>
  <c r="E3335" i="38"/>
  <c r="D3335" i="38"/>
  <c r="C3335" i="38"/>
  <c r="J3334" i="38"/>
  <c r="I3334" i="38"/>
  <c r="H3334" i="38"/>
  <c r="G3334" i="38"/>
  <c r="F3334" i="38"/>
  <c r="E3334" i="38"/>
  <c r="D3334" i="38"/>
  <c r="C3334" i="38"/>
  <c r="J3333" i="38"/>
  <c r="I3333" i="38"/>
  <c r="H3333" i="38"/>
  <c r="G3333" i="38"/>
  <c r="E3333" i="38"/>
  <c r="D3333" i="38"/>
  <c r="C3333" i="38"/>
  <c r="J3332" i="38"/>
  <c r="I3332" i="38"/>
  <c r="H3332" i="38"/>
  <c r="G3332" i="38"/>
  <c r="F3332" i="38"/>
  <c r="E3332" i="38"/>
  <c r="C3332" i="38"/>
  <c r="H3331" i="38"/>
  <c r="G3331" i="38"/>
  <c r="E3331" i="38"/>
  <c r="C3331" i="38"/>
  <c r="H3330" i="38"/>
  <c r="G3330" i="38"/>
  <c r="E3330" i="38"/>
  <c r="D3330" i="38"/>
  <c r="C3330" i="38"/>
  <c r="H3329" i="38"/>
  <c r="G3329" i="38"/>
  <c r="E3329" i="38"/>
  <c r="D3329" i="38"/>
  <c r="C3329" i="38"/>
  <c r="H3328" i="38"/>
  <c r="G3328" i="38"/>
  <c r="E3328" i="38"/>
  <c r="D3328" i="38"/>
  <c r="C3328" i="38"/>
  <c r="H3327" i="38"/>
  <c r="G3327" i="38"/>
  <c r="E3327" i="38"/>
  <c r="D3327" i="38"/>
  <c r="C3327" i="38"/>
  <c r="J3326" i="38"/>
  <c r="I3326" i="38"/>
  <c r="H3326" i="38"/>
  <c r="G3326" i="38"/>
  <c r="F3326" i="38"/>
  <c r="E3326" i="38"/>
  <c r="D3326" i="38"/>
  <c r="C3326" i="38"/>
  <c r="J3325" i="38"/>
  <c r="I3325" i="38"/>
  <c r="H3325" i="38"/>
  <c r="G3325" i="38"/>
  <c r="F3325" i="38"/>
  <c r="E3325" i="38"/>
  <c r="D3325" i="38"/>
  <c r="C3325" i="38"/>
  <c r="J3324" i="38"/>
  <c r="I3324" i="38"/>
  <c r="H3324" i="38"/>
  <c r="G3324" i="38"/>
  <c r="F3324" i="38"/>
  <c r="E3324" i="38"/>
  <c r="D3324" i="38"/>
  <c r="C3324" i="38"/>
  <c r="J3323" i="38"/>
  <c r="I3323" i="38"/>
  <c r="H3323" i="38"/>
  <c r="G3323" i="38"/>
  <c r="E3323" i="38"/>
  <c r="D3323" i="38"/>
  <c r="C3323" i="38"/>
  <c r="J3322" i="38"/>
  <c r="I3322" i="38"/>
  <c r="H3322" i="38"/>
  <c r="G3322" i="38"/>
  <c r="F3322" i="38"/>
  <c r="E3322" i="38"/>
  <c r="C3322" i="38"/>
  <c r="H3321" i="38"/>
  <c r="G3321" i="38"/>
  <c r="E3321" i="38"/>
  <c r="C3321" i="38"/>
  <c r="H3320" i="38"/>
  <c r="G3320" i="38"/>
  <c r="E3320" i="38"/>
  <c r="D3320" i="38"/>
  <c r="C3320" i="38"/>
  <c r="H3319" i="38"/>
  <c r="G3319" i="38"/>
  <c r="E3319" i="38"/>
  <c r="D3319" i="38"/>
  <c r="C3319" i="38"/>
  <c r="H3318" i="38"/>
  <c r="G3318" i="38"/>
  <c r="E3318" i="38"/>
  <c r="D3318" i="38"/>
  <c r="C3318" i="38"/>
  <c r="H3317" i="38"/>
  <c r="G3317" i="38"/>
  <c r="E3317" i="38"/>
  <c r="D3317" i="38"/>
  <c r="C3317" i="38"/>
  <c r="J3316" i="38"/>
  <c r="I3316" i="38"/>
  <c r="H3316" i="38"/>
  <c r="G3316" i="38"/>
  <c r="F3316" i="38"/>
  <c r="E3316" i="38"/>
  <c r="D3316" i="38"/>
  <c r="C3316" i="38"/>
  <c r="J3315" i="38"/>
  <c r="I3315" i="38"/>
  <c r="H3315" i="38"/>
  <c r="G3315" i="38"/>
  <c r="F3315" i="38"/>
  <c r="E3315" i="38"/>
  <c r="D3315" i="38"/>
  <c r="C3315" i="38"/>
  <c r="J3314" i="38"/>
  <c r="I3314" i="38"/>
  <c r="H3314" i="38"/>
  <c r="G3314" i="38"/>
  <c r="F3314" i="38"/>
  <c r="E3314" i="38"/>
  <c r="D3314" i="38"/>
  <c r="C3314" i="38"/>
  <c r="J3313" i="38"/>
  <c r="I3313" i="38"/>
  <c r="H3313" i="38"/>
  <c r="G3313" i="38"/>
  <c r="E3313" i="38"/>
  <c r="D3313" i="38"/>
  <c r="C3313" i="38"/>
  <c r="J3312" i="38"/>
  <c r="I3312" i="38"/>
  <c r="H3312" i="38"/>
  <c r="G3312" i="38"/>
  <c r="F3312" i="38"/>
  <c r="E3312" i="38"/>
  <c r="C3312" i="38"/>
  <c r="H3311" i="38"/>
  <c r="G3311" i="38"/>
  <c r="E3311" i="38"/>
  <c r="C3311" i="38"/>
  <c r="H3310" i="38"/>
  <c r="G3310" i="38"/>
  <c r="E3310" i="38"/>
  <c r="D3310" i="38"/>
  <c r="C3310" i="38"/>
  <c r="H3309" i="38"/>
  <c r="G3309" i="38"/>
  <c r="E3309" i="38"/>
  <c r="D3309" i="38"/>
  <c r="C3309" i="38"/>
  <c r="H3308" i="38"/>
  <c r="G3308" i="38"/>
  <c r="E3308" i="38"/>
  <c r="D3308" i="38"/>
  <c r="C3308" i="38"/>
  <c r="H3307" i="38"/>
  <c r="G3307" i="38"/>
  <c r="E3307" i="38"/>
  <c r="D3307" i="38"/>
  <c r="C3307" i="38"/>
  <c r="J3306" i="38"/>
  <c r="I3306" i="38"/>
  <c r="H3306" i="38"/>
  <c r="G3306" i="38"/>
  <c r="F3306" i="38"/>
  <c r="E3306" i="38"/>
  <c r="D3306" i="38"/>
  <c r="C3306" i="38"/>
  <c r="J3305" i="38"/>
  <c r="I3305" i="38"/>
  <c r="H3305" i="38"/>
  <c r="G3305" i="38"/>
  <c r="F3305" i="38"/>
  <c r="E3305" i="38"/>
  <c r="D3305" i="38"/>
  <c r="C3305" i="38"/>
  <c r="J3304" i="38"/>
  <c r="I3304" i="38"/>
  <c r="H3304" i="38"/>
  <c r="G3304" i="38"/>
  <c r="F3304" i="38"/>
  <c r="E3304" i="38"/>
  <c r="D3304" i="38"/>
  <c r="C3304" i="38"/>
  <c r="J3303" i="38"/>
  <c r="I3303" i="38"/>
  <c r="H3303" i="38"/>
  <c r="G3303" i="38"/>
  <c r="E3303" i="38"/>
  <c r="D3303" i="38"/>
  <c r="C3303" i="38"/>
  <c r="J3302" i="38"/>
  <c r="I3302" i="38"/>
  <c r="H3302" i="38"/>
  <c r="G3302" i="38"/>
  <c r="F3302" i="38"/>
  <c r="E3302" i="38"/>
  <c r="C3302" i="38"/>
  <c r="H3301" i="38"/>
  <c r="G3301" i="38"/>
  <c r="E3301" i="38"/>
  <c r="C3301" i="38"/>
  <c r="H3300" i="38"/>
  <c r="G3300" i="38"/>
  <c r="E3300" i="38"/>
  <c r="D3300" i="38"/>
  <c r="C3300" i="38"/>
  <c r="H3299" i="38"/>
  <c r="G3299" i="38"/>
  <c r="E3299" i="38"/>
  <c r="D3299" i="38"/>
  <c r="C3299" i="38"/>
  <c r="H3298" i="38"/>
  <c r="G3298" i="38"/>
  <c r="E3298" i="38"/>
  <c r="D3298" i="38"/>
  <c r="C3298" i="38"/>
  <c r="H3297" i="38"/>
  <c r="G3297" i="38"/>
  <c r="E3297" i="38"/>
  <c r="D3297" i="38"/>
  <c r="C3297" i="38"/>
  <c r="J3296" i="38"/>
  <c r="I3296" i="38"/>
  <c r="H3296" i="38"/>
  <c r="G3296" i="38"/>
  <c r="F3296" i="38"/>
  <c r="E3296" i="38"/>
  <c r="D3296" i="38"/>
  <c r="C3296" i="38"/>
  <c r="J3295" i="38"/>
  <c r="I3295" i="38"/>
  <c r="H3295" i="38"/>
  <c r="G3295" i="38"/>
  <c r="F3295" i="38"/>
  <c r="E3295" i="38"/>
  <c r="D3295" i="38"/>
  <c r="C3295" i="38"/>
  <c r="J3294" i="38"/>
  <c r="I3294" i="38"/>
  <c r="H3294" i="38"/>
  <c r="G3294" i="38"/>
  <c r="F3294" i="38"/>
  <c r="E3294" i="38"/>
  <c r="D3294" i="38"/>
  <c r="C3294" i="38"/>
  <c r="J3293" i="38"/>
  <c r="I3293" i="38"/>
  <c r="H3293" i="38"/>
  <c r="G3293" i="38"/>
  <c r="E3293" i="38"/>
  <c r="D3293" i="38"/>
  <c r="C3293" i="38"/>
  <c r="J3292" i="38"/>
  <c r="I3292" i="38"/>
  <c r="H3292" i="38"/>
  <c r="G3292" i="38"/>
  <c r="F3292" i="38"/>
  <c r="E3292" i="38"/>
  <c r="C3292" i="38"/>
  <c r="H3291" i="38"/>
  <c r="G3291" i="38"/>
  <c r="E3291" i="38"/>
  <c r="C3291" i="38"/>
  <c r="H3290" i="38"/>
  <c r="G3290" i="38"/>
  <c r="E3290" i="38"/>
  <c r="D3290" i="38"/>
  <c r="C3290" i="38"/>
  <c r="H3289" i="38"/>
  <c r="G3289" i="38"/>
  <c r="E3289" i="38"/>
  <c r="D3289" i="38"/>
  <c r="C3289" i="38"/>
  <c r="H3288" i="38"/>
  <c r="G3288" i="38"/>
  <c r="E3288" i="38"/>
  <c r="D3288" i="38"/>
  <c r="C3288" i="38"/>
  <c r="H3287" i="38"/>
  <c r="G3287" i="38"/>
  <c r="E3287" i="38"/>
  <c r="D3287" i="38"/>
  <c r="C3287" i="38"/>
  <c r="J3286" i="38"/>
  <c r="I3286" i="38"/>
  <c r="H3286" i="38"/>
  <c r="G3286" i="38"/>
  <c r="F3286" i="38"/>
  <c r="E3286" i="38"/>
  <c r="D3286" i="38"/>
  <c r="C3286" i="38"/>
  <c r="J3285" i="38"/>
  <c r="I3285" i="38"/>
  <c r="H3285" i="38"/>
  <c r="G3285" i="38"/>
  <c r="F3285" i="38"/>
  <c r="E3285" i="38"/>
  <c r="D3285" i="38"/>
  <c r="C3285" i="38"/>
  <c r="J3284" i="38"/>
  <c r="I3284" i="38"/>
  <c r="H3284" i="38"/>
  <c r="G3284" i="38"/>
  <c r="F3284" i="38"/>
  <c r="E3284" i="38"/>
  <c r="D3284" i="38"/>
  <c r="C3284" i="38"/>
  <c r="J3283" i="38"/>
  <c r="I3283" i="38"/>
  <c r="H3283" i="38"/>
  <c r="G3283" i="38"/>
  <c r="E3283" i="38"/>
  <c r="D3283" i="38"/>
  <c r="C3283" i="38"/>
  <c r="J3282" i="38"/>
  <c r="I3282" i="38"/>
  <c r="H3282" i="38"/>
  <c r="G3282" i="38"/>
  <c r="F3282" i="38"/>
  <c r="E3282" i="38"/>
  <c r="C3282" i="38"/>
  <c r="H3281" i="38"/>
  <c r="G3281" i="38"/>
  <c r="E3281" i="38"/>
  <c r="C3281" i="38"/>
  <c r="H3280" i="38"/>
  <c r="G3280" i="38"/>
  <c r="E3280" i="38"/>
  <c r="D3280" i="38"/>
  <c r="C3280" i="38"/>
  <c r="H3279" i="38"/>
  <c r="G3279" i="38"/>
  <c r="E3279" i="38"/>
  <c r="D3279" i="38"/>
  <c r="C3279" i="38"/>
  <c r="H3278" i="38"/>
  <c r="G3278" i="38"/>
  <c r="E3278" i="38"/>
  <c r="D3278" i="38"/>
  <c r="C3278" i="38"/>
  <c r="H3277" i="38"/>
  <c r="G3277" i="38"/>
  <c r="E3277" i="38"/>
  <c r="D3277" i="38"/>
  <c r="C3277" i="38"/>
  <c r="J3276" i="38"/>
  <c r="I3276" i="38"/>
  <c r="H3276" i="38"/>
  <c r="G3276" i="38"/>
  <c r="F3276" i="38"/>
  <c r="E3276" i="38"/>
  <c r="D3276" i="38"/>
  <c r="C3276" i="38"/>
  <c r="J3275" i="38"/>
  <c r="I3275" i="38"/>
  <c r="H3275" i="38"/>
  <c r="G3275" i="38"/>
  <c r="F3275" i="38"/>
  <c r="E3275" i="38"/>
  <c r="D3275" i="38"/>
  <c r="C3275" i="38"/>
  <c r="J3274" i="38"/>
  <c r="I3274" i="38"/>
  <c r="H3274" i="38"/>
  <c r="G3274" i="38"/>
  <c r="F3274" i="38"/>
  <c r="E3274" i="38"/>
  <c r="D3274" i="38"/>
  <c r="C3274" i="38"/>
  <c r="J3273" i="38"/>
  <c r="I3273" i="38"/>
  <c r="H3273" i="38"/>
  <c r="G3273" i="38"/>
  <c r="E3273" i="38"/>
  <c r="D3273" i="38"/>
  <c r="C3273" i="38"/>
  <c r="J3272" i="38"/>
  <c r="I3272" i="38"/>
  <c r="H3272" i="38"/>
  <c r="G3272" i="38"/>
  <c r="F3272" i="38"/>
  <c r="E3272" i="38"/>
  <c r="C3272" i="38"/>
  <c r="H3271" i="38"/>
  <c r="G3271" i="38"/>
  <c r="E3271" i="38"/>
  <c r="C3271" i="38"/>
  <c r="H3270" i="38"/>
  <c r="G3270" i="38"/>
  <c r="E3270" i="38"/>
  <c r="D3270" i="38"/>
  <c r="C3270" i="38"/>
  <c r="H3269" i="38"/>
  <c r="G3269" i="38"/>
  <c r="E3269" i="38"/>
  <c r="D3269" i="38"/>
  <c r="C3269" i="38"/>
  <c r="H3268" i="38"/>
  <c r="G3268" i="38"/>
  <c r="E3268" i="38"/>
  <c r="D3268" i="38"/>
  <c r="C3268" i="38"/>
  <c r="H3267" i="38"/>
  <c r="G3267" i="38"/>
  <c r="E3267" i="38"/>
  <c r="D3267" i="38"/>
  <c r="C3267" i="38"/>
  <c r="J3266" i="38"/>
  <c r="I3266" i="38"/>
  <c r="H3266" i="38"/>
  <c r="G3266" i="38"/>
  <c r="F3266" i="38"/>
  <c r="E3266" i="38"/>
  <c r="D3266" i="38"/>
  <c r="C3266" i="38"/>
  <c r="J3265" i="38"/>
  <c r="I3265" i="38"/>
  <c r="H3265" i="38"/>
  <c r="G3265" i="38"/>
  <c r="F3265" i="38"/>
  <c r="E3265" i="38"/>
  <c r="D3265" i="38"/>
  <c r="C3265" i="38"/>
  <c r="J3264" i="38"/>
  <c r="I3264" i="38"/>
  <c r="H3264" i="38"/>
  <c r="G3264" i="38"/>
  <c r="F3264" i="38"/>
  <c r="E3264" i="38"/>
  <c r="D3264" i="38"/>
  <c r="C3264" i="38"/>
  <c r="J3263" i="38"/>
  <c r="I3263" i="38"/>
  <c r="H3263" i="38"/>
  <c r="G3263" i="38"/>
  <c r="E3263" i="38"/>
  <c r="D3263" i="38"/>
  <c r="C3263" i="38"/>
  <c r="J3262" i="38"/>
  <c r="I3262" i="38"/>
  <c r="H3262" i="38"/>
  <c r="G3262" i="38"/>
  <c r="F3262" i="38"/>
  <c r="E3262" i="38"/>
  <c r="C3262" i="38"/>
  <c r="H3261" i="38"/>
  <c r="G3261" i="38"/>
  <c r="E3261" i="38"/>
  <c r="C3261" i="38"/>
  <c r="H3260" i="38"/>
  <c r="G3260" i="38"/>
  <c r="E3260" i="38"/>
  <c r="D3260" i="38"/>
  <c r="C3260" i="38"/>
  <c r="H3259" i="38"/>
  <c r="G3259" i="38"/>
  <c r="E3259" i="38"/>
  <c r="D3259" i="38"/>
  <c r="C3259" i="38"/>
  <c r="H3258" i="38"/>
  <c r="G3258" i="38"/>
  <c r="E3258" i="38"/>
  <c r="D3258" i="38"/>
  <c r="C3258" i="38"/>
  <c r="H3257" i="38"/>
  <c r="G3257" i="38"/>
  <c r="E3257" i="38"/>
  <c r="D3257" i="38"/>
  <c r="C3257" i="38"/>
  <c r="J3256" i="38"/>
  <c r="I3256" i="38"/>
  <c r="H3256" i="38"/>
  <c r="G3256" i="38"/>
  <c r="F3256" i="38"/>
  <c r="E3256" i="38"/>
  <c r="D3256" i="38"/>
  <c r="C3256" i="38"/>
  <c r="J3255" i="38"/>
  <c r="I3255" i="38"/>
  <c r="H3255" i="38"/>
  <c r="G3255" i="38"/>
  <c r="F3255" i="38"/>
  <c r="E3255" i="38"/>
  <c r="D3255" i="38"/>
  <c r="C3255" i="38"/>
  <c r="J3254" i="38"/>
  <c r="I3254" i="38"/>
  <c r="H3254" i="38"/>
  <c r="G3254" i="38"/>
  <c r="F3254" i="38"/>
  <c r="E3254" i="38"/>
  <c r="D3254" i="38"/>
  <c r="C3254" i="38"/>
  <c r="J3253" i="38"/>
  <c r="I3253" i="38"/>
  <c r="H3253" i="38"/>
  <c r="G3253" i="38"/>
  <c r="E3253" i="38"/>
  <c r="D3253" i="38"/>
  <c r="C3253" i="38"/>
  <c r="J3252" i="38"/>
  <c r="I3252" i="38"/>
  <c r="H3252" i="38"/>
  <c r="G3252" i="38"/>
  <c r="F3252" i="38"/>
  <c r="E3252" i="38"/>
  <c r="C3252" i="38"/>
  <c r="H3251" i="38"/>
  <c r="G3251" i="38"/>
  <c r="E3251" i="38"/>
  <c r="C3251" i="38"/>
  <c r="H3250" i="38"/>
  <c r="G3250" i="38"/>
  <c r="E3250" i="38"/>
  <c r="D3250" i="38"/>
  <c r="C3250" i="38"/>
  <c r="H3249" i="38"/>
  <c r="G3249" i="38"/>
  <c r="E3249" i="38"/>
  <c r="D3249" i="38"/>
  <c r="C3249" i="38"/>
  <c r="H3248" i="38"/>
  <c r="G3248" i="38"/>
  <c r="E3248" i="38"/>
  <c r="D3248" i="38"/>
  <c r="C3248" i="38"/>
  <c r="H3247" i="38"/>
  <c r="G3247" i="38"/>
  <c r="E3247" i="38"/>
  <c r="D3247" i="38"/>
  <c r="C3247" i="38"/>
  <c r="J3246" i="38"/>
  <c r="I3246" i="38"/>
  <c r="H3246" i="38"/>
  <c r="G3246" i="38"/>
  <c r="F3246" i="38"/>
  <c r="E3246" i="38"/>
  <c r="D3246" i="38"/>
  <c r="C3246" i="38"/>
  <c r="J3245" i="38"/>
  <c r="I3245" i="38"/>
  <c r="H3245" i="38"/>
  <c r="G3245" i="38"/>
  <c r="F3245" i="38"/>
  <c r="E3245" i="38"/>
  <c r="D3245" i="38"/>
  <c r="C3245" i="38"/>
  <c r="J3244" i="38"/>
  <c r="I3244" i="38"/>
  <c r="H3244" i="38"/>
  <c r="G3244" i="38"/>
  <c r="F3244" i="38"/>
  <c r="E3244" i="38"/>
  <c r="D3244" i="38"/>
  <c r="C3244" i="38"/>
  <c r="J3243" i="38"/>
  <c r="I3243" i="38"/>
  <c r="H3243" i="38"/>
  <c r="G3243" i="38"/>
  <c r="E3243" i="38"/>
  <c r="D3243" i="38"/>
  <c r="C3243" i="38"/>
  <c r="J3242" i="38"/>
  <c r="I3242" i="38"/>
  <c r="H3242" i="38"/>
  <c r="G3242" i="38"/>
  <c r="F3242" i="38"/>
  <c r="E3242" i="38"/>
  <c r="C3242" i="38"/>
  <c r="H3241" i="38"/>
  <c r="G3241" i="38"/>
  <c r="E3241" i="38"/>
  <c r="C3241" i="38"/>
  <c r="H3240" i="38"/>
  <c r="G3240" i="38"/>
  <c r="E3240" i="38"/>
  <c r="D3240" i="38"/>
  <c r="C3240" i="38"/>
  <c r="H3239" i="38"/>
  <c r="G3239" i="38"/>
  <c r="E3239" i="38"/>
  <c r="D3239" i="38"/>
  <c r="C3239" i="38"/>
  <c r="H3238" i="38"/>
  <c r="G3238" i="38"/>
  <c r="E3238" i="38"/>
  <c r="D3238" i="38"/>
  <c r="C3238" i="38"/>
  <c r="H3237" i="38"/>
  <c r="G3237" i="38"/>
  <c r="E3237" i="38"/>
  <c r="D3237" i="38"/>
  <c r="C3237" i="38"/>
  <c r="J3236" i="38"/>
  <c r="I3236" i="38"/>
  <c r="H3236" i="38"/>
  <c r="G3236" i="38"/>
  <c r="F3236" i="38"/>
  <c r="E3236" i="38"/>
  <c r="D3236" i="38"/>
  <c r="C3236" i="38"/>
  <c r="J3235" i="38"/>
  <c r="I3235" i="38"/>
  <c r="H3235" i="38"/>
  <c r="G3235" i="38"/>
  <c r="F3235" i="38"/>
  <c r="E3235" i="38"/>
  <c r="D3235" i="38"/>
  <c r="C3235" i="38"/>
  <c r="J3234" i="38"/>
  <c r="I3234" i="38"/>
  <c r="H3234" i="38"/>
  <c r="G3234" i="38"/>
  <c r="F3234" i="38"/>
  <c r="E3234" i="38"/>
  <c r="D3234" i="38"/>
  <c r="C3234" i="38"/>
  <c r="J3233" i="38"/>
  <c r="I3233" i="38"/>
  <c r="H3233" i="38"/>
  <c r="G3233" i="38"/>
  <c r="E3233" i="38"/>
  <c r="D3233" i="38"/>
  <c r="C3233" i="38"/>
  <c r="J3232" i="38"/>
  <c r="I3232" i="38"/>
  <c r="H3232" i="38"/>
  <c r="G3232" i="38"/>
  <c r="F3232" i="38"/>
  <c r="E3232" i="38"/>
  <c r="C3232" i="38"/>
  <c r="H3231" i="38"/>
  <c r="G3231" i="38"/>
  <c r="E3231" i="38"/>
  <c r="C3231" i="38"/>
  <c r="J3230" i="38"/>
  <c r="I3230" i="38"/>
  <c r="H3230" i="38"/>
  <c r="G3230" i="38"/>
  <c r="F3230" i="38"/>
  <c r="E3230" i="38"/>
  <c r="D3230" i="38"/>
  <c r="C3230" i="38"/>
  <c r="J3229" i="38"/>
  <c r="I3229" i="38"/>
  <c r="H3229" i="38"/>
  <c r="G3229" i="38"/>
  <c r="F3229" i="38"/>
  <c r="E3229" i="38"/>
  <c r="D3229" i="38"/>
  <c r="C3229" i="38"/>
  <c r="J3228" i="38"/>
  <c r="I3228" i="38"/>
  <c r="H3228" i="38"/>
  <c r="G3228" i="38"/>
  <c r="F3228" i="38"/>
  <c r="E3228" i="38"/>
  <c r="D3228" i="38"/>
  <c r="C3228" i="38"/>
  <c r="J3227" i="38"/>
  <c r="I3227" i="38"/>
  <c r="H3227" i="38"/>
  <c r="G3227" i="38"/>
  <c r="F3227" i="38"/>
  <c r="E3227" i="38"/>
  <c r="D3227" i="38"/>
  <c r="C3227" i="38"/>
  <c r="J3226" i="38"/>
  <c r="I3226" i="38"/>
  <c r="H3226" i="38"/>
  <c r="G3226" i="38"/>
  <c r="F3226" i="38"/>
  <c r="E3226" i="38"/>
  <c r="D3226" i="38"/>
  <c r="C3226" i="38"/>
  <c r="J3225" i="38"/>
  <c r="I3225" i="38"/>
  <c r="H3225" i="38"/>
  <c r="G3225" i="38"/>
  <c r="F3225" i="38"/>
  <c r="E3225" i="38"/>
  <c r="D3225" i="38"/>
  <c r="C3225" i="38"/>
  <c r="J3224" i="38"/>
  <c r="I3224" i="38"/>
  <c r="H3224" i="38"/>
  <c r="G3224" i="38"/>
  <c r="F3224" i="38"/>
  <c r="E3224" i="38"/>
  <c r="D3224" i="38"/>
  <c r="C3224" i="38"/>
  <c r="J3223" i="38"/>
  <c r="I3223" i="38"/>
  <c r="H3223" i="38"/>
  <c r="G3223" i="38"/>
  <c r="F3223" i="38"/>
  <c r="E3223" i="38"/>
  <c r="D3223" i="38"/>
  <c r="C3223" i="38"/>
  <c r="J3222" i="38"/>
  <c r="I3222" i="38"/>
  <c r="H3222" i="38"/>
  <c r="G3222" i="38"/>
  <c r="F3222" i="38"/>
  <c r="E3222" i="38"/>
  <c r="D3222" i="38"/>
  <c r="C3222" i="38"/>
  <c r="J3221" i="38"/>
  <c r="I3221" i="38"/>
  <c r="H3221" i="38"/>
  <c r="G3221" i="38"/>
  <c r="F3221" i="38"/>
  <c r="E3221" i="38"/>
  <c r="D3221" i="38"/>
  <c r="C3221" i="38"/>
  <c r="J3220" i="38"/>
  <c r="I3220" i="38"/>
  <c r="H3220" i="38"/>
  <c r="G3220" i="38"/>
  <c r="F3220" i="38"/>
  <c r="E3220" i="38"/>
  <c r="D3220" i="38"/>
  <c r="C3220" i="38"/>
  <c r="J3219" i="38"/>
  <c r="I3219" i="38"/>
  <c r="H3219" i="38"/>
  <c r="G3219" i="38"/>
  <c r="F3219" i="38"/>
  <c r="E3219" i="38"/>
  <c r="D3219" i="38"/>
  <c r="C3219" i="38"/>
  <c r="J3218" i="38"/>
  <c r="I3218" i="38"/>
  <c r="H3218" i="38"/>
  <c r="G3218" i="38"/>
  <c r="F3218" i="38"/>
  <c r="E3218" i="38"/>
  <c r="D3218" i="38"/>
  <c r="C3218" i="38"/>
  <c r="J3217" i="38"/>
  <c r="I3217" i="38"/>
  <c r="H3217" i="38"/>
  <c r="G3217" i="38"/>
  <c r="F3217" i="38"/>
  <c r="E3217" i="38"/>
  <c r="D3217" i="38"/>
  <c r="C3217" i="38"/>
  <c r="J3216" i="38"/>
  <c r="I3216" i="38"/>
  <c r="H3216" i="38"/>
  <c r="G3216" i="38"/>
  <c r="F3216" i="38"/>
  <c r="E3216" i="38"/>
  <c r="D3216" i="38"/>
  <c r="C3216" i="38"/>
  <c r="J3215" i="38"/>
  <c r="I3215" i="38"/>
  <c r="H3215" i="38"/>
  <c r="G3215" i="38"/>
  <c r="F3215" i="38"/>
  <c r="E3215" i="38"/>
  <c r="D3215" i="38"/>
  <c r="C3215" i="38"/>
  <c r="J3214" i="38"/>
  <c r="I3214" i="38"/>
  <c r="H3214" i="38"/>
  <c r="G3214" i="38"/>
  <c r="F3214" i="38"/>
  <c r="E3214" i="38"/>
  <c r="D3214" i="38"/>
  <c r="C3214" i="38"/>
  <c r="J3213" i="38"/>
  <c r="I3213" i="38"/>
  <c r="H3213" i="38"/>
  <c r="G3213" i="38"/>
  <c r="E3213" i="38"/>
  <c r="D3213" i="38"/>
  <c r="C3213" i="38"/>
  <c r="J3212" i="38"/>
  <c r="I3212" i="38"/>
  <c r="H3212" i="38"/>
  <c r="G3212" i="38"/>
  <c r="F3212" i="38"/>
  <c r="E3212" i="38"/>
  <c r="C3212" i="38"/>
  <c r="H3211" i="38"/>
  <c r="G3211" i="38"/>
  <c r="E3211" i="38"/>
  <c r="C3211" i="38"/>
  <c r="H3210" i="38"/>
  <c r="G3210" i="38"/>
  <c r="E3210" i="38"/>
  <c r="D3210" i="38"/>
  <c r="C3210" i="38"/>
  <c r="H3209" i="38"/>
  <c r="G3209" i="38"/>
  <c r="E3209" i="38"/>
  <c r="D3209" i="38"/>
  <c r="C3209" i="38"/>
  <c r="H3208" i="38"/>
  <c r="G3208" i="38"/>
  <c r="E3208" i="38"/>
  <c r="D3208" i="38"/>
  <c r="C3208" i="38"/>
  <c r="H3207" i="38"/>
  <c r="G3207" i="38"/>
  <c r="E3207" i="38"/>
  <c r="D3207" i="38"/>
  <c r="C3207" i="38"/>
  <c r="J3206" i="38"/>
  <c r="I3206" i="38"/>
  <c r="H3206" i="38"/>
  <c r="G3206" i="38"/>
  <c r="F3206" i="38"/>
  <c r="E3206" i="38"/>
  <c r="D3206" i="38"/>
  <c r="C3206" i="38"/>
  <c r="J3205" i="38"/>
  <c r="I3205" i="38"/>
  <c r="H3205" i="38"/>
  <c r="G3205" i="38"/>
  <c r="F3205" i="38"/>
  <c r="E3205" i="38"/>
  <c r="D3205" i="38"/>
  <c r="C3205" i="38"/>
  <c r="J3204" i="38"/>
  <c r="I3204" i="38"/>
  <c r="H3204" i="38"/>
  <c r="G3204" i="38"/>
  <c r="F3204" i="38"/>
  <c r="E3204" i="38"/>
  <c r="D3204" i="38"/>
  <c r="C3204" i="38"/>
  <c r="J3203" i="38"/>
  <c r="I3203" i="38"/>
  <c r="H3203" i="38"/>
  <c r="G3203" i="38"/>
  <c r="E3203" i="38"/>
  <c r="D3203" i="38"/>
  <c r="C3203" i="38"/>
  <c r="J3202" i="38"/>
  <c r="I3202" i="38"/>
  <c r="H3202" i="38"/>
  <c r="G3202" i="38"/>
  <c r="F3202" i="38"/>
  <c r="E3202" i="38"/>
  <c r="C3202" i="38"/>
  <c r="H3201" i="38"/>
  <c r="G3201" i="38"/>
  <c r="E3201" i="38"/>
  <c r="C3201" i="38"/>
  <c r="H3200" i="38"/>
  <c r="G3200" i="38"/>
  <c r="E3200" i="38"/>
  <c r="D3200" i="38"/>
  <c r="C3200" i="38"/>
  <c r="H3199" i="38"/>
  <c r="G3199" i="38"/>
  <c r="E3199" i="38"/>
  <c r="D3199" i="38"/>
  <c r="C3199" i="38"/>
  <c r="H3198" i="38"/>
  <c r="G3198" i="38"/>
  <c r="E3198" i="38"/>
  <c r="D3198" i="38"/>
  <c r="C3198" i="38"/>
  <c r="H3197" i="38"/>
  <c r="G3197" i="38"/>
  <c r="E3197" i="38"/>
  <c r="D3197" i="38"/>
  <c r="C3197" i="38"/>
  <c r="J3196" i="38"/>
  <c r="I3196" i="38"/>
  <c r="H3196" i="38"/>
  <c r="G3196" i="38"/>
  <c r="F3196" i="38"/>
  <c r="E3196" i="38"/>
  <c r="D3196" i="38"/>
  <c r="C3196" i="38"/>
  <c r="J3195" i="38"/>
  <c r="I3195" i="38"/>
  <c r="H3195" i="38"/>
  <c r="G3195" i="38"/>
  <c r="F3195" i="38"/>
  <c r="E3195" i="38"/>
  <c r="D3195" i="38"/>
  <c r="C3195" i="38"/>
  <c r="J3194" i="38"/>
  <c r="I3194" i="38"/>
  <c r="H3194" i="38"/>
  <c r="G3194" i="38"/>
  <c r="F3194" i="38"/>
  <c r="E3194" i="38"/>
  <c r="D3194" i="38"/>
  <c r="C3194" i="38"/>
  <c r="J3193" i="38"/>
  <c r="I3193" i="38"/>
  <c r="H3193" i="38"/>
  <c r="G3193" i="38"/>
  <c r="E3193" i="38"/>
  <c r="D3193" i="38"/>
  <c r="C3193" i="38"/>
  <c r="J3192" i="38"/>
  <c r="I3192" i="38"/>
  <c r="H3192" i="38"/>
  <c r="G3192" i="38"/>
  <c r="F3192" i="38"/>
  <c r="E3192" i="38"/>
  <c r="C3192" i="38"/>
  <c r="H3191" i="38"/>
  <c r="G3191" i="38"/>
  <c r="E3191" i="38"/>
  <c r="C3191" i="38"/>
  <c r="H3190" i="38"/>
  <c r="G3190" i="38"/>
  <c r="E3190" i="38"/>
  <c r="D3190" i="38"/>
  <c r="C3190" i="38"/>
  <c r="H3189" i="38"/>
  <c r="G3189" i="38"/>
  <c r="E3189" i="38"/>
  <c r="D3189" i="38"/>
  <c r="C3189" i="38"/>
  <c r="H3188" i="38"/>
  <c r="G3188" i="38"/>
  <c r="E3188" i="38"/>
  <c r="D3188" i="38"/>
  <c r="C3188" i="38"/>
  <c r="H3187" i="38"/>
  <c r="G3187" i="38"/>
  <c r="E3187" i="38"/>
  <c r="D3187" i="38"/>
  <c r="C3187" i="38"/>
  <c r="J3186" i="38"/>
  <c r="I3186" i="38"/>
  <c r="H3186" i="38"/>
  <c r="G3186" i="38"/>
  <c r="F3186" i="38"/>
  <c r="E3186" i="38"/>
  <c r="D3186" i="38"/>
  <c r="C3186" i="38"/>
  <c r="J3185" i="38"/>
  <c r="I3185" i="38"/>
  <c r="H3185" i="38"/>
  <c r="G3185" i="38"/>
  <c r="F3185" i="38"/>
  <c r="E3185" i="38"/>
  <c r="D3185" i="38"/>
  <c r="C3185" i="38"/>
  <c r="J3184" i="38"/>
  <c r="I3184" i="38"/>
  <c r="H3184" i="38"/>
  <c r="G3184" i="38"/>
  <c r="F3184" i="38"/>
  <c r="E3184" i="38"/>
  <c r="D3184" i="38"/>
  <c r="C3184" i="38"/>
  <c r="J3183" i="38"/>
  <c r="I3183" i="38"/>
  <c r="H3183" i="38"/>
  <c r="G3183" i="38"/>
  <c r="E3183" i="38"/>
  <c r="D3183" i="38"/>
  <c r="C3183" i="38"/>
  <c r="J3182" i="38"/>
  <c r="I3182" i="38"/>
  <c r="H3182" i="38"/>
  <c r="G3182" i="38"/>
  <c r="F3182" i="38"/>
  <c r="E3182" i="38"/>
  <c r="C3182" i="38"/>
  <c r="H3181" i="38"/>
  <c r="G3181" i="38"/>
  <c r="E3181" i="38"/>
  <c r="C3181" i="38"/>
  <c r="H3180" i="38"/>
  <c r="G3180" i="38"/>
  <c r="E3180" i="38"/>
  <c r="D3180" i="38"/>
  <c r="C3180" i="38"/>
  <c r="H3179" i="38"/>
  <c r="G3179" i="38"/>
  <c r="E3179" i="38"/>
  <c r="D3179" i="38"/>
  <c r="C3179" i="38"/>
  <c r="H3178" i="38"/>
  <c r="G3178" i="38"/>
  <c r="E3178" i="38"/>
  <c r="D3178" i="38"/>
  <c r="C3178" i="38"/>
  <c r="H3177" i="38"/>
  <c r="G3177" i="38"/>
  <c r="E3177" i="38"/>
  <c r="D3177" i="38"/>
  <c r="C3177" i="38"/>
  <c r="J3176" i="38"/>
  <c r="I3176" i="38"/>
  <c r="H3176" i="38"/>
  <c r="G3176" i="38"/>
  <c r="F3176" i="38"/>
  <c r="E3176" i="38"/>
  <c r="D3176" i="38"/>
  <c r="C3176" i="38"/>
  <c r="J3175" i="38"/>
  <c r="I3175" i="38"/>
  <c r="H3175" i="38"/>
  <c r="G3175" i="38"/>
  <c r="F3175" i="38"/>
  <c r="E3175" i="38"/>
  <c r="D3175" i="38"/>
  <c r="C3175" i="38"/>
  <c r="J3174" i="38"/>
  <c r="I3174" i="38"/>
  <c r="H3174" i="38"/>
  <c r="G3174" i="38"/>
  <c r="F3174" i="38"/>
  <c r="E3174" i="38"/>
  <c r="D3174" i="38"/>
  <c r="C3174" i="38"/>
  <c r="J3173" i="38"/>
  <c r="I3173" i="38"/>
  <c r="H3173" i="38"/>
  <c r="G3173" i="38"/>
  <c r="E3173" i="38"/>
  <c r="D3173" i="38"/>
  <c r="C3173" i="38"/>
  <c r="J3172" i="38"/>
  <c r="I3172" i="38"/>
  <c r="H3172" i="38"/>
  <c r="G3172" i="38"/>
  <c r="F3172" i="38"/>
  <c r="E3172" i="38"/>
  <c r="C3172" i="38"/>
  <c r="H3171" i="38"/>
  <c r="G3171" i="38"/>
  <c r="E3171" i="38"/>
  <c r="C3171" i="38"/>
  <c r="H3170" i="38"/>
  <c r="G3170" i="38"/>
  <c r="E3170" i="38"/>
  <c r="D3170" i="38"/>
  <c r="C3170" i="38"/>
  <c r="H3169" i="38"/>
  <c r="G3169" i="38"/>
  <c r="E3169" i="38"/>
  <c r="D3169" i="38"/>
  <c r="C3169" i="38"/>
  <c r="H3168" i="38"/>
  <c r="G3168" i="38"/>
  <c r="E3168" i="38"/>
  <c r="D3168" i="38"/>
  <c r="C3168" i="38"/>
  <c r="H3167" i="38"/>
  <c r="G3167" i="38"/>
  <c r="E3167" i="38"/>
  <c r="D3167" i="38"/>
  <c r="C3167" i="38"/>
  <c r="J3166" i="38"/>
  <c r="I3166" i="38"/>
  <c r="H3166" i="38"/>
  <c r="G3166" i="38"/>
  <c r="F3166" i="38"/>
  <c r="E3166" i="38"/>
  <c r="D3166" i="38"/>
  <c r="C3166" i="38"/>
  <c r="J3165" i="38"/>
  <c r="I3165" i="38"/>
  <c r="H3165" i="38"/>
  <c r="G3165" i="38"/>
  <c r="F3165" i="38"/>
  <c r="E3165" i="38"/>
  <c r="D3165" i="38"/>
  <c r="C3165" i="38"/>
  <c r="J3164" i="38"/>
  <c r="I3164" i="38"/>
  <c r="H3164" i="38"/>
  <c r="G3164" i="38"/>
  <c r="F3164" i="38"/>
  <c r="E3164" i="38"/>
  <c r="D3164" i="38"/>
  <c r="C3164" i="38"/>
  <c r="J3163" i="38"/>
  <c r="I3163" i="38"/>
  <c r="H3163" i="38"/>
  <c r="G3163" i="38"/>
  <c r="E3163" i="38"/>
  <c r="D3163" i="38"/>
  <c r="C3163" i="38"/>
  <c r="J3162" i="38"/>
  <c r="I3162" i="38"/>
  <c r="H3162" i="38"/>
  <c r="G3162" i="38"/>
  <c r="F3162" i="38"/>
  <c r="E3162" i="38"/>
  <c r="C3162" i="38"/>
  <c r="H3161" i="38"/>
  <c r="G3161" i="38"/>
  <c r="E3161" i="38"/>
  <c r="C3161" i="38"/>
  <c r="H3160" i="38"/>
  <c r="G3160" i="38"/>
  <c r="E3160" i="38"/>
  <c r="D3160" i="38"/>
  <c r="C3160" i="38"/>
  <c r="H3159" i="38"/>
  <c r="G3159" i="38"/>
  <c r="E3159" i="38"/>
  <c r="D3159" i="38"/>
  <c r="C3159" i="38"/>
  <c r="H3158" i="38"/>
  <c r="G3158" i="38"/>
  <c r="E3158" i="38"/>
  <c r="D3158" i="38"/>
  <c r="C3158" i="38"/>
  <c r="H3157" i="38"/>
  <c r="G3157" i="38"/>
  <c r="E3157" i="38"/>
  <c r="D3157" i="38"/>
  <c r="C3157" i="38"/>
  <c r="J3156" i="38"/>
  <c r="I3156" i="38"/>
  <c r="H3156" i="38"/>
  <c r="G3156" i="38"/>
  <c r="F3156" i="38"/>
  <c r="E3156" i="38"/>
  <c r="D3156" i="38"/>
  <c r="C3156" i="38"/>
  <c r="J3155" i="38"/>
  <c r="I3155" i="38"/>
  <c r="H3155" i="38"/>
  <c r="G3155" i="38"/>
  <c r="F3155" i="38"/>
  <c r="E3155" i="38"/>
  <c r="D3155" i="38"/>
  <c r="C3155" i="38"/>
  <c r="J3154" i="38"/>
  <c r="I3154" i="38"/>
  <c r="H3154" i="38"/>
  <c r="G3154" i="38"/>
  <c r="F3154" i="38"/>
  <c r="E3154" i="38"/>
  <c r="D3154" i="38"/>
  <c r="C3154" i="38"/>
  <c r="J3153" i="38"/>
  <c r="I3153" i="38"/>
  <c r="H3153" i="38"/>
  <c r="G3153" i="38"/>
  <c r="E3153" i="38"/>
  <c r="D3153" i="38"/>
  <c r="C3153" i="38"/>
  <c r="J3152" i="38"/>
  <c r="I3152" i="38"/>
  <c r="H3152" i="38"/>
  <c r="G3152" i="38"/>
  <c r="F3152" i="38"/>
  <c r="E3152" i="38"/>
  <c r="C3152" i="38"/>
  <c r="H3151" i="38"/>
  <c r="G3151" i="38"/>
  <c r="E3151" i="38"/>
  <c r="C3151" i="38"/>
  <c r="H3150" i="38"/>
  <c r="G3150" i="38"/>
  <c r="E3150" i="38"/>
  <c r="D3150" i="38"/>
  <c r="C3150" i="38"/>
  <c r="H3149" i="38"/>
  <c r="G3149" i="38"/>
  <c r="E3149" i="38"/>
  <c r="D3149" i="38"/>
  <c r="C3149" i="38"/>
  <c r="H3148" i="38"/>
  <c r="G3148" i="38"/>
  <c r="E3148" i="38"/>
  <c r="D3148" i="38"/>
  <c r="C3148" i="38"/>
  <c r="H3147" i="38"/>
  <c r="G3147" i="38"/>
  <c r="E3147" i="38"/>
  <c r="D3147" i="38"/>
  <c r="C3147" i="38"/>
  <c r="J3146" i="38"/>
  <c r="I3146" i="38"/>
  <c r="H3146" i="38"/>
  <c r="G3146" i="38"/>
  <c r="F3146" i="38"/>
  <c r="E3146" i="38"/>
  <c r="D3146" i="38"/>
  <c r="C3146" i="38"/>
  <c r="J3145" i="38"/>
  <c r="I3145" i="38"/>
  <c r="H3145" i="38"/>
  <c r="G3145" i="38"/>
  <c r="F3145" i="38"/>
  <c r="E3145" i="38"/>
  <c r="D3145" i="38"/>
  <c r="C3145" i="38"/>
  <c r="J3144" i="38"/>
  <c r="I3144" i="38"/>
  <c r="H3144" i="38"/>
  <c r="G3144" i="38"/>
  <c r="F3144" i="38"/>
  <c r="E3144" i="38"/>
  <c r="D3144" i="38"/>
  <c r="C3144" i="38"/>
  <c r="J3143" i="38"/>
  <c r="I3143" i="38"/>
  <c r="H3143" i="38"/>
  <c r="G3143" i="38"/>
  <c r="E3143" i="38"/>
  <c r="D3143" i="38"/>
  <c r="C3143" i="38"/>
  <c r="J3142" i="38"/>
  <c r="I3142" i="38"/>
  <c r="H3142" i="38"/>
  <c r="G3142" i="38"/>
  <c r="F3142" i="38"/>
  <c r="E3142" i="38"/>
  <c r="C3142" i="38"/>
  <c r="H3141" i="38"/>
  <c r="G3141" i="38"/>
  <c r="E3141" i="38"/>
  <c r="C3141" i="38"/>
  <c r="H3140" i="38"/>
  <c r="G3140" i="38"/>
  <c r="E3140" i="38"/>
  <c r="D3140" i="38"/>
  <c r="C3140" i="38"/>
  <c r="H3139" i="38"/>
  <c r="G3139" i="38"/>
  <c r="E3139" i="38"/>
  <c r="D3139" i="38"/>
  <c r="C3139" i="38"/>
  <c r="H3138" i="38"/>
  <c r="G3138" i="38"/>
  <c r="E3138" i="38"/>
  <c r="D3138" i="38"/>
  <c r="C3138" i="38"/>
  <c r="H3137" i="38"/>
  <c r="G3137" i="38"/>
  <c r="E3137" i="38"/>
  <c r="D3137" i="38"/>
  <c r="C3137" i="38"/>
  <c r="J3136" i="38"/>
  <c r="I3136" i="38"/>
  <c r="H3136" i="38"/>
  <c r="G3136" i="38"/>
  <c r="F3136" i="38"/>
  <c r="E3136" i="38"/>
  <c r="D3136" i="38"/>
  <c r="C3136" i="38"/>
  <c r="J3135" i="38"/>
  <c r="I3135" i="38"/>
  <c r="H3135" i="38"/>
  <c r="G3135" i="38"/>
  <c r="F3135" i="38"/>
  <c r="E3135" i="38"/>
  <c r="D3135" i="38"/>
  <c r="C3135" i="38"/>
  <c r="J3134" i="38"/>
  <c r="I3134" i="38"/>
  <c r="H3134" i="38"/>
  <c r="G3134" i="38"/>
  <c r="F3134" i="38"/>
  <c r="E3134" i="38"/>
  <c r="D3134" i="38"/>
  <c r="C3134" i="38"/>
  <c r="J3133" i="38"/>
  <c r="I3133" i="38"/>
  <c r="H3133" i="38"/>
  <c r="G3133" i="38"/>
  <c r="E3133" i="38"/>
  <c r="D3133" i="38"/>
  <c r="C3133" i="38"/>
  <c r="J3132" i="38"/>
  <c r="I3132" i="38"/>
  <c r="H3132" i="38"/>
  <c r="G3132" i="38"/>
  <c r="F3132" i="38"/>
  <c r="E3132" i="38"/>
  <c r="C3132" i="38"/>
  <c r="H3131" i="38"/>
  <c r="G3131" i="38"/>
  <c r="E3131" i="38"/>
  <c r="C3131" i="38"/>
  <c r="H3130" i="38"/>
  <c r="G3130" i="38"/>
  <c r="E3130" i="38"/>
  <c r="D3130" i="38"/>
  <c r="C3130" i="38"/>
  <c r="H3129" i="38"/>
  <c r="G3129" i="38"/>
  <c r="E3129" i="38"/>
  <c r="D3129" i="38"/>
  <c r="C3129" i="38"/>
  <c r="H3128" i="38"/>
  <c r="G3128" i="38"/>
  <c r="E3128" i="38"/>
  <c r="D3128" i="38"/>
  <c r="C3128" i="38"/>
  <c r="H3127" i="38"/>
  <c r="G3127" i="38"/>
  <c r="E3127" i="38"/>
  <c r="D3127" i="38"/>
  <c r="C3127" i="38"/>
  <c r="J3126" i="38"/>
  <c r="I3126" i="38"/>
  <c r="H3126" i="38"/>
  <c r="G3126" i="38"/>
  <c r="F3126" i="38"/>
  <c r="E3126" i="38"/>
  <c r="D3126" i="38"/>
  <c r="C3126" i="38"/>
  <c r="J3125" i="38"/>
  <c r="I3125" i="38"/>
  <c r="H3125" i="38"/>
  <c r="G3125" i="38"/>
  <c r="F3125" i="38"/>
  <c r="E3125" i="38"/>
  <c r="D3125" i="38"/>
  <c r="C3125" i="38"/>
  <c r="J3124" i="38"/>
  <c r="I3124" i="38"/>
  <c r="H3124" i="38"/>
  <c r="G3124" i="38"/>
  <c r="F3124" i="38"/>
  <c r="E3124" i="38"/>
  <c r="D3124" i="38"/>
  <c r="C3124" i="38"/>
  <c r="J3123" i="38"/>
  <c r="I3123" i="38"/>
  <c r="H3123" i="38"/>
  <c r="G3123" i="38"/>
  <c r="E3123" i="38"/>
  <c r="D3123" i="38"/>
  <c r="C3123" i="38"/>
  <c r="J3122" i="38"/>
  <c r="I3122" i="38"/>
  <c r="H3122" i="38"/>
  <c r="G3122" i="38"/>
  <c r="F3122" i="38"/>
  <c r="E3122" i="38"/>
  <c r="C3122" i="38"/>
  <c r="H3121" i="38"/>
  <c r="G3121" i="38"/>
  <c r="E3121" i="38"/>
  <c r="C3121" i="38"/>
  <c r="H3120" i="38"/>
  <c r="G3120" i="38"/>
  <c r="E3120" i="38"/>
  <c r="D3120" i="38"/>
  <c r="C3120" i="38"/>
  <c r="H3119" i="38"/>
  <c r="G3119" i="38"/>
  <c r="E3119" i="38"/>
  <c r="D3119" i="38"/>
  <c r="C3119" i="38"/>
  <c r="H3118" i="38"/>
  <c r="G3118" i="38"/>
  <c r="E3118" i="38"/>
  <c r="D3118" i="38"/>
  <c r="C3118" i="38"/>
  <c r="H3117" i="38"/>
  <c r="G3117" i="38"/>
  <c r="E3117" i="38"/>
  <c r="D3117" i="38"/>
  <c r="C3117" i="38"/>
  <c r="J3116" i="38"/>
  <c r="I3116" i="38"/>
  <c r="H3116" i="38"/>
  <c r="G3116" i="38"/>
  <c r="F3116" i="38"/>
  <c r="E3116" i="38"/>
  <c r="D3116" i="38"/>
  <c r="C3116" i="38"/>
  <c r="J3115" i="38"/>
  <c r="I3115" i="38"/>
  <c r="H3115" i="38"/>
  <c r="G3115" i="38"/>
  <c r="F3115" i="38"/>
  <c r="E3115" i="38"/>
  <c r="D3115" i="38"/>
  <c r="C3115" i="38"/>
  <c r="J3114" i="38"/>
  <c r="I3114" i="38"/>
  <c r="H3114" i="38"/>
  <c r="G3114" i="38"/>
  <c r="F3114" i="38"/>
  <c r="E3114" i="38"/>
  <c r="D3114" i="38"/>
  <c r="C3114" i="38"/>
  <c r="J3113" i="38"/>
  <c r="I3113" i="38"/>
  <c r="H3113" i="38"/>
  <c r="G3113" i="38"/>
  <c r="E3113" i="38"/>
  <c r="D3113" i="38"/>
  <c r="C3113" i="38"/>
  <c r="J3112" i="38"/>
  <c r="I3112" i="38"/>
  <c r="H3112" i="38"/>
  <c r="G3112" i="38"/>
  <c r="F3112" i="38"/>
  <c r="E3112" i="38"/>
  <c r="C3112" i="38"/>
  <c r="H3111" i="38"/>
  <c r="G3111" i="38"/>
  <c r="E3111" i="38"/>
  <c r="C3111" i="38"/>
  <c r="H3110" i="38"/>
  <c r="G3110" i="38"/>
  <c r="E3110" i="38"/>
  <c r="D3110" i="38"/>
  <c r="C3110" i="38"/>
  <c r="H3109" i="38"/>
  <c r="G3109" i="38"/>
  <c r="E3109" i="38"/>
  <c r="D3109" i="38"/>
  <c r="C3109" i="38"/>
  <c r="H3108" i="38"/>
  <c r="G3108" i="38"/>
  <c r="E3108" i="38"/>
  <c r="D3108" i="38"/>
  <c r="C3108" i="38"/>
  <c r="H3107" i="38"/>
  <c r="G3107" i="38"/>
  <c r="E3107" i="38"/>
  <c r="D3107" i="38"/>
  <c r="C3107" i="38"/>
  <c r="J3106" i="38"/>
  <c r="I3106" i="38"/>
  <c r="H3106" i="38"/>
  <c r="G3106" i="38"/>
  <c r="F3106" i="38"/>
  <c r="E3106" i="38"/>
  <c r="D3106" i="38"/>
  <c r="C3106" i="38"/>
  <c r="J3105" i="38"/>
  <c r="I3105" i="38"/>
  <c r="H3105" i="38"/>
  <c r="G3105" i="38"/>
  <c r="F3105" i="38"/>
  <c r="E3105" i="38"/>
  <c r="D3105" i="38"/>
  <c r="C3105" i="38"/>
  <c r="J3104" i="38"/>
  <c r="I3104" i="38"/>
  <c r="H3104" i="38"/>
  <c r="G3104" i="38"/>
  <c r="F3104" i="38"/>
  <c r="E3104" i="38"/>
  <c r="D3104" i="38"/>
  <c r="C3104" i="38"/>
  <c r="J3103" i="38"/>
  <c r="I3103" i="38"/>
  <c r="H3103" i="38"/>
  <c r="G3103" i="38"/>
  <c r="E3103" i="38"/>
  <c r="D3103" i="38"/>
  <c r="C3103" i="38"/>
  <c r="J3102" i="38"/>
  <c r="I3102" i="38"/>
  <c r="H3102" i="38"/>
  <c r="G3102" i="38"/>
  <c r="F3102" i="38"/>
  <c r="E3102" i="38"/>
  <c r="C3102" i="38"/>
  <c r="H3101" i="38"/>
  <c r="G3101" i="38"/>
  <c r="E3101" i="38"/>
  <c r="C3101" i="38"/>
  <c r="H3100" i="38"/>
  <c r="G3100" i="38"/>
  <c r="E3100" i="38"/>
  <c r="D3100" i="38"/>
  <c r="C3100" i="38"/>
  <c r="H3099" i="38"/>
  <c r="G3099" i="38"/>
  <c r="E3099" i="38"/>
  <c r="D3099" i="38"/>
  <c r="C3099" i="38"/>
  <c r="H3098" i="38"/>
  <c r="G3098" i="38"/>
  <c r="E3098" i="38"/>
  <c r="D3098" i="38"/>
  <c r="C3098" i="38"/>
  <c r="H3097" i="38"/>
  <c r="G3097" i="38"/>
  <c r="E3097" i="38"/>
  <c r="D3097" i="38"/>
  <c r="C3097" i="38"/>
  <c r="J3096" i="38"/>
  <c r="I3096" i="38"/>
  <c r="H3096" i="38"/>
  <c r="G3096" i="38"/>
  <c r="F3096" i="38"/>
  <c r="E3096" i="38"/>
  <c r="D3096" i="38"/>
  <c r="C3096" i="38"/>
  <c r="J3095" i="38"/>
  <c r="I3095" i="38"/>
  <c r="H3095" i="38"/>
  <c r="G3095" i="38"/>
  <c r="F3095" i="38"/>
  <c r="E3095" i="38"/>
  <c r="D3095" i="38"/>
  <c r="C3095" i="38"/>
  <c r="J3094" i="38"/>
  <c r="I3094" i="38"/>
  <c r="H3094" i="38"/>
  <c r="G3094" i="38"/>
  <c r="F3094" i="38"/>
  <c r="E3094" i="38"/>
  <c r="D3094" i="38"/>
  <c r="C3094" i="38"/>
  <c r="J3093" i="38"/>
  <c r="I3093" i="38"/>
  <c r="H3093" i="38"/>
  <c r="G3093" i="38"/>
  <c r="E3093" i="38"/>
  <c r="D3093" i="38"/>
  <c r="C3093" i="38"/>
  <c r="J3092" i="38"/>
  <c r="I3092" i="38"/>
  <c r="H3092" i="38"/>
  <c r="G3092" i="38"/>
  <c r="F3092" i="38"/>
  <c r="E3092" i="38"/>
  <c r="C3092" i="38"/>
  <c r="H3091" i="38"/>
  <c r="G3091" i="38"/>
  <c r="E3091" i="38"/>
  <c r="C3091" i="38"/>
  <c r="H3090" i="38"/>
  <c r="G3090" i="38"/>
  <c r="E3090" i="38"/>
  <c r="D3090" i="38"/>
  <c r="C3090" i="38"/>
  <c r="H3089" i="38"/>
  <c r="G3089" i="38"/>
  <c r="E3089" i="38"/>
  <c r="D3089" i="38"/>
  <c r="C3089" i="38"/>
  <c r="H3088" i="38"/>
  <c r="G3088" i="38"/>
  <c r="E3088" i="38"/>
  <c r="D3088" i="38"/>
  <c r="C3088" i="38"/>
  <c r="H3087" i="38"/>
  <c r="G3087" i="38"/>
  <c r="E3087" i="38"/>
  <c r="D3087" i="38"/>
  <c r="C3087" i="38"/>
  <c r="J3086" i="38"/>
  <c r="I3086" i="38"/>
  <c r="H3086" i="38"/>
  <c r="G3086" i="38"/>
  <c r="F3086" i="38"/>
  <c r="E3086" i="38"/>
  <c r="D3086" i="38"/>
  <c r="C3086" i="38"/>
  <c r="J3085" i="38"/>
  <c r="I3085" i="38"/>
  <c r="H3085" i="38"/>
  <c r="G3085" i="38"/>
  <c r="F3085" i="38"/>
  <c r="E3085" i="38"/>
  <c r="D3085" i="38"/>
  <c r="C3085" i="38"/>
  <c r="J3084" i="38"/>
  <c r="I3084" i="38"/>
  <c r="H3084" i="38"/>
  <c r="G3084" i="38"/>
  <c r="F3084" i="38"/>
  <c r="E3084" i="38"/>
  <c r="D3084" i="38"/>
  <c r="C3084" i="38"/>
  <c r="J3083" i="38"/>
  <c r="I3083" i="38"/>
  <c r="H3083" i="38"/>
  <c r="G3083" i="38"/>
  <c r="E3083" i="38"/>
  <c r="D3083" i="38"/>
  <c r="C3083" i="38"/>
  <c r="J3082" i="38"/>
  <c r="I3082" i="38"/>
  <c r="H3082" i="38"/>
  <c r="G3082" i="38"/>
  <c r="F3082" i="38"/>
  <c r="E3082" i="38"/>
  <c r="C3082" i="38"/>
  <c r="H3081" i="38"/>
  <c r="G3081" i="38"/>
  <c r="E3081" i="38"/>
  <c r="C3081" i="38"/>
  <c r="H3080" i="38"/>
  <c r="G3080" i="38"/>
  <c r="E3080" i="38"/>
  <c r="D3080" i="38"/>
  <c r="C3080" i="38"/>
  <c r="H3079" i="38"/>
  <c r="G3079" i="38"/>
  <c r="E3079" i="38"/>
  <c r="D3079" i="38"/>
  <c r="C3079" i="38"/>
  <c r="H3078" i="38"/>
  <c r="G3078" i="38"/>
  <c r="E3078" i="38"/>
  <c r="D3078" i="38"/>
  <c r="C3078" i="38"/>
  <c r="H3077" i="38"/>
  <c r="G3077" i="38"/>
  <c r="E3077" i="38"/>
  <c r="D3077" i="38"/>
  <c r="C3077" i="38"/>
  <c r="J3076" i="38"/>
  <c r="I3076" i="38"/>
  <c r="H3076" i="38"/>
  <c r="G3076" i="38"/>
  <c r="F3076" i="38"/>
  <c r="E3076" i="38"/>
  <c r="D3076" i="38"/>
  <c r="C3076" i="38"/>
  <c r="J3075" i="38"/>
  <c r="I3075" i="38"/>
  <c r="H3075" i="38"/>
  <c r="G3075" i="38"/>
  <c r="F3075" i="38"/>
  <c r="E3075" i="38"/>
  <c r="D3075" i="38"/>
  <c r="C3075" i="38"/>
  <c r="J3074" i="38"/>
  <c r="I3074" i="38"/>
  <c r="H3074" i="38"/>
  <c r="G3074" i="38"/>
  <c r="F3074" i="38"/>
  <c r="E3074" i="38"/>
  <c r="D3074" i="38"/>
  <c r="C3074" i="38"/>
  <c r="J3073" i="38"/>
  <c r="I3073" i="38"/>
  <c r="H3073" i="38"/>
  <c r="G3073" i="38"/>
  <c r="E3073" i="38"/>
  <c r="D3073" i="38"/>
  <c r="C3073" i="38"/>
  <c r="J3072" i="38"/>
  <c r="I3072" i="38"/>
  <c r="H3072" i="38"/>
  <c r="G3072" i="38"/>
  <c r="F3072" i="38"/>
  <c r="E3072" i="38"/>
  <c r="C3072" i="38"/>
  <c r="H3071" i="38"/>
  <c r="G3071" i="38"/>
  <c r="E3071" i="38"/>
  <c r="C3071" i="38"/>
  <c r="H3070" i="38"/>
  <c r="G3070" i="38"/>
  <c r="E3070" i="38"/>
  <c r="D3070" i="38"/>
  <c r="C3070" i="38"/>
  <c r="H3069" i="38"/>
  <c r="G3069" i="38"/>
  <c r="E3069" i="38"/>
  <c r="D3069" i="38"/>
  <c r="C3069" i="38"/>
  <c r="H3068" i="38"/>
  <c r="G3068" i="38"/>
  <c r="E3068" i="38"/>
  <c r="D3068" i="38"/>
  <c r="C3068" i="38"/>
  <c r="H3067" i="38"/>
  <c r="G3067" i="38"/>
  <c r="E3067" i="38"/>
  <c r="D3067" i="38"/>
  <c r="C3067" i="38"/>
  <c r="J3066" i="38"/>
  <c r="I3066" i="38"/>
  <c r="H3066" i="38"/>
  <c r="G3066" i="38"/>
  <c r="F3066" i="38"/>
  <c r="E3066" i="38"/>
  <c r="D3066" i="38"/>
  <c r="C3066" i="38"/>
  <c r="J3065" i="38"/>
  <c r="I3065" i="38"/>
  <c r="H3065" i="38"/>
  <c r="G3065" i="38"/>
  <c r="F3065" i="38"/>
  <c r="E3065" i="38"/>
  <c r="D3065" i="38"/>
  <c r="C3065" i="38"/>
  <c r="J3064" i="38"/>
  <c r="I3064" i="38"/>
  <c r="H3064" i="38"/>
  <c r="G3064" i="38"/>
  <c r="F3064" i="38"/>
  <c r="E3064" i="38"/>
  <c r="D3064" i="38"/>
  <c r="C3064" i="38"/>
  <c r="J3063" i="38"/>
  <c r="I3063" i="38"/>
  <c r="H3063" i="38"/>
  <c r="G3063" i="38"/>
  <c r="E3063" i="38"/>
  <c r="D3063" i="38"/>
  <c r="C3063" i="38"/>
  <c r="J3062" i="38"/>
  <c r="I3062" i="38"/>
  <c r="H3062" i="38"/>
  <c r="G3062" i="38"/>
  <c r="F3062" i="38"/>
  <c r="E3062" i="38"/>
  <c r="C3062" i="38"/>
  <c r="H3061" i="38"/>
  <c r="G3061" i="38"/>
  <c r="E3061" i="38"/>
  <c r="C3061" i="38"/>
  <c r="H3060" i="38"/>
  <c r="G3060" i="38"/>
  <c r="E3060" i="38"/>
  <c r="D3060" i="38"/>
  <c r="C3060" i="38"/>
  <c r="H3059" i="38"/>
  <c r="G3059" i="38"/>
  <c r="E3059" i="38"/>
  <c r="D3059" i="38"/>
  <c r="C3059" i="38"/>
  <c r="H3058" i="38"/>
  <c r="G3058" i="38"/>
  <c r="E3058" i="38"/>
  <c r="D3058" i="38"/>
  <c r="C3058" i="38"/>
  <c r="H3057" i="38"/>
  <c r="G3057" i="38"/>
  <c r="E3057" i="38"/>
  <c r="D3057" i="38"/>
  <c r="C3057" i="38"/>
  <c r="J3056" i="38"/>
  <c r="I3056" i="38"/>
  <c r="H3056" i="38"/>
  <c r="G3056" i="38"/>
  <c r="F3056" i="38"/>
  <c r="E3056" i="38"/>
  <c r="D3056" i="38"/>
  <c r="C3056" i="38"/>
  <c r="J3055" i="38"/>
  <c r="I3055" i="38"/>
  <c r="H3055" i="38"/>
  <c r="G3055" i="38"/>
  <c r="F3055" i="38"/>
  <c r="E3055" i="38"/>
  <c r="D3055" i="38"/>
  <c r="C3055" i="38"/>
  <c r="J3054" i="38"/>
  <c r="I3054" i="38"/>
  <c r="H3054" i="38"/>
  <c r="G3054" i="38"/>
  <c r="F3054" i="38"/>
  <c r="E3054" i="38"/>
  <c r="D3054" i="38"/>
  <c r="C3054" i="38"/>
  <c r="J3053" i="38"/>
  <c r="I3053" i="38"/>
  <c r="H3053" i="38"/>
  <c r="G3053" i="38"/>
  <c r="E3053" i="38"/>
  <c r="D3053" i="38"/>
  <c r="C3053" i="38"/>
  <c r="J3052" i="38"/>
  <c r="I3052" i="38"/>
  <c r="H3052" i="38"/>
  <c r="G3052" i="38"/>
  <c r="F3052" i="38"/>
  <c r="E3052" i="38"/>
  <c r="C3052" i="38"/>
  <c r="H3051" i="38"/>
  <c r="G3051" i="38"/>
  <c r="E3051" i="38"/>
  <c r="C3051" i="38"/>
  <c r="J3050" i="38"/>
  <c r="I3050" i="38"/>
  <c r="H3050" i="38"/>
  <c r="G3050" i="38"/>
  <c r="F3050" i="38"/>
  <c r="E3050" i="38"/>
  <c r="D3050" i="38"/>
  <c r="C3050" i="38"/>
  <c r="J3049" i="38"/>
  <c r="I3049" i="38"/>
  <c r="H3049" i="38"/>
  <c r="G3049" i="38"/>
  <c r="F3049" i="38"/>
  <c r="E3049" i="38"/>
  <c r="D3049" i="38"/>
  <c r="C3049" i="38"/>
  <c r="J3048" i="38"/>
  <c r="I3048" i="38"/>
  <c r="H3048" i="38"/>
  <c r="G3048" i="38"/>
  <c r="F3048" i="38"/>
  <c r="E3048" i="38"/>
  <c r="D3048" i="38"/>
  <c r="C3048" i="38"/>
  <c r="J3047" i="38"/>
  <c r="I3047" i="38"/>
  <c r="H3047" i="38"/>
  <c r="G3047" i="38"/>
  <c r="F3047" i="38"/>
  <c r="E3047" i="38"/>
  <c r="D3047" i="38"/>
  <c r="C3047" i="38"/>
  <c r="J3046" i="38"/>
  <c r="I3046" i="38"/>
  <c r="H3046" i="38"/>
  <c r="G3046" i="38"/>
  <c r="F3046" i="38"/>
  <c r="E3046" i="38"/>
  <c r="D3046" i="38"/>
  <c r="C3046" i="38"/>
  <c r="J3045" i="38"/>
  <c r="I3045" i="38"/>
  <c r="H3045" i="38"/>
  <c r="G3045" i="38"/>
  <c r="F3045" i="38"/>
  <c r="E3045" i="38"/>
  <c r="D3045" i="38"/>
  <c r="C3045" i="38"/>
  <c r="J3044" i="38"/>
  <c r="I3044" i="38"/>
  <c r="H3044" i="38"/>
  <c r="G3044" i="38"/>
  <c r="F3044" i="38"/>
  <c r="E3044" i="38"/>
  <c r="D3044" i="38"/>
  <c r="C3044" i="38"/>
  <c r="J3043" i="38"/>
  <c r="I3043" i="38"/>
  <c r="H3043" i="38"/>
  <c r="G3043" i="38"/>
  <c r="F3043" i="38"/>
  <c r="E3043" i="38"/>
  <c r="D3043" i="38"/>
  <c r="C3043" i="38"/>
  <c r="J3042" i="38"/>
  <c r="I3042" i="38"/>
  <c r="H3042" i="38"/>
  <c r="G3042" i="38"/>
  <c r="F3042" i="38"/>
  <c r="E3042" i="38"/>
  <c r="D3042" i="38"/>
  <c r="C3042" i="38"/>
  <c r="J3041" i="38"/>
  <c r="I3041" i="38"/>
  <c r="H3041" i="38"/>
  <c r="G3041" i="38"/>
  <c r="F3041" i="38"/>
  <c r="E3041" i="38"/>
  <c r="D3041" i="38"/>
  <c r="C3041" i="38"/>
  <c r="J3040" i="38"/>
  <c r="I3040" i="38"/>
  <c r="H3040" i="38"/>
  <c r="G3040" i="38"/>
  <c r="F3040" i="38"/>
  <c r="E3040" i="38"/>
  <c r="D3040" i="38"/>
  <c r="C3040" i="38"/>
  <c r="J3039" i="38"/>
  <c r="I3039" i="38"/>
  <c r="H3039" i="38"/>
  <c r="G3039" i="38"/>
  <c r="F3039" i="38"/>
  <c r="E3039" i="38"/>
  <c r="D3039" i="38"/>
  <c r="C3039" i="38"/>
  <c r="J3038" i="38"/>
  <c r="I3038" i="38"/>
  <c r="H3038" i="38"/>
  <c r="G3038" i="38"/>
  <c r="F3038" i="38"/>
  <c r="E3038" i="38"/>
  <c r="D3038" i="38"/>
  <c r="C3038" i="38"/>
  <c r="J3037" i="38"/>
  <c r="I3037" i="38"/>
  <c r="H3037" i="38"/>
  <c r="G3037" i="38"/>
  <c r="F3037" i="38"/>
  <c r="E3037" i="38"/>
  <c r="D3037" i="38"/>
  <c r="C3037" i="38"/>
  <c r="J3036" i="38"/>
  <c r="I3036" i="38"/>
  <c r="H3036" i="38"/>
  <c r="G3036" i="38"/>
  <c r="F3036" i="38"/>
  <c r="E3036" i="38"/>
  <c r="D3036" i="38"/>
  <c r="C3036" i="38"/>
  <c r="J3035" i="38"/>
  <c r="I3035" i="38"/>
  <c r="H3035" i="38"/>
  <c r="G3035" i="38"/>
  <c r="F3035" i="38"/>
  <c r="E3035" i="38"/>
  <c r="D3035" i="38"/>
  <c r="C3035" i="38"/>
  <c r="J3034" i="38"/>
  <c r="I3034" i="38"/>
  <c r="H3034" i="38"/>
  <c r="G3034" i="38"/>
  <c r="F3034" i="38"/>
  <c r="E3034" i="38"/>
  <c r="D3034" i="38"/>
  <c r="C3034" i="38"/>
  <c r="J3033" i="38"/>
  <c r="I3033" i="38"/>
  <c r="H3033" i="38"/>
  <c r="G3033" i="38"/>
  <c r="E3033" i="38"/>
  <c r="D3033" i="38"/>
  <c r="C3033" i="38"/>
  <c r="J3032" i="38"/>
  <c r="I3032" i="38"/>
  <c r="H3032" i="38"/>
  <c r="G3032" i="38"/>
  <c r="F3032" i="38"/>
  <c r="E3032" i="38"/>
  <c r="C3032" i="38"/>
  <c r="H3031" i="38"/>
  <c r="G3031" i="38"/>
  <c r="E3031" i="38"/>
  <c r="C3031" i="38"/>
  <c r="H3030" i="38"/>
  <c r="G3030" i="38"/>
  <c r="E3030" i="38"/>
  <c r="D3030" i="38"/>
  <c r="C3030" i="38"/>
  <c r="H3029" i="38"/>
  <c r="G3029" i="38"/>
  <c r="E3029" i="38"/>
  <c r="D3029" i="38"/>
  <c r="C3029" i="38"/>
  <c r="H3028" i="38"/>
  <c r="G3028" i="38"/>
  <c r="E3028" i="38"/>
  <c r="D3028" i="38"/>
  <c r="C3028" i="38"/>
  <c r="H3027" i="38"/>
  <c r="G3027" i="38"/>
  <c r="E3027" i="38"/>
  <c r="D3027" i="38"/>
  <c r="C3027" i="38"/>
  <c r="J3026" i="38"/>
  <c r="I3026" i="38"/>
  <c r="H3026" i="38"/>
  <c r="G3026" i="38"/>
  <c r="F3026" i="38"/>
  <c r="E3026" i="38"/>
  <c r="D3026" i="38"/>
  <c r="C3026" i="38"/>
  <c r="J3025" i="38"/>
  <c r="I3025" i="38"/>
  <c r="H3025" i="38"/>
  <c r="G3025" i="38"/>
  <c r="F3025" i="38"/>
  <c r="E3025" i="38"/>
  <c r="D3025" i="38"/>
  <c r="C3025" i="38"/>
  <c r="J3024" i="38"/>
  <c r="I3024" i="38"/>
  <c r="H3024" i="38"/>
  <c r="G3024" i="38"/>
  <c r="F3024" i="38"/>
  <c r="E3024" i="38"/>
  <c r="D3024" i="38"/>
  <c r="C3024" i="38"/>
  <c r="J3023" i="38"/>
  <c r="I3023" i="38"/>
  <c r="H3023" i="38"/>
  <c r="G3023" i="38"/>
  <c r="E3023" i="38"/>
  <c r="D3023" i="38"/>
  <c r="C3023" i="38"/>
  <c r="J3022" i="38"/>
  <c r="I3022" i="38"/>
  <c r="H3022" i="38"/>
  <c r="G3022" i="38"/>
  <c r="F3022" i="38"/>
  <c r="E3022" i="38"/>
  <c r="C3022" i="38"/>
  <c r="H3021" i="38"/>
  <c r="G3021" i="38"/>
  <c r="E3021" i="38"/>
  <c r="C3021" i="38"/>
  <c r="H3020" i="38"/>
  <c r="G3020" i="38"/>
  <c r="E3020" i="38"/>
  <c r="D3020" i="38"/>
  <c r="C3020" i="38"/>
  <c r="H3019" i="38"/>
  <c r="G3019" i="38"/>
  <c r="E3019" i="38"/>
  <c r="D3019" i="38"/>
  <c r="C3019" i="38"/>
  <c r="H3018" i="38"/>
  <c r="G3018" i="38"/>
  <c r="E3018" i="38"/>
  <c r="D3018" i="38"/>
  <c r="C3018" i="38"/>
  <c r="H3017" i="38"/>
  <c r="G3017" i="38"/>
  <c r="E3017" i="38"/>
  <c r="D3017" i="38"/>
  <c r="C3017" i="38"/>
  <c r="J3016" i="38"/>
  <c r="I3016" i="38"/>
  <c r="H3016" i="38"/>
  <c r="G3016" i="38"/>
  <c r="F3016" i="38"/>
  <c r="E3016" i="38"/>
  <c r="D3016" i="38"/>
  <c r="C3016" i="38"/>
  <c r="J3015" i="38"/>
  <c r="I3015" i="38"/>
  <c r="H3015" i="38"/>
  <c r="G3015" i="38"/>
  <c r="F3015" i="38"/>
  <c r="E3015" i="38"/>
  <c r="D3015" i="38"/>
  <c r="C3015" i="38"/>
  <c r="J3014" i="38"/>
  <c r="I3014" i="38"/>
  <c r="H3014" i="38"/>
  <c r="G3014" i="38"/>
  <c r="F3014" i="38"/>
  <c r="E3014" i="38"/>
  <c r="D3014" i="38"/>
  <c r="C3014" i="38"/>
  <c r="J3013" i="38"/>
  <c r="I3013" i="38"/>
  <c r="H3013" i="38"/>
  <c r="G3013" i="38"/>
  <c r="E3013" i="38"/>
  <c r="D3013" i="38"/>
  <c r="C3013" i="38"/>
  <c r="J3012" i="38"/>
  <c r="I3012" i="38"/>
  <c r="H3012" i="38"/>
  <c r="G3012" i="38"/>
  <c r="F3012" i="38"/>
  <c r="E3012" i="38"/>
  <c r="C3012" i="38"/>
  <c r="H3011" i="38"/>
  <c r="G3011" i="38"/>
  <c r="E3011" i="38"/>
  <c r="C3011" i="38"/>
  <c r="H3010" i="38"/>
  <c r="G3010" i="38"/>
  <c r="E3010" i="38"/>
  <c r="D3010" i="38"/>
  <c r="C3010" i="38"/>
  <c r="H3009" i="38"/>
  <c r="G3009" i="38"/>
  <c r="E3009" i="38"/>
  <c r="D3009" i="38"/>
  <c r="C3009" i="38"/>
  <c r="H3008" i="38"/>
  <c r="G3008" i="38"/>
  <c r="E3008" i="38"/>
  <c r="D3008" i="38"/>
  <c r="C3008" i="38"/>
  <c r="H3007" i="38"/>
  <c r="G3007" i="38"/>
  <c r="E3007" i="38"/>
  <c r="D3007" i="38"/>
  <c r="C3007" i="38"/>
  <c r="J3006" i="38"/>
  <c r="I3006" i="38"/>
  <c r="H3006" i="38"/>
  <c r="G3006" i="38"/>
  <c r="F3006" i="38"/>
  <c r="E3006" i="38"/>
  <c r="D3006" i="38"/>
  <c r="C3006" i="38"/>
  <c r="J3005" i="38"/>
  <c r="I3005" i="38"/>
  <c r="H3005" i="38"/>
  <c r="G3005" i="38"/>
  <c r="F3005" i="38"/>
  <c r="E3005" i="38"/>
  <c r="D3005" i="38"/>
  <c r="C3005" i="38"/>
  <c r="J3004" i="38"/>
  <c r="I3004" i="38"/>
  <c r="H3004" i="38"/>
  <c r="G3004" i="38"/>
  <c r="F3004" i="38"/>
  <c r="E3004" i="38"/>
  <c r="D3004" i="38"/>
  <c r="C3004" i="38"/>
  <c r="J3003" i="38"/>
  <c r="I3003" i="38"/>
  <c r="H3003" i="38"/>
  <c r="G3003" i="38"/>
  <c r="E3003" i="38"/>
  <c r="D3003" i="38"/>
  <c r="C3003" i="38"/>
  <c r="J3002" i="38"/>
  <c r="I3002" i="38"/>
  <c r="H3002" i="38"/>
  <c r="G3002" i="38"/>
  <c r="F3002" i="38"/>
  <c r="E3002" i="38"/>
  <c r="C3002" i="38"/>
  <c r="H3001" i="38"/>
  <c r="G3001" i="38"/>
  <c r="E3001" i="38"/>
  <c r="C3001" i="38"/>
  <c r="H3000" i="38"/>
  <c r="G3000" i="38"/>
  <c r="E3000" i="38"/>
  <c r="D3000" i="38"/>
  <c r="C3000" i="38"/>
  <c r="H2999" i="38"/>
  <c r="G2999" i="38"/>
  <c r="E2999" i="38"/>
  <c r="D2999" i="38"/>
  <c r="C2999" i="38"/>
  <c r="H2998" i="38"/>
  <c r="G2998" i="38"/>
  <c r="E2998" i="38"/>
  <c r="D2998" i="38"/>
  <c r="C2998" i="38"/>
  <c r="H2997" i="38"/>
  <c r="G2997" i="38"/>
  <c r="E2997" i="38"/>
  <c r="D2997" i="38"/>
  <c r="C2997" i="38"/>
  <c r="J2996" i="38"/>
  <c r="I2996" i="38"/>
  <c r="H2996" i="38"/>
  <c r="G2996" i="38"/>
  <c r="F2996" i="38"/>
  <c r="E2996" i="38"/>
  <c r="D2996" i="38"/>
  <c r="C2996" i="38"/>
  <c r="J2995" i="38"/>
  <c r="I2995" i="38"/>
  <c r="H2995" i="38"/>
  <c r="G2995" i="38"/>
  <c r="F2995" i="38"/>
  <c r="E2995" i="38"/>
  <c r="D2995" i="38"/>
  <c r="C2995" i="38"/>
  <c r="J2994" i="38"/>
  <c r="I2994" i="38"/>
  <c r="H2994" i="38"/>
  <c r="G2994" i="38"/>
  <c r="F2994" i="38"/>
  <c r="E2994" i="38"/>
  <c r="D2994" i="38"/>
  <c r="C2994" i="38"/>
  <c r="J2993" i="38"/>
  <c r="I2993" i="38"/>
  <c r="H2993" i="38"/>
  <c r="G2993" i="38"/>
  <c r="E2993" i="38"/>
  <c r="D2993" i="38"/>
  <c r="C2993" i="38"/>
  <c r="J2992" i="38"/>
  <c r="I2992" i="38"/>
  <c r="H2992" i="38"/>
  <c r="G2992" i="38"/>
  <c r="F2992" i="38"/>
  <c r="E2992" i="38"/>
  <c r="C2992" i="38"/>
  <c r="H2991" i="38"/>
  <c r="G2991" i="38"/>
  <c r="E2991" i="38"/>
  <c r="C2991" i="38"/>
  <c r="H2990" i="38"/>
  <c r="G2990" i="38"/>
  <c r="E2990" i="38"/>
  <c r="D2990" i="38"/>
  <c r="C2990" i="38"/>
  <c r="H2989" i="38"/>
  <c r="G2989" i="38"/>
  <c r="E2989" i="38"/>
  <c r="D2989" i="38"/>
  <c r="C2989" i="38"/>
  <c r="H2988" i="38"/>
  <c r="G2988" i="38"/>
  <c r="E2988" i="38"/>
  <c r="D2988" i="38"/>
  <c r="C2988" i="38"/>
  <c r="H2987" i="38"/>
  <c r="G2987" i="38"/>
  <c r="E2987" i="38"/>
  <c r="D2987" i="38"/>
  <c r="C2987" i="38"/>
  <c r="J2986" i="38"/>
  <c r="I2986" i="38"/>
  <c r="H2986" i="38"/>
  <c r="G2986" i="38"/>
  <c r="F2986" i="38"/>
  <c r="E2986" i="38"/>
  <c r="D2986" i="38"/>
  <c r="C2986" i="38"/>
  <c r="J2985" i="38"/>
  <c r="I2985" i="38"/>
  <c r="H2985" i="38"/>
  <c r="G2985" i="38"/>
  <c r="F2985" i="38"/>
  <c r="E2985" i="38"/>
  <c r="D2985" i="38"/>
  <c r="C2985" i="38"/>
  <c r="J2984" i="38"/>
  <c r="I2984" i="38"/>
  <c r="H2984" i="38"/>
  <c r="G2984" i="38"/>
  <c r="F2984" i="38"/>
  <c r="E2984" i="38"/>
  <c r="D2984" i="38"/>
  <c r="C2984" i="38"/>
  <c r="J2983" i="38"/>
  <c r="I2983" i="38"/>
  <c r="H2983" i="38"/>
  <c r="G2983" i="38"/>
  <c r="E2983" i="38"/>
  <c r="D2983" i="38"/>
  <c r="C2983" i="38"/>
  <c r="J2982" i="38"/>
  <c r="I2982" i="38"/>
  <c r="H2982" i="38"/>
  <c r="G2982" i="38"/>
  <c r="F2982" i="38"/>
  <c r="E2982" i="38"/>
  <c r="C2982" i="38"/>
  <c r="H2981" i="38"/>
  <c r="G2981" i="38"/>
  <c r="E2981" i="38"/>
  <c r="C2981" i="38"/>
  <c r="H2980" i="38"/>
  <c r="G2980" i="38"/>
  <c r="E2980" i="38"/>
  <c r="D2980" i="38"/>
  <c r="C2980" i="38"/>
  <c r="H2979" i="38"/>
  <c r="G2979" i="38"/>
  <c r="E2979" i="38"/>
  <c r="D2979" i="38"/>
  <c r="C2979" i="38"/>
  <c r="H2978" i="38"/>
  <c r="G2978" i="38"/>
  <c r="E2978" i="38"/>
  <c r="D2978" i="38"/>
  <c r="C2978" i="38"/>
  <c r="H2977" i="38"/>
  <c r="G2977" i="38"/>
  <c r="E2977" i="38"/>
  <c r="D2977" i="38"/>
  <c r="C2977" i="38"/>
  <c r="J2976" i="38"/>
  <c r="I2976" i="38"/>
  <c r="H2976" i="38"/>
  <c r="G2976" i="38"/>
  <c r="F2976" i="38"/>
  <c r="E2976" i="38"/>
  <c r="D2976" i="38"/>
  <c r="C2976" i="38"/>
  <c r="J2975" i="38"/>
  <c r="I2975" i="38"/>
  <c r="H2975" i="38"/>
  <c r="G2975" i="38"/>
  <c r="F2975" i="38"/>
  <c r="E2975" i="38"/>
  <c r="D2975" i="38"/>
  <c r="C2975" i="38"/>
  <c r="J2974" i="38"/>
  <c r="I2974" i="38"/>
  <c r="H2974" i="38"/>
  <c r="G2974" i="38"/>
  <c r="F2974" i="38"/>
  <c r="E2974" i="38"/>
  <c r="D2974" i="38"/>
  <c r="C2974" i="38"/>
  <c r="J2973" i="38"/>
  <c r="I2973" i="38"/>
  <c r="H2973" i="38"/>
  <c r="G2973" i="38"/>
  <c r="E2973" i="38"/>
  <c r="D2973" i="38"/>
  <c r="C2973" i="38"/>
  <c r="J2972" i="38"/>
  <c r="I2972" i="38"/>
  <c r="H2972" i="38"/>
  <c r="G2972" i="38"/>
  <c r="F2972" i="38"/>
  <c r="E2972" i="38"/>
  <c r="C2972" i="38"/>
  <c r="H2971" i="38"/>
  <c r="G2971" i="38"/>
  <c r="E2971" i="38"/>
  <c r="C2971" i="38"/>
  <c r="H2970" i="38"/>
  <c r="G2970" i="38"/>
  <c r="E2970" i="38"/>
  <c r="D2970" i="38"/>
  <c r="C2970" i="38"/>
  <c r="H2969" i="38"/>
  <c r="G2969" i="38"/>
  <c r="E2969" i="38"/>
  <c r="D2969" i="38"/>
  <c r="C2969" i="38"/>
  <c r="H2968" i="38"/>
  <c r="G2968" i="38"/>
  <c r="E2968" i="38"/>
  <c r="D2968" i="38"/>
  <c r="C2968" i="38"/>
  <c r="H2967" i="38"/>
  <c r="G2967" i="38"/>
  <c r="E2967" i="38"/>
  <c r="D2967" i="38"/>
  <c r="C2967" i="38"/>
  <c r="J2966" i="38"/>
  <c r="I2966" i="38"/>
  <c r="H2966" i="38"/>
  <c r="G2966" i="38"/>
  <c r="F2966" i="38"/>
  <c r="E2966" i="38"/>
  <c r="D2966" i="38"/>
  <c r="C2966" i="38"/>
  <c r="J2965" i="38"/>
  <c r="I2965" i="38"/>
  <c r="H2965" i="38"/>
  <c r="G2965" i="38"/>
  <c r="F2965" i="38"/>
  <c r="E2965" i="38"/>
  <c r="D2965" i="38"/>
  <c r="C2965" i="38"/>
  <c r="J2964" i="38"/>
  <c r="I2964" i="38"/>
  <c r="H2964" i="38"/>
  <c r="G2964" i="38"/>
  <c r="F2964" i="38"/>
  <c r="E2964" i="38"/>
  <c r="D2964" i="38"/>
  <c r="C2964" i="38"/>
  <c r="J2963" i="38"/>
  <c r="I2963" i="38"/>
  <c r="H2963" i="38"/>
  <c r="G2963" i="38"/>
  <c r="E2963" i="38"/>
  <c r="D2963" i="38"/>
  <c r="C2963" i="38"/>
  <c r="J2962" i="38"/>
  <c r="I2962" i="38"/>
  <c r="H2962" i="38"/>
  <c r="G2962" i="38"/>
  <c r="F2962" i="38"/>
  <c r="E2962" i="38"/>
  <c r="C2962" i="38"/>
  <c r="H2961" i="38"/>
  <c r="G2961" i="38"/>
  <c r="E2961" i="38"/>
  <c r="C2961" i="38"/>
  <c r="H2960" i="38"/>
  <c r="G2960" i="38"/>
  <c r="E2960" i="38"/>
  <c r="D2960" i="38"/>
  <c r="C2960" i="38"/>
  <c r="H2959" i="38"/>
  <c r="G2959" i="38"/>
  <c r="E2959" i="38"/>
  <c r="D2959" i="38"/>
  <c r="C2959" i="38"/>
  <c r="H2958" i="38"/>
  <c r="G2958" i="38"/>
  <c r="E2958" i="38"/>
  <c r="D2958" i="38"/>
  <c r="C2958" i="38"/>
  <c r="H2957" i="38"/>
  <c r="G2957" i="38"/>
  <c r="E2957" i="38"/>
  <c r="D2957" i="38"/>
  <c r="C2957" i="38"/>
  <c r="J2956" i="38"/>
  <c r="I2956" i="38"/>
  <c r="H2956" i="38"/>
  <c r="G2956" i="38"/>
  <c r="F2956" i="38"/>
  <c r="E2956" i="38"/>
  <c r="D2956" i="38"/>
  <c r="C2956" i="38"/>
  <c r="J2955" i="38"/>
  <c r="I2955" i="38"/>
  <c r="H2955" i="38"/>
  <c r="G2955" i="38"/>
  <c r="F2955" i="38"/>
  <c r="E2955" i="38"/>
  <c r="D2955" i="38"/>
  <c r="C2955" i="38"/>
  <c r="J2954" i="38"/>
  <c r="I2954" i="38"/>
  <c r="H2954" i="38"/>
  <c r="G2954" i="38"/>
  <c r="F2954" i="38"/>
  <c r="E2954" i="38"/>
  <c r="D2954" i="38"/>
  <c r="C2954" i="38"/>
  <c r="J2953" i="38"/>
  <c r="I2953" i="38"/>
  <c r="H2953" i="38"/>
  <c r="G2953" i="38"/>
  <c r="E2953" i="38"/>
  <c r="D2953" i="38"/>
  <c r="C2953" i="38"/>
  <c r="J2952" i="38"/>
  <c r="I2952" i="38"/>
  <c r="H2952" i="38"/>
  <c r="G2952" i="38"/>
  <c r="F2952" i="38"/>
  <c r="E2952" i="38"/>
  <c r="C2952" i="38"/>
  <c r="H2951" i="38"/>
  <c r="G2951" i="38"/>
  <c r="E2951" i="38"/>
  <c r="C2951" i="38"/>
  <c r="H2950" i="38"/>
  <c r="G2950" i="38"/>
  <c r="E2950" i="38"/>
  <c r="D2950" i="38"/>
  <c r="C2950" i="38"/>
  <c r="H2949" i="38"/>
  <c r="G2949" i="38"/>
  <c r="E2949" i="38"/>
  <c r="D2949" i="38"/>
  <c r="C2949" i="38"/>
  <c r="H2948" i="38"/>
  <c r="G2948" i="38"/>
  <c r="E2948" i="38"/>
  <c r="D2948" i="38"/>
  <c r="C2948" i="38"/>
  <c r="H2947" i="38"/>
  <c r="G2947" i="38"/>
  <c r="E2947" i="38"/>
  <c r="D2947" i="38"/>
  <c r="C2947" i="38"/>
  <c r="J2946" i="38"/>
  <c r="I2946" i="38"/>
  <c r="H2946" i="38"/>
  <c r="G2946" i="38"/>
  <c r="F2946" i="38"/>
  <c r="E2946" i="38"/>
  <c r="D2946" i="38"/>
  <c r="C2946" i="38"/>
  <c r="J2945" i="38"/>
  <c r="I2945" i="38"/>
  <c r="H2945" i="38"/>
  <c r="G2945" i="38"/>
  <c r="F2945" i="38"/>
  <c r="E2945" i="38"/>
  <c r="D2945" i="38"/>
  <c r="C2945" i="38"/>
  <c r="J2944" i="38"/>
  <c r="I2944" i="38"/>
  <c r="H2944" i="38"/>
  <c r="G2944" i="38"/>
  <c r="F2944" i="38"/>
  <c r="E2944" i="38"/>
  <c r="D2944" i="38"/>
  <c r="C2944" i="38"/>
  <c r="J2943" i="38"/>
  <c r="I2943" i="38"/>
  <c r="H2943" i="38"/>
  <c r="G2943" i="38"/>
  <c r="E2943" i="38"/>
  <c r="D2943" i="38"/>
  <c r="C2943" i="38"/>
  <c r="J2942" i="38"/>
  <c r="I2942" i="38"/>
  <c r="H2942" i="38"/>
  <c r="G2942" i="38"/>
  <c r="F2942" i="38"/>
  <c r="E2942" i="38"/>
  <c r="C2942" i="38"/>
  <c r="H2941" i="38"/>
  <c r="G2941" i="38"/>
  <c r="E2941" i="38"/>
  <c r="C2941" i="38"/>
  <c r="H2940" i="38"/>
  <c r="G2940" i="38"/>
  <c r="E2940" i="38"/>
  <c r="D2940" i="38"/>
  <c r="C2940" i="38"/>
  <c r="H2939" i="38"/>
  <c r="G2939" i="38"/>
  <c r="E2939" i="38"/>
  <c r="D2939" i="38"/>
  <c r="C2939" i="38"/>
  <c r="H2938" i="38"/>
  <c r="G2938" i="38"/>
  <c r="E2938" i="38"/>
  <c r="D2938" i="38"/>
  <c r="C2938" i="38"/>
  <c r="H2937" i="38"/>
  <c r="G2937" i="38"/>
  <c r="E2937" i="38"/>
  <c r="D2937" i="38"/>
  <c r="C2937" i="38"/>
  <c r="J2936" i="38"/>
  <c r="I2936" i="38"/>
  <c r="H2936" i="38"/>
  <c r="G2936" i="38"/>
  <c r="F2936" i="38"/>
  <c r="E2936" i="38"/>
  <c r="D2936" i="38"/>
  <c r="C2936" i="38"/>
  <c r="J2935" i="38"/>
  <c r="I2935" i="38"/>
  <c r="H2935" i="38"/>
  <c r="G2935" i="38"/>
  <c r="F2935" i="38"/>
  <c r="E2935" i="38"/>
  <c r="D2935" i="38"/>
  <c r="C2935" i="38"/>
  <c r="J2934" i="38"/>
  <c r="I2934" i="38"/>
  <c r="H2934" i="38"/>
  <c r="G2934" i="38"/>
  <c r="F2934" i="38"/>
  <c r="E2934" i="38"/>
  <c r="D2934" i="38"/>
  <c r="C2934" i="38"/>
  <c r="J2933" i="38"/>
  <c r="I2933" i="38"/>
  <c r="H2933" i="38"/>
  <c r="G2933" i="38"/>
  <c r="E2933" i="38"/>
  <c r="D2933" i="38"/>
  <c r="C2933" i="38"/>
  <c r="J2932" i="38"/>
  <c r="I2932" i="38"/>
  <c r="H2932" i="38"/>
  <c r="G2932" i="38"/>
  <c r="F2932" i="38"/>
  <c r="E2932" i="38"/>
  <c r="C2932" i="38"/>
  <c r="H2931" i="38"/>
  <c r="G2931" i="38"/>
  <c r="E2931" i="38"/>
  <c r="C2931" i="38"/>
  <c r="H2930" i="38"/>
  <c r="G2930" i="38"/>
  <c r="E2930" i="38"/>
  <c r="D2930" i="38"/>
  <c r="C2930" i="38"/>
  <c r="H2929" i="38"/>
  <c r="G2929" i="38"/>
  <c r="E2929" i="38"/>
  <c r="D2929" i="38"/>
  <c r="C2929" i="38"/>
  <c r="H2928" i="38"/>
  <c r="G2928" i="38"/>
  <c r="E2928" i="38"/>
  <c r="D2928" i="38"/>
  <c r="C2928" i="38"/>
  <c r="H2927" i="38"/>
  <c r="G2927" i="38"/>
  <c r="E2927" i="38"/>
  <c r="D2927" i="38"/>
  <c r="C2927" i="38"/>
  <c r="J2926" i="38"/>
  <c r="I2926" i="38"/>
  <c r="H2926" i="38"/>
  <c r="G2926" i="38"/>
  <c r="F2926" i="38"/>
  <c r="E2926" i="38"/>
  <c r="D2926" i="38"/>
  <c r="C2926" i="38"/>
  <c r="J2925" i="38"/>
  <c r="I2925" i="38"/>
  <c r="H2925" i="38"/>
  <c r="G2925" i="38"/>
  <c r="F2925" i="38"/>
  <c r="E2925" i="38"/>
  <c r="D2925" i="38"/>
  <c r="C2925" i="38"/>
  <c r="J2924" i="38"/>
  <c r="I2924" i="38"/>
  <c r="H2924" i="38"/>
  <c r="G2924" i="38"/>
  <c r="F2924" i="38"/>
  <c r="E2924" i="38"/>
  <c r="D2924" i="38"/>
  <c r="C2924" i="38"/>
  <c r="J2923" i="38"/>
  <c r="I2923" i="38"/>
  <c r="H2923" i="38"/>
  <c r="G2923" i="38"/>
  <c r="E2923" i="38"/>
  <c r="D2923" i="38"/>
  <c r="C2923" i="38"/>
  <c r="J2922" i="38"/>
  <c r="I2922" i="38"/>
  <c r="H2922" i="38"/>
  <c r="G2922" i="38"/>
  <c r="F2922" i="38"/>
  <c r="E2922" i="38"/>
  <c r="C2922" i="38"/>
  <c r="H2921" i="38"/>
  <c r="G2921" i="38"/>
  <c r="E2921" i="38"/>
  <c r="C2921" i="38"/>
  <c r="H2920" i="38"/>
  <c r="G2920" i="38"/>
  <c r="E2920" i="38"/>
  <c r="D2920" i="38"/>
  <c r="C2920" i="38"/>
  <c r="H2919" i="38"/>
  <c r="G2919" i="38"/>
  <c r="E2919" i="38"/>
  <c r="D2919" i="38"/>
  <c r="C2919" i="38"/>
  <c r="H2918" i="38"/>
  <c r="G2918" i="38"/>
  <c r="E2918" i="38"/>
  <c r="D2918" i="38"/>
  <c r="C2918" i="38"/>
  <c r="H2917" i="38"/>
  <c r="G2917" i="38"/>
  <c r="E2917" i="38"/>
  <c r="D2917" i="38"/>
  <c r="C2917" i="38"/>
  <c r="J2916" i="38"/>
  <c r="I2916" i="38"/>
  <c r="H2916" i="38"/>
  <c r="G2916" i="38"/>
  <c r="F2916" i="38"/>
  <c r="E2916" i="38"/>
  <c r="D2916" i="38"/>
  <c r="C2916" i="38"/>
  <c r="J2915" i="38"/>
  <c r="I2915" i="38"/>
  <c r="H2915" i="38"/>
  <c r="G2915" i="38"/>
  <c r="F2915" i="38"/>
  <c r="E2915" i="38"/>
  <c r="D2915" i="38"/>
  <c r="C2915" i="38"/>
  <c r="J2914" i="38"/>
  <c r="I2914" i="38"/>
  <c r="H2914" i="38"/>
  <c r="G2914" i="38"/>
  <c r="F2914" i="38"/>
  <c r="E2914" i="38"/>
  <c r="D2914" i="38"/>
  <c r="C2914" i="38"/>
  <c r="J2913" i="38"/>
  <c r="I2913" i="38"/>
  <c r="H2913" i="38"/>
  <c r="G2913" i="38"/>
  <c r="E2913" i="38"/>
  <c r="D2913" i="38"/>
  <c r="C2913" i="38"/>
  <c r="J2912" i="38"/>
  <c r="I2912" i="38"/>
  <c r="H2912" i="38"/>
  <c r="G2912" i="38"/>
  <c r="F2912" i="38"/>
  <c r="E2912" i="38"/>
  <c r="C2912" i="38"/>
  <c r="H2911" i="38"/>
  <c r="G2911" i="38"/>
  <c r="E2911" i="38"/>
  <c r="C2911" i="38"/>
  <c r="H2910" i="38"/>
  <c r="G2910" i="38"/>
  <c r="E2910" i="38"/>
  <c r="D2910" i="38"/>
  <c r="C2910" i="38"/>
  <c r="H2909" i="38"/>
  <c r="G2909" i="38"/>
  <c r="E2909" i="38"/>
  <c r="D2909" i="38"/>
  <c r="C2909" i="38"/>
  <c r="H2908" i="38"/>
  <c r="G2908" i="38"/>
  <c r="E2908" i="38"/>
  <c r="D2908" i="38"/>
  <c r="C2908" i="38"/>
  <c r="H2907" i="38"/>
  <c r="G2907" i="38"/>
  <c r="E2907" i="38"/>
  <c r="D2907" i="38"/>
  <c r="C2907" i="38"/>
  <c r="J2906" i="38"/>
  <c r="I2906" i="38"/>
  <c r="H2906" i="38"/>
  <c r="G2906" i="38"/>
  <c r="F2906" i="38"/>
  <c r="E2906" i="38"/>
  <c r="D2906" i="38"/>
  <c r="C2906" i="38"/>
  <c r="J2905" i="38"/>
  <c r="I2905" i="38"/>
  <c r="H2905" i="38"/>
  <c r="G2905" i="38"/>
  <c r="F2905" i="38"/>
  <c r="E2905" i="38"/>
  <c r="D2905" i="38"/>
  <c r="C2905" i="38"/>
  <c r="J2904" i="38"/>
  <c r="I2904" i="38"/>
  <c r="H2904" i="38"/>
  <c r="G2904" i="38"/>
  <c r="F2904" i="38"/>
  <c r="E2904" i="38"/>
  <c r="D2904" i="38"/>
  <c r="C2904" i="38"/>
  <c r="J2903" i="38"/>
  <c r="I2903" i="38"/>
  <c r="H2903" i="38"/>
  <c r="G2903" i="38"/>
  <c r="E2903" i="38"/>
  <c r="D2903" i="38"/>
  <c r="C2903" i="38"/>
  <c r="J2902" i="38"/>
  <c r="I2902" i="38"/>
  <c r="H2902" i="38"/>
  <c r="G2902" i="38"/>
  <c r="F2902" i="38"/>
  <c r="E2902" i="38"/>
  <c r="C2902" i="38"/>
  <c r="H2901" i="38"/>
  <c r="G2901" i="38"/>
  <c r="E2901" i="38"/>
  <c r="C2901" i="38"/>
  <c r="H2900" i="38"/>
  <c r="G2900" i="38"/>
  <c r="E2900" i="38"/>
  <c r="D2900" i="38"/>
  <c r="C2900" i="38"/>
  <c r="H2899" i="38"/>
  <c r="G2899" i="38"/>
  <c r="E2899" i="38"/>
  <c r="D2899" i="38"/>
  <c r="C2899" i="38"/>
  <c r="H2898" i="38"/>
  <c r="G2898" i="38"/>
  <c r="E2898" i="38"/>
  <c r="D2898" i="38"/>
  <c r="C2898" i="38"/>
  <c r="H2897" i="38"/>
  <c r="G2897" i="38"/>
  <c r="E2897" i="38"/>
  <c r="D2897" i="38"/>
  <c r="C2897" i="38"/>
  <c r="J2896" i="38"/>
  <c r="I2896" i="38"/>
  <c r="H2896" i="38"/>
  <c r="G2896" i="38"/>
  <c r="F2896" i="38"/>
  <c r="E2896" i="38"/>
  <c r="D2896" i="38"/>
  <c r="C2896" i="38"/>
  <c r="J2895" i="38"/>
  <c r="I2895" i="38"/>
  <c r="H2895" i="38"/>
  <c r="G2895" i="38"/>
  <c r="F2895" i="38"/>
  <c r="E2895" i="38"/>
  <c r="D2895" i="38"/>
  <c r="C2895" i="38"/>
  <c r="J2894" i="38"/>
  <c r="I2894" i="38"/>
  <c r="H2894" i="38"/>
  <c r="G2894" i="38"/>
  <c r="F2894" i="38"/>
  <c r="E2894" i="38"/>
  <c r="D2894" i="38"/>
  <c r="C2894" i="38"/>
  <c r="J2893" i="38"/>
  <c r="I2893" i="38"/>
  <c r="H2893" i="38"/>
  <c r="G2893" i="38"/>
  <c r="E2893" i="38"/>
  <c r="D2893" i="38"/>
  <c r="C2893" i="38"/>
  <c r="J2892" i="38"/>
  <c r="I2892" i="38"/>
  <c r="H2892" i="38"/>
  <c r="G2892" i="38"/>
  <c r="F2892" i="38"/>
  <c r="E2892" i="38"/>
  <c r="C2892" i="38"/>
  <c r="H2891" i="38"/>
  <c r="G2891" i="38"/>
  <c r="E2891" i="38"/>
  <c r="C2891" i="38"/>
  <c r="H2890" i="38"/>
  <c r="G2890" i="38"/>
  <c r="E2890" i="38"/>
  <c r="D2890" i="38"/>
  <c r="C2890" i="38"/>
  <c r="H2889" i="38"/>
  <c r="G2889" i="38"/>
  <c r="E2889" i="38"/>
  <c r="D2889" i="38"/>
  <c r="C2889" i="38"/>
  <c r="H2888" i="38"/>
  <c r="G2888" i="38"/>
  <c r="E2888" i="38"/>
  <c r="D2888" i="38"/>
  <c r="C2888" i="38"/>
  <c r="H2887" i="38"/>
  <c r="G2887" i="38"/>
  <c r="E2887" i="38"/>
  <c r="D2887" i="38"/>
  <c r="C2887" i="38"/>
  <c r="J2886" i="38"/>
  <c r="I2886" i="38"/>
  <c r="H2886" i="38"/>
  <c r="G2886" i="38"/>
  <c r="F2886" i="38"/>
  <c r="E2886" i="38"/>
  <c r="D2886" i="38"/>
  <c r="C2886" i="38"/>
  <c r="J2885" i="38"/>
  <c r="I2885" i="38"/>
  <c r="H2885" i="38"/>
  <c r="G2885" i="38"/>
  <c r="F2885" i="38"/>
  <c r="E2885" i="38"/>
  <c r="D2885" i="38"/>
  <c r="C2885" i="38"/>
  <c r="J2884" i="38"/>
  <c r="I2884" i="38"/>
  <c r="H2884" i="38"/>
  <c r="G2884" i="38"/>
  <c r="F2884" i="38"/>
  <c r="E2884" i="38"/>
  <c r="D2884" i="38"/>
  <c r="C2884" i="38"/>
  <c r="J2883" i="38"/>
  <c r="I2883" i="38"/>
  <c r="H2883" i="38"/>
  <c r="G2883" i="38"/>
  <c r="E2883" i="38"/>
  <c r="D2883" i="38"/>
  <c r="C2883" i="38"/>
  <c r="J2882" i="38"/>
  <c r="I2882" i="38"/>
  <c r="H2882" i="38"/>
  <c r="G2882" i="38"/>
  <c r="F2882" i="38"/>
  <c r="E2882" i="38"/>
  <c r="C2882" i="38"/>
  <c r="H2881" i="38"/>
  <c r="G2881" i="38"/>
  <c r="E2881" i="38"/>
  <c r="C2881" i="38"/>
  <c r="H2880" i="38"/>
  <c r="G2880" i="38"/>
  <c r="E2880" i="38"/>
  <c r="D2880" i="38"/>
  <c r="C2880" i="38"/>
  <c r="H2879" i="38"/>
  <c r="G2879" i="38"/>
  <c r="E2879" i="38"/>
  <c r="D2879" i="38"/>
  <c r="C2879" i="38"/>
  <c r="H2878" i="38"/>
  <c r="G2878" i="38"/>
  <c r="E2878" i="38"/>
  <c r="D2878" i="38"/>
  <c r="C2878" i="38"/>
  <c r="H2877" i="38"/>
  <c r="G2877" i="38"/>
  <c r="E2877" i="38"/>
  <c r="D2877" i="38"/>
  <c r="C2877" i="38"/>
  <c r="J2876" i="38"/>
  <c r="I2876" i="38"/>
  <c r="H2876" i="38"/>
  <c r="G2876" i="38"/>
  <c r="F2876" i="38"/>
  <c r="E2876" i="38"/>
  <c r="D2876" i="38"/>
  <c r="C2876" i="38"/>
  <c r="J2875" i="38"/>
  <c r="I2875" i="38"/>
  <c r="H2875" i="38"/>
  <c r="G2875" i="38"/>
  <c r="F2875" i="38"/>
  <c r="E2875" i="38"/>
  <c r="D2875" i="38"/>
  <c r="C2875" i="38"/>
  <c r="J2874" i="38"/>
  <c r="I2874" i="38"/>
  <c r="H2874" i="38"/>
  <c r="G2874" i="38"/>
  <c r="F2874" i="38"/>
  <c r="E2874" i="38"/>
  <c r="D2874" i="38"/>
  <c r="C2874" i="38"/>
  <c r="J2873" i="38"/>
  <c r="I2873" i="38"/>
  <c r="H2873" i="38"/>
  <c r="G2873" i="38"/>
  <c r="E2873" i="38"/>
  <c r="D2873" i="38"/>
  <c r="C2873" i="38"/>
  <c r="J2872" i="38"/>
  <c r="I2872" i="38"/>
  <c r="H2872" i="38"/>
  <c r="G2872" i="38"/>
  <c r="F2872" i="38"/>
  <c r="E2872" i="38"/>
  <c r="C2872" i="38"/>
  <c r="H2871" i="38"/>
  <c r="G2871" i="38"/>
  <c r="E2871" i="38"/>
  <c r="C2871" i="38"/>
  <c r="F2687" i="38"/>
  <c r="E2687" i="38"/>
  <c r="D2687" i="38"/>
  <c r="C2687" i="38"/>
  <c r="F2686" i="38"/>
  <c r="E2686" i="38"/>
  <c r="D2686" i="38"/>
  <c r="C2686" i="38"/>
  <c r="F2685" i="38"/>
  <c r="E2685" i="38"/>
  <c r="D2685" i="38"/>
  <c r="C2685" i="38"/>
  <c r="F2684" i="38"/>
  <c r="E2684" i="38"/>
  <c r="D2684" i="38"/>
  <c r="C2684" i="38"/>
  <c r="F2683" i="38"/>
  <c r="E2683" i="38"/>
  <c r="D2683" i="38"/>
  <c r="C2683" i="38"/>
  <c r="F2682" i="38"/>
  <c r="E2682" i="38"/>
  <c r="D2682" i="38"/>
  <c r="C2682" i="38"/>
  <c r="F2681" i="38"/>
  <c r="E2681" i="38"/>
  <c r="D2681" i="38"/>
  <c r="C2681" i="38"/>
  <c r="F2680" i="38"/>
  <c r="E2680" i="38"/>
  <c r="D2680" i="38"/>
  <c r="C2680" i="38"/>
  <c r="F2679" i="38"/>
  <c r="E2679" i="38"/>
  <c r="D2679" i="38"/>
  <c r="C2679" i="38"/>
  <c r="F2678" i="38"/>
  <c r="E2678" i="38"/>
  <c r="D2678" i="38"/>
  <c r="C2678" i="38"/>
  <c r="F2677" i="38"/>
  <c r="E2677" i="38"/>
  <c r="D2677" i="38"/>
  <c r="C2677" i="38"/>
  <c r="F2676" i="38"/>
  <c r="E2676" i="38"/>
  <c r="D2676" i="38"/>
  <c r="C2676" i="38"/>
  <c r="F2675" i="38"/>
  <c r="E2675" i="38"/>
  <c r="D2675" i="38"/>
  <c r="C2675" i="38"/>
  <c r="F2674" i="38"/>
  <c r="E2674" i="38"/>
  <c r="D2674" i="38"/>
  <c r="C2674" i="38"/>
  <c r="F2673" i="38"/>
  <c r="E2673" i="38"/>
  <c r="D2673" i="38"/>
  <c r="C2673" i="38"/>
  <c r="F2672" i="38"/>
  <c r="E2672" i="38"/>
  <c r="D2672" i="38"/>
  <c r="C2672" i="38"/>
  <c r="F2671" i="38"/>
  <c r="E2671" i="38"/>
  <c r="D2671" i="38"/>
  <c r="C2671" i="38"/>
  <c r="F2670" i="38"/>
  <c r="E2670" i="38"/>
  <c r="D2670" i="38"/>
  <c r="C2670" i="38"/>
  <c r="F2669" i="38"/>
  <c r="E2669" i="38"/>
  <c r="D2669" i="38"/>
  <c r="C2669" i="38"/>
  <c r="F2668" i="38"/>
  <c r="E2668" i="38"/>
  <c r="D2668" i="38"/>
  <c r="C2668" i="38"/>
  <c r="F2667" i="38"/>
  <c r="E2667" i="38"/>
  <c r="D2667" i="38"/>
  <c r="C2667" i="38"/>
  <c r="F2666" i="38"/>
  <c r="E2666" i="38"/>
  <c r="D2666" i="38"/>
  <c r="C2666" i="38"/>
  <c r="F2665" i="38"/>
  <c r="E2665" i="38"/>
  <c r="D2665" i="38"/>
  <c r="C2665" i="38"/>
  <c r="F2664" i="38"/>
  <c r="E2664" i="38"/>
  <c r="D2664" i="38"/>
  <c r="C2664" i="38"/>
  <c r="F2663" i="38"/>
  <c r="E2663" i="38"/>
  <c r="D2663" i="38"/>
  <c r="C2663" i="38"/>
  <c r="F2662" i="38"/>
  <c r="E2662" i="38"/>
  <c r="D2662" i="38"/>
  <c r="C2662" i="38"/>
  <c r="F2661" i="38"/>
  <c r="E2661" i="38"/>
  <c r="D2661" i="38"/>
  <c r="C2661" i="38"/>
  <c r="F2660" i="38"/>
  <c r="E2660" i="38"/>
  <c r="D2660" i="38"/>
  <c r="C2660" i="38"/>
  <c r="F2659" i="38"/>
  <c r="E2659" i="38"/>
  <c r="D2659" i="38"/>
  <c r="C2659" i="38"/>
  <c r="F2658" i="38"/>
  <c r="E2658" i="38"/>
  <c r="D2658" i="38"/>
  <c r="C2658" i="38"/>
  <c r="F2657" i="38"/>
  <c r="E2657" i="38"/>
  <c r="D2657" i="38"/>
  <c r="C2657" i="38"/>
  <c r="F2656" i="38"/>
  <c r="E2656" i="38"/>
  <c r="D2656" i="38"/>
  <c r="C2656" i="38"/>
  <c r="F2655" i="38"/>
  <c r="E2655" i="38"/>
  <c r="D2655" i="38"/>
  <c r="C2655" i="38"/>
  <c r="F2654" i="38"/>
  <c r="E2654" i="38"/>
  <c r="D2654" i="38"/>
  <c r="C2654" i="38"/>
  <c r="F2653" i="38"/>
  <c r="E2653" i="38"/>
  <c r="D2653" i="38"/>
  <c r="C2653" i="38"/>
  <c r="F2652" i="38"/>
  <c r="E2652" i="38"/>
  <c r="D2652" i="38"/>
  <c r="C2652" i="38"/>
  <c r="F2651" i="38"/>
  <c r="E2651" i="38"/>
  <c r="D2651" i="38"/>
  <c r="C2651" i="38"/>
  <c r="F2650" i="38"/>
  <c r="E2650" i="38"/>
  <c r="D2650" i="38"/>
  <c r="C2650" i="38"/>
  <c r="F2649" i="38"/>
  <c r="E2649" i="38"/>
  <c r="D2649" i="38"/>
  <c r="C2649" i="38"/>
  <c r="F2648" i="38"/>
  <c r="E2648" i="38"/>
  <c r="D2648" i="38"/>
  <c r="C2648" i="38"/>
  <c r="F2647" i="38"/>
  <c r="E2647" i="38"/>
  <c r="D2647" i="38"/>
  <c r="C2647" i="38"/>
  <c r="F2646" i="38"/>
  <c r="E2646" i="38"/>
  <c r="D2646" i="38"/>
  <c r="C2646" i="38"/>
  <c r="F2645" i="38"/>
  <c r="E2645" i="38"/>
  <c r="D2645" i="38"/>
  <c r="C2645" i="38"/>
  <c r="F2644" i="38"/>
  <c r="E2644" i="38"/>
  <c r="D2644" i="38"/>
  <c r="C2644" i="38"/>
  <c r="F2643" i="38"/>
  <c r="E2643" i="38"/>
  <c r="D2643" i="38"/>
  <c r="C2643" i="38"/>
  <c r="F2642" i="38"/>
  <c r="E2642" i="38"/>
  <c r="D2642" i="38"/>
  <c r="C2642" i="38"/>
  <c r="F2641" i="38"/>
  <c r="E2641" i="38"/>
  <c r="D2641" i="38"/>
  <c r="C2641" i="38"/>
  <c r="F2640" i="38"/>
  <c r="E2640" i="38"/>
  <c r="D2640" i="38"/>
  <c r="C2640" i="38"/>
  <c r="F2639" i="38"/>
  <c r="E2639" i="38"/>
  <c r="D2639" i="38"/>
  <c r="C2639" i="38"/>
  <c r="F2638" i="38"/>
  <c r="E2638" i="38"/>
  <c r="D2638" i="38"/>
  <c r="C2638" i="38"/>
  <c r="F2637" i="38"/>
  <c r="E2637" i="38"/>
  <c r="D2637" i="38"/>
  <c r="C2637" i="38"/>
  <c r="F2636" i="38"/>
  <c r="E2636" i="38"/>
  <c r="D2636" i="38"/>
  <c r="C2636" i="38"/>
  <c r="F2635" i="38"/>
  <c r="E2635" i="38"/>
  <c r="D2635" i="38"/>
  <c r="C2635" i="38"/>
  <c r="F2634" i="38"/>
  <c r="E2634" i="38"/>
  <c r="D2634" i="38"/>
  <c r="C2634" i="38"/>
  <c r="F2633" i="38"/>
  <c r="E2633" i="38"/>
  <c r="D2633" i="38"/>
  <c r="C2633" i="38"/>
  <c r="F2632" i="38"/>
  <c r="E2632" i="38"/>
  <c r="D2632" i="38"/>
  <c r="C2632" i="38"/>
  <c r="F2631" i="38"/>
  <c r="E2631" i="38"/>
  <c r="D2631" i="38"/>
  <c r="C2631" i="38"/>
  <c r="F2630" i="38"/>
  <c r="E2630" i="38"/>
  <c r="D2630" i="38"/>
  <c r="C2630" i="38"/>
  <c r="F2629" i="38"/>
  <c r="E2629" i="38"/>
  <c r="D2629" i="38"/>
  <c r="C2629" i="38"/>
  <c r="F2628" i="38"/>
  <c r="E2628" i="38"/>
  <c r="D2628" i="38"/>
  <c r="C2628" i="38"/>
  <c r="F2627" i="38"/>
  <c r="E2627" i="38"/>
  <c r="D2627" i="38"/>
  <c r="C2627" i="38"/>
  <c r="F2626" i="38"/>
  <c r="E2626" i="38"/>
  <c r="D2626" i="38"/>
  <c r="C2626" i="38"/>
  <c r="F2625" i="38"/>
  <c r="E2625" i="38"/>
  <c r="D2625" i="38"/>
  <c r="C2625" i="38"/>
  <c r="F2624" i="38"/>
  <c r="E2624" i="38"/>
  <c r="D2624" i="38"/>
  <c r="C2624" i="38"/>
  <c r="F2623" i="38"/>
  <c r="E2623" i="38"/>
  <c r="D2623" i="38"/>
  <c r="C2623" i="38"/>
  <c r="F2622" i="38"/>
  <c r="E2622" i="38"/>
  <c r="D2622" i="38"/>
  <c r="C2622" i="38"/>
  <c r="F2621" i="38"/>
  <c r="E2621" i="38"/>
  <c r="D2621" i="38"/>
  <c r="C2621" i="38"/>
  <c r="F2620" i="38"/>
  <c r="E2620" i="38"/>
  <c r="D2620" i="38"/>
  <c r="C2620" i="38"/>
  <c r="F2619" i="38"/>
  <c r="E2619" i="38"/>
  <c r="D2619" i="38"/>
  <c r="C2619" i="38"/>
  <c r="F2618" i="38"/>
  <c r="E2618" i="38"/>
  <c r="D2618" i="38"/>
  <c r="C2618" i="38"/>
  <c r="F2617" i="38"/>
  <c r="E2617" i="38"/>
  <c r="D2617" i="38"/>
  <c r="C2617" i="38"/>
  <c r="F2616" i="38"/>
  <c r="E2616" i="38"/>
  <c r="D2616" i="38"/>
  <c r="C2616" i="38"/>
  <c r="F2615" i="38"/>
  <c r="E2615" i="38"/>
  <c r="D2615" i="38"/>
  <c r="C2615" i="38"/>
  <c r="F2614" i="38"/>
  <c r="E2614" i="38"/>
  <c r="D2614" i="38"/>
  <c r="C2614" i="38"/>
  <c r="F2613" i="38"/>
  <c r="E2613" i="38"/>
  <c r="D2613" i="38"/>
  <c r="C2613" i="38"/>
  <c r="F2612" i="38"/>
  <c r="E2612" i="38"/>
  <c r="D2612" i="38"/>
  <c r="C2612" i="38"/>
  <c r="F2611" i="38"/>
  <c r="E2611" i="38"/>
  <c r="D2611" i="38"/>
  <c r="C2611" i="38"/>
  <c r="F2610" i="38"/>
  <c r="E2610" i="38"/>
  <c r="D2610" i="38"/>
  <c r="C2610" i="38"/>
  <c r="F2609" i="38"/>
  <c r="E2609" i="38"/>
  <c r="D2609" i="38"/>
  <c r="C2609" i="38"/>
  <c r="F2608" i="38"/>
  <c r="E2608" i="38"/>
  <c r="D2608" i="38"/>
  <c r="C2608" i="38"/>
  <c r="F2607" i="38"/>
  <c r="E2607" i="38"/>
  <c r="D2607" i="38"/>
  <c r="C2607" i="38"/>
  <c r="F2606" i="38"/>
  <c r="E2606" i="38"/>
  <c r="D2606" i="38"/>
  <c r="C2606" i="38"/>
  <c r="F2605" i="38"/>
  <c r="E2605" i="38"/>
  <c r="D2605" i="38"/>
  <c r="C2605" i="38"/>
  <c r="F2604" i="38"/>
  <c r="E2604" i="38"/>
  <c r="D2604" i="38"/>
  <c r="C2604" i="38"/>
  <c r="F2603" i="38"/>
  <c r="E2603" i="38"/>
  <c r="D2603" i="38"/>
  <c r="C2603" i="38"/>
  <c r="F2602" i="38"/>
  <c r="E2602" i="38"/>
  <c r="D2602" i="38"/>
  <c r="C2602" i="38"/>
  <c r="F2601" i="38"/>
  <c r="E2601" i="38"/>
  <c r="D2601" i="38"/>
  <c r="C2601" i="38"/>
  <c r="F2600" i="38"/>
  <c r="E2600" i="38"/>
  <c r="D2600" i="38"/>
  <c r="C2600" i="38"/>
  <c r="F2599" i="38"/>
  <c r="E2599" i="38"/>
  <c r="D2599" i="38"/>
  <c r="C2599" i="38"/>
  <c r="F2598" i="38"/>
  <c r="E2598" i="38"/>
  <c r="D2598" i="38"/>
  <c r="C2598" i="38"/>
  <c r="F2597" i="38"/>
  <c r="E2597" i="38"/>
  <c r="D2597" i="38"/>
  <c r="C2597" i="38"/>
  <c r="F2596" i="38"/>
  <c r="E2596" i="38"/>
  <c r="D2596" i="38"/>
  <c r="C2596" i="38"/>
  <c r="F2595" i="38"/>
  <c r="E2595" i="38"/>
  <c r="D2595" i="38"/>
  <c r="C2595" i="38"/>
  <c r="F2594" i="38"/>
  <c r="E2594" i="38"/>
  <c r="D2594" i="38"/>
  <c r="C2594" i="38"/>
  <c r="F2593" i="38"/>
  <c r="E2593" i="38"/>
  <c r="D2593" i="38"/>
  <c r="C2593" i="38"/>
  <c r="F2592" i="38"/>
  <c r="E2592" i="38"/>
  <c r="D2592" i="38"/>
  <c r="C2592" i="38"/>
  <c r="F2591" i="38"/>
  <c r="E2591" i="38"/>
  <c r="D2591" i="38"/>
  <c r="C2591" i="38"/>
  <c r="F2590" i="38"/>
  <c r="E2590" i="38"/>
  <c r="D2590" i="38"/>
  <c r="C2590" i="38"/>
  <c r="F2589" i="38"/>
  <c r="E2589" i="38"/>
  <c r="D2589" i="38"/>
  <c r="C2589" i="38"/>
  <c r="F2588" i="38"/>
  <c r="E2588" i="38"/>
  <c r="D2588" i="38"/>
  <c r="C2588" i="38"/>
  <c r="F2587" i="38"/>
  <c r="E2587" i="38"/>
  <c r="D2587" i="38"/>
  <c r="C2587" i="38"/>
  <c r="F2586" i="38"/>
  <c r="E2586" i="38"/>
  <c r="D2586" i="38"/>
  <c r="C2586" i="38"/>
  <c r="F2585" i="38"/>
  <c r="E2585" i="38"/>
  <c r="D2585" i="38"/>
  <c r="C2585" i="38"/>
  <c r="F2584" i="38"/>
  <c r="E2584" i="38"/>
  <c r="D2584" i="38"/>
  <c r="C2584" i="38"/>
  <c r="F2583" i="38"/>
  <c r="E2583" i="38"/>
  <c r="D2583" i="38"/>
  <c r="C2583" i="38"/>
  <c r="F2582" i="38"/>
  <c r="E2582" i="38"/>
  <c r="D2582" i="38"/>
  <c r="C2582" i="38"/>
  <c r="F2581" i="38"/>
  <c r="E2581" i="38"/>
  <c r="D2581" i="38"/>
  <c r="C2581" i="38"/>
  <c r="F2580" i="38"/>
  <c r="E2580" i="38"/>
  <c r="D2580" i="38"/>
  <c r="C2580" i="38"/>
  <c r="F2579" i="38"/>
  <c r="E2579" i="38"/>
  <c r="D2579" i="38"/>
  <c r="C2579" i="38"/>
  <c r="F2578" i="38"/>
  <c r="E2578" i="38"/>
  <c r="D2578" i="38"/>
  <c r="C2578" i="38"/>
  <c r="F2577" i="38"/>
  <c r="E2577" i="38"/>
  <c r="D2577" i="38"/>
  <c r="C2577" i="38"/>
  <c r="F2576" i="38"/>
  <c r="E2576" i="38"/>
  <c r="D2576" i="38"/>
  <c r="C2576" i="38"/>
  <c r="F2575" i="38"/>
  <c r="E2575" i="38"/>
  <c r="D2575" i="38"/>
  <c r="C2575" i="38"/>
  <c r="F2574" i="38"/>
  <c r="E2574" i="38"/>
  <c r="D2574" i="38"/>
  <c r="C2574" i="38"/>
  <c r="F2573" i="38"/>
  <c r="E2573" i="38"/>
  <c r="D2573" i="38"/>
  <c r="C2573" i="38"/>
  <c r="F2572" i="38"/>
  <c r="E2572" i="38"/>
  <c r="D2572" i="38"/>
  <c r="C2572" i="38"/>
  <c r="F2571" i="38"/>
  <c r="E2571" i="38"/>
  <c r="D2571" i="38"/>
  <c r="C2571" i="38"/>
  <c r="F2570" i="38"/>
  <c r="E2570" i="38"/>
  <c r="D2570" i="38"/>
  <c r="C2570" i="38"/>
  <c r="F2569" i="38"/>
  <c r="E2569" i="38"/>
  <c r="D2569" i="38"/>
  <c r="C2569" i="38"/>
  <c r="F2568" i="38"/>
  <c r="E2568" i="38"/>
  <c r="D2568" i="38"/>
  <c r="C2568" i="38"/>
  <c r="F2567" i="38"/>
  <c r="E2567" i="38"/>
  <c r="D2567" i="38"/>
  <c r="C2567" i="38"/>
  <c r="F2566" i="38"/>
  <c r="E2566" i="38"/>
  <c r="D2566" i="38"/>
  <c r="C2566" i="38"/>
  <c r="F2565" i="38"/>
  <c r="E2565" i="38"/>
  <c r="D2565" i="38"/>
  <c r="C2565" i="38"/>
  <c r="F2564" i="38"/>
  <c r="E2564" i="38"/>
  <c r="D2564" i="38"/>
  <c r="C2564" i="38"/>
  <c r="F2563" i="38"/>
  <c r="E2563" i="38"/>
  <c r="D2563" i="38"/>
  <c r="C2563" i="38"/>
  <c r="F2562" i="38"/>
  <c r="E2562" i="38"/>
  <c r="D2562" i="38"/>
  <c r="C2562" i="38"/>
  <c r="F2561" i="38"/>
  <c r="E2561" i="38"/>
  <c r="D2561" i="38"/>
  <c r="C2561" i="38"/>
  <c r="F2560" i="38"/>
  <c r="E2560" i="38"/>
  <c r="D2560" i="38"/>
  <c r="C2560" i="38"/>
  <c r="F2559" i="38"/>
  <c r="E2559" i="38"/>
  <c r="D2559" i="38"/>
  <c r="C2559" i="38"/>
  <c r="F2558" i="38"/>
  <c r="E2558" i="38"/>
  <c r="D2558" i="38"/>
  <c r="C2558" i="38"/>
  <c r="F2557" i="38"/>
  <c r="E2557" i="38"/>
  <c r="D2557" i="38"/>
  <c r="C2557" i="38"/>
  <c r="F2556" i="38"/>
  <c r="E2556" i="38"/>
  <c r="D2556" i="38"/>
  <c r="C2556" i="38"/>
  <c r="F2555" i="38"/>
  <c r="E2555" i="38"/>
  <c r="D2555" i="38"/>
  <c r="C2555" i="38"/>
  <c r="F2554" i="38"/>
  <c r="E2554" i="38"/>
  <c r="D2554" i="38"/>
  <c r="C2554" i="38"/>
  <c r="F2553" i="38"/>
  <c r="E2553" i="38"/>
  <c r="D2553" i="38"/>
  <c r="C2553" i="38"/>
  <c r="F2552" i="38"/>
  <c r="E2552" i="38"/>
  <c r="D2552" i="38"/>
  <c r="C2552" i="38"/>
  <c r="F2551" i="38"/>
  <c r="E2551" i="38"/>
  <c r="D2551" i="38"/>
  <c r="C2551" i="38"/>
  <c r="F2550" i="38"/>
  <c r="E2550" i="38"/>
  <c r="D2550" i="38"/>
  <c r="C2550" i="38"/>
  <c r="F2549" i="38"/>
  <c r="E2549" i="38"/>
  <c r="D2549" i="38"/>
  <c r="C2549" i="38"/>
  <c r="F2548" i="38"/>
  <c r="E2548" i="38"/>
  <c r="D2548" i="38"/>
  <c r="C2548" i="38"/>
  <c r="F2547" i="38"/>
  <c r="E2547" i="38"/>
  <c r="D2547" i="38"/>
  <c r="C2547" i="38"/>
  <c r="F2546" i="38"/>
  <c r="E2546" i="38"/>
  <c r="D2546" i="38"/>
  <c r="C2546" i="38"/>
  <c r="F2545" i="38"/>
  <c r="E2545" i="38"/>
  <c r="D2545" i="38"/>
  <c r="C2545" i="38"/>
  <c r="F2544" i="38"/>
  <c r="E2544" i="38"/>
  <c r="D2544" i="38"/>
  <c r="C2544" i="38"/>
  <c r="F2543" i="38"/>
  <c r="E2543" i="38"/>
  <c r="D2543" i="38"/>
  <c r="C2543" i="38"/>
  <c r="F2542" i="38"/>
  <c r="E2542" i="38"/>
  <c r="D2542" i="38"/>
  <c r="C2542" i="38"/>
  <c r="F2541" i="38"/>
  <c r="E2541" i="38"/>
  <c r="D2541" i="38"/>
  <c r="C2541" i="38"/>
  <c r="F2540" i="38"/>
  <c r="E2540" i="38"/>
  <c r="D2540" i="38"/>
  <c r="C2540" i="38"/>
  <c r="F2539" i="38"/>
  <c r="E2539" i="38"/>
  <c r="D2539" i="38"/>
  <c r="C2539" i="38"/>
  <c r="F2538" i="38"/>
  <c r="E2538" i="38"/>
  <c r="D2538" i="38"/>
  <c r="C2538" i="38"/>
  <c r="F2537" i="38"/>
  <c r="E2537" i="38"/>
  <c r="D2537" i="38"/>
  <c r="C2537" i="38"/>
  <c r="F2536" i="38"/>
  <c r="E2536" i="38"/>
  <c r="D2536" i="38"/>
  <c r="C2536" i="38"/>
  <c r="F2535" i="38"/>
  <c r="E2535" i="38"/>
  <c r="D2535" i="38"/>
  <c r="C2535" i="38"/>
  <c r="F2534" i="38"/>
  <c r="E2534" i="38"/>
  <c r="D2534" i="38"/>
  <c r="C2534" i="38"/>
  <c r="F2533" i="38"/>
  <c r="E2533" i="38"/>
  <c r="D2533" i="38"/>
  <c r="C2533" i="38"/>
  <c r="F2532" i="38"/>
  <c r="E2532" i="38"/>
  <c r="D2532" i="38"/>
  <c r="C2532" i="38"/>
  <c r="F2531" i="38"/>
  <c r="E2531" i="38"/>
  <c r="D2531" i="38"/>
  <c r="C2531" i="38"/>
  <c r="F2530" i="38"/>
  <c r="E2530" i="38"/>
  <c r="D2530" i="38"/>
  <c r="C2530" i="38"/>
  <c r="F2529" i="38"/>
  <c r="E2529" i="38"/>
  <c r="D2529" i="38"/>
  <c r="C2529" i="38"/>
  <c r="F2528" i="38"/>
  <c r="E2528" i="38"/>
  <c r="D2528" i="38"/>
  <c r="C2528" i="38"/>
  <c r="F2527" i="38"/>
  <c r="E2527" i="38"/>
  <c r="D2527" i="38"/>
  <c r="C2527" i="38"/>
  <c r="F2526" i="38"/>
  <c r="E2526" i="38"/>
  <c r="D2526" i="38"/>
  <c r="C2526" i="38"/>
  <c r="F2525" i="38"/>
  <c r="E2525" i="38"/>
  <c r="D2525" i="38"/>
  <c r="C2525" i="38"/>
  <c r="F2524" i="38"/>
  <c r="E2524" i="38"/>
  <c r="D2524" i="38"/>
  <c r="C2524" i="38"/>
  <c r="F2523" i="38"/>
  <c r="E2523" i="38"/>
  <c r="D2523" i="38"/>
  <c r="C2523" i="38"/>
  <c r="F2522" i="38"/>
  <c r="E2522" i="38"/>
  <c r="D2522" i="38"/>
  <c r="C2522" i="38"/>
  <c r="F2521" i="38"/>
  <c r="E2521" i="38"/>
  <c r="D2521" i="38"/>
  <c r="C2521" i="38"/>
  <c r="F2520" i="38"/>
  <c r="E2520" i="38"/>
  <c r="D2520" i="38"/>
  <c r="C2520" i="38"/>
  <c r="F2519" i="38"/>
  <c r="E2519" i="38"/>
  <c r="D2519" i="38"/>
  <c r="C2519" i="38"/>
  <c r="F2518" i="38"/>
  <c r="E2518" i="38"/>
  <c r="D2518" i="38"/>
  <c r="C2518" i="38"/>
  <c r="F2517" i="38"/>
  <c r="E2517" i="38"/>
  <c r="D2517" i="38"/>
  <c r="C2517" i="38"/>
  <c r="F2516" i="38"/>
  <c r="E2516" i="38"/>
  <c r="D2516" i="38"/>
  <c r="C2516" i="38"/>
  <c r="F2515" i="38"/>
  <c r="E2515" i="38"/>
  <c r="D2515" i="38"/>
  <c r="C2515" i="38"/>
  <c r="F2514" i="38"/>
  <c r="E2514" i="38"/>
  <c r="D2514" i="38"/>
  <c r="C2514" i="38"/>
  <c r="F2513" i="38"/>
  <c r="E2513" i="38"/>
  <c r="D2513" i="38"/>
  <c r="C2513" i="38"/>
  <c r="F2512" i="38"/>
  <c r="E2512" i="38"/>
  <c r="D2512" i="38"/>
  <c r="C2512" i="38"/>
  <c r="F2511" i="38"/>
  <c r="E2511" i="38"/>
  <c r="D2511" i="38"/>
  <c r="C2511" i="38"/>
  <c r="F2510" i="38"/>
  <c r="E2510" i="38"/>
  <c r="D2510" i="38"/>
  <c r="C2510" i="38"/>
  <c r="F2509" i="38"/>
  <c r="E2509" i="38"/>
  <c r="D2509" i="38"/>
  <c r="C2509" i="38"/>
  <c r="F2508" i="38"/>
  <c r="E2508" i="38"/>
  <c r="D2508" i="38"/>
  <c r="C2508" i="38"/>
  <c r="F2507" i="38"/>
  <c r="E2507" i="38"/>
  <c r="D2507" i="38"/>
  <c r="C2507" i="38"/>
  <c r="F2506" i="38"/>
  <c r="E2506" i="38"/>
  <c r="D2506" i="38"/>
  <c r="C2506" i="38"/>
  <c r="F2505" i="38"/>
  <c r="E2505" i="38"/>
  <c r="D2505" i="38"/>
  <c r="C2505" i="38"/>
  <c r="F2504" i="38"/>
  <c r="E2504" i="38"/>
  <c r="D2504" i="38"/>
  <c r="C2504" i="38"/>
  <c r="F2503" i="38"/>
  <c r="E2503" i="38"/>
  <c r="D2503" i="38"/>
  <c r="C2503" i="38"/>
  <c r="F2502" i="38"/>
  <c r="E2502" i="38"/>
  <c r="D2502" i="38"/>
  <c r="C2502" i="38"/>
  <c r="F2501" i="38"/>
  <c r="E2501" i="38"/>
  <c r="D2501" i="38"/>
  <c r="C2501" i="38"/>
  <c r="F2500" i="38"/>
  <c r="E2500" i="38"/>
  <c r="D2500" i="38"/>
  <c r="C2500" i="38"/>
  <c r="F2499" i="38"/>
  <c r="E2499" i="38"/>
  <c r="D2499" i="38"/>
  <c r="C2499" i="38"/>
  <c r="F2498" i="38"/>
  <c r="E2498" i="38"/>
  <c r="D2498" i="38"/>
  <c r="C2498" i="38"/>
  <c r="F2497" i="38"/>
  <c r="E2497" i="38"/>
  <c r="D2497" i="38"/>
  <c r="C2497" i="38"/>
  <c r="F2496" i="38"/>
  <c r="E2496" i="38"/>
  <c r="D2496" i="38"/>
  <c r="C2496" i="38"/>
  <c r="F2495" i="38"/>
  <c r="E2495" i="38"/>
  <c r="D2495" i="38"/>
  <c r="C2495" i="38"/>
  <c r="F2494" i="38"/>
  <c r="E2494" i="38"/>
  <c r="D2494" i="38"/>
  <c r="C2494" i="38"/>
  <c r="F2493" i="38"/>
  <c r="E2493" i="38"/>
  <c r="D2493" i="38"/>
  <c r="C2493" i="38"/>
  <c r="F2492" i="38"/>
  <c r="E2492" i="38"/>
  <c r="D2492" i="38"/>
  <c r="C2492" i="38"/>
  <c r="F2491" i="38"/>
  <c r="E2491" i="38"/>
  <c r="D2491" i="38"/>
  <c r="C2491" i="38"/>
  <c r="F2490" i="38"/>
  <c r="E2490" i="38"/>
  <c r="D2490" i="38"/>
  <c r="C2490" i="38"/>
  <c r="F2489" i="38"/>
  <c r="E2489" i="38"/>
  <c r="D2489" i="38"/>
  <c r="C2489" i="38"/>
  <c r="F2488" i="38"/>
  <c r="E2488" i="38"/>
  <c r="D2488" i="38"/>
  <c r="C2488" i="38"/>
  <c r="F2487" i="38"/>
  <c r="E2487" i="38"/>
  <c r="D2487" i="38"/>
  <c r="C2487" i="38"/>
  <c r="F2486" i="38"/>
  <c r="E2486" i="38"/>
  <c r="D2486" i="38"/>
  <c r="C2486" i="38"/>
  <c r="F2485" i="38"/>
  <c r="E2485" i="38"/>
  <c r="D2485" i="38"/>
  <c r="C2485" i="38"/>
  <c r="F2484" i="38"/>
  <c r="E2484" i="38"/>
  <c r="D2484" i="38"/>
  <c r="C2484" i="38"/>
  <c r="F2483" i="38"/>
  <c r="E2483" i="38"/>
  <c r="D2483" i="38"/>
  <c r="C2483" i="38"/>
  <c r="F2482" i="38"/>
  <c r="E2482" i="38"/>
  <c r="D2482" i="38"/>
  <c r="C2482" i="38"/>
  <c r="F2481" i="38"/>
  <c r="E2481" i="38"/>
  <c r="D2481" i="38"/>
  <c r="C2481" i="38"/>
  <c r="F2480" i="38"/>
  <c r="E2480" i="38"/>
  <c r="D2480" i="38"/>
  <c r="C2480" i="38"/>
  <c r="F2479" i="38"/>
  <c r="E2479" i="38"/>
  <c r="D2479" i="38"/>
  <c r="C2479" i="38"/>
  <c r="F2478" i="38"/>
  <c r="E2478" i="38"/>
  <c r="D2478" i="38"/>
  <c r="C2478" i="38"/>
  <c r="F2477" i="38"/>
  <c r="E2477" i="38"/>
  <c r="D2477" i="38"/>
  <c r="C2477" i="38"/>
  <c r="F2476" i="38"/>
  <c r="E2476" i="38"/>
  <c r="D2476" i="38"/>
  <c r="C2476" i="38"/>
  <c r="F2475" i="38"/>
  <c r="E2475" i="38"/>
  <c r="D2475" i="38"/>
  <c r="C2475" i="38"/>
  <c r="F2474" i="38"/>
  <c r="E2474" i="38"/>
  <c r="D2474" i="38"/>
  <c r="C2474" i="38"/>
  <c r="F2473" i="38"/>
  <c r="E2473" i="38"/>
  <c r="D2473" i="38"/>
  <c r="C2473" i="38"/>
  <c r="F2472" i="38"/>
  <c r="E2472" i="38"/>
  <c r="D2472" i="38"/>
  <c r="C2472" i="38"/>
  <c r="F2471" i="38"/>
  <c r="E2471" i="38"/>
  <c r="D2471" i="38"/>
  <c r="C2471" i="38"/>
  <c r="F2470" i="38"/>
  <c r="E2470" i="38"/>
  <c r="D2470" i="38"/>
  <c r="C2470" i="38"/>
  <c r="F2469" i="38"/>
  <c r="E2469" i="38"/>
  <c r="D2469" i="38"/>
  <c r="C2469" i="38"/>
  <c r="F2468" i="38"/>
  <c r="E2468" i="38"/>
  <c r="D2468" i="38"/>
  <c r="C2468" i="38"/>
  <c r="F2467" i="38"/>
  <c r="E2467" i="38"/>
  <c r="D2467" i="38"/>
  <c r="C2467" i="38"/>
  <c r="F2466" i="38"/>
  <c r="E2466" i="38"/>
  <c r="D2466" i="38"/>
  <c r="C2466" i="38"/>
  <c r="F2465" i="38"/>
  <c r="E2465" i="38"/>
  <c r="D2465" i="38"/>
  <c r="C2465" i="38"/>
  <c r="F2464" i="38"/>
  <c r="E2464" i="38"/>
  <c r="D2464" i="38"/>
  <c r="C2464" i="38"/>
  <c r="F2463" i="38"/>
  <c r="E2463" i="38"/>
  <c r="D2463" i="38"/>
  <c r="C2463" i="38"/>
  <c r="F2462" i="38"/>
  <c r="E2462" i="38"/>
  <c r="D2462" i="38"/>
  <c r="C2462" i="38"/>
  <c r="F2461" i="38"/>
  <c r="E2461" i="38"/>
  <c r="D2461" i="38"/>
  <c r="C2461" i="38"/>
  <c r="F2460" i="38"/>
  <c r="E2460" i="38"/>
  <c r="D2460" i="38"/>
  <c r="C2460" i="38"/>
  <c r="F2459" i="38"/>
  <c r="E2459" i="38"/>
  <c r="D2459" i="38"/>
  <c r="C2459" i="38"/>
  <c r="F2458" i="38"/>
  <c r="E2458" i="38"/>
  <c r="D2458" i="38"/>
  <c r="C2458" i="38"/>
  <c r="F2457" i="38"/>
  <c r="E2457" i="38"/>
  <c r="D2457" i="38"/>
  <c r="C2457" i="38"/>
  <c r="F2456" i="38"/>
  <c r="E2456" i="38"/>
  <c r="D2456" i="38"/>
  <c r="C2456" i="38"/>
  <c r="F2455" i="38"/>
  <c r="E2455" i="38"/>
  <c r="D2455" i="38"/>
  <c r="C2455" i="38"/>
  <c r="F2454" i="38"/>
  <c r="E2454" i="38"/>
  <c r="D2454" i="38"/>
  <c r="C2454" i="38"/>
  <c r="F2453" i="38"/>
  <c r="E2453" i="38"/>
  <c r="D2453" i="38"/>
  <c r="C2453" i="38"/>
  <c r="F2452" i="38"/>
  <c r="E2452" i="38"/>
  <c r="D2452" i="38"/>
  <c r="C2452" i="38"/>
  <c r="F2451" i="38"/>
  <c r="E2451" i="38"/>
  <c r="D2451" i="38"/>
  <c r="C2451" i="38"/>
  <c r="F2450" i="38"/>
  <c r="E2450" i="38"/>
  <c r="D2450" i="38"/>
  <c r="C2450" i="38"/>
  <c r="F2449" i="38"/>
  <c r="E2449" i="38"/>
  <c r="D2449" i="38"/>
  <c r="C2449" i="38"/>
  <c r="F2448" i="38"/>
  <c r="E2448" i="38"/>
  <c r="D2448" i="38"/>
  <c r="C2448" i="38"/>
  <c r="F2447" i="38"/>
  <c r="E2447" i="38"/>
  <c r="D2447" i="38"/>
  <c r="C2447" i="38"/>
  <c r="F2446" i="38"/>
  <c r="E2446" i="38"/>
  <c r="D2446" i="38"/>
  <c r="C2446" i="38"/>
  <c r="F2445" i="38"/>
  <c r="E2445" i="38"/>
  <c r="D2445" i="38"/>
  <c r="C2445" i="38"/>
  <c r="F2444" i="38"/>
  <c r="E2444" i="38"/>
  <c r="D2444" i="38"/>
  <c r="C2444" i="38"/>
  <c r="F2443" i="38"/>
  <c r="E2443" i="38"/>
  <c r="D2443" i="38"/>
  <c r="C2443" i="38"/>
  <c r="F2442" i="38"/>
  <c r="E2442" i="38"/>
  <c r="D2442" i="38"/>
  <c r="C2442" i="38"/>
  <c r="F2441" i="38"/>
  <c r="E2441" i="38"/>
  <c r="D2441" i="38"/>
  <c r="C2441" i="38"/>
  <c r="F2440" i="38"/>
  <c r="E2440" i="38"/>
  <c r="D2440" i="38"/>
  <c r="C2440" i="38"/>
  <c r="F2439" i="38"/>
  <c r="E2439" i="38"/>
  <c r="D2439" i="38"/>
  <c r="C2439" i="38"/>
  <c r="F2438" i="38"/>
  <c r="E2438" i="38"/>
  <c r="D2438" i="38"/>
  <c r="C2438" i="38"/>
  <c r="F2437" i="38"/>
  <c r="E2437" i="38"/>
  <c r="D2437" i="38"/>
  <c r="C2437" i="38"/>
  <c r="F2436" i="38"/>
  <c r="E2436" i="38"/>
  <c r="D2436" i="38"/>
  <c r="C2436" i="38"/>
  <c r="F2435" i="38"/>
  <c r="E2435" i="38"/>
  <c r="D2435" i="38"/>
  <c r="C2435" i="38"/>
  <c r="F2434" i="38"/>
  <c r="E2434" i="38"/>
  <c r="D2434" i="38"/>
  <c r="C2434" i="38"/>
  <c r="F2433" i="38"/>
  <c r="E2433" i="38"/>
  <c r="D2433" i="38"/>
  <c r="C2433" i="38"/>
  <c r="F2432" i="38"/>
  <c r="E2432" i="38"/>
  <c r="D2432" i="38"/>
  <c r="C2432" i="38"/>
  <c r="F2431" i="38"/>
  <c r="E2431" i="38"/>
  <c r="D2431" i="38"/>
  <c r="C2431" i="38"/>
  <c r="F2430" i="38"/>
  <c r="E2430" i="38"/>
  <c r="D2430" i="38"/>
  <c r="C2430" i="38"/>
  <c r="F2429" i="38"/>
  <c r="E2429" i="38"/>
  <c r="D2429" i="38"/>
  <c r="C2429" i="38"/>
  <c r="F2428" i="38"/>
  <c r="E2428" i="38"/>
  <c r="D2428" i="38"/>
  <c r="C2428" i="38"/>
  <c r="F2427" i="38"/>
  <c r="E2427" i="38"/>
  <c r="D2427" i="38"/>
  <c r="C2427" i="38"/>
  <c r="F2426" i="38"/>
  <c r="E2426" i="38"/>
  <c r="D2426" i="38"/>
  <c r="C2426" i="38"/>
  <c r="F2425" i="38"/>
  <c r="E2425" i="38"/>
  <c r="D2425" i="38"/>
  <c r="C2425" i="38"/>
  <c r="F2424" i="38"/>
  <c r="E2424" i="38"/>
  <c r="D2424" i="38"/>
  <c r="C2424" i="38"/>
  <c r="F2423" i="38"/>
  <c r="E2423" i="38"/>
  <c r="D2423" i="38"/>
  <c r="C2423" i="38"/>
  <c r="F2422" i="38"/>
  <c r="E2422" i="38"/>
  <c r="D2422" i="38"/>
  <c r="C2422" i="38"/>
  <c r="F2421" i="38"/>
  <c r="E2421" i="38"/>
  <c r="D2421" i="38"/>
  <c r="C2421" i="38"/>
  <c r="F2420" i="38"/>
  <c r="E2420" i="38"/>
  <c r="D2420" i="38"/>
  <c r="C2420" i="38"/>
  <c r="F2419" i="38"/>
  <c r="E2419" i="38"/>
  <c r="D2419" i="38"/>
  <c r="C2419" i="38"/>
  <c r="F2418" i="38"/>
  <c r="E2418" i="38"/>
  <c r="D2418" i="38"/>
  <c r="C2418" i="38"/>
  <c r="F2417" i="38"/>
  <c r="E2417" i="38"/>
  <c r="D2417" i="38"/>
  <c r="C2417" i="38"/>
  <c r="F2416" i="38"/>
  <c r="E2416" i="38"/>
  <c r="D2416" i="38"/>
  <c r="C2416" i="38"/>
  <c r="F2415" i="38"/>
  <c r="E2415" i="38"/>
  <c r="D2415" i="38"/>
  <c r="C2415" i="38"/>
  <c r="F2414" i="38"/>
  <c r="E2414" i="38"/>
  <c r="D2414" i="38"/>
  <c r="C2414" i="38"/>
  <c r="F2413" i="38"/>
  <c r="E2413" i="38"/>
  <c r="D2413" i="38"/>
  <c r="C2413" i="38"/>
  <c r="F2412" i="38"/>
  <c r="E2412" i="38"/>
  <c r="D2412" i="38"/>
  <c r="C2412" i="38"/>
  <c r="F2411" i="38"/>
  <c r="E2411" i="38"/>
  <c r="D2411" i="38"/>
  <c r="C2411" i="38"/>
  <c r="F2410" i="38"/>
  <c r="E2410" i="38"/>
  <c r="D2410" i="38"/>
  <c r="C2410" i="38"/>
  <c r="F2409" i="38"/>
  <c r="E2409" i="38"/>
  <c r="D2409" i="38"/>
  <c r="C2409" i="38"/>
  <c r="F2408" i="38"/>
  <c r="E2408" i="38"/>
  <c r="D2408" i="38"/>
  <c r="C2408" i="38"/>
  <c r="F2407" i="38"/>
  <c r="E2407" i="38"/>
  <c r="D2407" i="38"/>
  <c r="C2407" i="38"/>
  <c r="F2406" i="38"/>
  <c r="E2406" i="38"/>
  <c r="D2406" i="38"/>
  <c r="C2406" i="38"/>
  <c r="F2405" i="38"/>
  <c r="E2405" i="38"/>
  <c r="D2405" i="38"/>
  <c r="C2405" i="38"/>
  <c r="F2404" i="38"/>
  <c r="E2404" i="38"/>
  <c r="D2404" i="38"/>
  <c r="C2404" i="38"/>
  <c r="F2403" i="38"/>
  <c r="E2403" i="38"/>
  <c r="D2403" i="38"/>
  <c r="C2403" i="38"/>
  <c r="F2402" i="38"/>
  <c r="E2402" i="38"/>
  <c r="D2402" i="38"/>
  <c r="C2402" i="38"/>
  <c r="F2401" i="38"/>
  <c r="E2401" i="38"/>
  <c r="D2401" i="38"/>
  <c r="C2401" i="38"/>
  <c r="F2400" i="38"/>
  <c r="E2400" i="38"/>
  <c r="D2400" i="38"/>
  <c r="C2400" i="38"/>
  <c r="F2399" i="38"/>
  <c r="E2399" i="38"/>
  <c r="D2399" i="38"/>
  <c r="C2399" i="38"/>
  <c r="F2398" i="38"/>
  <c r="E2398" i="38"/>
  <c r="D2398" i="38"/>
  <c r="C2398" i="38"/>
  <c r="F2397" i="38"/>
  <c r="E2397" i="38"/>
  <c r="D2397" i="38"/>
  <c r="C2397" i="38"/>
  <c r="F2396" i="38"/>
  <c r="E2396" i="38"/>
  <c r="D2396" i="38"/>
  <c r="C2396" i="38"/>
  <c r="F2395" i="38"/>
  <c r="E2395" i="38"/>
  <c r="D2395" i="38"/>
  <c r="C2395" i="38"/>
  <c r="F2394" i="38"/>
  <c r="E2394" i="38"/>
  <c r="D2394" i="38"/>
  <c r="C2394" i="38"/>
  <c r="F2393" i="38"/>
  <c r="E2393" i="38"/>
  <c r="D2393" i="38"/>
  <c r="C2393" i="38"/>
  <c r="F2392" i="38"/>
  <c r="E2392" i="38"/>
  <c r="D2392" i="38"/>
  <c r="C2392" i="38"/>
  <c r="F2391" i="38"/>
  <c r="E2391" i="38"/>
  <c r="D2391" i="38"/>
  <c r="C2391" i="38"/>
  <c r="F2390" i="38"/>
  <c r="E2390" i="38"/>
  <c r="D2390" i="38"/>
  <c r="C2390" i="38"/>
  <c r="F2389" i="38"/>
  <c r="E2389" i="38"/>
  <c r="D2389" i="38"/>
  <c r="C2389" i="38"/>
  <c r="F2388" i="38"/>
  <c r="E2388" i="38"/>
  <c r="D2388" i="38"/>
  <c r="C2388" i="38"/>
  <c r="F2387" i="38"/>
  <c r="E2387" i="38"/>
  <c r="D2387" i="38"/>
  <c r="C2387" i="38"/>
  <c r="F2386" i="38"/>
  <c r="E2386" i="38"/>
  <c r="D2386" i="38"/>
  <c r="C2386" i="38"/>
  <c r="F2385" i="38"/>
  <c r="E2385" i="38"/>
  <c r="D2385" i="38"/>
  <c r="C2385" i="38"/>
  <c r="F2384" i="38"/>
  <c r="E2384" i="38"/>
  <c r="D2384" i="38"/>
  <c r="C2384" i="38"/>
  <c r="F2383" i="38"/>
  <c r="E2383" i="38"/>
  <c r="D2383" i="38"/>
  <c r="C2383" i="38"/>
  <c r="F2382" i="38"/>
  <c r="E2382" i="38"/>
  <c r="D2382" i="38"/>
  <c r="C2382" i="38"/>
  <c r="F2381" i="38"/>
  <c r="E2381" i="38"/>
  <c r="D2381" i="38"/>
  <c r="C2381" i="38"/>
  <c r="F2380" i="38"/>
  <c r="E2380" i="38"/>
  <c r="D2380" i="38"/>
  <c r="C2380" i="38"/>
  <c r="F2379" i="38"/>
  <c r="E2379" i="38"/>
  <c r="D2379" i="38"/>
  <c r="C2379" i="38"/>
  <c r="F2378" i="38"/>
  <c r="E2378" i="38"/>
  <c r="D2378" i="38"/>
  <c r="C2378" i="38"/>
  <c r="F2377" i="38"/>
  <c r="E2377" i="38"/>
  <c r="D2377" i="38"/>
  <c r="C2377" i="38"/>
  <c r="F2376" i="38"/>
  <c r="E2376" i="38"/>
  <c r="D2376" i="38"/>
  <c r="C2376" i="38"/>
  <c r="F2375" i="38"/>
  <c r="E2375" i="38"/>
  <c r="D2375" i="38"/>
  <c r="C2375" i="38"/>
  <c r="F2374" i="38"/>
  <c r="E2374" i="38"/>
  <c r="D2374" i="38"/>
  <c r="C2374" i="38"/>
  <c r="F2373" i="38"/>
  <c r="E2373" i="38"/>
  <c r="D2373" i="38"/>
  <c r="C2373" i="38"/>
  <c r="F2372" i="38"/>
  <c r="E2372" i="38"/>
  <c r="D2372" i="38"/>
  <c r="C2372" i="38"/>
  <c r="F2371" i="38"/>
  <c r="E2371" i="38"/>
  <c r="D2371" i="38"/>
  <c r="C2371" i="38"/>
  <c r="F2370" i="38"/>
  <c r="E2370" i="38"/>
  <c r="D2370" i="38"/>
  <c r="C2370" i="38"/>
  <c r="F2369" i="38"/>
  <c r="E2369" i="38"/>
  <c r="D2369" i="38"/>
  <c r="C2369" i="38"/>
  <c r="F2368" i="38"/>
  <c r="E2368" i="38"/>
  <c r="D2368" i="38"/>
  <c r="C2368" i="38"/>
  <c r="F2367" i="38"/>
  <c r="E2367" i="38"/>
  <c r="D2367" i="38"/>
  <c r="C2367" i="38"/>
  <c r="F2366" i="38"/>
  <c r="E2366" i="38"/>
  <c r="D2366" i="38"/>
  <c r="C2366" i="38"/>
  <c r="F2365" i="38"/>
  <c r="E2365" i="38"/>
  <c r="D2365" i="38"/>
  <c r="C2365" i="38"/>
  <c r="F2364" i="38"/>
  <c r="E2364" i="38"/>
  <c r="D2364" i="38"/>
  <c r="C2364" i="38"/>
  <c r="F2363" i="38"/>
  <c r="E2363" i="38"/>
  <c r="D2363" i="38"/>
  <c r="C2363" i="38"/>
  <c r="F2362" i="38"/>
  <c r="E2362" i="38"/>
  <c r="D2362" i="38"/>
  <c r="C2362" i="38"/>
  <c r="F2361" i="38"/>
  <c r="E2361" i="38"/>
  <c r="D2361" i="38"/>
  <c r="C2361" i="38"/>
  <c r="F2360" i="38"/>
  <c r="E2360" i="38"/>
  <c r="D2360" i="38"/>
  <c r="C2360" i="38"/>
  <c r="F2359" i="38"/>
  <c r="E2359" i="38"/>
  <c r="D2359" i="38"/>
  <c r="C2359" i="38"/>
  <c r="F2358" i="38"/>
  <c r="E2358" i="38"/>
  <c r="D2358" i="38"/>
  <c r="C2358" i="38"/>
  <c r="F2357" i="38"/>
  <c r="E2357" i="38"/>
  <c r="D2357" i="38"/>
  <c r="C2357" i="38"/>
  <c r="F2356" i="38"/>
  <c r="E2356" i="38"/>
  <c r="D2356" i="38"/>
  <c r="C2356" i="38"/>
  <c r="F2355" i="38"/>
  <c r="E2355" i="38"/>
  <c r="D2355" i="38"/>
  <c r="C2355" i="38"/>
  <c r="F2354" i="38"/>
  <c r="E2354" i="38"/>
  <c r="D2354" i="38"/>
  <c r="C2354" i="38"/>
  <c r="F2353" i="38"/>
  <c r="E2353" i="38"/>
  <c r="D2353" i="38"/>
  <c r="C2353" i="38"/>
  <c r="F2352" i="38"/>
  <c r="E2352" i="38"/>
  <c r="D2352" i="38"/>
  <c r="C2352" i="38"/>
  <c r="F2351" i="38"/>
  <c r="E2351" i="38"/>
  <c r="D2351" i="38"/>
  <c r="C2351" i="38"/>
  <c r="F2350" i="38"/>
  <c r="E2350" i="38"/>
  <c r="D2350" i="38"/>
  <c r="C2350" i="38"/>
  <c r="F2349" i="38"/>
  <c r="E2349" i="38"/>
  <c r="D2349" i="38"/>
  <c r="C2349" i="38"/>
  <c r="F2348" i="38"/>
  <c r="E2348" i="38"/>
  <c r="D2348" i="38"/>
  <c r="C2348" i="38"/>
  <c r="F2347" i="38"/>
  <c r="E2347" i="38"/>
  <c r="D2347" i="38"/>
  <c r="C2347" i="38"/>
  <c r="F2346" i="38"/>
  <c r="E2346" i="38"/>
  <c r="D2346" i="38"/>
  <c r="C2346" i="38"/>
  <c r="F2345" i="38"/>
  <c r="E2345" i="38"/>
  <c r="D2345" i="38"/>
  <c r="C2345" i="38"/>
  <c r="F2344" i="38"/>
  <c r="E2344" i="38"/>
  <c r="D2344" i="38"/>
  <c r="C2344" i="38"/>
  <c r="F2343" i="38"/>
  <c r="E2343" i="38"/>
  <c r="D2343" i="38"/>
  <c r="C2343" i="38"/>
  <c r="F2342" i="38"/>
  <c r="E2342" i="38"/>
  <c r="D2342" i="38"/>
  <c r="C2342" i="38"/>
  <c r="F2341" i="38"/>
  <c r="E2341" i="38"/>
  <c r="D2341" i="38"/>
  <c r="C2341" i="38"/>
  <c r="F2340" i="38"/>
  <c r="E2340" i="38"/>
  <c r="D2340" i="38"/>
  <c r="C2340" i="38"/>
  <c r="F2339" i="38"/>
  <c r="E2339" i="38"/>
  <c r="D2339" i="38"/>
  <c r="C2339" i="38"/>
  <c r="F2338" i="38"/>
  <c r="E2338" i="38"/>
  <c r="D2338" i="38"/>
  <c r="C2338" i="38"/>
  <c r="F2337" i="38"/>
  <c r="E2337" i="38"/>
  <c r="D2337" i="38"/>
  <c r="C2337" i="38"/>
  <c r="F2336" i="38"/>
  <c r="E2336" i="38"/>
  <c r="D2336" i="38"/>
  <c r="C2336" i="38"/>
  <c r="F2335" i="38"/>
  <c r="E2335" i="38"/>
  <c r="D2335" i="38"/>
  <c r="C2335" i="38"/>
  <c r="F2334" i="38"/>
  <c r="E2334" i="38"/>
  <c r="D2334" i="38"/>
  <c r="C2334" i="38"/>
  <c r="F2333" i="38"/>
  <c r="E2333" i="38"/>
  <c r="D2333" i="38"/>
  <c r="C2333" i="38"/>
  <c r="F2332" i="38"/>
  <c r="E2332" i="38"/>
  <c r="D2332" i="38"/>
  <c r="C2332" i="38"/>
  <c r="F2331" i="38"/>
  <c r="E2331" i="38"/>
  <c r="D2331" i="38"/>
  <c r="C2331" i="38"/>
  <c r="F2330" i="38"/>
  <c r="E2330" i="38"/>
  <c r="D2330" i="38"/>
  <c r="C2330" i="38"/>
  <c r="F2329" i="38"/>
  <c r="E2329" i="38"/>
  <c r="D2329" i="38"/>
  <c r="C2329" i="38"/>
  <c r="F2328" i="38"/>
  <c r="E2328" i="38"/>
  <c r="D2328" i="38"/>
  <c r="C2328" i="38"/>
  <c r="F2327" i="38"/>
  <c r="E2327" i="38"/>
  <c r="D2327" i="38"/>
  <c r="C2327" i="38"/>
  <c r="F2326" i="38"/>
  <c r="E2326" i="38"/>
  <c r="D2326" i="38"/>
  <c r="C2326" i="38"/>
  <c r="F2325" i="38"/>
  <c r="E2325" i="38"/>
  <c r="D2325" i="38"/>
  <c r="C2325" i="38"/>
  <c r="F2324" i="38"/>
  <c r="E2324" i="38"/>
  <c r="D2324" i="38"/>
  <c r="C2324" i="38"/>
  <c r="F2323" i="38"/>
  <c r="E2323" i="38"/>
  <c r="D2323" i="38"/>
  <c r="C2323" i="38"/>
  <c r="F2322" i="38"/>
  <c r="E2322" i="38"/>
  <c r="D2322" i="38"/>
  <c r="C2322" i="38"/>
  <c r="F2321" i="38"/>
  <c r="E2321" i="38"/>
  <c r="D2321" i="38"/>
  <c r="C2321" i="38"/>
  <c r="F2320" i="38"/>
  <c r="E2320" i="38"/>
  <c r="D2320" i="38"/>
  <c r="C2320" i="38"/>
  <c r="F2319" i="38"/>
  <c r="E2319" i="38"/>
  <c r="D2319" i="38"/>
  <c r="C2319" i="38"/>
  <c r="F2318" i="38"/>
  <c r="E2318" i="38"/>
  <c r="D2318" i="38"/>
  <c r="C2318" i="38"/>
  <c r="F2317" i="38"/>
  <c r="E2317" i="38"/>
  <c r="D2317" i="38"/>
  <c r="C2317" i="38"/>
  <c r="F2316" i="38"/>
  <c r="E2316" i="38"/>
  <c r="D2316" i="38"/>
  <c r="C2316" i="38"/>
  <c r="F2315" i="38"/>
  <c r="E2315" i="38"/>
  <c r="D2315" i="38"/>
  <c r="C2315" i="38"/>
  <c r="F2314" i="38"/>
  <c r="E2314" i="38"/>
  <c r="D2314" i="38"/>
  <c r="C2314" i="38"/>
  <c r="F2313" i="38"/>
  <c r="E2313" i="38"/>
  <c r="D2313" i="38"/>
  <c r="C2313" i="38"/>
  <c r="F2312" i="38"/>
  <c r="E2312" i="38"/>
  <c r="D2312" i="38"/>
  <c r="C2312" i="38"/>
  <c r="F2311" i="38"/>
  <c r="E2311" i="38"/>
  <c r="D2311" i="38"/>
  <c r="C2311" i="38"/>
  <c r="F2310" i="38"/>
  <c r="E2310" i="38"/>
  <c r="D2310" i="38"/>
  <c r="C2310" i="38"/>
  <c r="F2309" i="38"/>
  <c r="E2309" i="38"/>
  <c r="D2309" i="38"/>
  <c r="C2309" i="38"/>
  <c r="F2308" i="38"/>
  <c r="E2308" i="38"/>
  <c r="D2308" i="38"/>
  <c r="C2308" i="38"/>
  <c r="F2307" i="38"/>
  <c r="E2307" i="38"/>
  <c r="D2307" i="38"/>
  <c r="C2307" i="38"/>
  <c r="F2306" i="38"/>
  <c r="E2306" i="38"/>
  <c r="D2306" i="38"/>
  <c r="C2306" i="38"/>
  <c r="F2305" i="38"/>
  <c r="E2305" i="38"/>
  <c r="D2305" i="38"/>
  <c r="C2305" i="38"/>
  <c r="F2304" i="38"/>
  <c r="E2304" i="38"/>
  <c r="D2304" i="38"/>
  <c r="C2304" i="38"/>
  <c r="F2303" i="38"/>
  <c r="E2303" i="38"/>
  <c r="D2303" i="38"/>
  <c r="C2303" i="38"/>
  <c r="F2302" i="38"/>
  <c r="E2302" i="38"/>
  <c r="D2302" i="38"/>
  <c r="C2302" i="38"/>
  <c r="F2301" i="38"/>
  <c r="E2301" i="38"/>
  <c r="D2301" i="38"/>
  <c r="C2301" i="38"/>
  <c r="F2300" i="38"/>
  <c r="E2300" i="38"/>
  <c r="D2300" i="38"/>
  <c r="C2300" i="38"/>
  <c r="F2299" i="38"/>
  <c r="E2299" i="38"/>
  <c r="D2299" i="38"/>
  <c r="C2299" i="38"/>
  <c r="F2298" i="38"/>
  <c r="E2298" i="38"/>
  <c r="D2298" i="38"/>
  <c r="C2298" i="38"/>
  <c r="F2297" i="38"/>
  <c r="E2297" i="38"/>
  <c r="D2297" i="38"/>
  <c r="C2297" i="38"/>
  <c r="F2296" i="38"/>
  <c r="E2296" i="38"/>
  <c r="D2296" i="38"/>
  <c r="C2296" i="38"/>
  <c r="F2295" i="38"/>
  <c r="E2295" i="38"/>
  <c r="D2295" i="38"/>
  <c r="C2295" i="38"/>
  <c r="F2294" i="38"/>
  <c r="E2294" i="38"/>
  <c r="D2294" i="38"/>
  <c r="C2294" i="38"/>
  <c r="F2293" i="38"/>
  <c r="E2293" i="38"/>
  <c r="D2293" i="38"/>
  <c r="C2293" i="38"/>
  <c r="F2292" i="38"/>
  <c r="E2292" i="38"/>
  <c r="D2292" i="38"/>
  <c r="C2292" i="38"/>
  <c r="F2291" i="38"/>
  <c r="E2291" i="38"/>
  <c r="D2291" i="38"/>
  <c r="C2291" i="38"/>
  <c r="F2290" i="38"/>
  <c r="E2290" i="38"/>
  <c r="D2290" i="38"/>
  <c r="C2290" i="38"/>
  <c r="F2289" i="38"/>
  <c r="E2289" i="38"/>
  <c r="D2289" i="38"/>
  <c r="C2289" i="38"/>
  <c r="F2288" i="38"/>
  <c r="E2288" i="38"/>
  <c r="D2288" i="38"/>
  <c r="C2288" i="38"/>
  <c r="F2287" i="38"/>
  <c r="E2287" i="38"/>
  <c r="D2287" i="38"/>
  <c r="C2287" i="38"/>
  <c r="F2286" i="38"/>
  <c r="E2286" i="38"/>
  <c r="D2286" i="38"/>
  <c r="C2286" i="38"/>
  <c r="F2285" i="38"/>
  <c r="E2285" i="38"/>
  <c r="D2285" i="38"/>
  <c r="C2285" i="38"/>
  <c r="F2284" i="38"/>
  <c r="E2284" i="38"/>
  <c r="D2284" i="38"/>
  <c r="C2284" i="38"/>
  <c r="F2283" i="38"/>
  <c r="E2283" i="38"/>
  <c r="D2283" i="38"/>
  <c r="C2283" i="38"/>
  <c r="F2282" i="38"/>
  <c r="E2282" i="38"/>
  <c r="D2282" i="38"/>
  <c r="C2282" i="38"/>
  <c r="F2281" i="38"/>
  <c r="E2281" i="38"/>
  <c r="D2281" i="38"/>
  <c r="C2281" i="38"/>
  <c r="F2280" i="38"/>
  <c r="E2280" i="38"/>
  <c r="D2280" i="38"/>
  <c r="C2280" i="38"/>
  <c r="F2279" i="38"/>
  <c r="E2279" i="38"/>
  <c r="D2279" i="38"/>
  <c r="C2279" i="38"/>
  <c r="F2278" i="38"/>
  <c r="E2278" i="38"/>
  <c r="D2278" i="38"/>
  <c r="C2278" i="38"/>
  <c r="F2277" i="38"/>
  <c r="E2277" i="38"/>
  <c r="D2277" i="38"/>
  <c r="C2277" i="38"/>
  <c r="F2276" i="38"/>
  <c r="E2276" i="38"/>
  <c r="D2276" i="38"/>
  <c r="C2276" i="38"/>
  <c r="F2275" i="38"/>
  <c r="E2275" i="38"/>
  <c r="D2275" i="38"/>
  <c r="C2275" i="38"/>
  <c r="F2274" i="38"/>
  <c r="E2274" i="38"/>
  <c r="D2274" i="38"/>
  <c r="C2274" i="38"/>
  <c r="F2273" i="38"/>
  <c r="E2273" i="38"/>
  <c r="D2273" i="38"/>
  <c r="C2273" i="38"/>
  <c r="F2272" i="38"/>
  <c r="E2272" i="38"/>
  <c r="D2272" i="38"/>
  <c r="C2272" i="38"/>
  <c r="F2271" i="38"/>
  <c r="E2271" i="38"/>
  <c r="D2271" i="38"/>
  <c r="C2271" i="38"/>
  <c r="F2270" i="38"/>
  <c r="E2270" i="38"/>
  <c r="D2270" i="38"/>
  <c r="C2270" i="38"/>
  <c r="F2269" i="38"/>
  <c r="E2269" i="38"/>
  <c r="D2269" i="38"/>
  <c r="C2269" i="38"/>
  <c r="F2268" i="38"/>
  <c r="E2268" i="38"/>
  <c r="D2268" i="38"/>
  <c r="C2268" i="38"/>
  <c r="F2267" i="38"/>
  <c r="E2267" i="38"/>
  <c r="D2267" i="38"/>
  <c r="C2267" i="38"/>
  <c r="F2266" i="38"/>
  <c r="E2266" i="38"/>
  <c r="D2266" i="38"/>
  <c r="C2266" i="38"/>
  <c r="F2265" i="38"/>
  <c r="E2265" i="38"/>
  <c r="D2265" i="38"/>
  <c r="C2265" i="38"/>
  <c r="F2264" i="38"/>
  <c r="E2264" i="38"/>
  <c r="D2264" i="38"/>
  <c r="C2264" i="38"/>
  <c r="F2263" i="38"/>
  <c r="E2263" i="38"/>
  <c r="D2263" i="38"/>
  <c r="C2263" i="38"/>
  <c r="F2262" i="38"/>
  <c r="E2262" i="38"/>
  <c r="D2262" i="38"/>
  <c r="C2262" i="38"/>
  <c r="F2261" i="38"/>
  <c r="E2261" i="38"/>
  <c r="D2261" i="38"/>
  <c r="C2261" i="38"/>
  <c r="F2260" i="38"/>
  <c r="E2260" i="38"/>
  <c r="D2260" i="38"/>
  <c r="C2260" i="38"/>
  <c r="F2259" i="38"/>
  <c r="E2259" i="38"/>
  <c r="D2259" i="38"/>
  <c r="C2259" i="38"/>
  <c r="F2258" i="38"/>
  <c r="E2258" i="38"/>
  <c r="D2258" i="38"/>
  <c r="C2258" i="38"/>
  <c r="F2257" i="38"/>
  <c r="E2257" i="38"/>
  <c r="D2257" i="38"/>
  <c r="C2257" i="38"/>
  <c r="F2256" i="38"/>
  <c r="E2256" i="38"/>
  <c r="D2256" i="38"/>
  <c r="C2256" i="38"/>
  <c r="F2255" i="38"/>
  <c r="E2255" i="38"/>
  <c r="D2255" i="38"/>
  <c r="C2255" i="38"/>
  <c r="F2254" i="38"/>
  <c r="E2254" i="38"/>
  <c r="D2254" i="38"/>
  <c r="C2254" i="38"/>
  <c r="F2253" i="38"/>
  <c r="E2253" i="38"/>
  <c r="D2253" i="38"/>
  <c r="C2253" i="38"/>
  <c r="F2252" i="38"/>
  <c r="E2252" i="38"/>
  <c r="D2252" i="38"/>
  <c r="C2252" i="38"/>
  <c r="F2251" i="38"/>
  <c r="E2251" i="38"/>
  <c r="D2251" i="38"/>
  <c r="C2251" i="38"/>
  <c r="F2250" i="38"/>
  <c r="E2250" i="38"/>
  <c r="D2250" i="38"/>
  <c r="C2250" i="38"/>
  <c r="F2249" i="38"/>
  <c r="E2249" i="38"/>
  <c r="D2249" i="38"/>
  <c r="C2249" i="38"/>
  <c r="F2248" i="38"/>
  <c r="E2248" i="38"/>
  <c r="D2248" i="38"/>
  <c r="C2248" i="38"/>
  <c r="F2247" i="38"/>
  <c r="E2247" i="38"/>
  <c r="D2247" i="38"/>
  <c r="C2247" i="38"/>
  <c r="F2246" i="38"/>
  <c r="E2246" i="38"/>
  <c r="D2246" i="38"/>
  <c r="C2246" i="38"/>
  <c r="F2245" i="38"/>
  <c r="E2245" i="38"/>
  <c r="D2245" i="38"/>
  <c r="C2245" i="38"/>
  <c r="F2244" i="38"/>
  <c r="E2244" i="38"/>
  <c r="D2244" i="38"/>
  <c r="C2244" i="38"/>
  <c r="F2243" i="38"/>
  <c r="E2243" i="38"/>
  <c r="D2243" i="38"/>
  <c r="C2243" i="38"/>
  <c r="F2242" i="38"/>
  <c r="E2242" i="38"/>
  <c r="D2242" i="38"/>
  <c r="C2242" i="38"/>
  <c r="F2241" i="38"/>
  <c r="E2241" i="38"/>
  <c r="D2241" i="38"/>
  <c r="C2241" i="38"/>
  <c r="F2240" i="38"/>
  <c r="E2240" i="38"/>
  <c r="D2240" i="38"/>
  <c r="C2240" i="38"/>
  <c r="F2239" i="38"/>
  <c r="E2239" i="38"/>
  <c r="D2239" i="38"/>
  <c r="C2239" i="38"/>
  <c r="F2238" i="38"/>
  <c r="E2238" i="38"/>
  <c r="D2238" i="38"/>
  <c r="C2238" i="38"/>
  <c r="F2237" i="38"/>
  <c r="E2237" i="38"/>
  <c r="D2237" i="38"/>
  <c r="C2237" i="38"/>
  <c r="F2236" i="38"/>
  <c r="E2236" i="38"/>
  <c r="D2236" i="38"/>
  <c r="C2236" i="38"/>
  <c r="F2235" i="38"/>
  <c r="E2235" i="38"/>
  <c r="D2235" i="38"/>
  <c r="C2235" i="38"/>
  <c r="F2234" i="38"/>
  <c r="E2234" i="38"/>
  <c r="D2234" i="38"/>
  <c r="C2234" i="38"/>
  <c r="F2233" i="38"/>
  <c r="E2233" i="38"/>
  <c r="D2233" i="38"/>
  <c r="C2233" i="38"/>
  <c r="F2232" i="38"/>
  <c r="E2232" i="38"/>
  <c r="D2232" i="38"/>
  <c r="C2232" i="38"/>
  <c r="F2231" i="38"/>
  <c r="E2231" i="38"/>
  <c r="D2231" i="38"/>
  <c r="C2231" i="38"/>
  <c r="F2230" i="38"/>
  <c r="E2230" i="38"/>
  <c r="D2230" i="38"/>
  <c r="C2230" i="38"/>
  <c r="F2229" i="38"/>
  <c r="E2229" i="38"/>
  <c r="D2229" i="38"/>
  <c r="C2229" i="38"/>
  <c r="F2228" i="38"/>
  <c r="E2228" i="38"/>
  <c r="D2228" i="38"/>
  <c r="C2228" i="38"/>
  <c r="F2227" i="38"/>
  <c r="E2227" i="38"/>
  <c r="D2227" i="38"/>
  <c r="C2227" i="38"/>
  <c r="F2226" i="38"/>
  <c r="E2226" i="38"/>
  <c r="D2226" i="38"/>
  <c r="C2226" i="38"/>
  <c r="F2225" i="38"/>
  <c r="E2225" i="38"/>
  <c r="D2225" i="38"/>
  <c r="C2225" i="38"/>
  <c r="F2224" i="38"/>
  <c r="E2224" i="38"/>
  <c r="D2224" i="38"/>
  <c r="C2224" i="38"/>
  <c r="F2223" i="38"/>
  <c r="E2223" i="38"/>
  <c r="D2223" i="38"/>
  <c r="C2223" i="38"/>
  <c r="F2222" i="38"/>
  <c r="E2222" i="38"/>
  <c r="D2222" i="38"/>
  <c r="C2222" i="38"/>
  <c r="F2221" i="38"/>
  <c r="E2221" i="38"/>
  <c r="D2221" i="38"/>
  <c r="C2221" i="38"/>
  <c r="F2220" i="38"/>
  <c r="E2220" i="38"/>
  <c r="D2220" i="38"/>
  <c r="C2220" i="38"/>
  <c r="F2219" i="38"/>
  <c r="E2219" i="38"/>
  <c r="D2219" i="38"/>
  <c r="C2219" i="38"/>
  <c r="F2218" i="38"/>
  <c r="E2218" i="38"/>
  <c r="D2218" i="38"/>
  <c r="C2218" i="38"/>
  <c r="F2217" i="38"/>
  <c r="E2217" i="38"/>
  <c r="D2217" i="38"/>
  <c r="C2217" i="38"/>
  <c r="F2216" i="38"/>
  <c r="E2216" i="38"/>
  <c r="D2216" i="38"/>
  <c r="C2216" i="38"/>
  <c r="F2215" i="38"/>
  <c r="E2215" i="38"/>
  <c r="D2215" i="38"/>
  <c r="C2215" i="38"/>
  <c r="F2214" i="38"/>
  <c r="E2214" i="38"/>
  <c r="D2214" i="38"/>
  <c r="C2214" i="38"/>
  <c r="F2213" i="38"/>
  <c r="E2213" i="38"/>
  <c r="D2213" i="38"/>
  <c r="C2213" i="38"/>
  <c r="F2212" i="38"/>
  <c r="E2212" i="38"/>
  <c r="D2212" i="38"/>
  <c r="C2212" i="38"/>
  <c r="F2211" i="38"/>
  <c r="E2211" i="38"/>
  <c r="D2211" i="38"/>
  <c r="C2211" i="38"/>
  <c r="F2210" i="38"/>
  <c r="E2210" i="38"/>
  <c r="D2210" i="38"/>
  <c r="C2210" i="38"/>
  <c r="F2209" i="38"/>
  <c r="E2209" i="38"/>
  <c r="D2209" i="38"/>
  <c r="C2209" i="38"/>
  <c r="F2208" i="38"/>
  <c r="E2208" i="38"/>
  <c r="D2208" i="38"/>
  <c r="C2208" i="38"/>
  <c r="F2207" i="38"/>
  <c r="E2207" i="38"/>
  <c r="D2207" i="38"/>
  <c r="C2207" i="38"/>
  <c r="F2206" i="38"/>
  <c r="E2206" i="38"/>
  <c r="D2206" i="38"/>
  <c r="C2206" i="38"/>
  <c r="F2205" i="38"/>
  <c r="E2205" i="38"/>
  <c r="D2205" i="38"/>
  <c r="C2205" i="38"/>
  <c r="F2204" i="38"/>
  <c r="E2204" i="38"/>
  <c r="D2204" i="38"/>
  <c r="C2204" i="38"/>
  <c r="F2203" i="38"/>
  <c r="E2203" i="38"/>
  <c r="D2203" i="38"/>
  <c r="C2203" i="38"/>
  <c r="F2202" i="38"/>
  <c r="E2202" i="38"/>
  <c r="D2202" i="38"/>
  <c r="C2202" i="38"/>
  <c r="F2201" i="38"/>
  <c r="E2201" i="38"/>
  <c r="D2201" i="38"/>
  <c r="C2201" i="38"/>
  <c r="F2200" i="38"/>
  <c r="E2200" i="38"/>
  <c r="D2200" i="38"/>
  <c r="C2200" i="38"/>
  <c r="F2199" i="38"/>
  <c r="E2199" i="38"/>
  <c r="D2199" i="38"/>
  <c r="C2199" i="38"/>
  <c r="F2198" i="38"/>
  <c r="E2198" i="38"/>
  <c r="D2198" i="38"/>
  <c r="C2198" i="38"/>
  <c r="F2197" i="38"/>
  <c r="E2197" i="38"/>
  <c r="D2197" i="38"/>
  <c r="C2197" i="38"/>
  <c r="F2196" i="38"/>
  <c r="E2196" i="38"/>
  <c r="D2196" i="38"/>
  <c r="C2196" i="38"/>
  <c r="F2195" i="38"/>
  <c r="E2195" i="38"/>
  <c r="D2195" i="38"/>
  <c r="C2195" i="38"/>
  <c r="F2194" i="38"/>
  <c r="E2194" i="38"/>
  <c r="D2194" i="38"/>
  <c r="C2194" i="38"/>
  <c r="F2193" i="38"/>
  <c r="E2193" i="38"/>
  <c r="D2193" i="38"/>
  <c r="C2193" i="38"/>
  <c r="F2192" i="38"/>
  <c r="E2192" i="38"/>
  <c r="D2192" i="38"/>
  <c r="C2192" i="38"/>
  <c r="F2191" i="38"/>
  <c r="E2191" i="38"/>
  <c r="D2191" i="38"/>
  <c r="C2191" i="38"/>
  <c r="F2190" i="38"/>
  <c r="E2190" i="38"/>
  <c r="D2190" i="38"/>
  <c r="C2190" i="38"/>
  <c r="F2189" i="38"/>
  <c r="E2189" i="38"/>
  <c r="D2189" i="38"/>
  <c r="C2189" i="38"/>
  <c r="F2188" i="38"/>
  <c r="E2188" i="38"/>
  <c r="D2188" i="38"/>
  <c r="C2188" i="38"/>
  <c r="F2187" i="38"/>
  <c r="E2187" i="38"/>
  <c r="D2187" i="38"/>
  <c r="C2187" i="38"/>
  <c r="F2186" i="38"/>
  <c r="E2186" i="38"/>
  <c r="D2186" i="38"/>
  <c r="C2186" i="38"/>
  <c r="F2185" i="38"/>
  <c r="E2185" i="38"/>
  <c r="D2185" i="38"/>
  <c r="C2185" i="38"/>
  <c r="F2184" i="38"/>
  <c r="E2184" i="38"/>
  <c r="D2184" i="38"/>
  <c r="C2184" i="38"/>
  <c r="F2183" i="38"/>
  <c r="E2183" i="38"/>
  <c r="D2183" i="38"/>
  <c r="C2183" i="38"/>
  <c r="F2182" i="38"/>
  <c r="E2182" i="38"/>
  <c r="D2182" i="38"/>
  <c r="C2182" i="38"/>
  <c r="F2181" i="38"/>
  <c r="E2181" i="38"/>
  <c r="D2181" i="38"/>
  <c r="C2181" i="38"/>
  <c r="F2180" i="38"/>
  <c r="E2180" i="38"/>
  <c r="D2180" i="38"/>
  <c r="C2180" i="38"/>
  <c r="F2179" i="38"/>
  <c r="E2179" i="38"/>
  <c r="D2179" i="38"/>
  <c r="C2179" i="38"/>
  <c r="F2178" i="38"/>
  <c r="E2178" i="38"/>
  <c r="D2178" i="38"/>
  <c r="C2178" i="38"/>
  <c r="F2177" i="38"/>
  <c r="E2177" i="38"/>
  <c r="D2177" i="38"/>
  <c r="C2177" i="38"/>
  <c r="F2176" i="38"/>
  <c r="E2176" i="38"/>
  <c r="D2176" i="38"/>
  <c r="C2176" i="38"/>
  <c r="F2175" i="38"/>
  <c r="E2175" i="38"/>
  <c r="D2175" i="38"/>
  <c r="C2175" i="38"/>
  <c r="F2174" i="38"/>
  <c r="E2174" i="38"/>
  <c r="D2174" i="38"/>
  <c r="C2174" i="38"/>
  <c r="F2173" i="38"/>
  <c r="E2173" i="38"/>
  <c r="D2173" i="38"/>
  <c r="C2173" i="38"/>
  <c r="F2172" i="38"/>
  <c r="E2172" i="38"/>
  <c r="D2172" i="38"/>
  <c r="C2172" i="38"/>
  <c r="F2171" i="38"/>
  <c r="E2171" i="38"/>
  <c r="D2171" i="38"/>
  <c r="C2171" i="38"/>
  <c r="F2170" i="38"/>
  <c r="E2170" i="38"/>
  <c r="D2170" i="38"/>
  <c r="C2170" i="38"/>
  <c r="F2169" i="38"/>
  <c r="E2169" i="38"/>
  <c r="D2169" i="38"/>
  <c r="C2169" i="38"/>
  <c r="F2168" i="38"/>
  <c r="E2168" i="38"/>
  <c r="D2168" i="38"/>
  <c r="C2168" i="38"/>
  <c r="F2167" i="38"/>
  <c r="E2167" i="38"/>
  <c r="D2167" i="38"/>
  <c r="C2167" i="38"/>
  <c r="F2166" i="38"/>
  <c r="E2166" i="38"/>
  <c r="D2166" i="38"/>
  <c r="C2166" i="38"/>
  <c r="E2142" i="38"/>
  <c r="D2142" i="38"/>
  <c r="C2142" i="38"/>
  <c r="E2141" i="38"/>
  <c r="D2141" i="38"/>
  <c r="C2141" i="38"/>
  <c r="E2140" i="38"/>
  <c r="D2140" i="38"/>
  <c r="C2140" i="38"/>
  <c r="E2139" i="38"/>
  <c r="D2139" i="38"/>
  <c r="C2139" i="38"/>
  <c r="E2138" i="38"/>
  <c r="D2138" i="38"/>
  <c r="C2138" i="38"/>
  <c r="E2137" i="38"/>
  <c r="D2137" i="38"/>
  <c r="C2137" i="38"/>
  <c r="E2136" i="38"/>
  <c r="D2136" i="38"/>
  <c r="C2136" i="38"/>
  <c r="E2135" i="38"/>
  <c r="D2135" i="38"/>
  <c r="C2135" i="38"/>
  <c r="E2134" i="38"/>
  <c r="D2134" i="38"/>
  <c r="C2134" i="38"/>
  <c r="E2133" i="38"/>
  <c r="D2133" i="38"/>
  <c r="C2133" i="38"/>
  <c r="E2132" i="38"/>
  <c r="D2132" i="38"/>
  <c r="C2132" i="38"/>
  <c r="E2131" i="38"/>
  <c r="D2131" i="38"/>
  <c r="C2131" i="38"/>
  <c r="E2130" i="38"/>
  <c r="D2130" i="38"/>
  <c r="C2130" i="38"/>
  <c r="E2129" i="38"/>
  <c r="D2129" i="38"/>
  <c r="C2129" i="38"/>
  <c r="E2128" i="38"/>
  <c r="D2128" i="38"/>
  <c r="C2128" i="38"/>
  <c r="E2127" i="38"/>
  <c r="D2127" i="38"/>
  <c r="C2127" i="38"/>
  <c r="E2126" i="38"/>
  <c r="D2126" i="38"/>
  <c r="C2126" i="38"/>
  <c r="E2125" i="38"/>
  <c r="D2125" i="38"/>
  <c r="C2125" i="38"/>
  <c r="E2124" i="38"/>
  <c r="D2124" i="38"/>
  <c r="C2124" i="38"/>
  <c r="E2123" i="38"/>
  <c r="D2123" i="38"/>
  <c r="C2123" i="38"/>
  <c r="E2122" i="38"/>
  <c r="D2122" i="38"/>
  <c r="C2122" i="38"/>
  <c r="E2121" i="38"/>
  <c r="D2121" i="38"/>
  <c r="C2121" i="38"/>
  <c r="E2120" i="38"/>
  <c r="D2120" i="38"/>
  <c r="C2120" i="38"/>
  <c r="E2119" i="38"/>
  <c r="D2119" i="38"/>
  <c r="C2119" i="38"/>
  <c r="E2118" i="38"/>
  <c r="D2118" i="38"/>
  <c r="C2118" i="38"/>
  <c r="E2117" i="38"/>
  <c r="D2117" i="38"/>
  <c r="C2117" i="38"/>
  <c r="E2116" i="38"/>
  <c r="D2116" i="38"/>
  <c r="C2116" i="38"/>
  <c r="E2115" i="38"/>
  <c r="D2115" i="38"/>
  <c r="C2115" i="38"/>
  <c r="E2114" i="38"/>
  <c r="D2114" i="38"/>
  <c r="C2114" i="38"/>
  <c r="E2113" i="38"/>
  <c r="D2113" i="38"/>
  <c r="C2113" i="38"/>
  <c r="E2112" i="38"/>
  <c r="D2112" i="38"/>
  <c r="C2112" i="38"/>
  <c r="E2111" i="38"/>
  <c r="D2111" i="38"/>
  <c r="C2111" i="38"/>
  <c r="E2110" i="38"/>
  <c r="D2110" i="38"/>
  <c r="C2110" i="38"/>
  <c r="E2109" i="38"/>
  <c r="D2109" i="38"/>
  <c r="C2109" i="38"/>
  <c r="E2108" i="38"/>
  <c r="D2108" i="38"/>
  <c r="C2108" i="38"/>
  <c r="E2107" i="38"/>
  <c r="D2107" i="38"/>
  <c r="C2107" i="38"/>
  <c r="E2106" i="38"/>
  <c r="D2106" i="38"/>
  <c r="C2106" i="38"/>
  <c r="E2105" i="38"/>
  <c r="D2105" i="38"/>
  <c r="C2105" i="38"/>
  <c r="E2104" i="38"/>
  <c r="D2104" i="38"/>
  <c r="C2104" i="38"/>
  <c r="E2103" i="38"/>
  <c r="D2103" i="38"/>
  <c r="C2103" i="38"/>
  <c r="E2102" i="38"/>
  <c r="D2102" i="38"/>
  <c r="C2102" i="38"/>
  <c r="E2101" i="38"/>
  <c r="D2101" i="38"/>
  <c r="C2101" i="38"/>
  <c r="E2100" i="38"/>
  <c r="D2100" i="38"/>
  <c r="C2100" i="38"/>
  <c r="E2099" i="38"/>
  <c r="D2099" i="38"/>
  <c r="C2099" i="38"/>
  <c r="E2098" i="38"/>
  <c r="D2098" i="38"/>
  <c r="C2098" i="38"/>
  <c r="E2097" i="38"/>
  <c r="D2097" i="38"/>
  <c r="C2097" i="38"/>
  <c r="E2096" i="38"/>
  <c r="D2096" i="38"/>
  <c r="C2096" i="38"/>
  <c r="E2095" i="38"/>
  <c r="D2095" i="38"/>
  <c r="C2095" i="38"/>
  <c r="E2094" i="38"/>
  <c r="D2094" i="38"/>
  <c r="C2094" i="38"/>
  <c r="E2093" i="38"/>
  <c r="D2093" i="38"/>
  <c r="C2093" i="38"/>
  <c r="E2092" i="38"/>
  <c r="D2092" i="38"/>
  <c r="C2092" i="38"/>
  <c r="E2091" i="38"/>
  <c r="D2091" i="38"/>
  <c r="C2091" i="38"/>
  <c r="E2090" i="38"/>
  <c r="D2090" i="38"/>
  <c r="C2090" i="38"/>
  <c r="E2089" i="38"/>
  <c r="D2089" i="38"/>
  <c r="C2089" i="38"/>
  <c r="E2088" i="38"/>
  <c r="D2088" i="38"/>
  <c r="C2088" i="38"/>
  <c r="E2087" i="38"/>
  <c r="D2087" i="38"/>
  <c r="C2087" i="38"/>
  <c r="E2086" i="38"/>
  <c r="D2086" i="38"/>
  <c r="C2086" i="38"/>
  <c r="E2085" i="38"/>
  <c r="D2085" i="38"/>
  <c r="C2085" i="38"/>
  <c r="E2084" i="38"/>
  <c r="D2084" i="38"/>
  <c r="C2084" i="38"/>
  <c r="E2083" i="38"/>
  <c r="D2083" i="38"/>
  <c r="C2083" i="38"/>
  <c r="E2082" i="38"/>
  <c r="D2082" i="38"/>
  <c r="C2082" i="38"/>
  <c r="E2081" i="38"/>
  <c r="D2081" i="38"/>
  <c r="C2081" i="38"/>
  <c r="E2080" i="38"/>
  <c r="D2080" i="38"/>
  <c r="C2080" i="38"/>
  <c r="E2079" i="38"/>
  <c r="D2079" i="38"/>
  <c r="C2079" i="38"/>
  <c r="E2078" i="38"/>
  <c r="D2078" i="38"/>
  <c r="C2078" i="38"/>
  <c r="E2077" i="38"/>
  <c r="D2077" i="38"/>
  <c r="C2077" i="38"/>
  <c r="E2076" i="38"/>
  <c r="D2076" i="38"/>
  <c r="C2076" i="38"/>
  <c r="E2075" i="38"/>
  <c r="D2075" i="38"/>
  <c r="C2075" i="38"/>
  <c r="E2074" i="38"/>
  <c r="D2074" i="38"/>
  <c r="C2074" i="38"/>
  <c r="E2073" i="38"/>
  <c r="D2073" i="38"/>
  <c r="C2073" i="38"/>
  <c r="E2072" i="38"/>
  <c r="D2072" i="38"/>
  <c r="C2072" i="38"/>
  <c r="E2071" i="38"/>
  <c r="D2071" i="38"/>
  <c r="C2071" i="38"/>
  <c r="E2070" i="38"/>
  <c r="D2070" i="38"/>
  <c r="C2070" i="38"/>
  <c r="E2069" i="38"/>
  <c r="D2069" i="38"/>
  <c r="C2069" i="38"/>
  <c r="E2068" i="38"/>
  <c r="D2068" i="38"/>
  <c r="C2068" i="38"/>
  <c r="E2067" i="38"/>
  <c r="D2067" i="38"/>
  <c r="C2067" i="38"/>
  <c r="E2066" i="38"/>
  <c r="D2066" i="38"/>
  <c r="C2066" i="38"/>
  <c r="E2065" i="38"/>
  <c r="D2065" i="38"/>
  <c r="C2065" i="38"/>
  <c r="E2064" i="38"/>
  <c r="D2064" i="38"/>
  <c r="C2064" i="38"/>
  <c r="E2063" i="38"/>
  <c r="D2063" i="38"/>
  <c r="C2063" i="38"/>
  <c r="E2062" i="38"/>
  <c r="D2062" i="38"/>
  <c r="C2062" i="38"/>
  <c r="E2061" i="38"/>
  <c r="D2061" i="38"/>
  <c r="C2061" i="38"/>
  <c r="E2060" i="38"/>
  <c r="D2060" i="38"/>
  <c r="C2060" i="38"/>
  <c r="E2059" i="38"/>
  <c r="D2059" i="38"/>
  <c r="C2059" i="38"/>
  <c r="E2058" i="38"/>
  <c r="D2058" i="38"/>
  <c r="C2058" i="38"/>
  <c r="E2057" i="38"/>
  <c r="D2057" i="38"/>
  <c r="C2057" i="38"/>
  <c r="E2056" i="38"/>
  <c r="D2056" i="38"/>
  <c r="C2056" i="38"/>
  <c r="E2055" i="38"/>
  <c r="D2055" i="38"/>
  <c r="C2055" i="38"/>
  <c r="E2054" i="38"/>
  <c r="D2054" i="38"/>
  <c r="C2054" i="38"/>
  <c r="E2053" i="38"/>
  <c r="D2053" i="38"/>
  <c r="C2053" i="38"/>
  <c r="E2052" i="38"/>
  <c r="D2052" i="38"/>
  <c r="C2052" i="38"/>
  <c r="E2051" i="38"/>
  <c r="D2051" i="38"/>
  <c r="C2051" i="38"/>
  <c r="E2050" i="38"/>
  <c r="D2050" i="38"/>
  <c r="C2050" i="38"/>
  <c r="E2049" i="38"/>
  <c r="D2049" i="38"/>
  <c r="C2049" i="38"/>
  <c r="E2048" i="38"/>
  <c r="D2048" i="38"/>
  <c r="C2048" i="38"/>
  <c r="E2047" i="38"/>
  <c r="D2047" i="38"/>
  <c r="C2047" i="38"/>
  <c r="E2046" i="38"/>
  <c r="D2046" i="38"/>
  <c r="C2046" i="38"/>
  <c r="E2045" i="38"/>
  <c r="D2045" i="38"/>
  <c r="C2045" i="38"/>
  <c r="E2044" i="38"/>
  <c r="D2044" i="38"/>
  <c r="C2044" i="38"/>
  <c r="E2043" i="38"/>
  <c r="D2043" i="38"/>
  <c r="C2043" i="38"/>
  <c r="E2042" i="38"/>
  <c r="D2042" i="38"/>
  <c r="C2042" i="38"/>
  <c r="E2041" i="38"/>
  <c r="D2041" i="38"/>
  <c r="C2041" i="38"/>
  <c r="E2040" i="38"/>
  <c r="D2040" i="38"/>
  <c r="C2040" i="38"/>
  <c r="E2039" i="38"/>
  <c r="D2039" i="38"/>
  <c r="C2039" i="38"/>
  <c r="E2038" i="38"/>
  <c r="D2038" i="38"/>
  <c r="C2038" i="38"/>
  <c r="E2037" i="38"/>
  <c r="D2037" i="38"/>
  <c r="C2037" i="38"/>
  <c r="E2036" i="38"/>
  <c r="D2036" i="38"/>
  <c r="C2036" i="38"/>
  <c r="E2035" i="38"/>
  <c r="D2035" i="38"/>
  <c r="C2035" i="38"/>
  <c r="E2034" i="38"/>
  <c r="D2034" i="38"/>
  <c r="C2034" i="38"/>
  <c r="E2033" i="38"/>
  <c r="D2033" i="38"/>
  <c r="C2033" i="38"/>
  <c r="E2032" i="38"/>
  <c r="D2032" i="38"/>
  <c r="C2032" i="38"/>
  <c r="E2031" i="38"/>
  <c r="D2031" i="38"/>
  <c r="C2031" i="38"/>
  <c r="E2030" i="38"/>
  <c r="D2030" i="38"/>
  <c r="C2030" i="38"/>
  <c r="E2029" i="38"/>
  <c r="D2029" i="38"/>
  <c r="C2029" i="38"/>
  <c r="E2028" i="38"/>
  <c r="D2028" i="38"/>
  <c r="C2028" i="38"/>
  <c r="E2027" i="38"/>
  <c r="D2027" i="38"/>
  <c r="C2027" i="38"/>
  <c r="E2026" i="38"/>
  <c r="D2026" i="38"/>
  <c r="C2026" i="38"/>
  <c r="E2025" i="38"/>
  <c r="D2025" i="38"/>
  <c r="C2025" i="38"/>
  <c r="E2024" i="38"/>
  <c r="D2024" i="38"/>
  <c r="C2024" i="38"/>
  <c r="E2023" i="38"/>
  <c r="D2023" i="38"/>
  <c r="C2023" i="38"/>
  <c r="E2022" i="38"/>
  <c r="D2022" i="38"/>
  <c r="C2022" i="38"/>
  <c r="E2021" i="38"/>
  <c r="D2021" i="38"/>
  <c r="C2021" i="38"/>
  <c r="E2020" i="38"/>
  <c r="D2020" i="38"/>
  <c r="C2020" i="38"/>
  <c r="E2019" i="38"/>
  <c r="D2019" i="38"/>
  <c r="C2019" i="38"/>
  <c r="E2018" i="38"/>
  <c r="D2018" i="38"/>
  <c r="C2018" i="38"/>
  <c r="E2017" i="38"/>
  <c r="D2017" i="38"/>
  <c r="C2017" i="38"/>
  <c r="E2016" i="38"/>
  <c r="D2016" i="38"/>
  <c r="C2016" i="38"/>
  <c r="E2015" i="38"/>
  <c r="D2015" i="38"/>
  <c r="C2015" i="38"/>
  <c r="E2014" i="38"/>
  <c r="D2014" i="38"/>
  <c r="C2014" i="38"/>
  <c r="E2013" i="38"/>
  <c r="D2013" i="38"/>
  <c r="C2013" i="38"/>
  <c r="E2012" i="38"/>
  <c r="D2012" i="38"/>
  <c r="C2012" i="38"/>
  <c r="E2011" i="38"/>
  <c r="D2011" i="38"/>
  <c r="C2011" i="38"/>
  <c r="E2010" i="38"/>
  <c r="D2010" i="38"/>
  <c r="C2010" i="38"/>
  <c r="E2009" i="38"/>
  <c r="D2009" i="38"/>
  <c r="C2009" i="38"/>
  <c r="E2008" i="38"/>
  <c r="D2008" i="38"/>
  <c r="C2008" i="38"/>
  <c r="E2007" i="38"/>
  <c r="D2007" i="38"/>
  <c r="C2007" i="38"/>
  <c r="E2006" i="38"/>
  <c r="D2006" i="38"/>
  <c r="C2006" i="38"/>
  <c r="E2005" i="38"/>
  <c r="D2005" i="38"/>
  <c r="C2005" i="38"/>
  <c r="E2004" i="38"/>
  <c r="D2004" i="38"/>
  <c r="C2004" i="38"/>
  <c r="E2003" i="38"/>
  <c r="D2003" i="38"/>
  <c r="C2003" i="38"/>
  <c r="E2002" i="38"/>
  <c r="D2002" i="38"/>
  <c r="C2002" i="38"/>
  <c r="E2001" i="38"/>
  <c r="D2001" i="38"/>
  <c r="C2001" i="38"/>
  <c r="E2000" i="38"/>
  <c r="D2000" i="38"/>
  <c r="C2000" i="38"/>
  <c r="E1999" i="38"/>
  <c r="D1999" i="38"/>
  <c r="C1999" i="38"/>
  <c r="E1998" i="38"/>
  <c r="D1998" i="38"/>
  <c r="C1998" i="38"/>
  <c r="E1997" i="38"/>
  <c r="D1997" i="38"/>
  <c r="C1997" i="38"/>
  <c r="E1996" i="38"/>
  <c r="D1996" i="38"/>
  <c r="C1996" i="38"/>
  <c r="E1995" i="38"/>
  <c r="D1995" i="38"/>
  <c r="C1995" i="38"/>
  <c r="E1994" i="38"/>
  <c r="D1994" i="38"/>
  <c r="C1994" i="38"/>
  <c r="E1993" i="38"/>
  <c r="D1993" i="38"/>
  <c r="C1993" i="38"/>
  <c r="E1992" i="38"/>
  <c r="D1992" i="38"/>
  <c r="C1992" i="38"/>
  <c r="E1991" i="38"/>
  <c r="D1991" i="38"/>
  <c r="C1991" i="38"/>
  <c r="E1990" i="38"/>
  <c r="D1990" i="38"/>
  <c r="C1990" i="38"/>
  <c r="E1989" i="38"/>
  <c r="D1989" i="38"/>
  <c r="C1989" i="38"/>
  <c r="E1988" i="38"/>
  <c r="D1988" i="38"/>
  <c r="C1988" i="38"/>
  <c r="E1987" i="38"/>
  <c r="D1987" i="38"/>
  <c r="C1987" i="38"/>
  <c r="E1986" i="38"/>
  <c r="D1986" i="38"/>
  <c r="C1986" i="38"/>
  <c r="E1985" i="38"/>
  <c r="D1985" i="38"/>
  <c r="C1985" i="38"/>
  <c r="E1984" i="38"/>
  <c r="D1984" i="38"/>
  <c r="C1984" i="38"/>
  <c r="E1983" i="38"/>
  <c r="D1983" i="38"/>
  <c r="C1983" i="38"/>
  <c r="E1982" i="38"/>
  <c r="D1982" i="38"/>
  <c r="C1982" i="38"/>
  <c r="E1981" i="38"/>
  <c r="D1981" i="38"/>
  <c r="C1981" i="38"/>
  <c r="E1980" i="38"/>
  <c r="D1980" i="38"/>
  <c r="C1980" i="38"/>
  <c r="E1979" i="38"/>
  <c r="D1979" i="38"/>
  <c r="C1979" i="38"/>
  <c r="E1978" i="38"/>
  <c r="D1978" i="38"/>
  <c r="C1978" i="38"/>
  <c r="E1977" i="38"/>
  <c r="D1977" i="38"/>
  <c r="C1977" i="38"/>
  <c r="E1976" i="38"/>
  <c r="D1976" i="38"/>
  <c r="C1976" i="38"/>
  <c r="E1975" i="38"/>
  <c r="D1975" i="38"/>
  <c r="C1975" i="38"/>
  <c r="E1974" i="38"/>
  <c r="D1974" i="38"/>
  <c r="C1974" i="38"/>
  <c r="E1973" i="38"/>
  <c r="D1973" i="38"/>
  <c r="C1973" i="38"/>
  <c r="E1972" i="38"/>
  <c r="D1972" i="38"/>
  <c r="C1972" i="38"/>
  <c r="E1971" i="38"/>
  <c r="D1971" i="38"/>
  <c r="C1971" i="38"/>
  <c r="E1970" i="38"/>
  <c r="D1970" i="38"/>
  <c r="C1970" i="38"/>
  <c r="E1969" i="38"/>
  <c r="D1969" i="38"/>
  <c r="C1969" i="38"/>
  <c r="G1959" i="38"/>
  <c r="F1959" i="38"/>
  <c r="E1959" i="38"/>
  <c r="D1959" i="38"/>
  <c r="C1959" i="38"/>
  <c r="G1958" i="38"/>
  <c r="F1958" i="38"/>
  <c r="E1958" i="38"/>
  <c r="D1958" i="38"/>
  <c r="C1958" i="38"/>
  <c r="G1957" i="38"/>
  <c r="F1957" i="38"/>
  <c r="E1957" i="38"/>
  <c r="D1957" i="38"/>
  <c r="C1957" i="38"/>
  <c r="G1956" i="38"/>
  <c r="F1956" i="38"/>
  <c r="E1956" i="38"/>
  <c r="D1956" i="38"/>
  <c r="C1956" i="38"/>
  <c r="G1955" i="38"/>
  <c r="F1955" i="38"/>
  <c r="E1955" i="38"/>
  <c r="D1955" i="38"/>
  <c r="C1955" i="38"/>
  <c r="G1954" i="38"/>
  <c r="F1954" i="38"/>
  <c r="E1954" i="38"/>
  <c r="D1954" i="38"/>
  <c r="C1954" i="38"/>
  <c r="G1953" i="38"/>
  <c r="F1953" i="38"/>
  <c r="E1953" i="38"/>
  <c r="D1953" i="38"/>
  <c r="C1953" i="38"/>
  <c r="G1952" i="38"/>
  <c r="F1952" i="38"/>
  <c r="E1952" i="38"/>
  <c r="D1952" i="38"/>
  <c r="C1952" i="38"/>
  <c r="G1951" i="38"/>
  <c r="F1951" i="38"/>
  <c r="E1951" i="38"/>
  <c r="D1951" i="38"/>
  <c r="C1951" i="38"/>
  <c r="G1950" i="38"/>
  <c r="F1950" i="38"/>
  <c r="E1950" i="38"/>
  <c r="D1950" i="38"/>
  <c r="C1950" i="38"/>
  <c r="G1949" i="38"/>
  <c r="F1949" i="38"/>
  <c r="E1949" i="38"/>
  <c r="D1949" i="38"/>
  <c r="C1949" i="38"/>
  <c r="G1948" i="38"/>
  <c r="F1948" i="38"/>
  <c r="E1948" i="38"/>
  <c r="D1948" i="38"/>
  <c r="C1948" i="38"/>
  <c r="G1947" i="38"/>
  <c r="F1947" i="38"/>
  <c r="E1947" i="38"/>
  <c r="D1947" i="38"/>
  <c r="C1947" i="38"/>
  <c r="G1946" i="38"/>
  <c r="F1946" i="38"/>
  <c r="E1946" i="38"/>
  <c r="D1946" i="38"/>
  <c r="C1946" i="38"/>
  <c r="G1945" i="38"/>
  <c r="F1945" i="38"/>
  <c r="E1945" i="38"/>
  <c r="D1945" i="38"/>
  <c r="C1945" i="38"/>
  <c r="G1944" i="38"/>
  <c r="F1944" i="38"/>
  <c r="E1944" i="38"/>
  <c r="D1944" i="38"/>
  <c r="C1944" i="38"/>
  <c r="G1943" i="38"/>
  <c r="F1943" i="38"/>
  <c r="E1943" i="38"/>
  <c r="D1943" i="38"/>
  <c r="C1943" i="38"/>
  <c r="G1942" i="38"/>
  <c r="F1942" i="38"/>
  <c r="E1942" i="38"/>
  <c r="D1942" i="38"/>
  <c r="C1942" i="38"/>
  <c r="G1941" i="38"/>
  <c r="F1941" i="38"/>
  <c r="E1941" i="38"/>
  <c r="D1941" i="38"/>
  <c r="C1941" i="38"/>
  <c r="G1940" i="38"/>
  <c r="F1940" i="38"/>
  <c r="E1940" i="38"/>
  <c r="D1940" i="38"/>
  <c r="C1940" i="38"/>
  <c r="G1939" i="38"/>
  <c r="F1939" i="38"/>
  <c r="E1939" i="38"/>
  <c r="D1939" i="38"/>
  <c r="C1939" i="38"/>
  <c r="G1938" i="38"/>
  <c r="F1938" i="38"/>
  <c r="E1938" i="38"/>
  <c r="D1938" i="38"/>
  <c r="C1938" i="38"/>
  <c r="G1937" i="38"/>
  <c r="F1937" i="38"/>
  <c r="E1937" i="38"/>
  <c r="D1937" i="38"/>
  <c r="C1937" i="38"/>
  <c r="G1936" i="38"/>
  <c r="F1936" i="38"/>
  <c r="E1936" i="38"/>
  <c r="D1936" i="38"/>
  <c r="C1936" i="38"/>
  <c r="G1935" i="38"/>
  <c r="F1935" i="38"/>
  <c r="E1935" i="38"/>
  <c r="D1935" i="38"/>
  <c r="C1935" i="38"/>
  <c r="G1934" i="38"/>
  <c r="F1934" i="38"/>
  <c r="E1934" i="38"/>
  <c r="D1934" i="38"/>
  <c r="C1934" i="38"/>
  <c r="G1933" i="38"/>
  <c r="F1933" i="38"/>
  <c r="E1933" i="38"/>
  <c r="D1933" i="38"/>
  <c r="C1933" i="38"/>
  <c r="G1932" i="38"/>
  <c r="F1932" i="38"/>
  <c r="E1932" i="38"/>
  <c r="D1932" i="38"/>
  <c r="C1932" i="38"/>
  <c r="G1931" i="38"/>
  <c r="F1931" i="38"/>
  <c r="E1931" i="38"/>
  <c r="D1931" i="38"/>
  <c r="C1931" i="38"/>
  <c r="G1930" i="38"/>
  <c r="F1930" i="38"/>
  <c r="E1930" i="38"/>
  <c r="D1930" i="38"/>
  <c r="C1930" i="38"/>
  <c r="G1929" i="38"/>
  <c r="F1929" i="38"/>
  <c r="E1929" i="38"/>
  <c r="D1929" i="38"/>
  <c r="C1929" i="38"/>
  <c r="G1928" i="38"/>
  <c r="F1928" i="38"/>
  <c r="E1928" i="38"/>
  <c r="D1928" i="38"/>
  <c r="C1928" i="38"/>
  <c r="G1927" i="38"/>
  <c r="F1927" i="38"/>
  <c r="E1927" i="38"/>
  <c r="D1927" i="38"/>
  <c r="C1927" i="38"/>
  <c r="G1926" i="38"/>
  <c r="F1926" i="38"/>
  <c r="E1926" i="38"/>
  <c r="D1926" i="38"/>
  <c r="C1926" i="38"/>
  <c r="G1925" i="38"/>
  <c r="F1925" i="38"/>
  <c r="E1925" i="38"/>
  <c r="D1925" i="38"/>
  <c r="C1925" i="38"/>
  <c r="G1924" i="38"/>
  <c r="F1924" i="38"/>
  <c r="E1924" i="38"/>
  <c r="D1924" i="38"/>
  <c r="C1924" i="38"/>
  <c r="G1923" i="38"/>
  <c r="F1923" i="38"/>
  <c r="E1923" i="38"/>
  <c r="D1923" i="38"/>
  <c r="C1923" i="38"/>
  <c r="G1922" i="38"/>
  <c r="F1922" i="38"/>
  <c r="E1922" i="38"/>
  <c r="D1922" i="38"/>
  <c r="C1922" i="38"/>
  <c r="G1921" i="38"/>
  <c r="F1921" i="38"/>
  <c r="E1921" i="38"/>
  <c r="D1921" i="38"/>
  <c r="C1921" i="38"/>
  <c r="G1920" i="38"/>
  <c r="F1920" i="38"/>
  <c r="E1920" i="38"/>
  <c r="D1920" i="38"/>
  <c r="C1920" i="38"/>
  <c r="G1919" i="38"/>
  <c r="F1919" i="38"/>
  <c r="E1919" i="38"/>
  <c r="D1919" i="38"/>
  <c r="C1919" i="38"/>
  <c r="G1918" i="38"/>
  <c r="F1918" i="38"/>
  <c r="E1918" i="38"/>
  <c r="D1918" i="38"/>
  <c r="C1918" i="38"/>
  <c r="G1917" i="38"/>
  <c r="F1917" i="38"/>
  <c r="E1917" i="38"/>
  <c r="D1917" i="38"/>
  <c r="C1917" i="38"/>
  <c r="G1916" i="38"/>
  <c r="F1916" i="38"/>
  <c r="E1916" i="38"/>
  <c r="D1916" i="38"/>
  <c r="C1916" i="38"/>
  <c r="G1915" i="38"/>
  <c r="F1915" i="38"/>
  <c r="E1915" i="38"/>
  <c r="D1915" i="38"/>
  <c r="C1915" i="38"/>
  <c r="G1914" i="38"/>
  <c r="F1914" i="38"/>
  <c r="E1914" i="38"/>
  <c r="D1914" i="38"/>
  <c r="C1914" i="38"/>
  <c r="G1913" i="38"/>
  <c r="F1913" i="38"/>
  <c r="E1913" i="38"/>
  <c r="D1913" i="38"/>
  <c r="C1913" i="38"/>
  <c r="G1912" i="38"/>
  <c r="F1912" i="38"/>
  <c r="E1912" i="38"/>
  <c r="D1912" i="38"/>
  <c r="C1912" i="38"/>
  <c r="G1911" i="38"/>
  <c r="F1911" i="38"/>
  <c r="E1911" i="38"/>
  <c r="D1911" i="38"/>
  <c r="C1911" i="38"/>
  <c r="G1910" i="38"/>
  <c r="F1910" i="38"/>
  <c r="E1910" i="38"/>
  <c r="D1910" i="38"/>
  <c r="C1910" i="38"/>
  <c r="G1909" i="38"/>
  <c r="F1909" i="38"/>
  <c r="E1909" i="38"/>
  <c r="D1909" i="38"/>
  <c r="C1909" i="38"/>
  <c r="G1908" i="38"/>
  <c r="F1908" i="38"/>
  <c r="E1908" i="38"/>
  <c r="D1908" i="38"/>
  <c r="C1908" i="38"/>
  <c r="G1907" i="38"/>
  <c r="F1907" i="38"/>
  <c r="E1907" i="38"/>
  <c r="D1907" i="38"/>
  <c r="C1907" i="38"/>
  <c r="G1906" i="38"/>
  <c r="F1906" i="38"/>
  <c r="E1906" i="38"/>
  <c r="D1906" i="38"/>
  <c r="C1906" i="38"/>
  <c r="G1905" i="38"/>
  <c r="F1905" i="38"/>
  <c r="E1905" i="38"/>
  <c r="D1905" i="38"/>
  <c r="C1905" i="38"/>
  <c r="G1904" i="38"/>
  <c r="F1904" i="38"/>
  <c r="E1904" i="38"/>
  <c r="D1904" i="38"/>
  <c r="C1904" i="38"/>
  <c r="G1903" i="38"/>
  <c r="F1903" i="38"/>
  <c r="E1903" i="38"/>
  <c r="D1903" i="38"/>
  <c r="C1903" i="38"/>
  <c r="G1902" i="38"/>
  <c r="F1902" i="38"/>
  <c r="E1902" i="38"/>
  <c r="D1902" i="38"/>
  <c r="C1902" i="38"/>
  <c r="G1901" i="38"/>
  <c r="F1901" i="38"/>
  <c r="E1901" i="38"/>
  <c r="D1901" i="38"/>
  <c r="C1901" i="38"/>
  <c r="G1900" i="38"/>
  <c r="F1900" i="38"/>
  <c r="E1900" i="38"/>
  <c r="D1900" i="38"/>
  <c r="C1900" i="38"/>
  <c r="G1899" i="38"/>
  <c r="F1899" i="38"/>
  <c r="E1899" i="38"/>
  <c r="D1899" i="38"/>
  <c r="C1899" i="38"/>
  <c r="G1898" i="38"/>
  <c r="F1898" i="38"/>
  <c r="E1898" i="38"/>
  <c r="D1898" i="38"/>
  <c r="C1898" i="38"/>
  <c r="G1897" i="38"/>
  <c r="F1897" i="38"/>
  <c r="E1897" i="38"/>
  <c r="D1897" i="38"/>
  <c r="C1897" i="38"/>
  <c r="G1896" i="38"/>
  <c r="F1896" i="38"/>
  <c r="E1896" i="38"/>
  <c r="D1896" i="38"/>
  <c r="C1896" i="38"/>
  <c r="G1895" i="38"/>
  <c r="F1895" i="38"/>
  <c r="E1895" i="38"/>
  <c r="D1895" i="38"/>
  <c r="C1895" i="38"/>
  <c r="G1894" i="38"/>
  <c r="F1894" i="38"/>
  <c r="E1894" i="38"/>
  <c r="D1894" i="38"/>
  <c r="C1894" i="38"/>
  <c r="G1893" i="38"/>
  <c r="F1893" i="38"/>
  <c r="E1893" i="38"/>
  <c r="D1893" i="38"/>
  <c r="C1893" i="38"/>
  <c r="G1892" i="38"/>
  <c r="F1892" i="38"/>
  <c r="E1892" i="38"/>
  <c r="D1892" i="38"/>
  <c r="C1892" i="38"/>
  <c r="G1891" i="38"/>
  <c r="F1891" i="38"/>
  <c r="E1891" i="38"/>
  <c r="D1891" i="38"/>
  <c r="C1891" i="38"/>
  <c r="G1890" i="38"/>
  <c r="F1890" i="38"/>
  <c r="E1890" i="38"/>
  <c r="D1890" i="38"/>
  <c r="C1890" i="38"/>
  <c r="G1889" i="38"/>
  <c r="F1889" i="38"/>
  <c r="E1889" i="38"/>
  <c r="D1889" i="38"/>
  <c r="C1889" i="38"/>
  <c r="G1888" i="38"/>
  <c r="F1888" i="38"/>
  <c r="E1888" i="38"/>
  <c r="D1888" i="38"/>
  <c r="C1888" i="38"/>
  <c r="G1887" i="38"/>
  <c r="F1887" i="38"/>
  <c r="E1887" i="38"/>
  <c r="D1887" i="38"/>
  <c r="C1887" i="38"/>
  <c r="G1886" i="38"/>
  <c r="F1886" i="38"/>
  <c r="E1886" i="38"/>
  <c r="D1886" i="38"/>
  <c r="C1886" i="38"/>
  <c r="G1885" i="38"/>
  <c r="F1885" i="38"/>
  <c r="E1885" i="38"/>
  <c r="D1885" i="38"/>
  <c r="C1885" i="38"/>
  <c r="G1884" i="38"/>
  <c r="F1884" i="38"/>
  <c r="E1884" i="38"/>
  <c r="D1884" i="38"/>
  <c r="C1884" i="38"/>
  <c r="G1883" i="38"/>
  <c r="F1883" i="38"/>
  <c r="E1883" i="38"/>
  <c r="D1883" i="38"/>
  <c r="C1883" i="38"/>
  <c r="G1882" i="38"/>
  <c r="F1882" i="38"/>
  <c r="E1882" i="38"/>
  <c r="D1882" i="38"/>
  <c r="C1882" i="38"/>
  <c r="G1881" i="38"/>
  <c r="F1881" i="38"/>
  <c r="E1881" i="38"/>
  <c r="D1881" i="38"/>
  <c r="C1881" i="38"/>
  <c r="G1880" i="38"/>
  <c r="F1880" i="38"/>
  <c r="E1880" i="38"/>
  <c r="D1880" i="38"/>
  <c r="C1880" i="38"/>
  <c r="G1879" i="38"/>
  <c r="F1879" i="38"/>
  <c r="E1879" i="38"/>
  <c r="D1879" i="38"/>
  <c r="C1879" i="38"/>
  <c r="G1878" i="38"/>
  <c r="F1878" i="38"/>
  <c r="E1878" i="38"/>
  <c r="D1878" i="38"/>
  <c r="C1878" i="38"/>
  <c r="G1877" i="38"/>
  <c r="F1877" i="38"/>
  <c r="E1877" i="38"/>
  <c r="D1877" i="38"/>
  <c r="C1877" i="38"/>
  <c r="G1876" i="38"/>
  <c r="F1876" i="38"/>
  <c r="E1876" i="38"/>
  <c r="D1876" i="38"/>
  <c r="C1876" i="38"/>
  <c r="G1875" i="38"/>
  <c r="F1875" i="38"/>
  <c r="E1875" i="38"/>
  <c r="D1875" i="38"/>
  <c r="C1875" i="38"/>
  <c r="G1874" i="38"/>
  <c r="F1874" i="38"/>
  <c r="E1874" i="38"/>
  <c r="D1874" i="38"/>
  <c r="C1874" i="38"/>
  <c r="G1873" i="38"/>
  <c r="F1873" i="38"/>
  <c r="E1873" i="38"/>
  <c r="D1873" i="38"/>
  <c r="C1873" i="38"/>
  <c r="G1872" i="38"/>
  <c r="F1872" i="38"/>
  <c r="E1872" i="38"/>
  <c r="D1872" i="38"/>
  <c r="C1872" i="38"/>
  <c r="G1871" i="38"/>
  <c r="F1871" i="38"/>
  <c r="E1871" i="38"/>
  <c r="D1871" i="38"/>
  <c r="C1871" i="38"/>
  <c r="G1870" i="38"/>
  <c r="F1870" i="38"/>
  <c r="E1870" i="38"/>
  <c r="D1870" i="38"/>
  <c r="C1870" i="38"/>
  <c r="G1869" i="38"/>
  <c r="F1869" i="38"/>
  <c r="E1869" i="38"/>
  <c r="D1869" i="38"/>
  <c r="C1869" i="38"/>
  <c r="G1868" i="38"/>
  <c r="F1868" i="38"/>
  <c r="E1868" i="38"/>
  <c r="D1868" i="38"/>
  <c r="C1868" i="38"/>
  <c r="G1867" i="38"/>
  <c r="F1867" i="38"/>
  <c r="E1867" i="38"/>
  <c r="D1867" i="38"/>
  <c r="C1867" i="38"/>
  <c r="G1866" i="38"/>
  <c r="F1866" i="38"/>
  <c r="E1866" i="38"/>
  <c r="D1866" i="38"/>
  <c r="C1866" i="38"/>
  <c r="G1865" i="38"/>
  <c r="F1865" i="38"/>
  <c r="E1865" i="38"/>
  <c r="D1865" i="38"/>
  <c r="C1865" i="38"/>
  <c r="G1864" i="38"/>
  <c r="F1864" i="38"/>
  <c r="E1864" i="38"/>
  <c r="D1864" i="38"/>
  <c r="C1864" i="38"/>
  <c r="G1863" i="38"/>
  <c r="F1863" i="38"/>
  <c r="E1863" i="38"/>
  <c r="D1863" i="38"/>
  <c r="C1863" i="38"/>
  <c r="G1862" i="38"/>
  <c r="F1862" i="38"/>
  <c r="E1862" i="38"/>
  <c r="D1862" i="38"/>
  <c r="C1862" i="38"/>
  <c r="G1861" i="38"/>
  <c r="F1861" i="38"/>
  <c r="E1861" i="38"/>
  <c r="D1861" i="38"/>
  <c r="C1861" i="38"/>
  <c r="G1860" i="38"/>
  <c r="F1860" i="38"/>
  <c r="E1860" i="38"/>
  <c r="D1860" i="38"/>
  <c r="C1860" i="38"/>
  <c r="G1859" i="38"/>
  <c r="F1859" i="38"/>
  <c r="E1859" i="38"/>
  <c r="D1859" i="38"/>
  <c r="C1859" i="38"/>
  <c r="G1858" i="38"/>
  <c r="F1858" i="38"/>
  <c r="E1858" i="38"/>
  <c r="D1858" i="38"/>
  <c r="C1858" i="38"/>
  <c r="G1857" i="38"/>
  <c r="F1857" i="38"/>
  <c r="E1857" i="38"/>
  <c r="D1857" i="38"/>
  <c r="C1857" i="38"/>
  <c r="G1856" i="38"/>
  <c r="F1856" i="38"/>
  <c r="E1856" i="38"/>
  <c r="D1856" i="38"/>
  <c r="C1856" i="38"/>
  <c r="G1855" i="38"/>
  <c r="F1855" i="38"/>
  <c r="E1855" i="38"/>
  <c r="D1855" i="38"/>
  <c r="C1855" i="38"/>
  <c r="G1854" i="38"/>
  <c r="F1854" i="38"/>
  <c r="E1854" i="38"/>
  <c r="D1854" i="38"/>
  <c r="C1854" i="38"/>
  <c r="G1853" i="38"/>
  <c r="F1853" i="38"/>
  <c r="E1853" i="38"/>
  <c r="D1853" i="38"/>
  <c r="C1853" i="38"/>
  <c r="G1852" i="38"/>
  <c r="F1852" i="38"/>
  <c r="E1852" i="38"/>
  <c r="D1852" i="38"/>
  <c r="C1852" i="38"/>
  <c r="G1851" i="38"/>
  <c r="F1851" i="38"/>
  <c r="E1851" i="38"/>
  <c r="D1851" i="38"/>
  <c r="C1851" i="38"/>
  <c r="G1850" i="38"/>
  <c r="F1850" i="38"/>
  <c r="E1850" i="38"/>
  <c r="D1850" i="38"/>
  <c r="C1850" i="38"/>
  <c r="G1849" i="38"/>
  <c r="F1849" i="38"/>
  <c r="E1849" i="38"/>
  <c r="D1849" i="38"/>
  <c r="C1849" i="38"/>
  <c r="G1848" i="38"/>
  <c r="F1848" i="38"/>
  <c r="E1848" i="38"/>
  <c r="D1848" i="38"/>
  <c r="C1848" i="38"/>
  <c r="G1847" i="38"/>
  <c r="F1847" i="38"/>
  <c r="E1847" i="38"/>
  <c r="D1847" i="38"/>
  <c r="C1847" i="38"/>
  <c r="G1846" i="38"/>
  <c r="F1846" i="38"/>
  <c r="E1846" i="38"/>
  <c r="D1846" i="38"/>
  <c r="C1846" i="38"/>
  <c r="G1845" i="38"/>
  <c r="F1845" i="38"/>
  <c r="E1845" i="38"/>
  <c r="D1845" i="38"/>
  <c r="C1845" i="38"/>
  <c r="G1844" i="38"/>
  <c r="F1844" i="38"/>
  <c r="E1844" i="38"/>
  <c r="D1844" i="38"/>
  <c r="C1844" i="38"/>
  <c r="D1836" i="38"/>
  <c r="C1836" i="38"/>
  <c r="D1835" i="38"/>
  <c r="C1835" i="38"/>
  <c r="D1834" i="38"/>
  <c r="C1834" i="38"/>
  <c r="D1833" i="38"/>
  <c r="C1833" i="38"/>
  <c r="D1832" i="38"/>
  <c r="C1832" i="38"/>
  <c r="D1831" i="38"/>
  <c r="C1831" i="38"/>
  <c r="D1830" i="38"/>
  <c r="C1830" i="38"/>
  <c r="D1829" i="38"/>
  <c r="C1829" i="38"/>
  <c r="D1828" i="38"/>
  <c r="C1828" i="38"/>
  <c r="D1827" i="38"/>
  <c r="C1827" i="38"/>
  <c r="D1826" i="38"/>
  <c r="C1826" i="38"/>
  <c r="D1825" i="38"/>
  <c r="C1825" i="38"/>
  <c r="D1824" i="38"/>
  <c r="C1824" i="38"/>
  <c r="D1823" i="38"/>
  <c r="C1823" i="38"/>
  <c r="D1822" i="38"/>
  <c r="C1822" i="38"/>
  <c r="D1821" i="38"/>
  <c r="C1821" i="38"/>
  <c r="D1820" i="38"/>
  <c r="C1820" i="38"/>
  <c r="D1819" i="38"/>
  <c r="C1819" i="38"/>
  <c r="D1818" i="38"/>
  <c r="C1818" i="38"/>
  <c r="D1817" i="38"/>
  <c r="C1817" i="38"/>
  <c r="D1816" i="38"/>
  <c r="C1816" i="38"/>
  <c r="D1815" i="38"/>
  <c r="C1815" i="38"/>
  <c r="D1814" i="38"/>
  <c r="C1814" i="38"/>
  <c r="D1813" i="38"/>
  <c r="C1813" i="38"/>
  <c r="D1812" i="38"/>
  <c r="C1812" i="38"/>
  <c r="D1811" i="38"/>
  <c r="C1811" i="38"/>
  <c r="D1810" i="38"/>
  <c r="C1810" i="38"/>
  <c r="D1809" i="38"/>
  <c r="C1809" i="38"/>
  <c r="D1808" i="38"/>
  <c r="C1808" i="38"/>
  <c r="D1807" i="38"/>
  <c r="C1807" i="38"/>
  <c r="D1806" i="38"/>
  <c r="C1806" i="38"/>
  <c r="D1805" i="38"/>
  <c r="C1805" i="38"/>
  <c r="D1804" i="38"/>
  <c r="C1804" i="38"/>
  <c r="D1803" i="38"/>
  <c r="C1803" i="38"/>
  <c r="D1802" i="38"/>
  <c r="C1802" i="38"/>
  <c r="D1801" i="38"/>
  <c r="C1801" i="38"/>
  <c r="D1800" i="38"/>
  <c r="C1800" i="38"/>
  <c r="D1799" i="38"/>
  <c r="C1799" i="38"/>
  <c r="D1798" i="38"/>
  <c r="C1798" i="38"/>
  <c r="D1797" i="38"/>
  <c r="C1797" i="38"/>
  <c r="D1796" i="38"/>
  <c r="C1796" i="38"/>
  <c r="D1795" i="38"/>
  <c r="C1795" i="38"/>
  <c r="D1794" i="38"/>
  <c r="C1794" i="38"/>
  <c r="D1793" i="38"/>
  <c r="C1793" i="38"/>
  <c r="D1792" i="38"/>
  <c r="C1792" i="38"/>
  <c r="D1791" i="38"/>
  <c r="C1791" i="38"/>
  <c r="D1790" i="38"/>
  <c r="C1790" i="38"/>
  <c r="D1789" i="38"/>
  <c r="C1789" i="38"/>
  <c r="D1788" i="38"/>
  <c r="C1788" i="38"/>
  <c r="D1787" i="38"/>
  <c r="C1787" i="38"/>
  <c r="D1786" i="38"/>
  <c r="C1786" i="38"/>
  <c r="D1785" i="38"/>
  <c r="C1785" i="38"/>
  <c r="D1784" i="38"/>
  <c r="C1784" i="38"/>
  <c r="D1783" i="38"/>
  <c r="C1783" i="38"/>
  <c r="D1782" i="38"/>
  <c r="C1782" i="38"/>
  <c r="D1781" i="38"/>
  <c r="C1781" i="38"/>
  <c r="D1780" i="38"/>
  <c r="C1780" i="38"/>
  <c r="D1779" i="38"/>
  <c r="C1779" i="38"/>
  <c r="D1778" i="38"/>
  <c r="C1778" i="38"/>
  <c r="D1777" i="38"/>
  <c r="C1777" i="38"/>
  <c r="D1776" i="38"/>
  <c r="C1776" i="38"/>
  <c r="D1775" i="38"/>
  <c r="C1775" i="38"/>
  <c r="D1774" i="38"/>
  <c r="C1774" i="38"/>
  <c r="D1773" i="38"/>
  <c r="C1773" i="38"/>
  <c r="D1772" i="38"/>
  <c r="C1772" i="38"/>
  <c r="D1771" i="38"/>
  <c r="C1771" i="38"/>
  <c r="D1770" i="38"/>
  <c r="C1770" i="38"/>
  <c r="D1769" i="38"/>
  <c r="C1769" i="38"/>
  <c r="D1768" i="38"/>
  <c r="C1768" i="38"/>
  <c r="D1767" i="38"/>
  <c r="C1767" i="38"/>
  <c r="D1766" i="38"/>
  <c r="C1766" i="38"/>
  <c r="D1765" i="38"/>
  <c r="C1765" i="38"/>
  <c r="D1764" i="38"/>
  <c r="C1764" i="38"/>
  <c r="D1763" i="38"/>
  <c r="C1763" i="38"/>
  <c r="D1762" i="38"/>
  <c r="C1762" i="38"/>
  <c r="D1761" i="38"/>
  <c r="C1761" i="38"/>
  <c r="D1760" i="38"/>
  <c r="C1760" i="38"/>
  <c r="D1759" i="38"/>
  <c r="C1759" i="38"/>
  <c r="D1758" i="38"/>
  <c r="C1758" i="38"/>
  <c r="D1757" i="38"/>
  <c r="C1757" i="38"/>
  <c r="D1756" i="38"/>
  <c r="C1756" i="38"/>
  <c r="D1755" i="38"/>
  <c r="C1755" i="38"/>
  <c r="D1754" i="38"/>
  <c r="C1754" i="38"/>
  <c r="D1753" i="38"/>
  <c r="C1753" i="38"/>
  <c r="D1752" i="38"/>
  <c r="C1752" i="38"/>
  <c r="D1751" i="38"/>
  <c r="C1751" i="38"/>
  <c r="D1750" i="38"/>
  <c r="C1750" i="38"/>
  <c r="D1749" i="38"/>
  <c r="C1749" i="38"/>
  <c r="D1748" i="38"/>
  <c r="C1748" i="38"/>
  <c r="D1747" i="38"/>
  <c r="C1747" i="38"/>
  <c r="D1746" i="38"/>
  <c r="C1746" i="38"/>
  <c r="D1745" i="38"/>
  <c r="C1745" i="38"/>
  <c r="D1744" i="38"/>
  <c r="C1744" i="38"/>
  <c r="D1743" i="38"/>
  <c r="C1743" i="38"/>
  <c r="D1742" i="38"/>
  <c r="C1742" i="38"/>
  <c r="D1741" i="38"/>
  <c r="C1741" i="38"/>
  <c r="D1740" i="38"/>
  <c r="C1740" i="38"/>
  <c r="D1739" i="38"/>
  <c r="C1739" i="38"/>
  <c r="D1738" i="38"/>
  <c r="C1738" i="38"/>
  <c r="D1737" i="38"/>
  <c r="C1737" i="38"/>
  <c r="D1736" i="38"/>
  <c r="C1736" i="38"/>
  <c r="D1735" i="38"/>
  <c r="C1735" i="38"/>
  <c r="D1734" i="38"/>
  <c r="C1734" i="38"/>
  <c r="D1733" i="38"/>
  <c r="C1733" i="38"/>
  <c r="D1732" i="38"/>
  <c r="C1732" i="38"/>
  <c r="D1731" i="38"/>
  <c r="C1731" i="38"/>
  <c r="D1730" i="38"/>
  <c r="C1730" i="38"/>
  <c r="D1729" i="38"/>
  <c r="C1729" i="38"/>
  <c r="D1728" i="38"/>
  <c r="C1728" i="38"/>
  <c r="D1727" i="38"/>
  <c r="C1727" i="38"/>
  <c r="D1726" i="38"/>
  <c r="C1726" i="38"/>
  <c r="D1725" i="38"/>
  <c r="C1725" i="38"/>
  <c r="D1724" i="38"/>
  <c r="C1724" i="38"/>
  <c r="D1723" i="38"/>
  <c r="C1723" i="38"/>
  <c r="D1722" i="38"/>
  <c r="C1722" i="38"/>
  <c r="D1721" i="38"/>
  <c r="C1721" i="38"/>
  <c r="I1713" i="38"/>
  <c r="H1713" i="38"/>
  <c r="G1713" i="38"/>
  <c r="F1713" i="38"/>
  <c r="E1713" i="38"/>
  <c r="D1713" i="38"/>
  <c r="C1713" i="38"/>
  <c r="B1713" i="38"/>
  <c r="I1712" i="38"/>
  <c r="H1712" i="38"/>
  <c r="G1712" i="38"/>
  <c r="F1712" i="38"/>
  <c r="E1712" i="38"/>
  <c r="D1712" i="38"/>
  <c r="C1712" i="38"/>
  <c r="B1712" i="38"/>
  <c r="I1711" i="38"/>
  <c r="H1711" i="38"/>
  <c r="G1711" i="38"/>
  <c r="F1711" i="38"/>
  <c r="E1711" i="38"/>
  <c r="D1711" i="38"/>
  <c r="C1711" i="38"/>
  <c r="B1711" i="38"/>
  <c r="I1710" i="38"/>
  <c r="H1710" i="38"/>
  <c r="G1710" i="38"/>
  <c r="F1710" i="38"/>
  <c r="E1710" i="38"/>
  <c r="D1710" i="38"/>
  <c r="C1710" i="38"/>
  <c r="B1710" i="38"/>
  <c r="I1709" i="38"/>
  <c r="H1709" i="38"/>
  <c r="G1709" i="38"/>
  <c r="F1709" i="38"/>
  <c r="E1709" i="38"/>
  <c r="D1709" i="38"/>
  <c r="C1709" i="38"/>
  <c r="B1709" i="38"/>
  <c r="I1708" i="38"/>
  <c r="H1708" i="38"/>
  <c r="G1708" i="38"/>
  <c r="F1708" i="38"/>
  <c r="E1708" i="38"/>
  <c r="D1708" i="38"/>
  <c r="C1708" i="38"/>
  <c r="B1708" i="38"/>
  <c r="I1707" i="38"/>
  <c r="H1707" i="38"/>
  <c r="G1707" i="38"/>
  <c r="F1707" i="38"/>
  <c r="E1707" i="38"/>
  <c r="D1707" i="38"/>
  <c r="C1707" i="38"/>
  <c r="B1707" i="38"/>
  <c r="I1706" i="38"/>
  <c r="H1706" i="38"/>
  <c r="G1706" i="38"/>
  <c r="F1706" i="38"/>
  <c r="E1706" i="38"/>
  <c r="D1706" i="38"/>
  <c r="C1706" i="38"/>
  <c r="B1706" i="38"/>
  <c r="I1705" i="38"/>
  <c r="H1705" i="38"/>
  <c r="G1705" i="38"/>
  <c r="F1705" i="38"/>
  <c r="E1705" i="38"/>
  <c r="D1705" i="38"/>
  <c r="C1705" i="38"/>
  <c r="B1705" i="38"/>
  <c r="I1704" i="38"/>
  <c r="H1704" i="38"/>
  <c r="G1704" i="38"/>
  <c r="F1704" i="38"/>
  <c r="E1704" i="38"/>
  <c r="D1704" i="38"/>
  <c r="C1704" i="38"/>
  <c r="B1704" i="38"/>
  <c r="I1703" i="38"/>
  <c r="H1703" i="38"/>
  <c r="G1703" i="38"/>
  <c r="F1703" i="38"/>
  <c r="E1703" i="38"/>
  <c r="D1703" i="38"/>
  <c r="C1703" i="38"/>
  <c r="B1703" i="38"/>
  <c r="I1702" i="38"/>
  <c r="H1702" i="38"/>
  <c r="G1702" i="38"/>
  <c r="F1702" i="38"/>
  <c r="E1702" i="38"/>
  <c r="D1702" i="38"/>
  <c r="C1702" i="38"/>
  <c r="B1702" i="38"/>
  <c r="I1701" i="38"/>
  <c r="H1701" i="38"/>
  <c r="G1701" i="38"/>
  <c r="F1701" i="38"/>
  <c r="E1701" i="38"/>
  <c r="D1701" i="38"/>
  <c r="C1701" i="38"/>
  <c r="B1701" i="38"/>
  <c r="I1700" i="38"/>
  <c r="H1700" i="38"/>
  <c r="G1700" i="38"/>
  <c r="F1700" i="38"/>
  <c r="E1700" i="38"/>
  <c r="D1700" i="38"/>
  <c r="C1700" i="38"/>
  <c r="B1700" i="38"/>
  <c r="I1699" i="38"/>
  <c r="H1699" i="38"/>
  <c r="G1699" i="38"/>
  <c r="F1699" i="38"/>
  <c r="E1699" i="38"/>
  <c r="D1699" i="38"/>
  <c r="C1699" i="38"/>
  <c r="B1699" i="38"/>
  <c r="I1698" i="38"/>
  <c r="H1698" i="38"/>
  <c r="G1698" i="38"/>
  <c r="F1698" i="38"/>
  <c r="E1698" i="38"/>
  <c r="D1698" i="38"/>
  <c r="C1698" i="38"/>
  <c r="B1698" i="38"/>
  <c r="I1697" i="38"/>
  <c r="H1697" i="38"/>
  <c r="G1697" i="38"/>
  <c r="F1697" i="38"/>
  <c r="E1697" i="38"/>
  <c r="D1697" i="38"/>
  <c r="C1697" i="38"/>
  <c r="B1697" i="38"/>
  <c r="I1696" i="38"/>
  <c r="H1696" i="38"/>
  <c r="G1696" i="38"/>
  <c r="F1696" i="38"/>
  <c r="E1696" i="38"/>
  <c r="D1696" i="38"/>
  <c r="C1696" i="38"/>
  <c r="B1696" i="38"/>
  <c r="I1695" i="38"/>
  <c r="H1695" i="38"/>
  <c r="G1695" i="38"/>
  <c r="F1695" i="38"/>
  <c r="E1695" i="38"/>
  <c r="D1695" i="38"/>
  <c r="C1695" i="38"/>
  <c r="B1695" i="38"/>
  <c r="I1694" i="38"/>
  <c r="H1694" i="38"/>
  <c r="G1694" i="38"/>
  <c r="F1694" i="38"/>
  <c r="E1694" i="38"/>
  <c r="D1694" i="38"/>
  <c r="C1694" i="38"/>
  <c r="B1694" i="38"/>
  <c r="I1693" i="38"/>
  <c r="H1693" i="38"/>
  <c r="G1693" i="38"/>
  <c r="F1693" i="38"/>
  <c r="E1693" i="38"/>
  <c r="D1693" i="38"/>
  <c r="C1693" i="38"/>
  <c r="B1693" i="38"/>
  <c r="I1692" i="38"/>
  <c r="H1692" i="38"/>
  <c r="G1692" i="38"/>
  <c r="F1692" i="38"/>
  <c r="E1692" i="38"/>
  <c r="D1692" i="38"/>
  <c r="C1692" i="38"/>
  <c r="B1692" i="38"/>
  <c r="I1691" i="38"/>
  <c r="H1691" i="38"/>
  <c r="G1691" i="38"/>
  <c r="F1691" i="38"/>
  <c r="E1691" i="38"/>
  <c r="D1691" i="38"/>
  <c r="C1691" i="38"/>
  <c r="B1691" i="38"/>
  <c r="I1690" i="38"/>
  <c r="H1690" i="38"/>
  <c r="G1690" i="38"/>
  <c r="F1690" i="38"/>
  <c r="E1690" i="38"/>
  <c r="D1690" i="38"/>
  <c r="C1690" i="38"/>
  <c r="B1690" i="38"/>
  <c r="I1689" i="38"/>
  <c r="H1689" i="38"/>
  <c r="G1689" i="38"/>
  <c r="F1689" i="38"/>
  <c r="E1689" i="38"/>
  <c r="D1689" i="38"/>
  <c r="C1689" i="38"/>
  <c r="B1689" i="38"/>
  <c r="I1688" i="38"/>
  <c r="H1688" i="38"/>
  <c r="G1688" i="38"/>
  <c r="F1688" i="38"/>
  <c r="E1688" i="38"/>
  <c r="D1688" i="38"/>
  <c r="C1688" i="38"/>
  <c r="B1688" i="38"/>
  <c r="I1687" i="38"/>
  <c r="H1687" i="38"/>
  <c r="G1687" i="38"/>
  <c r="F1687" i="38"/>
  <c r="E1687" i="38"/>
  <c r="D1687" i="38"/>
  <c r="C1687" i="38"/>
  <c r="B1687" i="38"/>
  <c r="I1686" i="38"/>
  <c r="H1686" i="38"/>
  <c r="G1686" i="38"/>
  <c r="F1686" i="38"/>
  <c r="E1686" i="38"/>
  <c r="D1686" i="38"/>
  <c r="C1686" i="38"/>
  <c r="B1686" i="38"/>
  <c r="I1685" i="38"/>
  <c r="H1685" i="38"/>
  <c r="G1685" i="38"/>
  <c r="F1685" i="38"/>
  <c r="E1685" i="38"/>
  <c r="D1685" i="38"/>
  <c r="C1685" i="38"/>
  <c r="B1685" i="38"/>
  <c r="I1684" i="38"/>
  <c r="H1684" i="38"/>
  <c r="G1684" i="38"/>
  <c r="F1684" i="38"/>
  <c r="E1684" i="38"/>
  <c r="D1684" i="38"/>
  <c r="C1684" i="38"/>
  <c r="B1684" i="38"/>
  <c r="I1683" i="38"/>
  <c r="H1683" i="38"/>
  <c r="G1683" i="38"/>
  <c r="F1683" i="38"/>
  <c r="E1683" i="38"/>
  <c r="D1683" i="38"/>
  <c r="C1683" i="38"/>
  <c r="B1683" i="38"/>
  <c r="I1682" i="38"/>
  <c r="H1682" i="38"/>
  <c r="G1682" i="38"/>
  <c r="F1682" i="38"/>
  <c r="E1682" i="38"/>
  <c r="D1682" i="38"/>
  <c r="C1682" i="38"/>
  <c r="B1682" i="38"/>
  <c r="I1681" i="38"/>
  <c r="H1681" i="38"/>
  <c r="G1681" i="38"/>
  <c r="F1681" i="38"/>
  <c r="E1681" i="38"/>
  <c r="D1681" i="38"/>
  <c r="C1681" i="38"/>
  <c r="B1681" i="38"/>
  <c r="I1680" i="38"/>
  <c r="H1680" i="38"/>
  <c r="G1680" i="38"/>
  <c r="F1680" i="38"/>
  <c r="E1680" i="38"/>
  <c r="D1680" i="38"/>
  <c r="C1680" i="38"/>
  <c r="B1680" i="38"/>
  <c r="I1679" i="38"/>
  <c r="H1679" i="38"/>
  <c r="G1679" i="38"/>
  <c r="F1679" i="38"/>
  <c r="E1679" i="38"/>
  <c r="D1679" i="38"/>
  <c r="C1679" i="38"/>
  <c r="B1679" i="38"/>
  <c r="I1678" i="38"/>
  <c r="H1678" i="38"/>
  <c r="G1678" i="38"/>
  <c r="F1678" i="38"/>
  <c r="E1678" i="38"/>
  <c r="D1678" i="38"/>
  <c r="C1678" i="38"/>
  <c r="B1678" i="38"/>
  <c r="I1677" i="38"/>
  <c r="H1677" i="38"/>
  <c r="G1677" i="38"/>
  <c r="F1677" i="38"/>
  <c r="E1677" i="38"/>
  <c r="D1677" i="38"/>
  <c r="C1677" i="38"/>
  <c r="B1677" i="38"/>
  <c r="I1676" i="38"/>
  <c r="H1676" i="38"/>
  <c r="G1676" i="38"/>
  <c r="F1676" i="38"/>
  <c r="E1676" i="38"/>
  <c r="D1676" i="38"/>
  <c r="C1676" i="38"/>
  <c r="B1676" i="38"/>
  <c r="I1675" i="38"/>
  <c r="H1675" i="38"/>
  <c r="G1675" i="38"/>
  <c r="F1675" i="38"/>
  <c r="E1675" i="38"/>
  <c r="D1675" i="38"/>
  <c r="C1675" i="38"/>
  <c r="B1675" i="38"/>
  <c r="I1674" i="38"/>
  <c r="H1674" i="38"/>
  <c r="G1674" i="38"/>
  <c r="F1674" i="38"/>
  <c r="E1674" i="38"/>
  <c r="D1674" i="38"/>
  <c r="C1674" i="38"/>
  <c r="B1674" i="38"/>
  <c r="I1673" i="38"/>
  <c r="H1673" i="38"/>
  <c r="G1673" i="38"/>
  <c r="F1673" i="38"/>
  <c r="E1673" i="38"/>
  <c r="D1673" i="38"/>
  <c r="C1673" i="38"/>
  <c r="B1673" i="38"/>
  <c r="I1672" i="38"/>
  <c r="H1672" i="38"/>
  <c r="G1672" i="38"/>
  <c r="F1672" i="38"/>
  <c r="E1672" i="38"/>
  <c r="D1672" i="38"/>
  <c r="C1672" i="38"/>
  <c r="B1672" i="38"/>
  <c r="I1671" i="38"/>
  <c r="H1671" i="38"/>
  <c r="G1671" i="38"/>
  <c r="F1671" i="38"/>
  <c r="E1671" i="38"/>
  <c r="D1671" i="38"/>
  <c r="C1671" i="38"/>
  <c r="B1671" i="38"/>
  <c r="I1670" i="38"/>
  <c r="H1670" i="38"/>
  <c r="G1670" i="38"/>
  <c r="F1670" i="38"/>
  <c r="E1670" i="38"/>
  <c r="D1670" i="38"/>
  <c r="C1670" i="38"/>
  <c r="B1670" i="38"/>
  <c r="I1669" i="38"/>
  <c r="H1669" i="38"/>
  <c r="G1669" i="38"/>
  <c r="F1669" i="38"/>
  <c r="E1669" i="38"/>
  <c r="D1669" i="38"/>
  <c r="C1669" i="38"/>
  <c r="B1669" i="38"/>
  <c r="I1668" i="38"/>
  <c r="H1668" i="38"/>
  <c r="G1668" i="38"/>
  <c r="F1668" i="38"/>
  <c r="E1668" i="38"/>
  <c r="D1668" i="38"/>
  <c r="C1668" i="38"/>
  <c r="B1668" i="38"/>
  <c r="I1667" i="38"/>
  <c r="H1667" i="38"/>
  <c r="G1667" i="38"/>
  <c r="F1667" i="38"/>
  <c r="E1667" i="38"/>
  <c r="D1667" i="38"/>
  <c r="C1667" i="38"/>
  <c r="B1667" i="38"/>
  <c r="I1666" i="38"/>
  <c r="H1666" i="38"/>
  <c r="G1666" i="38"/>
  <c r="F1666" i="38"/>
  <c r="E1666" i="38"/>
  <c r="D1666" i="38"/>
  <c r="C1666" i="38"/>
  <c r="B1666" i="38"/>
  <c r="I1665" i="38"/>
  <c r="H1665" i="38"/>
  <c r="G1665" i="38"/>
  <c r="F1665" i="38"/>
  <c r="E1665" i="38"/>
  <c r="D1665" i="38"/>
  <c r="C1665" i="38"/>
  <c r="B1665" i="38"/>
  <c r="I1664" i="38"/>
  <c r="H1664" i="38"/>
  <c r="G1664" i="38"/>
  <c r="F1664" i="38"/>
  <c r="E1664" i="38"/>
  <c r="D1664" i="38"/>
  <c r="C1664" i="38"/>
  <c r="B1664" i="38"/>
  <c r="I1663" i="38"/>
  <c r="H1663" i="38"/>
  <c r="G1663" i="38"/>
  <c r="F1663" i="38"/>
  <c r="E1663" i="38"/>
  <c r="D1663" i="38"/>
  <c r="C1663" i="38"/>
  <c r="B1663" i="38"/>
  <c r="I1662" i="38"/>
  <c r="H1662" i="38"/>
  <c r="G1662" i="38"/>
  <c r="F1662" i="38"/>
  <c r="E1662" i="38"/>
  <c r="D1662" i="38"/>
  <c r="C1662" i="38"/>
  <c r="B1662" i="38"/>
  <c r="I1661" i="38"/>
  <c r="H1661" i="38"/>
  <c r="G1661" i="38"/>
  <c r="F1661" i="38"/>
  <c r="E1661" i="38"/>
  <c r="D1661" i="38"/>
  <c r="C1661" i="38"/>
  <c r="B1661" i="38"/>
  <c r="I1660" i="38"/>
  <c r="H1660" i="38"/>
  <c r="G1660" i="38"/>
  <c r="F1660" i="38"/>
  <c r="E1660" i="38"/>
  <c r="D1660" i="38"/>
  <c r="C1660" i="38"/>
  <c r="B1660" i="38"/>
  <c r="I1659" i="38"/>
  <c r="H1659" i="38"/>
  <c r="G1659" i="38"/>
  <c r="F1659" i="38"/>
  <c r="E1659" i="38"/>
  <c r="D1659" i="38"/>
  <c r="C1659" i="38"/>
  <c r="B1659" i="38"/>
  <c r="I1658" i="38"/>
  <c r="H1658" i="38"/>
  <c r="G1658" i="38"/>
  <c r="F1658" i="38"/>
  <c r="E1658" i="38"/>
  <c r="D1658" i="38"/>
  <c r="C1658" i="38"/>
  <c r="B1658" i="38"/>
  <c r="I1657" i="38"/>
  <c r="H1657" i="38"/>
  <c r="G1657" i="38"/>
  <c r="F1657" i="38"/>
  <c r="E1657" i="38"/>
  <c r="D1657" i="38"/>
  <c r="C1657" i="38"/>
  <c r="B1657" i="38"/>
  <c r="I1656" i="38"/>
  <c r="H1656" i="38"/>
  <c r="G1656" i="38"/>
  <c r="F1656" i="38"/>
  <c r="E1656" i="38"/>
  <c r="D1656" i="38"/>
  <c r="C1656" i="38"/>
  <c r="B1656" i="38"/>
  <c r="I1655" i="38"/>
  <c r="H1655" i="38"/>
  <c r="G1655" i="38"/>
  <c r="F1655" i="38"/>
  <c r="E1655" i="38"/>
  <c r="D1655" i="38"/>
  <c r="C1655" i="38"/>
  <c r="B1655" i="38"/>
  <c r="I1654" i="38"/>
  <c r="H1654" i="38"/>
  <c r="G1654" i="38"/>
  <c r="F1654" i="38"/>
  <c r="E1654" i="38"/>
  <c r="D1654" i="38"/>
  <c r="C1654" i="38"/>
  <c r="B1654" i="38"/>
  <c r="I1653" i="38"/>
  <c r="H1653" i="38"/>
  <c r="G1653" i="38"/>
  <c r="F1653" i="38"/>
  <c r="E1653" i="38"/>
  <c r="D1653" i="38"/>
  <c r="C1653" i="38"/>
  <c r="B1653" i="38"/>
  <c r="I1652" i="38"/>
  <c r="H1652" i="38"/>
  <c r="G1652" i="38"/>
  <c r="F1652" i="38"/>
  <c r="E1652" i="38"/>
  <c r="D1652" i="38"/>
  <c r="C1652" i="38"/>
  <c r="B1652" i="38"/>
  <c r="I1651" i="38"/>
  <c r="H1651" i="38"/>
  <c r="G1651" i="38"/>
  <c r="F1651" i="38"/>
  <c r="E1651" i="38"/>
  <c r="D1651" i="38"/>
  <c r="C1651" i="38"/>
  <c r="B1651" i="38"/>
  <c r="I1650" i="38"/>
  <c r="H1650" i="38"/>
  <c r="G1650" i="38"/>
  <c r="F1650" i="38"/>
  <c r="E1650" i="38"/>
  <c r="D1650" i="38"/>
  <c r="C1650" i="38"/>
  <c r="B1650" i="38"/>
  <c r="I1649" i="38"/>
  <c r="H1649" i="38"/>
  <c r="G1649" i="38"/>
  <c r="F1649" i="38"/>
  <c r="E1649" i="38"/>
  <c r="D1649" i="38"/>
  <c r="C1649" i="38"/>
  <c r="B1649" i="38"/>
  <c r="I1648" i="38"/>
  <c r="H1648" i="38"/>
  <c r="G1648" i="38"/>
  <c r="F1648" i="38"/>
  <c r="E1648" i="38"/>
  <c r="D1648" i="38"/>
  <c r="C1648" i="38"/>
  <c r="B1648" i="38"/>
  <c r="I1647" i="38"/>
  <c r="H1647" i="38"/>
  <c r="G1647" i="38"/>
  <c r="F1647" i="38"/>
  <c r="E1647" i="38"/>
  <c r="D1647" i="38"/>
  <c r="C1647" i="38"/>
  <c r="B1647" i="38"/>
  <c r="I1646" i="38"/>
  <c r="H1646" i="38"/>
  <c r="G1646" i="38"/>
  <c r="F1646" i="38"/>
  <c r="E1646" i="38"/>
  <c r="D1646" i="38"/>
  <c r="C1646" i="38"/>
  <c r="B1646" i="38"/>
  <c r="I1645" i="38"/>
  <c r="H1645" i="38"/>
  <c r="G1645" i="38"/>
  <c r="F1645" i="38"/>
  <c r="E1645" i="38"/>
  <c r="D1645" i="38"/>
  <c r="C1645" i="38"/>
  <c r="B1645" i="38"/>
  <c r="I1644" i="38"/>
  <c r="H1644" i="38"/>
  <c r="G1644" i="38"/>
  <c r="F1644" i="38"/>
  <c r="E1644" i="38"/>
  <c r="D1644" i="38"/>
  <c r="C1644" i="38"/>
  <c r="B1644" i="38"/>
  <c r="I1643" i="38"/>
  <c r="H1643" i="38"/>
  <c r="G1643" i="38"/>
  <c r="F1643" i="38"/>
  <c r="E1643" i="38"/>
  <c r="D1643" i="38"/>
  <c r="C1643" i="38"/>
  <c r="B1643" i="38"/>
  <c r="I1642" i="38"/>
  <c r="H1642" i="38"/>
  <c r="G1642" i="38"/>
  <c r="F1642" i="38"/>
  <c r="E1642" i="38"/>
  <c r="D1642" i="38"/>
  <c r="C1642" i="38"/>
  <c r="B1642" i="38"/>
  <c r="I1641" i="38"/>
  <c r="H1641" i="38"/>
  <c r="G1641" i="38"/>
  <c r="F1641" i="38"/>
  <c r="E1641" i="38"/>
  <c r="D1641" i="38"/>
  <c r="C1641" i="38"/>
  <c r="B1641" i="38"/>
  <c r="I1640" i="38"/>
  <c r="H1640" i="38"/>
  <c r="G1640" i="38"/>
  <c r="F1640" i="38"/>
  <c r="E1640" i="38"/>
  <c r="D1640" i="38"/>
  <c r="C1640" i="38"/>
  <c r="B1640" i="38"/>
  <c r="I1639" i="38"/>
  <c r="H1639" i="38"/>
  <c r="G1639" i="38"/>
  <c r="F1639" i="38"/>
  <c r="E1639" i="38"/>
  <c r="D1639" i="38"/>
  <c r="C1639" i="38"/>
  <c r="B1639" i="38"/>
  <c r="I1638" i="38"/>
  <c r="H1638" i="38"/>
  <c r="G1638" i="38"/>
  <c r="F1638" i="38"/>
  <c r="E1638" i="38"/>
  <c r="D1638" i="38"/>
  <c r="C1638" i="38"/>
  <c r="B1638" i="38"/>
  <c r="I1637" i="38"/>
  <c r="H1637" i="38"/>
  <c r="G1637" i="38"/>
  <c r="F1637" i="38"/>
  <c r="E1637" i="38"/>
  <c r="D1637" i="38"/>
  <c r="C1637" i="38"/>
  <c r="B1637" i="38"/>
  <c r="I1636" i="38"/>
  <c r="H1636" i="38"/>
  <c r="G1636" i="38"/>
  <c r="F1636" i="38"/>
  <c r="E1636" i="38"/>
  <c r="D1636" i="38"/>
  <c r="C1636" i="38"/>
  <c r="B1636" i="38"/>
  <c r="I1635" i="38"/>
  <c r="H1635" i="38"/>
  <c r="G1635" i="38"/>
  <c r="F1635" i="38"/>
  <c r="E1635" i="38"/>
  <c r="D1635" i="38"/>
  <c r="C1635" i="38"/>
  <c r="B1635" i="38"/>
  <c r="I1634" i="38"/>
  <c r="H1634" i="38"/>
  <c r="G1634" i="38"/>
  <c r="F1634" i="38"/>
  <c r="E1634" i="38"/>
  <c r="D1634" i="38"/>
  <c r="C1634" i="38"/>
  <c r="B1634" i="38"/>
  <c r="I1633" i="38"/>
  <c r="H1633" i="38"/>
  <c r="G1633" i="38"/>
  <c r="F1633" i="38"/>
  <c r="E1633" i="38"/>
  <c r="D1633" i="38"/>
  <c r="C1633" i="38"/>
  <c r="B1633" i="38"/>
  <c r="I1632" i="38"/>
  <c r="H1632" i="38"/>
  <c r="G1632" i="38"/>
  <c r="F1632" i="38"/>
  <c r="E1632" i="38"/>
  <c r="D1632" i="38"/>
  <c r="C1632" i="38"/>
  <c r="B1632" i="38"/>
  <c r="I1631" i="38"/>
  <c r="H1631" i="38"/>
  <c r="G1631" i="38"/>
  <c r="F1631" i="38"/>
  <c r="E1631" i="38"/>
  <c r="D1631" i="38"/>
  <c r="C1631" i="38"/>
  <c r="B1631" i="38"/>
  <c r="I1630" i="38"/>
  <c r="H1630" i="38"/>
  <c r="G1630" i="38"/>
  <c r="F1630" i="38"/>
  <c r="E1630" i="38"/>
  <c r="D1630" i="38"/>
  <c r="C1630" i="38"/>
  <c r="B1630" i="38"/>
  <c r="I1629" i="38"/>
  <c r="H1629" i="38"/>
  <c r="G1629" i="38"/>
  <c r="F1629" i="38"/>
  <c r="E1629" i="38"/>
  <c r="D1629" i="38"/>
  <c r="C1629" i="38"/>
  <c r="B1629" i="38"/>
  <c r="I1628" i="38"/>
  <c r="H1628" i="38"/>
  <c r="G1628" i="38"/>
  <c r="F1628" i="38"/>
  <c r="E1628" i="38"/>
  <c r="D1628" i="38"/>
  <c r="C1628" i="38"/>
  <c r="B1628" i="38"/>
  <c r="I1627" i="38"/>
  <c r="H1627" i="38"/>
  <c r="G1627" i="38"/>
  <c r="F1627" i="38"/>
  <c r="E1627" i="38"/>
  <c r="D1627" i="38"/>
  <c r="C1627" i="38"/>
  <c r="B1627" i="38"/>
  <c r="I1626" i="38"/>
  <c r="H1626" i="38"/>
  <c r="G1626" i="38"/>
  <c r="F1626" i="38"/>
  <c r="E1626" i="38"/>
  <c r="D1626" i="38"/>
  <c r="C1626" i="38"/>
  <c r="B1626" i="38"/>
  <c r="I1625" i="38"/>
  <c r="H1625" i="38"/>
  <c r="G1625" i="38"/>
  <c r="F1625" i="38"/>
  <c r="E1625" i="38"/>
  <c r="D1625" i="38"/>
  <c r="C1625" i="38"/>
  <c r="B1625" i="38"/>
  <c r="I1624" i="38"/>
  <c r="H1624" i="38"/>
  <c r="G1624" i="38"/>
  <c r="F1624" i="38"/>
  <c r="E1624" i="38"/>
  <c r="D1624" i="38"/>
  <c r="C1624" i="38"/>
  <c r="B1624" i="38"/>
  <c r="I1623" i="38"/>
  <c r="H1623" i="38"/>
  <c r="G1623" i="38"/>
  <c r="F1623" i="38"/>
  <c r="E1623" i="38"/>
  <c r="D1623" i="38"/>
  <c r="C1623" i="38"/>
  <c r="B1623" i="38"/>
  <c r="I1622" i="38"/>
  <c r="H1622" i="38"/>
  <c r="G1622" i="38"/>
  <c r="F1622" i="38"/>
  <c r="E1622" i="38"/>
  <c r="D1622" i="38"/>
  <c r="C1622" i="38"/>
  <c r="B1622" i="38"/>
  <c r="I1621" i="38"/>
  <c r="H1621" i="38"/>
  <c r="G1621" i="38"/>
  <c r="F1621" i="38"/>
  <c r="E1621" i="38"/>
  <c r="D1621" i="38"/>
  <c r="C1621" i="38"/>
  <c r="B1621" i="38"/>
  <c r="I1620" i="38"/>
  <c r="H1620" i="38"/>
  <c r="G1620" i="38"/>
  <c r="F1620" i="38"/>
  <c r="E1620" i="38"/>
  <c r="D1620" i="38"/>
  <c r="C1620" i="38"/>
  <c r="B1620" i="38"/>
  <c r="I1619" i="38"/>
  <c r="H1619" i="38"/>
  <c r="G1619" i="38"/>
  <c r="F1619" i="38"/>
  <c r="E1619" i="38"/>
  <c r="D1619" i="38"/>
  <c r="C1619" i="38"/>
  <c r="B1619" i="38"/>
  <c r="I1618" i="38"/>
  <c r="H1618" i="38"/>
  <c r="G1618" i="38"/>
  <c r="F1618" i="38"/>
  <c r="E1618" i="38"/>
  <c r="D1618" i="38"/>
  <c r="C1618" i="38"/>
  <c r="B1618" i="38"/>
  <c r="I1617" i="38"/>
  <c r="H1617" i="38"/>
  <c r="G1617" i="38"/>
  <c r="F1617" i="38"/>
  <c r="E1617" i="38"/>
  <c r="D1617" i="38"/>
  <c r="C1617" i="38"/>
  <c r="B1617" i="38"/>
  <c r="I1616" i="38"/>
  <c r="H1616" i="38"/>
  <c r="G1616" i="38"/>
  <c r="F1616" i="38"/>
  <c r="E1616" i="38"/>
  <c r="D1616" i="38"/>
  <c r="C1616" i="38"/>
  <c r="B1616" i="38"/>
  <c r="I1615" i="38"/>
  <c r="H1615" i="38"/>
  <c r="G1615" i="38"/>
  <c r="F1615" i="38"/>
  <c r="E1615" i="38"/>
  <c r="D1615" i="38"/>
  <c r="C1615" i="38"/>
  <c r="B1615" i="38"/>
  <c r="I1614" i="38"/>
  <c r="H1614" i="38"/>
  <c r="G1614" i="38"/>
  <c r="F1614" i="38"/>
  <c r="E1614" i="38"/>
  <c r="D1614" i="38"/>
  <c r="C1614" i="38"/>
  <c r="B1614" i="38"/>
  <c r="I1613" i="38"/>
  <c r="H1613" i="38"/>
  <c r="G1613" i="38"/>
  <c r="F1613" i="38"/>
  <c r="E1613" i="38"/>
  <c r="D1613" i="38"/>
  <c r="C1613" i="38"/>
  <c r="B1613" i="38"/>
  <c r="I1612" i="38"/>
  <c r="H1612" i="38"/>
  <c r="G1612" i="38"/>
  <c r="F1612" i="38"/>
  <c r="E1612" i="38"/>
  <c r="D1612" i="38"/>
  <c r="C1612" i="38"/>
  <c r="B1612" i="38"/>
  <c r="I1611" i="38"/>
  <c r="H1611" i="38"/>
  <c r="G1611" i="38"/>
  <c r="F1611" i="38"/>
  <c r="E1611" i="38"/>
  <c r="D1611" i="38"/>
  <c r="C1611" i="38"/>
  <c r="B1611" i="38"/>
  <c r="I1610" i="38"/>
  <c r="H1610" i="38"/>
  <c r="G1610" i="38"/>
  <c r="F1610" i="38"/>
  <c r="E1610" i="38"/>
  <c r="D1610" i="38"/>
  <c r="C1610" i="38"/>
  <c r="B1610" i="38"/>
  <c r="I1609" i="38"/>
  <c r="H1609" i="38"/>
  <c r="G1609" i="38"/>
  <c r="F1609" i="38"/>
  <c r="E1609" i="38"/>
  <c r="D1609" i="38"/>
  <c r="C1609" i="38"/>
  <c r="B1609" i="38"/>
  <c r="I1608" i="38"/>
  <c r="H1608" i="38"/>
  <c r="G1608" i="38"/>
  <c r="F1608" i="38"/>
  <c r="E1608" i="38"/>
  <c r="D1608" i="38"/>
  <c r="C1608" i="38"/>
  <c r="B1608" i="38"/>
  <c r="I1607" i="38"/>
  <c r="H1607" i="38"/>
  <c r="G1607" i="38"/>
  <c r="F1607" i="38"/>
  <c r="E1607" i="38"/>
  <c r="D1607" i="38"/>
  <c r="C1607" i="38"/>
  <c r="B1607" i="38"/>
  <c r="I1606" i="38"/>
  <c r="H1606" i="38"/>
  <c r="G1606" i="38"/>
  <c r="F1606" i="38"/>
  <c r="E1606" i="38"/>
  <c r="D1606" i="38"/>
  <c r="C1606" i="38"/>
  <c r="B1606" i="38"/>
  <c r="I1605" i="38"/>
  <c r="H1605" i="38"/>
  <c r="G1605" i="38"/>
  <c r="F1605" i="38"/>
  <c r="E1605" i="38"/>
  <c r="D1605" i="38"/>
  <c r="C1605" i="38"/>
  <c r="B1605" i="38"/>
  <c r="I1604" i="38"/>
  <c r="H1604" i="38"/>
  <c r="G1604" i="38"/>
  <c r="F1604" i="38"/>
  <c r="E1604" i="38"/>
  <c r="D1604" i="38"/>
  <c r="C1604" i="38"/>
  <c r="B1604" i="38"/>
  <c r="I1603" i="38"/>
  <c r="H1603" i="38"/>
  <c r="G1603" i="38"/>
  <c r="F1603" i="38"/>
  <c r="E1603" i="38"/>
  <c r="D1603" i="38"/>
  <c r="C1603" i="38"/>
  <c r="B1603" i="38"/>
  <c r="I1602" i="38"/>
  <c r="H1602" i="38"/>
  <c r="G1602" i="38"/>
  <c r="F1602" i="38"/>
  <c r="E1602" i="38"/>
  <c r="D1602" i="38"/>
  <c r="C1602" i="38"/>
  <c r="B1602" i="38"/>
  <c r="I1601" i="38"/>
  <c r="H1601" i="38"/>
  <c r="G1601" i="38"/>
  <c r="F1601" i="38"/>
  <c r="E1601" i="38"/>
  <c r="D1601" i="38"/>
  <c r="C1601" i="38"/>
  <c r="B1601" i="38"/>
  <c r="I1600" i="38"/>
  <c r="H1600" i="38"/>
  <c r="G1600" i="38"/>
  <c r="F1600" i="38"/>
  <c r="E1600" i="38"/>
  <c r="D1600" i="38"/>
  <c r="C1600" i="38"/>
  <c r="B1600" i="38"/>
  <c r="I1599" i="38"/>
  <c r="H1599" i="38"/>
  <c r="G1599" i="38"/>
  <c r="F1599" i="38"/>
  <c r="E1599" i="38"/>
  <c r="D1599" i="38"/>
  <c r="C1599" i="38"/>
  <c r="B1599" i="38"/>
  <c r="I1598" i="38"/>
  <c r="H1598" i="38"/>
  <c r="G1598" i="38"/>
  <c r="F1598" i="38"/>
  <c r="E1598" i="38"/>
  <c r="D1598" i="38"/>
  <c r="C1598" i="38"/>
  <c r="B1598" i="38"/>
  <c r="I1597" i="38"/>
  <c r="H1597" i="38"/>
  <c r="G1597" i="38"/>
  <c r="F1597" i="38"/>
  <c r="E1597" i="38"/>
  <c r="D1597" i="38"/>
  <c r="C1597" i="38"/>
  <c r="B1597" i="38"/>
  <c r="I1596" i="38"/>
  <c r="H1596" i="38"/>
  <c r="G1596" i="38"/>
  <c r="F1596" i="38"/>
  <c r="E1596" i="38"/>
  <c r="D1596" i="38"/>
  <c r="C1596" i="38"/>
  <c r="B1596" i="38"/>
  <c r="I1595" i="38"/>
  <c r="H1595" i="38"/>
  <c r="G1595" i="38"/>
  <c r="F1595" i="38"/>
  <c r="E1595" i="38"/>
  <c r="D1595" i="38"/>
  <c r="C1595" i="38"/>
  <c r="B1595" i="38"/>
  <c r="I1594" i="38"/>
  <c r="H1594" i="38"/>
  <c r="G1594" i="38"/>
  <c r="F1594" i="38"/>
  <c r="E1594" i="38"/>
  <c r="D1594" i="38"/>
  <c r="C1594" i="38"/>
  <c r="B1594" i="38"/>
  <c r="I1593" i="38"/>
  <c r="H1593" i="38"/>
  <c r="G1593" i="38"/>
  <c r="F1593" i="38"/>
  <c r="E1593" i="38"/>
  <c r="D1593" i="38"/>
  <c r="C1593" i="38"/>
  <c r="B1593" i="38"/>
  <c r="I1592" i="38"/>
  <c r="H1592" i="38"/>
  <c r="G1592" i="38"/>
  <c r="F1592" i="38"/>
  <c r="E1592" i="38"/>
  <c r="D1592" i="38"/>
  <c r="C1592" i="38"/>
  <c r="B1592" i="38"/>
  <c r="I1591" i="38"/>
  <c r="H1591" i="38"/>
  <c r="G1591" i="38"/>
  <c r="F1591" i="38"/>
  <c r="E1591" i="38"/>
  <c r="D1591" i="38"/>
  <c r="C1591" i="38"/>
  <c r="B1591" i="38"/>
  <c r="I1590" i="38"/>
  <c r="H1590" i="38"/>
  <c r="G1590" i="38"/>
  <c r="F1590" i="38"/>
  <c r="E1590" i="38"/>
  <c r="D1590" i="38"/>
  <c r="C1590" i="38"/>
  <c r="B1590" i="38"/>
  <c r="I1589" i="38"/>
  <c r="H1589" i="38"/>
  <c r="G1589" i="38"/>
  <c r="F1589" i="38"/>
  <c r="E1589" i="38"/>
  <c r="D1589" i="38"/>
  <c r="C1589" i="38"/>
  <c r="B1589" i="38"/>
  <c r="I1588" i="38"/>
  <c r="H1588" i="38"/>
  <c r="G1588" i="38"/>
  <c r="F1588" i="38"/>
  <c r="E1588" i="38"/>
  <c r="D1588" i="38"/>
  <c r="C1588" i="38"/>
  <c r="B1588" i="38"/>
  <c r="I1587" i="38"/>
  <c r="H1587" i="38"/>
  <c r="G1587" i="38"/>
  <c r="F1587" i="38"/>
  <c r="E1587" i="38"/>
  <c r="D1587" i="38"/>
  <c r="C1587" i="38"/>
  <c r="B1587" i="38"/>
  <c r="I1586" i="38"/>
  <c r="H1586" i="38"/>
  <c r="G1586" i="38"/>
  <c r="F1586" i="38"/>
  <c r="E1586" i="38"/>
  <c r="D1586" i="38"/>
  <c r="C1586" i="38"/>
  <c r="B1586" i="38"/>
  <c r="I1585" i="38"/>
  <c r="H1585" i="38"/>
  <c r="G1585" i="38"/>
  <c r="F1585" i="38"/>
  <c r="E1585" i="38"/>
  <c r="D1585" i="38"/>
  <c r="C1585" i="38"/>
  <c r="B1585" i="38"/>
  <c r="I1584" i="38"/>
  <c r="H1584" i="38"/>
  <c r="G1584" i="38"/>
  <c r="F1584" i="38"/>
  <c r="E1584" i="38"/>
  <c r="D1584" i="38"/>
  <c r="C1584" i="38"/>
  <c r="B1584" i="38"/>
  <c r="I1583" i="38"/>
  <c r="H1583" i="38"/>
  <c r="G1583" i="38"/>
  <c r="F1583" i="38"/>
  <c r="E1583" i="38"/>
  <c r="D1583" i="38"/>
  <c r="C1583" i="38"/>
  <c r="B1583" i="38"/>
  <c r="I1582" i="38"/>
  <c r="H1582" i="38"/>
  <c r="G1582" i="38"/>
  <c r="F1582" i="38"/>
  <c r="E1582" i="38"/>
  <c r="D1582" i="38"/>
  <c r="C1582" i="38"/>
  <c r="B1582" i="38"/>
  <c r="I1581" i="38"/>
  <c r="H1581" i="38"/>
  <c r="G1581" i="38"/>
  <c r="F1581" i="38"/>
  <c r="E1581" i="38"/>
  <c r="D1581" i="38"/>
  <c r="C1581" i="38"/>
  <c r="B1581" i="38"/>
  <c r="I1580" i="38"/>
  <c r="H1580" i="38"/>
  <c r="G1580" i="38"/>
  <c r="F1580" i="38"/>
  <c r="E1580" i="38"/>
  <c r="D1580" i="38"/>
  <c r="C1580" i="38"/>
  <c r="B1580" i="38"/>
  <c r="I1579" i="38"/>
  <c r="H1579" i="38"/>
  <c r="G1579" i="38"/>
  <c r="F1579" i="38"/>
  <c r="E1579" i="38"/>
  <c r="D1579" i="38"/>
  <c r="C1579" i="38"/>
  <c r="B1579" i="38"/>
  <c r="I1578" i="38"/>
  <c r="H1578" i="38"/>
  <c r="G1578" i="38"/>
  <c r="F1578" i="38"/>
  <c r="E1578" i="38"/>
  <c r="D1578" i="38"/>
  <c r="C1578" i="38"/>
  <c r="B1578" i="38"/>
  <c r="I1577" i="38"/>
  <c r="H1577" i="38"/>
  <c r="G1577" i="38"/>
  <c r="F1577" i="38"/>
  <c r="E1577" i="38"/>
  <c r="D1577" i="38"/>
  <c r="C1577" i="38"/>
  <c r="B1577" i="38"/>
  <c r="I1576" i="38"/>
  <c r="H1576" i="38"/>
  <c r="G1576" i="38"/>
  <c r="F1576" i="38"/>
  <c r="E1576" i="38"/>
  <c r="D1576" i="38"/>
  <c r="C1576" i="38"/>
  <c r="B1576" i="38"/>
  <c r="I1575" i="38"/>
  <c r="H1575" i="38"/>
  <c r="G1575" i="38"/>
  <c r="F1575" i="38"/>
  <c r="E1575" i="38"/>
  <c r="D1575" i="38"/>
  <c r="C1575" i="38"/>
  <c r="B1575" i="38"/>
  <c r="I1574" i="38"/>
  <c r="H1574" i="38"/>
  <c r="G1574" i="38"/>
  <c r="F1574" i="38"/>
  <c r="E1574" i="38"/>
  <c r="D1574" i="38"/>
  <c r="C1574" i="38"/>
  <c r="B1574" i="38"/>
  <c r="I1573" i="38"/>
  <c r="H1573" i="38"/>
  <c r="G1573" i="38"/>
  <c r="F1573" i="38"/>
  <c r="E1573" i="38"/>
  <c r="D1573" i="38"/>
  <c r="C1573" i="38"/>
  <c r="B1573" i="38"/>
  <c r="I1572" i="38"/>
  <c r="H1572" i="38"/>
  <c r="G1572" i="38"/>
  <c r="F1572" i="38"/>
  <c r="E1572" i="38"/>
  <c r="D1572" i="38"/>
  <c r="C1572" i="38"/>
  <c r="B1572" i="38"/>
  <c r="I1571" i="38"/>
  <c r="H1571" i="38"/>
  <c r="G1571" i="38"/>
  <c r="F1571" i="38"/>
  <c r="E1571" i="38"/>
  <c r="D1571" i="38"/>
  <c r="C1571" i="38"/>
  <c r="B1571" i="38"/>
  <c r="I1570" i="38"/>
  <c r="H1570" i="38"/>
  <c r="G1570" i="38"/>
  <c r="F1570" i="38"/>
  <c r="E1570" i="38"/>
  <c r="D1570" i="38"/>
  <c r="C1570" i="38"/>
  <c r="B1570" i="38"/>
  <c r="I1569" i="38"/>
  <c r="H1569" i="38"/>
  <c r="G1569" i="38"/>
  <c r="F1569" i="38"/>
  <c r="E1569" i="38"/>
  <c r="D1569" i="38"/>
  <c r="C1569" i="38"/>
  <c r="B1569" i="38"/>
  <c r="I1568" i="38"/>
  <c r="H1568" i="38"/>
  <c r="G1568" i="38"/>
  <c r="F1568" i="38"/>
  <c r="E1568" i="38"/>
  <c r="D1568" i="38"/>
  <c r="C1568" i="38"/>
  <c r="B1568" i="38"/>
  <c r="I1567" i="38"/>
  <c r="H1567" i="38"/>
  <c r="G1567" i="38"/>
  <c r="F1567" i="38"/>
  <c r="E1567" i="38"/>
  <c r="D1567" i="38"/>
  <c r="C1567" i="38"/>
  <c r="B1567" i="38"/>
  <c r="I1566" i="38"/>
  <c r="H1566" i="38"/>
  <c r="G1566" i="38"/>
  <c r="F1566" i="38"/>
  <c r="E1566" i="38"/>
  <c r="D1566" i="38"/>
  <c r="C1566" i="38"/>
  <c r="B1566" i="38"/>
  <c r="I1565" i="38"/>
  <c r="H1565" i="38"/>
  <c r="G1565" i="38"/>
  <c r="F1565" i="38"/>
  <c r="E1565" i="38"/>
  <c r="D1565" i="38"/>
  <c r="C1565" i="38"/>
  <c r="B1565" i="38"/>
  <c r="I1564" i="38"/>
  <c r="H1564" i="38"/>
  <c r="G1564" i="38"/>
  <c r="F1564" i="38"/>
  <c r="E1564" i="38"/>
  <c r="D1564" i="38"/>
  <c r="C1564" i="38"/>
  <c r="B1564" i="38"/>
  <c r="I1563" i="38"/>
  <c r="H1563" i="38"/>
  <c r="G1563" i="38"/>
  <c r="F1563" i="38"/>
  <c r="E1563" i="38"/>
  <c r="D1563" i="38"/>
  <c r="C1563" i="38"/>
  <c r="B1563" i="38"/>
  <c r="I1562" i="38"/>
  <c r="H1562" i="38"/>
  <c r="G1562" i="38"/>
  <c r="F1562" i="38"/>
  <c r="E1562" i="38"/>
  <c r="D1562" i="38"/>
  <c r="C1562" i="38"/>
  <c r="B1562" i="38"/>
  <c r="I1561" i="38"/>
  <c r="H1561" i="38"/>
  <c r="G1561" i="38"/>
  <c r="F1561" i="38"/>
  <c r="E1561" i="38"/>
  <c r="D1561" i="38"/>
  <c r="C1561" i="38"/>
  <c r="B1561" i="38"/>
  <c r="I1560" i="38"/>
  <c r="H1560" i="38"/>
  <c r="G1560" i="38"/>
  <c r="F1560" i="38"/>
  <c r="E1560" i="38"/>
  <c r="D1560" i="38"/>
  <c r="C1560" i="38"/>
  <c r="B1560" i="38"/>
  <c r="I1559" i="38"/>
  <c r="H1559" i="38"/>
  <c r="G1559" i="38"/>
  <c r="F1559" i="38"/>
  <c r="E1559" i="38"/>
  <c r="D1559" i="38"/>
  <c r="C1559" i="38"/>
  <c r="B1559" i="38"/>
  <c r="I1558" i="38"/>
  <c r="H1558" i="38"/>
  <c r="G1558" i="38"/>
  <c r="F1558" i="38"/>
  <c r="E1558" i="38"/>
  <c r="D1558" i="38"/>
  <c r="C1558" i="38"/>
  <c r="B1558" i="38"/>
  <c r="I1557" i="38"/>
  <c r="H1557" i="38"/>
  <c r="G1557" i="38"/>
  <c r="F1557" i="38"/>
  <c r="E1557" i="38"/>
  <c r="D1557" i="38"/>
  <c r="C1557" i="38"/>
  <c r="B1557" i="38"/>
  <c r="I1556" i="38"/>
  <c r="H1556" i="38"/>
  <c r="G1556" i="38"/>
  <c r="F1556" i="38"/>
  <c r="E1556" i="38"/>
  <c r="D1556" i="38"/>
  <c r="C1556" i="38"/>
  <c r="B1556" i="38"/>
  <c r="I1555" i="38"/>
  <c r="H1555" i="38"/>
  <c r="G1555" i="38"/>
  <c r="F1555" i="38"/>
  <c r="E1555" i="38"/>
  <c r="D1555" i="38"/>
  <c r="C1555" i="38"/>
  <c r="B1555" i="38"/>
  <c r="I1554" i="38"/>
  <c r="H1554" i="38"/>
  <c r="G1554" i="38"/>
  <c r="F1554" i="38"/>
  <c r="E1554" i="38"/>
  <c r="D1554" i="38"/>
  <c r="C1554" i="38"/>
  <c r="B1554" i="38"/>
  <c r="I1553" i="38"/>
  <c r="H1553" i="38"/>
  <c r="G1553" i="38"/>
  <c r="F1553" i="38"/>
  <c r="E1553" i="38"/>
  <c r="D1553" i="38"/>
  <c r="C1553" i="38"/>
  <c r="B1553" i="38"/>
  <c r="I1552" i="38"/>
  <c r="H1552" i="38"/>
  <c r="G1552" i="38"/>
  <c r="F1552" i="38"/>
  <c r="E1552" i="38"/>
  <c r="D1552" i="38"/>
  <c r="C1552" i="38"/>
  <c r="B1552" i="38"/>
  <c r="I1551" i="38"/>
  <c r="H1551" i="38"/>
  <c r="G1551" i="38"/>
  <c r="F1551" i="38"/>
  <c r="E1551" i="38"/>
  <c r="D1551" i="38"/>
  <c r="C1551" i="38"/>
  <c r="B1551" i="38"/>
  <c r="I1550" i="38"/>
  <c r="H1550" i="38"/>
  <c r="G1550" i="38"/>
  <c r="F1550" i="38"/>
  <c r="E1550" i="38"/>
  <c r="D1550" i="38"/>
  <c r="C1550" i="38"/>
  <c r="B1550" i="38"/>
  <c r="I1549" i="38"/>
  <c r="H1549" i="38"/>
  <c r="G1549" i="38"/>
  <c r="F1549" i="38"/>
  <c r="E1549" i="38"/>
  <c r="D1549" i="38"/>
  <c r="C1549" i="38"/>
  <c r="B1549" i="38"/>
  <c r="I1548" i="38"/>
  <c r="H1548" i="38"/>
  <c r="G1548" i="38"/>
  <c r="F1548" i="38"/>
  <c r="E1548" i="38"/>
  <c r="D1548" i="38"/>
  <c r="C1548" i="38"/>
  <c r="B1548" i="38"/>
  <c r="I1547" i="38"/>
  <c r="H1547" i="38"/>
  <c r="G1547" i="38"/>
  <c r="F1547" i="38"/>
  <c r="E1547" i="38"/>
  <c r="D1547" i="38"/>
  <c r="C1547" i="38"/>
  <c r="B1547" i="38"/>
  <c r="I1546" i="38"/>
  <c r="H1546" i="38"/>
  <c r="G1546" i="38"/>
  <c r="F1546" i="38"/>
  <c r="E1546" i="38"/>
  <c r="D1546" i="38"/>
  <c r="C1546" i="38"/>
  <c r="B1546" i="38"/>
  <c r="I1545" i="38"/>
  <c r="H1545" i="38"/>
  <c r="G1545" i="38"/>
  <c r="F1545" i="38"/>
  <c r="E1545" i="38"/>
  <c r="D1545" i="38"/>
  <c r="C1545" i="38"/>
  <c r="B1545" i="38"/>
  <c r="I1544" i="38"/>
  <c r="H1544" i="38"/>
  <c r="G1544" i="38"/>
  <c r="F1544" i="38"/>
  <c r="E1544" i="38"/>
  <c r="D1544" i="38"/>
  <c r="C1544" i="38"/>
  <c r="B1544" i="38"/>
  <c r="I1543" i="38"/>
  <c r="H1543" i="38"/>
  <c r="G1543" i="38"/>
  <c r="F1543" i="38"/>
  <c r="E1543" i="38"/>
  <c r="D1543" i="38"/>
  <c r="C1543" i="38"/>
  <c r="B1543" i="38"/>
  <c r="I1542" i="38"/>
  <c r="H1542" i="38"/>
  <c r="G1542" i="38"/>
  <c r="F1542" i="38"/>
  <c r="E1542" i="38"/>
  <c r="D1542" i="38"/>
  <c r="C1542" i="38"/>
  <c r="B1542" i="38"/>
  <c r="I1541" i="38"/>
  <c r="H1541" i="38"/>
  <c r="G1541" i="38"/>
  <c r="F1541" i="38"/>
  <c r="E1541" i="38"/>
  <c r="D1541" i="38"/>
  <c r="C1541" i="38"/>
  <c r="B1541" i="38"/>
  <c r="I1540" i="38"/>
  <c r="H1540" i="38"/>
  <c r="G1540" i="38"/>
  <c r="F1540" i="38"/>
  <c r="E1540" i="38"/>
  <c r="D1540" i="38"/>
  <c r="C1540" i="38"/>
  <c r="B1540" i="38"/>
  <c r="I1539" i="38"/>
  <c r="H1539" i="38"/>
  <c r="G1539" i="38"/>
  <c r="F1539" i="38"/>
  <c r="E1539" i="38"/>
  <c r="D1539" i="38"/>
  <c r="C1539" i="38"/>
  <c r="B1539" i="38"/>
  <c r="I1538" i="38"/>
  <c r="H1538" i="38"/>
  <c r="G1538" i="38"/>
  <c r="F1538" i="38"/>
  <c r="E1538" i="38"/>
  <c r="D1538" i="38"/>
  <c r="C1538" i="38"/>
  <c r="B1538" i="38"/>
  <c r="I1537" i="38"/>
  <c r="H1537" i="38"/>
  <c r="G1537" i="38"/>
  <c r="F1537" i="38"/>
  <c r="E1537" i="38"/>
  <c r="D1537" i="38"/>
  <c r="C1537" i="38"/>
  <c r="B1537" i="38"/>
  <c r="I1536" i="38"/>
  <c r="H1536" i="38"/>
  <c r="G1536" i="38"/>
  <c r="F1536" i="38"/>
  <c r="E1536" i="38"/>
  <c r="D1536" i="38"/>
  <c r="C1536" i="38"/>
  <c r="B1536" i="38"/>
  <c r="I1535" i="38"/>
  <c r="H1535" i="38"/>
  <c r="G1535" i="38"/>
  <c r="F1535" i="38"/>
  <c r="E1535" i="38"/>
  <c r="D1535" i="38"/>
  <c r="C1535" i="38"/>
  <c r="B1535" i="38"/>
  <c r="I1534" i="38"/>
  <c r="H1534" i="38"/>
  <c r="G1534" i="38"/>
  <c r="F1534" i="38"/>
  <c r="E1534" i="38"/>
  <c r="D1534" i="38"/>
  <c r="C1534" i="38"/>
  <c r="B1534" i="38"/>
  <c r="I1533" i="38"/>
  <c r="H1533" i="38"/>
  <c r="G1533" i="38"/>
  <c r="F1533" i="38"/>
  <c r="E1533" i="38"/>
  <c r="D1533" i="38"/>
  <c r="C1533" i="38"/>
  <c r="B1533" i="38"/>
  <c r="I1532" i="38"/>
  <c r="H1532" i="38"/>
  <c r="G1532" i="38"/>
  <c r="F1532" i="38"/>
  <c r="E1532" i="38"/>
  <c r="D1532" i="38"/>
  <c r="C1532" i="38"/>
  <c r="B1532" i="38"/>
  <c r="I1531" i="38"/>
  <c r="H1531" i="38"/>
  <c r="G1531" i="38"/>
  <c r="F1531" i="38"/>
  <c r="E1531" i="38"/>
  <c r="D1531" i="38"/>
  <c r="C1531" i="38"/>
  <c r="B1531" i="38"/>
  <c r="I1530" i="38"/>
  <c r="H1530" i="38"/>
  <c r="G1530" i="38"/>
  <c r="F1530" i="38"/>
  <c r="E1530" i="38"/>
  <c r="D1530" i="38"/>
  <c r="C1530" i="38"/>
  <c r="B1530" i="38"/>
  <c r="I1529" i="38"/>
  <c r="H1529" i="38"/>
  <c r="G1529" i="38"/>
  <c r="F1529" i="38"/>
  <c r="E1529" i="38"/>
  <c r="D1529" i="38"/>
  <c r="C1529" i="38"/>
  <c r="B1529" i="38"/>
  <c r="I1528" i="38"/>
  <c r="H1528" i="38"/>
  <c r="G1528" i="38"/>
  <c r="F1528" i="38"/>
  <c r="E1528" i="38"/>
  <c r="D1528" i="38"/>
  <c r="C1528" i="38"/>
  <c r="B1528" i="38"/>
  <c r="I1527" i="38"/>
  <c r="H1527" i="38"/>
  <c r="G1527" i="38"/>
  <c r="F1527" i="38"/>
  <c r="E1527" i="38"/>
  <c r="D1527" i="38"/>
  <c r="C1527" i="38"/>
  <c r="B1527" i="38"/>
  <c r="I1526" i="38"/>
  <c r="H1526" i="38"/>
  <c r="G1526" i="38"/>
  <c r="F1526" i="38"/>
  <c r="E1526" i="38"/>
  <c r="D1526" i="38"/>
  <c r="C1526" i="38"/>
  <c r="B1526" i="38"/>
  <c r="I1525" i="38"/>
  <c r="H1525" i="38"/>
  <c r="G1525" i="38"/>
  <c r="F1525" i="38"/>
  <c r="E1525" i="38"/>
  <c r="D1525" i="38"/>
  <c r="C1525" i="38"/>
  <c r="B1525" i="38"/>
  <c r="I1524" i="38"/>
  <c r="H1524" i="38"/>
  <c r="G1524" i="38"/>
  <c r="F1524" i="38"/>
  <c r="E1524" i="38"/>
  <c r="D1524" i="38"/>
  <c r="C1524" i="38"/>
  <c r="B1524" i="38"/>
  <c r="I1523" i="38"/>
  <c r="H1523" i="38"/>
  <c r="G1523" i="38"/>
  <c r="F1523" i="38"/>
  <c r="E1523" i="38"/>
  <c r="D1523" i="38"/>
  <c r="C1523" i="38"/>
  <c r="B1523" i="38"/>
  <c r="I1522" i="38"/>
  <c r="H1522" i="38"/>
  <c r="G1522" i="38"/>
  <c r="F1522" i="38"/>
  <c r="E1522" i="38"/>
  <c r="D1522" i="38"/>
  <c r="C1522" i="38"/>
  <c r="B1522" i="38"/>
  <c r="I1521" i="38"/>
  <c r="H1521" i="38"/>
  <c r="G1521" i="38"/>
  <c r="F1521" i="38"/>
  <c r="E1521" i="38"/>
  <c r="D1521" i="38"/>
  <c r="C1521" i="38"/>
  <c r="B1521" i="38"/>
  <c r="I1520" i="38"/>
  <c r="H1520" i="38"/>
  <c r="G1520" i="38"/>
  <c r="F1520" i="38"/>
  <c r="E1520" i="38"/>
  <c r="D1520" i="38"/>
  <c r="C1520" i="38"/>
  <c r="B1520" i="38"/>
  <c r="I1519" i="38"/>
  <c r="H1519" i="38"/>
  <c r="G1519" i="38"/>
  <c r="F1519" i="38"/>
  <c r="E1519" i="38"/>
  <c r="D1519" i="38"/>
  <c r="C1519" i="38"/>
  <c r="B1519" i="38"/>
  <c r="I1518" i="38"/>
  <c r="H1518" i="38"/>
  <c r="G1518" i="38"/>
  <c r="F1518" i="38"/>
  <c r="E1518" i="38"/>
  <c r="D1518" i="38"/>
  <c r="C1518" i="38"/>
  <c r="B1518" i="38"/>
  <c r="I1517" i="38"/>
  <c r="H1517" i="38"/>
  <c r="G1517" i="38"/>
  <c r="F1517" i="38"/>
  <c r="E1517" i="38"/>
  <c r="D1517" i="38"/>
  <c r="C1517" i="38"/>
  <c r="B1517" i="38"/>
  <c r="I1516" i="38"/>
  <c r="H1516" i="38"/>
  <c r="G1516" i="38"/>
  <c r="F1516" i="38"/>
  <c r="E1516" i="38"/>
  <c r="D1516" i="38"/>
  <c r="C1516" i="38"/>
  <c r="B1516" i="38"/>
  <c r="I1515" i="38"/>
  <c r="H1515" i="38"/>
  <c r="G1515" i="38"/>
  <c r="F1515" i="38"/>
  <c r="E1515" i="38"/>
  <c r="D1515" i="38"/>
  <c r="C1515" i="38"/>
  <c r="B1515" i="38"/>
  <c r="I1514" i="38"/>
  <c r="H1514" i="38"/>
  <c r="G1514" i="38"/>
  <c r="F1514" i="38"/>
  <c r="E1514" i="38"/>
  <c r="D1514" i="38"/>
  <c r="C1514" i="38"/>
  <c r="B1514" i="38"/>
  <c r="I1513" i="38"/>
  <c r="H1513" i="38"/>
  <c r="G1513" i="38"/>
  <c r="F1513" i="38"/>
  <c r="E1513" i="38"/>
  <c r="D1513" i="38"/>
  <c r="C1513" i="38"/>
  <c r="B1513" i="38"/>
  <c r="I1512" i="38"/>
  <c r="H1512" i="38"/>
  <c r="G1512" i="38"/>
  <c r="F1512" i="38"/>
  <c r="E1512" i="38"/>
  <c r="D1512" i="38"/>
  <c r="C1512" i="38"/>
  <c r="B1512" i="38"/>
  <c r="I1511" i="38"/>
  <c r="H1511" i="38"/>
  <c r="G1511" i="38"/>
  <c r="F1511" i="38"/>
  <c r="E1511" i="38"/>
  <c r="D1511" i="38"/>
  <c r="C1511" i="38"/>
  <c r="B1511" i="38"/>
  <c r="I1510" i="38"/>
  <c r="H1510" i="38"/>
  <c r="G1510" i="38"/>
  <c r="F1510" i="38"/>
  <c r="E1510" i="38"/>
  <c r="D1510" i="38"/>
  <c r="C1510" i="38"/>
  <c r="B1510" i="38"/>
  <c r="I1509" i="38"/>
  <c r="H1509" i="38"/>
  <c r="G1509" i="38"/>
  <c r="F1509" i="38"/>
  <c r="E1509" i="38"/>
  <c r="D1509" i="38"/>
  <c r="C1509" i="38"/>
  <c r="B1509" i="38"/>
  <c r="I1508" i="38"/>
  <c r="H1508" i="38"/>
  <c r="G1508" i="38"/>
  <c r="F1508" i="38"/>
  <c r="E1508" i="38"/>
  <c r="D1508" i="38"/>
  <c r="C1508" i="38"/>
  <c r="B1508" i="38"/>
  <c r="I1507" i="38"/>
  <c r="H1507" i="38"/>
  <c r="G1507" i="38"/>
  <c r="F1507" i="38"/>
  <c r="E1507" i="38"/>
  <c r="D1507" i="38"/>
  <c r="C1507" i="38"/>
  <c r="B1507" i="38"/>
  <c r="I1506" i="38"/>
  <c r="H1506" i="38"/>
  <c r="G1506" i="38"/>
  <c r="F1506" i="38"/>
  <c r="E1506" i="38"/>
  <c r="D1506" i="38"/>
  <c r="C1506" i="38"/>
  <c r="B1506" i="38"/>
  <c r="I1505" i="38"/>
  <c r="H1505" i="38"/>
  <c r="G1505" i="38"/>
  <c r="F1505" i="38"/>
  <c r="E1505" i="38"/>
  <c r="D1505" i="38"/>
  <c r="C1505" i="38"/>
  <c r="B1505" i="38"/>
  <c r="I1504" i="38"/>
  <c r="H1504" i="38"/>
  <c r="G1504" i="38"/>
  <c r="F1504" i="38"/>
  <c r="E1504" i="38"/>
  <c r="D1504" i="38"/>
  <c r="C1504" i="38"/>
  <c r="B1504" i="38"/>
  <c r="I1503" i="38"/>
  <c r="H1503" i="38"/>
  <c r="G1503" i="38"/>
  <c r="F1503" i="38"/>
  <c r="E1503" i="38"/>
  <c r="D1503" i="38"/>
  <c r="C1503" i="38"/>
  <c r="B1503" i="38"/>
  <c r="I1502" i="38"/>
  <c r="H1502" i="38"/>
  <c r="G1502" i="38"/>
  <c r="F1502" i="38"/>
  <c r="E1502" i="38"/>
  <c r="D1502" i="38"/>
  <c r="C1502" i="38"/>
  <c r="B1502" i="38"/>
  <c r="I1501" i="38"/>
  <c r="H1501" i="38"/>
  <c r="G1501" i="38"/>
  <c r="F1501" i="38"/>
  <c r="E1501" i="38"/>
  <c r="D1501" i="38"/>
  <c r="C1501" i="38"/>
  <c r="B1501" i="38"/>
  <c r="I1500" i="38"/>
  <c r="H1500" i="38"/>
  <c r="G1500" i="38"/>
  <c r="F1500" i="38"/>
  <c r="E1500" i="38"/>
  <c r="D1500" i="38"/>
  <c r="C1500" i="38"/>
  <c r="B1500" i="38"/>
  <c r="I1499" i="38"/>
  <c r="H1499" i="38"/>
  <c r="G1499" i="38"/>
  <c r="F1499" i="38"/>
  <c r="E1499" i="38"/>
  <c r="D1499" i="38"/>
  <c r="C1499" i="38"/>
  <c r="B1499" i="38"/>
  <c r="I1498" i="38"/>
  <c r="H1498" i="38"/>
  <c r="G1498" i="38"/>
  <c r="F1498" i="38"/>
  <c r="E1498" i="38"/>
  <c r="D1498" i="38"/>
  <c r="C1498" i="38"/>
  <c r="B1498" i="38"/>
  <c r="I1497" i="38"/>
  <c r="H1497" i="38"/>
  <c r="G1497" i="38"/>
  <c r="F1497" i="38"/>
  <c r="E1497" i="38"/>
  <c r="D1497" i="38"/>
  <c r="C1497" i="38"/>
  <c r="B1497" i="38"/>
  <c r="I1496" i="38"/>
  <c r="H1496" i="38"/>
  <c r="G1496" i="38"/>
  <c r="F1496" i="38"/>
  <c r="E1496" i="38"/>
  <c r="D1496" i="38"/>
  <c r="C1496" i="38"/>
  <c r="B1496" i="38"/>
  <c r="I1495" i="38"/>
  <c r="H1495" i="38"/>
  <c r="G1495" i="38"/>
  <c r="F1495" i="38"/>
  <c r="E1495" i="38"/>
  <c r="D1495" i="38"/>
  <c r="C1495" i="38"/>
  <c r="B1495" i="38"/>
  <c r="I1494" i="38"/>
  <c r="H1494" i="38"/>
  <c r="G1494" i="38"/>
  <c r="F1494" i="38"/>
  <c r="E1494" i="38"/>
  <c r="D1494" i="38"/>
  <c r="C1494" i="38"/>
  <c r="B1494" i="38"/>
  <c r="I1493" i="38"/>
  <c r="H1493" i="38"/>
  <c r="G1493" i="38"/>
  <c r="F1493" i="38"/>
  <c r="E1493" i="38"/>
  <c r="D1493" i="38"/>
  <c r="C1493" i="38"/>
  <c r="B1493" i="38"/>
  <c r="I1492" i="38"/>
  <c r="H1492" i="38"/>
  <c r="G1492" i="38"/>
  <c r="F1492" i="38"/>
  <c r="E1492" i="38"/>
  <c r="D1492" i="38"/>
  <c r="C1492" i="38"/>
  <c r="B1492" i="38"/>
  <c r="I1491" i="38"/>
  <c r="H1491" i="38"/>
  <c r="G1491" i="38"/>
  <c r="F1491" i="38"/>
  <c r="E1491" i="38"/>
  <c r="D1491" i="38"/>
  <c r="C1491" i="38"/>
  <c r="B1491" i="38"/>
  <c r="I1490" i="38"/>
  <c r="H1490" i="38"/>
  <c r="G1490" i="38"/>
  <c r="F1490" i="38"/>
  <c r="E1490" i="38"/>
  <c r="D1490" i="38"/>
  <c r="C1490" i="38"/>
  <c r="B1490" i="38"/>
  <c r="I1489" i="38"/>
  <c r="H1489" i="38"/>
  <c r="G1489" i="38"/>
  <c r="F1489" i="38"/>
  <c r="E1489" i="38"/>
  <c r="D1489" i="38"/>
  <c r="C1489" i="38"/>
  <c r="B1489" i="38"/>
  <c r="I1488" i="38"/>
  <c r="H1488" i="38"/>
  <c r="G1488" i="38"/>
  <c r="F1488" i="38"/>
  <c r="E1488" i="38"/>
  <c r="D1488" i="38"/>
  <c r="C1488" i="38"/>
  <c r="B1488" i="38"/>
  <c r="I1487" i="38"/>
  <c r="H1487" i="38"/>
  <c r="G1487" i="38"/>
  <c r="F1487" i="38"/>
  <c r="E1487" i="38"/>
  <c r="D1487" i="38"/>
  <c r="C1487" i="38"/>
  <c r="B1487" i="38"/>
  <c r="I1486" i="38"/>
  <c r="H1486" i="38"/>
  <c r="G1486" i="38"/>
  <c r="F1486" i="38"/>
  <c r="E1486" i="38"/>
  <c r="D1486" i="38"/>
  <c r="C1486" i="38"/>
  <c r="B1486" i="38"/>
  <c r="I1485" i="38"/>
  <c r="H1485" i="38"/>
  <c r="G1485" i="38"/>
  <c r="F1485" i="38"/>
  <c r="E1485" i="38"/>
  <c r="D1485" i="38"/>
  <c r="C1485" i="38"/>
  <c r="B1485" i="38"/>
  <c r="I1484" i="38"/>
  <c r="H1484" i="38"/>
  <c r="G1484" i="38"/>
  <c r="F1484" i="38"/>
  <c r="E1484" i="38"/>
  <c r="D1484" i="38"/>
  <c r="C1484" i="38"/>
  <c r="B1484" i="38"/>
  <c r="I1483" i="38"/>
  <c r="H1483" i="38"/>
  <c r="G1483" i="38"/>
  <c r="F1483" i="38"/>
  <c r="E1483" i="38"/>
  <c r="D1483" i="38"/>
  <c r="C1483" i="38"/>
  <c r="B1483" i="38"/>
  <c r="I1482" i="38"/>
  <c r="H1482" i="38"/>
  <c r="G1482" i="38"/>
  <c r="F1482" i="38"/>
  <c r="E1482" i="38"/>
  <c r="D1482" i="38"/>
  <c r="C1482" i="38"/>
  <c r="B1482" i="38"/>
  <c r="I1481" i="38"/>
  <c r="H1481" i="38"/>
  <c r="G1481" i="38"/>
  <c r="F1481" i="38"/>
  <c r="E1481" i="38"/>
  <c r="D1481" i="38"/>
  <c r="C1481" i="38"/>
  <c r="B1481" i="38"/>
  <c r="I1480" i="38"/>
  <c r="H1480" i="38"/>
  <c r="G1480" i="38"/>
  <c r="F1480" i="38"/>
  <c r="E1480" i="38"/>
  <c r="D1480" i="38"/>
  <c r="C1480" i="38"/>
  <c r="B1480" i="38"/>
  <c r="I1479" i="38"/>
  <c r="H1479" i="38"/>
  <c r="G1479" i="38"/>
  <c r="F1479" i="38"/>
  <c r="E1479" i="38"/>
  <c r="D1479" i="38"/>
  <c r="C1479" i="38"/>
  <c r="B1479" i="38"/>
  <c r="I1478" i="38"/>
  <c r="H1478" i="38"/>
  <c r="G1478" i="38"/>
  <c r="F1478" i="38"/>
  <c r="E1478" i="38"/>
  <c r="D1478" i="38"/>
  <c r="C1478" i="38"/>
  <c r="B1478" i="38"/>
  <c r="I1477" i="38"/>
  <c r="H1477" i="38"/>
  <c r="G1477" i="38"/>
  <c r="F1477" i="38"/>
  <c r="E1477" i="38"/>
  <c r="D1477" i="38"/>
  <c r="C1477" i="38"/>
  <c r="B1477" i="38"/>
  <c r="I1476" i="38"/>
  <c r="H1476" i="38"/>
  <c r="G1476" i="38"/>
  <c r="F1476" i="38"/>
  <c r="E1476" i="38"/>
  <c r="D1476" i="38"/>
  <c r="C1476" i="38"/>
  <c r="B1476" i="38"/>
  <c r="I1475" i="38"/>
  <c r="H1475" i="38"/>
  <c r="G1475" i="38"/>
  <c r="F1475" i="38"/>
  <c r="E1475" i="38"/>
  <c r="D1475" i="38"/>
  <c r="C1475" i="38"/>
  <c r="B1475" i="38"/>
  <c r="I1474" i="38"/>
  <c r="H1474" i="38"/>
  <c r="G1474" i="38"/>
  <c r="F1474" i="38"/>
  <c r="E1474" i="38"/>
  <c r="D1474" i="38"/>
  <c r="C1474" i="38"/>
  <c r="B1474" i="38"/>
  <c r="I1473" i="38"/>
  <c r="H1473" i="38"/>
  <c r="G1473" i="38"/>
  <c r="F1473" i="38"/>
  <c r="E1473" i="38"/>
  <c r="D1473" i="38"/>
  <c r="C1473" i="38"/>
  <c r="B1473" i="38"/>
  <c r="I1472" i="38"/>
  <c r="H1472" i="38"/>
  <c r="G1472" i="38"/>
  <c r="F1472" i="38"/>
  <c r="E1472" i="38"/>
  <c r="D1472" i="38"/>
  <c r="C1472" i="38"/>
  <c r="B1472" i="38"/>
  <c r="I1471" i="38"/>
  <c r="H1471" i="38"/>
  <c r="G1471" i="38"/>
  <c r="F1471" i="38"/>
  <c r="E1471" i="38"/>
  <c r="D1471" i="38"/>
  <c r="C1471" i="38"/>
  <c r="B1471" i="38"/>
  <c r="I1470" i="38"/>
  <c r="H1470" i="38"/>
  <c r="G1470" i="38"/>
  <c r="F1470" i="38"/>
  <c r="E1470" i="38"/>
  <c r="D1470" i="38"/>
  <c r="C1470" i="38"/>
  <c r="B1470" i="38"/>
  <c r="I1469" i="38"/>
  <c r="H1469" i="38"/>
  <c r="G1469" i="38"/>
  <c r="F1469" i="38"/>
  <c r="E1469" i="38"/>
  <c r="D1469" i="38"/>
  <c r="C1469" i="38"/>
  <c r="B1469" i="38"/>
  <c r="I1468" i="38"/>
  <c r="H1468" i="38"/>
  <c r="G1468" i="38"/>
  <c r="F1468" i="38"/>
  <c r="E1468" i="38"/>
  <c r="D1468" i="38"/>
  <c r="C1468" i="38"/>
  <c r="B1468" i="38"/>
  <c r="I1467" i="38"/>
  <c r="H1467" i="38"/>
  <c r="G1467" i="38"/>
  <c r="F1467" i="38"/>
  <c r="E1467" i="38"/>
  <c r="D1467" i="38"/>
  <c r="C1467" i="38"/>
  <c r="B1467" i="38"/>
  <c r="I1466" i="38"/>
  <c r="H1466" i="38"/>
  <c r="G1466" i="38"/>
  <c r="F1466" i="38"/>
  <c r="E1466" i="38"/>
  <c r="D1466" i="38"/>
  <c r="C1466" i="38"/>
  <c r="B1466" i="38"/>
  <c r="I1465" i="38"/>
  <c r="H1465" i="38"/>
  <c r="G1465" i="38"/>
  <c r="F1465" i="38"/>
  <c r="E1465" i="38"/>
  <c r="D1465" i="38"/>
  <c r="C1465" i="38"/>
  <c r="B1465" i="38"/>
  <c r="I1464" i="38"/>
  <c r="H1464" i="38"/>
  <c r="G1464" i="38"/>
  <c r="F1464" i="38"/>
  <c r="E1464" i="38"/>
  <c r="D1464" i="38"/>
  <c r="C1464" i="38"/>
  <c r="B1464" i="38"/>
  <c r="I1463" i="38"/>
  <c r="H1463" i="38"/>
  <c r="G1463" i="38"/>
  <c r="F1463" i="38"/>
  <c r="E1463" i="38"/>
  <c r="D1463" i="38"/>
  <c r="C1463" i="38"/>
  <c r="B1463" i="38"/>
  <c r="I1462" i="38"/>
  <c r="H1462" i="38"/>
  <c r="G1462" i="38"/>
  <c r="F1462" i="38"/>
  <c r="E1462" i="38"/>
  <c r="D1462" i="38"/>
  <c r="C1462" i="38"/>
  <c r="B1462" i="38"/>
  <c r="I1461" i="38"/>
  <c r="H1461" i="38"/>
  <c r="G1461" i="38"/>
  <c r="F1461" i="38"/>
  <c r="E1461" i="38"/>
  <c r="D1461" i="38"/>
  <c r="C1461" i="38"/>
  <c r="B1461" i="38"/>
  <c r="I1460" i="38"/>
  <c r="H1460" i="38"/>
  <c r="G1460" i="38"/>
  <c r="F1460" i="38"/>
  <c r="E1460" i="38"/>
  <c r="D1460" i="38"/>
  <c r="C1460" i="38"/>
  <c r="B1460" i="38"/>
  <c r="I1459" i="38"/>
  <c r="H1459" i="38"/>
  <c r="G1459" i="38"/>
  <c r="F1459" i="38"/>
  <c r="E1459" i="38"/>
  <c r="D1459" i="38"/>
  <c r="C1459" i="38"/>
  <c r="B1459" i="38"/>
  <c r="I1458" i="38"/>
  <c r="H1458" i="38"/>
  <c r="G1458" i="38"/>
  <c r="F1458" i="38"/>
  <c r="E1458" i="38"/>
  <c r="D1458" i="38"/>
  <c r="C1458" i="38"/>
  <c r="B1458" i="38"/>
  <c r="I1457" i="38"/>
  <c r="H1457" i="38"/>
  <c r="G1457" i="38"/>
  <c r="F1457" i="38"/>
  <c r="E1457" i="38"/>
  <c r="D1457" i="38"/>
  <c r="C1457" i="38"/>
  <c r="B1457" i="38"/>
  <c r="I1456" i="38"/>
  <c r="H1456" i="38"/>
  <c r="G1456" i="38"/>
  <c r="F1456" i="38"/>
  <c r="E1456" i="38"/>
  <c r="D1456" i="38"/>
  <c r="C1456" i="38"/>
  <c r="B1456" i="38"/>
  <c r="I1455" i="38"/>
  <c r="H1455" i="38"/>
  <c r="G1455" i="38"/>
  <c r="F1455" i="38"/>
  <c r="E1455" i="38"/>
  <c r="D1455" i="38"/>
  <c r="C1455" i="38"/>
  <c r="B1455" i="38"/>
  <c r="I1454" i="38"/>
  <c r="H1454" i="38"/>
  <c r="G1454" i="38"/>
  <c r="F1454" i="38"/>
  <c r="E1454" i="38"/>
  <c r="D1454" i="38"/>
  <c r="C1454" i="38"/>
  <c r="B1454" i="38"/>
  <c r="I1453" i="38"/>
  <c r="H1453" i="38"/>
  <c r="G1453" i="38"/>
  <c r="F1453" i="38"/>
  <c r="E1453" i="38"/>
  <c r="D1453" i="38"/>
  <c r="C1453" i="38"/>
  <c r="B1453" i="38"/>
  <c r="I1452" i="38"/>
  <c r="H1452" i="38"/>
  <c r="G1452" i="38"/>
  <c r="F1452" i="38"/>
  <c r="E1452" i="38"/>
  <c r="D1452" i="38"/>
  <c r="C1452" i="38"/>
  <c r="B1452" i="38"/>
  <c r="I1451" i="38"/>
  <c r="H1451" i="38"/>
  <c r="G1451" i="38"/>
  <c r="F1451" i="38"/>
  <c r="E1451" i="38"/>
  <c r="D1451" i="38"/>
  <c r="C1451" i="38"/>
  <c r="B1451" i="38"/>
  <c r="I1450" i="38"/>
  <c r="H1450" i="38"/>
  <c r="G1450" i="38"/>
  <c r="F1450" i="38"/>
  <c r="E1450" i="38"/>
  <c r="D1450" i="38"/>
  <c r="C1450" i="38"/>
  <c r="B1450" i="38"/>
  <c r="I1449" i="38"/>
  <c r="H1449" i="38"/>
  <c r="G1449" i="38"/>
  <c r="F1449" i="38"/>
  <c r="E1449" i="38"/>
  <c r="D1449" i="38"/>
  <c r="C1449" i="38"/>
  <c r="B1449" i="38"/>
  <c r="I1448" i="38"/>
  <c r="H1448" i="38"/>
  <c r="G1448" i="38"/>
  <c r="F1448" i="38"/>
  <c r="E1448" i="38"/>
  <c r="D1448" i="38"/>
  <c r="C1448" i="38"/>
  <c r="B1448" i="38"/>
  <c r="I1447" i="38"/>
  <c r="H1447" i="38"/>
  <c r="G1447" i="38"/>
  <c r="F1447" i="38"/>
  <c r="E1447" i="38"/>
  <c r="D1447" i="38"/>
  <c r="C1447" i="38"/>
  <c r="B1447" i="38"/>
  <c r="I1446" i="38"/>
  <c r="H1446" i="38"/>
  <c r="G1446" i="38"/>
  <c r="F1446" i="38"/>
  <c r="E1446" i="38"/>
  <c r="D1446" i="38"/>
  <c r="C1446" i="38"/>
  <c r="B1446" i="38"/>
  <c r="I1445" i="38"/>
  <c r="H1445" i="38"/>
  <c r="G1445" i="38"/>
  <c r="F1445" i="38"/>
  <c r="E1445" i="38"/>
  <c r="D1445" i="38"/>
  <c r="C1445" i="38"/>
  <c r="B1445" i="38"/>
  <c r="I1444" i="38"/>
  <c r="H1444" i="38"/>
  <c r="G1444" i="38"/>
  <c r="F1444" i="38"/>
  <c r="E1444" i="38"/>
  <c r="D1444" i="38"/>
  <c r="C1444" i="38"/>
  <c r="B1444" i="38"/>
  <c r="I1443" i="38"/>
  <c r="H1443" i="38"/>
  <c r="G1443" i="38"/>
  <c r="F1443" i="38"/>
  <c r="E1443" i="38"/>
  <c r="D1443" i="38"/>
  <c r="C1443" i="38"/>
  <c r="B1443" i="38"/>
  <c r="I1442" i="38"/>
  <c r="H1442" i="38"/>
  <c r="G1442" i="38"/>
  <c r="F1442" i="38"/>
  <c r="E1442" i="38"/>
  <c r="D1442" i="38"/>
  <c r="C1442" i="38"/>
  <c r="B1442" i="38"/>
  <c r="I1441" i="38"/>
  <c r="H1441" i="38"/>
  <c r="G1441" i="38"/>
  <c r="F1441" i="38"/>
  <c r="E1441" i="38"/>
  <c r="D1441" i="38"/>
  <c r="C1441" i="38"/>
  <c r="B1441" i="38"/>
  <c r="I1440" i="38"/>
  <c r="H1440" i="38"/>
  <c r="G1440" i="38"/>
  <c r="F1440" i="38"/>
  <c r="E1440" i="38"/>
  <c r="D1440" i="38"/>
  <c r="C1440" i="38"/>
  <c r="B1440" i="38"/>
  <c r="I1439" i="38"/>
  <c r="H1439" i="38"/>
  <c r="G1439" i="38"/>
  <c r="F1439" i="38"/>
  <c r="E1439" i="38"/>
  <c r="D1439" i="38"/>
  <c r="C1439" i="38"/>
  <c r="B1439" i="38"/>
  <c r="I1438" i="38"/>
  <c r="H1438" i="38"/>
  <c r="G1438" i="38"/>
  <c r="F1438" i="38"/>
  <c r="E1438" i="38"/>
  <c r="D1438" i="38"/>
  <c r="C1438" i="38"/>
  <c r="B1438" i="38"/>
  <c r="I1437" i="38"/>
  <c r="H1437" i="38"/>
  <c r="G1437" i="38"/>
  <c r="F1437" i="38"/>
  <c r="E1437" i="38"/>
  <c r="D1437" i="38"/>
  <c r="C1437" i="38"/>
  <c r="B1437" i="38"/>
  <c r="I1436" i="38"/>
  <c r="H1436" i="38"/>
  <c r="G1436" i="38"/>
  <c r="F1436" i="38"/>
  <c r="E1436" i="38"/>
  <c r="D1436" i="38"/>
  <c r="C1436" i="38"/>
  <c r="B1436" i="38"/>
  <c r="I1435" i="38"/>
  <c r="H1435" i="38"/>
  <c r="G1435" i="38"/>
  <c r="F1435" i="38"/>
  <c r="E1435" i="38"/>
  <c r="D1435" i="38"/>
  <c r="C1435" i="38"/>
  <c r="B1435" i="38"/>
  <c r="I1434" i="38"/>
  <c r="H1434" i="38"/>
  <c r="G1434" i="38"/>
  <c r="F1434" i="38"/>
  <c r="E1434" i="38"/>
  <c r="D1434" i="38"/>
  <c r="C1434" i="38"/>
  <c r="B1434" i="38"/>
  <c r="I1433" i="38"/>
  <c r="H1433" i="38"/>
  <c r="G1433" i="38"/>
  <c r="F1433" i="38"/>
  <c r="E1433" i="38"/>
  <c r="D1433" i="38"/>
  <c r="C1433" i="38"/>
  <c r="B1433" i="38"/>
  <c r="I1432" i="38"/>
  <c r="H1432" i="38"/>
  <c r="G1432" i="38"/>
  <c r="F1432" i="38"/>
  <c r="E1432" i="38"/>
  <c r="D1432" i="38"/>
  <c r="C1432" i="38"/>
  <c r="B1432" i="38"/>
  <c r="I1431" i="38"/>
  <c r="H1431" i="38"/>
  <c r="G1431" i="38"/>
  <c r="F1431" i="38"/>
  <c r="E1431" i="38"/>
  <c r="D1431" i="38"/>
  <c r="C1431" i="38"/>
  <c r="B1431" i="38"/>
  <c r="I1430" i="38"/>
  <c r="H1430" i="38"/>
  <c r="G1430" i="38"/>
  <c r="F1430" i="38"/>
  <c r="E1430" i="38"/>
  <c r="D1430" i="38"/>
  <c r="C1430" i="38"/>
  <c r="B1430" i="38"/>
  <c r="I1429" i="38"/>
  <c r="H1429" i="38"/>
  <c r="G1429" i="38"/>
  <c r="F1429" i="38"/>
  <c r="E1429" i="38"/>
  <c r="D1429" i="38"/>
  <c r="C1429" i="38"/>
  <c r="B1429" i="38"/>
  <c r="I1428" i="38"/>
  <c r="H1428" i="38"/>
  <c r="G1428" i="38"/>
  <c r="F1428" i="38"/>
  <c r="E1428" i="38"/>
  <c r="D1428" i="38"/>
  <c r="C1428" i="38"/>
  <c r="B1428" i="38"/>
  <c r="I1427" i="38"/>
  <c r="H1427" i="38"/>
  <c r="G1427" i="38"/>
  <c r="F1427" i="38"/>
  <c r="E1427" i="38"/>
  <c r="D1427" i="38"/>
  <c r="C1427" i="38"/>
  <c r="B1427" i="38"/>
  <c r="I1426" i="38"/>
  <c r="H1426" i="38"/>
  <c r="G1426" i="38"/>
  <c r="F1426" i="38"/>
  <c r="E1426" i="38"/>
  <c r="D1426" i="38"/>
  <c r="C1426" i="38"/>
  <c r="B1426" i="38"/>
  <c r="I1425" i="38"/>
  <c r="H1425" i="38"/>
  <c r="G1425" i="38"/>
  <c r="F1425" i="38"/>
  <c r="E1425" i="38"/>
  <c r="D1425" i="38"/>
  <c r="C1425" i="38"/>
  <c r="B1425" i="38"/>
  <c r="I1424" i="38"/>
  <c r="H1424" i="38"/>
  <c r="G1424" i="38"/>
  <c r="F1424" i="38"/>
  <c r="E1424" i="38"/>
  <c r="D1424" i="38"/>
  <c r="C1424" i="38"/>
  <c r="B1424" i="38"/>
  <c r="I1423" i="38"/>
  <c r="H1423" i="38"/>
  <c r="G1423" i="38"/>
  <c r="F1423" i="38"/>
  <c r="E1423" i="38"/>
  <c r="D1423" i="38"/>
  <c r="C1423" i="38"/>
  <c r="B1423" i="38"/>
  <c r="I1422" i="38"/>
  <c r="H1422" i="38"/>
  <c r="G1422" i="38"/>
  <c r="F1422" i="38"/>
  <c r="E1422" i="38"/>
  <c r="D1422" i="38"/>
  <c r="C1422" i="38"/>
  <c r="B1422" i="38"/>
  <c r="I1421" i="38"/>
  <c r="H1421" i="38"/>
  <c r="G1421" i="38"/>
  <c r="F1421" i="38"/>
  <c r="E1421" i="38"/>
  <c r="D1421" i="38"/>
  <c r="C1421" i="38"/>
  <c r="B1421" i="38"/>
  <c r="I1420" i="38"/>
  <c r="H1420" i="38"/>
  <c r="G1420" i="38"/>
  <c r="F1420" i="38"/>
  <c r="E1420" i="38"/>
  <c r="D1420" i="38"/>
  <c r="C1420" i="38"/>
  <c r="B1420" i="38"/>
  <c r="I1419" i="38"/>
  <c r="H1419" i="38"/>
  <c r="G1419" i="38"/>
  <c r="F1419" i="38"/>
  <c r="E1419" i="38"/>
  <c r="D1419" i="38"/>
  <c r="C1419" i="38"/>
  <c r="B1419" i="38"/>
  <c r="I1418" i="38"/>
  <c r="H1418" i="38"/>
  <c r="G1418" i="38"/>
  <c r="F1418" i="38"/>
  <c r="E1418" i="38"/>
  <c r="D1418" i="38"/>
  <c r="C1418" i="38"/>
  <c r="B1418" i="38"/>
  <c r="I1417" i="38"/>
  <c r="H1417" i="38"/>
  <c r="G1417" i="38"/>
  <c r="F1417" i="38"/>
  <c r="E1417" i="38"/>
  <c r="D1417" i="38"/>
  <c r="C1417" i="38"/>
  <c r="B1417" i="38"/>
  <c r="I1416" i="38"/>
  <c r="H1416" i="38"/>
  <c r="G1416" i="38"/>
  <c r="F1416" i="38"/>
  <c r="E1416" i="38"/>
  <c r="D1416" i="38"/>
  <c r="C1416" i="38"/>
  <c r="B1416" i="38"/>
  <c r="I1415" i="38"/>
  <c r="H1415" i="38"/>
  <c r="G1415" i="38"/>
  <c r="F1415" i="38"/>
  <c r="E1415" i="38"/>
  <c r="D1415" i="38"/>
  <c r="C1415" i="38"/>
  <c r="B1415" i="38"/>
  <c r="I1414" i="38"/>
  <c r="H1414" i="38"/>
  <c r="G1414" i="38"/>
  <c r="F1414" i="38"/>
  <c r="E1414" i="38"/>
  <c r="D1414" i="38"/>
  <c r="C1414" i="38"/>
  <c r="B1414" i="38"/>
  <c r="I1413" i="38"/>
  <c r="H1413" i="38"/>
  <c r="G1413" i="38"/>
  <c r="F1413" i="38"/>
  <c r="E1413" i="38"/>
  <c r="D1413" i="38"/>
  <c r="C1413" i="38"/>
  <c r="B1413" i="38"/>
  <c r="I1412" i="38"/>
  <c r="H1412" i="38"/>
  <c r="G1412" i="38"/>
  <c r="F1412" i="38"/>
  <c r="E1412" i="38"/>
  <c r="D1412" i="38"/>
  <c r="C1412" i="38"/>
  <c r="B1412" i="38"/>
  <c r="I1411" i="38"/>
  <c r="H1411" i="38"/>
  <c r="G1411" i="38"/>
  <c r="F1411" i="38"/>
  <c r="E1411" i="38"/>
  <c r="D1411" i="38"/>
  <c r="C1411" i="38"/>
  <c r="B1411" i="38"/>
  <c r="I1410" i="38"/>
  <c r="H1410" i="38"/>
  <c r="G1410" i="38"/>
  <c r="F1410" i="38"/>
  <c r="E1410" i="38"/>
  <c r="D1410" i="38"/>
  <c r="C1410" i="38"/>
  <c r="B1410" i="38"/>
  <c r="I1409" i="38"/>
  <c r="H1409" i="38"/>
  <c r="G1409" i="38"/>
  <c r="F1409" i="38"/>
  <c r="E1409" i="38"/>
  <c r="D1409" i="38"/>
  <c r="C1409" i="38"/>
  <c r="B1409" i="38"/>
  <c r="I1408" i="38"/>
  <c r="H1408" i="38"/>
  <c r="G1408" i="38"/>
  <c r="F1408" i="38"/>
  <c r="E1408" i="38"/>
  <c r="D1408" i="38"/>
  <c r="C1408" i="38"/>
  <c r="B1408" i="38"/>
  <c r="I1407" i="38"/>
  <c r="H1407" i="38"/>
  <c r="G1407" i="38"/>
  <c r="F1407" i="38"/>
  <c r="E1407" i="38"/>
  <c r="D1407" i="38"/>
  <c r="C1407" i="38"/>
  <c r="B1407" i="38"/>
  <c r="I1406" i="38"/>
  <c r="H1406" i="38"/>
  <c r="G1406" i="38"/>
  <c r="F1406" i="38"/>
  <c r="E1406" i="38"/>
  <c r="D1406" i="38"/>
  <c r="C1406" i="38"/>
  <c r="B1406" i="38"/>
  <c r="I1405" i="38"/>
  <c r="H1405" i="38"/>
  <c r="G1405" i="38"/>
  <c r="F1405" i="38"/>
  <c r="E1405" i="38"/>
  <c r="D1405" i="38"/>
  <c r="C1405" i="38"/>
  <c r="B1405" i="38"/>
  <c r="I1404" i="38"/>
  <c r="H1404" i="38"/>
  <c r="G1404" i="38"/>
  <c r="F1404" i="38"/>
  <c r="E1404" i="38"/>
  <c r="D1404" i="38"/>
  <c r="C1404" i="38"/>
  <c r="B1404" i="38"/>
  <c r="I1403" i="38"/>
  <c r="H1403" i="38"/>
  <c r="G1403" i="38"/>
  <c r="F1403" i="38"/>
  <c r="E1403" i="38"/>
  <c r="D1403" i="38"/>
  <c r="C1403" i="38"/>
  <c r="B1403" i="38"/>
  <c r="I1402" i="38"/>
  <c r="H1402" i="38"/>
  <c r="G1402" i="38"/>
  <c r="F1402" i="38"/>
  <c r="E1402" i="38"/>
  <c r="D1402" i="38"/>
  <c r="C1402" i="38"/>
  <c r="B1402" i="38"/>
  <c r="I1401" i="38"/>
  <c r="H1401" i="38"/>
  <c r="G1401" i="38"/>
  <c r="F1401" i="38"/>
  <c r="E1401" i="38"/>
  <c r="D1401" i="38"/>
  <c r="C1401" i="38"/>
  <c r="B1401" i="38"/>
  <c r="I1400" i="38"/>
  <c r="H1400" i="38"/>
  <c r="G1400" i="38"/>
  <c r="F1400" i="38"/>
  <c r="E1400" i="38"/>
  <c r="D1400" i="38"/>
  <c r="C1400" i="38"/>
  <c r="B1400" i="38"/>
  <c r="I1399" i="38"/>
  <c r="H1399" i="38"/>
  <c r="G1399" i="38"/>
  <c r="F1399" i="38"/>
  <c r="E1399" i="38"/>
  <c r="D1399" i="38"/>
  <c r="C1399" i="38"/>
  <c r="B1399" i="38"/>
  <c r="I1398" i="38"/>
  <c r="H1398" i="38"/>
  <c r="G1398" i="38"/>
  <c r="F1398" i="38"/>
  <c r="E1398" i="38"/>
  <c r="D1398" i="38"/>
  <c r="C1398" i="38"/>
  <c r="B1398" i="38"/>
  <c r="I1397" i="38"/>
  <c r="H1397" i="38"/>
  <c r="G1397" i="38"/>
  <c r="F1397" i="38"/>
  <c r="E1397" i="38"/>
  <c r="D1397" i="38"/>
  <c r="C1397" i="38"/>
  <c r="B1397" i="38"/>
  <c r="I1396" i="38"/>
  <c r="H1396" i="38"/>
  <c r="G1396" i="38"/>
  <c r="F1396" i="38"/>
  <c r="E1396" i="38"/>
  <c r="D1396" i="38"/>
  <c r="C1396" i="38"/>
  <c r="B1396" i="38"/>
  <c r="I1395" i="38"/>
  <c r="H1395" i="38"/>
  <c r="G1395" i="38"/>
  <c r="F1395" i="38"/>
  <c r="E1395" i="38"/>
  <c r="D1395" i="38"/>
  <c r="C1395" i="38"/>
  <c r="B1395" i="38"/>
  <c r="I1394" i="38"/>
  <c r="H1394" i="38"/>
  <c r="G1394" i="38"/>
  <c r="F1394" i="38"/>
  <c r="E1394" i="38"/>
  <c r="D1394" i="38"/>
  <c r="C1394" i="38"/>
  <c r="B1394" i="38"/>
  <c r="I1393" i="38"/>
  <c r="H1393" i="38"/>
  <c r="G1393" i="38"/>
  <c r="F1393" i="38"/>
  <c r="E1393" i="38"/>
  <c r="D1393" i="38"/>
  <c r="C1393" i="38"/>
  <c r="B1393" i="38"/>
  <c r="I1392" i="38"/>
  <c r="H1392" i="38"/>
  <c r="G1392" i="38"/>
  <c r="F1392" i="38"/>
  <c r="E1392" i="38"/>
  <c r="D1392" i="38"/>
  <c r="C1392" i="38"/>
  <c r="B1392" i="38"/>
  <c r="I1391" i="38"/>
  <c r="H1391" i="38"/>
  <c r="G1391" i="38"/>
  <c r="F1391" i="38"/>
  <c r="E1391" i="38"/>
  <c r="D1391" i="38"/>
  <c r="C1391" i="38"/>
  <c r="B1391" i="38"/>
  <c r="I1390" i="38"/>
  <c r="H1390" i="38"/>
  <c r="G1390" i="38"/>
  <c r="F1390" i="38"/>
  <c r="E1390" i="38"/>
  <c r="D1390" i="38"/>
  <c r="C1390" i="38"/>
  <c r="B1390" i="38"/>
  <c r="I1389" i="38"/>
  <c r="H1389" i="38"/>
  <c r="G1389" i="38"/>
  <c r="F1389" i="38"/>
  <c r="E1389" i="38"/>
  <c r="D1389" i="38"/>
  <c r="C1389" i="38"/>
  <c r="B1389" i="38"/>
  <c r="I1388" i="38"/>
  <c r="H1388" i="38"/>
  <c r="G1388" i="38"/>
  <c r="F1388" i="38"/>
  <c r="E1388" i="38"/>
  <c r="D1388" i="38"/>
  <c r="C1388" i="38"/>
  <c r="B1388" i="38"/>
  <c r="I1387" i="38"/>
  <c r="H1387" i="38"/>
  <c r="G1387" i="38"/>
  <c r="F1387" i="38"/>
  <c r="E1387" i="38"/>
  <c r="D1387" i="38"/>
  <c r="C1387" i="38"/>
  <c r="B1387" i="38"/>
  <c r="I1386" i="38"/>
  <c r="H1386" i="38"/>
  <c r="G1386" i="38"/>
  <c r="F1386" i="38"/>
  <c r="E1386" i="38"/>
  <c r="D1386" i="38"/>
  <c r="C1386" i="38"/>
  <c r="B1386" i="38"/>
  <c r="I1385" i="38"/>
  <c r="H1385" i="38"/>
  <c r="G1385" i="38"/>
  <c r="F1385" i="38"/>
  <c r="E1385" i="38"/>
  <c r="D1385" i="38"/>
  <c r="C1385" i="38"/>
  <c r="B1385" i="38"/>
  <c r="I1384" i="38"/>
  <c r="H1384" i="38"/>
  <c r="G1384" i="38"/>
  <c r="F1384" i="38"/>
  <c r="E1384" i="38"/>
  <c r="D1384" i="38"/>
  <c r="C1384" i="38"/>
  <c r="B1384" i="38"/>
  <c r="I1383" i="38"/>
  <c r="H1383" i="38"/>
  <c r="G1383" i="38"/>
  <c r="F1383" i="38"/>
  <c r="E1383" i="38"/>
  <c r="D1383" i="38"/>
  <c r="C1383" i="38"/>
  <c r="B1383" i="38"/>
  <c r="I1382" i="38"/>
  <c r="H1382" i="38"/>
  <c r="G1382" i="38"/>
  <c r="F1382" i="38"/>
  <c r="E1382" i="38"/>
  <c r="D1382" i="38"/>
  <c r="C1382" i="38"/>
  <c r="B1382" i="38"/>
  <c r="I1381" i="38"/>
  <c r="H1381" i="38"/>
  <c r="G1381" i="38"/>
  <c r="F1381" i="38"/>
  <c r="E1381" i="38"/>
  <c r="D1381" i="38"/>
  <c r="C1381" i="38"/>
  <c r="B1381" i="38"/>
  <c r="I1380" i="38"/>
  <c r="H1380" i="38"/>
  <c r="G1380" i="38"/>
  <c r="F1380" i="38"/>
  <c r="E1380" i="38"/>
  <c r="D1380" i="38"/>
  <c r="C1380" i="38"/>
  <c r="B1380" i="38"/>
  <c r="I1379" i="38"/>
  <c r="H1379" i="38"/>
  <c r="G1379" i="38"/>
  <c r="F1379" i="38"/>
  <c r="E1379" i="38"/>
  <c r="D1379" i="38"/>
  <c r="C1379" i="38"/>
  <c r="B1379" i="38"/>
  <c r="I1378" i="38"/>
  <c r="H1378" i="38"/>
  <c r="G1378" i="38"/>
  <c r="F1378" i="38"/>
  <c r="E1378" i="38"/>
  <c r="D1378" i="38"/>
  <c r="C1378" i="38"/>
  <c r="B1378" i="38"/>
  <c r="I1377" i="38"/>
  <c r="H1377" i="38"/>
  <c r="G1377" i="38"/>
  <c r="F1377" i="38"/>
  <c r="E1377" i="38"/>
  <c r="D1377" i="38"/>
  <c r="C1377" i="38"/>
  <c r="B1377" i="38"/>
  <c r="I1376" i="38"/>
  <c r="H1376" i="38"/>
  <c r="G1376" i="38"/>
  <c r="F1376" i="38"/>
  <c r="E1376" i="38"/>
  <c r="D1376" i="38"/>
  <c r="C1376" i="38"/>
  <c r="B1376" i="38"/>
  <c r="I1375" i="38"/>
  <c r="H1375" i="38"/>
  <c r="G1375" i="38"/>
  <c r="F1375" i="38"/>
  <c r="E1375" i="38"/>
  <c r="D1375" i="38"/>
  <c r="C1375" i="38"/>
  <c r="B1375" i="38"/>
  <c r="I1374" i="38"/>
  <c r="H1374" i="38"/>
  <c r="G1374" i="38"/>
  <c r="F1374" i="38"/>
  <c r="E1374" i="38"/>
  <c r="D1374" i="38"/>
  <c r="C1374" i="38"/>
  <c r="B1374" i="38"/>
  <c r="I1373" i="38"/>
  <c r="H1373" i="38"/>
  <c r="G1373" i="38"/>
  <c r="F1373" i="38"/>
  <c r="E1373" i="38"/>
  <c r="D1373" i="38"/>
  <c r="C1373" i="38"/>
  <c r="B1373" i="38"/>
  <c r="I1372" i="38"/>
  <c r="H1372" i="38"/>
  <c r="G1372" i="38"/>
  <c r="F1372" i="38"/>
  <c r="E1372" i="38"/>
  <c r="D1372" i="38"/>
  <c r="C1372" i="38"/>
  <c r="B1372" i="38"/>
  <c r="I1371" i="38"/>
  <c r="H1371" i="38"/>
  <c r="G1371" i="38"/>
  <c r="F1371" i="38"/>
  <c r="E1371" i="38"/>
  <c r="D1371" i="38"/>
  <c r="C1371" i="38"/>
  <c r="B1371" i="38"/>
  <c r="I1370" i="38"/>
  <c r="H1370" i="38"/>
  <c r="G1370" i="38"/>
  <c r="F1370" i="38"/>
  <c r="E1370" i="38"/>
  <c r="D1370" i="38"/>
  <c r="C1370" i="38"/>
  <c r="B1370" i="38"/>
  <c r="I1369" i="38"/>
  <c r="H1369" i="38"/>
  <c r="G1369" i="38"/>
  <c r="F1369" i="38"/>
  <c r="E1369" i="38"/>
  <c r="D1369" i="38"/>
  <c r="C1369" i="38"/>
  <c r="B1369" i="38"/>
  <c r="I1368" i="38"/>
  <c r="H1368" i="38"/>
  <c r="G1368" i="38"/>
  <c r="F1368" i="38"/>
  <c r="E1368" i="38"/>
  <c r="D1368" i="38"/>
  <c r="C1368" i="38"/>
  <c r="B1368" i="38"/>
  <c r="I1367" i="38"/>
  <c r="H1367" i="38"/>
  <c r="G1367" i="38"/>
  <c r="F1367" i="38"/>
  <c r="E1367" i="38"/>
  <c r="D1367" i="38"/>
  <c r="C1367" i="38"/>
  <c r="B1367" i="38"/>
  <c r="I1366" i="38"/>
  <c r="H1366" i="38"/>
  <c r="G1366" i="38"/>
  <c r="F1366" i="38"/>
  <c r="E1366" i="38"/>
  <c r="D1366" i="38"/>
  <c r="C1366" i="38"/>
  <c r="B1366" i="38"/>
  <c r="I1365" i="38"/>
  <c r="H1365" i="38"/>
  <c r="G1365" i="38"/>
  <c r="F1365" i="38"/>
  <c r="E1365" i="38"/>
  <c r="D1365" i="38"/>
  <c r="C1365" i="38"/>
  <c r="B1365" i="38"/>
  <c r="I1364" i="38"/>
  <c r="H1364" i="38"/>
  <c r="G1364" i="38"/>
  <c r="F1364" i="38"/>
  <c r="E1364" i="38"/>
  <c r="D1364" i="38"/>
  <c r="C1364" i="38"/>
  <c r="B1364" i="38"/>
  <c r="I1363" i="38"/>
  <c r="H1363" i="38"/>
  <c r="G1363" i="38"/>
  <c r="F1363" i="38"/>
  <c r="E1363" i="38"/>
  <c r="D1363" i="38"/>
  <c r="C1363" i="38"/>
  <c r="B1363" i="38"/>
  <c r="I1362" i="38"/>
  <c r="H1362" i="38"/>
  <c r="G1362" i="38"/>
  <c r="F1362" i="38"/>
  <c r="E1362" i="38"/>
  <c r="D1362" i="38"/>
  <c r="C1362" i="38"/>
  <c r="B1362" i="38"/>
  <c r="I1361" i="38"/>
  <c r="H1361" i="38"/>
  <c r="G1361" i="38"/>
  <c r="F1361" i="38"/>
  <c r="E1361" i="38"/>
  <c r="D1361" i="38"/>
  <c r="C1361" i="38"/>
  <c r="B1361" i="38"/>
  <c r="I1360" i="38"/>
  <c r="H1360" i="38"/>
  <c r="G1360" i="38"/>
  <c r="F1360" i="38"/>
  <c r="E1360" i="38"/>
  <c r="D1360" i="38"/>
  <c r="C1360" i="38"/>
  <c r="B1360" i="38"/>
  <c r="I1359" i="38"/>
  <c r="H1359" i="38"/>
  <c r="G1359" i="38"/>
  <c r="F1359" i="38"/>
  <c r="E1359" i="38"/>
  <c r="D1359" i="38"/>
  <c r="C1359" i="38"/>
  <c r="B1359" i="38"/>
  <c r="I1358" i="38"/>
  <c r="H1358" i="38"/>
  <c r="G1358" i="38"/>
  <c r="F1358" i="38"/>
  <c r="E1358" i="38"/>
  <c r="D1358" i="38"/>
  <c r="C1358" i="38"/>
  <c r="B1358" i="38"/>
  <c r="I1357" i="38"/>
  <c r="H1357" i="38"/>
  <c r="G1357" i="38"/>
  <c r="F1357" i="38"/>
  <c r="E1357" i="38"/>
  <c r="D1357" i="38"/>
  <c r="C1357" i="38"/>
  <c r="B1357" i="38"/>
  <c r="I1356" i="38"/>
  <c r="H1356" i="38"/>
  <c r="G1356" i="38"/>
  <c r="F1356" i="38"/>
  <c r="E1356" i="38"/>
  <c r="D1356" i="38"/>
  <c r="C1356" i="38"/>
  <c r="B1356" i="38"/>
  <c r="I1355" i="38"/>
  <c r="H1355" i="38"/>
  <c r="G1355" i="38"/>
  <c r="F1355" i="38"/>
  <c r="E1355" i="38"/>
  <c r="D1355" i="38"/>
  <c r="C1355" i="38"/>
  <c r="B1355" i="38"/>
  <c r="I1354" i="38"/>
  <c r="H1354" i="38"/>
  <c r="G1354" i="38"/>
  <c r="F1354" i="38"/>
  <c r="E1354" i="38"/>
  <c r="D1354" i="38"/>
  <c r="C1354" i="38"/>
  <c r="B1354" i="38"/>
  <c r="I1353" i="38"/>
  <c r="H1353" i="38"/>
  <c r="G1353" i="38"/>
  <c r="F1353" i="38"/>
  <c r="E1353" i="38"/>
  <c r="D1353" i="38"/>
  <c r="C1353" i="38"/>
  <c r="B1353" i="38"/>
  <c r="I1352" i="38"/>
  <c r="H1352" i="38"/>
  <c r="G1352" i="38"/>
  <c r="F1352" i="38"/>
  <c r="E1352" i="38"/>
  <c r="D1352" i="38"/>
  <c r="C1352" i="38"/>
  <c r="B1352" i="38"/>
  <c r="I1351" i="38"/>
  <c r="H1351" i="38"/>
  <c r="G1351" i="38"/>
  <c r="F1351" i="38"/>
  <c r="E1351" i="38"/>
  <c r="D1351" i="38"/>
  <c r="C1351" i="38"/>
  <c r="B1351" i="38"/>
  <c r="I1350" i="38"/>
  <c r="H1350" i="38"/>
  <c r="G1350" i="38"/>
  <c r="F1350" i="38"/>
  <c r="E1350" i="38"/>
  <c r="D1350" i="38"/>
  <c r="C1350" i="38"/>
  <c r="B1350" i="38"/>
  <c r="I1349" i="38"/>
  <c r="H1349" i="38"/>
  <c r="G1349" i="38"/>
  <c r="F1349" i="38"/>
  <c r="E1349" i="38"/>
  <c r="D1349" i="38"/>
  <c r="C1349" i="38"/>
  <c r="B1349" i="38"/>
  <c r="I1348" i="38"/>
  <c r="H1348" i="38"/>
  <c r="G1348" i="38"/>
  <c r="F1348" i="38"/>
  <c r="E1348" i="38"/>
  <c r="D1348" i="38"/>
  <c r="C1348" i="38"/>
  <c r="B1348" i="38"/>
  <c r="I1347" i="38"/>
  <c r="H1347" i="38"/>
  <c r="G1347" i="38"/>
  <c r="F1347" i="38"/>
  <c r="E1347" i="38"/>
  <c r="D1347" i="38"/>
  <c r="C1347" i="38"/>
  <c r="B1347" i="38"/>
  <c r="I1346" i="38"/>
  <c r="H1346" i="38"/>
  <c r="G1346" i="38"/>
  <c r="F1346" i="38"/>
  <c r="E1346" i="38"/>
  <c r="D1346" i="38"/>
  <c r="C1346" i="38"/>
  <c r="B1346" i="38"/>
  <c r="I1345" i="38"/>
  <c r="H1345" i="38"/>
  <c r="G1345" i="38"/>
  <c r="F1345" i="38"/>
  <c r="E1345" i="38"/>
  <c r="D1345" i="38"/>
  <c r="C1345" i="38"/>
  <c r="B1345" i="38"/>
  <c r="I1344" i="38"/>
  <c r="H1344" i="38"/>
  <c r="G1344" i="38"/>
  <c r="F1344" i="38"/>
  <c r="E1344" i="38"/>
  <c r="D1344" i="38"/>
  <c r="C1344" i="38"/>
  <c r="B1344" i="38"/>
  <c r="I1343" i="38"/>
  <c r="H1343" i="38"/>
  <c r="G1343" i="38"/>
  <c r="F1343" i="38"/>
  <c r="E1343" i="38"/>
  <c r="D1343" i="38"/>
  <c r="C1343" i="38"/>
  <c r="B1343" i="38"/>
  <c r="I1342" i="38"/>
  <c r="H1342" i="38"/>
  <c r="G1342" i="38"/>
  <c r="F1342" i="38"/>
  <c r="E1342" i="38"/>
  <c r="D1342" i="38"/>
  <c r="C1342" i="38"/>
  <c r="B1342" i="38"/>
  <c r="I1341" i="38"/>
  <c r="H1341" i="38"/>
  <c r="G1341" i="38"/>
  <c r="F1341" i="38"/>
  <c r="E1341" i="38"/>
  <c r="D1341" i="38"/>
  <c r="C1341" i="38"/>
  <c r="B1341" i="38"/>
  <c r="I1340" i="38"/>
  <c r="H1340" i="38"/>
  <c r="G1340" i="38"/>
  <c r="F1340" i="38"/>
  <c r="E1340" i="38"/>
  <c r="D1340" i="38"/>
  <c r="C1340" i="38"/>
  <c r="B1340" i="38"/>
  <c r="I1339" i="38"/>
  <c r="H1339" i="38"/>
  <c r="G1339" i="38"/>
  <c r="F1339" i="38"/>
  <c r="E1339" i="38"/>
  <c r="D1339" i="38"/>
  <c r="C1339" i="38"/>
  <c r="B1339" i="38"/>
  <c r="I1338" i="38"/>
  <c r="H1338" i="38"/>
  <c r="G1338" i="38"/>
  <c r="F1338" i="38"/>
  <c r="E1338" i="38"/>
  <c r="D1338" i="38"/>
  <c r="C1338" i="38"/>
  <c r="B1338" i="38"/>
  <c r="I1337" i="38"/>
  <c r="H1337" i="38"/>
  <c r="G1337" i="38"/>
  <c r="F1337" i="38"/>
  <c r="E1337" i="38"/>
  <c r="D1337" i="38"/>
  <c r="C1337" i="38"/>
  <c r="B1337" i="38"/>
  <c r="I1336" i="38"/>
  <c r="H1336" i="38"/>
  <c r="G1336" i="38"/>
  <c r="F1336" i="38"/>
  <c r="E1336" i="38"/>
  <c r="D1336" i="38"/>
  <c r="C1336" i="38"/>
  <c r="B1336" i="38"/>
  <c r="I1335" i="38"/>
  <c r="H1335" i="38"/>
  <c r="G1335" i="38"/>
  <c r="F1335" i="38"/>
  <c r="E1335" i="38"/>
  <c r="D1335" i="38"/>
  <c r="C1335" i="38"/>
  <c r="B1335" i="38"/>
  <c r="I1334" i="38"/>
  <c r="H1334" i="38"/>
  <c r="G1334" i="38"/>
  <c r="F1334" i="38"/>
  <c r="E1334" i="38"/>
  <c r="D1334" i="38"/>
  <c r="C1334" i="38"/>
  <c r="B1334" i="38"/>
  <c r="I1333" i="38"/>
  <c r="H1333" i="38"/>
  <c r="G1333" i="38"/>
  <c r="F1333" i="38"/>
  <c r="E1333" i="38"/>
  <c r="D1333" i="38"/>
  <c r="C1333" i="38"/>
  <c r="B1333" i="38"/>
  <c r="I1332" i="38"/>
  <c r="H1332" i="38"/>
  <c r="G1332" i="38"/>
  <c r="F1332" i="38"/>
  <c r="E1332" i="38"/>
  <c r="D1332" i="38"/>
  <c r="C1332" i="38"/>
  <c r="B1332" i="38"/>
  <c r="I1331" i="38"/>
  <c r="H1331" i="38"/>
  <c r="G1331" i="38"/>
  <c r="F1331" i="38"/>
  <c r="E1331" i="38"/>
  <c r="D1331" i="38"/>
  <c r="C1331" i="38"/>
  <c r="B1331" i="38"/>
  <c r="I1330" i="38"/>
  <c r="H1330" i="38"/>
  <c r="G1330" i="38"/>
  <c r="F1330" i="38"/>
  <c r="E1330" i="38"/>
  <c r="D1330" i="38"/>
  <c r="C1330" i="38"/>
  <c r="B1330" i="38"/>
  <c r="I1329" i="38"/>
  <c r="H1329" i="38"/>
  <c r="G1329" i="38"/>
  <c r="F1329" i="38"/>
  <c r="E1329" i="38"/>
  <c r="D1329" i="38"/>
  <c r="C1329" i="38"/>
  <c r="B1329" i="38"/>
  <c r="I1328" i="38"/>
  <c r="H1328" i="38"/>
  <c r="G1328" i="38"/>
  <c r="F1328" i="38"/>
  <c r="E1328" i="38"/>
  <c r="D1328" i="38"/>
  <c r="C1328" i="38"/>
  <c r="B1328" i="38"/>
  <c r="I1327" i="38"/>
  <c r="H1327" i="38"/>
  <c r="G1327" i="38"/>
  <c r="F1327" i="38"/>
  <c r="E1327" i="38"/>
  <c r="D1327" i="38"/>
  <c r="C1327" i="38"/>
  <c r="B1327" i="38"/>
  <c r="I1326" i="38"/>
  <c r="H1326" i="38"/>
  <c r="G1326" i="38"/>
  <c r="F1326" i="38"/>
  <c r="E1326" i="38"/>
  <c r="D1326" i="38"/>
  <c r="C1326" i="38"/>
  <c r="B1326" i="38"/>
  <c r="I1325" i="38"/>
  <c r="H1325" i="38"/>
  <c r="G1325" i="38"/>
  <c r="F1325" i="38"/>
  <c r="E1325" i="38"/>
  <c r="D1325" i="38"/>
  <c r="C1325" i="38"/>
  <c r="B1325" i="38"/>
  <c r="I1324" i="38"/>
  <c r="H1324" i="38"/>
  <c r="G1324" i="38"/>
  <c r="F1324" i="38"/>
  <c r="E1324" i="38"/>
  <c r="D1324" i="38"/>
  <c r="C1324" i="38"/>
  <c r="B1324" i="38"/>
  <c r="I1323" i="38"/>
  <c r="H1323" i="38"/>
  <c r="G1323" i="38"/>
  <c r="F1323" i="38"/>
  <c r="E1323" i="38"/>
  <c r="D1323" i="38"/>
  <c r="C1323" i="38"/>
  <c r="B1323" i="38"/>
  <c r="I1322" i="38"/>
  <c r="H1322" i="38"/>
  <c r="G1322" i="38"/>
  <c r="F1322" i="38"/>
  <c r="E1322" i="38"/>
  <c r="D1322" i="38"/>
  <c r="C1322" i="38"/>
  <c r="B1322" i="38"/>
  <c r="I1321" i="38"/>
  <c r="H1321" i="38"/>
  <c r="G1321" i="38"/>
  <c r="F1321" i="38"/>
  <c r="E1321" i="38"/>
  <c r="D1321" i="38"/>
  <c r="C1321" i="38"/>
  <c r="B1321" i="38"/>
  <c r="I1320" i="38"/>
  <c r="H1320" i="38"/>
  <c r="G1320" i="38"/>
  <c r="F1320" i="38"/>
  <c r="E1320" i="38"/>
  <c r="D1320" i="38"/>
  <c r="C1320" i="38"/>
  <c r="B1320" i="38"/>
  <c r="I1319" i="38"/>
  <c r="H1319" i="38"/>
  <c r="G1319" i="38"/>
  <c r="F1319" i="38"/>
  <c r="E1319" i="38"/>
  <c r="D1319" i="38"/>
  <c r="C1319" i="38"/>
  <c r="B1319" i="38"/>
  <c r="I1318" i="38"/>
  <c r="H1318" i="38"/>
  <c r="G1318" i="38"/>
  <c r="F1318" i="38"/>
  <c r="E1318" i="38"/>
  <c r="D1318" i="38"/>
  <c r="C1318" i="38"/>
  <c r="B1318" i="38"/>
  <c r="I1317" i="38"/>
  <c r="H1317" i="38"/>
  <c r="G1317" i="38"/>
  <c r="F1317" i="38"/>
  <c r="E1317" i="38"/>
  <c r="D1317" i="38"/>
  <c r="C1317" i="38"/>
  <c r="B1317" i="38"/>
  <c r="I1316" i="38"/>
  <c r="H1316" i="38"/>
  <c r="G1316" i="38"/>
  <c r="F1316" i="38"/>
  <c r="E1316" i="38"/>
  <c r="D1316" i="38"/>
  <c r="C1316" i="38"/>
  <c r="B1316" i="38"/>
  <c r="I1315" i="38"/>
  <c r="H1315" i="38"/>
  <c r="G1315" i="38"/>
  <c r="F1315" i="38"/>
  <c r="E1315" i="38"/>
  <c r="D1315" i="38"/>
  <c r="C1315" i="38"/>
  <c r="B1315" i="38"/>
  <c r="I1314" i="38"/>
  <c r="H1314" i="38"/>
  <c r="G1314" i="38"/>
  <c r="F1314" i="38"/>
  <c r="E1314" i="38"/>
  <c r="D1314" i="38"/>
  <c r="C1314" i="38"/>
  <c r="B1314" i="38"/>
  <c r="I1313" i="38"/>
  <c r="H1313" i="38"/>
  <c r="G1313" i="38"/>
  <c r="F1313" i="38"/>
  <c r="E1313" i="38"/>
  <c r="D1313" i="38"/>
  <c r="C1313" i="38"/>
  <c r="B1313" i="38"/>
  <c r="I1312" i="38"/>
  <c r="H1312" i="38"/>
  <c r="G1312" i="38"/>
  <c r="F1312" i="38"/>
  <c r="E1312" i="38"/>
  <c r="D1312" i="38"/>
  <c r="C1312" i="38"/>
  <c r="B1312" i="38"/>
  <c r="I1311" i="38"/>
  <c r="H1311" i="38"/>
  <c r="G1311" i="38"/>
  <c r="F1311" i="38"/>
  <c r="E1311" i="38"/>
  <c r="D1311" i="38"/>
  <c r="C1311" i="38"/>
  <c r="B1311" i="38"/>
  <c r="I1310" i="38"/>
  <c r="H1310" i="38"/>
  <c r="G1310" i="38"/>
  <c r="F1310" i="38"/>
  <c r="E1310" i="38"/>
  <c r="D1310" i="38"/>
  <c r="C1310" i="38"/>
  <c r="B1310" i="38"/>
  <c r="I1309" i="38"/>
  <c r="H1309" i="38"/>
  <c r="G1309" i="38"/>
  <c r="F1309" i="38"/>
  <c r="E1309" i="38"/>
  <c r="D1309" i="38"/>
  <c r="C1309" i="38"/>
  <c r="B1309" i="38"/>
  <c r="I1308" i="38"/>
  <c r="H1308" i="38"/>
  <c r="G1308" i="38"/>
  <c r="F1308" i="38"/>
  <c r="E1308" i="38"/>
  <c r="D1308" i="38"/>
  <c r="C1308" i="38"/>
  <c r="B1308" i="38"/>
  <c r="I1307" i="38"/>
  <c r="H1307" i="38"/>
  <c r="G1307" i="38"/>
  <c r="F1307" i="38"/>
  <c r="E1307" i="38"/>
  <c r="D1307" i="38"/>
  <c r="C1307" i="38"/>
  <c r="B1307" i="38"/>
  <c r="I1306" i="38"/>
  <c r="H1306" i="38"/>
  <c r="G1306" i="38"/>
  <c r="F1306" i="38"/>
  <c r="E1306" i="38"/>
  <c r="D1306" i="38"/>
  <c r="C1306" i="38"/>
  <c r="B1306" i="38"/>
  <c r="I1305" i="38"/>
  <c r="H1305" i="38"/>
  <c r="G1305" i="38"/>
  <c r="F1305" i="38"/>
  <c r="E1305" i="38"/>
  <c r="D1305" i="38"/>
  <c r="C1305" i="38"/>
  <c r="B1305" i="38"/>
  <c r="I1304" i="38"/>
  <c r="H1304" i="38"/>
  <c r="G1304" i="38"/>
  <c r="F1304" i="38"/>
  <c r="E1304" i="38"/>
  <c r="D1304" i="38"/>
  <c r="C1304" i="38"/>
  <c r="B1304" i="38"/>
  <c r="I1303" i="38"/>
  <c r="H1303" i="38"/>
  <c r="G1303" i="38"/>
  <c r="F1303" i="38"/>
  <c r="E1303" i="38"/>
  <c r="D1303" i="38"/>
  <c r="C1303" i="38"/>
  <c r="B1303" i="38"/>
  <c r="I1302" i="38"/>
  <c r="H1302" i="38"/>
  <c r="G1302" i="38"/>
  <c r="F1302" i="38"/>
  <c r="E1302" i="38"/>
  <c r="D1302" i="38"/>
  <c r="C1302" i="38"/>
  <c r="B1302" i="38"/>
  <c r="I1301" i="38"/>
  <c r="H1301" i="38"/>
  <c r="G1301" i="38"/>
  <c r="F1301" i="38"/>
  <c r="E1301" i="38"/>
  <c r="D1301" i="38"/>
  <c r="C1301" i="38"/>
  <c r="B1301" i="38"/>
  <c r="I1300" i="38"/>
  <c r="H1300" i="38"/>
  <c r="G1300" i="38"/>
  <c r="F1300" i="38"/>
  <c r="E1300" i="38"/>
  <c r="D1300" i="38"/>
  <c r="C1300" i="38"/>
  <c r="B1300" i="38"/>
  <c r="I1299" i="38"/>
  <c r="H1299" i="38"/>
  <c r="G1299" i="38"/>
  <c r="F1299" i="38"/>
  <c r="E1299" i="38"/>
  <c r="D1299" i="38"/>
  <c r="C1299" i="38"/>
  <c r="B1299" i="38"/>
  <c r="I1298" i="38"/>
  <c r="H1298" i="38"/>
  <c r="G1298" i="38"/>
  <c r="F1298" i="38"/>
  <c r="E1298" i="38"/>
  <c r="D1298" i="38"/>
  <c r="C1298" i="38"/>
  <c r="B1298" i="38"/>
  <c r="I1297" i="38"/>
  <c r="H1297" i="38"/>
  <c r="G1297" i="38"/>
  <c r="F1297" i="38"/>
  <c r="E1297" i="38"/>
  <c r="D1297" i="38"/>
  <c r="C1297" i="38"/>
  <c r="B1297" i="38"/>
  <c r="I1296" i="38"/>
  <c r="H1296" i="38"/>
  <c r="G1296" i="38"/>
  <c r="F1296" i="38"/>
  <c r="E1296" i="38"/>
  <c r="D1296" i="38"/>
  <c r="C1296" i="38"/>
  <c r="B1296" i="38"/>
  <c r="I1295" i="38"/>
  <c r="H1295" i="38"/>
  <c r="G1295" i="38"/>
  <c r="F1295" i="38"/>
  <c r="E1295" i="38"/>
  <c r="D1295" i="38"/>
  <c r="C1295" i="38"/>
  <c r="B1295" i="38"/>
  <c r="I1294" i="38"/>
  <c r="H1294" i="38"/>
  <c r="G1294" i="38"/>
  <c r="F1294" i="38"/>
  <c r="E1294" i="38"/>
  <c r="D1294" i="38"/>
  <c r="C1294" i="38"/>
  <c r="B1294" i="38"/>
  <c r="I1293" i="38"/>
  <c r="H1293" i="38"/>
  <c r="G1293" i="38"/>
  <c r="F1293" i="38"/>
  <c r="E1293" i="38"/>
  <c r="D1293" i="38"/>
  <c r="C1293" i="38"/>
  <c r="B1293" i="38"/>
  <c r="I1292" i="38"/>
  <c r="H1292" i="38"/>
  <c r="G1292" i="38"/>
  <c r="F1292" i="38"/>
  <c r="E1292" i="38"/>
  <c r="D1292" i="38"/>
  <c r="C1292" i="38"/>
  <c r="B1292" i="38"/>
  <c r="I1291" i="38"/>
  <c r="H1291" i="38"/>
  <c r="G1291" i="38"/>
  <c r="F1291" i="38"/>
  <c r="E1291" i="38"/>
  <c r="D1291" i="38"/>
  <c r="C1291" i="38"/>
  <c r="B1291" i="38"/>
  <c r="I1290" i="38"/>
  <c r="H1290" i="38"/>
  <c r="G1290" i="38"/>
  <c r="F1290" i="38"/>
  <c r="E1290" i="38"/>
  <c r="D1290" i="38"/>
  <c r="C1290" i="38"/>
  <c r="B1290" i="38"/>
  <c r="I1289" i="38"/>
  <c r="H1289" i="38"/>
  <c r="G1289" i="38"/>
  <c r="F1289" i="38"/>
  <c r="E1289" i="38"/>
  <c r="D1289" i="38"/>
  <c r="C1289" i="38"/>
  <c r="B1289" i="38"/>
  <c r="I1288" i="38"/>
  <c r="H1288" i="38"/>
  <c r="G1288" i="38"/>
  <c r="F1288" i="38"/>
  <c r="E1288" i="38"/>
  <c r="D1288" i="38"/>
  <c r="C1288" i="38"/>
  <c r="B1288" i="38"/>
  <c r="I1287" i="38"/>
  <c r="H1287" i="38"/>
  <c r="G1287" i="38"/>
  <c r="F1287" i="38"/>
  <c r="E1287" i="38"/>
  <c r="D1287" i="38"/>
  <c r="C1287" i="38"/>
  <c r="B1287" i="38"/>
  <c r="I1286" i="38"/>
  <c r="H1286" i="38"/>
  <c r="G1286" i="38"/>
  <c r="F1286" i="38"/>
  <c r="E1286" i="38"/>
  <c r="D1286" i="38"/>
  <c r="C1286" i="38"/>
  <c r="B1286" i="38"/>
  <c r="I1285" i="38"/>
  <c r="H1285" i="38"/>
  <c r="G1285" i="38"/>
  <c r="F1285" i="38"/>
  <c r="E1285" i="38"/>
  <c r="D1285" i="38"/>
  <c r="C1285" i="38"/>
  <c r="B1285" i="38"/>
  <c r="I1284" i="38"/>
  <c r="H1284" i="38"/>
  <c r="G1284" i="38"/>
  <c r="F1284" i="38"/>
  <c r="E1284" i="38"/>
  <c r="D1284" i="38"/>
  <c r="C1284" i="38"/>
  <c r="B1284" i="38"/>
  <c r="I1283" i="38"/>
  <c r="H1283" i="38"/>
  <c r="G1283" i="38"/>
  <c r="F1283" i="38"/>
  <c r="E1283" i="38"/>
  <c r="D1283" i="38"/>
  <c r="C1283" i="38"/>
  <c r="B1283" i="38"/>
  <c r="I1282" i="38"/>
  <c r="H1282" i="38"/>
  <c r="G1282" i="38"/>
  <c r="F1282" i="38"/>
  <c r="E1282" i="38"/>
  <c r="D1282" i="38"/>
  <c r="C1282" i="38"/>
  <c r="B1282" i="38"/>
  <c r="I1281" i="38"/>
  <c r="H1281" i="38"/>
  <c r="G1281" i="38"/>
  <c r="F1281" i="38"/>
  <c r="E1281" i="38"/>
  <c r="D1281" i="38"/>
  <c r="C1281" i="38"/>
  <c r="B1281" i="38"/>
  <c r="I1280" i="38"/>
  <c r="H1280" i="38"/>
  <c r="G1280" i="38"/>
  <c r="F1280" i="38"/>
  <c r="E1280" i="38"/>
  <c r="D1280" i="38"/>
  <c r="C1280" i="38"/>
  <c r="B1280" i="38"/>
  <c r="I1279" i="38"/>
  <c r="H1279" i="38"/>
  <c r="G1279" i="38"/>
  <c r="F1279" i="38"/>
  <c r="E1279" i="38"/>
  <c r="D1279" i="38"/>
  <c r="C1279" i="38"/>
  <c r="B1279" i="38"/>
  <c r="I1278" i="38"/>
  <c r="H1278" i="38"/>
  <c r="G1278" i="38"/>
  <c r="F1278" i="38"/>
  <c r="E1278" i="38"/>
  <c r="D1278" i="38"/>
  <c r="C1278" i="38"/>
  <c r="B1278" i="38"/>
  <c r="I1277" i="38"/>
  <c r="H1277" i="38"/>
  <c r="G1277" i="38"/>
  <c r="F1277" i="38"/>
  <c r="E1277" i="38"/>
  <c r="D1277" i="38"/>
  <c r="C1277" i="38"/>
  <c r="B1277" i="38"/>
  <c r="I1276" i="38"/>
  <c r="H1276" i="38"/>
  <c r="G1276" i="38"/>
  <c r="F1276" i="38"/>
  <c r="E1276" i="38"/>
  <c r="D1276" i="38"/>
  <c r="C1276" i="38"/>
  <c r="B1276" i="38"/>
  <c r="I1275" i="38"/>
  <c r="H1275" i="38"/>
  <c r="G1275" i="38"/>
  <c r="F1275" i="38"/>
  <c r="E1275" i="38"/>
  <c r="D1275" i="38"/>
  <c r="C1275" i="38"/>
  <c r="B1275" i="38"/>
  <c r="I1274" i="38"/>
  <c r="H1274" i="38"/>
  <c r="G1274" i="38"/>
  <c r="F1274" i="38"/>
  <c r="E1274" i="38"/>
  <c r="D1274" i="38"/>
  <c r="C1274" i="38"/>
  <c r="B1274" i="38"/>
  <c r="I1273" i="38"/>
  <c r="H1273" i="38"/>
  <c r="G1273" i="38"/>
  <c r="F1273" i="38"/>
  <c r="E1273" i="38"/>
  <c r="D1273" i="38"/>
  <c r="C1273" i="38"/>
  <c r="B1273" i="38"/>
  <c r="I1272" i="38"/>
  <c r="H1272" i="38"/>
  <c r="G1272" i="38"/>
  <c r="F1272" i="38"/>
  <c r="E1272" i="38"/>
  <c r="D1272" i="38"/>
  <c r="C1272" i="38"/>
  <c r="B1272" i="38"/>
  <c r="I1271" i="38"/>
  <c r="H1271" i="38"/>
  <c r="G1271" i="38"/>
  <c r="F1271" i="38"/>
  <c r="E1271" i="38"/>
  <c r="D1271" i="38"/>
  <c r="C1271" i="38"/>
  <c r="B1271" i="38"/>
  <c r="I1270" i="38"/>
  <c r="H1270" i="38"/>
  <c r="G1270" i="38"/>
  <c r="F1270" i="38"/>
  <c r="E1270" i="38"/>
  <c r="D1270" i="38"/>
  <c r="C1270" i="38"/>
  <c r="B1270" i="38"/>
  <c r="I1269" i="38"/>
  <c r="H1269" i="38"/>
  <c r="G1269" i="38"/>
  <c r="F1269" i="38"/>
  <c r="E1269" i="38"/>
  <c r="D1269" i="38"/>
  <c r="C1269" i="38"/>
  <c r="B1269" i="38"/>
  <c r="I1268" i="38"/>
  <c r="H1268" i="38"/>
  <c r="G1268" i="38"/>
  <c r="F1268" i="38"/>
  <c r="E1268" i="38"/>
  <c r="D1268" i="38"/>
  <c r="C1268" i="38"/>
  <c r="B1268" i="38"/>
  <c r="I1267" i="38"/>
  <c r="H1267" i="38"/>
  <c r="G1267" i="38"/>
  <c r="F1267" i="38"/>
  <c r="E1267" i="38"/>
  <c r="D1267" i="38"/>
  <c r="C1267" i="38"/>
  <c r="B1267" i="38"/>
  <c r="I1266" i="38"/>
  <c r="H1266" i="38"/>
  <c r="G1266" i="38"/>
  <c r="F1266" i="38"/>
  <c r="E1266" i="38"/>
  <c r="D1266" i="38"/>
  <c r="C1266" i="38"/>
  <c r="B1266" i="38"/>
  <c r="I1265" i="38"/>
  <c r="H1265" i="38"/>
  <c r="G1265" i="38"/>
  <c r="F1265" i="38"/>
  <c r="E1265" i="38"/>
  <c r="D1265" i="38"/>
  <c r="C1265" i="38"/>
  <c r="B1265" i="38"/>
  <c r="I1264" i="38"/>
  <c r="H1264" i="38"/>
  <c r="G1264" i="38"/>
  <c r="F1264" i="38"/>
  <c r="E1264" i="38"/>
  <c r="D1264" i="38"/>
  <c r="C1264" i="38"/>
  <c r="B1264" i="38"/>
  <c r="I1263" i="38"/>
  <c r="H1263" i="38"/>
  <c r="G1263" i="38"/>
  <c r="F1263" i="38"/>
  <c r="E1263" i="38"/>
  <c r="D1263" i="38"/>
  <c r="C1263" i="38"/>
  <c r="B1263" i="38"/>
  <c r="I1262" i="38"/>
  <c r="H1262" i="38"/>
  <c r="G1262" i="38"/>
  <c r="F1262" i="38"/>
  <c r="E1262" i="38"/>
  <c r="D1262" i="38"/>
  <c r="C1262" i="38"/>
  <c r="B1262" i="38"/>
  <c r="I1261" i="38"/>
  <c r="H1261" i="38"/>
  <c r="G1261" i="38"/>
  <c r="F1261" i="38"/>
  <c r="E1261" i="38"/>
  <c r="D1261" i="38"/>
  <c r="C1261" i="38"/>
  <c r="B1261" i="38"/>
  <c r="I1260" i="38"/>
  <c r="H1260" i="38"/>
  <c r="G1260" i="38"/>
  <c r="F1260" i="38"/>
  <c r="E1260" i="38"/>
  <c r="D1260" i="38"/>
  <c r="C1260" i="38"/>
  <c r="B1260" i="38"/>
  <c r="I1259" i="38"/>
  <c r="H1259" i="38"/>
  <c r="G1259" i="38"/>
  <c r="F1259" i="38"/>
  <c r="E1259" i="38"/>
  <c r="D1259" i="38"/>
  <c r="C1259" i="38"/>
  <c r="B1259" i="38"/>
  <c r="I1258" i="38"/>
  <c r="H1258" i="38"/>
  <c r="G1258" i="38"/>
  <c r="F1258" i="38"/>
  <c r="E1258" i="38"/>
  <c r="D1258" i="38"/>
  <c r="C1258" i="38"/>
  <c r="B1258" i="38"/>
  <c r="I1257" i="38"/>
  <c r="H1257" i="38"/>
  <c r="G1257" i="38"/>
  <c r="F1257" i="38"/>
  <c r="E1257" i="38"/>
  <c r="D1257" i="38"/>
  <c r="C1257" i="38"/>
  <c r="B1257" i="38"/>
  <c r="I1256" i="38"/>
  <c r="H1256" i="38"/>
  <c r="G1256" i="38"/>
  <c r="F1256" i="38"/>
  <c r="E1256" i="38"/>
  <c r="D1256" i="38"/>
  <c r="C1256" i="38"/>
  <c r="B1256" i="38"/>
  <c r="I1255" i="38"/>
  <c r="H1255" i="38"/>
  <c r="G1255" i="38"/>
  <c r="F1255" i="38"/>
  <c r="E1255" i="38"/>
  <c r="D1255" i="38"/>
  <c r="C1255" i="38"/>
  <c r="B1255" i="38"/>
  <c r="I1254" i="38"/>
  <c r="H1254" i="38"/>
  <c r="G1254" i="38"/>
  <c r="F1254" i="38"/>
  <c r="E1254" i="38"/>
  <c r="D1254" i="38"/>
  <c r="C1254" i="38"/>
  <c r="B1254" i="38"/>
  <c r="I1253" i="38"/>
  <c r="H1253" i="38"/>
  <c r="G1253" i="38"/>
  <c r="F1253" i="38"/>
  <c r="E1253" i="38"/>
  <c r="D1253" i="38"/>
  <c r="C1253" i="38"/>
  <c r="B1253" i="38"/>
  <c r="I1252" i="38"/>
  <c r="H1252" i="38"/>
  <c r="G1252" i="38"/>
  <c r="F1252" i="38"/>
  <c r="E1252" i="38"/>
  <c r="D1252" i="38"/>
  <c r="C1252" i="38"/>
  <c r="B1252" i="38"/>
  <c r="I1251" i="38"/>
  <c r="H1251" i="38"/>
  <c r="G1251" i="38"/>
  <c r="F1251" i="38"/>
  <c r="E1251" i="38"/>
  <c r="D1251" i="38"/>
  <c r="C1251" i="38"/>
  <c r="B1251" i="38"/>
  <c r="I1250" i="38"/>
  <c r="H1250" i="38"/>
  <c r="G1250" i="38"/>
  <c r="F1250" i="38"/>
  <c r="E1250" i="38"/>
  <c r="D1250" i="38"/>
  <c r="C1250" i="38"/>
  <c r="B1250" i="38"/>
  <c r="M1229" i="38"/>
  <c r="L1229" i="38"/>
  <c r="K1229" i="38"/>
  <c r="J1229" i="38"/>
  <c r="I1229" i="38"/>
  <c r="H1229" i="38"/>
  <c r="G1229" i="38"/>
  <c r="F1229" i="38"/>
  <c r="E1229" i="38"/>
  <c r="D1229" i="38"/>
  <c r="C1229" i="38"/>
  <c r="M1228" i="38"/>
  <c r="L1228" i="38"/>
  <c r="K1228" i="38"/>
  <c r="J1228" i="38"/>
  <c r="I1228" i="38"/>
  <c r="H1228" i="38"/>
  <c r="G1228" i="38"/>
  <c r="F1228" i="38"/>
  <c r="E1228" i="38"/>
  <c r="D1228" i="38"/>
  <c r="C1228" i="38"/>
  <c r="M1227" i="38"/>
  <c r="L1227" i="38"/>
  <c r="K1227" i="38"/>
  <c r="J1227" i="38"/>
  <c r="I1227" i="38"/>
  <c r="H1227" i="38"/>
  <c r="G1227" i="38"/>
  <c r="F1227" i="38"/>
  <c r="E1227" i="38"/>
  <c r="D1227" i="38"/>
  <c r="C1227" i="38"/>
  <c r="M1226" i="38"/>
  <c r="L1226" i="38"/>
  <c r="K1226" i="38"/>
  <c r="J1226" i="38"/>
  <c r="I1226" i="38"/>
  <c r="H1226" i="38"/>
  <c r="G1226" i="38"/>
  <c r="F1226" i="38"/>
  <c r="E1226" i="38"/>
  <c r="D1226" i="38"/>
  <c r="C1226" i="38"/>
  <c r="M1225" i="38"/>
  <c r="L1225" i="38"/>
  <c r="K1225" i="38"/>
  <c r="J1225" i="38"/>
  <c r="I1225" i="38"/>
  <c r="H1225" i="38"/>
  <c r="G1225" i="38"/>
  <c r="F1225" i="38"/>
  <c r="E1225" i="38"/>
  <c r="D1225" i="38"/>
  <c r="C1225" i="38"/>
  <c r="M1224" i="38"/>
  <c r="L1224" i="38"/>
  <c r="K1224" i="38"/>
  <c r="J1224" i="38"/>
  <c r="I1224" i="38"/>
  <c r="H1224" i="38"/>
  <c r="G1224" i="38"/>
  <c r="F1224" i="38"/>
  <c r="E1224" i="38"/>
  <c r="D1224" i="38"/>
  <c r="C1224" i="38"/>
  <c r="M1223" i="38"/>
  <c r="L1223" i="38"/>
  <c r="K1223" i="38"/>
  <c r="J1223" i="38"/>
  <c r="I1223" i="38"/>
  <c r="H1223" i="38"/>
  <c r="G1223" i="38"/>
  <c r="F1223" i="38"/>
  <c r="E1223" i="38"/>
  <c r="D1223" i="38"/>
  <c r="C1223" i="38"/>
  <c r="M1222" i="38"/>
  <c r="L1222" i="38"/>
  <c r="K1222" i="38"/>
  <c r="J1222" i="38"/>
  <c r="I1222" i="38"/>
  <c r="H1222" i="38"/>
  <c r="G1222" i="38"/>
  <c r="F1222" i="38"/>
  <c r="E1222" i="38"/>
  <c r="D1222" i="38"/>
  <c r="C1222" i="38"/>
  <c r="M1221" i="38"/>
  <c r="L1221" i="38"/>
  <c r="K1221" i="38"/>
  <c r="J1221" i="38"/>
  <c r="I1221" i="38"/>
  <c r="H1221" i="38"/>
  <c r="G1221" i="38"/>
  <c r="F1221" i="38"/>
  <c r="E1221" i="38"/>
  <c r="D1221" i="38"/>
  <c r="C1221" i="38"/>
  <c r="M1220" i="38"/>
  <c r="L1220" i="38"/>
  <c r="K1220" i="38"/>
  <c r="J1220" i="38"/>
  <c r="I1220" i="38"/>
  <c r="H1220" i="38"/>
  <c r="G1220" i="38"/>
  <c r="F1220" i="38"/>
  <c r="E1220" i="38"/>
  <c r="D1220" i="38"/>
  <c r="C1220" i="38"/>
  <c r="M1219" i="38"/>
  <c r="L1219" i="38"/>
  <c r="K1219" i="38"/>
  <c r="J1219" i="38"/>
  <c r="I1219" i="38"/>
  <c r="H1219" i="38"/>
  <c r="G1219" i="38"/>
  <c r="F1219" i="38"/>
  <c r="E1219" i="38"/>
  <c r="D1219" i="38"/>
  <c r="C1219" i="38"/>
  <c r="M1218" i="38"/>
  <c r="L1218" i="38"/>
  <c r="K1218" i="38"/>
  <c r="J1218" i="38"/>
  <c r="I1218" i="38"/>
  <c r="H1218" i="38"/>
  <c r="G1218" i="38"/>
  <c r="F1218" i="38"/>
  <c r="E1218" i="38"/>
  <c r="D1218" i="38"/>
  <c r="C1218" i="38"/>
  <c r="M1217" i="38"/>
  <c r="L1217" i="38"/>
  <c r="K1217" i="38"/>
  <c r="J1217" i="38"/>
  <c r="I1217" i="38"/>
  <c r="H1217" i="38"/>
  <c r="G1217" i="38"/>
  <c r="F1217" i="38"/>
  <c r="E1217" i="38"/>
  <c r="D1217" i="38"/>
  <c r="C1217" i="38"/>
  <c r="M1216" i="38"/>
  <c r="L1216" i="38"/>
  <c r="K1216" i="38"/>
  <c r="J1216" i="38"/>
  <c r="I1216" i="38"/>
  <c r="H1216" i="38"/>
  <c r="G1216" i="38"/>
  <c r="F1216" i="38"/>
  <c r="E1216" i="38"/>
  <c r="D1216" i="38"/>
  <c r="C1216" i="38"/>
  <c r="M1215" i="38"/>
  <c r="L1215" i="38"/>
  <c r="K1215" i="38"/>
  <c r="J1215" i="38"/>
  <c r="I1215" i="38"/>
  <c r="H1215" i="38"/>
  <c r="G1215" i="38"/>
  <c r="F1215" i="38"/>
  <c r="E1215" i="38"/>
  <c r="D1215" i="38"/>
  <c r="C1215" i="38"/>
  <c r="M1214" i="38"/>
  <c r="L1214" i="38"/>
  <c r="K1214" i="38"/>
  <c r="J1214" i="38"/>
  <c r="I1214" i="38"/>
  <c r="H1214" i="38"/>
  <c r="G1214" i="38"/>
  <c r="F1214" i="38"/>
  <c r="E1214" i="38"/>
  <c r="D1214" i="38"/>
  <c r="C1214" i="38"/>
  <c r="M1213" i="38"/>
  <c r="L1213" i="38"/>
  <c r="K1213" i="38"/>
  <c r="J1213" i="38"/>
  <c r="I1213" i="38"/>
  <c r="H1213" i="38"/>
  <c r="G1213" i="38"/>
  <c r="F1213" i="38"/>
  <c r="E1213" i="38"/>
  <c r="D1213" i="38"/>
  <c r="C1213" i="38"/>
  <c r="M1212" i="38"/>
  <c r="L1212" i="38"/>
  <c r="K1212" i="38"/>
  <c r="J1212" i="38"/>
  <c r="I1212" i="38"/>
  <c r="H1212" i="38"/>
  <c r="G1212" i="38"/>
  <c r="F1212" i="38"/>
  <c r="E1212" i="38"/>
  <c r="D1212" i="38"/>
  <c r="C1212" i="38"/>
  <c r="M1211" i="38"/>
  <c r="L1211" i="38"/>
  <c r="K1211" i="38"/>
  <c r="J1211" i="38"/>
  <c r="I1211" i="38"/>
  <c r="H1211" i="38"/>
  <c r="G1211" i="38"/>
  <c r="F1211" i="38"/>
  <c r="E1211" i="38"/>
  <c r="D1211" i="38"/>
  <c r="C1211" i="38"/>
  <c r="M1210" i="38"/>
  <c r="L1210" i="38"/>
  <c r="K1210" i="38"/>
  <c r="J1210" i="38"/>
  <c r="I1210" i="38"/>
  <c r="H1210" i="38"/>
  <c r="G1210" i="38"/>
  <c r="F1210" i="38"/>
  <c r="E1210" i="38"/>
  <c r="D1210" i="38"/>
  <c r="C1210" i="38"/>
  <c r="M1209" i="38"/>
  <c r="L1209" i="38"/>
  <c r="K1209" i="38"/>
  <c r="J1209" i="38"/>
  <c r="I1209" i="38"/>
  <c r="H1209" i="38"/>
  <c r="G1209" i="38"/>
  <c r="F1209" i="38"/>
  <c r="E1209" i="38"/>
  <c r="D1209" i="38"/>
  <c r="C1209" i="38"/>
  <c r="M1208" i="38"/>
  <c r="L1208" i="38"/>
  <c r="K1208" i="38"/>
  <c r="J1208" i="38"/>
  <c r="I1208" i="38"/>
  <c r="H1208" i="38"/>
  <c r="G1208" i="38"/>
  <c r="F1208" i="38"/>
  <c r="E1208" i="38"/>
  <c r="D1208" i="38"/>
  <c r="C1208" i="38"/>
  <c r="M1207" i="38"/>
  <c r="L1207" i="38"/>
  <c r="K1207" i="38"/>
  <c r="J1207" i="38"/>
  <c r="I1207" i="38"/>
  <c r="H1207" i="38"/>
  <c r="G1207" i="38"/>
  <c r="F1207" i="38"/>
  <c r="E1207" i="38"/>
  <c r="D1207" i="38"/>
  <c r="C1207" i="38"/>
  <c r="M1206" i="38"/>
  <c r="L1206" i="38"/>
  <c r="K1206" i="38"/>
  <c r="J1206" i="38"/>
  <c r="I1206" i="38"/>
  <c r="H1206" i="38"/>
  <c r="G1206" i="38"/>
  <c r="F1206" i="38"/>
  <c r="E1206" i="38"/>
  <c r="D1206" i="38"/>
  <c r="C1206" i="38"/>
  <c r="M1205" i="38"/>
  <c r="L1205" i="38"/>
  <c r="K1205" i="38"/>
  <c r="J1205" i="38"/>
  <c r="I1205" i="38"/>
  <c r="H1205" i="38"/>
  <c r="G1205" i="38"/>
  <c r="F1205" i="38"/>
  <c r="E1205" i="38"/>
  <c r="D1205" i="38"/>
  <c r="C1205" i="38"/>
  <c r="M1204" i="38"/>
  <c r="L1204" i="38"/>
  <c r="K1204" i="38"/>
  <c r="J1204" i="38"/>
  <c r="I1204" i="38"/>
  <c r="H1204" i="38"/>
  <c r="G1204" i="38"/>
  <c r="F1204" i="38"/>
  <c r="E1204" i="38"/>
  <c r="D1204" i="38"/>
  <c r="C1204" i="38"/>
  <c r="M1203" i="38"/>
  <c r="L1203" i="38"/>
  <c r="K1203" i="38"/>
  <c r="J1203" i="38"/>
  <c r="I1203" i="38"/>
  <c r="H1203" i="38"/>
  <c r="G1203" i="38"/>
  <c r="F1203" i="38"/>
  <c r="E1203" i="38"/>
  <c r="D1203" i="38"/>
  <c r="C1203" i="38"/>
  <c r="M1202" i="38"/>
  <c r="L1202" i="38"/>
  <c r="K1202" i="38"/>
  <c r="J1202" i="38"/>
  <c r="I1202" i="38"/>
  <c r="H1202" i="38"/>
  <c r="G1202" i="38"/>
  <c r="F1202" i="38"/>
  <c r="E1202" i="38"/>
  <c r="D1202" i="38"/>
  <c r="C1202" i="38"/>
  <c r="M1201" i="38"/>
  <c r="L1201" i="38"/>
  <c r="K1201" i="38"/>
  <c r="J1201" i="38"/>
  <c r="I1201" i="38"/>
  <c r="H1201" i="38"/>
  <c r="G1201" i="38"/>
  <c r="F1201" i="38"/>
  <c r="E1201" i="38"/>
  <c r="D1201" i="38"/>
  <c r="C1201" i="38"/>
  <c r="M1200" i="38"/>
  <c r="L1200" i="38"/>
  <c r="K1200" i="38"/>
  <c r="J1200" i="38"/>
  <c r="I1200" i="38"/>
  <c r="H1200" i="38"/>
  <c r="G1200" i="38"/>
  <c r="F1200" i="38"/>
  <c r="E1200" i="38"/>
  <c r="D1200" i="38"/>
  <c r="C1200" i="38"/>
  <c r="M1199" i="38"/>
  <c r="L1199" i="38"/>
  <c r="K1199" i="38"/>
  <c r="J1199" i="38"/>
  <c r="I1199" i="38"/>
  <c r="H1199" i="38"/>
  <c r="G1199" i="38"/>
  <c r="F1199" i="38"/>
  <c r="E1199" i="38"/>
  <c r="D1199" i="38"/>
  <c r="C1199" i="38"/>
  <c r="M1198" i="38"/>
  <c r="L1198" i="38"/>
  <c r="K1198" i="38"/>
  <c r="J1198" i="38"/>
  <c r="I1198" i="38"/>
  <c r="H1198" i="38"/>
  <c r="G1198" i="38"/>
  <c r="F1198" i="38"/>
  <c r="E1198" i="38"/>
  <c r="D1198" i="38"/>
  <c r="C1198" i="38"/>
  <c r="M1197" i="38"/>
  <c r="L1197" i="38"/>
  <c r="K1197" i="38"/>
  <c r="J1197" i="38"/>
  <c r="I1197" i="38"/>
  <c r="H1197" i="38"/>
  <c r="G1197" i="38"/>
  <c r="F1197" i="38"/>
  <c r="E1197" i="38"/>
  <c r="D1197" i="38"/>
  <c r="C1197" i="38"/>
  <c r="M1196" i="38"/>
  <c r="L1196" i="38"/>
  <c r="K1196" i="38"/>
  <c r="J1196" i="38"/>
  <c r="I1196" i="38"/>
  <c r="H1196" i="38"/>
  <c r="G1196" i="38"/>
  <c r="F1196" i="38"/>
  <c r="E1196" i="38"/>
  <c r="D1196" i="38"/>
  <c r="C1196" i="38"/>
  <c r="M1195" i="38"/>
  <c r="L1195" i="38"/>
  <c r="K1195" i="38"/>
  <c r="J1195" i="38"/>
  <c r="I1195" i="38"/>
  <c r="H1195" i="38"/>
  <c r="G1195" i="38"/>
  <c r="F1195" i="38"/>
  <c r="E1195" i="38"/>
  <c r="D1195" i="38"/>
  <c r="C1195" i="38"/>
  <c r="M1194" i="38"/>
  <c r="L1194" i="38"/>
  <c r="K1194" i="38"/>
  <c r="J1194" i="38"/>
  <c r="I1194" i="38"/>
  <c r="H1194" i="38"/>
  <c r="G1194" i="38"/>
  <c r="F1194" i="38"/>
  <c r="E1194" i="38"/>
  <c r="D1194" i="38"/>
  <c r="C1194" i="38"/>
  <c r="M1193" i="38"/>
  <c r="L1193" i="38"/>
  <c r="K1193" i="38"/>
  <c r="J1193" i="38"/>
  <c r="I1193" i="38"/>
  <c r="H1193" i="38"/>
  <c r="G1193" i="38"/>
  <c r="F1193" i="38"/>
  <c r="E1193" i="38"/>
  <c r="D1193" i="38"/>
  <c r="C1193" i="38"/>
  <c r="M1192" i="38"/>
  <c r="L1192" i="38"/>
  <c r="K1192" i="38"/>
  <c r="J1192" i="38"/>
  <c r="I1192" i="38"/>
  <c r="H1192" i="38"/>
  <c r="G1192" i="38"/>
  <c r="F1192" i="38"/>
  <c r="E1192" i="38"/>
  <c r="D1192" i="38"/>
  <c r="C1192" i="38"/>
  <c r="M1191" i="38"/>
  <c r="L1191" i="38"/>
  <c r="K1191" i="38"/>
  <c r="J1191" i="38"/>
  <c r="I1191" i="38"/>
  <c r="H1191" i="38"/>
  <c r="G1191" i="38"/>
  <c r="F1191" i="38"/>
  <c r="E1191" i="38"/>
  <c r="D1191" i="38"/>
  <c r="C1191" i="38"/>
  <c r="M1190" i="38"/>
  <c r="L1190" i="38"/>
  <c r="K1190" i="38"/>
  <c r="J1190" i="38"/>
  <c r="I1190" i="38"/>
  <c r="H1190" i="38"/>
  <c r="G1190" i="38"/>
  <c r="F1190" i="38"/>
  <c r="E1190" i="38"/>
  <c r="D1190" i="38"/>
  <c r="C1190" i="38"/>
  <c r="M1189" i="38"/>
  <c r="L1189" i="38"/>
  <c r="K1189" i="38"/>
  <c r="J1189" i="38"/>
  <c r="I1189" i="38"/>
  <c r="H1189" i="38"/>
  <c r="G1189" i="38"/>
  <c r="F1189" i="38"/>
  <c r="E1189" i="38"/>
  <c r="D1189" i="38"/>
  <c r="C1189" i="38"/>
  <c r="M1188" i="38"/>
  <c r="L1188" i="38"/>
  <c r="K1188" i="38"/>
  <c r="J1188" i="38"/>
  <c r="I1188" i="38"/>
  <c r="H1188" i="38"/>
  <c r="G1188" i="38"/>
  <c r="F1188" i="38"/>
  <c r="E1188" i="38"/>
  <c r="D1188" i="38"/>
  <c r="C1188" i="38"/>
  <c r="M1187" i="38"/>
  <c r="L1187" i="38"/>
  <c r="K1187" i="38"/>
  <c r="J1187" i="38"/>
  <c r="I1187" i="38"/>
  <c r="H1187" i="38"/>
  <c r="G1187" i="38"/>
  <c r="F1187" i="38"/>
  <c r="E1187" i="38"/>
  <c r="D1187" i="38"/>
  <c r="C1187" i="38"/>
  <c r="M1186" i="38"/>
  <c r="L1186" i="38"/>
  <c r="K1186" i="38"/>
  <c r="J1186" i="38"/>
  <c r="I1186" i="38"/>
  <c r="H1186" i="38"/>
  <c r="G1186" i="38"/>
  <c r="F1186" i="38"/>
  <c r="E1186" i="38"/>
  <c r="D1186" i="38"/>
  <c r="C1186" i="38"/>
  <c r="M1185" i="38"/>
  <c r="L1185" i="38"/>
  <c r="K1185" i="38"/>
  <c r="J1185" i="38"/>
  <c r="I1185" i="38"/>
  <c r="H1185" i="38"/>
  <c r="G1185" i="38"/>
  <c r="F1185" i="38"/>
  <c r="E1185" i="38"/>
  <c r="D1185" i="38"/>
  <c r="C1185" i="38"/>
  <c r="M1184" i="38"/>
  <c r="L1184" i="38"/>
  <c r="K1184" i="38"/>
  <c r="J1184" i="38"/>
  <c r="I1184" i="38"/>
  <c r="H1184" i="38"/>
  <c r="G1184" i="38"/>
  <c r="F1184" i="38"/>
  <c r="E1184" i="38"/>
  <c r="D1184" i="38"/>
  <c r="C1184" i="38"/>
  <c r="M1183" i="38"/>
  <c r="L1183" i="38"/>
  <c r="K1183" i="38"/>
  <c r="J1183" i="38"/>
  <c r="I1183" i="38"/>
  <c r="H1183" i="38"/>
  <c r="G1183" i="38"/>
  <c r="F1183" i="38"/>
  <c r="E1183" i="38"/>
  <c r="D1183" i="38"/>
  <c r="C1183" i="38"/>
  <c r="M1182" i="38"/>
  <c r="L1182" i="38"/>
  <c r="K1182" i="38"/>
  <c r="J1182" i="38"/>
  <c r="I1182" i="38"/>
  <c r="H1182" i="38"/>
  <c r="G1182" i="38"/>
  <c r="F1182" i="38"/>
  <c r="E1182" i="38"/>
  <c r="D1182" i="38"/>
  <c r="C1182" i="38"/>
  <c r="M1181" i="38"/>
  <c r="L1181" i="38"/>
  <c r="K1181" i="38"/>
  <c r="J1181" i="38"/>
  <c r="I1181" i="38"/>
  <c r="H1181" i="38"/>
  <c r="G1181" i="38"/>
  <c r="F1181" i="38"/>
  <c r="E1181" i="38"/>
  <c r="D1181" i="38"/>
  <c r="C1181" i="38"/>
  <c r="M1180" i="38"/>
  <c r="L1180" i="38"/>
  <c r="K1180" i="38"/>
  <c r="J1180" i="38"/>
  <c r="I1180" i="38"/>
  <c r="H1180" i="38"/>
  <c r="G1180" i="38"/>
  <c r="F1180" i="38"/>
  <c r="E1180" i="38"/>
  <c r="D1180" i="38"/>
  <c r="C1180" i="38"/>
  <c r="M1179" i="38"/>
  <c r="L1179" i="38"/>
  <c r="K1179" i="38"/>
  <c r="J1179" i="38"/>
  <c r="I1179" i="38"/>
  <c r="H1179" i="38"/>
  <c r="G1179" i="38"/>
  <c r="F1179" i="38"/>
  <c r="E1179" i="38"/>
  <c r="D1179" i="38"/>
  <c r="C1179" i="38"/>
  <c r="M1178" i="38"/>
  <c r="L1178" i="38"/>
  <c r="K1178" i="38"/>
  <c r="J1178" i="38"/>
  <c r="I1178" i="38"/>
  <c r="H1178" i="38"/>
  <c r="G1178" i="38"/>
  <c r="F1178" i="38"/>
  <c r="E1178" i="38"/>
  <c r="D1178" i="38"/>
  <c r="C1178" i="38"/>
  <c r="M1177" i="38"/>
  <c r="L1177" i="38"/>
  <c r="K1177" i="38"/>
  <c r="J1177" i="38"/>
  <c r="I1177" i="38"/>
  <c r="H1177" i="38"/>
  <c r="G1177" i="38"/>
  <c r="F1177" i="38"/>
  <c r="E1177" i="38"/>
  <c r="D1177" i="38"/>
  <c r="C1177" i="38"/>
  <c r="M1176" i="38"/>
  <c r="L1176" i="38"/>
  <c r="K1176" i="38"/>
  <c r="J1176" i="38"/>
  <c r="I1176" i="38"/>
  <c r="H1176" i="38"/>
  <c r="G1176" i="38"/>
  <c r="F1176" i="38"/>
  <c r="E1176" i="38"/>
  <c r="D1176" i="38"/>
  <c r="C1176" i="38"/>
  <c r="M1175" i="38"/>
  <c r="L1175" i="38"/>
  <c r="K1175" i="38"/>
  <c r="J1175" i="38"/>
  <c r="I1175" i="38"/>
  <c r="H1175" i="38"/>
  <c r="G1175" i="38"/>
  <c r="F1175" i="38"/>
  <c r="E1175" i="38"/>
  <c r="D1175" i="38"/>
  <c r="C1175" i="38"/>
  <c r="M1174" i="38"/>
  <c r="L1174" i="38"/>
  <c r="K1174" i="38"/>
  <c r="J1174" i="38"/>
  <c r="I1174" i="38"/>
  <c r="H1174" i="38"/>
  <c r="G1174" i="38"/>
  <c r="F1174" i="38"/>
  <c r="E1174" i="38"/>
  <c r="D1174" i="38"/>
  <c r="C1174" i="38"/>
  <c r="M1173" i="38"/>
  <c r="L1173" i="38"/>
  <c r="K1173" i="38"/>
  <c r="J1173" i="38"/>
  <c r="I1173" i="38"/>
  <c r="H1173" i="38"/>
  <c r="G1173" i="38"/>
  <c r="F1173" i="38"/>
  <c r="E1173" i="38"/>
  <c r="D1173" i="38"/>
  <c r="C1173" i="38"/>
  <c r="M1172" i="38"/>
  <c r="L1172" i="38"/>
  <c r="K1172" i="38"/>
  <c r="J1172" i="38"/>
  <c r="I1172" i="38"/>
  <c r="H1172" i="38"/>
  <c r="G1172" i="38"/>
  <c r="F1172" i="38"/>
  <c r="E1172" i="38"/>
  <c r="D1172" i="38"/>
  <c r="C1172" i="38"/>
  <c r="M1171" i="38"/>
  <c r="L1171" i="38"/>
  <c r="K1171" i="38"/>
  <c r="J1171" i="38"/>
  <c r="I1171" i="38"/>
  <c r="H1171" i="38"/>
  <c r="G1171" i="38"/>
  <c r="F1171" i="38"/>
  <c r="E1171" i="38"/>
  <c r="D1171" i="38"/>
  <c r="C1171" i="38"/>
  <c r="M1170" i="38"/>
  <c r="L1170" i="38"/>
  <c r="K1170" i="38"/>
  <c r="J1170" i="38"/>
  <c r="I1170" i="38"/>
  <c r="H1170" i="38"/>
  <c r="G1170" i="38"/>
  <c r="F1170" i="38"/>
  <c r="E1170" i="38"/>
  <c r="D1170" i="38"/>
  <c r="C1170" i="38"/>
  <c r="M1169" i="38"/>
  <c r="L1169" i="38"/>
  <c r="K1169" i="38"/>
  <c r="J1169" i="38"/>
  <c r="I1169" i="38"/>
  <c r="H1169" i="38"/>
  <c r="G1169" i="38"/>
  <c r="F1169" i="38"/>
  <c r="E1169" i="38"/>
  <c r="D1169" i="38"/>
  <c r="C1169" i="38"/>
  <c r="M1168" i="38"/>
  <c r="L1168" i="38"/>
  <c r="K1168" i="38"/>
  <c r="J1168" i="38"/>
  <c r="I1168" i="38"/>
  <c r="H1168" i="38"/>
  <c r="G1168" i="38"/>
  <c r="F1168" i="38"/>
  <c r="E1168" i="38"/>
  <c r="D1168" i="38"/>
  <c r="C1168" i="38"/>
  <c r="M1167" i="38"/>
  <c r="L1167" i="38"/>
  <c r="K1167" i="38"/>
  <c r="J1167" i="38"/>
  <c r="I1167" i="38"/>
  <c r="H1167" i="38"/>
  <c r="G1167" i="38"/>
  <c r="F1167" i="38"/>
  <c r="E1167" i="38"/>
  <c r="D1167" i="38"/>
  <c r="C1167" i="38"/>
  <c r="M1166" i="38"/>
  <c r="L1166" i="38"/>
  <c r="K1166" i="38"/>
  <c r="J1166" i="38"/>
  <c r="I1166" i="38"/>
  <c r="H1166" i="38"/>
  <c r="G1166" i="38"/>
  <c r="F1166" i="38"/>
  <c r="E1166" i="38"/>
  <c r="D1166" i="38"/>
  <c r="C1166" i="38"/>
  <c r="M1165" i="38"/>
  <c r="L1165" i="38"/>
  <c r="K1165" i="38"/>
  <c r="J1165" i="38"/>
  <c r="I1165" i="38"/>
  <c r="H1165" i="38"/>
  <c r="G1165" i="38"/>
  <c r="F1165" i="38"/>
  <c r="E1165" i="38"/>
  <c r="D1165" i="38"/>
  <c r="C1165" i="38"/>
  <c r="M1164" i="38"/>
  <c r="L1164" i="38"/>
  <c r="K1164" i="38"/>
  <c r="J1164" i="38"/>
  <c r="I1164" i="38"/>
  <c r="H1164" i="38"/>
  <c r="G1164" i="38"/>
  <c r="F1164" i="38"/>
  <c r="E1164" i="38"/>
  <c r="D1164" i="38"/>
  <c r="C1164" i="38"/>
  <c r="M1163" i="38"/>
  <c r="L1163" i="38"/>
  <c r="K1163" i="38"/>
  <c r="J1163" i="38"/>
  <c r="I1163" i="38"/>
  <c r="H1163" i="38"/>
  <c r="G1163" i="38"/>
  <c r="F1163" i="38"/>
  <c r="E1163" i="38"/>
  <c r="D1163" i="38"/>
  <c r="C1163" i="38"/>
  <c r="M1162" i="38"/>
  <c r="L1162" i="38"/>
  <c r="K1162" i="38"/>
  <c r="J1162" i="38"/>
  <c r="I1162" i="38"/>
  <c r="H1162" i="38"/>
  <c r="G1162" i="38"/>
  <c r="F1162" i="38"/>
  <c r="E1162" i="38"/>
  <c r="D1162" i="38"/>
  <c r="C1162" i="38"/>
  <c r="M1161" i="38"/>
  <c r="L1161" i="38"/>
  <c r="K1161" i="38"/>
  <c r="J1161" i="38"/>
  <c r="I1161" i="38"/>
  <c r="H1161" i="38"/>
  <c r="G1161" i="38"/>
  <c r="F1161" i="38"/>
  <c r="E1161" i="38"/>
  <c r="D1161" i="38"/>
  <c r="C1161" i="38"/>
  <c r="M1160" i="38"/>
  <c r="L1160" i="38"/>
  <c r="K1160" i="38"/>
  <c r="J1160" i="38"/>
  <c r="I1160" i="38"/>
  <c r="H1160" i="38"/>
  <c r="G1160" i="38"/>
  <c r="F1160" i="38"/>
  <c r="E1160" i="38"/>
  <c r="D1160" i="38"/>
  <c r="C1160" i="38"/>
  <c r="M1159" i="38"/>
  <c r="L1159" i="38"/>
  <c r="K1159" i="38"/>
  <c r="J1159" i="38"/>
  <c r="I1159" i="38"/>
  <c r="H1159" i="38"/>
  <c r="G1159" i="38"/>
  <c r="F1159" i="38"/>
  <c r="E1159" i="38"/>
  <c r="D1159" i="38"/>
  <c r="C1159" i="38"/>
  <c r="M1158" i="38"/>
  <c r="L1158" i="38"/>
  <c r="K1158" i="38"/>
  <c r="J1158" i="38"/>
  <c r="I1158" i="38"/>
  <c r="H1158" i="38"/>
  <c r="G1158" i="38"/>
  <c r="F1158" i="38"/>
  <c r="E1158" i="38"/>
  <c r="D1158" i="38"/>
  <c r="C1158" i="38"/>
  <c r="M1157" i="38"/>
  <c r="L1157" i="38"/>
  <c r="K1157" i="38"/>
  <c r="J1157" i="38"/>
  <c r="I1157" i="38"/>
  <c r="H1157" i="38"/>
  <c r="G1157" i="38"/>
  <c r="F1157" i="38"/>
  <c r="E1157" i="38"/>
  <c r="D1157" i="38"/>
  <c r="C1157" i="38"/>
  <c r="M1156" i="38"/>
  <c r="L1156" i="38"/>
  <c r="K1156" i="38"/>
  <c r="J1156" i="38"/>
  <c r="I1156" i="38"/>
  <c r="H1156" i="38"/>
  <c r="G1156" i="38"/>
  <c r="F1156" i="38"/>
  <c r="E1156" i="38"/>
  <c r="D1156" i="38"/>
  <c r="C1156" i="38"/>
  <c r="M1155" i="38"/>
  <c r="L1155" i="38"/>
  <c r="K1155" i="38"/>
  <c r="J1155" i="38"/>
  <c r="I1155" i="38"/>
  <c r="H1155" i="38"/>
  <c r="G1155" i="38"/>
  <c r="F1155" i="38"/>
  <c r="E1155" i="38"/>
  <c r="D1155" i="38"/>
  <c r="C1155" i="38"/>
  <c r="M1154" i="38"/>
  <c r="L1154" i="38"/>
  <c r="K1154" i="38"/>
  <c r="J1154" i="38"/>
  <c r="I1154" i="38"/>
  <c r="H1154" i="38"/>
  <c r="G1154" i="38"/>
  <c r="F1154" i="38"/>
  <c r="E1154" i="38"/>
  <c r="D1154" i="38"/>
  <c r="C1154" i="38"/>
  <c r="M1153" i="38"/>
  <c r="L1153" i="38"/>
  <c r="K1153" i="38"/>
  <c r="J1153" i="38"/>
  <c r="I1153" i="38"/>
  <c r="H1153" i="38"/>
  <c r="G1153" i="38"/>
  <c r="F1153" i="38"/>
  <c r="E1153" i="38"/>
  <c r="D1153" i="38"/>
  <c r="C1153" i="38"/>
  <c r="M1152" i="38"/>
  <c r="L1152" i="38"/>
  <c r="K1152" i="38"/>
  <c r="J1152" i="38"/>
  <c r="I1152" i="38"/>
  <c r="H1152" i="38"/>
  <c r="G1152" i="38"/>
  <c r="F1152" i="38"/>
  <c r="E1152" i="38"/>
  <c r="D1152" i="38"/>
  <c r="C1152" i="38"/>
  <c r="M1151" i="38"/>
  <c r="L1151" i="38"/>
  <c r="K1151" i="38"/>
  <c r="J1151" i="38"/>
  <c r="I1151" i="38"/>
  <c r="H1151" i="38"/>
  <c r="G1151" i="38"/>
  <c r="F1151" i="38"/>
  <c r="E1151" i="38"/>
  <c r="D1151" i="38"/>
  <c r="C1151" i="38"/>
  <c r="M1150" i="38"/>
  <c r="L1150" i="38"/>
  <c r="K1150" i="38"/>
  <c r="J1150" i="38"/>
  <c r="I1150" i="38"/>
  <c r="H1150" i="38"/>
  <c r="G1150" i="38"/>
  <c r="F1150" i="38"/>
  <c r="E1150" i="38"/>
  <c r="D1150" i="38"/>
  <c r="C1150" i="38"/>
  <c r="M1149" i="38"/>
  <c r="L1149" i="38"/>
  <c r="K1149" i="38"/>
  <c r="J1149" i="38"/>
  <c r="I1149" i="38"/>
  <c r="H1149" i="38"/>
  <c r="G1149" i="38"/>
  <c r="F1149" i="38"/>
  <c r="E1149" i="38"/>
  <c r="D1149" i="38"/>
  <c r="C1149" i="38"/>
  <c r="M1148" i="38"/>
  <c r="L1148" i="38"/>
  <c r="K1148" i="38"/>
  <c r="J1148" i="38"/>
  <c r="I1148" i="38"/>
  <c r="H1148" i="38"/>
  <c r="G1148" i="38"/>
  <c r="F1148" i="38"/>
  <c r="E1148" i="38"/>
  <c r="D1148" i="38"/>
  <c r="C1148" i="38"/>
  <c r="M1147" i="38"/>
  <c r="L1147" i="38"/>
  <c r="K1147" i="38"/>
  <c r="J1147" i="38"/>
  <c r="I1147" i="38"/>
  <c r="H1147" i="38"/>
  <c r="G1147" i="38"/>
  <c r="F1147" i="38"/>
  <c r="E1147" i="38"/>
  <c r="D1147" i="38"/>
  <c r="C1147" i="38"/>
  <c r="M1146" i="38"/>
  <c r="L1146" i="38"/>
  <c r="K1146" i="38"/>
  <c r="J1146" i="38"/>
  <c r="I1146" i="38"/>
  <c r="H1146" i="38"/>
  <c r="G1146" i="38"/>
  <c r="F1146" i="38"/>
  <c r="E1146" i="38"/>
  <c r="D1146" i="38"/>
  <c r="C1146" i="38"/>
  <c r="M1145" i="38"/>
  <c r="L1145" i="38"/>
  <c r="K1145" i="38"/>
  <c r="J1145" i="38"/>
  <c r="I1145" i="38"/>
  <c r="H1145" i="38"/>
  <c r="G1145" i="38"/>
  <c r="F1145" i="38"/>
  <c r="E1145" i="38"/>
  <c r="D1145" i="38"/>
  <c r="C1145" i="38"/>
  <c r="M1144" i="38"/>
  <c r="L1144" i="38"/>
  <c r="K1144" i="38"/>
  <c r="J1144" i="38"/>
  <c r="I1144" i="38"/>
  <c r="H1144" i="38"/>
  <c r="G1144" i="38"/>
  <c r="F1144" i="38"/>
  <c r="E1144" i="38"/>
  <c r="D1144" i="38"/>
  <c r="C1144" i="38"/>
  <c r="M1143" i="38"/>
  <c r="L1143" i="38"/>
  <c r="K1143" i="38"/>
  <c r="J1143" i="38"/>
  <c r="I1143" i="38"/>
  <c r="H1143" i="38"/>
  <c r="G1143" i="38"/>
  <c r="F1143" i="38"/>
  <c r="E1143" i="38"/>
  <c r="D1143" i="38"/>
  <c r="C1143" i="38"/>
  <c r="M1142" i="38"/>
  <c r="L1142" i="38"/>
  <c r="K1142" i="38"/>
  <c r="J1142" i="38"/>
  <c r="I1142" i="38"/>
  <c r="H1142" i="38"/>
  <c r="G1142" i="38"/>
  <c r="F1142" i="38"/>
  <c r="E1142" i="38"/>
  <c r="D1142" i="38"/>
  <c r="C1142" i="38"/>
  <c r="M1141" i="38"/>
  <c r="L1141" i="38"/>
  <c r="K1141" i="38"/>
  <c r="J1141" i="38"/>
  <c r="I1141" i="38"/>
  <c r="H1141" i="38"/>
  <c r="G1141" i="38"/>
  <c r="F1141" i="38"/>
  <c r="E1141" i="38"/>
  <c r="D1141" i="38"/>
  <c r="C1141" i="38"/>
  <c r="M1140" i="38"/>
  <c r="L1140" i="38"/>
  <c r="K1140" i="38"/>
  <c r="J1140" i="38"/>
  <c r="I1140" i="38"/>
  <c r="H1140" i="38"/>
  <c r="G1140" i="38"/>
  <c r="F1140" i="38"/>
  <c r="E1140" i="38"/>
  <c r="D1140" i="38"/>
  <c r="C1140" i="38"/>
  <c r="M1139" i="38"/>
  <c r="L1139" i="38"/>
  <c r="K1139" i="38"/>
  <c r="J1139" i="38"/>
  <c r="I1139" i="38"/>
  <c r="H1139" i="38"/>
  <c r="G1139" i="38"/>
  <c r="F1139" i="38"/>
  <c r="E1139" i="38"/>
  <c r="D1139" i="38"/>
  <c r="C1139" i="38"/>
  <c r="M1138" i="38"/>
  <c r="L1138" i="38"/>
  <c r="K1138" i="38"/>
  <c r="J1138" i="38"/>
  <c r="I1138" i="38"/>
  <c r="H1138" i="38"/>
  <c r="G1138" i="38"/>
  <c r="F1138" i="38"/>
  <c r="E1138" i="38"/>
  <c r="D1138" i="38"/>
  <c r="C1138" i="38"/>
  <c r="M1137" i="38"/>
  <c r="L1137" i="38"/>
  <c r="K1137" i="38"/>
  <c r="J1137" i="38"/>
  <c r="I1137" i="38"/>
  <c r="H1137" i="38"/>
  <c r="G1137" i="38"/>
  <c r="F1137" i="38"/>
  <c r="E1137" i="38"/>
  <c r="D1137" i="38"/>
  <c r="C1137" i="38"/>
  <c r="M1136" i="38"/>
  <c r="L1136" i="38"/>
  <c r="K1136" i="38"/>
  <c r="J1136" i="38"/>
  <c r="I1136" i="38"/>
  <c r="H1136" i="38"/>
  <c r="G1136" i="38"/>
  <c r="F1136" i="38"/>
  <c r="E1136" i="38"/>
  <c r="D1136" i="38"/>
  <c r="C1136" i="38"/>
  <c r="M1135" i="38"/>
  <c r="L1135" i="38"/>
  <c r="K1135" i="38"/>
  <c r="J1135" i="38"/>
  <c r="I1135" i="38"/>
  <c r="H1135" i="38"/>
  <c r="G1135" i="38"/>
  <c r="F1135" i="38"/>
  <c r="E1135" i="38"/>
  <c r="D1135" i="38"/>
  <c r="C1135" i="38"/>
  <c r="M1134" i="38"/>
  <c r="L1134" i="38"/>
  <c r="K1134" i="38"/>
  <c r="J1134" i="38"/>
  <c r="I1134" i="38"/>
  <c r="H1134" i="38"/>
  <c r="G1134" i="38"/>
  <c r="F1134" i="38"/>
  <c r="E1134" i="38"/>
  <c r="D1134" i="38"/>
  <c r="C1134" i="38"/>
  <c r="M1133" i="38"/>
  <c r="L1133" i="38"/>
  <c r="K1133" i="38"/>
  <c r="J1133" i="38"/>
  <c r="I1133" i="38"/>
  <c r="H1133" i="38"/>
  <c r="G1133" i="38"/>
  <c r="F1133" i="38"/>
  <c r="E1133" i="38"/>
  <c r="D1133" i="38"/>
  <c r="C1133" i="38"/>
  <c r="M1132" i="38"/>
  <c r="L1132" i="38"/>
  <c r="K1132" i="38"/>
  <c r="J1132" i="38"/>
  <c r="I1132" i="38"/>
  <c r="H1132" i="38"/>
  <c r="G1132" i="38"/>
  <c r="F1132" i="38"/>
  <c r="E1132" i="38"/>
  <c r="D1132" i="38"/>
  <c r="C1132" i="38"/>
  <c r="M1131" i="38"/>
  <c r="L1131" i="38"/>
  <c r="K1131" i="38"/>
  <c r="J1131" i="38"/>
  <c r="I1131" i="38"/>
  <c r="H1131" i="38"/>
  <c r="G1131" i="38"/>
  <c r="F1131" i="38"/>
  <c r="E1131" i="38"/>
  <c r="D1131" i="38"/>
  <c r="C1131" i="38"/>
  <c r="M1130" i="38"/>
  <c r="L1130" i="38"/>
  <c r="K1130" i="38"/>
  <c r="J1130" i="38"/>
  <c r="I1130" i="38"/>
  <c r="H1130" i="38"/>
  <c r="G1130" i="38"/>
  <c r="F1130" i="38"/>
  <c r="E1130" i="38"/>
  <c r="D1130" i="38"/>
  <c r="C1130" i="38"/>
  <c r="M1129" i="38"/>
  <c r="L1129" i="38"/>
  <c r="K1129" i="38"/>
  <c r="J1129" i="38"/>
  <c r="I1129" i="38"/>
  <c r="H1129" i="38"/>
  <c r="G1129" i="38"/>
  <c r="F1129" i="38"/>
  <c r="E1129" i="38"/>
  <c r="D1129" i="38"/>
  <c r="C1129" i="38"/>
  <c r="M1128" i="38"/>
  <c r="L1128" i="38"/>
  <c r="K1128" i="38"/>
  <c r="J1128" i="38"/>
  <c r="I1128" i="38"/>
  <c r="H1128" i="38"/>
  <c r="G1128" i="38"/>
  <c r="F1128" i="38"/>
  <c r="E1128" i="38"/>
  <c r="D1128" i="38"/>
  <c r="C1128" i="38"/>
  <c r="M1127" i="38"/>
  <c r="L1127" i="38"/>
  <c r="K1127" i="38"/>
  <c r="J1127" i="38"/>
  <c r="I1127" i="38"/>
  <c r="H1127" i="38"/>
  <c r="G1127" i="38"/>
  <c r="F1127" i="38"/>
  <c r="E1127" i="38"/>
  <c r="D1127" i="38"/>
  <c r="C1127" i="38"/>
  <c r="M1126" i="38"/>
  <c r="L1126" i="38"/>
  <c r="K1126" i="38"/>
  <c r="J1126" i="38"/>
  <c r="I1126" i="38"/>
  <c r="H1126" i="38"/>
  <c r="G1126" i="38"/>
  <c r="F1126" i="38"/>
  <c r="E1126" i="38"/>
  <c r="D1126" i="38"/>
  <c r="C1126" i="38"/>
  <c r="M1125" i="38"/>
  <c r="L1125" i="38"/>
  <c r="K1125" i="38"/>
  <c r="J1125" i="38"/>
  <c r="I1125" i="38"/>
  <c r="H1125" i="38"/>
  <c r="G1125" i="38"/>
  <c r="F1125" i="38"/>
  <c r="E1125" i="38"/>
  <c r="D1125" i="38"/>
  <c r="C1125" i="38"/>
  <c r="M1124" i="38"/>
  <c r="L1124" i="38"/>
  <c r="K1124" i="38"/>
  <c r="J1124" i="38"/>
  <c r="I1124" i="38"/>
  <c r="H1124" i="38"/>
  <c r="G1124" i="38"/>
  <c r="F1124" i="38"/>
  <c r="E1124" i="38"/>
  <c r="D1124" i="38"/>
  <c r="C1124" i="38"/>
  <c r="M1123" i="38"/>
  <c r="L1123" i="38"/>
  <c r="K1123" i="38"/>
  <c r="J1123" i="38"/>
  <c r="I1123" i="38"/>
  <c r="H1123" i="38"/>
  <c r="G1123" i="38"/>
  <c r="F1123" i="38"/>
  <c r="E1123" i="38"/>
  <c r="D1123" i="38"/>
  <c r="C1123" i="38"/>
  <c r="M1122" i="38"/>
  <c r="L1122" i="38"/>
  <c r="K1122" i="38"/>
  <c r="J1122" i="38"/>
  <c r="I1122" i="38"/>
  <c r="H1122" i="38"/>
  <c r="G1122" i="38"/>
  <c r="F1122" i="38"/>
  <c r="E1122" i="38"/>
  <c r="D1122" i="38"/>
  <c r="C1122" i="38"/>
  <c r="M1121" i="38"/>
  <c r="L1121" i="38"/>
  <c r="K1121" i="38"/>
  <c r="J1121" i="38"/>
  <c r="I1121" i="38"/>
  <c r="H1121" i="38"/>
  <c r="G1121" i="38"/>
  <c r="F1121" i="38"/>
  <c r="E1121" i="38"/>
  <c r="D1121" i="38"/>
  <c r="C1121" i="38"/>
  <c r="M1120" i="38"/>
  <c r="L1120" i="38"/>
  <c r="K1120" i="38"/>
  <c r="J1120" i="38"/>
  <c r="I1120" i="38"/>
  <c r="H1120" i="38"/>
  <c r="G1120" i="38"/>
  <c r="F1120" i="38"/>
  <c r="E1120" i="38"/>
  <c r="D1120" i="38"/>
  <c r="C1120" i="38"/>
  <c r="M1119" i="38"/>
  <c r="L1119" i="38"/>
  <c r="K1119" i="38"/>
  <c r="J1119" i="38"/>
  <c r="I1119" i="38"/>
  <c r="H1119" i="38"/>
  <c r="G1119" i="38"/>
  <c r="F1119" i="38"/>
  <c r="E1119" i="38"/>
  <c r="D1119" i="38"/>
  <c r="C1119" i="38"/>
  <c r="M1118" i="38"/>
  <c r="L1118" i="38"/>
  <c r="K1118" i="38"/>
  <c r="J1118" i="38"/>
  <c r="I1118" i="38"/>
  <c r="H1118" i="38"/>
  <c r="G1118" i="38"/>
  <c r="F1118" i="38"/>
  <c r="E1118" i="38"/>
  <c r="D1118" i="38"/>
  <c r="C1118" i="38"/>
  <c r="M1117" i="38"/>
  <c r="L1117" i="38"/>
  <c r="K1117" i="38"/>
  <c r="J1117" i="38"/>
  <c r="I1117" i="38"/>
  <c r="H1117" i="38"/>
  <c r="G1117" i="38"/>
  <c r="F1117" i="38"/>
  <c r="E1117" i="38"/>
  <c r="D1117" i="38"/>
  <c r="C1117" i="38"/>
  <c r="M1116" i="38"/>
  <c r="L1116" i="38"/>
  <c r="K1116" i="38"/>
  <c r="J1116" i="38"/>
  <c r="I1116" i="38"/>
  <c r="H1116" i="38"/>
  <c r="G1116" i="38"/>
  <c r="F1116" i="38"/>
  <c r="E1116" i="38"/>
  <c r="D1116" i="38"/>
  <c r="C1116" i="38"/>
  <c r="M1115" i="38"/>
  <c r="L1115" i="38"/>
  <c r="K1115" i="38"/>
  <c r="J1115" i="38"/>
  <c r="I1115" i="38"/>
  <c r="H1115" i="38"/>
  <c r="G1115" i="38"/>
  <c r="F1115" i="38"/>
  <c r="E1115" i="38"/>
  <c r="D1115" i="38"/>
  <c r="C1115" i="38"/>
  <c r="M1114" i="38"/>
  <c r="L1114" i="38"/>
  <c r="K1114" i="38"/>
  <c r="J1114" i="38"/>
  <c r="I1114" i="38"/>
  <c r="H1114" i="38"/>
  <c r="G1114" i="38"/>
  <c r="F1114" i="38"/>
  <c r="E1114" i="38"/>
  <c r="D1114" i="38"/>
  <c r="C1114" i="38"/>
  <c r="G1106" i="38"/>
  <c r="F1106" i="38"/>
  <c r="E1106" i="38"/>
  <c r="D1106" i="38"/>
  <c r="C1106" i="38"/>
  <c r="B1106" i="38"/>
  <c r="G1105" i="38"/>
  <c r="F1105" i="38"/>
  <c r="E1105" i="38"/>
  <c r="D1105" i="38"/>
  <c r="C1105" i="38"/>
  <c r="B1105" i="38"/>
  <c r="G1104" i="38"/>
  <c r="F1104" i="38"/>
  <c r="E1104" i="38"/>
  <c r="D1104" i="38"/>
  <c r="C1104" i="38"/>
  <c r="B1104" i="38"/>
  <c r="G1103" i="38"/>
  <c r="F1103" i="38"/>
  <c r="E1103" i="38"/>
  <c r="D1103" i="38"/>
  <c r="C1103" i="38"/>
  <c r="B1103" i="38"/>
  <c r="G1102" i="38"/>
  <c r="F1102" i="38"/>
  <c r="E1102" i="38"/>
  <c r="D1102" i="38"/>
  <c r="C1102" i="38"/>
  <c r="B1102" i="38"/>
  <c r="G1101" i="38"/>
  <c r="F1101" i="38"/>
  <c r="E1101" i="38"/>
  <c r="D1101" i="38"/>
  <c r="C1101" i="38"/>
  <c r="B1101" i="38"/>
  <c r="G1100" i="38"/>
  <c r="F1100" i="38"/>
  <c r="E1100" i="38"/>
  <c r="D1100" i="38"/>
  <c r="C1100" i="38"/>
  <c r="B1100" i="38"/>
  <c r="G1099" i="38"/>
  <c r="F1099" i="38"/>
  <c r="E1099" i="38"/>
  <c r="D1099" i="38"/>
  <c r="C1099" i="38"/>
  <c r="B1099" i="38"/>
  <c r="G1098" i="38"/>
  <c r="F1098" i="38"/>
  <c r="E1098" i="38"/>
  <c r="D1098" i="38"/>
  <c r="C1098" i="38"/>
  <c r="B1098" i="38"/>
  <c r="G1097" i="38"/>
  <c r="F1097" i="38"/>
  <c r="E1097" i="38"/>
  <c r="D1097" i="38"/>
  <c r="C1097" i="38"/>
  <c r="B1097" i="38"/>
  <c r="G1096" i="38"/>
  <c r="F1096" i="38"/>
  <c r="E1096" i="38"/>
  <c r="D1096" i="38"/>
  <c r="C1096" i="38"/>
  <c r="B1096" i="38"/>
  <c r="G1095" i="38"/>
  <c r="F1095" i="38"/>
  <c r="E1095" i="38"/>
  <c r="D1095" i="38"/>
  <c r="C1095" i="38"/>
  <c r="B1095" i="38"/>
  <c r="G1094" i="38"/>
  <c r="F1094" i="38"/>
  <c r="E1094" i="38"/>
  <c r="D1094" i="38"/>
  <c r="C1094" i="38"/>
  <c r="B1094" i="38"/>
  <c r="G1093" i="38"/>
  <c r="F1093" i="38"/>
  <c r="E1093" i="38"/>
  <c r="D1093" i="38"/>
  <c r="C1093" i="38"/>
  <c r="B1093" i="38"/>
  <c r="G1092" i="38"/>
  <c r="F1092" i="38"/>
  <c r="E1092" i="38"/>
  <c r="D1092" i="38"/>
  <c r="C1092" i="38"/>
  <c r="B1092" i="38"/>
  <c r="G1091" i="38"/>
  <c r="F1091" i="38"/>
  <c r="E1091" i="38"/>
  <c r="D1091" i="38"/>
  <c r="C1091" i="38"/>
  <c r="B1091" i="38"/>
  <c r="G1090" i="38"/>
  <c r="F1090" i="38"/>
  <c r="E1090" i="38"/>
  <c r="D1090" i="38"/>
  <c r="C1090" i="38"/>
  <c r="B1090" i="38"/>
  <c r="G1089" i="38"/>
  <c r="F1089" i="38"/>
  <c r="E1089" i="38"/>
  <c r="D1089" i="38"/>
  <c r="C1089" i="38"/>
  <c r="B1089" i="38"/>
  <c r="G1088" i="38"/>
  <c r="F1088" i="38"/>
  <c r="E1088" i="38"/>
  <c r="D1088" i="38"/>
  <c r="C1088" i="38"/>
  <c r="B1088" i="38"/>
  <c r="G1087" i="38"/>
  <c r="F1087" i="38"/>
  <c r="E1087" i="38"/>
  <c r="D1087" i="38"/>
  <c r="C1087" i="38"/>
  <c r="B1087" i="38"/>
  <c r="G1086" i="38"/>
  <c r="F1086" i="38"/>
  <c r="E1086" i="38"/>
  <c r="D1086" i="38"/>
  <c r="C1086" i="38"/>
  <c r="B1086" i="38"/>
  <c r="G1085" i="38"/>
  <c r="F1085" i="38"/>
  <c r="E1085" i="38"/>
  <c r="D1085" i="38"/>
  <c r="C1085" i="38"/>
  <c r="B1085" i="38"/>
  <c r="G1084" i="38"/>
  <c r="F1084" i="38"/>
  <c r="E1084" i="38"/>
  <c r="D1084" i="38"/>
  <c r="C1084" i="38"/>
  <c r="B1084" i="38"/>
  <c r="G1083" i="38"/>
  <c r="F1083" i="38"/>
  <c r="E1083" i="38"/>
  <c r="D1083" i="38"/>
  <c r="C1083" i="38"/>
  <c r="B1083" i="38"/>
  <c r="G1082" i="38"/>
  <c r="F1082" i="38"/>
  <c r="E1082" i="38"/>
  <c r="D1082" i="38"/>
  <c r="C1082" i="38"/>
  <c r="B1082" i="38"/>
  <c r="G1081" i="38"/>
  <c r="F1081" i="38"/>
  <c r="E1081" i="38"/>
  <c r="D1081" i="38"/>
  <c r="C1081" i="38"/>
  <c r="B1081" i="38"/>
  <c r="G1080" i="38"/>
  <c r="F1080" i="38"/>
  <c r="E1080" i="38"/>
  <c r="D1080" i="38"/>
  <c r="C1080" i="38"/>
  <c r="B1080" i="38"/>
  <c r="G1079" i="38"/>
  <c r="F1079" i="38"/>
  <c r="E1079" i="38"/>
  <c r="D1079" i="38"/>
  <c r="C1079" i="38"/>
  <c r="B1079" i="38"/>
  <c r="G1078" i="38"/>
  <c r="F1078" i="38"/>
  <c r="E1078" i="38"/>
  <c r="D1078" i="38"/>
  <c r="C1078" i="38"/>
  <c r="B1078" i="38"/>
  <c r="G1077" i="38"/>
  <c r="F1077" i="38"/>
  <c r="E1077" i="38"/>
  <c r="D1077" i="38"/>
  <c r="C1077" i="38"/>
  <c r="B1077" i="38"/>
  <c r="G1076" i="38"/>
  <c r="F1076" i="38"/>
  <c r="E1076" i="38"/>
  <c r="D1076" i="38"/>
  <c r="C1076" i="38"/>
  <c r="B1076" i="38"/>
  <c r="G1075" i="38"/>
  <c r="F1075" i="38"/>
  <c r="E1075" i="38"/>
  <c r="D1075" i="38"/>
  <c r="C1075" i="38"/>
  <c r="B1075" i="38"/>
  <c r="G1074" i="38"/>
  <c r="F1074" i="38"/>
  <c r="E1074" i="38"/>
  <c r="D1074" i="38"/>
  <c r="C1074" i="38"/>
  <c r="B1074" i="38"/>
  <c r="G1073" i="38"/>
  <c r="F1073" i="38"/>
  <c r="E1073" i="38"/>
  <c r="D1073" i="38"/>
  <c r="C1073" i="38"/>
  <c r="B1073" i="38"/>
  <c r="G1072" i="38"/>
  <c r="F1072" i="38"/>
  <c r="E1072" i="38"/>
  <c r="D1072" i="38"/>
  <c r="C1072" i="38"/>
  <c r="B1072" i="38"/>
  <c r="G1071" i="38"/>
  <c r="F1071" i="38"/>
  <c r="E1071" i="38"/>
  <c r="D1071" i="38"/>
  <c r="C1071" i="38"/>
  <c r="B1071" i="38"/>
  <c r="G1070" i="38"/>
  <c r="F1070" i="38"/>
  <c r="E1070" i="38"/>
  <c r="D1070" i="38"/>
  <c r="C1070" i="38"/>
  <c r="B1070" i="38"/>
  <c r="G1069" i="38"/>
  <c r="F1069" i="38"/>
  <c r="E1069" i="38"/>
  <c r="D1069" i="38"/>
  <c r="C1069" i="38"/>
  <c r="B1069" i="38"/>
  <c r="G1068" i="38"/>
  <c r="F1068" i="38"/>
  <c r="E1068" i="38"/>
  <c r="D1068" i="38"/>
  <c r="C1068" i="38"/>
  <c r="B1068" i="38"/>
  <c r="G1067" i="38"/>
  <c r="F1067" i="38"/>
  <c r="E1067" i="38"/>
  <c r="D1067" i="38"/>
  <c r="C1067" i="38"/>
  <c r="B1067" i="38"/>
  <c r="G1066" i="38"/>
  <c r="F1066" i="38"/>
  <c r="E1066" i="38"/>
  <c r="D1066" i="38"/>
  <c r="C1066" i="38"/>
  <c r="B1066" i="38"/>
  <c r="G1065" i="38"/>
  <c r="F1065" i="38"/>
  <c r="E1065" i="38"/>
  <c r="D1065" i="38"/>
  <c r="C1065" i="38"/>
  <c r="B1065" i="38"/>
  <c r="G1064" i="38"/>
  <c r="F1064" i="38"/>
  <c r="E1064" i="38"/>
  <c r="D1064" i="38"/>
  <c r="C1064" i="38"/>
  <c r="B1064" i="38"/>
  <c r="G1063" i="38"/>
  <c r="F1063" i="38"/>
  <c r="E1063" i="38"/>
  <c r="D1063" i="38"/>
  <c r="C1063" i="38"/>
  <c r="B1063" i="38"/>
  <c r="G1062" i="38"/>
  <c r="F1062" i="38"/>
  <c r="E1062" i="38"/>
  <c r="D1062" i="38"/>
  <c r="C1062" i="38"/>
  <c r="B1062" i="38"/>
  <c r="G1061" i="38"/>
  <c r="F1061" i="38"/>
  <c r="E1061" i="38"/>
  <c r="D1061" i="38"/>
  <c r="C1061" i="38"/>
  <c r="B1061" i="38"/>
  <c r="G1060" i="38"/>
  <c r="F1060" i="38"/>
  <c r="E1060" i="38"/>
  <c r="D1060" i="38"/>
  <c r="C1060" i="38"/>
  <c r="B1060" i="38"/>
  <c r="G1059" i="38"/>
  <c r="F1059" i="38"/>
  <c r="E1059" i="38"/>
  <c r="D1059" i="38"/>
  <c r="C1059" i="38"/>
  <c r="B1059" i="38"/>
  <c r="G1058" i="38"/>
  <c r="F1058" i="38"/>
  <c r="E1058" i="38"/>
  <c r="D1058" i="38"/>
  <c r="C1058" i="38"/>
  <c r="B1058" i="38"/>
  <c r="G1057" i="38"/>
  <c r="F1057" i="38"/>
  <c r="E1057" i="38"/>
  <c r="D1057" i="38"/>
  <c r="C1057" i="38"/>
  <c r="B1057" i="38"/>
  <c r="G1056" i="38"/>
  <c r="F1056" i="38"/>
  <c r="E1056" i="38"/>
  <c r="D1056" i="38"/>
  <c r="C1056" i="38"/>
  <c r="B1056" i="38"/>
  <c r="G1055" i="38"/>
  <c r="F1055" i="38"/>
  <c r="E1055" i="38"/>
  <c r="D1055" i="38"/>
  <c r="C1055" i="38"/>
  <c r="B1055" i="38"/>
  <c r="G1054" i="38"/>
  <c r="F1054" i="38"/>
  <c r="E1054" i="38"/>
  <c r="D1054" i="38"/>
  <c r="C1054" i="38"/>
  <c r="B1054" i="38"/>
  <c r="G1053" i="38"/>
  <c r="F1053" i="38"/>
  <c r="E1053" i="38"/>
  <c r="D1053" i="38"/>
  <c r="C1053" i="38"/>
  <c r="B1053" i="38"/>
  <c r="G1052" i="38"/>
  <c r="F1052" i="38"/>
  <c r="E1052" i="38"/>
  <c r="D1052" i="38"/>
  <c r="C1052" i="38"/>
  <c r="B1052" i="38"/>
  <c r="G1051" i="38"/>
  <c r="F1051" i="38"/>
  <c r="E1051" i="38"/>
  <c r="D1051" i="38"/>
  <c r="C1051" i="38"/>
  <c r="B1051" i="38"/>
  <c r="G1050" i="38"/>
  <c r="F1050" i="38"/>
  <c r="E1050" i="38"/>
  <c r="D1050" i="38"/>
  <c r="C1050" i="38"/>
  <c r="B1050" i="38"/>
  <c r="G1049" i="38"/>
  <c r="F1049" i="38"/>
  <c r="E1049" i="38"/>
  <c r="D1049" i="38"/>
  <c r="C1049" i="38"/>
  <c r="B1049" i="38"/>
  <c r="G1048" i="38"/>
  <c r="F1048" i="38"/>
  <c r="E1048" i="38"/>
  <c r="D1048" i="38"/>
  <c r="C1048" i="38"/>
  <c r="B1048" i="38"/>
  <c r="G1047" i="38"/>
  <c r="F1047" i="38"/>
  <c r="E1047" i="38"/>
  <c r="D1047" i="38"/>
  <c r="C1047" i="38"/>
  <c r="B1047" i="38"/>
  <c r="G1046" i="38"/>
  <c r="F1046" i="38"/>
  <c r="E1046" i="38"/>
  <c r="D1046" i="38"/>
  <c r="C1046" i="38"/>
  <c r="B1046" i="38"/>
  <c r="G1045" i="38"/>
  <c r="F1045" i="38"/>
  <c r="E1045" i="38"/>
  <c r="D1045" i="38"/>
  <c r="C1045" i="38"/>
  <c r="B1045" i="38"/>
  <c r="G1044" i="38"/>
  <c r="F1044" i="38"/>
  <c r="E1044" i="38"/>
  <c r="D1044" i="38"/>
  <c r="C1044" i="38"/>
  <c r="B1044" i="38"/>
  <c r="G1043" i="38"/>
  <c r="F1043" i="38"/>
  <c r="E1043" i="38"/>
  <c r="D1043" i="38"/>
  <c r="C1043" i="38"/>
  <c r="B1043" i="38"/>
  <c r="G1042" i="38"/>
  <c r="F1042" i="38"/>
  <c r="E1042" i="38"/>
  <c r="D1042" i="38"/>
  <c r="C1042" i="38"/>
  <c r="B1042" i="38"/>
  <c r="G1041" i="38"/>
  <c r="F1041" i="38"/>
  <c r="E1041" i="38"/>
  <c r="D1041" i="38"/>
  <c r="C1041" i="38"/>
  <c r="B1041" i="38"/>
  <c r="G1040" i="38"/>
  <c r="F1040" i="38"/>
  <c r="E1040" i="38"/>
  <c r="D1040" i="38"/>
  <c r="C1040" i="38"/>
  <c r="B1040" i="38"/>
  <c r="G1039" i="38"/>
  <c r="F1039" i="38"/>
  <c r="E1039" i="38"/>
  <c r="D1039" i="38"/>
  <c r="C1039" i="38"/>
  <c r="B1039" i="38"/>
  <c r="G1038" i="38"/>
  <c r="F1038" i="38"/>
  <c r="E1038" i="38"/>
  <c r="D1038" i="38"/>
  <c r="C1038" i="38"/>
  <c r="B1038" i="38"/>
  <c r="G1037" i="38"/>
  <c r="F1037" i="38"/>
  <c r="E1037" i="38"/>
  <c r="D1037" i="38"/>
  <c r="C1037" i="38"/>
  <c r="B1037" i="38"/>
  <c r="G1036" i="38"/>
  <c r="F1036" i="38"/>
  <c r="E1036" i="38"/>
  <c r="D1036" i="38"/>
  <c r="C1036" i="38"/>
  <c r="B1036" i="38"/>
  <c r="G1035" i="38"/>
  <c r="F1035" i="38"/>
  <c r="E1035" i="38"/>
  <c r="D1035" i="38"/>
  <c r="C1035" i="38"/>
  <c r="B1035" i="38"/>
  <c r="G1034" i="38"/>
  <c r="F1034" i="38"/>
  <c r="E1034" i="38"/>
  <c r="D1034" i="38"/>
  <c r="C1034" i="38"/>
  <c r="B1034" i="38"/>
  <c r="G1033" i="38"/>
  <c r="F1033" i="38"/>
  <c r="E1033" i="38"/>
  <c r="D1033" i="38"/>
  <c r="C1033" i="38"/>
  <c r="B1033" i="38"/>
  <c r="G1032" i="38"/>
  <c r="F1032" i="38"/>
  <c r="E1032" i="38"/>
  <c r="D1032" i="38"/>
  <c r="C1032" i="38"/>
  <c r="B1032" i="38"/>
  <c r="G1031" i="38"/>
  <c r="F1031" i="38"/>
  <c r="E1031" i="38"/>
  <c r="D1031" i="38"/>
  <c r="C1031" i="38"/>
  <c r="B1031" i="38"/>
  <c r="G1030" i="38"/>
  <c r="F1030" i="38"/>
  <c r="E1030" i="38"/>
  <c r="D1030" i="38"/>
  <c r="C1030" i="38"/>
  <c r="B1030" i="38"/>
  <c r="G1029" i="38"/>
  <c r="F1029" i="38"/>
  <c r="E1029" i="38"/>
  <c r="D1029" i="38"/>
  <c r="C1029" i="38"/>
  <c r="B1029" i="38"/>
  <c r="G1028" i="38"/>
  <c r="F1028" i="38"/>
  <c r="E1028" i="38"/>
  <c r="D1028" i="38"/>
  <c r="C1028" i="38"/>
  <c r="B1028" i="38"/>
  <c r="G1027" i="38"/>
  <c r="F1027" i="38"/>
  <c r="E1027" i="38"/>
  <c r="D1027" i="38"/>
  <c r="C1027" i="38"/>
  <c r="B1027" i="38"/>
  <c r="G1026" i="38"/>
  <c r="F1026" i="38"/>
  <c r="E1026" i="38"/>
  <c r="D1026" i="38"/>
  <c r="C1026" i="38"/>
  <c r="B1026" i="38"/>
  <c r="G1025" i="38"/>
  <c r="F1025" i="38"/>
  <c r="E1025" i="38"/>
  <c r="D1025" i="38"/>
  <c r="C1025" i="38"/>
  <c r="B1025" i="38"/>
  <c r="G1024" i="38"/>
  <c r="F1024" i="38"/>
  <c r="E1024" i="38"/>
  <c r="D1024" i="38"/>
  <c r="C1024" i="38"/>
  <c r="B1024" i="38"/>
  <c r="G1023" i="38"/>
  <c r="F1023" i="38"/>
  <c r="E1023" i="38"/>
  <c r="D1023" i="38"/>
  <c r="C1023" i="38"/>
  <c r="B1023" i="38"/>
  <c r="G1022" i="38"/>
  <c r="F1022" i="38"/>
  <c r="E1022" i="38"/>
  <c r="D1022" i="38"/>
  <c r="C1022" i="38"/>
  <c r="B1022" i="38"/>
  <c r="G1021" i="38"/>
  <c r="F1021" i="38"/>
  <c r="E1021" i="38"/>
  <c r="D1021" i="38"/>
  <c r="C1021" i="38"/>
  <c r="B1021" i="38"/>
  <c r="G1020" i="38"/>
  <c r="F1020" i="38"/>
  <c r="E1020" i="38"/>
  <c r="D1020" i="38"/>
  <c r="C1020" i="38"/>
  <c r="B1020" i="38"/>
  <c r="G1019" i="38"/>
  <c r="F1019" i="38"/>
  <c r="E1019" i="38"/>
  <c r="D1019" i="38"/>
  <c r="C1019" i="38"/>
  <c r="B1019" i="38"/>
  <c r="G1018" i="38"/>
  <c r="F1018" i="38"/>
  <c r="E1018" i="38"/>
  <c r="D1018" i="38"/>
  <c r="C1018" i="38"/>
  <c r="B1018" i="38"/>
  <c r="G1017" i="38"/>
  <c r="F1017" i="38"/>
  <c r="E1017" i="38"/>
  <c r="D1017" i="38"/>
  <c r="C1017" i="38"/>
  <c r="B1017" i="38"/>
  <c r="G1016" i="38"/>
  <c r="F1016" i="38"/>
  <c r="E1016" i="38"/>
  <c r="D1016" i="38"/>
  <c r="C1016" i="38"/>
  <c r="B1016" i="38"/>
  <c r="G1015" i="38"/>
  <c r="F1015" i="38"/>
  <c r="E1015" i="38"/>
  <c r="D1015" i="38"/>
  <c r="C1015" i="38"/>
  <c r="B1015" i="38"/>
  <c r="G1014" i="38"/>
  <c r="F1014" i="38"/>
  <c r="E1014" i="38"/>
  <c r="D1014" i="38"/>
  <c r="C1014" i="38"/>
  <c r="B1014" i="38"/>
  <c r="G1013" i="38"/>
  <c r="F1013" i="38"/>
  <c r="E1013" i="38"/>
  <c r="D1013" i="38"/>
  <c r="C1013" i="38"/>
  <c r="B1013" i="38"/>
  <c r="G1012" i="38"/>
  <c r="F1012" i="38"/>
  <c r="E1012" i="38"/>
  <c r="D1012" i="38"/>
  <c r="C1012" i="38"/>
  <c r="B1012" i="38"/>
  <c r="G1011" i="38"/>
  <c r="F1011" i="38"/>
  <c r="E1011" i="38"/>
  <c r="D1011" i="38"/>
  <c r="C1011" i="38"/>
  <c r="B1011" i="38"/>
  <c r="G1010" i="38"/>
  <c r="F1010" i="38"/>
  <c r="E1010" i="38"/>
  <c r="D1010" i="38"/>
  <c r="C1010" i="38"/>
  <c r="B1010" i="38"/>
  <c r="G1009" i="38"/>
  <c r="F1009" i="38"/>
  <c r="E1009" i="38"/>
  <c r="D1009" i="38"/>
  <c r="C1009" i="38"/>
  <c r="B1009" i="38"/>
  <c r="G1008" i="38"/>
  <c r="F1008" i="38"/>
  <c r="E1008" i="38"/>
  <c r="D1008" i="38"/>
  <c r="C1008" i="38"/>
  <c r="B1008" i="38"/>
  <c r="G1007" i="38"/>
  <c r="F1007" i="38"/>
  <c r="E1007" i="38"/>
  <c r="D1007" i="38"/>
  <c r="C1007" i="38"/>
  <c r="B1007" i="38"/>
  <c r="G1006" i="38"/>
  <c r="F1006" i="38"/>
  <c r="E1006" i="38"/>
  <c r="D1006" i="38"/>
  <c r="C1006" i="38"/>
  <c r="B1006" i="38"/>
  <c r="G1005" i="38"/>
  <c r="F1005" i="38"/>
  <c r="E1005" i="38"/>
  <c r="D1005" i="38"/>
  <c r="C1005" i="38"/>
  <c r="B1005" i="38"/>
  <c r="G1004" i="38"/>
  <c r="F1004" i="38"/>
  <c r="E1004" i="38"/>
  <c r="D1004" i="38"/>
  <c r="C1004" i="38"/>
  <c r="B1004" i="38"/>
  <c r="G1003" i="38"/>
  <c r="F1003" i="38"/>
  <c r="E1003" i="38"/>
  <c r="D1003" i="38"/>
  <c r="C1003" i="38"/>
  <c r="B1003" i="38"/>
  <c r="G1002" i="38"/>
  <c r="F1002" i="38"/>
  <c r="E1002" i="38"/>
  <c r="D1002" i="38"/>
  <c r="C1002" i="38"/>
  <c r="B1002" i="38"/>
  <c r="G1001" i="38"/>
  <c r="F1001" i="38"/>
  <c r="E1001" i="38"/>
  <c r="D1001" i="38"/>
  <c r="C1001" i="38"/>
  <c r="B1001" i="38"/>
  <c r="G1000" i="38"/>
  <c r="F1000" i="38"/>
  <c r="E1000" i="38"/>
  <c r="D1000" i="38"/>
  <c r="C1000" i="38"/>
  <c r="B1000" i="38"/>
  <c r="G999" i="38"/>
  <c r="F999" i="38"/>
  <c r="E999" i="38"/>
  <c r="D999" i="38"/>
  <c r="C999" i="38"/>
  <c r="B999" i="38"/>
  <c r="G998" i="38"/>
  <c r="F998" i="38"/>
  <c r="E998" i="38"/>
  <c r="D998" i="38"/>
  <c r="C998" i="38"/>
  <c r="B998" i="38"/>
  <c r="G997" i="38"/>
  <c r="F997" i="38"/>
  <c r="E997" i="38"/>
  <c r="D997" i="38"/>
  <c r="C997" i="38"/>
  <c r="B997" i="38"/>
  <c r="G996" i="38"/>
  <c r="F996" i="38"/>
  <c r="E996" i="38"/>
  <c r="D996" i="38"/>
  <c r="C996" i="38"/>
  <c r="B996" i="38"/>
  <c r="G995" i="38"/>
  <c r="F995" i="38"/>
  <c r="E995" i="38"/>
  <c r="D995" i="38"/>
  <c r="C995" i="38"/>
  <c r="B995" i="38"/>
  <c r="G994" i="38"/>
  <c r="F994" i="38"/>
  <c r="E994" i="38"/>
  <c r="D994" i="38"/>
  <c r="C994" i="38"/>
  <c r="B994" i="38"/>
  <c r="G993" i="38"/>
  <c r="F993" i="38"/>
  <c r="E993" i="38"/>
  <c r="D993" i="38"/>
  <c r="C993" i="38"/>
  <c r="B993" i="38"/>
  <c r="G992" i="38"/>
  <c r="F992" i="38"/>
  <c r="E992" i="38"/>
  <c r="D992" i="38"/>
  <c r="C992" i="38"/>
  <c r="B992" i="38"/>
  <c r="G991" i="38"/>
  <c r="F991" i="38"/>
  <c r="E991" i="38"/>
  <c r="D991" i="38"/>
  <c r="C991" i="38"/>
  <c r="B991" i="38"/>
  <c r="G990" i="38"/>
  <c r="F990" i="38"/>
  <c r="E990" i="38"/>
  <c r="D990" i="38"/>
  <c r="C990" i="38"/>
  <c r="B990" i="38"/>
  <c r="G989" i="38"/>
  <c r="F989" i="38"/>
  <c r="E989" i="38"/>
  <c r="D989" i="38"/>
  <c r="C989" i="38"/>
  <c r="B989" i="38"/>
  <c r="G988" i="38"/>
  <c r="F988" i="38"/>
  <c r="E988" i="38"/>
  <c r="D988" i="38"/>
  <c r="C988" i="38"/>
  <c r="B988" i="38"/>
  <c r="G987" i="38"/>
  <c r="F987" i="38"/>
  <c r="E987" i="38"/>
  <c r="D987" i="38"/>
  <c r="C987" i="38"/>
  <c r="B987" i="38"/>
  <c r="G986" i="38"/>
  <c r="F986" i="38"/>
  <c r="E986" i="38"/>
  <c r="D986" i="38"/>
  <c r="C986" i="38"/>
  <c r="B986" i="38"/>
  <c r="G985" i="38"/>
  <c r="F985" i="38"/>
  <c r="E985" i="38"/>
  <c r="D985" i="38"/>
  <c r="C985" i="38"/>
  <c r="B985" i="38"/>
  <c r="G984" i="38"/>
  <c r="F984" i="38"/>
  <c r="E984" i="38"/>
  <c r="D984" i="38"/>
  <c r="C984" i="38"/>
  <c r="B984" i="38"/>
  <c r="G983" i="38"/>
  <c r="F983" i="38"/>
  <c r="E983" i="38"/>
  <c r="D983" i="38"/>
  <c r="C983" i="38"/>
  <c r="B983" i="38"/>
  <c r="G982" i="38"/>
  <c r="F982" i="38"/>
  <c r="E982" i="38"/>
  <c r="D982" i="38"/>
  <c r="C982" i="38"/>
  <c r="B982" i="38"/>
  <c r="G981" i="38"/>
  <c r="F981" i="38"/>
  <c r="E981" i="38"/>
  <c r="D981" i="38"/>
  <c r="C981" i="38"/>
  <c r="B981" i="38"/>
  <c r="G980" i="38"/>
  <c r="F980" i="38"/>
  <c r="E980" i="38"/>
  <c r="D980" i="38"/>
  <c r="C980" i="38"/>
  <c r="B980" i="38"/>
  <c r="G979" i="38"/>
  <c r="F979" i="38"/>
  <c r="E979" i="38"/>
  <c r="D979" i="38"/>
  <c r="C979" i="38"/>
  <c r="B979" i="38"/>
  <c r="G978" i="38"/>
  <c r="F978" i="38"/>
  <c r="E978" i="38"/>
  <c r="D978" i="38"/>
  <c r="C978" i="38"/>
  <c r="B978" i="38"/>
  <c r="G977" i="38"/>
  <c r="F977" i="38"/>
  <c r="E977" i="38"/>
  <c r="D977" i="38"/>
  <c r="C977" i="38"/>
  <c r="B977" i="38"/>
  <c r="G976" i="38"/>
  <c r="F976" i="38"/>
  <c r="E976" i="38"/>
  <c r="D976" i="38"/>
  <c r="C976" i="38"/>
  <c r="B976" i="38"/>
  <c r="G975" i="38"/>
  <c r="F975" i="38"/>
  <c r="E975" i="38"/>
  <c r="D975" i="38"/>
  <c r="C975" i="38"/>
  <c r="B975" i="38"/>
  <c r="G974" i="38"/>
  <c r="F974" i="38"/>
  <c r="E974" i="38"/>
  <c r="D974" i="38"/>
  <c r="C974" i="38"/>
  <c r="B974" i="38"/>
  <c r="G973" i="38"/>
  <c r="F973" i="38"/>
  <c r="E973" i="38"/>
  <c r="D973" i="38"/>
  <c r="C973" i="38"/>
  <c r="B973" i="38"/>
  <c r="G972" i="38"/>
  <c r="F972" i="38"/>
  <c r="E972" i="38"/>
  <c r="D972" i="38"/>
  <c r="C972" i="38"/>
  <c r="B972" i="38"/>
  <c r="G971" i="38"/>
  <c r="F971" i="38"/>
  <c r="E971" i="38"/>
  <c r="D971" i="38"/>
  <c r="C971" i="38"/>
  <c r="B971" i="38"/>
  <c r="G970" i="38"/>
  <c r="F970" i="38"/>
  <c r="E970" i="38"/>
  <c r="D970" i="38"/>
  <c r="C970" i="38"/>
  <c r="B970" i="38"/>
  <c r="G969" i="38"/>
  <c r="F969" i="38"/>
  <c r="E969" i="38"/>
  <c r="D969" i="38"/>
  <c r="C969" i="38"/>
  <c r="B969" i="38"/>
  <c r="G968" i="38"/>
  <c r="F968" i="38"/>
  <c r="E968" i="38"/>
  <c r="D968" i="38"/>
  <c r="C968" i="38"/>
  <c r="B968" i="38"/>
  <c r="G967" i="38"/>
  <c r="F967" i="38"/>
  <c r="E967" i="38"/>
  <c r="D967" i="38"/>
  <c r="C967" i="38"/>
  <c r="B967" i="38"/>
  <c r="G966" i="38"/>
  <c r="F966" i="38"/>
  <c r="E966" i="38"/>
  <c r="D966" i="38"/>
  <c r="C966" i="38"/>
  <c r="B966" i="38"/>
  <c r="G965" i="38"/>
  <c r="F965" i="38"/>
  <c r="E965" i="38"/>
  <c r="D965" i="38"/>
  <c r="C965" i="38"/>
  <c r="B965" i="38"/>
  <c r="G964" i="38"/>
  <c r="F964" i="38"/>
  <c r="E964" i="38"/>
  <c r="D964" i="38"/>
  <c r="C964" i="38"/>
  <c r="B964" i="38"/>
  <c r="G963" i="38"/>
  <c r="F963" i="38"/>
  <c r="E963" i="38"/>
  <c r="D963" i="38"/>
  <c r="C963" i="38"/>
  <c r="B963" i="38"/>
  <c r="G962" i="38"/>
  <c r="F962" i="38"/>
  <c r="E962" i="38"/>
  <c r="D962" i="38"/>
  <c r="C962" i="38"/>
  <c r="B962" i="38"/>
  <c r="G961" i="38"/>
  <c r="F961" i="38"/>
  <c r="E961" i="38"/>
  <c r="D961" i="38"/>
  <c r="C961" i="38"/>
  <c r="B961" i="38"/>
  <c r="G960" i="38"/>
  <c r="F960" i="38"/>
  <c r="E960" i="38"/>
  <c r="D960" i="38"/>
  <c r="C960" i="38"/>
  <c r="B960" i="38"/>
  <c r="G959" i="38"/>
  <c r="F959" i="38"/>
  <c r="E959" i="38"/>
  <c r="D959" i="38"/>
  <c r="C959" i="38"/>
  <c r="B959" i="38"/>
  <c r="G958" i="38"/>
  <c r="F958" i="38"/>
  <c r="E958" i="38"/>
  <c r="D958" i="38"/>
  <c r="C958" i="38"/>
  <c r="B958" i="38"/>
  <c r="G957" i="38"/>
  <c r="F957" i="38"/>
  <c r="E957" i="38"/>
  <c r="D957" i="38"/>
  <c r="C957" i="38"/>
  <c r="B957" i="38"/>
  <c r="G956" i="38"/>
  <c r="F956" i="38"/>
  <c r="E956" i="38"/>
  <c r="D956" i="38"/>
  <c r="C956" i="38"/>
  <c r="B956" i="38"/>
  <c r="G955" i="38"/>
  <c r="F955" i="38"/>
  <c r="E955" i="38"/>
  <c r="D955" i="38"/>
  <c r="C955" i="38"/>
  <c r="B955" i="38"/>
  <c r="G954" i="38"/>
  <c r="F954" i="38"/>
  <c r="E954" i="38"/>
  <c r="D954" i="38"/>
  <c r="C954" i="38"/>
  <c r="B954" i="38"/>
  <c r="G953" i="38"/>
  <c r="F953" i="38"/>
  <c r="E953" i="38"/>
  <c r="D953" i="38"/>
  <c r="C953" i="38"/>
  <c r="B953" i="38"/>
  <c r="G952" i="38"/>
  <c r="F952" i="38"/>
  <c r="E952" i="38"/>
  <c r="D952" i="38"/>
  <c r="C952" i="38"/>
  <c r="B952" i="38"/>
  <c r="G951" i="38"/>
  <c r="F951" i="38"/>
  <c r="E951" i="38"/>
  <c r="D951" i="38"/>
  <c r="C951" i="38"/>
  <c r="B951" i="38"/>
  <c r="G950" i="38"/>
  <c r="F950" i="38"/>
  <c r="E950" i="38"/>
  <c r="D950" i="38"/>
  <c r="C950" i="38"/>
  <c r="B950" i="38"/>
  <c r="G949" i="38"/>
  <c r="F949" i="38"/>
  <c r="E949" i="38"/>
  <c r="D949" i="38"/>
  <c r="C949" i="38"/>
  <c r="B949" i="38"/>
  <c r="G948" i="38"/>
  <c r="F948" i="38"/>
  <c r="E948" i="38"/>
  <c r="D948" i="38"/>
  <c r="C948" i="38"/>
  <c r="B948" i="38"/>
  <c r="G947" i="38"/>
  <c r="F947" i="38"/>
  <c r="E947" i="38"/>
  <c r="D947" i="38"/>
  <c r="C947" i="38"/>
  <c r="B947" i="38"/>
  <c r="G946" i="38"/>
  <c r="F946" i="38"/>
  <c r="E946" i="38"/>
  <c r="D946" i="38"/>
  <c r="C946" i="38"/>
  <c r="B946" i="38"/>
  <c r="G945" i="38"/>
  <c r="F945" i="38"/>
  <c r="E945" i="38"/>
  <c r="D945" i="38"/>
  <c r="C945" i="38"/>
  <c r="B945" i="38"/>
  <c r="G944" i="38"/>
  <c r="F944" i="38"/>
  <c r="E944" i="38"/>
  <c r="D944" i="38"/>
  <c r="C944" i="38"/>
  <c r="B944" i="38"/>
  <c r="G943" i="38"/>
  <c r="F943" i="38"/>
  <c r="E943" i="38"/>
  <c r="D943" i="38"/>
  <c r="C943" i="38"/>
  <c r="B943" i="38"/>
  <c r="G942" i="38"/>
  <c r="F942" i="38"/>
  <c r="E942" i="38"/>
  <c r="D942" i="38"/>
  <c r="C942" i="38"/>
  <c r="B942" i="38"/>
  <c r="G941" i="38"/>
  <c r="F941" i="38"/>
  <c r="E941" i="38"/>
  <c r="D941" i="38"/>
  <c r="C941" i="38"/>
  <c r="B941" i="38"/>
  <c r="G940" i="38"/>
  <c r="F940" i="38"/>
  <c r="E940" i="38"/>
  <c r="D940" i="38"/>
  <c r="C940" i="38"/>
  <c r="B940" i="38"/>
  <c r="G939" i="38"/>
  <c r="F939" i="38"/>
  <c r="E939" i="38"/>
  <c r="D939" i="38"/>
  <c r="C939" i="38"/>
  <c r="B939" i="38"/>
  <c r="G938" i="38"/>
  <c r="F938" i="38"/>
  <c r="E938" i="38"/>
  <c r="D938" i="38"/>
  <c r="C938" i="38"/>
  <c r="B938" i="38"/>
  <c r="G937" i="38"/>
  <c r="F937" i="38"/>
  <c r="E937" i="38"/>
  <c r="D937" i="38"/>
  <c r="C937" i="38"/>
  <c r="B937" i="38"/>
  <c r="G936" i="38"/>
  <c r="F936" i="38"/>
  <c r="E936" i="38"/>
  <c r="D936" i="38"/>
  <c r="C936" i="38"/>
  <c r="B936" i="38"/>
  <c r="G935" i="38"/>
  <c r="F935" i="38"/>
  <c r="E935" i="38"/>
  <c r="D935" i="38"/>
  <c r="C935" i="38"/>
  <c r="B935" i="38"/>
  <c r="G934" i="38"/>
  <c r="F934" i="38"/>
  <c r="E934" i="38"/>
  <c r="D934" i="38"/>
  <c r="C934" i="38"/>
  <c r="B934" i="38"/>
  <c r="G933" i="38"/>
  <c r="F933" i="38"/>
  <c r="E933" i="38"/>
  <c r="D933" i="38"/>
  <c r="C933" i="38"/>
  <c r="B933" i="38"/>
  <c r="G932" i="38"/>
  <c r="F932" i="38"/>
  <c r="E932" i="38"/>
  <c r="D932" i="38"/>
  <c r="C932" i="38"/>
  <c r="B932" i="38"/>
  <c r="G931" i="38"/>
  <c r="F931" i="38"/>
  <c r="E931" i="38"/>
  <c r="D931" i="38"/>
  <c r="C931" i="38"/>
  <c r="B931" i="38"/>
  <c r="G930" i="38"/>
  <c r="F930" i="38"/>
  <c r="E930" i="38"/>
  <c r="D930" i="38"/>
  <c r="C930" i="38"/>
  <c r="B930" i="38"/>
  <c r="G929" i="38"/>
  <c r="F929" i="38"/>
  <c r="E929" i="38"/>
  <c r="D929" i="38"/>
  <c r="C929" i="38"/>
  <c r="B929" i="38"/>
  <c r="G928" i="38"/>
  <c r="F928" i="38"/>
  <c r="E928" i="38"/>
  <c r="D928" i="38"/>
  <c r="C928" i="38"/>
  <c r="B928" i="38"/>
  <c r="G927" i="38"/>
  <c r="F927" i="38"/>
  <c r="E927" i="38"/>
  <c r="D927" i="38"/>
  <c r="C927" i="38"/>
  <c r="B927" i="38"/>
  <c r="G926" i="38"/>
  <c r="F926" i="38"/>
  <c r="E926" i="38"/>
  <c r="D926" i="38"/>
  <c r="C926" i="38"/>
  <c r="B926" i="38"/>
  <c r="G925" i="38"/>
  <c r="F925" i="38"/>
  <c r="E925" i="38"/>
  <c r="D925" i="38"/>
  <c r="C925" i="38"/>
  <c r="B925" i="38"/>
  <c r="G924" i="38"/>
  <c r="F924" i="38"/>
  <c r="E924" i="38"/>
  <c r="D924" i="38"/>
  <c r="C924" i="38"/>
  <c r="B924" i="38"/>
  <c r="G923" i="38"/>
  <c r="F923" i="38"/>
  <c r="E923" i="38"/>
  <c r="D923" i="38"/>
  <c r="C923" i="38"/>
  <c r="B923" i="38"/>
  <c r="G922" i="38"/>
  <c r="F922" i="38"/>
  <c r="E922" i="38"/>
  <c r="D922" i="38"/>
  <c r="C922" i="38"/>
  <c r="B922" i="38"/>
  <c r="G921" i="38"/>
  <c r="F921" i="38"/>
  <c r="E921" i="38"/>
  <c r="D921" i="38"/>
  <c r="C921" i="38"/>
  <c r="B921" i="38"/>
  <c r="G920" i="38"/>
  <c r="F920" i="38"/>
  <c r="E920" i="38"/>
  <c r="D920" i="38"/>
  <c r="C920" i="38"/>
  <c r="B920" i="38"/>
  <c r="G919" i="38"/>
  <c r="F919" i="38"/>
  <c r="E919" i="38"/>
  <c r="D919" i="38"/>
  <c r="C919" i="38"/>
  <c r="B919" i="38"/>
  <c r="G918" i="38"/>
  <c r="F918" i="38"/>
  <c r="E918" i="38"/>
  <c r="D918" i="38"/>
  <c r="C918" i="38"/>
  <c r="B918" i="38"/>
  <c r="G917" i="38"/>
  <c r="F917" i="38"/>
  <c r="E917" i="38"/>
  <c r="D917" i="38"/>
  <c r="C917" i="38"/>
  <c r="B917" i="38"/>
  <c r="G916" i="38"/>
  <c r="F916" i="38"/>
  <c r="E916" i="38"/>
  <c r="D916" i="38"/>
  <c r="C916" i="38"/>
  <c r="B916" i="38"/>
  <c r="G915" i="38"/>
  <c r="F915" i="38"/>
  <c r="E915" i="38"/>
  <c r="D915" i="38"/>
  <c r="C915" i="38"/>
  <c r="B915" i="38"/>
  <c r="G914" i="38"/>
  <c r="F914" i="38"/>
  <c r="E914" i="38"/>
  <c r="D914" i="38"/>
  <c r="C914" i="38"/>
  <c r="B914" i="38"/>
  <c r="G913" i="38"/>
  <c r="F913" i="38"/>
  <c r="E913" i="38"/>
  <c r="D913" i="38"/>
  <c r="C913" i="38"/>
  <c r="B913" i="38"/>
  <c r="G912" i="38"/>
  <c r="F912" i="38"/>
  <c r="E912" i="38"/>
  <c r="D912" i="38"/>
  <c r="C912" i="38"/>
  <c r="B912" i="38"/>
  <c r="G911" i="38"/>
  <c r="F911" i="38"/>
  <c r="E911" i="38"/>
  <c r="D911" i="38"/>
  <c r="C911" i="38"/>
  <c r="B911" i="38"/>
  <c r="G910" i="38"/>
  <c r="F910" i="38"/>
  <c r="E910" i="38"/>
  <c r="D910" i="38"/>
  <c r="C910" i="38"/>
  <c r="B910" i="38"/>
  <c r="G909" i="38"/>
  <c r="F909" i="38"/>
  <c r="E909" i="38"/>
  <c r="D909" i="38"/>
  <c r="C909" i="38"/>
  <c r="B909" i="38"/>
  <c r="G908" i="38"/>
  <c r="F908" i="38"/>
  <c r="E908" i="38"/>
  <c r="D908" i="38"/>
  <c r="C908" i="38"/>
  <c r="B908" i="38"/>
  <c r="G907" i="38"/>
  <c r="F907" i="38"/>
  <c r="E907" i="38"/>
  <c r="D907" i="38"/>
  <c r="C907" i="38"/>
  <c r="B907" i="38"/>
  <c r="G906" i="38"/>
  <c r="F906" i="38"/>
  <c r="E906" i="38"/>
  <c r="D906" i="38"/>
  <c r="C906" i="38"/>
  <c r="B906" i="38"/>
  <c r="G905" i="38"/>
  <c r="F905" i="38"/>
  <c r="E905" i="38"/>
  <c r="D905" i="38"/>
  <c r="C905" i="38"/>
  <c r="B905" i="38"/>
  <c r="G904" i="38"/>
  <c r="F904" i="38"/>
  <c r="E904" i="38"/>
  <c r="D904" i="38"/>
  <c r="C904" i="38"/>
  <c r="B904" i="38"/>
  <c r="G903" i="38"/>
  <c r="F903" i="38"/>
  <c r="E903" i="38"/>
  <c r="D903" i="38"/>
  <c r="C903" i="38"/>
  <c r="B903" i="38"/>
  <c r="G902" i="38"/>
  <c r="F902" i="38"/>
  <c r="E902" i="38"/>
  <c r="D902" i="38"/>
  <c r="C902" i="38"/>
  <c r="B902" i="38"/>
  <c r="G901" i="38"/>
  <c r="F901" i="38"/>
  <c r="E901" i="38"/>
  <c r="D901" i="38"/>
  <c r="C901" i="38"/>
  <c r="B901" i="38"/>
  <c r="G900" i="38"/>
  <c r="F900" i="38"/>
  <c r="E900" i="38"/>
  <c r="D900" i="38"/>
  <c r="C900" i="38"/>
  <c r="B900" i="38"/>
  <c r="G899" i="38"/>
  <c r="F899" i="38"/>
  <c r="E899" i="38"/>
  <c r="D899" i="38"/>
  <c r="C899" i="38"/>
  <c r="B899" i="38"/>
  <c r="G898" i="38"/>
  <c r="F898" i="38"/>
  <c r="E898" i="38"/>
  <c r="D898" i="38"/>
  <c r="C898" i="38"/>
  <c r="B898" i="38"/>
  <c r="G897" i="38"/>
  <c r="F897" i="38"/>
  <c r="E897" i="38"/>
  <c r="D897" i="38"/>
  <c r="C897" i="38"/>
  <c r="B897" i="38"/>
  <c r="G896" i="38"/>
  <c r="F896" i="38"/>
  <c r="E896" i="38"/>
  <c r="D896" i="38"/>
  <c r="C896" i="38"/>
  <c r="B896" i="38"/>
  <c r="G895" i="38"/>
  <c r="F895" i="38"/>
  <c r="E895" i="38"/>
  <c r="D895" i="38"/>
  <c r="C895" i="38"/>
  <c r="B895" i="38"/>
  <c r="G894" i="38"/>
  <c r="F894" i="38"/>
  <c r="E894" i="38"/>
  <c r="D894" i="38"/>
  <c r="C894" i="38"/>
  <c r="B894" i="38"/>
  <c r="G893" i="38"/>
  <c r="F893" i="38"/>
  <c r="E893" i="38"/>
  <c r="D893" i="38"/>
  <c r="C893" i="38"/>
  <c r="B893" i="38"/>
  <c r="G892" i="38"/>
  <c r="F892" i="38"/>
  <c r="E892" i="38"/>
  <c r="D892" i="38"/>
  <c r="C892" i="38"/>
  <c r="B892" i="38"/>
  <c r="G891" i="38"/>
  <c r="F891" i="38"/>
  <c r="E891" i="38"/>
  <c r="D891" i="38"/>
  <c r="C891" i="38"/>
  <c r="B891" i="38"/>
  <c r="G890" i="38"/>
  <c r="F890" i="38"/>
  <c r="E890" i="38"/>
  <c r="D890" i="38"/>
  <c r="C890" i="38"/>
  <c r="B890" i="38"/>
  <c r="G889" i="38"/>
  <c r="F889" i="38"/>
  <c r="E889" i="38"/>
  <c r="D889" i="38"/>
  <c r="C889" i="38"/>
  <c r="B889" i="38"/>
  <c r="G888" i="38"/>
  <c r="F888" i="38"/>
  <c r="E888" i="38"/>
  <c r="D888" i="38"/>
  <c r="C888" i="38"/>
  <c r="B888" i="38"/>
  <c r="G887" i="38"/>
  <c r="F887" i="38"/>
  <c r="E887" i="38"/>
  <c r="D887" i="38"/>
  <c r="C887" i="38"/>
  <c r="B887" i="38"/>
  <c r="G886" i="38"/>
  <c r="F886" i="38"/>
  <c r="E886" i="38"/>
  <c r="D886" i="38"/>
  <c r="C886" i="38"/>
  <c r="B886" i="38"/>
  <c r="G885" i="38"/>
  <c r="F885" i="38"/>
  <c r="E885" i="38"/>
  <c r="D885" i="38"/>
  <c r="C885" i="38"/>
  <c r="B885" i="38"/>
  <c r="G884" i="38"/>
  <c r="F884" i="38"/>
  <c r="E884" i="38"/>
  <c r="D884" i="38"/>
  <c r="C884" i="38"/>
  <c r="B884" i="38"/>
  <c r="G883" i="38"/>
  <c r="F883" i="38"/>
  <c r="E883" i="38"/>
  <c r="D883" i="38"/>
  <c r="C883" i="38"/>
  <c r="B883" i="38"/>
  <c r="G882" i="38"/>
  <c r="F882" i="38"/>
  <c r="E882" i="38"/>
  <c r="D882" i="38"/>
  <c r="C882" i="38"/>
  <c r="B882" i="38"/>
  <c r="G881" i="38"/>
  <c r="F881" i="38"/>
  <c r="E881" i="38"/>
  <c r="D881" i="38"/>
  <c r="C881" i="38"/>
  <c r="B881" i="38"/>
  <c r="G880" i="38"/>
  <c r="F880" i="38"/>
  <c r="E880" i="38"/>
  <c r="D880" i="38"/>
  <c r="C880" i="38"/>
  <c r="B880" i="38"/>
  <c r="G879" i="38"/>
  <c r="F879" i="38"/>
  <c r="E879" i="38"/>
  <c r="D879" i="38"/>
  <c r="C879" i="38"/>
  <c r="B879" i="38"/>
  <c r="G878" i="38"/>
  <c r="F878" i="38"/>
  <c r="E878" i="38"/>
  <c r="D878" i="38"/>
  <c r="C878" i="38"/>
  <c r="B878" i="38"/>
  <c r="G877" i="38"/>
  <c r="F877" i="38"/>
  <c r="E877" i="38"/>
  <c r="D877" i="38"/>
  <c r="C877" i="38"/>
  <c r="B877" i="38"/>
  <c r="G876" i="38"/>
  <c r="F876" i="38"/>
  <c r="E876" i="38"/>
  <c r="D876" i="38"/>
  <c r="C876" i="38"/>
  <c r="B876" i="38"/>
  <c r="G875" i="38"/>
  <c r="F875" i="38"/>
  <c r="E875" i="38"/>
  <c r="D875" i="38"/>
  <c r="C875" i="38"/>
  <c r="B875" i="38"/>
  <c r="G874" i="38"/>
  <c r="F874" i="38"/>
  <c r="E874" i="38"/>
  <c r="D874" i="38"/>
  <c r="C874" i="38"/>
  <c r="B874" i="38"/>
  <c r="G873" i="38"/>
  <c r="F873" i="38"/>
  <c r="E873" i="38"/>
  <c r="D873" i="38"/>
  <c r="C873" i="38"/>
  <c r="B873" i="38"/>
  <c r="G872" i="38"/>
  <c r="F872" i="38"/>
  <c r="E872" i="38"/>
  <c r="D872" i="38"/>
  <c r="C872" i="38"/>
  <c r="B872" i="38"/>
  <c r="G871" i="38"/>
  <c r="F871" i="38"/>
  <c r="E871" i="38"/>
  <c r="D871" i="38"/>
  <c r="C871" i="38"/>
  <c r="B871" i="38"/>
  <c r="G870" i="38"/>
  <c r="F870" i="38"/>
  <c r="E870" i="38"/>
  <c r="D870" i="38"/>
  <c r="C870" i="38"/>
  <c r="B870" i="38"/>
  <c r="G869" i="38"/>
  <c r="F869" i="38"/>
  <c r="E869" i="38"/>
  <c r="D869" i="38"/>
  <c r="C869" i="38"/>
  <c r="B869" i="38"/>
  <c r="G868" i="38"/>
  <c r="F868" i="38"/>
  <c r="E868" i="38"/>
  <c r="D868" i="38"/>
  <c r="C868" i="38"/>
  <c r="B868" i="38"/>
  <c r="G867" i="38"/>
  <c r="F867" i="38"/>
  <c r="E867" i="38"/>
  <c r="D867" i="38"/>
  <c r="C867" i="38"/>
  <c r="B867" i="38"/>
  <c r="G866" i="38"/>
  <c r="F866" i="38"/>
  <c r="E866" i="38"/>
  <c r="D866" i="38"/>
  <c r="C866" i="38"/>
  <c r="B866" i="38"/>
  <c r="G865" i="38"/>
  <c r="F865" i="38"/>
  <c r="E865" i="38"/>
  <c r="D865" i="38"/>
  <c r="C865" i="38"/>
  <c r="B865" i="38"/>
  <c r="G864" i="38"/>
  <c r="F864" i="38"/>
  <c r="E864" i="38"/>
  <c r="D864" i="38"/>
  <c r="C864" i="38"/>
  <c r="B864" i="38"/>
  <c r="G863" i="38"/>
  <c r="F863" i="38"/>
  <c r="E863" i="38"/>
  <c r="D863" i="38"/>
  <c r="C863" i="38"/>
  <c r="B863" i="38"/>
  <c r="G862" i="38"/>
  <c r="F862" i="38"/>
  <c r="E862" i="38"/>
  <c r="D862" i="38"/>
  <c r="C862" i="38"/>
  <c r="B862" i="38"/>
  <c r="G861" i="38"/>
  <c r="F861" i="38"/>
  <c r="E861" i="38"/>
  <c r="D861" i="38"/>
  <c r="C861" i="38"/>
  <c r="B861" i="38"/>
  <c r="G860" i="38"/>
  <c r="F860" i="38"/>
  <c r="E860" i="38"/>
  <c r="D860" i="38"/>
  <c r="C860" i="38"/>
  <c r="B860" i="38"/>
  <c r="G859" i="38"/>
  <c r="F859" i="38"/>
  <c r="E859" i="38"/>
  <c r="D859" i="38"/>
  <c r="C859" i="38"/>
  <c r="B859" i="38"/>
  <c r="G858" i="38"/>
  <c r="F858" i="38"/>
  <c r="E858" i="38"/>
  <c r="D858" i="38"/>
  <c r="C858" i="38"/>
  <c r="B858" i="38"/>
  <c r="G857" i="38"/>
  <c r="F857" i="38"/>
  <c r="E857" i="38"/>
  <c r="D857" i="38"/>
  <c r="C857" i="38"/>
  <c r="B857" i="38"/>
  <c r="G856" i="38"/>
  <c r="F856" i="38"/>
  <c r="E856" i="38"/>
  <c r="D856" i="38"/>
  <c r="C856" i="38"/>
  <c r="B856" i="38"/>
  <c r="G855" i="38"/>
  <c r="F855" i="38"/>
  <c r="E855" i="38"/>
  <c r="D855" i="38"/>
  <c r="C855" i="38"/>
  <c r="B855" i="38"/>
  <c r="G854" i="38"/>
  <c r="F854" i="38"/>
  <c r="E854" i="38"/>
  <c r="D854" i="38"/>
  <c r="C854" i="38"/>
  <c r="B854" i="38"/>
  <c r="G853" i="38"/>
  <c r="F853" i="38"/>
  <c r="E853" i="38"/>
  <c r="D853" i="38"/>
  <c r="C853" i="38"/>
  <c r="B853" i="38"/>
  <c r="G852" i="38"/>
  <c r="F852" i="38"/>
  <c r="E852" i="38"/>
  <c r="D852" i="38"/>
  <c r="C852" i="38"/>
  <c r="B852" i="38"/>
  <c r="G851" i="38"/>
  <c r="F851" i="38"/>
  <c r="E851" i="38"/>
  <c r="D851" i="38"/>
  <c r="C851" i="38"/>
  <c r="B851" i="38"/>
  <c r="G850" i="38"/>
  <c r="F850" i="38"/>
  <c r="E850" i="38"/>
  <c r="D850" i="38"/>
  <c r="C850" i="38"/>
  <c r="B850" i="38"/>
  <c r="G849" i="38"/>
  <c r="F849" i="38"/>
  <c r="E849" i="38"/>
  <c r="D849" i="38"/>
  <c r="C849" i="38"/>
  <c r="B849" i="38"/>
  <c r="G848" i="38"/>
  <c r="F848" i="38"/>
  <c r="E848" i="38"/>
  <c r="D848" i="38"/>
  <c r="C848" i="38"/>
  <c r="B848" i="38"/>
  <c r="G847" i="38"/>
  <c r="F847" i="38"/>
  <c r="E847" i="38"/>
  <c r="D847" i="38"/>
  <c r="C847" i="38"/>
  <c r="B847" i="38"/>
  <c r="G846" i="38"/>
  <c r="F846" i="38"/>
  <c r="E846" i="38"/>
  <c r="D846" i="38"/>
  <c r="C846" i="38"/>
  <c r="B846" i="38"/>
  <c r="G845" i="38"/>
  <c r="F845" i="38"/>
  <c r="E845" i="38"/>
  <c r="D845" i="38"/>
  <c r="C845" i="38"/>
  <c r="B845" i="38"/>
  <c r="G844" i="38"/>
  <c r="F844" i="38"/>
  <c r="E844" i="38"/>
  <c r="D844" i="38"/>
  <c r="C844" i="38"/>
  <c r="B844" i="38"/>
  <c r="G843" i="38"/>
  <c r="F843" i="38"/>
  <c r="E843" i="38"/>
  <c r="D843" i="38"/>
  <c r="C843" i="38"/>
  <c r="B843" i="38"/>
  <c r="G842" i="38"/>
  <c r="F842" i="38"/>
  <c r="E842" i="38"/>
  <c r="D842" i="38"/>
  <c r="C842" i="38"/>
  <c r="B842" i="38"/>
  <c r="G841" i="38"/>
  <c r="F841" i="38"/>
  <c r="E841" i="38"/>
  <c r="D841" i="38"/>
  <c r="C841" i="38"/>
  <c r="B841" i="38"/>
  <c r="G840" i="38"/>
  <c r="F840" i="38"/>
  <c r="E840" i="38"/>
  <c r="D840" i="38"/>
  <c r="C840" i="38"/>
  <c r="B840" i="38"/>
  <c r="G839" i="38"/>
  <c r="F839" i="38"/>
  <c r="E839" i="38"/>
  <c r="D839" i="38"/>
  <c r="C839" i="38"/>
  <c r="B839" i="38"/>
  <c r="G838" i="38"/>
  <c r="F838" i="38"/>
  <c r="E838" i="38"/>
  <c r="D838" i="38"/>
  <c r="C838" i="38"/>
  <c r="B838" i="38"/>
  <c r="G837" i="38"/>
  <c r="F837" i="38"/>
  <c r="E837" i="38"/>
  <c r="D837" i="38"/>
  <c r="C837" i="38"/>
  <c r="B837" i="38"/>
  <c r="G836" i="38"/>
  <c r="F836" i="38"/>
  <c r="E836" i="38"/>
  <c r="D836" i="38"/>
  <c r="C836" i="38"/>
  <c r="B836" i="38"/>
  <c r="G835" i="38"/>
  <c r="F835" i="38"/>
  <c r="E835" i="38"/>
  <c r="D835" i="38"/>
  <c r="C835" i="38"/>
  <c r="B835" i="38"/>
  <c r="G834" i="38"/>
  <c r="F834" i="38"/>
  <c r="E834" i="38"/>
  <c r="D834" i="38"/>
  <c r="C834" i="38"/>
  <c r="B834" i="38"/>
  <c r="G833" i="38"/>
  <c r="F833" i="38"/>
  <c r="E833" i="38"/>
  <c r="D833" i="38"/>
  <c r="C833" i="38"/>
  <c r="B833" i="38"/>
  <c r="G832" i="38"/>
  <c r="F832" i="38"/>
  <c r="E832" i="38"/>
  <c r="D832" i="38"/>
  <c r="C832" i="38"/>
  <c r="B832" i="38"/>
  <c r="G831" i="38"/>
  <c r="F831" i="38"/>
  <c r="E831" i="38"/>
  <c r="D831" i="38"/>
  <c r="C831" i="38"/>
  <c r="B831" i="38"/>
  <c r="G830" i="38"/>
  <c r="F830" i="38"/>
  <c r="E830" i="38"/>
  <c r="D830" i="38"/>
  <c r="C830" i="38"/>
  <c r="B830" i="38"/>
  <c r="G829" i="38"/>
  <c r="F829" i="38"/>
  <c r="E829" i="38"/>
  <c r="D829" i="38"/>
  <c r="C829" i="38"/>
  <c r="B829" i="38"/>
  <c r="G828" i="38"/>
  <c r="F828" i="38"/>
  <c r="E828" i="38"/>
  <c r="D828" i="38"/>
  <c r="C828" i="38"/>
  <c r="B828" i="38"/>
  <c r="G827" i="38"/>
  <c r="F827" i="38"/>
  <c r="E827" i="38"/>
  <c r="D827" i="38"/>
  <c r="C827" i="38"/>
  <c r="B827" i="38"/>
  <c r="G826" i="38"/>
  <c r="F826" i="38"/>
  <c r="E826" i="38"/>
  <c r="D826" i="38"/>
  <c r="C826" i="38"/>
  <c r="B826" i="38"/>
  <c r="G825" i="38"/>
  <c r="F825" i="38"/>
  <c r="E825" i="38"/>
  <c r="D825" i="38"/>
  <c r="C825" i="38"/>
  <c r="B825" i="38"/>
  <c r="G824" i="38"/>
  <c r="F824" i="38"/>
  <c r="E824" i="38"/>
  <c r="D824" i="38"/>
  <c r="C824" i="38"/>
  <c r="B824" i="38"/>
  <c r="G823" i="38"/>
  <c r="F823" i="38"/>
  <c r="E823" i="38"/>
  <c r="D823" i="38"/>
  <c r="C823" i="38"/>
  <c r="B823" i="38"/>
  <c r="G822" i="38"/>
  <c r="F822" i="38"/>
  <c r="E822" i="38"/>
  <c r="D822" i="38"/>
  <c r="C822" i="38"/>
  <c r="B822" i="38"/>
  <c r="G821" i="38"/>
  <c r="F821" i="38"/>
  <c r="E821" i="38"/>
  <c r="D821" i="38"/>
  <c r="C821" i="38"/>
  <c r="B821" i="38"/>
  <c r="G820" i="38"/>
  <c r="F820" i="38"/>
  <c r="E820" i="38"/>
  <c r="D820" i="38"/>
  <c r="C820" i="38"/>
  <c r="B820" i="38"/>
  <c r="G819" i="38"/>
  <c r="F819" i="38"/>
  <c r="E819" i="38"/>
  <c r="D819" i="38"/>
  <c r="C819" i="38"/>
  <c r="B819" i="38"/>
  <c r="G818" i="38"/>
  <c r="F818" i="38"/>
  <c r="E818" i="38"/>
  <c r="D818" i="38"/>
  <c r="C818" i="38"/>
  <c r="B818" i="38"/>
  <c r="G817" i="38"/>
  <c r="F817" i="38"/>
  <c r="E817" i="38"/>
  <c r="D817" i="38"/>
  <c r="C817" i="38"/>
  <c r="B817" i="38"/>
  <c r="G816" i="38"/>
  <c r="F816" i="38"/>
  <c r="E816" i="38"/>
  <c r="D816" i="38"/>
  <c r="C816" i="38"/>
  <c r="B816" i="38"/>
  <c r="G815" i="38"/>
  <c r="F815" i="38"/>
  <c r="E815" i="38"/>
  <c r="D815" i="38"/>
  <c r="C815" i="38"/>
  <c r="B815" i="38"/>
  <c r="G814" i="38"/>
  <c r="F814" i="38"/>
  <c r="E814" i="38"/>
  <c r="D814" i="38"/>
  <c r="C814" i="38"/>
  <c r="B814" i="38"/>
  <c r="G813" i="38"/>
  <c r="F813" i="38"/>
  <c r="E813" i="38"/>
  <c r="D813" i="38"/>
  <c r="C813" i="38"/>
  <c r="B813" i="38"/>
  <c r="G812" i="38"/>
  <c r="F812" i="38"/>
  <c r="E812" i="38"/>
  <c r="D812" i="38"/>
  <c r="C812" i="38"/>
  <c r="B812" i="38"/>
  <c r="G811" i="38"/>
  <c r="F811" i="38"/>
  <c r="E811" i="38"/>
  <c r="D811" i="38"/>
  <c r="C811" i="38"/>
  <c r="B811" i="38"/>
  <c r="G810" i="38"/>
  <c r="F810" i="38"/>
  <c r="E810" i="38"/>
  <c r="D810" i="38"/>
  <c r="C810" i="38"/>
  <c r="B810" i="38"/>
  <c r="G809" i="38"/>
  <c r="F809" i="38"/>
  <c r="E809" i="38"/>
  <c r="D809" i="38"/>
  <c r="C809" i="38"/>
  <c r="B809" i="38"/>
  <c r="G808" i="38"/>
  <c r="F808" i="38"/>
  <c r="E808" i="38"/>
  <c r="D808" i="38"/>
  <c r="C808" i="38"/>
  <c r="B808" i="38"/>
  <c r="G807" i="38"/>
  <c r="F807" i="38"/>
  <c r="E807" i="38"/>
  <c r="D807" i="38"/>
  <c r="C807" i="38"/>
  <c r="B807" i="38"/>
  <c r="G806" i="38"/>
  <c r="F806" i="38"/>
  <c r="E806" i="38"/>
  <c r="D806" i="38"/>
  <c r="C806" i="38"/>
  <c r="B806" i="38"/>
  <c r="G805" i="38"/>
  <c r="F805" i="38"/>
  <c r="E805" i="38"/>
  <c r="D805" i="38"/>
  <c r="C805" i="38"/>
  <c r="B805" i="38"/>
  <c r="G804" i="38"/>
  <c r="F804" i="38"/>
  <c r="E804" i="38"/>
  <c r="D804" i="38"/>
  <c r="C804" i="38"/>
  <c r="B804" i="38"/>
  <c r="G803" i="38"/>
  <c r="F803" i="38"/>
  <c r="E803" i="38"/>
  <c r="D803" i="38"/>
  <c r="C803" i="38"/>
  <c r="B803" i="38"/>
  <c r="G802" i="38"/>
  <c r="F802" i="38"/>
  <c r="E802" i="38"/>
  <c r="D802" i="38"/>
  <c r="C802" i="38"/>
  <c r="B802" i="38"/>
  <c r="G801" i="38"/>
  <c r="F801" i="38"/>
  <c r="E801" i="38"/>
  <c r="D801" i="38"/>
  <c r="C801" i="38"/>
  <c r="B801" i="38"/>
  <c r="G800" i="38"/>
  <c r="F800" i="38"/>
  <c r="E800" i="38"/>
  <c r="D800" i="38"/>
  <c r="C800" i="38"/>
  <c r="B800" i="38"/>
  <c r="G799" i="38"/>
  <c r="F799" i="38"/>
  <c r="E799" i="38"/>
  <c r="D799" i="38"/>
  <c r="C799" i="38"/>
  <c r="B799" i="38"/>
  <c r="G798" i="38"/>
  <c r="F798" i="38"/>
  <c r="E798" i="38"/>
  <c r="D798" i="38"/>
  <c r="C798" i="38"/>
  <c r="B798" i="38"/>
  <c r="G797" i="38"/>
  <c r="F797" i="38"/>
  <c r="E797" i="38"/>
  <c r="D797" i="38"/>
  <c r="C797" i="38"/>
  <c r="B797" i="38"/>
  <c r="G796" i="38"/>
  <c r="F796" i="38"/>
  <c r="E796" i="38"/>
  <c r="D796" i="38"/>
  <c r="C796" i="38"/>
  <c r="B796" i="38"/>
  <c r="G795" i="38"/>
  <c r="F795" i="38"/>
  <c r="E795" i="38"/>
  <c r="D795" i="38"/>
  <c r="C795" i="38"/>
  <c r="B795" i="38"/>
  <c r="G794" i="38"/>
  <c r="F794" i="38"/>
  <c r="E794" i="38"/>
  <c r="D794" i="38"/>
  <c r="C794" i="38"/>
  <c r="B794" i="38"/>
  <c r="G793" i="38"/>
  <c r="F793" i="38"/>
  <c r="E793" i="38"/>
  <c r="D793" i="38"/>
  <c r="C793" i="38"/>
  <c r="B793" i="38"/>
  <c r="G792" i="38"/>
  <c r="F792" i="38"/>
  <c r="E792" i="38"/>
  <c r="D792" i="38"/>
  <c r="C792" i="38"/>
  <c r="B792" i="38"/>
  <c r="G791" i="38"/>
  <c r="F791" i="38"/>
  <c r="E791" i="38"/>
  <c r="D791" i="38"/>
  <c r="C791" i="38"/>
  <c r="B791" i="38"/>
  <c r="G790" i="38"/>
  <c r="F790" i="38"/>
  <c r="E790" i="38"/>
  <c r="D790" i="38"/>
  <c r="C790" i="38"/>
  <c r="B790" i="38"/>
  <c r="G789" i="38"/>
  <c r="F789" i="38"/>
  <c r="E789" i="38"/>
  <c r="D789" i="38"/>
  <c r="C789" i="38"/>
  <c r="B789" i="38"/>
  <c r="G788" i="38"/>
  <c r="F788" i="38"/>
  <c r="E788" i="38"/>
  <c r="D788" i="38"/>
  <c r="C788" i="38"/>
  <c r="B788" i="38"/>
  <c r="G787" i="38"/>
  <c r="F787" i="38"/>
  <c r="E787" i="38"/>
  <c r="D787" i="38"/>
  <c r="C787" i="38"/>
  <c r="B787" i="38"/>
  <c r="G786" i="38"/>
  <c r="F786" i="38"/>
  <c r="E786" i="38"/>
  <c r="D786" i="38"/>
  <c r="C786" i="38"/>
  <c r="B786" i="38"/>
  <c r="G785" i="38"/>
  <c r="F785" i="38"/>
  <c r="E785" i="38"/>
  <c r="D785" i="38"/>
  <c r="C785" i="38"/>
  <c r="B785" i="38"/>
  <c r="G784" i="38"/>
  <c r="F784" i="38"/>
  <c r="E784" i="38"/>
  <c r="D784" i="38"/>
  <c r="C784" i="38"/>
  <c r="B784" i="38"/>
  <c r="G783" i="38"/>
  <c r="F783" i="38"/>
  <c r="E783" i="38"/>
  <c r="D783" i="38"/>
  <c r="C783" i="38"/>
  <c r="B783" i="38"/>
  <c r="G782" i="38"/>
  <c r="F782" i="38"/>
  <c r="E782" i="38"/>
  <c r="D782" i="38"/>
  <c r="C782" i="38"/>
  <c r="B782" i="38"/>
  <c r="G781" i="38"/>
  <c r="F781" i="38"/>
  <c r="E781" i="38"/>
  <c r="D781" i="38"/>
  <c r="C781" i="38"/>
  <c r="B781" i="38"/>
  <c r="G780" i="38"/>
  <c r="F780" i="38"/>
  <c r="E780" i="38"/>
  <c r="D780" i="38"/>
  <c r="C780" i="38"/>
  <c r="B780" i="38"/>
  <c r="G779" i="38"/>
  <c r="F779" i="38"/>
  <c r="E779" i="38"/>
  <c r="D779" i="38"/>
  <c r="C779" i="38"/>
  <c r="B779" i="38"/>
  <c r="G778" i="38"/>
  <c r="F778" i="38"/>
  <c r="E778" i="38"/>
  <c r="D778" i="38"/>
  <c r="C778" i="38"/>
  <c r="B778" i="38"/>
  <c r="G777" i="38"/>
  <c r="F777" i="38"/>
  <c r="E777" i="38"/>
  <c r="D777" i="38"/>
  <c r="C777" i="38"/>
  <c r="B777" i="38"/>
  <c r="G776" i="38"/>
  <c r="F776" i="38"/>
  <c r="E776" i="38"/>
  <c r="D776" i="38"/>
  <c r="C776" i="38"/>
  <c r="B776" i="38"/>
  <c r="G775" i="38"/>
  <c r="F775" i="38"/>
  <c r="E775" i="38"/>
  <c r="D775" i="38"/>
  <c r="C775" i="38"/>
  <c r="B775" i="38"/>
  <c r="G774" i="38"/>
  <c r="F774" i="38"/>
  <c r="E774" i="38"/>
  <c r="D774" i="38"/>
  <c r="C774" i="38"/>
  <c r="B774" i="38"/>
  <c r="G773" i="38"/>
  <c r="F773" i="38"/>
  <c r="E773" i="38"/>
  <c r="D773" i="38"/>
  <c r="C773" i="38"/>
  <c r="B773" i="38"/>
  <c r="G772" i="38"/>
  <c r="F772" i="38"/>
  <c r="E772" i="38"/>
  <c r="D772" i="38"/>
  <c r="C772" i="38"/>
  <c r="B772" i="38"/>
  <c r="G771" i="38"/>
  <c r="F771" i="38"/>
  <c r="E771" i="38"/>
  <c r="D771" i="38"/>
  <c r="C771" i="38"/>
  <c r="B771" i="38"/>
  <c r="G770" i="38"/>
  <c r="F770" i="38"/>
  <c r="E770" i="38"/>
  <c r="D770" i="38"/>
  <c r="C770" i="38"/>
  <c r="B770" i="38"/>
  <c r="G769" i="38"/>
  <c r="F769" i="38"/>
  <c r="E769" i="38"/>
  <c r="D769" i="38"/>
  <c r="C769" i="38"/>
  <c r="B769" i="38"/>
  <c r="G768" i="38"/>
  <c r="F768" i="38"/>
  <c r="E768" i="38"/>
  <c r="D768" i="38"/>
  <c r="C768" i="38"/>
  <c r="B768" i="38"/>
  <c r="G767" i="38"/>
  <c r="F767" i="38"/>
  <c r="E767" i="38"/>
  <c r="D767" i="38"/>
  <c r="C767" i="38"/>
  <c r="B767" i="38"/>
  <c r="G766" i="38"/>
  <c r="F766" i="38"/>
  <c r="E766" i="38"/>
  <c r="D766" i="38"/>
  <c r="C766" i="38"/>
  <c r="B766" i="38"/>
  <c r="G765" i="38"/>
  <c r="F765" i="38"/>
  <c r="E765" i="38"/>
  <c r="D765" i="38"/>
  <c r="C765" i="38"/>
  <c r="B765" i="38"/>
  <c r="G764" i="38"/>
  <c r="F764" i="38"/>
  <c r="E764" i="38"/>
  <c r="D764" i="38"/>
  <c r="C764" i="38"/>
  <c r="B764" i="38"/>
  <c r="G763" i="38"/>
  <c r="F763" i="38"/>
  <c r="E763" i="38"/>
  <c r="D763" i="38"/>
  <c r="C763" i="38"/>
  <c r="B763" i="38"/>
  <c r="G762" i="38"/>
  <c r="F762" i="38"/>
  <c r="E762" i="38"/>
  <c r="D762" i="38"/>
  <c r="C762" i="38"/>
  <c r="B762" i="38"/>
  <c r="G761" i="38"/>
  <c r="F761" i="38"/>
  <c r="E761" i="38"/>
  <c r="D761" i="38"/>
  <c r="C761" i="38"/>
  <c r="B761" i="38"/>
  <c r="G760" i="38"/>
  <c r="F760" i="38"/>
  <c r="E760" i="38"/>
  <c r="D760" i="38"/>
  <c r="C760" i="38"/>
  <c r="B760" i="38"/>
  <c r="G759" i="38"/>
  <c r="F759" i="38"/>
  <c r="E759" i="38"/>
  <c r="D759" i="38"/>
  <c r="C759" i="38"/>
  <c r="B759" i="38"/>
  <c r="G758" i="38"/>
  <c r="F758" i="38"/>
  <c r="E758" i="38"/>
  <c r="D758" i="38"/>
  <c r="C758" i="38"/>
  <c r="B758" i="38"/>
  <c r="G757" i="38"/>
  <c r="F757" i="38"/>
  <c r="E757" i="38"/>
  <c r="D757" i="38"/>
  <c r="C757" i="38"/>
  <c r="B757" i="38"/>
  <c r="G756" i="38"/>
  <c r="F756" i="38"/>
  <c r="E756" i="38"/>
  <c r="D756" i="38"/>
  <c r="C756" i="38"/>
  <c r="B756" i="38"/>
  <c r="G755" i="38"/>
  <c r="F755" i="38"/>
  <c r="E755" i="38"/>
  <c r="D755" i="38"/>
  <c r="C755" i="38"/>
  <c r="B755" i="38"/>
  <c r="G754" i="38"/>
  <c r="F754" i="38"/>
  <c r="E754" i="38"/>
  <c r="D754" i="38"/>
  <c r="C754" i="38"/>
  <c r="B754" i="38"/>
  <c r="G753" i="38"/>
  <c r="F753" i="38"/>
  <c r="E753" i="38"/>
  <c r="D753" i="38"/>
  <c r="C753" i="38"/>
  <c r="B753" i="38"/>
  <c r="G752" i="38"/>
  <c r="F752" i="38"/>
  <c r="E752" i="38"/>
  <c r="D752" i="38"/>
  <c r="C752" i="38"/>
  <c r="B752" i="38"/>
  <c r="G751" i="38"/>
  <c r="F751" i="38"/>
  <c r="E751" i="38"/>
  <c r="D751" i="38"/>
  <c r="C751" i="38"/>
  <c r="B751" i="38"/>
  <c r="G750" i="38"/>
  <c r="F750" i="38"/>
  <c r="E750" i="38"/>
  <c r="D750" i="38"/>
  <c r="C750" i="38"/>
  <c r="B750" i="38"/>
  <c r="G749" i="38"/>
  <c r="F749" i="38"/>
  <c r="E749" i="38"/>
  <c r="D749" i="38"/>
  <c r="C749" i="38"/>
  <c r="B749" i="38"/>
  <c r="G748" i="38"/>
  <c r="F748" i="38"/>
  <c r="E748" i="38"/>
  <c r="D748" i="38"/>
  <c r="C748" i="38"/>
  <c r="B748" i="38"/>
  <c r="G747" i="38"/>
  <c r="F747" i="38"/>
  <c r="E747" i="38"/>
  <c r="D747" i="38"/>
  <c r="C747" i="38"/>
  <c r="B747" i="38"/>
  <c r="G746" i="38"/>
  <c r="F746" i="38"/>
  <c r="E746" i="38"/>
  <c r="D746" i="38"/>
  <c r="C746" i="38"/>
  <c r="B746" i="38"/>
  <c r="G745" i="38"/>
  <c r="F745" i="38"/>
  <c r="E745" i="38"/>
  <c r="D745" i="38"/>
  <c r="C745" i="38"/>
  <c r="B745" i="38"/>
  <c r="G744" i="38"/>
  <c r="F744" i="38"/>
  <c r="E744" i="38"/>
  <c r="D744" i="38"/>
  <c r="C744" i="38"/>
  <c r="B744" i="38"/>
  <c r="G743" i="38"/>
  <c r="F743" i="38"/>
  <c r="E743" i="38"/>
  <c r="D743" i="38"/>
  <c r="C743" i="38"/>
  <c r="B743" i="38"/>
  <c r="G742" i="38"/>
  <c r="F742" i="38"/>
  <c r="E742" i="38"/>
  <c r="D742" i="38"/>
  <c r="C742" i="38"/>
  <c r="B742" i="38"/>
  <c r="G741" i="38"/>
  <c r="F741" i="38"/>
  <c r="E741" i="38"/>
  <c r="D741" i="38"/>
  <c r="C741" i="38"/>
  <c r="B741" i="38"/>
  <c r="G740" i="38"/>
  <c r="F740" i="38"/>
  <c r="E740" i="38"/>
  <c r="D740" i="38"/>
  <c r="C740" i="38"/>
  <c r="B740" i="38"/>
  <c r="G739" i="38"/>
  <c r="F739" i="38"/>
  <c r="E739" i="38"/>
  <c r="D739" i="38"/>
  <c r="C739" i="38"/>
  <c r="B739" i="38"/>
  <c r="G738" i="38"/>
  <c r="F738" i="38"/>
  <c r="E738" i="38"/>
  <c r="D738" i="38"/>
  <c r="C738" i="38"/>
  <c r="B738" i="38"/>
  <c r="G737" i="38"/>
  <c r="F737" i="38"/>
  <c r="E737" i="38"/>
  <c r="D737" i="38"/>
  <c r="C737" i="38"/>
  <c r="B737" i="38"/>
  <c r="G736" i="38"/>
  <c r="F736" i="38"/>
  <c r="E736" i="38"/>
  <c r="D736" i="38"/>
  <c r="C736" i="38"/>
  <c r="B736" i="38"/>
  <c r="G735" i="38"/>
  <c r="F735" i="38"/>
  <c r="E735" i="38"/>
  <c r="D735" i="38"/>
  <c r="C735" i="38"/>
  <c r="B735" i="38"/>
  <c r="G734" i="38"/>
  <c r="F734" i="38"/>
  <c r="E734" i="38"/>
  <c r="D734" i="38"/>
  <c r="C734" i="38"/>
  <c r="B734" i="38"/>
  <c r="G733" i="38"/>
  <c r="F733" i="38"/>
  <c r="E733" i="38"/>
  <c r="D733" i="38"/>
  <c r="C733" i="38"/>
  <c r="B733" i="38"/>
  <c r="G732" i="38"/>
  <c r="F732" i="38"/>
  <c r="E732" i="38"/>
  <c r="D732" i="38"/>
  <c r="C732" i="38"/>
  <c r="B732" i="38"/>
  <c r="G731" i="38"/>
  <c r="F731" i="38"/>
  <c r="E731" i="38"/>
  <c r="D731" i="38"/>
  <c r="C731" i="38"/>
  <c r="B731" i="38"/>
  <c r="G730" i="38"/>
  <c r="F730" i="38"/>
  <c r="E730" i="38"/>
  <c r="D730" i="38"/>
  <c r="C730" i="38"/>
  <c r="B730" i="38"/>
  <c r="G729" i="38"/>
  <c r="F729" i="38"/>
  <c r="E729" i="38"/>
  <c r="D729" i="38"/>
  <c r="C729" i="38"/>
  <c r="B729" i="38"/>
  <c r="G728" i="38"/>
  <c r="F728" i="38"/>
  <c r="E728" i="38"/>
  <c r="D728" i="38"/>
  <c r="C728" i="38"/>
  <c r="B728" i="38"/>
  <c r="G727" i="38"/>
  <c r="F727" i="38"/>
  <c r="E727" i="38"/>
  <c r="D727" i="38"/>
  <c r="C727" i="38"/>
  <c r="B727" i="38"/>
  <c r="G726" i="38"/>
  <c r="F726" i="38"/>
  <c r="E726" i="38"/>
  <c r="D726" i="38"/>
  <c r="C726" i="38"/>
  <c r="B726" i="38"/>
  <c r="G725" i="38"/>
  <c r="F725" i="38"/>
  <c r="E725" i="38"/>
  <c r="D725" i="38"/>
  <c r="C725" i="38"/>
  <c r="B725" i="38"/>
  <c r="G724" i="38"/>
  <c r="F724" i="38"/>
  <c r="E724" i="38"/>
  <c r="D724" i="38"/>
  <c r="C724" i="38"/>
  <c r="B724" i="38"/>
  <c r="G723" i="38"/>
  <c r="F723" i="38"/>
  <c r="E723" i="38"/>
  <c r="D723" i="38"/>
  <c r="C723" i="38"/>
  <c r="B723" i="38"/>
  <c r="G722" i="38"/>
  <c r="F722" i="38"/>
  <c r="E722" i="38"/>
  <c r="D722" i="38"/>
  <c r="C722" i="38"/>
  <c r="B722" i="38"/>
  <c r="G721" i="38"/>
  <c r="F721" i="38"/>
  <c r="E721" i="38"/>
  <c r="D721" i="38"/>
  <c r="C721" i="38"/>
  <c r="B721" i="38"/>
  <c r="G720" i="38"/>
  <c r="F720" i="38"/>
  <c r="E720" i="38"/>
  <c r="D720" i="38"/>
  <c r="C720" i="38"/>
  <c r="B720" i="38"/>
  <c r="G719" i="38"/>
  <c r="F719" i="38"/>
  <c r="E719" i="38"/>
  <c r="D719" i="38"/>
  <c r="C719" i="38"/>
  <c r="B719" i="38"/>
  <c r="G718" i="38"/>
  <c r="F718" i="38"/>
  <c r="E718" i="38"/>
  <c r="D718" i="38"/>
  <c r="C718" i="38"/>
  <c r="B718" i="38"/>
  <c r="G717" i="38"/>
  <c r="F717" i="38"/>
  <c r="E717" i="38"/>
  <c r="D717" i="38"/>
  <c r="C717" i="38"/>
  <c r="B717" i="38"/>
  <c r="G716" i="38"/>
  <c r="F716" i="38"/>
  <c r="E716" i="38"/>
  <c r="D716" i="38"/>
  <c r="C716" i="38"/>
  <c r="B716" i="38"/>
  <c r="G715" i="38"/>
  <c r="F715" i="38"/>
  <c r="E715" i="38"/>
  <c r="D715" i="38"/>
  <c r="C715" i="38"/>
  <c r="B715" i="38"/>
  <c r="G714" i="38"/>
  <c r="F714" i="38"/>
  <c r="E714" i="38"/>
  <c r="D714" i="38"/>
  <c r="C714" i="38"/>
  <c r="B714" i="38"/>
  <c r="G713" i="38"/>
  <c r="F713" i="38"/>
  <c r="E713" i="38"/>
  <c r="D713" i="38"/>
  <c r="C713" i="38"/>
  <c r="B713" i="38"/>
  <c r="G712" i="38"/>
  <c r="F712" i="38"/>
  <c r="E712" i="38"/>
  <c r="D712" i="38"/>
  <c r="C712" i="38"/>
  <c r="B712" i="38"/>
  <c r="G711" i="38"/>
  <c r="F711" i="38"/>
  <c r="E711" i="38"/>
  <c r="D711" i="38"/>
  <c r="C711" i="38"/>
  <c r="B711" i="38"/>
  <c r="G710" i="38"/>
  <c r="F710" i="38"/>
  <c r="E710" i="38"/>
  <c r="D710" i="38"/>
  <c r="C710" i="38"/>
  <c r="B710" i="38"/>
  <c r="G709" i="38"/>
  <c r="F709" i="38"/>
  <c r="E709" i="38"/>
  <c r="D709" i="38"/>
  <c r="C709" i="38"/>
  <c r="B709" i="38"/>
  <c r="G708" i="38"/>
  <c r="F708" i="38"/>
  <c r="E708" i="38"/>
  <c r="D708" i="38"/>
  <c r="C708" i="38"/>
  <c r="B708" i="38"/>
  <c r="G707" i="38"/>
  <c r="F707" i="38"/>
  <c r="E707" i="38"/>
  <c r="D707" i="38"/>
  <c r="C707" i="38"/>
  <c r="B707" i="38"/>
  <c r="G706" i="38"/>
  <c r="F706" i="38"/>
  <c r="E706" i="38"/>
  <c r="D706" i="38"/>
  <c r="C706" i="38"/>
  <c r="B706" i="38"/>
  <c r="G705" i="38"/>
  <c r="F705" i="38"/>
  <c r="E705" i="38"/>
  <c r="D705" i="38"/>
  <c r="C705" i="38"/>
  <c r="B705" i="38"/>
  <c r="G704" i="38"/>
  <c r="F704" i="38"/>
  <c r="E704" i="38"/>
  <c r="D704" i="38"/>
  <c r="C704" i="38"/>
  <c r="B704" i="38"/>
  <c r="G703" i="38"/>
  <c r="F703" i="38"/>
  <c r="E703" i="38"/>
  <c r="D703" i="38"/>
  <c r="C703" i="38"/>
  <c r="B703" i="38"/>
  <c r="G702" i="38"/>
  <c r="F702" i="38"/>
  <c r="E702" i="38"/>
  <c r="D702" i="38"/>
  <c r="C702" i="38"/>
  <c r="B702" i="38"/>
  <c r="G701" i="38"/>
  <c r="F701" i="38"/>
  <c r="E701" i="38"/>
  <c r="D701" i="38"/>
  <c r="C701" i="38"/>
  <c r="B701" i="38"/>
  <c r="M682" i="38"/>
  <c r="L682" i="38"/>
  <c r="K682" i="38"/>
  <c r="J682" i="38"/>
  <c r="I682" i="38"/>
  <c r="H682" i="38"/>
  <c r="G682" i="38"/>
  <c r="F682" i="38"/>
  <c r="E682" i="38"/>
  <c r="D682" i="38"/>
  <c r="C682" i="38"/>
  <c r="B682" i="38"/>
  <c r="M681" i="38"/>
  <c r="L681" i="38"/>
  <c r="K681" i="38"/>
  <c r="J681" i="38"/>
  <c r="I681" i="38"/>
  <c r="H681" i="38"/>
  <c r="G681" i="38"/>
  <c r="F681" i="38"/>
  <c r="E681" i="38"/>
  <c r="D681" i="38"/>
  <c r="C681" i="38"/>
  <c r="B681" i="38"/>
  <c r="M680" i="38"/>
  <c r="L680" i="38"/>
  <c r="K680" i="38"/>
  <c r="J680" i="38"/>
  <c r="I680" i="38"/>
  <c r="H680" i="38"/>
  <c r="G680" i="38"/>
  <c r="F680" i="38"/>
  <c r="E680" i="38"/>
  <c r="D680" i="38"/>
  <c r="C680" i="38"/>
  <c r="B680" i="38"/>
  <c r="M679" i="38"/>
  <c r="L679" i="38"/>
  <c r="K679" i="38"/>
  <c r="J679" i="38"/>
  <c r="I679" i="38"/>
  <c r="H679" i="38"/>
  <c r="G679" i="38"/>
  <c r="F679" i="38"/>
  <c r="E679" i="38"/>
  <c r="D679" i="38"/>
  <c r="C679" i="38"/>
  <c r="B679" i="38"/>
  <c r="M678" i="38"/>
  <c r="L678" i="38"/>
  <c r="K678" i="38"/>
  <c r="J678" i="38"/>
  <c r="I678" i="38"/>
  <c r="H678" i="38"/>
  <c r="G678" i="38"/>
  <c r="F678" i="38"/>
  <c r="E678" i="38"/>
  <c r="D678" i="38"/>
  <c r="C678" i="38"/>
  <c r="B678" i="38"/>
  <c r="M677" i="38"/>
  <c r="L677" i="38"/>
  <c r="K677" i="38"/>
  <c r="J677" i="38"/>
  <c r="I677" i="38"/>
  <c r="H677" i="38"/>
  <c r="G677" i="38"/>
  <c r="F677" i="38"/>
  <c r="E677" i="38"/>
  <c r="D677" i="38"/>
  <c r="C677" i="38"/>
  <c r="B677" i="38"/>
  <c r="M676" i="38"/>
  <c r="L676" i="38"/>
  <c r="K676" i="38"/>
  <c r="J676" i="38"/>
  <c r="I676" i="38"/>
  <c r="H676" i="38"/>
  <c r="G676" i="38"/>
  <c r="F676" i="38"/>
  <c r="E676" i="38"/>
  <c r="D676" i="38"/>
  <c r="C676" i="38"/>
  <c r="B676" i="38"/>
  <c r="M675" i="38"/>
  <c r="L675" i="38"/>
  <c r="K675" i="38"/>
  <c r="J675" i="38"/>
  <c r="I675" i="38"/>
  <c r="H675" i="38"/>
  <c r="G675" i="38"/>
  <c r="F675" i="38"/>
  <c r="E675" i="38"/>
  <c r="D675" i="38"/>
  <c r="C675" i="38"/>
  <c r="B675" i="38"/>
  <c r="M674" i="38"/>
  <c r="L674" i="38"/>
  <c r="K674" i="38"/>
  <c r="J674" i="38"/>
  <c r="I674" i="38"/>
  <c r="H674" i="38"/>
  <c r="G674" i="38"/>
  <c r="F674" i="38"/>
  <c r="E674" i="38"/>
  <c r="D674" i="38"/>
  <c r="C674" i="38"/>
  <c r="B674" i="38"/>
  <c r="M673" i="38"/>
  <c r="L673" i="38"/>
  <c r="K673" i="38"/>
  <c r="J673" i="38"/>
  <c r="I673" i="38"/>
  <c r="H673" i="38"/>
  <c r="G673" i="38"/>
  <c r="F673" i="38"/>
  <c r="E673" i="38"/>
  <c r="D673" i="38"/>
  <c r="C673" i="38"/>
  <c r="B673" i="38"/>
  <c r="M672" i="38"/>
  <c r="L672" i="38"/>
  <c r="K672" i="38"/>
  <c r="J672" i="38"/>
  <c r="I672" i="38"/>
  <c r="H672" i="38"/>
  <c r="G672" i="38"/>
  <c r="F672" i="38"/>
  <c r="E672" i="38"/>
  <c r="D672" i="38"/>
  <c r="C672" i="38"/>
  <c r="B672" i="38"/>
  <c r="M671" i="38"/>
  <c r="L671" i="38"/>
  <c r="K671" i="38"/>
  <c r="J671" i="38"/>
  <c r="I671" i="38"/>
  <c r="H671" i="38"/>
  <c r="G671" i="38"/>
  <c r="F671" i="38"/>
  <c r="E671" i="38"/>
  <c r="D671" i="38"/>
  <c r="C671" i="38"/>
  <c r="B671" i="38"/>
  <c r="M670" i="38"/>
  <c r="L670" i="38"/>
  <c r="K670" i="38"/>
  <c r="J670" i="38"/>
  <c r="I670" i="38"/>
  <c r="H670" i="38"/>
  <c r="G670" i="38"/>
  <c r="F670" i="38"/>
  <c r="E670" i="38"/>
  <c r="D670" i="38"/>
  <c r="C670" i="38"/>
  <c r="B670" i="38"/>
  <c r="M669" i="38"/>
  <c r="L669" i="38"/>
  <c r="K669" i="38"/>
  <c r="J669" i="38"/>
  <c r="I669" i="38"/>
  <c r="H669" i="38"/>
  <c r="G669" i="38"/>
  <c r="F669" i="38"/>
  <c r="E669" i="38"/>
  <c r="D669" i="38"/>
  <c r="C669" i="38"/>
  <c r="B669" i="38"/>
  <c r="M668" i="38"/>
  <c r="L668" i="38"/>
  <c r="K668" i="38"/>
  <c r="J668" i="38"/>
  <c r="I668" i="38"/>
  <c r="H668" i="38"/>
  <c r="G668" i="38"/>
  <c r="F668" i="38"/>
  <c r="E668" i="38"/>
  <c r="D668" i="38"/>
  <c r="C668" i="38"/>
  <c r="B668" i="38"/>
  <c r="M667" i="38"/>
  <c r="L667" i="38"/>
  <c r="K667" i="38"/>
  <c r="J667" i="38"/>
  <c r="I667" i="38"/>
  <c r="H667" i="38"/>
  <c r="G667" i="38"/>
  <c r="F667" i="38"/>
  <c r="E667" i="38"/>
  <c r="D667" i="38"/>
  <c r="C667" i="38"/>
  <c r="B667" i="38"/>
  <c r="M666" i="38"/>
  <c r="L666" i="38"/>
  <c r="K666" i="38"/>
  <c r="J666" i="38"/>
  <c r="I666" i="38"/>
  <c r="H666" i="38"/>
  <c r="G666" i="38"/>
  <c r="F666" i="38"/>
  <c r="E666" i="38"/>
  <c r="D666" i="38"/>
  <c r="C666" i="38"/>
  <c r="B666" i="38"/>
  <c r="M665" i="38"/>
  <c r="L665" i="38"/>
  <c r="K665" i="38"/>
  <c r="J665" i="38"/>
  <c r="I665" i="38"/>
  <c r="H665" i="38"/>
  <c r="G665" i="38"/>
  <c r="F665" i="38"/>
  <c r="E665" i="38"/>
  <c r="D665" i="38"/>
  <c r="C665" i="38"/>
  <c r="B665" i="38"/>
  <c r="M664" i="38"/>
  <c r="L664" i="38"/>
  <c r="K664" i="38"/>
  <c r="J664" i="38"/>
  <c r="I664" i="38"/>
  <c r="H664" i="38"/>
  <c r="G664" i="38"/>
  <c r="F664" i="38"/>
  <c r="E664" i="38"/>
  <c r="D664" i="38"/>
  <c r="C664" i="38"/>
  <c r="B664" i="38"/>
  <c r="M663" i="38"/>
  <c r="L663" i="38"/>
  <c r="K663" i="38"/>
  <c r="J663" i="38"/>
  <c r="I663" i="38"/>
  <c r="H663" i="38"/>
  <c r="G663" i="38"/>
  <c r="F663" i="38"/>
  <c r="E663" i="38"/>
  <c r="D663" i="38"/>
  <c r="C663" i="38"/>
  <c r="B663" i="38"/>
  <c r="M662" i="38"/>
  <c r="L662" i="38"/>
  <c r="K662" i="38"/>
  <c r="J662" i="38"/>
  <c r="I662" i="38"/>
  <c r="H662" i="38"/>
  <c r="G662" i="38"/>
  <c r="F662" i="38"/>
  <c r="E662" i="38"/>
  <c r="D662" i="38"/>
  <c r="C662" i="38"/>
  <c r="B662" i="38"/>
  <c r="M661" i="38"/>
  <c r="L661" i="38"/>
  <c r="K661" i="38"/>
  <c r="J661" i="38"/>
  <c r="I661" i="38"/>
  <c r="H661" i="38"/>
  <c r="G661" i="38"/>
  <c r="F661" i="38"/>
  <c r="E661" i="38"/>
  <c r="D661" i="38"/>
  <c r="C661" i="38"/>
  <c r="B661" i="38"/>
  <c r="M660" i="38"/>
  <c r="L660" i="38"/>
  <c r="K660" i="38"/>
  <c r="J660" i="38"/>
  <c r="I660" i="38"/>
  <c r="H660" i="38"/>
  <c r="G660" i="38"/>
  <c r="F660" i="38"/>
  <c r="E660" i="38"/>
  <c r="D660" i="38"/>
  <c r="C660" i="38"/>
  <c r="B660" i="38"/>
  <c r="M659" i="38"/>
  <c r="L659" i="38"/>
  <c r="K659" i="38"/>
  <c r="J659" i="38"/>
  <c r="I659" i="38"/>
  <c r="H659" i="38"/>
  <c r="G659" i="38"/>
  <c r="F659" i="38"/>
  <c r="E659" i="38"/>
  <c r="D659" i="38"/>
  <c r="C659" i="38"/>
  <c r="B659" i="38"/>
  <c r="M658" i="38"/>
  <c r="L658" i="38"/>
  <c r="K658" i="38"/>
  <c r="J658" i="38"/>
  <c r="I658" i="38"/>
  <c r="H658" i="38"/>
  <c r="G658" i="38"/>
  <c r="F658" i="38"/>
  <c r="E658" i="38"/>
  <c r="D658" i="38"/>
  <c r="C658" i="38"/>
  <c r="B658" i="38"/>
  <c r="M657" i="38"/>
  <c r="L657" i="38"/>
  <c r="K657" i="38"/>
  <c r="J657" i="38"/>
  <c r="I657" i="38"/>
  <c r="H657" i="38"/>
  <c r="G657" i="38"/>
  <c r="F657" i="38"/>
  <c r="E657" i="38"/>
  <c r="D657" i="38"/>
  <c r="C657" i="38"/>
  <c r="B657" i="38"/>
  <c r="M656" i="38"/>
  <c r="L656" i="38"/>
  <c r="K656" i="38"/>
  <c r="J656" i="38"/>
  <c r="I656" i="38"/>
  <c r="H656" i="38"/>
  <c r="G656" i="38"/>
  <c r="F656" i="38"/>
  <c r="E656" i="38"/>
  <c r="D656" i="38"/>
  <c r="C656" i="38"/>
  <c r="B656" i="38"/>
  <c r="M655" i="38"/>
  <c r="L655" i="38"/>
  <c r="K655" i="38"/>
  <c r="J655" i="38"/>
  <c r="I655" i="38"/>
  <c r="H655" i="38"/>
  <c r="G655" i="38"/>
  <c r="F655" i="38"/>
  <c r="E655" i="38"/>
  <c r="D655" i="38"/>
  <c r="C655" i="38"/>
  <c r="B655" i="38"/>
  <c r="M654" i="38"/>
  <c r="L654" i="38"/>
  <c r="K654" i="38"/>
  <c r="J654" i="38"/>
  <c r="I654" i="38"/>
  <c r="H654" i="38"/>
  <c r="G654" i="38"/>
  <c r="F654" i="38"/>
  <c r="E654" i="38"/>
  <c r="D654" i="38"/>
  <c r="C654" i="38"/>
  <c r="B654" i="38"/>
  <c r="M653" i="38"/>
  <c r="L653" i="38"/>
  <c r="K653" i="38"/>
  <c r="J653" i="38"/>
  <c r="I653" i="38"/>
  <c r="H653" i="38"/>
  <c r="G653" i="38"/>
  <c r="F653" i="38"/>
  <c r="E653" i="38"/>
  <c r="D653" i="38"/>
  <c r="C653" i="38"/>
  <c r="B653" i="38"/>
  <c r="M652" i="38"/>
  <c r="L652" i="38"/>
  <c r="K652" i="38"/>
  <c r="J652" i="38"/>
  <c r="I652" i="38"/>
  <c r="H652" i="38"/>
  <c r="G652" i="38"/>
  <c r="F652" i="38"/>
  <c r="E652" i="38"/>
  <c r="D652" i="38"/>
  <c r="C652" i="38"/>
  <c r="B652" i="38"/>
  <c r="M651" i="38"/>
  <c r="L651" i="38"/>
  <c r="K651" i="38"/>
  <c r="J651" i="38"/>
  <c r="I651" i="38"/>
  <c r="H651" i="38"/>
  <c r="G651" i="38"/>
  <c r="F651" i="38"/>
  <c r="E651" i="38"/>
  <c r="D651" i="38"/>
  <c r="C651" i="38"/>
  <c r="B651" i="38"/>
  <c r="M650" i="38"/>
  <c r="L650" i="38"/>
  <c r="K650" i="38"/>
  <c r="J650" i="38"/>
  <c r="I650" i="38"/>
  <c r="H650" i="38"/>
  <c r="G650" i="38"/>
  <c r="F650" i="38"/>
  <c r="E650" i="38"/>
  <c r="D650" i="38"/>
  <c r="C650" i="38"/>
  <c r="B650" i="38"/>
  <c r="M649" i="38"/>
  <c r="L649" i="38"/>
  <c r="K649" i="38"/>
  <c r="J649" i="38"/>
  <c r="I649" i="38"/>
  <c r="H649" i="38"/>
  <c r="G649" i="38"/>
  <c r="F649" i="38"/>
  <c r="E649" i="38"/>
  <c r="D649" i="38"/>
  <c r="C649" i="38"/>
  <c r="B649" i="38"/>
  <c r="M648" i="38"/>
  <c r="L648" i="38"/>
  <c r="K648" i="38"/>
  <c r="J648" i="38"/>
  <c r="I648" i="38"/>
  <c r="H648" i="38"/>
  <c r="G648" i="38"/>
  <c r="F648" i="38"/>
  <c r="E648" i="38"/>
  <c r="D648" i="38"/>
  <c r="C648" i="38"/>
  <c r="B648" i="38"/>
  <c r="M647" i="38"/>
  <c r="L647" i="38"/>
  <c r="K647" i="38"/>
  <c r="J647" i="38"/>
  <c r="I647" i="38"/>
  <c r="H647" i="38"/>
  <c r="G647" i="38"/>
  <c r="F647" i="38"/>
  <c r="E647" i="38"/>
  <c r="D647" i="38"/>
  <c r="C647" i="38"/>
  <c r="B647" i="38"/>
  <c r="M646" i="38"/>
  <c r="L646" i="38"/>
  <c r="K646" i="38"/>
  <c r="J646" i="38"/>
  <c r="I646" i="38"/>
  <c r="H646" i="38"/>
  <c r="G646" i="38"/>
  <c r="F646" i="38"/>
  <c r="E646" i="38"/>
  <c r="D646" i="38"/>
  <c r="C646" i="38"/>
  <c r="B646" i="38"/>
  <c r="M645" i="38"/>
  <c r="L645" i="38"/>
  <c r="K645" i="38"/>
  <c r="J645" i="38"/>
  <c r="I645" i="38"/>
  <c r="H645" i="38"/>
  <c r="G645" i="38"/>
  <c r="F645" i="38"/>
  <c r="E645" i="38"/>
  <c r="D645" i="38"/>
  <c r="C645" i="38"/>
  <c r="B645" i="38"/>
  <c r="M644" i="38"/>
  <c r="L644" i="38"/>
  <c r="K644" i="38"/>
  <c r="J644" i="38"/>
  <c r="I644" i="38"/>
  <c r="H644" i="38"/>
  <c r="G644" i="38"/>
  <c r="F644" i="38"/>
  <c r="E644" i="38"/>
  <c r="D644" i="38"/>
  <c r="C644" i="38"/>
  <c r="B644" i="38"/>
  <c r="M643" i="38"/>
  <c r="L643" i="38"/>
  <c r="K643" i="38"/>
  <c r="J643" i="38"/>
  <c r="I643" i="38"/>
  <c r="H643" i="38"/>
  <c r="G643" i="38"/>
  <c r="F643" i="38"/>
  <c r="E643" i="38"/>
  <c r="D643" i="38"/>
  <c r="C643" i="38"/>
  <c r="B643" i="38"/>
  <c r="M642" i="38"/>
  <c r="L642" i="38"/>
  <c r="K642" i="38"/>
  <c r="J642" i="38"/>
  <c r="I642" i="38"/>
  <c r="H642" i="38"/>
  <c r="G642" i="38"/>
  <c r="F642" i="38"/>
  <c r="E642" i="38"/>
  <c r="D642" i="38"/>
  <c r="C642" i="38"/>
  <c r="B642" i="38"/>
  <c r="M641" i="38"/>
  <c r="L641" i="38"/>
  <c r="K641" i="38"/>
  <c r="J641" i="38"/>
  <c r="I641" i="38"/>
  <c r="H641" i="38"/>
  <c r="G641" i="38"/>
  <c r="F641" i="38"/>
  <c r="E641" i="38"/>
  <c r="D641" i="38"/>
  <c r="C641" i="38"/>
  <c r="B641" i="38"/>
  <c r="M640" i="38"/>
  <c r="L640" i="38"/>
  <c r="K640" i="38"/>
  <c r="J640" i="38"/>
  <c r="I640" i="38"/>
  <c r="H640" i="38"/>
  <c r="G640" i="38"/>
  <c r="F640" i="38"/>
  <c r="E640" i="38"/>
  <c r="D640" i="38"/>
  <c r="C640" i="38"/>
  <c r="B640" i="38"/>
  <c r="M639" i="38"/>
  <c r="L639" i="38"/>
  <c r="K639" i="38"/>
  <c r="J639" i="38"/>
  <c r="I639" i="38"/>
  <c r="H639" i="38"/>
  <c r="G639" i="38"/>
  <c r="F639" i="38"/>
  <c r="E639" i="38"/>
  <c r="D639" i="38"/>
  <c r="C639" i="38"/>
  <c r="B639" i="38"/>
  <c r="M638" i="38"/>
  <c r="L638" i="38"/>
  <c r="K638" i="38"/>
  <c r="J638" i="38"/>
  <c r="I638" i="38"/>
  <c r="H638" i="38"/>
  <c r="G638" i="38"/>
  <c r="F638" i="38"/>
  <c r="E638" i="38"/>
  <c r="D638" i="38"/>
  <c r="C638" i="38"/>
  <c r="B638" i="38"/>
  <c r="M637" i="38"/>
  <c r="L637" i="38"/>
  <c r="K637" i="38"/>
  <c r="J637" i="38"/>
  <c r="I637" i="38"/>
  <c r="H637" i="38"/>
  <c r="G637" i="38"/>
  <c r="F637" i="38"/>
  <c r="E637" i="38"/>
  <c r="D637" i="38"/>
  <c r="C637" i="38"/>
  <c r="B637" i="38"/>
  <c r="M636" i="38"/>
  <c r="L636" i="38"/>
  <c r="K636" i="38"/>
  <c r="J636" i="38"/>
  <c r="I636" i="38"/>
  <c r="H636" i="38"/>
  <c r="G636" i="38"/>
  <c r="F636" i="38"/>
  <c r="E636" i="38"/>
  <c r="D636" i="38"/>
  <c r="C636" i="38"/>
  <c r="B636" i="38"/>
  <c r="M635" i="38"/>
  <c r="L635" i="38"/>
  <c r="K635" i="38"/>
  <c r="J635" i="38"/>
  <c r="I635" i="38"/>
  <c r="H635" i="38"/>
  <c r="G635" i="38"/>
  <c r="F635" i="38"/>
  <c r="E635" i="38"/>
  <c r="D635" i="38"/>
  <c r="C635" i="38"/>
  <c r="B635" i="38"/>
  <c r="M634" i="38"/>
  <c r="L634" i="38"/>
  <c r="K634" i="38"/>
  <c r="J634" i="38"/>
  <c r="I634" i="38"/>
  <c r="H634" i="38"/>
  <c r="G634" i="38"/>
  <c r="F634" i="38"/>
  <c r="E634" i="38"/>
  <c r="D634" i="38"/>
  <c r="C634" i="38"/>
  <c r="B634" i="38"/>
  <c r="M633" i="38"/>
  <c r="L633" i="38"/>
  <c r="K633" i="38"/>
  <c r="J633" i="38"/>
  <c r="I633" i="38"/>
  <c r="H633" i="38"/>
  <c r="G633" i="38"/>
  <c r="F633" i="38"/>
  <c r="E633" i="38"/>
  <c r="D633" i="38"/>
  <c r="C633" i="38"/>
  <c r="B633" i="38"/>
  <c r="M632" i="38"/>
  <c r="L632" i="38"/>
  <c r="K632" i="38"/>
  <c r="J632" i="38"/>
  <c r="I632" i="38"/>
  <c r="H632" i="38"/>
  <c r="G632" i="38"/>
  <c r="F632" i="38"/>
  <c r="E632" i="38"/>
  <c r="D632" i="38"/>
  <c r="C632" i="38"/>
  <c r="B632" i="38"/>
  <c r="M631" i="38"/>
  <c r="L631" i="38"/>
  <c r="K631" i="38"/>
  <c r="J631" i="38"/>
  <c r="I631" i="38"/>
  <c r="H631" i="38"/>
  <c r="G631" i="38"/>
  <c r="F631" i="38"/>
  <c r="E631" i="38"/>
  <c r="D631" i="38"/>
  <c r="C631" i="38"/>
  <c r="B631" i="38"/>
  <c r="M630" i="38"/>
  <c r="L630" i="38"/>
  <c r="K630" i="38"/>
  <c r="J630" i="38"/>
  <c r="I630" i="38"/>
  <c r="H630" i="38"/>
  <c r="G630" i="38"/>
  <c r="F630" i="38"/>
  <c r="E630" i="38"/>
  <c r="D630" i="38"/>
  <c r="C630" i="38"/>
  <c r="B630" i="38"/>
  <c r="M629" i="38"/>
  <c r="L629" i="38"/>
  <c r="K629" i="38"/>
  <c r="J629" i="38"/>
  <c r="I629" i="38"/>
  <c r="H629" i="38"/>
  <c r="G629" i="38"/>
  <c r="F629" i="38"/>
  <c r="E629" i="38"/>
  <c r="D629" i="38"/>
  <c r="C629" i="38"/>
  <c r="B629" i="38"/>
  <c r="M628" i="38"/>
  <c r="L628" i="38"/>
  <c r="K628" i="38"/>
  <c r="J628" i="38"/>
  <c r="I628" i="38"/>
  <c r="H628" i="38"/>
  <c r="G628" i="38"/>
  <c r="F628" i="38"/>
  <c r="E628" i="38"/>
  <c r="D628" i="38"/>
  <c r="C628" i="38"/>
  <c r="B628" i="38"/>
  <c r="M627" i="38"/>
  <c r="L627" i="38"/>
  <c r="K627" i="38"/>
  <c r="J627" i="38"/>
  <c r="I627" i="38"/>
  <c r="H627" i="38"/>
  <c r="G627" i="38"/>
  <c r="F627" i="38"/>
  <c r="E627" i="38"/>
  <c r="D627" i="38"/>
  <c r="C627" i="38"/>
  <c r="B627" i="38"/>
  <c r="M626" i="38"/>
  <c r="L626" i="38"/>
  <c r="K626" i="38"/>
  <c r="J626" i="38"/>
  <c r="I626" i="38"/>
  <c r="H626" i="38"/>
  <c r="G626" i="38"/>
  <c r="F626" i="38"/>
  <c r="E626" i="38"/>
  <c r="D626" i="38"/>
  <c r="C626" i="38"/>
  <c r="B626" i="38"/>
  <c r="M625" i="38"/>
  <c r="L625" i="38"/>
  <c r="K625" i="38"/>
  <c r="J625" i="38"/>
  <c r="I625" i="38"/>
  <c r="H625" i="38"/>
  <c r="G625" i="38"/>
  <c r="F625" i="38"/>
  <c r="E625" i="38"/>
  <c r="D625" i="38"/>
  <c r="C625" i="38"/>
  <c r="B625" i="38"/>
  <c r="M624" i="38"/>
  <c r="L624" i="38"/>
  <c r="K624" i="38"/>
  <c r="J624" i="38"/>
  <c r="I624" i="38"/>
  <c r="H624" i="38"/>
  <c r="G624" i="38"/>
  <c r="F624" i="38"/>
  <c r="E624" i="38"/>
  <c r="D624" i="38"/>
  <c r="C624" i="38"/>
  <c r="B624" i="38"/>
  <c r="M623" i="38"/>
  <c r="L623" i="38"/>
  <c r="K623" i="38"/>
  <c r="J623" i="38"/>
  <c r="I623" i="38"/>
  <c r="H623" i="38"/>
  <c r="G623" i="38"/>
  <c r="F623" i="38"/>
  <c r="E623" i="38"/>
  <c r="D623" i="38"/>
  <c r="C623" i="38"/>
  <c r="B623" i="38"/>
  <c r="M622" i="38"/>
  <c r="L622" i="38"/>
  <c r="K622" i="38"/>
  <c r="J622" i="38"/>
  <c r="I622" i="38"/>
  <c r="H622" i="38"/>
  <c r="G622" i="38"/>
  <c r="F622" i="38"/>
  <c r="E622" i="38"/>
  <c r="D622" i="38"/>
  <c r="C622" i="38"/>
  <c r="B622" i="38"/>
  <c r="M621" i="38"/>
  <c r="L621" i="38"/>
  <c r="K621" i="38"/>
  <c r="J621" i="38"/>
  <c r="I621" i="38"/>
  <c r="H621" i="38"/>
  <c r="G621" i="38"/>
  <c r="F621" i="38"/>
  <c r="E621" i="38"/>
  <c r="D621" i="38"/>
  <c r="C621" i="38"/>
  <c r="B621" i="38"/>
  <c r="M620" i="38"/>
  <c r="L620" i="38"/>
  <c r="K620" i="38"/>
  <c r="J620" i="38"/>
  <c r="I620" i="38"/>
  <c r="H620" i="38"/>
  <c r="G620" i="38"/>
  <c r="F620" i="38"/>
  <c r="E620" i="38"/>
  <c r="D620" i="38"/>
  <c r="C620" i="38"/>
  <c r="B620" i="38"/>
  <c r="M619" i="38"/>
  <c r="L619" i="38"/>
  <c r="K619" i="38"/>
  <c r="J619" i="38"/>
  <c r="I619" i="38"/>
  <c r="H619" i="38"/>
  <c r="G619" i="38"/>
  <c r="F619" i="38"/>
  <c r="E619" i="38"/>
  <c r="D619" i="38"/>
  <c r="C619" i="38"/>
  <c r="B619" i="38"/>
  <c r="M618" i="38"/>
  <c r="L618" i="38"/>
  <c r="K618" i="38"/>
  <c r="J618" i="38"/>
  <c r="I618" i="38"/>
  <c r="H618" i="38"/>
  <c r="G618" i="38"/>
  <c r="F618" i="38"/>
  <c r="E618" i="38"/>
  <c r="D618" i="38"/>
  <c r="C618" i="38"/>
  <c r="B618" i="38"/>
  <c r="M617" i="38"/>
  <c r="L617" i="38"/>
  <c r="K617" i="38"/>
  <c r="J617" i="38"/>
  <c r="I617" i="38"/>
  <c r="H617" i="38"/>
  <c r="G617" i="38"/>
  <c r="F617" i="38"/>
  <c r="E617" i="38"/>
  <c r="D617" i="38"/>
  <c r="C617" i="38"/>
  <c r="B617" i="38"/>
  <c r="M616" i="38"/>
  <c r="L616" i="38"/>
  <c r="K616" i="38"/>
  <c r="J616" i="38"/>
  <c r="I616" i="38"/>
  <c r="H616" i="38"/>
  <c r="G616" i="38"/>
  <c r="F616" i="38"/>
  <c r="E616" i="38"/>
  <c r="D616" i="38"/>
  <c r="C616" i="38"/>
  <c r="B616" i="38"/>
  <c r="M615" i="38"/>
  <c r="L615" i="38"/>
  <c r="K615" i="38"/>
  <c r="J615" i="38"/>
  <c r="I615" i="38"/>
  <c r="H615" i="38"/>
  <c r="G615" i="38"/>
  <c r="F615" i="38"/>
  <c r="E615" i="38"/>
  <c r="D615" i="38"/>
  <c r="C615" i="38"/>
  <c r="B615" i="38"/>
  <c r="M614" i="38"/>
  <c r="L614" i="38"/>
  <c r="K614" i="38"/>
  <c r="J614" i="38"/>
  <c r="I614" i="38"/>
  <c r="H614" i="38"/>
  <c r="G614" i="38"/>
  <c r="F614" i="38"/>
  <c r="E614" i="38"/>
  <c r="D614" i="38"/>
  <c r="C614" i="38"/>
  <c r="B614" i="38"/>
  <c r="M613" i="38"/>
  <c r="L613" i="38"/>
  <c r="K613" i="38"/>
  <c r="J613" i="38"/>
  <c r="I613" i="38"/>
  <c r="H613" i="38"/>
  <c r="G613" i="38"/>
  <c r="F613" i="38"/>
  <c r="E613" i="38"/>
  <c r="D613" i="38"/>
  <c r="C613" i="38"/>
  <c r="B613" i="38"/>
  <c r="M612" i="38"/>
  <c r="L612" i="38"/>
  <c r="K612" i="38"/>
  <c r="J612" i="38"/>
  <c r="I612" i="38"/>
  <c r="H612" i="38"/>
  <c r="G612" i="38"/>
  <c r="F612" i="38"/>
  <c r="E612" i="38"/>
  <c r="D612" i="38"/>
  <c r="C612" i="38"/>
  <c r="B612" i="38"/>
  <c r="M611" i="38"/>
  <c r="L611" i="38"/>
  <c r="K611" i="38"/>
  <c r="J611" i="38"/>
  <c r="I611" i="38"/>
  <c r="H611" i="38"/>
  <c r="G611" i="38"/>
  <c r="F611" i="38"/>
  <c r="E611" i="38"/>
  <c r="D611" i="38"/>
  <c r="C611" i="38"/>
  <c r="B611" i="38"/>
  <c r="M610" i="38"/>
  <c r="L610" i="38"/>
  <c r="K610" i="38"/>
  <c r="J610" i="38"/>
  <c r="I610" i="38"/>
  <c r="H610" i="38"/>
  <c r="G610" i="38"/>
  <c r="F610" i="38"/>
  <c r="E610" i="38"/>
  <c r="D610" i="38"/>
  <c r="C610" i="38"/>
  <c r="B610" i="38"/>
  <c r="M609" i="38"/>
  <c r="L609" i="38"/>
  <c r="K609" i="38"/>
  <c r="J609" i="38"/>
  <c r="I609" i="38"/>
  <c r="H609" i="38"/>
  <c r="G609" i="38"/>
  <c r="F609" i="38"/>
  <c r="E609" i="38"/>
  <c r="D609" i="38"/>
  <c r="C609" i="38"/>
  <c r="B609" i="38"/>
  <c r="M608" i="38"/>
  <c r="L608" i="38"/>
  <c r="K608" i="38"/>
  <c r="J608" i="38"/>
  <c r="I608" i="38"/>
  <c r="H608" i="38"/>
  <c r="G608" i="38"/>
  <c r="F608" i="38"/>
  <c r="E608" i="38"/>
  <c r="D608" i="38"/>
  <c r="C608" i="38"/>
  <c r="B608" i="38"/>
  <c r="M607" i="38"/>
  <c r="L607" i="38"/>
  <c r="K607" i="38"/>
  <c r="J607" i="38"/>
  <c r="I607" i="38"/>
  <c r="H607" i="38"/>
  <c r="G607" i="38"/>
  <c r="F607" i="38"/>
  <c r="E607" i="38"/>
  <c r="D607" i="38"/>
  <c r="C607" i="38"/>
  <c r="B607" i="38"/>
  <c r="M606" i="38"/>
  <c r="L606" i="38"/>
  <c r="K606" i="38"/>
  <c r="J606" i="38"/>
  <c r="I606" i="38"/>
  <c r="H606" i="38"/>
  <c r="G606" i="38"/>
  <c r="F606" i="38"/>
  <c r="E606" i="38"/>
  <c r="D606" i="38"/>
  <c r="C606" i="38"/>
  <c r="B606" i="38"/>
  <c r="M605" i="38"/>
  <c r="L605" i="38"/>
  <c r="K605" i="38"/>
  <c r="J605" i="38"/>
  <c r="I605" i="38"/>
  <c r="H605" i="38"/>
  <c r="G605" i="38"/>
  <c r="F605" i="38"/>
  <c r="E605" i="38"/>
  <c r="D605" i="38"/>
  <c r="C605" i="38"/>
  <c r="B605" i="38"/>
  <c r="M604" i="38"/>
  <c r="L604" i="38"/>
  <c r="K604" i="38"/>
  <c r="J604" i="38"/>
  <c r="I604" i="38"/>
  <c r="H604" i="38"/>
  <c r="G604" i="38"/>
  <c r="F604" i="38"/>
  <c r="E604" i="38"/>
  <c r="D604" i="38"/>
  <c r="C604" i="38"/>
  <c r="B604" i="38"/>
  <c r="M603" i="38"/>
  <c r="L603" i="38"/>
  <c r="K603" i="38"/>
  <c r="J603" i="38"/>
  <c r="I603" i="38"/>
  <c r="H603" i="38"/>
  <c r="G603" i="38"/>
  <c r="F603" i="38"/>
  <c r="E603" i="38"/>
  <c r="D603" i="38"/>
  <c r="C603" i="38"/>
  <c r="B603" i="38"/>
  <c r="M602" i="38"/>
  <c r="L602" i="38"/>
  <c r="K602" i="38"/>
  <c r="J602" i="38"/>
  <c r="I602" i="38"/>
  <c r="H602" i="38"/>
  <c r="G602" i="38"/>
  <c r="F602" i="38"/>
  <c r="E602" i="38"/>
  <c r="D602" i="38"/>
  <c r="C602" i="38"/>
  <c r="B602" i="38"/>
  <c r="M601" i="38"/>
  <c r="L601" i="38"/>
  <c r="K601" i="38"/>
  <c r="J601" i="38"/>
  <c r="I601" i="38"/>
  <c r="H601" i="38"/>
  <c r="G601" i="38"/>
  <c r="F601" i="38"/>
  <c r="E601" i="38"/>
  <c r="D601" i="38"/>
  <c r="C601" i="38"/>
  <c r="B601" i="38"/>
  <c r="M600" i="38"/>
  <c r="L600" i="38"/>
  <c r="K600" i="38"/>
  <c r="J600" i="38"/>
  <c r="I600" i="38"/>
  <c r="H600" i="38"/>
  <c r="G600" i="38"/>
  <c r="F600" i="38"/>
  <c r="E600" i="38"/>
  <c r="D600" i="38"/>
  <c r="C600" i="38"/>
  <c r="B600" i="38"/>
  <c r="M599" i="38"/>
  <c r="L599" i="38"/>
  <c r="K599" i="38"/>
  <c r="J599" i="38"/>
  <c r="I599" i="38"/>
  <c r="H599" i="38"/>
  <c r="G599" i="38"/>
  <c r="F599" i="38"/>
  <c r="E599" i="38"/>
  <c r="D599" i="38"/>
  <c r="C599" i="38"/>
  <c r="B599" i="38"/>
  <c r="M598" i="38"/>
  <c r="L598" i="38"/>
  <c r="K598" i="38"/>
  <c r="J598" i="38"/>
  <c r="I598" i="38"/>
  <c r="H598" i="38"/>
  <c r="G598" i="38"/>
  <c r="F598" i="38"/>
  <c r="E598" i="38"/>
  <c r="D598" i="38"/>
  <c r="C598" i="38"/>
  <c r="B598" i="38"/>
  <c r="M597" i="38"/>
  <c r="L597" i="38"/>
  <c r="K597" i="38"/>
  <c r="J597" i="38"/>
  <c r="I597" i="38"/>
  <c r="H597" i="38"/>
  <c r="G597" i="38"/>
  <c r="F597" i="38"/>
  <c r="E597" i="38"/>
  <c r="D597" i="38"/>
  <c r="C597" i="38"/>
  <c r="B597" i="38"/>
  <c r="M596" i="38"/>
  <c r="L596" i="38"/>
  <c r="K596" i="38"/>
  <c r="J596" i="38"/>
  <c r="I596" i="38"/>
  <c r="H596" i="38"/>
  <c r="G596" i="38"/>
  <c r="F596" i="38"/>
  <c r="E596" i="38"/>
  <c r="D596" i="38"/>
  <c r="C596" i="38"/>
  <c r="B596" i="38"/>
  <c r="M595" i="38"/>
  <c r="L595" i="38"/>
  <c r="K595" i="38"/>
  <c r="J595" i="38"/>
  <c r="I595" i="38"/>
  <c r="H595" i="38"/>
  <c r="G595" i="38"/>
  <c r="F595" i="38"/>
  <c r="E595" i="38"/>
  <c r="D595" i="38"/>
  <c r="C595" i="38"/>
  <c r="B595" i="38"/>
  <c r="M594" i="38"/>
  <c r="L594" i="38"/>
  <c r="K594" i="38"/>
  <c r="J594" i="38"/>
  <c r="I594" i="38"/>
  <c r="H594" i="38"/>
  <c r="G594" i="38"/>
  <c r="F594" i="38"/>
  <c r="E594" i="38"/>
  <c r="D594" i="38"/>
  <c r="C594" i="38"/>
  <c r="B594" i="38"/>
  <c r="M593" i="38"/>
  <c r="L593" i="38"/>
  <c r="K593" i="38"/>
  <c r="J593" i="38"/>
  <c r="I593" i="38"/>
  <c r="H593" i="38"/>
  <c r="G593" i="38"/>
  <c r="F593" i="38"/>
  <c r="E593" i="38"/>
  <c r="D593" i="38"/>
  <c r="C593" i="38"/>
  <c r="B593" i="38"/>
  <c r="M592" i="38"/>
  <c r="L592" i="38"/>
  <c r="K592" i="38"/>
  <c r="J592" i="38"/>
  <c r="I592" i="38"/>
  <c r="H592" i="38"/>
  <c r="G592" i="38"/>
  <c r="F592" i="38"/>
  <c r="E592" i="38"/>
  <c r="D592" i="38"/>
  <c r="C592" i="38"/>
  <c r="B592" i="38"/>
  <c r="M591" i="38"/>
  <c r="L591" i="38"/>
  <c r="K591" i="38"/>
  <c r="J591" i="38"/>
  <c r="I591" i="38"/>
  <c r="H591" i="38"/>
  <c r="G591" i="38"/>
  <c r="F591" i="38"/>
  <c r="E591" i="38"/>
  <c r="D591" i="38"/>
  <c r="C591" i="38"/>
  <c r="B591" i="38"/>
  <c r="M590" i="38"/>
  <c r="L590" i="38"/>
  <c r="K590" i="38"/>
  <c r="J590" i="38"/>
  <c r="I590" i="38"/>
  <c r="H590" i="38"/>
  <c r="G590" i="38"/>
  <c r="F590" i="38"/>
  <c r="E590" i="38"/>
  <c r="D590" i="38"/>
  <c r="C590" i="38"/>
  <c r="B590" i="38"/>
  <c r="M589" i="38"/>
  <c r="L589" i="38"/>
  <c r="K589" i="38"/>
  <c r="J589" i="38"/>
  <c r="I589" i="38"/>
  <c r="H589" i="38"/>
  <c r="G589" i="38"/>
  <c r="F589" i="38"/>
  <c r="E589" i="38"/>
  <c r="D589" i="38"/>
  <c r="C589" i="38"/>
  <c r="B589" i="38"/>
  <c r="M588" i="38"/>
  <c r="L588" i="38"/>
  <c r="K588" i="38"/>
  <c r="J588" i="38"/>
  <c r="I588" i="38"/>
  <c r="H588" i="38"/>
  <c r="G588" i="38"/>
  <c r="F588" i="38"/>
  <c r="E588" i="38"/>
  <c r="D588" i="38"/>
  <c r="C588" i="38"/>
  <c r="B588" i="38"/>
  <c r="M587" i="38"/>
  <c r="L587" i="38"/>
  <c r="K587" i="38"/>
  <c r="J587" i="38"/>
  <c r="I587" i="38"/>
  <c r="H587" i="38"/>
  <c r="G587" i="38"/>
  <c r="F587" i="38"/>
  <c r="E587" i="38"/>
  <c r="D587" i="38"/>
  <c r="C587" i="38"/>
  <c r="B587" i="38"/>
  <c r="M586" i="38"/>
  <c r="L586" i="38"/>
  <c r="K586" i="38"/>
  <c r="J586" i="38"/>
  <c r="I586" i="38"/>
  <c r="H586" i="38"/>
  <c r="G586" i="38"/>
  <c r="F586" i="38"/>
  <c r="E586" i="38"/>
  <c r="D586" i="38"/>
  <c r="C586" i="38"/>
  <c r="B586" i="38"/>
  <c r="M585" i="38"/>
  <c r="L585" i="38"/>
  <c r="K585" i="38"/>
  <c r="J585" i="38"/>
  <c r="I585" i="38"/>
  <c r="H585" i="38"/>
  <c r="G585" i="38"/>
  <c r="F585" i="38"/>
  <c r="E585" i="38"/>
  <c r="D585" i="38"/>
  <c r="C585" i="38"/>
  <c r="B585" i="38"/>
  <c r="M584" i="38"/>
  <c r="L584" i="38"/>
  <c r="K584" i="38"/>
  <c r="J584" i="38"/>
  <c r="I584" i="38"/>
  <c r="H584" i="38"/>
  <c r="G584" i="38"/>
  <c r="F584" i="38"/>
  <c r="E584" i="38"/>
  <c r="D584" i="38"/>
  <c r="C584" i="38"/>
  <c r="B584" i="38"/>
  <c r="M583" i="38"/>
  <c r="L583" i="38"/>
  <c r="K583" i="38"/>
  <c r="J583" i="38"/>
  <c r="I583" i="38"/>
  <c r="H583" i="38"/>
  <c r="G583" i="38"/>
  <c r="F583" i="38"/>
  <c r="E583" i="38"/>
  <c r="D583" i="38"/>
  <c r="C583" i="38"/>
  <c r="B583" i="38"/>
  <c r="M582" i="38"/>
  <c r="L582" i="38"/>
  <c r="K582" i="38"/>
  <c r="J582" i="38"/>
  <c r="I582" i="38"/>
  <c r="H582" i="38"/>
  <c r="G582" i="38"/>
  <c r="F582" i="38"/>
  <c r="E582" i="38"/>
  <c r="D582" i="38"/>
  <c r="C582" i="38"/>
  <c r="B582" i="38"/>
  <c r="M581" i="38"/>
  <c r="L581" i="38"/>
  <c r="K581" i="38"/>
  <c r="J581" i="38"/>
  <c r="I581" i="38"/>
  <c r="H581" i="38"/>
  <c r="G581" i="38"/>
  <c r="F581" i="38"/>
  <c r="E581" i="38"/>
  <c r="D581" i="38"/>
  <c r="C581" i="38"/>
  <c r="B581" i="38"/>
  <c r="M580" i="38"/>
  <c r="L580" i="38"/>
  <c r="K580" i="38"/>
  <c r="J580" i="38"/>
  <c r="I580" i="38"/>
  <c r="H580" i="38"/>
  <c r="G580" i="38"/>
  <c r="F580" i="38"/>
  <c r="E580" i="38"/>
  <c r="D580" i="38"/>
  <c r="C580" i="38"/>
  <c r="B580" i="38"/>
  <c r="M579" i="38"/>
  <c r="L579" i="38"/>
  <c r="K579" i="38"/>
  <c r="J579" i="38"/>
  <c r="I579" i="38"/>
  <c r="H579" i="38"/>
  <c r="G579" i="38"/>
  <c r="F579" i="38"/>
  <c r="E579" i="38"/>
  <c r="D579" i="38"/>
  <c r="C579" i="38"/>
  <c r="B579" i="38"/>
  <c r="M578" i="38"/>
  <c r="L578" i="38"/>
  <c r="K578" i="38"/>
  <c r="J578" i="38"/>
  <c r="I578" i="38"/>
  <c r="H578" i="38"/>
  <c r="G578" i="38"/>
  <c r="F578" i="38"/>
  <c r="E578" i="38"/>
  <c r="D578" i="38"/>
  <c r="C578" i="38"/>
  <c r="B578" i="38"/>
  <c r="M577" i="38"/>
  <c r="L577" i="38"/>
  <c r="K577" i="38"/>
  <c r="J577" i="38"/>
  <c r="I577" i="38"/>
  <c r="H577" i="38"/>
  <c r="G577" i="38"/>
  <c r="F577" i="38"/>
  <c r="E577" i="38"/>
  <c r="D577" i="38"/>
  <c r="C577" i="38"/>
  <c r="B577" i="38"/>
  <c r="M576" i="38"/>
  <c r="L576" i="38"/>
  <c r="K576" i="38"/>
  <c r="J576" i="38"/>
  <c r="I576" i="38"/>
  <c r="H576" i="38"/>
  <c r="G576" i="38"/>
  <c r="F576" i="38"/>
  <c r="E576" i="38"/>
  <c r="D576" i="38"/>
  <c r="C576" i="38"/>
  <c r="B576" i="38"/>
  <c r="M575" i="38"/>
  <c r="L575" i="38"/>
  <c r="K575" i="38"/>
  <c r="J575" i="38"/>
  <c r="I575" i="38"/>
  <c r="H575" i="38"/>
  <c r="G575" i="38"/>
  <c r="F575" i="38"/>
  <c r="E575" i="38"/>
  <c r="D575" i="38"/>
  <c r="C575" i="38"/>
  <c r="B575" i="38"/>
  <c r="M574" i="38"/>
  <c r="L574" i="38"/>
  <c r="K574" i="38"/>
  <c r="J574" i="38"/>
  <c r="I574" i="38"/>
  <c r="H574" i="38"/>
  <c r="G574" i="38"/>
  <c r="F574" i="38"/>
  <c r="E574" i="38"/>
  <c r="D574" i="38"/>
  <c r="C574" i="38"/>
  <c r="B574" i="38"/>
  <c r="M573" i="38"/>
  <c r="L573" i="38"/>
  <c r="K573" i="38"/>
  <c r="J573" i="38"/>
  <c r="I573" i="38"/>
  <c r="H573" i="38"/>
  <c r="G573" i="38"/>
  <c r="F573" i="38"/>
  <c r="E573" i="38"/>
  <c r="D573" i="38"/>
  <c r="C573" i="38"/>
  <c r="B573" i="38"/>
  <c r="M572" i="38"/>
  <c r="L572" i="38"/>
  <c r="K572" i="38"/>
  <c r="J572" i="38"/>
  <c r="I572" i="38"/>
  <c r="H572" i="38"/>
  <c r="G572" i="38"/>
  <c r="F572" i="38"/>
  <c r="E572" i="38"/>
  <c r="D572" i="38"/>
  <c r="C572" i="38"/>
  <c r="B572" i="38"/>
  <c r="M571" i="38"/>
  <c r="L571" i="38"/>
  <c r="K571" i="38"/>
  <c r="J571" i="38"/>
  <c r="I571" i="38"/>
  <c r="H571" i="38"/>
  <c r="G571" i="38"/>
  <c r="F571" i="38"/>
  <c r="E571" i="38"/>
  <c r="D571" i="38"/>
  <c r="C571" i="38"/>
  <c r="B571" i="38"/>
  <c r="M570" i="38"/>
  <c r="L570" i="38"/>
  <c r="K570" i="38"/>
  <c r="J570" i="38"/>
  <c r="I570" i="38"/>
  <c r="H570" i="38"/>
  <c r="G570" i="38"/>
  <c r="F570" i="38"/>
  <c r="E570" i="38"/>
  <c r="D570" i="38"/>
  <c r="C570" i="38"/>
  <c r="B570" i="38"/>
  <c r="M569" i="38"/>
  <c r="L569" i="38"/>
  <c r="K569" i="38"/>
  <c r="J569" i="38"/>
  <c r="I569" i="38"/>
  <c r="H569" i="38"/>
  <c r="G569" i="38"/>
  <c r="F569" i="38"/>
  <c r="E569" i="38"/>
  <c r="D569" i="38"/>
  <c r="C569" i="38"/>
  <c r="B569" i="38"/>
  <c r="M568" i="38"/>
  <c r="L568" i="38"/>
  <c r="K568" i="38"/>
  <c r="J568" i="38"/>
  <c r="I568" i="38"/>
  <c r="H568" i="38"/>
  <c r="G568" i="38"/>
  <c r="F568" i="38"/>
  <c r="E568" i="38"/>
  <c r="D568" i="38"/>
  <c r="C568" i="38"/>
  <c r="B568" i="38"/>
  <c r="M567" i="38"/>
  <c r="L567" i="38"/>
  <c r="K567" i="38"/>
  <c r="J567" i="38"/>
  <c r="I567" i="38"/>
  <c r="H567" i="38"/>
  <c r="G567" i="38"/>
  <c r="F567" i="38"/>
  <c r="E567" i="38"/>
  <c r="D567" i="38"/>
  <c r="C567" i="38"/>
  <c r="B567" i="38"/>
  <c r="M566" i="38"/>
  <c r="L566" i="38"/>
  <c r="K566" i="38"/>
  <c r="J566" i="38"/>
  <c r="I566" i="38"/>
  <c r="H566" i="38"/>
  <c r="G566" i="38"/>
  <c r="F566" i="38"/>
  <c r="E566" i="38"/>
  <c r="D566" i="38"/>
  <c r="C566" i="38"/>
  <c r="B566" i="38"/>
  <c r="M565" i="38"/>
  <c r="L565" i="38"/>
  <c r="K565" i="38"/>
  <c r="J565" i="38"/>
  <c r="I565" i="38"/>
  <c r="H565" i="38"/>
  <c r="G565" i="38"/>
  <c r="F565" i="38"/>
  <c r="E565" i="38"/>
  <c r="D565" i="38"/>
  <c r="C565" i="38"/>
  <c r="B565" i="38"/>
  <c r="M564" i="38"/>
  <c r="L564" i="38"/>
  <c r="K564" i="38"/>
  <c r="J564" i="38"/>
  <c r="I564" i="38"/>
  <c r="H564" i="38"/>
  <c r="G564" i="38"/>
  <c r="F564" i="38"/>
  <c r="E564" i="38"/>
  <c r="D564" i="38"/>
  <c r="C564" i="38"/>
  <c r="B564" i="38"/>
  <c r="M563" i="38"/>
  <c r="L563" i="38"/>
  <c r="K563" i="38"/>
  <c r="J563" i="38"/>
  <c r="I563" i="38"/>
  <c r="H563" i="38"/>
  <c r="G563" i="38"/>
  <c r="F563" i="38"/>
  <c r="E563" i="38"/>
  <c r="D563" i="38"/>
  <c r="C563" i="38"/>
  <c r="B563" i="38"/>
  <c r="M562" i="38"/>
  <c r="L562" i="38"/>
  <c r="K562" i="38"/>
  <c r="J562" i="38"/>
  <c r="I562" i="38"/>
  <c r="H562" i="38"/>
  <c r="G562" i="38"/>
  <c r="F562" i="38"/>
  <c r="E562" i="38"/>
  <c r="D562" i="38"/>
  <c r="C562" i="38"/>
  <c r="B562" i="38"/>
  <c r="M561" i="38"/>
  <c r="L561" i="38"/>
  <c r="K561" i="38"/>
  <c r="J561" i="38"/>
  <c r="I561" i="38"/>
  <c r="H561" i="38"/>
  <c r="G561" i="38"/>
  <c r="F561" i="38"/>
  <c r="E561" i="38"/>
  <c r="D561" i="38"/>
  <c r="C561" i="38"/>
  <c r="B561" i="38"/>
  <c r="M560" i="38"/>
  <c r="L560" i="38"/>
  <c r="K560" i="38"/>
  <c r="J560" i="38"/>
  <c r="I560" i="38"/>
  <c r="H560" i="38"/>
  <c r="G560" i="38"/>
  <c r="F560" i="38"/>
  <c r="E560" i="38"/>
  <c r="D560" i="38"/>
  <c r="C560" i="38"/>
  <c r="B560" i="38"/>
  <c r="M559" i="38"/>
  <c r="L559" i="38"/>
  <c r="K559" i="38"/>
  <c r="J559" i="38"/>
  <c r="I559" i="38"/>
  <c r="H559" i="38"/>
  <c r="G559" i="38"/>
  <c r="F559" i="38"/>
  <c r="E559" i="38"/>
  <c r="D559" i="38"/>
  <c r="C559" i="38"/>
  <c r="B559" i="38"/>
  <c r="M558" i="38"/>
  <c r="L558" i="38"/>
  <c r="K558" i="38"/>
  <c r="J558" i="38"/>
  <c r="I558" i="38"/>
  <c r="H558" i="38"/>
  <c r="G558" i="38"/>
  <c r="F558" i="38"/>
  <c r="E558" i="38"/>
  <c r="D558" i="38"/>
  <c r="C558" i="38"/>
  <c r="B558" i="38"/>
  <c r="M557" i="38"/>
  <c r="L557" i="38"/>
  <c r="K557" i="38"/>
  <c r="J557" i="38"/>
  <c r="I557" i="38"/>
  <c r="H557" i="38"/>
  <c r="G557" i="38"/>
  <c r="F557" i="38"/>
  <c r="E557" i="38"/>
  <c r="D557" i="38"/>
  <c r="C557" i="38"/>
  <c r="B557" i="38"/>
  <c r="M556" i="38"/>
  <c r="L556" i="38"/>
  <c r="K556" i="38"/>
  <c r="J556" i="38"/>
  <c r="I556" i="38"/>
  <c r="H556" i="38"/>
  <c r="G556" i="38"/>
  <c r="F556" i="38"/>
  <c r="E556" i="38"/>
  <c r="D556" i="38"/>
  <c r="C556" i="38"/>
  <c r="B556" i="38"/>
  <c r="M555" i="38"/>
  <c r="L555" i="38"/>
  <c r="K555" i="38"/>
  <c r="J555" i="38"/>
  <c r="I555" i="38"/>
  <c r="H555" i="38"/>
  <c r="G555" i="38"/>
  <c r="F555" i="38"/>
  <c r="E555" i="38"/>
  <c r="D555" i="38"/>
  <c r="C555" i="38"/>
  <c r="B555" i="38"/>
  <c r="M554" i="38"/>
  <c r="L554" i="38"/>
  <c r="K554" i="38"/>
  <c r="J554" i="38"/>
  <c r="I554" i="38"/>
  <c r="H554" i="38"/>
  <c r="G554" i="38"/>
  <c r="F554" i="38"/>
  <c r="E554" i="38"/>
  <c r="D554" i="38"/>
  <c r="C554" i="38"/>
  <c r="B554" i="38"/>
  <c r="M553" i="38"/>
  <c r="L553" i="38"/>
  <c r="K553" i="38"/>
  <c r="J553" i="38"/>
  <c r="I553" i="38"/>
  <c r="H553" i="38"/>
  <c r="G553" i="38"/>
  <c r="F553" i="38"/>
  <c r="E553" i="38"/>
  <c r="D553" i="38"/>
  <c r="C553" i="38"/>
  <c r="B553" i="38"/>
  <c r="M552" i="38"/>
  <c r="L552" i="38"/>
  <c r="K552" i="38"/>
  <c r="J552" i="38"/>
  <c r="I552" i="38"/>
  <c r="H552" i="38"/>
  <c r="G552" i="38"/>
  <c r="F552" i="38"/>
  <c r="E552" i="38"/>
  <c r="D552" i="38"/>
  <c r="C552" i="38"/>
  <c r="B552" i="38"/>
  <c r="M551" i="38"/>
  <c r="L551" i="38"/>
  <c r="K551" i="38"/>
  <c r="J551" i="38"/>
  <c r="I551" i="38"/>
  <c r="H551" i="38"/>
  <c r="G551" i="38"/>
  <c r="F551" i="38"/>
  <c r="E551" i="38"/>
  <c r="D551" i="38"/>
  <c r="C551" i="38"/>
  <c r="B551" i="38"/>
  <c r="M550" i="38"/>
  <c r="L550" i="38"/>
  <c r="K550" i="38"/>
  <c r="J550" i="38"/>
  <c r="I550" i="38"/>
  <c r="H550" i="38"/>
  <c r="G550" i="38"/>
  <c r="F550" i="38"/>
  <c r="E550" i="38"/>
  <c r="D550" i="38"/>
  <c r="C550" i="38"/>
  <c r="B550" i="38"/>
  <c r="M549" i="38"/>
  <c r="L549" i="38"/>
  <c r="K549" i="38"/>
  <c r="J549" i="38"/>
  <c r="I549" i="38"/>
  <c r="H549" i="38"/>
  <c r="G549" i="38"/>
  <c r="F549" i="38"/>
  <c r="E549" i="38"/>
  <c r="D549" i="38"/>
  <c r="C549" i="38"/>
  <c r="B549" i="38"/>
  <c r="M548" i="38"/>
  <c r="L548" i="38"/>
  <c r="K548" i="38"/>
  <c r="J548" i="38"/>
  <c r="I548" i="38"/>
  <c r="H548" i="38"/>
  <c r="G548" i="38"/>
  <c r="F548" i="38"/>
  <c r="E548" i="38"/>
  <c r="D548" i="38"/>
  <c r="C548" i="38"/>
  <c r="B548" i="38"/>
  <c r="M547" i="38"/>
  <c r="L547" i="38"/>
  <c r="K547" i="38"/>
  <c r="J547" i="38"/>
  <c r="I547" i="38"/>
  <c r="H547" i="38"/>
  <c r="G547" i="38"/>
  <c r="F547" i="38"/>
  <c r="E547" i="38"/>
  <c r="D547" i="38"/>
  <c r="C547" i="38"/>
  <c r="B547" i="38"/>
  <c r="M546" i="38"/>
  <c r="L546" i="38"/>
  <c r="K546" i="38"/>
  <c r="J546" i="38"/>
  <c r="I546" i="38"/>
  <c r="H546" i="38"/>
  <c r="G546" i="38"/>
  <c r="F546" i="38"/>
  <c r="E546" i="38"/>
  <c r="D546" i="38"/>
  <c r="C546" i="38"/>
  <c r="B546" i="38"/>
  <c r="M545" i="38"/>
  <c r="L545" i="38"/>
  <c r="K545" i="38"/>
  <c r="J545" i="38"/>
  <c r="I545" i="38"/>
  <c r="H545" i="38"/>
  <c r="G545" i="38"/>
  <c r="F545" i="38"/>
  <c r="E545" i="38"/>
  <c r="D545" i="38"/>
  <c r="C545" i="38"/>
  <c r="B545" i="38"/>
  <c r="M544" i="38"/>
  <c r="L544" i="38"/>
  <c r="K544" i="38"/>
  <c r="J544" i="38"/>
  <c r="I544" i="38"/>
  <c r="H544" i="38"/>
  <c r="G544" i="38"/>
  <c r="F544" i="38"/>
  <c r="E544" i="38"/>
  <c r="D544" i="38"/>
  <c r="C544" i="38"/>
  <c r="B544" i="38"/>
  <c r="M543" i="38"/>
  <c r="L543" i="38"/>
  <c r="K543" i="38"/>
  <c r="J543" i="38"/>
  <c r="I543" i="38"/>
  <c r="H543" i="38"/>
  <c r="G543" i="38"/>
  <c r="F543" i="38"/>
  <c r="E543" i="38"/>
  <c r="D543" i="38"/>
  <c r="C543" i="38"/>
  <c r="B543" i="38"/>
  <c r="M542" i="38"/>
  <c r="L542" i="38"/>
  <c r="K542" i="38"/>
  <c r="J542" i="38"/>
  <c r="I542" i="38"/>
  <c r="H542" i="38"/>
  <c r="G542" i="38"/>
  <c r="F542" i="38"/>
  <c r="E542" i="38"/>
  <c r="D542" i="38"/>
  <c r="C542" i="38"/>
  <c r="B542" i="38"/>
  <c r="M541" i="38"/>
  <c r="L541" i="38"/>
  <c r="K541" i="38"/>
  <c r="J541" i="38"/>
  <c r="I541" i="38"/>
  <c r="H541" i="38"/>
  <c r="G541" i="38"/>
  <c r="F541" i="38"/>
  <c r="E541" i="38"/>
  <c r="D541" i="38"/>
  <c r="C541" i="38"/>
  <c r="B541" i="38"/>
  <c r="M540" i="38"/>
  <c r="L540" i="38"/>
  <c r="K540" i="38"/>
  <c r="J540" i="38"/>
  <c r="I540" i="38"/>
  <c r="H540" i="38"/>
  <c r="G540" i="38"/>
  <c r="F540" i="38"/>
  <c r="E540" i="38"/>
  <c r="D540" i="38"/>
  <c r="C540" i="38"/>
  <c r="B540" i="38"/>
  <c r="M539" i="38"/>
  <c r="L539" i="38"/>
  <c r="K539" i="38"/>
  <c r="J539" i="38"/>
  <c r="I539" i="38"/>
  <c r="H539" i="38"/>
  <c r="G539" i="38"/>
  <c r="F539" i="38"/>
  <c r="E539" i="38"/>
  <c r="D539" i="38"/>
  <c r="C539" i="38"/>
  <c r="B539" i="38"/>
  <c r="M538" i="38"/>
  <c r="L538" i="38"/>
  <c r="K538" i="38"/>
  <c r="J538" i="38"/>
  <c r="I538" i="38"/>
  <c r="H538" i="38"/>
  <c r="G538" i="38"/>
  <c r="F538" i="38"/>
  <c r="E538" i="38"/>
  <c r="D538" i="38"/>
  <c r="C538" i="38"/>
  <c r="B538" i="38"/>
  <c r="M537" i="38"/>
  <c r="L537" i="38"/>
  <c r="K537" i="38"/>
  <c r="J537" i="38"/>
  <c r="I537" i="38"/>
  <c r="H537" i="38"/>
  <c r="G537" i="38"/>
  <c r="F537" i="38"/>
  <c r="E537" i="38"/>
  <c r="D537" i="38"/>
  <c r="C537" i="38"/>
  <c r="B537" i="38"/>
  <c r="M536" i="38"/>
  <c r="L536" i="38"/>
  <c r="K536" i="38"/>
  <c r="J536" i="38"/>
  <c r="I536" i="38"/>
  <c r="H536" i="38"/>
  <c r="G536" i="38"/>
  <c r="F536" i="38"/>
  <c r="E536" i="38"/>
  <c r="D536" i="38"/>
  <c r="C536" i="38"/>
  <c r="B536" i="38"/>
  <c r="M535" i="38"/>
  <c r="L535" i="38"/>
  <c r="K535" i="38"/>
  <c r="J535" i="38"/>
  <c r="I535" i="38"/>
  <c r="H535" i="38"/>
  <c r="G535" i="38"/>
  <c r="F535" i="38"/>
  <c r="E535" i="38"/>
  <c r="D535" i="38"/>
  <c r="C535" i="38"/>
  <c r="B535" i="38"/>
  <c r="M534" i="38"/>
  <c r="L534" i="38"/>
  <c r="K534" i="38"/>
  <c r="J534" i="38"/>
  <c r="I534" i="38"/>
  <c r="H534" i="38"/>
  <c r="G534" i="38"/>
  <c r="F534" i="38"/>
  <c r="E534" i="38"/>
  <c r="D534" i="38"/>
  <c r="C534" i="38"/>
  <c r="B534" i="38"/>
  <c r="M533" i="38"/>
  <c r="L533" i="38"/>
  <c r="K533" i="38"/>
  <c r="J533" i="38"/>
  <c r="I533" i="38"/>
  <c r="H533" i="38"/>
  <c r="G533" i="38"/>
  <c r="F533" i="38"/>
  <c r="E533" i="38"/>
  <c r="D533" i="38"/>
  <c r="C533" i="38"/>
  <c r="B533" i="38"/>
  <c r="M532" i="38"/>
  <c r="L532" i="38"/>
  <c r="K532" i="38"/>
  <c r="J532" i="38"/>
  <c r="I532" i="38"/>
  <c r="H532" i="38"/>
  <c r="G532" i="38"/>
  <c r="F532" i="38"/>
  <c r="E532" i="38"/>
  <c r="D532" i="38"/>
  <c r="C532" i="38"/>
  <c r="B532" i="38"/>
  <c r="M531" i="38"/>
  <c r="L531" i="38"/>
  <c r="K531" i="38"/>
  <c r="J531" i="38"/>
  <c r="I531" i="38"/>
  <c r="H531" i="38"/>
  <c r="G531" i="38"/>
  <c r="F531" i="38"/>
  <c r="E531" i="38"/>
  <c r="D531" i="38"/>
  <c r="C531" i="38"/>
  <c r="B531" i="38"/>
  <c r="M530" i="38"/>
  <c r="L530" i="38"/>
  <c r="K530" i="38"/>
  <c r="J530" i="38"/>
  <c r="I530" i="38"/>
  <c r="H530" i="38"/>
  <c r="G530" i="38"/>
  <c r="F530" i="38"/>
  <c r="E530" i="38"/>
  <c r="D530" i="38"/>
  <c r="C530" i="38"/>
  <c r="B530" i="38"/>
  <c r="M529" i="38"/>
  <c r="L529" i="38"/>
  <c r="K529" i="38"/>
  <c r="J529" i="38"/>
  <c r="I529" i="38"/>
  <c r="H529" i="38"/>
  <c r="G529" i="38"/>
  <c r="F529" i="38"/>
  <c r="E529" i="38"/>
  <c r="D529" i="38"/>
  <c r="C529" i="38"/>
  <c r="B529" i="38"/>
  <c r="M528" i="38"/>
  <c r="L528" i="38"/>
  <c r="K528" i="38"/>
  <c r="J528" i="38"/>
  <c r="I528" i="38"/>
  <c r="H528" i="38"/>
  <c r="G528" i="38"/>
  <c r="F528" i="38"/>
  <c r="E528" i="38"/>
  <c r="D528" i="38"/>
  <c r="C528" i="38"/>
  <c r="B528" i="38"/>
  <c r="M527" i="38"/>
  <c r="L527" i="38"/>
  <c r="K527" i="38"/>
  <c r="J527" i="38"/>
  <c r="I527" i="38"/>
  <c r="H527" i="38"/>
  <c r="G527" i="38"/>
  <c r="F527" i="38"/>
  <c r="E527" i="38"/>
  <c r="D527" i="38"/>
  <c r="C527" i="38"/>
  <c r="B527" i="38"/>
  <c r="M526" i="38"/>
  <c r="L526" i="38"/>
  <c r="K526" i="38"/>
  <c r="J526" i="38"/>
  <c r="I526" i="38"/>
  <c r="H526" i="38"/>
  <c r="G526" i="38"/>
  <c r="F526" i="38"/>
  <c r="E526" i="38"/>
  <c r="D526" i="38"/>
  <c r="C526" i="38"/>
  <c r="B526" i="38"/>
  <c r="M525" i="38"/>
  <c r="L525" i="38"/>
  <c r="K525" i="38"/>
  <c r="J525" i="38"/>
  <c r="I525" i="38"/>
  <c r="H525" i="38"/>
  <c r="G525" i="38"/>
  <c r="F525" i="38"/>
  <c r="E525" i="38"/>
  <c r="D525" i="38"/>
  <c r="C525" i="38"/>
  <c r="B525" i="38"/>
  <c r="M524" i="38"/>
  <c r="L524" i="38"/>
  <c r="K524" i="38"/>
  <c r="J524" i="38"/>
  <c r="I524" i="38"/>
  <c r="H524" i="38"/>
  <c r="G524" i="38"/>
  <c r="F524" i="38"/>
  <c r="E524" i="38"/>
  <c r="D524" i="38"/>
  <c r="C524" i="38"/>
  <c r="B524" i="38"/>
  <c r="M523" i="38"/>
  <c r="L523" i="38"/>
  <c r="K523" i="38"/>
  <c r="J523" i="38"/>
  <c r="I523" i="38"/>
  <c r="H523" i="38"/>
  <c r="G523" i="38"/>
  <c r="F523" i="38"/>
  <c r="E523" i="38"/>
  <c r="D523" i="38"/>
  <c r="C523" i="38"/>
  <c r="B523" i="38"/>
  <c r="M522" i="38"/>
  <c r="L522" i="38"/>
  <c r="K522" i="38"/>
  <c r="J522" i="38"/>
  <c r="I522" i="38"/>
  <c r="H522" i="38"/>
  <c r="G522" i="38"/>
  <c r="F522" i="38"/>
  <c r="E522" i="38"/>
  <c r="D522" i="38"/>
  <c r="C522" i="38"/>
  <c r="B522" i="38"/>
  <c r="M521" i="38"/>
  <c r="L521" i="38"/>
  <c r="K521" i="38"/>
  <c r="J521" i="38"/>
  <c r="I521" i="38"/>
  <c r="H521" i="38"/>
  <c r="G521" i="38"/>
  <c r="F521" i="38"/>
  <c r="E521" i="38"/>
  <c r="D521" i="38"/>
  <c r="C521" i="38"/>
  <c r="B521" i="38"/>
  <c r="M520" i="38"/>
  <c r="L520" i="38"/>
  <c r="K520" i="38"/>
  <c r="J520" i="38"/>
  <c r="I520" i="38"/>
  <c r="H520" i="38"/>
  <c r="G520" i="38"/>
  <c r="F520" i="38"/>
  <c r="E520" i="38"/>
  <c r="D520" i="38"/>
  <c r="C520" i="38"/>
  <c r="B520" i="38"/>
  <c r="M519" i="38"/>
  <c r="L519" i="38"/>
  <c r="K519" i="38"/>
  <c r="J519" i="38"/>
  <c r="I519" i="38"/>
  <c r="H519" i="38"/>
  <c r="G519" i="38"/>
  <c r="F519" i="38"/>
  <c r="E519" i="38"/>
  <c r="D519" i="38"/>
  <c r="C519" i="38"/>
  <c r="B519" i="38"/>
  <c r="M518" i="38"/>
  <c r="L518" i="38"/>
  <c r="K518" i="38"/>
  <c r="J518" i="38"/>
  <c r="I518" i="38"/>
  <c r="H518" i="38"/>
  <c r="G518" i="38"/>
  <c r="F518" i="38"/>
  <c r="E518" i="38"/>
  <c r="D518" i="38"/>
  <c r="C518" i="38"/>
  <c r="B518" i="38"/>
  <c r="M517" i="38"/>
  <c r="L517" i="38"/>
  <c r="K517" i="38"/>
  <c r="J517" i="38"/>
  <c r="I517" i="38"/>
  <c r="H517" i="38"/>
  <c r="G517" i="38"/>
  <c r="F517" i="38"/>
  <c r="E517" i="38"/>
  <c r="D517" i="38"/>
  <c r="C517" i="38"/>
  <c r="B517" i="38"/>
  <c r="M516" i="38"/>
  <c r="L516" i="38"/>
  <c r="K516" i="38"/>
  <c r="J516" i="38"/>
  <c r="I516" i="38"/>
  <c r="H516" i="38"/>
  <c r="G516" i="38"/>
  <c r="F516" i="38"/>
  <c r="E516" i="38"/>
  <c r="D516" i="38"/>
  <c r="C516" i="38"/>
  <c r="B516" i="38"/>
  <c r="M515" i="38"/>
  <c r="L515" i="38"/>
  <c r="K515" i="38"/>
  <c r="J515" i="38"/>
  <c r="I515" i="38"/>
  <c r="H515" i="38"/>
  <c r="G515" i="38"/>
  <c r="F515" i="38"/>
  <c r="E515" i="38"/>
  <c r="D515" i="38"/>
  <c r="C515" i="38"/>
  <c r="B515" i="38"/>
  <c r="M514" i="38"/>
  <c r="L514" i="38"/>
  <c r="K514" i="38"/>
  <c r="J514" i="38"/>
  <c r="I514" i="38"/>
  <c r="H514" i="38"/>
  <c r="G514" i="38"/>
  <c r="F514" i="38"/>
  <c r="E514" i="38"/>
  <c r="D514" i="38"/>
  <c r="C514" i="38"/>
  <c r="B514" i="38"/>
  <c r="M513" i="38"/>
  <c r="L513" i="38"/>
  <c r="K513" i="38"/>
  <c r="J513" i="38"/>
  <c r="I513" i="38"/>
  <c r="H513" i="38"/>
  <c r="G513" i="38"/>
  <c r="F513" i="38"/>
  <c r="E513" i="38"/>
  <c r="D513" i="38"/>
  <c r="C513" i="38"/>
  <c r="B513" i="38"/>
  <c r="M512" i="38"/>
  <c r="L512" i="38"/>
  <c r="K512" i="38"/>
  <c r="J512" i="38"/>
  <c r="I512" i="38"/>
  <c r="H512" i="38"/>
  <c r="G512" i="38"/>
  <c r="F512" i="38"/>
  <c r="E512" i="38"/>
  <c r="D512" i="38"/>
  <c r="C512" i="38"/>
  <c r="B512" i="38"/>
  <c r="M511" i="38"/>
  <c r="L511" i="38"/>
  <c r="K511" i="38"/>
  <c r="J511" i="38"/>
  <c r="I511" i="38"/>
  <c r="H511" i="38"/>
  <c r="G511" i="38"/>
  <c r="F511" i="38"/>
  <c r="E511" i="38"/>
  <c r="D511" i="38"/>
  <c r="C511" i="38"/>
  <c r="B511" i="38"/>
  <c r="M510" i="38"/>
  <c r="L510" i="38"/>
  <c r="K510" i="38"/>
  <c r="J510" i="38"/>
  <c r="I510" i="38"/>
  <c r="H510" i="38"/>
  <c r="G510" i="38"/>
  <c r="F510" i="38"/>
  <c r="E510" i="38"/>
  <c r="D510" i="38"/>
  <c r="C510" i="38"/>
  <c r="B510" i="38"/>
  <c r="M509" i="38"/>
  <c r="L509" i="38"/>
  <c r="K509" i="38"/>
  <c r="J509" i="38"/>
  <c r="I509" i="38"/>
  <c r="H509" i="38"/>
  <c r="G509" i="38"/>
  <c r="F509" i="38"/>
  <c r="E509" i="38"/>
  <c r="D509" i="38"/>
  <c r="C509" i="38"/>
  <c r="B509" i="38"/>
  <c r="M508" i="38"/>
  <c r="L508" i="38"/>
  <c r="K508" i="38"/>
  <c r="J508" i="38"/>
  <c r="I508" i="38"/>
  <c r="H508" i="38"/>
  <c r="G508" i="38"/>
  <c r="F508" i="38"/>
  <c r="E508" i="38"/>
  <c r="D508" i="38"/>
  <c r="C508" i="38"/>
  <c r="B508" i="38"/>
  <c r="M507" i="38"/>
  <c r="L507" i="38"/>
  <c r="K507" i="38"/>
  <c r="J507" i="38"/>
  <c r="I507" i="38"/>
  <c r="H507" i="38"/>
  <c r="G507" i="38"/>
  <c r="F507" i="38"/>
  <c r="E507" i="38"/>
  <c r="D507" i="38"/>
  <c r="C507" i="38"/>
  <c r="B507" i="38"/>
  <c r="M506" i="38"/>
  <c r="L506" i="38"/>
  <c r="K506" i="38"/>
  <c r="J506" i="38"/>
  <c r="I506" i="38"/>
  <c r="H506" i="38"/>
  <c r="G506" i="38"/>
  <c r="F506" i="38"/>
  <c r="E506" i="38"/>
  <c r="D506" i="38"/>
  <c r="C506" i="38"/>
  <c r="B506" i="38"/>
  <c r="M505" i="38"/>
  <c r="L505" i="38"/>
  <c r="K505" i="38"/>
  <c r="J505" i="38"/>
  <c r="I505" i="38"/>
  <c r="H505" i="38"/>
  <c r="G505" i="38"/>
  <c r="F505" i="38"/>
  <c r="E505" i="38"/>
  <c r="D505" i="38"/>
  <c r="C505" i="38"/>
  <c r="B505" i="38"/>
  <c r="M504" i="38"/>
  <c r="L504" i="38"/>
  <c r="K504" i="38"/>
  <c r="J504" i="38"/>
  <c r="I504" i="38"/>
  <c r="H504" i="38"/>
  <c r="G504" i="38"/>
  <c r="F504" i="38"/>
  <c r="E504" i="38"/>
  <c r="D504" i="38"/>
  <c r="C504" i="38"/>
  <c r="B504" i="38"/>
  <c r="M503" i="38"/>
  <c r="L503" i="38"/>
  <c r="K503" i="38"/>
  <c r="J503" i="38"/>
  <c r="I503" i="38"/>
  <c r="H503" i="38"/>
  <c r="G503" i="38"/>
  <c r="F503" i="38"/>
  <c r="E503" i="38"/>
  <c r="D503" i="38"/>
  <c r="C503" i="38"/>
  <c r="B503" i="38"/>
  <c r="M502" i="38"/>
  <c r="L502" i="38"/>
  <c r="K502" i="38"/>
  <c r="J502" i="38"/>
  <c r="I502" i="38"/>
  <c r="H502" i="38"/>
  <c r="G502" i="38"/>
  <c r="F502" i="38"/>
  <c r="E502" i="38"/>
  <c r="D502" i="38"/>
  <c r="C502" i="38"/>
  <c r="B502" i="38"/>
  <c r="M501" i="38"/>
  <c r="L501" i="38"/>
  <c r="K501" i="38"/>
  <c r="J501" i="38"/>
  <c r="I501" i="38"/>
  <c r="H501" i="38"/>
  <c r="G501" i="38"/>
  <c r="F501" i="38"/>
  <c r="E501" i="38"/>
  <c r="D501" i="38"/>
  <c r="C501" i="38"/>
  <c r="B501" i="38"/>
  <c r="M500" i="38"/>
  <c r="L500" i="38"/>
  <c r="K500" i="38"/>
  <c r="J500" i="38"/>
  <c r="I500" i="38"/>
  <c r="H500" i="38"/>
  <c r="G500" i="38"/>
  <c r="F500" i="38"/>
  <c r="E500" i="38"/>
  <c r="D500" i="38"/>
  <c r="C500" i="38"/>
  <c r="B500" i="38"/>
  <c r="M499" i="38"/>
  <c r="L499" i="38"/>
  <c r="K499" i="38"/>
  <c r="J499" i="38"/>
  <c r="I499" i="38"/>
  <c r="H499" i="38"/>
  <c r="G499" i="38"/>
  <c r="F499" i="38"/>
  <c r="E499" i="38"/>
  <c r="D499" i="38"/>
  <c r="C499" i="38"/>
  <c r="B499" i="38"/>
  <c r="M498" i="38"/>
  <c r="L498" i="38"/>
  <c r="K498" i="38"/>
  <c r="J498" i="38"/>
  <c r="I498" i="38"/>
  <c r="H498" i="38"/>
  <c r="G498" i="38"/>
  <c r="F498" i="38"/>
  <c r="E498" i="38"/>
  <c r="D498" i="38"/>
  <c r="C498" i="38"/>
  <c r="B498" i="38"/>
  <c r="M497" i="38"/>
  <c r="L497" i="38"/>
  <c r="K497" i="38"/>
  <c r="J497" i="38"/>
  <c r="I497" i="38"/>
  <c r="H497" i="38"/>
  <c r="G497" i="38"/>
  <c r="F497" i="38"/>
  <c r="E497" i="38"/>
  <c r="D497" i="38"/>
  <c r="C497" i="38"/>
  <c r="B497" i="38"/>
  <c r="M496" i="38"/>
  <c r="L496" i="38"/>
  <c r="K496" i="38"/>
  <c r="J496" i="38"/>
  <c r="I496" i="38"/>
  <c r="H496" i="38"/>
  <c r="G496" i="38"/>
  <c r="F496" i="38"/>
  <c r="E496" i="38"/>
  <c r="D496" i="38"/>
  <c r="C496" i="38"/>
  <c r="B496" i="38"/>
  <c r="M495" i="38"/>
  <c r="L495" i="38"/>
  <c r="K495" i="38"/>
  <c r="J495" i="38"/>
  <c r="I495" i="38"/>
  <c r="H495" i="38"/>
  <c r="G495" i="38"/>
  <c r="F495" i="38"/>
  <c r="E495" i="38"/>
  <c r="D495" i="38"/>
  <c r="C495" i="38"/>
  <c r="B495" i="38"/>
  <c r="M494" i="38"/>
  <c r="L494" i="38"/>
  <c r="K494" i="38"/>
  <c r="J494" i="38"/>
  <c r="I494" i="38"/>
  <c r="H494" i="38"/>
  <c r="G494" i="38"/>
  <c r="F494" i="38"/>
  <c r="E494" i="38"/>
  <c r="D494" i="38"/>
  <c r="C494" i="38"/>
  <c r="B494" i="38"/>
  <c r="M493" i="38"/>
  <c r="L493" i="38"/>
  <c r="K493" i="38"/>
  <c r="J493" i="38"/>
  <c r="I493" i="38"/>
  <c r="H493" i="38"/>
  <c r="G493" i="38"/>
  <c r="F493" i="38"/>
  <c r="E493" i="38"/>
  <c r="D493" i="38"/>
  <c r="C493" i="38"/>
  <c r="B493" i="38"/>
  <c r="M492" i="38"/>
  <c r="L492" i="38"/>
  <c r="K492" i="38"/>
  <c r="J492" i="38"/>
  <c r="I492" i="38"/>
  <c r="H492" i="38"/>
  <c r="G492" i="38"/>
  <c r="F492" i="38"/>
  <c r="E492" i="38"/>
  <c r="D492" i="38"/>
  <c r="C492" i="38"/>
  <c r="B492" i="38"/>
  <c r="M491" i="38"/>
  <c r="L491" i="38"/>
  <c r="K491" i="38"/>
  <c r="J491" i="38"/>
  <c r="I491" i="38"/>
  <c r="H491" i="38"/>
  <c r="G491" i="38"/>
  <c r="F491" i="38"/>
  <c r="E491" i="38"/>
  <c r="D491" i="38"/>
  <c r="C491" i="38"/>
  <c r="B491" i="38"/>
  <c r="M490" i="38"/>
  <c r="L490" i="38"/>
  <c r="K490" i="38"/>
  <c r="J490" i="38"/>
  <c r="I490" i="38"/>
  <c r="H490" i="38"/>
  <c r="G490" i="38"/>
  <c r="F490" i="38"/>
  <c r="E490" i="38"/>
  <c r="D490" i="38"/>
  <c r="C490" i="38"/>
  <c r="B490" i="38"/>
  <c r="M489" i="38"/>
  <c r="L489" i="38"/>
  <c r="K489" i="38"/>
  <c r="J489" i="38"/>
  <c r="I489" i="38"/>
  <c r="H489" i="38"/>
  <c r="G489" i="38"/>
  <c r="F489" i="38"/>
  <c r="E489" i="38"/>
  <c r="D489" i="38"/>
  <c r="C489" i="38"/>
  <c r="B489" i="38"/>
  <c r="M488" i="38"/>
  <c r="L488" i="38"/>
  <c r="K488" i="38"/>
  <c r="J488" i="38"/>
  <c r="I488" i="38"/>
  <c r="H488" i="38"/>
  <c r="G488" i="38"/>
  <c r="F488" i="38"/>
  <c r="E488" i="38"/>
  <c r="D488" i="38"/>
  <c r="C488" i="38"/>
  <c r="B488" i="38"/>
  <c r="M487" i="38"/>
  <c r="L487" i="38"/>
  <c r="K487" i="38"/>
  <c r="J487" i="38"/>
  <c r="I487" i="38"/>
  <c r="H487" i="38"/>
  <c r="G487" i="38"/>
  <c r="F487" i="38"/>
  <c r="E487" i="38"/>
  <c r="D487" i="38"/>
  <c r="C487" i="38"/>
  <c r="B487" i="38"/>
  <c r="M486" i="38"/>
  <c r="L486" i="38"/>
  <c r="K486" i="38"/>
  <c r="J486" i="38"/>
  <c r="I486" i="38"/>
  <c r="H486" i="38"/>
  <c r="G486" i="38"/>
  <c r="F486" i="38"/>
  <c r="E486" i="38"/>
  <c r="D486" i="38"/>
  <c r="C486" i="38"/>
  <c r="B486" i="38"/>
  <c r="M485" i="38"/>
  <c r="L485" i="38"/>
  <c r="K485" i="38"/>
  <c r="J485" i="38"/>
  <c r="I485" i="38"/>
  <c r="H485" i="38"/>
  <c r="G485" i="38"/>
  <c r="F485" i="38"/>
  <c r="E485" i="38"/>
  <c r="D485" i="38"/>
  <c r="C485" i="38"/>
  <c r="B485" i="38"/>
  <c r="M484" i="38"/>
  <c r="L484" i="38"/>
  <c r="K484" i="38"/>
  <c r="J484" i="38"/>
  <c r="I484" i="38"/>
  <c r="H484" i="38"/>
  <c r="G484" i="38"/>
  <c r="F484" i="38"/>
  <c r="E484" i="38"/>
  <c r="D484" i="38"/>
  <c r="C484" i="38"/>
  <c r="B484" i="38"/>
  <c r="M483" i="38"/>
  <c r="L483" i="38"/>
  <c r="K483" i="38"/>
  <c r="J483" i="38"/>
  <c r="I483" i="38"/>
  <c r="H483" i="38"/>
  <c r="G483" i="38"/>
  <c r="F483" i="38"/>
  <c r="E483" i="38"/>
  <c r="D483" i="38"/>
  <c r="C483" i="38"/>
  <c r="B483" i="38"/>
  <c r="M482" i="38"/>
  <c r="L482" i="38"/>
  <c r="K482" i="38"/>
  <c r="J482" i="38"/>
  <c r="I482" i="38"/>
  <c r="H482" i="38"/>
  <c r="G482" i="38"/>
  <c r="F482" i="38"/>
  <c r="E482" i="38"/>
  <c r="D482" i="38"/>
  <c r="C482" i="38"/>
  <c r="B482" i="38"/>
  <c r="M481" i="38"/>
  <c r="L481" i="38"/>
  <c r="K481" i="38"/>
  <c r="J481" i="38"/>
  <c r="I481" i="38"/>
  <c r="H481" i="38"/>
  <c r="G481" i="38"/>
  <c r="F481" i="38"/>
  <c r="E481" i="38"/>
  <c r="D481" i="38"/>
  <c r="C481" i="38"/>
  <c r="B481" i="38"/>
  <c r="M480" i="38"/>
  <c r="L480" i="38"/>
  <c r="K480" i="38"/>
  <c r="J480" i="38"/>
  <c r="I480" i="38"/>
  <c r="H480" i="38"/>
  <c r="G480" i="38"/>
  <c r="F480" i="38"/>
  <c r="E480" i="38"/>
  <c r="D480" i="38"/>
  <c r="C480" i="38"/>
  <c r="B480" i="38"/>
  <c r="M479" i="38"/>
  <c r="L479" i="38"/>
  <c r="K479" i="38"/>
  <c r="J479" i="38"/>
  <c r="I479" i="38"/>
  <c r="H479" i="38"/>
  <c r="G479" i="38"/>
  <c r="F479" i="38"/>
  <c r="E479" i="38"/>
  <c r="D479" i="38"/>
  <c r="C479" i="38"/>
  <c r="B479" i="38"/>
  <c r="M478" i="38"/>
  <c r="L478" i="38"/>
  <c r="K478" i="38"/>
  <c r="J478" i="38"/>
  <c r="I478" i="38"/>
  <c r="H478" i="38"/>
  <c r="G478" i="38"/>
  <c r="F478" i="38"/>
  <c r="E478" i="38"/>
  <c r="D478" i="38"/>
  <c r="C478" i="38"/>
  <c r="B478" i="38"/>
  <c r="M477" i="38"/>
  <c r="L477" i="38"/>
  <c r="K477" i="38"/>
  <c r="J477" i="38"/>
  <c r="I477" i="38"/>
  <c r="H477" i="38"/>
  <c r="G477" i="38"/>
  <c r="F477" i="38"/>
  <c r="E477" i="38"/>
  <c r="D477" i="38"/>
  <c r="C477" i="38"/>
  <c r="B477" i="38"/>
  <c r="M476" i="38"/>
  <c r="L476" i="38"/>
  <c r="K476" i="38"/>
  <c r="J476" i="38"/>
  <c r="I476" i="38"/>
  <c r="H476" i="38"/>
  <c r="G476" i="38"/>
  <c r="F476" i="38"/>
  <c r="E476" i="38"/>
  <c r="D476" i="38"/>
  <c r="C476" i="38"/>
  <c r="B476" i="38"/>
  <c r="M475" i="38"/>
  <c r="L475" i="38"/>
  <c r="K475" i="38"/>
  <c r="J475" i="38"/>
  <c r="I475" i="38"/>
  <c r="H475" i="38"/>
  <c r="G475" i="38"/>
  <c r="F475" i="38"/>
  <c r="E475" i="38"/>
  <c r="D475" i="38"/>
  <c r="C475" i="38"/>
  <c r="B475" i="38"/>
  <c r="M474" i="38"/>
  <c r="L474" i="38"/>
  <c r="K474" i="38"/>
  <c r="J474" i="38"/>
  <c r="I474" i="38"/>
  <c r="H474" i="38"/>
  <c r="G474" i="38"/>
  <c r="F474" i="38"/>
  <c r="E474" i="38"/>
  <c r="D474" i="38"/>
  <c r="C474" i="38"/>
  <c r="B474" i="38"/>
  <c r="M473" i="38"/>
  <c r="L473" i="38"/>
  <c r="K473" i="38"/>
  <c r="J473" i="38"/>
  <c r="I473" i="38"/>
  <c r="H473" i="38"/>
  <c r="G473" i="38"/>
  <c r="F473" i="38"/>
  <c r="E473" i="38"/>
  <c r="D473" i="38"/>
  <c r="C473" i="38"/>
  <c r="B473" i="38"/>
  <c r="M472" i="38"/>
  <c r="L472" i="38"/>
  <c r="K472" i="38"/>
  <c r="J472" i="38"/>
  <c r="I472" i="38"/>
  <c r="H472" i="38"/>
  <c r="G472" i="38"/>
  <c r="F472" i="38"/>
  <c r="E472" i="38"/>
  <c r="D472" i="38"/>
  <c r="C472" i="38"/>
  <c r="B472" i="38"/>
  <c r="M471" i="38"/>
  <c r="L471" i="38"/>
  <c r="K471" i="38"/>
  <c r="J471" i="38"/>
  <c r="I471" i="38"/>
  <c r="H471" i="38"/>
  <c r="G471" i="38"/>
  <c r="F471" i="38"/>
  <c r="E471" i="38"/>
  <c r="D471" i="38"/>
  <c r="C471" i="38"/>
  <c r="B471" i="38"/>
  <c r="M470" i="38"/>
  <c r="L470" i="38"/>
  <c r="K470" i="38"/>
  <c r="J470" i="38"/>
  <c r="I470" i="38"/>
  <c r="H470" i="38"/>
  <c r="G470" i="38"/>
  <c r="F470" i="38"/>
  <c r="E470" i="38"/>
  <c r="D470" i="38"/>
  <c r="C470" i="38"/>
  <c r="B470" i="38"/>
  <c r="M469" i="38"/>
  <c r="L469" i="38"/>
  <c r="K469" i="38"/>
  <c r="J469" i="38"/>
  <c r="I469" i="38"/>
  <c r="H469" i="38"/>
  <c r="G469" i="38"/>
  <c r="F469" i="38"/>
  <c r="E469" i="38"/>
  <c r="D469" i="38"/>
  <c r="C469" i="38"/>
  <c r="B469" i="38"/>
  <c r="M468" i="38"/>
  <c r="L468" i="38"/>
  <c r="K468" i="38"/>
  <c r="J468" i="38"/>
  <c r="I468" i="38"/>
  <c r="H468" i="38"/>
  <c r="G468" i="38"/>
  <c r="F468" i="38"/>
  <c r="E468" i="38"/>
  <c r="D468" i="38"/>
  <c r="C468" i="38"/>
  <c r="B468" i="38"/>
  <c r="M467" i="38"/>
  <c r="L467" i="38"/>
  <c r="K467" i="38"/>
  <c r="J467" i="38"/>
  <c r="I467" i="38"/>
  <c r="H467" i="38"/>
  <c r="G467" i="38"/>
  <c r="F467" i="38"/>
  <c r="E467" i="38"/>
  <c r="D467" i="38"/>
  <c r="C467" i="38"/>
  <c r="B467" i="38"/>
  <c r="M466" i="38"/>
  <c r="L466" i="38"/>
  <c r="K466" i="38"/>
  <c r="J466" i="38"/>
  <c r="I466" i="38"/>
  <c r="H466" i="38"/>
  <c r="G466" i="38"/>
  <c r="F466" i="38"/>
  <c r="E466" i="38"/>
  <c r="D466" i="38"/>
  <c r="C466" i="38"/>
  <c r="B466" i="38"/>
  <c r="M465" i="38"/>
  <c r="L465" i="38"/>
  <c r="K465" i="38"/>
  <c r="J465" i="38"/>
  <c r="I465" i="38"/>
  <c r="H465" i="38"/>
  <c r="G465" i="38"/>
  <c r="F465" i="38"/>
  <c r="E465" i="38"/>
  <c r="D465" i="38"/>
  <c r="C465" i="38"/>
  <c r="B465" i="38"/>
  <c r="M464" i="38"/>
  <c r="L464" i="38"/>
  <c r="K464" i="38"/>
  <c r="J464" i="38"/>
  <c r="I464" i="38"/>
  <c r="H464" i="38"/>
  <c r="G464" i="38"/>
  <c r="F464" i="38"/>
  <c r="E464" i="38"/>
  <c r="D464" i="38"/>
  <c r="C464" i="38"/>
  <c r="B464" i="38"/>
  <c r="M463" i="38"/>
  <c r="L463" i="38"/>
  <c r="K463" i="38"/>
  <c r="J463" i="38"/>
  <c r="I463" i="38"/>
  <c r="H463" i="38"/>
  <c r="G463" i="38"/>
  <c r="F463" i="38"/>
  <c r="E463" i="38"/>
  <c r="D463" i="38"/>
  <c r="C463" i="38"/>
  <c r="B463" i="38"/>
  <c r="M462" i="38"/>
  <c r="L462" i="38"/>
  <c r="K462" i="38"/>
  <c r="J462" i="38"/>
  <c r="I462" i="38"/>
  <c r="H462" i="38"/>
  <c r="G462" i="38"/>
  <c r="F462" i="38"/>
  <c r="E462" i="38"/>
  <c r="D462" i="38"/>
  <c r="C462" i="38"/>
  <c r="B462" i="38"/>
  <c r="M461" i="38"/>
  <c r="L461" i="38"/>
  <c r="K461" i="38"/>
  <c r="J461" i="38"/>
  <c r="I461" i="38"/>
  <c r="H461" i="38"/>
  <c r="G461" i="38"/>
  <c r="F461" i="38"/>
  <c r="E461" i="38"/>
  <c r="D461" i="38"/>
  <c r="C461" i="38"/>
  <c r="B461" i="38"/>
  <c r="M460" i="38"/>
  <c r="L460" i="38"/>
  <c r="K460" i="38"/>
  <c r="J460" i="38"/>
  <c r="I460" i="38"/>
  <c r="H460" i="38"/>
  <c r="G460" i="38"/>
  <c r="F460" i="38"/>
  <c r="E460" i="38"/>
  <c r="D460" i="38"/>
  <c r="C460" i="38"/>
  <c r="B460" i="38"/>
  <c r="M459" i="38"/>
  <c r="L459" i="38"/>
  <c r="K459" i="38"/>
  <c r="J459" i="38"/>
  <c r="I459" i="38"/>
  <c r="H459" i="38"/>
  <c r="G459" i="38"/>
  <c r="F459" i="38"/>
  <c r="E459" i="38"/>
  <c r="D459" i="38"/>
  <c r="C459" i="38"/>
  <c r="B459" i="38"/>
  <c r="M458" i="38"/>
  <c r="L458" i="38"/>
  <c r="K458" i="38"/>
  <c r="J458" i="38"/>
  <c r="I458" i="38"/>
  <c r="H458" i="38"/>
  <c r="G458" i="38"/>
  <c r="F458" i="38"/>
  <c r="E458" i="38"/>
  <c r="D458" i="38"/>
  <c r="C458" i="38"/>
  <c r="B458" i="38"/>
  <c r="M457" i="38"/>
  <c r="L457" i="38"/>
  <c r="K457" i="38"/>
  <c r="J457" i="38"/>
  <c r="I457" i="38"/>
  <c r="H457" i="38"/>
  <c r="G457" i="38"/>
  <c r="F457" i="38"/>
  <c r="E457" i="38"/>
  <c r="D457" i="38"/>
  <c r="C457" i="38"/>
  <c r="B457" i="38"/>
  <c r="M456" i="38"/>
  <c r="L456" i="38"/>
  <c r="K456" i="38"/>
  <c r="J456" i="38"/>
  <c r="I456" i="38"/>
  <c r="H456" i="38"/>
  <c r="G456" i="38"/>
  <c r="F456" i="38"/>
  <c r="E456" i="38"/>
  <c r="D456" i="38"/>
  <c r="C456" i="38"/>
  <c r="B456" i="38"/>
  <c r="M455" i="38"/>
  <c r="L455" i="38"/>
  <c r="K455" i="38"/>
  <c r="J455" i="38"/>
  <c r="I455" i="38"/>
  <c r="H455" i="38"/>
  <c r="G455" i="38"/>
  <c r="F455" i="38"/>
  <c r="E455" i="38"/>
  <c r="D455" i="38"/>
  <c r="C455" i="38"/>
  <c r="B455" i="38"/>
  <c r="M454" i="38"/>
  <c r="L454" i="38"/>
  <c r="K454" i="38"/>
  <c r="J454" i="38"/>
  <c r="I454" i="38"/>
  <c r="H454" i="38"/>
  <c r="G454" i="38"/>
  <c r="F454" i="38"/>
  <c r="E454" i="38"/>
  <c r="D454" i="38"/>
  <c r="C454" i="38"/>
  <c r="B454" i="38"/>
  <c r="M453" i="38"/>
  <c r="L453" i="38"/>
  <c r="K453" i="38"/>
  <c r="J453" i="38"/>
  <c r="I453" i="38"/>
  <c r="H453" i="38"/>
  <c r="G453" i="38"/>
  <c r="F453" i="38"/>
  <c r="E453" i="38"/>
  <c r="D453" i="38"/>
  <c r="C453" i="38"/>
  <c r="B453" i="38"/>
  <c r="M452" i="38"/>
  <c r="L452" i="38"/>
  <c r="K452" i="38"/>
  <c r="J452" i="38"/>
  <c r="I452" i="38"/>
  <c r="H452" i="38"/>
  <c r="G452" i="38"/>
  <c r="F452" i="38"/>
  <c r="E452" i="38"/>
  <c r="D452" i="38"/>
  <c r="C452" i="38"/>
  <c r="B452" i="38"/>
  <c r="M451" i="38"/>
  <c r="L451" i="38"/>
  <c r="K451" i="38"/>
  <c r="J451" i="38"/>
  <c r="I451" i="38"/>
  <c r="H451" i="38"/>
  <c r="G451" i="38"/>
  <c r="F451" i="38"/>
  <c r="E451" i="38"/>
  <c r="D451" i="38"/>
  <c r="C451" i="38"/>
  <c r="B451" i="38"/>
  <c r="M450" i="38"/>
  <c r="L450" i="38"/>
  <c r="K450" i="38"/>
  <c r="J450" i="38"/>
  <c r="I450" i="38"/>
  <c r="H450" i="38"/>
  <c r="G450" i="38"/>
  <c r="F450" i="38"/>
  <c r="E450" i="38"/>
  <c r="D450" i="38"/>
  <c r="C450" i="38"/>
  <c r="B450" i="38"/>
  <c r="M449" i="38"/>
  <c r="L449" i="38"/>
  <c r="K449" i="38"/>
  <c r="J449" i="38"/>
  <c r="I449" i="38"/>
  <c r="H449" i="38"/>
  <c r="G449" i="38"/>
  <c r="F449" i="38"/>
  <c r="E449" i="38"/>
  <c r="D449" i="38"/>
  <c r="C449" i="38"/>
  <c r="B449" i="38"/>
  <c r="M448" i="38"/>
  <c r="L448" i="38"/>
  <c r="K448" i="38"/>
  <c r="J448" i="38"/>
  <c r="I448" i="38"/>
  <c r="H448" i="38"/>
  <c r="G448" i="38"/>
  <c r="F448" i="38"/>
  <c r="E448" i="38"/>
  <c r="D448" i="38"/>
  <c r="C448" i="38"/>
  <c r="B448" i="38"/>
  <c r="M447" i="38"/>
  <c r="L447" i="38"/>
  <c r="K447" i="38"/>
  <c r="J447" i="38"/>
  <c r="I447" i="38"/>
  <c r="H447" i="38"/>
  <c r="G447" i="38"/>
  <c r="F447" i="38"/>
  <c r="E447" i="38"/>
  <c r="D447" i="38"/>
  <c r="C447" i="38"/>
  <c r="B447" i="38"/>
  <c r="M446" i="38"/>
  <c r="L446" i="38"/>
  <c r="K446" i="38"/>
  <c r="J446" i="38"/>
  <c r="I446" i="38"/>
  <c r="H446" i="38"/>
  <c r="G446" i="38"/>
  <c r="F446" i="38"/>
  <c r="E446" i="38"/>
  <c r="D446" i="38"/>
  <c r="C446" i="38"/>
  <c r="B446" i="38"/>
  <c r="M445" i="38"/>
  <c r="L445" i="38"/>
  <c r="K445" i="38"/>
  <c r="J445" i="38"/>
  <c r="I445" i="38"/>
  <c r="H445" i="38"/>
  <c r="G445" i="38"/>
  <c r="F445" i="38"/>
  <c r="E445" i="38"/>
  <c r="D445" i="38"/>
  <c r="C445" i="38"/>
  <c r="B445" i="38"/>
  <c r="M444" i="38"/>
  <c r="L444" i="38"/>
  <c r="K444" i="38"/>
  <c r="J444" i="38"/>
  <c r="I444" i="38"/>
  <c r="H444" i="38"/>
  <c r="G444" i="38"/>
  <c r="F444" i="38"/>
  <c r="E444" i="38"/>
  <c r="D444" i="38"/>
  <c r="C444" i="38"/>
  <c r="B444" i="38"/>
  <c r="M443" i="38"/>
  <c r="L443" i="38"/>
  <c r="K443" i="38"/>
  <c r="J443" i="38"/>
  <c r="I443" i="38"/>
  <c r="H443" i="38"/>
  <c r="G443" i="38"/>
  <c r="F443" i="38"/>
  <c r="E443" i="38"/>
  <c r="D443" i="38"/>
  <c r="C443" i="38"/>
  <c r="B443" i="38"/>
  <c r="M442" i="38"/>
  <c r="L442" i="38"/>
  <c r="K442" i="38"/>
  <c r="J442" i="38"/>
  <c r="I442" i="38"/>
  <c r="H442" i="38"/>
  <c r="G442" i="38"/>
  <c r="F442" i="38"/>
  <c r="E442" i="38"/>
  <c r="D442" i="38"/>
  <c r="C442" i="38"/>
  <c r="B442" i="38"/>
  <c r="M441" i="38"/>
  <c r="L441" i="38"/>
  <c r="K441" i="38"/>
  <c r="J441" i="38"/>
  <c r="I441" i="38"/>
  <c r="H441" i="38"/>
  <c r="G441" i="38"/>
  <c r="F441" i="38"/>
  <c r="E441" i="38"/>
  <c r="D441" i="38"/>
  <c r="C441" i="38"/>
  <c r="B441" i="38"/>
  <c r="M440" i="38"/>
  <c r="L440" i="38"/>
  <c r="K440" i="38"/>
  <c r="J440" i="38"/>
  <c r="I440" i="38"/>
  <c r="H440" i="38"/>
  <c r="G440" i="38"/>
  <c r="F440" i="38"/>
  <c r="E440" i="38"/>
  <c r="D440" i="38"/>
  <c r="C440" i="38"/>
  <c r="B440" i="38"/>
  <c r="M439" i="38"/>
  <c r="L439" i="38"/>
  <c r="K439" i="38"/>
  <c r="J439" i="38"/>
  <c r="I439" i="38"/>
  <c r="H439" i="38"/>
  <c r="G439" i="38"/>
  <c r="F439" i="38"/>
  <c r="E439" i="38"/>
  <c r="D439" i="38"/>
  <c r="C439" i="38"/>
  <c r="B439" i="38"/>
  <c r="M438" i="38"/>
  <c r="L438" i="38"/>
  <c r="K438" i="38"/>
  <c r="J438" i="38"/>
  <c r="I438" i="38"/>
  <c r="H438" i="38"/>
  <c r="G438" i="38"/>
  <c r="F438" i="38"/>
  <c r="E438" i="38"/>
  <c r="D438" i="38"/>
  <c r="C438" i="38"/>
  <c r="B438" i="38"/>
  <c r="M437" i="38"/>
  <c r="L437" i="38"/>
  <c r="K437" i="38"/>
  <c r="J437" i="38"/>
  <c r="I437" i="38"/>
  <c r="H437" i="38"/>
  <c r="G437" i="38"/>
  <c r="F437" i="38"/>
  <c r="E437" i="38"/>
  <c r="D437" i="38"/>
  <c r="C437" i="38"/>
  <c r="B437" i="38"/>
  <c r="M436" i="38"/>
  <c r="L436" i="38"/>
  <c r="K436" i="38"/>
  <c r="J436" i="38"/>
  <c r="I436" i="38"/>
  <c r="H436" i="38"/>
  <c r="G436" i="38"/>
  <c r="F436" i="38"/>
  <c r="E436" i="38"/>
  <c r="D436" i="38"/>
  <c r="C436" i="38"/>
  <c r="B436" i="38"/>
  <c r="M435" i="38"/>
  <c r="L435" i="38"/>
  <c r="K435" i="38"/>
  <c r="J435" i="38"/>
  <c r="I435" i="38"/>
  <c r="H435" i="38"/>
  <c r="G435" i="38"/>
  <c r="F435" i="38"/>
  <c r="E435" i="38"/>
  <c r="D435" i="38"/>
  <c r="C435" i="38"/>
  <c r="B435" i="38"/>
  <c r="M434" i="38"/>
  <c r="L434" i="38"/>
  <c r="K434" i="38"/>
  <c r="J434" i="38"/>
  <c r="I434" i="38"/>
  <c r="H434" i="38"/>
  <c r="G434" i="38"/>
  <c r="F434" i="38"/>
  <c r="E434" i="38"/>
  <c r="D434" i="38"/>
  <c r="C434" i="38"/>
  <c r="B434" i="38"/>
  <c r="M433" i="38"/>
  <c r="L433" i="38"/>
  <c r="K433" i="38"/>
  <c r="J433" i="38"/>
  <c r="I433" i="38"/>
  <c r="H433" i="38"/>
  <c r="G433" i="38"/>
  <c r="F433" i="38"/>
  <c r="E433" i="38"/>
  <c r="D433" i="38"/>
  <c r="C433" i="38"/>
  <c r="B433" i="38"/>
  <c r="M432" i="38"/>
  <c r="L432" i="38"/>
  <c r="K432" i="38"/>
  <c r="J432" i="38"/>
  <c r="I432" i="38"/>
  <c r="H432" i="38"/>
  <c r="G432" i="38"/>
  <c r="F432" i="38"/>
  <c r="E432" i="38"/>
  <c r="D432" i="38"/>
  <c r="C432" i="38"/>
  <c r="B432" i="38"/>
  <c r="M431" i="38"/>
  <c r="L431" i="38"/>
  <c r="K431" i="38"/>
  <c r="J431" i="38"/>
  <c r="I431" i="38"/>
  <c r="H431" i="38"/>
  <c r="G431" i="38"/>
  <c r="F431" i="38"/>
  <c r="E431" i="38"/>
  <c r="D431" i="38"/>
  <c r="C431" i="38"/>
  <c r="B431" i="38"/>
  <c r="M430" i="38"/>
  <c r="L430" i="38"/>
  <c r="K430" i="38"/>
  <c r="J430" i="38"/>
  <c r="I430" i="38"/>
  <c r="H430" i="38"/>
  <c r="G430" i="38"/>
  <c r="F430" i="38"/>
  <c r="E430" i="38"/>
  <c r="D430" i="38"/>
  <c r="C430" i="38"/>
  <c r="B430" i="38"/>
  <c r="M429" i="38"/>
  <c r="L429" i="38"/>
  <c r="K429" i="38"/>
  <c r="J429" i="38"/>
  <c r="I429" i="38"/>
  <c r="H429" i="38"/>
  <c r="G429" i="38"/>
  <c r="F429" i="38"/>
  <c r="E429" i="38"/>
  <c r="D429" i="38"/>
  <c r="C429" i="38"/>
  <c r="B429" i="38"/>
  <c r="M428" i="38"/>
  <c r="L428" i="38"/>
  <c r="K428" i="38"/>
  <c r="J428" i="38"/>
  <c r="I428" i="38"/>
  <c r="H428" i="38"/>
  <c r="G428" i="38"/>
  <c r="F428" i="38"/>
  <c r="E428" i="38"/>
  <c r="D428" i="38"/>
  <c r="C428" i="38"/>
  <c r="B428" i="38"/>
  <c r="M427" i="38"/>
  <c r="L427" i="38"/>
  <c r="K427" i="38"/>
  <c r="J427" i="38"/>
  <c r="I427" i="38"/>
  <c r="H427" i="38"/>
  <c r="G427" i="38"/>
  <c r="F427" i="38"/>
  <c r="E427" i="38"/>
  <c r="D427" i="38"/>
  <c r="C427" i="38"/>
  <c r="B427" i="38"/>
  <c r="M426" i="38"/>
  <c r="L426" i="38"/>
  <c r="K426" i="38"/>
  <c r="J426" i="38"/>
  <c r="I426" i="38"/>
  <c r="H426" i="38"/>
  <c r="G426" i="38"/>
  <c r="F426" i="38"/>
  <c r="E426" i="38"/>
  <c r="D426" i="38"/>
  <c r="C426" i="38"/>
  <c r="B426" i="38"/>
  <c r="M425" i="38"/>
  <c r="L425" i="38"/>
  <c r="K425" i="38"/>
  <c r="J425" i="38"/>
  <c r="I425" i="38"/>
  <c r="H425" i="38"/>
  <c r="G425" i="38"/>
  <c r="F425" i="38"/>
  <c r="E425" i="38"/>
  <c r="D425" i="38"/>
  <c r="C425" i="38"/>
  <c r="B425" i="38"/>
  <c r="M424" i="38"/>
  <c r="L424" i="38"/>
  <c r="K424" i="38"/>
  <c r="J424" i="38"/>
  <c r="I424" i="38"/>
  <c r="H424" i="38"/>
  <c r="G424" i="38"/>
  <c r="F424" i="38"/>
  <c r="E424" i="38"/>
  <c r="D424" i="38"/>
  <c r="C424" i="38"/>
  <c r="B424" i="38"/>
  <c r="M423" i="38"/>
  <c r="L423" i="38"/>
  <c r="K423" i="38"/>
  <c r="J423" i="38"/>
  <c r="I423" i="38"/>
  <c r="H423" i="38"/>
  <c r="G423" i="38"/>
  <c r="F423" i="38"/>
  <c r="E423" i="38"/>
  <c r="D423" i="38"/>
  <c r="C423" i="38"/>
  <c r="B423" i="38"/>
  <c r="M422" i="38"/>
  <c r="L422" i="38"/>
  <c r="K422" i="38"/>
  <c r="J422" i="38"/>
  <c r="I422" i="38"/>
  <c r="H422" i="38"/>
  <c r="G422" i="38"/>
  <c r="F422" i="38"/>
  <c r="E422" i="38"/>
  <c r="D422" i="38"/>
  <c r="C422" i="38"/>
  <c r="B422" i="38"/>
  <c r="M421" i="38"/>
  <c r="L421" i="38"/>
  <c r="K421" i="38"/>
  <c r="J421" i="38"/>
  <c r="I421" i="38"/>
  <c r="H421" i="38"/>
  <c r="G421" i="38"/>
  <c r="F421" i="38"/>
  <c r="E421" i="38"/>
  <c r="D421" i="38"/>
  <c r="C421" i="38"/>
  <c r="B421" i="38"/>
  <c r="M420" i="38"/>
  <c r="L420" i="38"/>
  <c r="K420" i="38"/>
  <c r="J420" i="38"/>
  <c r="I420" i="38"/>
  <c r="H420" i="38"/>
  <c r="G420" i="38"/>
  <c r="F420" i="38"/>
  <c r="E420" i="38"/>
  <c r="D420" i="38"/>
  <c r="C420" i="38"/>
  <c r="B420" i="38"/>
  <c r="M419" i="38"/>
  <c r="L419" i="38"/>
  <c r="K419" i="38"/>
  <c r="J419" i="38"/>
  <c r="I419" i="38"/>
  <c r="H419" i="38"/>
  <c r="G419" i="38"/>
  <c r="F419" i="38"/>
  <c r="E419" i="38"/>
  <c r="D419" i="38"/>
  <c r="C419" i="38"/>
  <c r="B419" i="38"/>
  <c r="M418" i="38"/>
  <c r="L418" i="38"/>
  <c r="K418" i="38"/>
  <c r="J418" i="38"/>
  <c r="I418" i="38"/>
  <c r="H418" i="38"/>
  <c r="G418" i="38"/>
  <c r="F418" i="38"/>
  <c r="E418" i="38"/>
  <c r="D418" i="38"/>
  <c r="C418" i="38"/>
  <c r="B418" i="38"/>
  <c r="M417" i="38"/>
  <c r="L417" i="38"/>
  <c r="K417" i="38"/>
  <c r="J417" i="38"/>
  <c r="I417" i="38"/>
  <c r="H417" i="38"/>
  <c r="G417" i="38"/>
  <c r="F417" i="38"/>
  <c r="E417" i="38"/>
  <c r="D417" i="38"/>
  <c r="C417" i="38"/>
  <c r="B417" i="38"/>
  <c r="M416" i="38"/>
  <c r="L416" i="38"/>
  <c r="K416" i="38"/>
  <c r="J416" i="38"/>
  <c r="I416" i="38"/>
  <c r="H416" i="38"/>
  <c r="G416" i="38"/>
  <c r="F416" i="38"/>
  <c r="E416" i="38"/>
  <c r="D416" i="38"/>
  <c r="C416" i="38"/>
  <c r="B416" i="38"/>
  <c r="M415" i="38"/>
  <c r="L415" i="38"/>
  <c r="K415" i="38"/>
  <c r="J415" i="38"/>
  <c r="I415" i="38"/>
  <c r="H415" i="38"/>
  <c r="G415" i="38"/>
  <c r="F415" i="38"/>
  <c r="E415" i="38"/>
  <c r="D415" i="38"/>
  <c r="C415" i="38"/>
  <c r="B415" i="38"/>
  <c r="M414" i="38"/>
  <c r="L414" i="38"/>
  <c r="K414" i="38"/>
  <c r="J414" i="38"/>
  <c r="I414" i="38"/>
  <c r="H414" i="38"/>
  <c r="G414" i="38"/>
  <c r="F414" i="38"/>
  <c r="E414" i="38"/>
  <c r="D414" i="38"/>
  <c r="C414" i="38"/>
  <c r="B414" i="38"/>
  <c r="M413" i="38"/>
  <c r="L413" i="38"/>
  <c r="K413" i="38"/>
  <c r="J413" i="38"/>
  <c r="I413" i="38"/>
  <c r="H413" i="38"/>
  <c r="G413" i="38"/>
  <c r="F413" i="38"/>
  <c r="E413" i="38"/>
  <c r="D413" i="38"/>
  <c r="C413" i="38"/>
  <c r="B413" i="38"/>
  <c r="M412" i="38"/>
  <c r="L412" i="38"/>
  <c r="K412" i="38"/>
  <c r="J412" i="38"/>
  <c r="I412" i="38"/>
  <c r="H412" i="38"/>
  <c r="G412" i="38"/>
  <c r="F412" i="38"/>
  <c r="E412" i="38"/>
  <c r="D412" i="38"/>
  <c r="C412" i="38"/>
  <c r="B412" i="38"/>
  <c r="M411" i="38"/>
  <c r="L411" i="38"/>
  <c r="K411" i="38"/>
  <c r="J411" i="38"/>
  <c r="I411" i="38"/>
  <c r="H411" i="38"/>
  <c r="G411" i="38"/>
  <c r="F411" i="38"/>
  <c r="E411" i="38"/>
  <c r="D411" i="38"/>
  <c r="C411" i="38"/>
  <c r="B411" i="38"/>
  <c r="M410" i="38"/>
  <c r="L410" i="38"/>
  <c r="K410" i="38"/>
  <c r="J410" i="38"/>
  <c r="I410" i="38"/>
  <c r="H410" i="38"/>
  <c r="G410" i="38"/>
  <c r="F410" i="38"/>
  <c r="E410" i="38"/>
  <c r="D410" i="38"/>
  <c r="C410" i="38"/>
  <c r="B410" i="38"/>
  <c r="M409" i="38"/>
  <c r="L409" i="38"/>
  <c r="K409" i="38"/>
  <c r="J409" i="38"/>
  <c r="I409" i="38"/>
  <c r="H409" i="38"/>
  <c r="G409" i="38"/>
  <c r="F409" i="38"/>
  <c r="E409" i="38"/>
  <c r="D409" i="38"/>
  <c r="C409" i="38"/>
  <c r="B409" i="38"/>
  <c r="M408" i="38"/>
  <c r="L408" i="38"/>
  <c r="K408" i="38"/>
  <c r="J408" i="38"/>
  <c r="I408" i="38"/>
  <c r="H408" i="38"/>
  <c r="G408" i="38"/>
  <c r="F408" i="38"/>
  <c r="E408" i="38"/>
  <c r="D408" i="38"/>
  <c r="C408" i="38"/>
  <c r="B408" i="38"/>
  <c r="M407" i="38"/>
  <c r="L407" i="38"/>
  <c r="K407" i="38"/>
  <c r="J407" i="38"/>
  <c r="I407" i="38"/>
  <c r="H407" i="38"/>
  <c r="G407" i="38"/>
  <c r="F407" i="38"/>
  <c r="E407" i="38"/>
  <c r="D407" i="38"/>
  <c r="C407" i="38"/>
  <c r="B407" i="38"/>
  <c r="M406" i="38"/>
  <c r="L406" i="38"/>
  <c r="K406" i="38"/>
  <c r="J406" i="38"/>
  <c r="I406" i="38"/>
  <c r="H406" i="38"/>
  <c r="G406" i="38"/>
  <c r="F406" i="38"/>
  <c r="E406" i="38"/>
  <c r="D406" i="38"/>
  <c r="C406" i="38"/>
  <c r="B406" i="38"/>
  <c r="M405" i="38"/>
  <c r="L405" i="38"/>
  <c r="K405" i="38"/>
  <c r="J405" i="38"/>
  <c r="I405" i="38"/>
  <c r="H405" i="38"/>
  <c r="G405" i="38"/>
  <c r="F405" i="38"/>
  <c r="E405" i="38"/>
  <c r="D405" i="38"/>
  <c r="C405" i="38"/>
  <c r="B405" i="38"/>
  <c r="M404" i="38"/>
  <c r="L404" i="38"/>
  <c r="K404" i="38"/>
  <c r="J404" i="38"/>
  <c r="I404" i="38"/>
  <c r="H404" i="38"/>
  <c r="G404" i="38"/>
  <c r="F404" i="38"/>
  <c r="E404" i="38"/>
  <c r="D404" i="38"/>
  <c r="C404" i="38"/>
  <c r="B404" i="38"/>
  <c r="M403" i="38"/>
  <c r="L403" i="38"/>
  <c r="K403" i="38"/>
  <c r="J403" i="38"/>
  <c r="I403" i="38"/>
  <c r="H403" i="38"/>
  <c r="G403" i="38"/>
  <c r="F403" i="38"/>
  <c r="E403" i="38"/>
  <c r="D403" i="38"/>
  <c r="C403" i="38"/>
  <c r="B403" i="38"/>
  <c r="M402" i="38"/>
  <c r="L402" i="38"/>
  <c r="K402" i="38"/>
  <c r="J402" i="38"/>
  <c r="I402" i="38"/>
  <c r="H402" i="38"/>
  <c r="G402" i="38"/>
  <c r="F402" i="38"/>
  <c r="E402" i="38"/>
  <c r="D402" i="38"/>
  <c r="C402" i="38"/>
  <c r="B402" i="38"/>
  <c r="M401" i="38"/>
  <c r="L401" i="38"/>
  <c r="K401" i="38"/>
  <c r="J401" i="38"/>
  <c r="I401" i="38"/>
  <c r="H401" i="38"/>
  <c r="G401" i="38"/>
  <c r="F401" i="38"/>
  <c r="E401" i="38"/>
  <c r="D401" i="38"/>
  <c r="C401" i="38"/>
  <c r="B401" i="38"/>
  <c r="M400" i="38"/>
  <c r="L400" i="38"/>
  <c r="K400" i="38"/>
  <c r="J400" i="38"/>
  <c r="I400" i="38"/>
  <c r="H400" i="38"/>
  <c r="G400" i="38"/>
  <c r="F400" i="38"/>
  <c r="E400" i="38"/>
  <c r="D400" i="38"/>
  <c r="C400" i="38"/>
  <c r="B400" i="38"/>
  <c r="M399" i="38"/>
  <c r="L399" i="38"/>
  <c r="K399" i="38"/>
  <c r="J399" i="38"/>
  <c r="I399" i="38"/>
  <c r="H399" i="38"/>
  <c r="G399" i="38"/>
  <c r="F399" i="38"/>
  <c r="E399" i="38"/>
  <c r="D399" i="38"/>
  <c r="C399" i="38"/>
  <c r="B399" i="38"/>
  <c r="M398" i="38"/>
  <c r="L398" i="38"/>
  <c r="K398" i="38"/>
  <c r="J398" i="38"/>
  <c r="I398" i="38"/>
  <c r="H398" i="38"/>
  <c r="G398" i="38"/>
  <c r="F398" i="38"/>
  <c r="E398" i="38"/>
  <c r="D398" i="38"/>
  <c r="C398" i="38"/>
  <c r="B398" i="38"/>
  <c r="M397" i="38"/>
  <c r="L397" i="38"/>
  <c r="K397" i="38"/>
  <c r="J397" i="38"/>
  <c r="I397" i="38"/>
  <c r="H397" i="38"/>
  <c r="G397" i="38"/>
  <c r="F397" i="38"/>
  <c r="E397" i="38"/>
  <c r="D397" i="38"/>
  <c r="C397" i="38"/>
  <c r="B397" i="38"/>
  <c r="M396" i="38"/>
  <c r="L396" i="38"/>
  <c r="K396" i="38"/>
  <c r="J396" i="38"/>
  <c r="I396" i="38"/>
  <c r="H396" i="38"/>
  <c r="G396" i="38"/>
  <c r="F396" i="38"/>
  <c r="E396" i="38"/>
  <c r="D396" i="38"/>
  <c r="C396" i="38"/>
  <c r="B396" i="38"/>
  <c r="M395" i="38"/>
  <c r="L395" i="38"/>
  <c r="K395" i="38"/>
  <c r="J395" i="38"/>
  <c r="I395" i="38"/>
  <c r="H395" i="38"/>
  <c r="G395" i="38"/>
  <c r="F395" i="38"/>
  <c r="E395" i="38"/>
  <c r="D395" i="38"/>
  <c r="C395" i="38"/>
  <c r="B395" i="38"/>
  <c r="M394" i="38"/>
  <c r="L394" i="38"/>
  <c r="K394" i="38"/>
  <c r="J394" i="38"/>
  <c r="I394" i="38"/>
  <c r="H394" i="38"/>
  <c r="G394" i="38"/>
  <c r="F394" i="38"/>
  <c r="E394" i="38"/>
  <c r="D394" i="38"/>
  <c r="C394" i="38"/>
  <c r="B394" i="38"/>
  <c r="M393" i="38"/>
  <c r="L393" i="38"/>
  <c r="K393" i="38"/>
  <c r="J393" i="38"/>
  <c r="I393" i="38"/>
  <c r="H393" i="38"/>
  <c r="G393" i="38"/>
  <c r="F393" i="38"/>
  <c r="E393" i="38"/>
  <c r="D393" i="38"/>
  <c r="C393" i="38"/>
  <c r="B393" i="38"/>
  <c r="M392" i="38"/>
  <c r="L392" i="38"/>
  <c r="K392" i="38"/>
  <c r="J392" i="38"/>
  <c r="I392" i="38"/>
  <c r="H392" i="38"/>
  <c r="G392" i="38"/>
  <c r="F392" i="38"/>
  <c r="E392" i="38"/>
  <c r="D392" i="38"/>
  <c r="C392" i="38"/>
  <c r="B392" i="38"/>
  <c r="M391" i="38"/>
  <c r="L391" i="38"/>
  <c r="K391" i="38"/>
  <c r="J391" i="38"/>
  <c r="I391" i="38"/>
  <c r="H391" i="38"/>
  <c r="G391" i="38"/>
  <c r="F391" i="38"/>
  <c r="E391" i="38"/>
  <c r="D391" i="38"/>
  <c r="C391" i="38"/>
  <c r="B391" i="38"/>
  <c r="M390" i="38"/>
  <c r="L390" i="38"/>
  <c r="K390" i="38"/>
  <c r="J390" i="38"/>
  <c r="I390" i="38"/>
  <c r="H390" i="38"/>
  <c r="G390" i="38"/>
  <c r="F390" i="38"/>
  <c r="E390" i="38"/>
  <c r="D390" i="38"/>
  <c r="C390" i="38"/>
  <c r="B390" i="38"/>
  <c r="M389" i="38"/>
  <c r="L389" i="38"/>
  <c r="K389" i="38"/>
  <c r="J389" i="38"/>
  <c r="I389" i="38"/>
  <c r="H389" i="38"/>
  <c r="G389" i="38"/>
  <c r="F389" i="38"/>
  <c r="E389" i="38"/>
  <c r="D389" i="38"/>
  <c r="C389" i="38"/>
  <c r="B389" i="38"/>
  <c r="M388" i="38"/>
  <c r="L388" i="38"/>
  <c r="K388" i="38"/>
  <c r="J388" i="38"/>
  <c r="I388" i="38"/>
  <c r="H388" i="38"/>
  <c r="G388" i="38"/>
  <c r="F388" i="38"/>
  <c r="E388" i="38"/>
  <c r="D388" i="38"/>
  <c r="C388" i="38"/>
  <c r="B388" i="38"/>
  <c r="M387" i="38"/>
  <c r="L387" i="38"/>
  <c r="K387" i="38"/>
  <c r="J387" i="38"/>
  <c r="I387" i="38"/>
  <c r="H387" i="38"/>
  <c r="G387" i="38"/>
  <c r="F387" i="38"/>
  <c r="E387" i="38"/>
  <c r="D387" i="38"/>
  <c r="C387" i="38"/>
  <c r="B387" i="38"/>
  <c r="M386" i="38"/>
  <c r="L386" i="38"/>
  <c r="K386" i="38"/>
  <c r="J386" i="38"/>
  <c r="I386" i="38"/>
  <c r="H386" i="38"/>
  <c r="G386" i="38"/>
  <c r="F386" i="38"/>
  <c r="E386" i="38"/>
  <c r="D386" i="38"/>
  <c r="C386" i="38"/>
  <c r="B386" i="38"/>
  <c r="M385" i="38"/>
  <c r="L385" i="38"/>
  <c r="K385" i="38"/>
  <c r="J385" i="38"/>
  <c r="I385" i="38"/>
  <c r="H385" i="38"/>
  <c r="G385" i="38"/>
  <c r="F385" i="38"/>
  <c r="E385" i="38"/>
  <c r="D385" i="38"/>
  <c r="C385" i="38"/>
  <c r="B385" i="38"/>
  <c r="M384" i="38"/>
  <c r="L384" i="38"/>
  <c r="K384" i="38"/>
  <c r="J384" i="38"/>
  <c r="I384" i="38"/>
  <c r="H384" i="38"/>
  <c r="G384" i="38"/>
  <c r="F384" i="38"/>
  <c r="E384" i="38"/>
  <c r="D384" i="38"/>
  <c r="C384" i="38"/>
  <c r="B384" i="38"/>
  <c r="M383" i="38"/>
  <c r="L383" i="38"/>
  <c r="K383" i="38"/>
  <c r="J383" i="38"/>
  <c r="I383" i="38"/>
  <c r="H383" i="38"/>
  <c r="G383" i="38"/>
  <c r="F383" i="38"/>
  <c r="E383" i="38"/>
  <c r="D383" i="38"/>
  <c r="C383" i="38"/>
  <c r="B383" i="38"/>
  <c r="M382" i="38"/>
  <c r="L382" i="38"/>
  <c r="K382" i="38"/>
  <c r="J382" i="38"/>
  <c r="I382" i="38"/>
  <c r="H382" i="38"/>
  <c r="G382" i="38"/>
  <c r="F382" i="38"/>
  <c r="E382" i="38"/>
  <c r="D382" i="38"/>
  <c r="C382" i="38"/>
  <c r="B382" i="38"/>
  <c r="M381" i="38"/>
  <c r="L381" i="38"/>
  <c r="K381" i="38"/>
  <c r="J381" i="38"/>
  <c r="I381" i="38"/>
  <c r="H381" i="38"/>
  <c r="G381" i="38"/>
  <c r="F381" i="38"/>
  <c r="E381" i="38"/>
  <c r="D381" i="38"/>
  <c r="C381" i="38"/>
  <c r="B381" i="38"/>
  <c r="M380" i="38"/>
  <c r="L380" i="38"/>
  <c r="K380" i="38"/>
  <c r="J380" i="38"/>
  <c r="I380" i="38"/>
  <c r="H380" i="38"/>
  <c r="G380" i="38"/>
  <c r="F380" i="38"/>
  <c r="E380" i="38"/>
  <c r="D380" i="38"/>
  <c r="C380" i="38"/>
  <c r="B380" i="38"/>
  <c r="M379" i="38"/>
  <c r="L379" i="38"/>
  <c r="K379" i="38"/>
  <c r="J379" i="38"/>
  <c r="I379" i="38"/>
  <c r="H379" i="38"/>
  <c r="G379" i="38"/>
  <c r="F379" i="38"/>
  <c r="E379" i="38"/>
  <c r="D379" i="38"/>
  <c r="C379" i="38"/>
  <c r="B379" i="38"/>
  <c r="M378" i="38"/>
  <c r="L378" i="38"/>
  <c r="K378" i="38"/>
  <c r="J378" i="38"/>
  <c r="I378" i="38"/>
  <c r="H378" i="38"/>
  <c r="G378" i="38"/>
  <c r="F378" i="38"/>
  <c r="E378" i="38"/>
  <c r="D378" i="38"/>
  <c r="C378" i="38"/>
  <c r="B378" i="38"/>
  <c r="M377" i="38"/>
  <c r="L377" i="38"/>
  <c r="K377" i="38"/>
  <c r="J377" i="38"/>
  <c r="I377" i="38"/>
  <c r="H377" i="38"/>
  <c r="G377" i="38"/>
  <c r="F377" i="38"/>
  <c r="E377" i="38"/>
  <c r="D377" i="38"/>
  <c r="C377" i="38"/>
  <c r="B377" i="38"/>
  <c r="M376" i="38"/>
  <c r="L376" i="38"/>
  <c r="K376" i="38"/>
  <c r="J376" i="38"/>
  <c r="I376" i="38"/>
  <c r="H376" i="38"/>
  <c r="G376" i="38"/>
  <c r="F376" i="38"/>
  <c r="E376" i="38"/>
  <c r="D376" i="38"/>
  <c r="C376" i="38"/>
  <c r="B376" i="38"/>
  <c r="M375" i="38"/>
  <c r="L375" i="38"/>
  <c r="K375" i="38"/>
  <c r="J375" i="38"/>
  <c r="I375" i="38"/>
  <c r="H375" i="38"/>
  <c r="G375" i="38"/>
  <c r="F375" i="38"/>
  <c r="E375" i="38"/>
  <c r="D375" i="38"/>
  <c r="C375" i="38"/>
  <c r="B375" i="38"/>
  <c r="M374" i="38"/>
  <c r="L374" i="38"/>
  <c r="K374" i="38"/>
  <c r="J374" i="38"/>
  <c r="I374" i="38"/>
  <c r="H374" i="38"/>
  <c r="G374" i="38"/>
  <c r="F374" i="38"/>
  <c r="E374" i="38"/>
  <c r="D374" i="38"/>
  <c r="C374" i="38"/>
  <c r="B374" i="38"/>
  <c r="M373" i="38"/>
  <c r="L373" i="38"/>
  <c r="K373" i="38"/>
  <c r="J373" i="38"/>
  <c r="I373" i="38"/>
  <c r="H373" i="38"/>
  <c r="G373" i="38"/>
  <c r="F373" i="38"/>
  <c r="E373" i="38"/>
  <c r="D373" i="38"/>
  <c r="C373" i="38"/>
  <c r="B373" i="38"/>
  <c r="M372" i="38"/>
  <c r="L372" i="38"/>
  <c r="K372" i="38"/>
  <c r="J372" i="38"/>
  <c r="I372" i="38"/>
  <c r="H372" i="38"/>
  <c r="G372" i="38"/>
  <c r="F372" i="38"/>
  <c r="E372" i="38"/>
  <c r="D372" i="38"/>
  <c r="C372" i="38"/>
  <c r="B372" i="38"/>
  <c r="M371" i="38"/>
  <c r="L371" i="38"/>
  <c r="K371" i="38"/>
  <c r="J371" i="38"/>
  <c r="I371" i="38"/>
  <c r="H371" i="38"/>
  <c r="G371" i="38"/>
  <c r="F371" i="38"/>
  <c r="E371" i="38"/>
  <c r="D371" i="38"/>
  <c r="C371" i="38"/>
  <c r="B371" i="38"/>
  <c r="M370" i="38"/>
  <c r="L370" i="38"/>
  <c r="K370" i="38"/>
  <c r="J370" i="38"/>
  <c r="I370" i="38"/>
  <c r="H370" i="38"/>
  <c r="G370" i="38"/>
  <c r="F370" i="38"/>
  <c r="E370" i="38"/>
  <c r="D370" i="38"/>
  <c r="C370" i="38"/>
  <c r="B370" i="38"/>
  <c r="M369" i="38"/>
  <c r="L369" i="38"/>
  <c r="K369" i="38"/>
  <c r="J369" i="38"/>
  <c r="I369" i="38"/>
  <c r="H369" i="38"/>
  <c r="G369" i="38"/>
  <c r="F369" i="38"/>
  <c r="E369" i="38"/>
  <c r="D369" i="38"/>
  <c r="C369" i="38"/>
  <c r="B369" i="38"/>
  <c r="M368" i="38"/>
  <c r="L368" i="38"/>
  <c r="K368" i="38"/>
  <c r="J368" i="38"/>
  <c r="I368" i="38"/>
  <c r="H368" i="38"/>
  <c r="G368" i="38"/>
  <c r="F368" i="38"/>
  <c r="E368" i="38"/>
  <c r="D368" i="38"/>
  <c r="C368" i="38"/>
  <c r="B368" i="38"/>
  <c r="M367" i="38"/>
  <c r="L367" i="38"/>
  <c r="K367" i="38"/>
  <c r="J367" i="38"/>
  <c r="I367" i="38"/>
  <c r="H367" i="38"/>
  <c r="G367" i="38"/>
  <c r="F367" i="38"/>
  <c r="E367" i="38"/>
  <c r="D367" i="38"/>
  <c r="C367" i="38"/>
  <c r="B367" i="38"/>
  <c r="M366" i="38"/>
  <c r="L366" i="38"/>
  <c r="K366" i="38"/>
  <c r="J366" i="38"/>
  <c r="I366" i="38"/>
  <c r="H366" i="38"/>
  <c r="G366" i="38"/>
  <c r="F366" i="38"/>
  <c r="E366" i="38"/>
  <c r="D366" i="38"/>
  <c r="C366" i="38"/>
  <c r="B366" i="38"/>
  <c r="M365" i="38"/>
  <c r="L365" i="38"/>
  <c r="K365" i="38"/>
  <c r="J365" i="38"/>
  <c r="I365" i="38"/>
  <c r="H365" i="38"/>
  <c r="G365" i="38"/>
  <c r="F365" i="38"/>
  <c r="E365" i="38"/>
  <c r="D365" i="38"/>
  <c r="C365" i="38"/>
  <c r="B365" i="38"/>
  <c r="M364" i="38"/>
  <c r="L364" i="38"/>
  <c r="K364" i="38"/>
  <c r="J364" i="38"/>
  <c r="I364" i="38"/>
  <c r="H364" i="38"/>
  <c r="G364" i="38"/>
  <c r="F364" i="38"/>
  <c r="E364" i="38"/>
  <c r="D364" i="38"/>
  <c r="C364" i="38"/>
  <c r="B364" i="38"/>
  <c r="M363" i="38"/>
  <c r="L363" i="38"/>
  <c r="K363" i="38"/>
  <c r="J363" i="38"/>
  <c r="I363" i="38"/>
  <c r="H363" i="38"/>
  <c r="G363" i="38"/>
  <c r="F363" i="38"/>
  <c r="E363" i="38"/>
  <c r="D363" i="38"/>
  <c r="C363" i="38"/>
  <c r="B363" i="38"/>
  <c r="M362" i="38"/>
  <c r="L362" i="38"/>
  <c r="K362" i="38"/>
  <c r="J362" i="38"/>
  <c r="I362" i="38"/>
  <c r="H362" i="38"/>
  <c r="G362" i="38"/>
  <c r="F362" i="38"/>
  <c r="E362" i="38"/>
  <c r="D362" i="38"/>
  <c r="C362" i="38"/>
  <c r="B362" i="38"/>
  <c r="M361" i="38"/>
  <c r="L361" i="38"/>
  <c r="K361" i="38"/>
  <c r="J361" i="38"/>
  <c r="I361" i="38"/>
  <c r="H361" i="38"/>
  <c r="G361" i="38"/>
  <c r="F361" i="38"/>
  <c r="E361" i="38"/>
  <c r="D361" i="38"/>
  <c r="C361" i="38"/>
  <c r="B361" i="38"/>
  <c r="M360" i="38"/>
  <c r="L360" i="38"/>
  <c r="K360" i="38"/>
  <c r="J360" i="38"/>
  <c r="I360" i="38"/>
  <c r="H360" i="38"/>
  <c r="G360" i="38"/>
  <c r="F360" i="38"/>
  <c r="E360" i="38"/>
  <c r="D360" i="38"/>
  <c r="C360" i="38"/>
  <c r="B360" i="38"/>
  <c r="M359" i="38"/>
  <c r="L359" i="38"/>
  <c r="K359" i="38"/>
  <c r="J359" i="38"/>
  <c r="I359" i="38"/>
  <c r="H359" i="38"/>
  <c r="G359" i="38"/>
  <c r="F359" i="38"/>
  <c r="E359" i="38"/>
  <c r="D359" i="38"/>
  <c r="C359" i="38"/>
  <c r="B359" i="38"/>
  <c r="M358" i="38"/>
  <c r="L358" i="38"/>
  <c r="K358" i="38"/>
  <c r="J358" i="38"/>
  <c r="I358" i="38"/>
  <c r="H358" i="38"/>
  <c r="G358" i="38"/>
  <c r="F358" i="38"/>
  <c r="E358" i="38"/>
  <c r="D358" i="38"/>
  <c r="C358" i="38"/>
  <c r="B358" i="38"/>
  <c r="M357" i="38"/>
  <c r="L357" i="38"/>
  <c r="K357" i="38"/>
  <c r="J357" i="38"/>
  <c r="I357" i="38"/>
  <c r="H357" i="38"/>
  <c r="G357" i="38"/>
  <c r="F357" i="38"/>
  <c r="E357" i="38"/>
  <c r="D357" i="38"/>
  <c r="C357" i="38"/>
  <c r="B357" i="38"/>
  <c r="M356" i="38"/>
  <c r="L356" i="38"/>
  <c r="K356" i="38"/>
  <c r="J356" i="38"/>
  <c r="I356" i="38"/>
  <c r="H356" i="38"/>
  <c r="G356" i="38"/>
  <c r="F356" i="38"/>
  <c r="E356" i="38"/>
  <c r="D356" i="38"/>
  <c r="C356" i="38"/>
  <c r="B356" i="38"/>
  <c r="M355" i="38"/>
  <c r="L355" i="38"/>
  <c r="K355" i="38"/>
  <c r="J355" i="38"/>
  <c r="I355" i="38"/>
  <c r="H355" i="38"/>
  <c r="G355" i="38"/>
  <c r="F355" i="38"/>
  <c r="E355" i="38"/>
  <c r="D355" i="38"/>
  <c r="C355" i="38"/>
  <c r="B355" i="38"/>
  <c r="M354" i="38"/>
  <c r="L354" i="38"/>
  <c r="K354" i="38"/>
  <c r="J354" i="38"/>
  <c r="I354" i="38"/>
  <c r="H354" i="38"/>
  <c r="G354" i="38"/>
  <c r="F354" i="38"/>
  <c r="E354" i="38"/>
  <c r="D354" i="38"/>
  <c r="C354" i="38"/>
  <c r="B354" i="38"/>
  <c r="M353" i="38"/>
  <c r="L353" i="38"/>
  <c r="K353" i="38"/>
  <c r="J353" i="38"/>
  <c r="I353" i="38"/>
  <c r="H353" i="38"/>
  <c r="G353" i="38"/>
  <c r="F353" i="38"/>
  <c r="E353" i="38"/>
  <c r="D353" i="38"/>
  <c r="C353" i="38"/>
  <c r="B353" i="38"/>
  <c r="M352" i="38"/>
  <c r="L352" i="38"/>
  <c r="K352" i="38"/>
  <c r="J352" i="38"/>
  <c r="I352" i="38"/>
  <c r="H352" i="38"/>
  <c r="G352" i="38"/>
  <c r="F352" i="38"/>
  <c r="E352" i="38"/>
  <c r="D352" i="38"/>
  <c r="C352" i="38"/>
  <c r="B352" i="38"/>
  <c r="M351" i="38"/>
  <c r="L351" i="38"/>
  <c r="K351" i="38"/>
  <c r="J351" i="38"/>
  <c r="I351" i="38"/>
  <c r="H351" i="38"/>
  <c r="G351" i="38"/>
  <c r="F351" i="38"/>
  <c r="E351" i="38"/>
  <c r="D351" i="38"/>
  <c r="C351" i="38"/>
  <c r="B351" i="38"/>
  <c r="M350" i="38"/>
  <c r="L350" i="38"/>
  <c r="K350" i="38"/>
  <c r="J350" i="38"/>
  <c r="I350" i="38"/>
  <c r="H350" i="38"/>
  <c r="G350" i="38"/>
  <c r="F350" i="38"/>
  <c r="E350" i="38"/>
  <c r="D350" i="38"/>
  <c r="C350" i="38"/>
  <c r="B350" i="38"/>
  <c r="M349" i="38"/>
  <c r="L349" i="38"/>
  <c r="K349" i="38"/>
  <c r="J349" i="38"/>
  <c r="I349" i="38"/>
  <c r="H349" i="38"/>
  <c r="G349" i="38"/>
  <c r="F349" i="38"/>
  <c r="E349" i="38"/>
  <c r="D349" i="38"/>
  <c r="C349" i="38"/>
  <c r="B349" i="38"/>
  <c r="M348" i="38"/>
  <c r="L348" i="38"/>
  <c r="K348" i="38"/>
  <c r="J348" i="38"/>
  <c r="I348" i="38"/>
  <c r="H348" i="38"/>
  <c r="G348" i="38"/>
  <c r="F348" i="38"/>
  <c r="E348" i="38"/>
  <c r="D348" i="38"/>
  <c r="C348" i="38"/>
  <c r="B348" i="38"/>
  <c r="M347" i="38"/>
  <c r="L347" i="38"/>
  <c r="K347" i="38"/>
  <c r="J347" i="38"/>
  <c r="I347" i="38"/>
  <c r="H347" i="38"/>
  <c r="G347" i="38"/>
  <c r="F347" i="38"/>
  <c r="E347" i="38"/>
  <c r="D347" i="38"/>
  <c r="C347" i="38"/>
  <c r="B347" i="38"/>
  <c r="M346" i="38"/>
  <c r="L346" i="38"/>
  <c r="K346" i="38"/>
  <c r="J346" i="38"/>
  <c r="I346" i="38"/>
  <c r="H346" i="38"/>
  <c r="G346" i="38"/>
  <c r="F346" i="38"/>
  <c r="E346" i="38"/>
  <c r="D346" i="38"/>
  <c r="C346" i="38"/>
  <c r="B346" i="38"/>
  <c r="M345" i="38"/>
  <c r="L345" i="38"/>
  <c r="K345" i="38"/>
  <c r="J345" i="38"/>
  <c r="I345" i="38"/>
  <c r="H345" i="38"/>
  <c r="G345" i="38"/>
  <c r="F345" i="38"/>
  <c r="E345" i="38"/>
  <c r="D345" i="38"/>
  <c r="C345" i="38"/>
  <c r="B345" i="38"/>
  <c r="M344" i="38"/>
  <c r="L344" i="38"/>
  <c r="K344" i="38"/>
  <c r="J344" i="38"/>
  <c r="I344" i="38"/>
  <c r="H344" i="38"/>
  <c r="G344" i="38"/>
  <c r="F344" i="38"/>
  <c r="E344" i="38"/>
  <c r="D344" i="38"/>
  <c r="C344" i="38"/>
  <c r="B344" i="38"/>
  <c r="M343" i="38"/>
  <c r="L343" i="38"/>
  <c r="K343" i="38"/>
  <c r="J343" i="38"/>
  <c r="I343" i="38"/>
  <c r="H343" i="38"/>
  <c r="G343" i="38"/>
  <c r="F343" i="38"/>
  <c r="E343" i="38"/>
  <c r="D343" i="38"/>
  <c r="C343" i="38"/>
  <c r="B343" i="38"/>
  <c r="M342" i="38"/>
  <c r="L342" i="38"/>
  <c r="K342" i="38"/>
  <c r="J342" i="38"/>
  <c r="I342" i="38"/>
  <c r="H342" i="38"/>
  <c r="G342" i="38"/>
  <c r="F342" i="38"/>
  <c r="E342" i="38"/>
  <c r="D342" i="38"/>
  <c r="C342" i="38"/>
  <c r="B342" i="38"/>
  <c r="M341" i="38"/>
  <c r="L341" i="38"/>
  <c r="K341" i="38"/>
  <c r="J341" i="38"/>
  <c r="I341" i="38"/>
  <c r="H341" i="38"/>
  <c r="G341" i="38"/>
  <c r="F341" i="38"/>
  <c r="E341" i="38"/>
  <c r="D341" i="38"/>
  <c r="C341" i="38"/>
  <c r="B341" i="38"/>
  <c r="M340" i="38"/>
  <c r="L340" i="38"/>
  <c r="K340" i="38"/>
  <c r="J340" i="38"/>
  <c r="I340" i="38"/>
  <c r="H340" i="38"/>
  <c r="G340" i="38"/>
  <c r="F340" i="38"/>
  <c r="E340" i="38"/>
  <c r="D340" i="38"/>
  <c r="C340" i="38"/>
  <c r="B340" i="38"/>
  <c r="M339" i="38"/>
  <c r="L339" i="38"/>
  <c r="K339" i="38"/>
  <c r="J339" i="38"/>
  <c r="I339" i="38"/>
  <c r="H339" i="38"/>
  <c r="G339" i="38"/>
  <c r="F339" i="38"/>
  <c r="E339" i="38"/>
  <c r="D339" i="38"/>
  <c r="C339" i="38"/>
  <c r="B339" i="38"/>
  <c r="M338" i="38"/>
  <c r="L338" i="38"/>
  <c r="K338" i="38"/>
  <c r="J338" i="38"/>
  <c r="I338" i="38"/>
  <c r="H338" i="38"/>
  <c r="G338" i="38"/>
  <c r="F338" i="38"/>
  <c r="E338" i="38"/>
  <c r="D338" i="38"/>
  <c r="C338" i="38"/>
  <c r="B338" i="38"/>
  <c r="M337" i="38"/>
  <c r="L337" i="38"/>
  <c r="K337" i="38"/>
  <c r="J337" i="38"/>
  <c r="I337" i="38"/>
  <c r="H337" i="38"/>
  <c r="G337" i="38"/>
  <c r="F337" i="38"/>
  <c r="E337" i="38"/>
  <c r="D337" i="38"/>
  <c r="C337" i="38"/>
  <c r="B337" i="38"/>
  <c r="M336" i="38"/>
  <c r="L336" i="38"/>
  <c r="K336" i="38"/>
  <c r="J336" i="38"/>
  <c r="I336" i="38"/>
  <c r="H336" i="38"/>
  <c r="G336" i="38"/>
  <c r="F336" i="38"/>
  <c r="E336" i="38"/>
  <c r="D336" i="38"/>
  <c r="C336" i="38"/>
  <c r="B336" i="38"/>
  <c r="M335" i="38"/>
  <c r="L335" i="38"/>
  <c r="K335" i="38"/>
  <c r="J335" i="38"/>
  <c r="I335" i="38"/>
  <c r="H335" i="38"/>
  <c r="G335" i="38"/>
  <c r="F335" i="38"/>
  <c r="E335" i="38"/>
  <c r="D335" i="38"/>
  <c r="C335" i="38"/>
  <c r="B335" i="38"/>
  <c r="M334" i="38"/>
  <c r="L334" i="38"/>
  <c r="K334" i="38"/>
  <c r="J334" i="38"/>
  <c r="I334" i="38"/>
  <c r="H334" i="38"/>
  <c r="G334" i="38"/>
  <c r="F334" i="38"/>
  <c r="E334" i="38"/>
  <c r="D334" i="38"/>
  <c r="C334" i="38"/>
  <c r="B334" i="38"/>
  <c r="M333" i="38"/>
  <c r="L333" i="38"/>
  <c r="K333" i="38"/>
  <c r="J333" i="38"/>
  <c r="I333" i="38"/>
  <c r="H333" i="38"/>
  <c r="G333" i="38"/>
  <c r="F333" i="38"/>
  <c r="E333" i="38"/>
  <c r="D333" i="38"/>
  <c r="C333" i="38"/>
  <c r="B333" i="38"/>
  <c r="M332" i="38"/>
  <c r="L332" i="38"/>
  <c r="K332" i="38"/>
  <c r="J332" i="38"/>
  <c r="I332" i="38"/>
  <c r="H332" i="38"/>
  <c r="G332" i="38"/>
  <c r="F332" i="38"/>
  <c r="E332" i="38"/>
  <c r="D332" i="38"/>
  <c r="C332" i="38"/>
  <c r="B332" i="38"/>
  <c r="M331" i="38"/>
  <c r="L331" i="38"/>
  <c r="K331" i="38"/>
  <c r="J331" i="38"/>
  <c r="I331" i="38"/>
  <c r="H331" i="38"/>
  <c r="G331" i="38"/>
  <c r="F331" i="38"/>
  <c r="E331" i="38"/>
  <c r="D331" i="38"/>
  <c r="C331" i="38"/>
  <c r="B331" i="38"/>
  <c r="M330" i="38"/>
  <c r="L330" i="38"/>
  <c r="K330" i="38"/>
  <c r="J330" i="38"/>
  <c r="I330" i="38"/>
  <c r="H330" i="38"/>
  <c r="G330" i="38"/>
  <c r="F330" i="38"/>
  <c r="E330" i="38"/>
  <c r="D330" i="38"/>
  <c r="C330" i="38"/>
  <c r="B330" i="38"/>
  <c r="M329" i="38"/>
  <c r="L329" i="38"/>
  <c r="K329" i="38"/>
  <c r="J329" i="38"/>
  <c r="I329" i="38"/>
  <c r="H329" i="38"/>
  <c r="G329" i="38"/>
  <c r="F329" i="38"/>
  <c r="E329" i="38"/>
  <c r="D329" i="38"/>
  <c r="C329" i="38"/>
  <c r="B329" i="38"/>
  <c r="M328" i="38"/>
  <c r="L328" i="38"/>
  <c r="K328" i="38"/>
  <c r="J328" i="38"/>
  <c r="I328" i="38"/>
  <c r="H328" i="38"/>
  <c r="G328" i="38"/>
  <c r="F328" i="38"/>
  <c r="E328" i="38"/>
  <c r="D328" i="38"/>
  <c r="C328" i="38"/>
  <c r="B328" i="38"/>
  <c r="M327" i="38"/>
  <c r="L327" i="38"/>
  <c r="K327" i="38"/>
  <c r="J327" i="38"/>
  <c r="I327" i="38"/>
  <c r="H327" i="38"/>
  <c r="G327" i="38"/>
  <c r="F327" i="38"/>
  <c r="E327" i="38"/>
  <c r="D327" i="38"/>
  <c r="C327" i="38"/>
  <c r="B327" i="38"/>
  <c r="M326" i="38"/>
  <c r="L326" i="38"/>
  <c r="K326" i="38"/>
  <c r="J326" i="38"/>
  <c r="I326" i="38"/>
  <c r="H326" i="38"/>
  <c r="G326" i="38"/>
  <c r="F326" i="38"/>
  <c r="E326" i="38"/>
  <c r="D326" i="38"/>
  <c r="C326" i="38"/>
  <c r="B326" i="38"/>
  <c r="M325" i="38"/>
  <c r="L325" i="38"/>
  <c r="K325" i="38"/>
  <c r="J325" i="38"/>
  <c r="I325" i="38"/>
  <c r="H325" i="38"/>
  <c r="G325" i="38"/>
  <c r="F325" i="38"/>
  <c r="E325" i="38"/>
  <c r="D325" i="38"/>
  <c r="C325" i="38"/>
  <c r="B325" i="38"/>
  <c r="M324" i="38"/>
  <c r="L324" i="38"/>
  <c r="K324" i="38"/>
  <c r="J324" i="38"/>
  <c r="I324" i="38"/>
  <c r="H324" i="38"/>
  <c r="G324" i="38"/>
  <c r="F324" i="38"/>
  <c r="E324" i="38"/>
  <c r="D324" i="38"/>
  <c r="C324" i="38"/>
  <c r="B324" i="38"/>
  <c r="M323" i="38"/>
  <c r="L323" i="38"/>
  <c r="K323" i="38"/>
  <c r="J323" i="38"/>
  <c r="I323" i="38"/>
  <c r="H323" i="38"/>
  <c r="G323" i="38"/>
  <c r="F323" i="38"/>
  <c r="E323" i="38"/>
  <c r="D323" i="38"/>
  <c r="C323" i="38"/>
  <c r="B323" i="38"/>
  <c r="M322" i="38"/>
  <c r="L322" i="38"/>
  <c r="K322" i="38"/>
  <c r="J322" i="38"/>
  <c r="I322" i="38"/>
  <c r="H322" i="38"/>
  <c r="G322" i="38"/>
  <c r="F322" i="38"/>
  <c r="E322" i="38"/>
  <c r="D322" i="38"/>
  <c r="C322" i="38"/>
  <c r="B322" i="38"/>
  <c r="M321" i="38"/>
  <c r="L321" i="38"/>
  <c r="K321" i="38"/>
  <c r="J321" i="38"/>
  <c r="I321" i="38"/>
  <c r="H321" i="38"/>
  <c r="G321" i="38"/>
  <c r="F321" i="38"/>
  <c r="E321" i="38"/>
  <c r="D321" i="38"/>
  <c r="C321" i="38"/>
  <c r="B321" i="38"/>
  <c r="M320" i="38"/>
  <c r="L320" i="38"/>
  <c r="K320" i="38"/>
  <c r="J320" i="38"/>
  <c r="I320" i="38"/>
  <c r="H320" i="38"/>
  <c r="G320" i="38"/>
  <c r="F320" i="38"/>
  <c r="E320" i="38"/>
  <c r="D320" i="38"/>
  <c r="C320" i="38"/>
  <c r="B320" i="38"/>
  <c r="M319" i="38"/>
  <c r="L319" i="38"/>
  <c r="K319" i="38"/>
  <c r="J319" i="38"/>
  <c r="I319" i="38"/>
  <c r="H319" i="38"/>
  <c r="G319" i="38"/>
  <c r="F319" i="38"/>
  <c r="E319" i="38"/>
  <c r="D319" i="38"/>
  <c r="C319" i="38"/>
  <c r="B319" i="38"/>
  <c r="M318" i="38"/>
  <c r="L318" i="38"/>
  <c r="K318" i="38"/>
  <c r="J318" i="38"/>
  <c r="I318" i="38"/>
  <c r="H318" i="38"/>
  <c r="G318" i="38"/>
  <c r="F318" i="38"/>
  <c r="E318" i="38"/>
  <c r="D318" i="38"/>
  <c r="C318" i="38"/>
  <c r="B318" i="38"/>
  <c r="M317" i="38"/>
  <c r="L317" i="38"/>
  <c r="K317" i="38"/>
  <c r="J317" i="38"/>
  <c r="I317" i="38"/>
  <c r="H317" i="38"/>
  <c r="G317" i="38"/>
  <c r="F317" i="38"/>
  <c r="E317" i="38"/>
  <c r="D317" i="38"/>
  <c r="C317" i="38"/>
  <c r="B317" i="38"/>
  <c r="M316" i="38"/>
  <c r="L316" i="38"/>
  <c r="K316" i="38"/>
  <c r="J316" i="38"/>
  <c r="I316" i="38"/>
  <c r="H316" i="38"/>
  <c r="G316" i="38"/>
  <c r="F316" i="38"/>
  <c r="E316" i="38"/>
  <c r="D316" i="38"/>
  <c r="C316" i="38"/>
  <c r="B316" i="38"/>
  <c r="M315" i="38"/>
  <c r="L315" i="38"/>
  <c r="K315" i="38"/>
  <c r="J315" i="38"/>
  <c r="I315" i="38"/>
  <c r="H315" i="38"/>
  <c r="G315" i="38"/>
  <c r="F315" i="38"/>
  <c r="E315" i="38"/>
  <c r="D315" i="38"/>
  <c r="C315" i="38"/>
  <c r="B315" i="38"/>
  <c r="M314" i="38"/>
  <c r="L314" i="38"/>
  <c r="K314" i="38"/>
  <c r="J314" i="38"/>
  <c r="I314" i="38"/>
  <c r="H314" i="38"/>
  <c r="G314" i="38"/>
  <c r="F314" i="38"/>
  <c r="E314" i="38"/>
  <c r="D314" i="38"/>
  <c r="C314" i="38"/>
  <c r="B314" i="38"/>
  <c r="M313" i="38"/>
  <c r="L313" i="38"/>
  <c r="K313" i="38"/>
  <c r="J313" i="38"/>
  <c r="I313" i="38"/>
  <c r="H313" i="38"/>
  <c r="G313" i="38"/>
  <c r="F313" i="38"/>
  <c r="E313" i="38"/>
  <c r="D313" i="38"/>
  <c r="C313" i="38"/>
  <c r="B313" i="38"/>
  <c r="M312" i="38"/>
  <c r="L312" i="38"/>
  <c r="K312" i="38"/>
  <c r="J312" i="38"/>
  <c r="I312" i="38"/>
  <c r="H312" i="38"/>
  <c r="G312" i="38"/>
  <c r="F312" i="38"/>
  <c r="E312" i="38"/>
  <c r="D312" i="38"/>
  <c r="C312" i="38"/>
  <c r="B312" i="38"/>
  <c r="M311" i="38"/>
  <c r="L311" i="38"/>
  <c r="K311" i="38"/>
  <c r="J311" i="38"/>
  <c r="I311" i="38"/>
  <c r="H311" i="38"/>
  <c r="G311" i="38"/>
  <c r="F311" i="38"/>
  <c r="E311" i="38"/>
  <c r="D311" i="38"/>
  <c r="C311" i="38"/>
  <c r="B311" i="38"/>
  <c r="M310" i="38"/>
  <c r="L310" i="38"/>
  <c r="K310" i="38"/>
  <c r="J310" i="38"/>
  <c r="I310" i="38"/>
  <c r="H310" i="38"/>
  <c r="G310" i="38"/>
  <c r="F310" i="38"/>
  <c r="E310" i="38"/>
  <c r="D310" i="38"/>
  <c r="C310" i="38"/>
  <c r="B310" i="38"/>
  <c r="M309" i="38"/>
  <c r="L309" i="38"/>
  <c r="K309" i="38"/>
  <c r="J309" i="38"/>
  <c r="I309" i="38"/>
  <c r="H309" i="38"/>
  <c r="G309" i="38"/>
  <c r="F309" i="38"/>
  <c r="E309" i="38"/>
  <c r="D309" i="38"/>
  <c r="C309" i="38"/>
  <c r="B309" i="38"/>
  <c r="M308" i="38"/>
  <c r="L308" i="38"/>
  <c r="K308" i="38"/>
  <c r="J308" i="38"/>
  <c r="I308" i="38"/>
  <c r="H308" i="38"/>
  <c r="G308" i="38"/>
  <c r="F308" i="38"/>
  <c r="E308" i="38"/>
  <c r="D308" i="38"/>
  <c r="C308" i="38"/>
  <c r="B308" i="38"/>
  <c r="M307" i="38"/>
  <c r="L307" i="38"/>
  <c r="K307" i="38"/>
  <c r="J307" i="38"/>
  <c r="I307" i="38"/>
  <c r="H307" i="38"/>
  <c r="G307" i="38"/>
  <c r="F307" i="38"/>
  <c r="E307" i="38"/>
  <c r="D307" i="38"/>
  <c r="C307" i="38"/>
  <c r="B307" i="38"/>
  <c r="M306" i="38"/>
  <c r="L306" i="38"/>
  <c r="K306" i="38"/>
  <c r="J306" i="38"/>
  <c r="I306" i="38"/>
  <c r="H306" i="38"/>
  <c r="G306" i="38"/>
  <c r="F306" i="38"/>
  <c r="E306" i="38"/>
  <c r="D306" i="38"/>
  <c r="C306" i="38"/>
  <c r="B306" i="38"/>
  <c r="M305" i="38"/>
  <c r="L305" i="38"/>
  <c r="K305" i="38"/>
  <c r="J305" i="38"/>
  <c r="I305" i="38"/>
  <c r="H305" i="38"/>
  <c r="G305" i="38"/>
  <c r="F305" i="38"/>
  <c r="E305" i="38"/>
  <c r="D305" i="38"/>
  <c r="C305" i="38"/>
  <c r="B305" i="38"/>
  <c r="M304" i="38"/>
  <c r="L304" i="38"/>
  <c r="K304" i="38"/>
  <c r="J304" i="38"/>
  <c r="I304" i="38"/>
  <c r="H304" i="38"/>
  <c r="G304" i="38"/>
  <c r="F304" i="38"/>
  <c r="E304" i="38"/>
  <c r="D304" i="38"/>
  <c r="C304" i="38"/>
  <c r="B304" i="38"/>
  <c r="M303" i="38"/>
  <c r="L303" i="38"/>
  <c r="K303" i="38"/>
  <c r="J303" i="38"/>
  <c r="I303" i="38"/>
  <c r="H303" i="38"/>
  <c r="G303" i="38"/>
  <c r="F303" i="38"/>
  <c r="E303" i="38"/>
  <c r="D303" i="38"/>
  <c r="C303" i="38"/>
  <c r="B303" i="38"/>
  <c r="M302" i="38"/>
  <c r="L302" i="38"/>
  <c r="K302" i="38"/>
  <c r="J302" i="38"/>
  <c r="I302" i="38"/>
  <c r="H302" i="38"/>
  <c r="G302" i="38"/>
  <c r="F302" i="38"/>
  <c r="E302" i="38"/>
  <c r="D302" i="38"/>
  <c r="C302" i="38"/>
  <c r="B302" i="38"/>
  <c r="M301" i="38"/>
  <c r="L301" i="38"/>
  <c r="K301" i="38"/>
  <c r="J301" i="38"/>
  <c r="I301" i="38"/>
  <c r="H301" i="38"/>
  <c r="G301" i="38"/>
  <c r="F301" i="38"/>
  <c r="E301" i="38"/>
  <c r="D301" i="38"/>
  <c r="C301" i="38"/>
  <c r="B301" i="38"/>
  <c r="M300" i="38"/>
  <c r="L300" i="38"/>
  <c r="K300" i="38"/>
  <c r="J300" i="38"/>
  <c r="I300" i="38"/>
  <c r="H300" i="38"/>
  <c r="G300" i="38"/>
  <c r="F300" i="38"/>
  <c r="E300" i="38"/>
  <c r="D300" i="38"/>
  <c r="C300" i="38"/>
  <c r="B300" i="38"/>
  <c r="M299" i="38"/>
  <c r="L299" i="38"/>
  <c r="K299" i="38"/>
  <c r="J299" i="38"/>
  <c r="I299" i="38"/>
  <c r="H299" i="38"/>
  <c r="G299" i="38"/>
  <c r="F299" i="38"/>
  <c r="E299" i="38"/>
  <c r="D299" i="38"/>
  <c r="C299" i="38"/>
  <c r="B299" i="38"/>
  <c r="M298" i="38"/>
  <c r="L298" i="38"/>
  <c r="K298" i="38"/>
  <c r="J298" i="38"/>
  <c r="I298" i="38"/>
  <c r="H298" i="38"/>
  <c r="G298" i="38"/>
  <c r="F298" i="38"/>
  <c r="E298" i="38"/>
  <c r="D298" i="38"/>
  <c r="C298" i="38"/>
  <c r="B298" i="38"/>
  <c r="M297" i="38"/>
  <c r="L297" i="38"/>
  <c r="K297" i="38"/>
  <c r="J297" i="38"/>
  <c r="I297" i="38"/>
  <c r="H297" i="38"/>
  <c r="G297" i="38"/>
  <c r="F297" i="38"/>
  <c r="E297" i="38"/>
  <c r="D297" i="38"/>
  <c r="C297" i="38"/>
  <c r="B297" i="38"/>
  <c r="M296" i="38"/>
  <c r="L296" i="38"/>
  <c r="K296" i="38"/>
  <c r="J296" i="38"/>
  <c r="I296" i="38"/>
  <c r="H296" i="38"/>
  <c r="G296" i="38"/>
  <c r="F296" i="38"/>
  <c r="E296" i="38"/>
  <c r="D296" i="38"/>
  <c r="C296" i="38"/>
  <c r="B296" i="38"/>
  <c r="M295" i="38"/>
  <c r="L295" i="38"/>
  <c r="K295" i="38"/>
  <c r="J295" i="38"/>
  <c r="I295" i="38"/>
  <c r="H295" i="38"/>
  <c r="G295" i="38"/>
  <c r="F295" i="38"/>
  <c r="E295" i="38"/>
  <c r="D295" i="38"/>
  <c r="C295" i="38"/>
  <c r="B295" i="38"/>
  <c r="M294" i="38"/>
  <c r="L294" i="38"/>
  <c r="K294" i="38"/>
  <c r="J294" i="38"/>
  <c r="I294" i="38"/>
  <c r="H294" i="38"/>
  <c r="G294" i="38"/>
  <c r="F294" i="38"/>
  <c r="E294" i="38"/>
  <c r="D294" i="38"/>
  <c r="C294" i="38"/>
  <c r="B294" i="38"/>
  <c r="M293" i="38"/>
  <c r="L293" i="38"/>
  <c r="K293" i="38"/>
  <c r="J293" i="38"/>
  <c r="I293" i="38"/>
  <c r="H293" i="38"/>
  <c r="G293" i="38"/>
  <c r="F293" i="38"/>
  <c r="E293" i="38"/>
  <c r="D293" i="38"/>
  <c r="C293" i="38"/>
  <c r="B293" i="38"/>
  <c r="M292" i="38"/>
  <c r="L292" i="38"/>
  <c r="K292" i="38"/>
  <c r="J292" i="38"/>
  <c r="I292" i="38"/>
  <c r="H292" i="38"/>
  <c r="G292" i="38"/>
  <c r="F292" i="38"/>
  <c r="E292" i="38"/>
  <c r="D292" i="38"/>
  <c r="C292" i="38"/>
  <c r="B292" i="38"/>
  <c r="M291" i="38"/>
  <c r="L291" i="38"/>
  <c r="K291" i="38"/>
  <c r="J291" i="38"/>
  <c r="I291" i="38"/>
  <c r="H291" i="38"/>
  <c r="G291" i="38"/>
  <c r="F291" i="38"/>
  <c r="E291" i="38"/>
  <c r="D291" i="38"/>
  <c r="C291" i="38"/>
  <c r="B291" i="38"/>
  <c r="M290" i="38"/>
  <c r="L290" i="38"/>
  <c r="K290" i="38"/>
  <c r="J290" i="38"/>
  <c r="I290" i="38"/>
  <c r="H290" i="38"/>
  <c r="G290" i="38"/>
  <c r="F290" i="38"/>
  <c r="E290" i="38"/>
  <c r="D290" i="38"/>
  <c r="C290" i="38"/>
  <c r="B290" i="38"/>
  <c r="M289" i="38"/>
  <c r="L289" i="38"/>
  <c r="K289" i="38"/>
  <c r="J289" i="38"/>
  <c r="I289" i="38"/>
  <c r="H289" i="38"/>
  <c r="G289" i="38"/>
  <c r="F289" i="38"/>
  <c r="E289" i="38"/>
  <c r="D289" i="38"/>
  <c r="C289" i="38"/>
  <c r="B289" i="38"/>
  <c r="M288" i="38"/>
  <c r="L288" i="38"/>
  <c r="K288" i="38"/>
  <c r="J288" i="38"/>
  <c r="I288" i="38"/>
  <c r="H288" i="38"/>
  <c r="G288" i="38"/>
  <c r="F288" i="38"/>
  <c r="E288" i="38"/>
  <c r="D288" i="38"/>
  <c r="C288" i="38"/>
  <c r="B288" i="38"/>
  <c r="M287" i="38"/>
  <c r="L287" i="38"/>
  <c r="K287" i="38"/>
  <c r="J287" i="38"/>
  <c r="I287" i="38"/>
  <c r="H287" i="38"/>
  <c r="G287" i="38"/>
  <c r="F287" i="38"/>
  <c r="E287" i="38"/>
  <c r="D287" i="38"/>
  <c r="C287" i="38"/>
  <c r="B287" i="38"/>
  <c r="M286" i="38"/>
  <c r="L286" i="38"/>
  <c r="K286" i="38"/>
  <c r="J286" i="38"/>
  <c r="I286" i="38"/>
  <c r="H286" i="38"/>
  <c r="G286" i="38"/>
  <c r="F286" i="38"/>
  <c r="E286" i="38"/>
  <c r="D286" i="38"/>
  <c r="C286" i="38"/>
  <c r="B286" i="38"/>
  <c r="M285" i="38"/>
  <c r="L285" i="38"/>
  <c r="K285" i="38"/>
  <c r="J285" i="38"/>
  <c r="I285" i="38"/>
  <c r="H285" i="38"/>
  <c r="G285" i="38"/>
  <c r="F285" i="38"/>
  <c r="E285" i="38"/>
  <c r="D285" i="38"/>
  <c r="C285" i="38"/>
  <c r="B285" i="38"/>
  <c r="M284" i="38"/>
  <c r="L284" i="38"/>
  <c r="K284" i="38"/>
  <c r="J284" i="38"/>
  <c r="I284" i="38"/>
  <c r="H284" i="38"/>
  <c r="G284" i="38"/>
  <c r="F284" i="38"/>
  <c r="E284" i="38"/>
  <c r="D284" i="38"/>
  <c r="C284" i="38"/>
  <c r="B284" i="38"/>
  <c r="M283" i="38"/>
  <c r="L283" i="38"/>
  <c r="K283" i="38"/>
  <c r="J283" i="38"/>
  <c r="I283" i="38"/>
  <c r="H283" i="38"/>
  <c r="G283" i="38"/>
  <c r="F283" i="38"/>
  <c r="E283" i="38"/>
  <c r="D283" i="38"/>
  <c r="C283" i="38"/>
  <c r="B283" i="38"/>
  <c r="M282" i="38"/>
  <c r="L282" i="38"/>
  <c r="K282" i="38"/>
  <c r="J282" i="38"/>
  <c r="I282" i="38"/>
  <c r="H282" i="38"/>
  <c r="G282" i="38"/>
  <c r="F282" i="38"/>
  <c r="E282" i="38"/>
  <c r="D282" i="38"/>
  <c r="C282" i="38"/>
  <c r="B282" i="38"/>
  <c r="M281" i="38"/>
  <c r="L281" i="38"/>
  <c r="K281" i="38"/>
  <c r="J281" i="38"/>
  <c r="I281" i="38"/>
  <c r="H281" i="38"/>
  <c r="G281" i="38"/>
  <c r="F281" i="38"/>
  <c r="E281" i="38"/>
  <c r="D281" i="38"/>
  <c r="C281" i="38"/>
  <c r="B281" i="38"/>
  <c r="M280" i="38"/>
  <c r="L280" i="38"/>
  <c r="K280" i="38"/>
  <c r="J280" i="38"/>
  <c r="I280" i="38"/>
  <c r="H280" i="38"/>
  <c r="G280" i="38"/>
  <c r="F280" i="38"/>
  <c r="E280" i="38"/>
  <c r="D280" i="38"/>
  <c r="C280" i="38"/>
  <c r="B280" i="38"/>
  <c r="M279" i="38"/>
  <c r="L279" i="38"/>
  <c r="K279" i="38"/>
  <c r="J279" i="38"/>
  <c r="I279" i="38"/>
  <c r="H279" i="38"/>
  <c r="G279" i="38"/>
  <c r="F279" i="38"/>
  <c r="E279" i="38"/>
  <c r="D279" i="38"/>
  <c r="C279" i="38"/>
  <c r="B279" i="38"/>
  <c r="M278" i="38"/>
  <c r="L278" i="38"/>
  <c r="K278" i="38"/>
  <c r="J278" i="38"/>
  <c r="I278" i="38"/>
  <c r="H278" i="38"/>
  <c r="G278" i="38"/>
  <c r="F278" i="38"/>
  <c r="E278" i="38"/>
  <c r="D278" i="38"/>
  <c r="C278" i="38"/>
  <c r="B278" i="38"/>
  <c r="M277" i="38"/>
  <c r="L277" i="38"/>
  <c r="K277" i="38"/>
  <c r="J277" i="38"/>
  <c r="I277" i="38"/>
  <c r="H277" i="38"/>
  <c r="G277" i="38"/>
  <c r="F277" i="38"/>
  <c r="E277" i="38"/>
  <c r="D277" i="38"/>
  <c r="C277" i="38"/>
  <c r="B277" i="38"/>
  <c r="M276" i="38"/>
  <c r="L276" i="38"/>
  <c r="K276" i="38"/>
  <c r="J276" i="38"/>
  <c r="I276" i="38"/>
  <c r="H276" i="38"/>
  <c r="G276" i="38"/>
  <c r="F276" i="38"/>
  <c r="E276" i="38"/>
  <c r="D276" i="38"/>
  <c r="C276" i="38"/>
  <c r="B276" i="38"/>
  <c r="M275" i="38"/>
  <c r="L275" i="38"/>
  <c r="K275" i="38"/>
  <c r="J275" i="38"/>
  <c r="I275" i="38"/>
  <c r="H275" i="38"/>
  <c r="G275" i="38"/>
  <c r="F275" i="38"/>
  <c r="E275" i="38"/>
  <c r="D275" i="38"/>
  <c r="C275" i="38"/>
  <c r="B275" i="38"/>
  <c r="M274" i="38"/>
  <c r="L274" i="38"/>
  <c r="K274" i="38"/>
  <c r="J274" i="38"/>
  <c r="I274" i="38"/>
  <c r="H274" i="38"/>
  <c r="G274" i="38"/>
  <c r="F274" i="38"/>
  <c r="E274" i="38"/>
  <c r="D274" i="38"/>
  <c r="C274" i="38"/>
  <c r="B274" i="38"/>
  <c r="M273" i="38"/>
  <c r="L273" i="38"/>
  <c r="K273" i="38"/>
  <c r="J273" i="38"/>
  <c r="I273" i="38"/>
  <c r="H273" i="38"/>
  <c r="G273" i="38"/>
  <c r="F273" i="38"/>
  <c r="E273" i="38"/>
  <c r="D273" i="38"/>
  <c r="C273" i="38"/>
  <c r="B273" i="38"/>
  <c r="M272" i="38"/>
  <c r="L272" i="38"/>
  <c r="K272" i="38"/>
  <c r="J272" i="38"/>
  <c r="I272" i="38"/>
  <c r="H272" i="38"/>
  <c r="G272" i="38"/>
  <c r="F272" i="38"/>
  <c r="E272" i="38"/>
  <c r="D272" i="38"/>
  <c r="C272" i="38"/>
  <c r="B272" i="38"/>
  <c r="M271" i="38"/>
  <c r="L271" i="38"/>
  <c r="K271" i="38"/>
  <c r="J271" i="38"/>
  <c r="I271" i="38"/>
  <c r="H271" i="38"/>
  <c r="G271" i="38"/>
  <c r="F271" i="38"/>
  <c r="E271" i="38"/>
  <c r="D271" i="38"/>
  <c r="C271" i="38"/>
  <c r="B271" i="38"/>
  <c r="M270" i="38"/>
  <c r="L270" i="38"/>
  <c r="K270" i="38"/>
  <c r="J270" i="38"/>
  <c r="I270" i="38"/>
  <c r="H270" i="38"/>
  <c r="G270" i="38"/>
  <c r="F270" i="38"/>
  <c r="E270" i="38"/>
  <c r="D270" i="38"/>
  <c r="C270" i="38"/>
  <c r="B270" i="38"/>
  <c r="M269" i="38"/>
  <c r="L269" i="38"/>
  <c r="K269" i="38"/>
  <c r="J269" i="38"/>
  <c r="I269" i="38"/>
  <c r="H269" i="38"/>
  <c r="G269" i="38"/>
  <c r="F269" i="38"/>
  <c r="E269" i="38"/>
  <c r="D269" i="38"/>
  <c r="C269" i="38"/>
  <c r="B269" i="38"/>
  <c r="M268" i="38"/>
  <c r="L268" i="38"/>
  <c r="K268" i="38"/>
  <c r="J268" i="38"/>
  <c r="I268" i="38"/>
  <c r="H268" i="38"/>
  <c r="G268" i="38"/>
  <c r="F268" i="38"/>
  <c r="E268" i="38"/>
  <c r="D268" i="38"/>
  <c r="C268" i="38"/>
  <c r="B268" i="38"/>
  <c r="M267" i="38"/>
  <c r="L267" i="38"/>
  <c r="K267" i="38"/>
  <c r="J267" i="38"/>
  <c r="I267" i="38"/>
  <c r="H267" i="38"/>
  <c r="G267" i="38"/>
  <c r="F267" i="38"/>
  <c r="E267" i="38"/>
  <c r="D267" i="38"/>
  <c r="C267" i="38"/>
  <c r="B267" i="38"/>
  <c r="M266" i="38"/>
  <c r="L266" i="38"/>
  <c r="K266" i="38"/>
  <c r="J266" i="38"/>
  <c r="I266" i="38"/>
  <c r="H266" i="38"/>
  <c r="G266" i="38"/>
  <c r="F266" i="38"/>
  <c r="E266" i="38"/>
  <c r="D266" i="38"/>
  <c r="C266" i="38"/>
  <c r="B266" i="38"/>
  <c r="M265" i="38"/>
  <c r="L265" i="38"/>
  <c r="K265" i="38"/>
  <c r="J265" i="38"/>
  <c r="I265" i="38"/>
  <c r="H265" i="38"/>
  <c r="G265" i="38"/>
  <c r="F265" i="38"/>
  <c r="E265" i="38"/>
  <c r="D265" i="38"/>
  <c r="C265" i="38"/>
  <c r="B265" i="38"/>
  <c r="M264" i="38"/>
  <c r="L264" i="38"/>
  <c r="K264" i="38"/>
  <c r="J264" i="38"/>
  <c r="I264" i="38"/>
  <c r="H264" i="38"/>
  <c r="G264" i="38"/>
  <c r="F264" i="38"/>
  <c r="E264" i="38"/>
  <c r="D264" i="38"/>
  <c r="C264" i="38"/>
  <c r="B264" i="38"/>
  <c r="M263" i="38"/>
  <c r="L263" i="38"/>
  <c r="K263" i="38"/>
  <c r="J263" i="38"/>
  <c r="I263" i="38"/>
  <c r="H263" i="38"/>
  <c r="G263" i="38"/>
  <c r="F263" i="38"/>
  <c r="E263" i="38"/>
  <c r="D263" i="38"/>
  <c r="C263" i="38"/>
  <c r="B263" i="38"/>
  <c r="M262" i="38"/>
  <c r="L262" i="38"/>
  <c r="K262" i="38"/>
  <c r="J262" i="38"/>
  <c r="I262" i="38"/>
  <c r="H262" i="38"/>
  <c r="G262" i="38"/>
  <c r="F262" i="38"/>
  <c r="E262" i="38"/>
  <c r="D262" i="38"/>
  <c r="C262" i="38"/>
  <c r="B262" i="38"/>
  <c r="M261" i="38"/>
  <c r="L261" i="38"/>
  <c r="K261" i="38"/>
  <c r="J261" i="38"/>
  <c r="I261" i="38"/>
  <c r="H261" i="38"/>
  <c r="G261" i="38"/>
  <c r="F261" i="38"/>
  <c r="E261" i="38"/>
  <c r="D261" i="38"/>
  <c r="C261" i="38"/>
  <c r="B261" i="38"/>
  <c r="M260" i="38"/>
  <c r="L260" i="38"/>
  <c r="K260" i="38"/>
  <c r="J260" i="38"/>
  <c r="I260" i="38"/>
  <c r="H260" i="38"/>
  <c r="G260" i="38"/>
  <c r="F260" i="38"/>
  <c r="E260" i="38"/>
  <c r="D260" i="38"/>
  <c r="C260" i="38"/>
  <c r="B260" i="38"/>
  <c r="M259" i="38"/>
  <c r="L259" i="38"/>
  <c r="K259" i="38"/>
  <c r="J259" i="38"/>
  <c r="I259" i="38"/>
  <c r="H259" i="38"/>
  <c r="G259" i="38"/>
  <c r="F259" i="38"/>
  <c r="E259" i="38"/>
  <c r="D259" i="38"/>
  <c r="C259" i="38"/>
  <c r="B259" i="38"/>
  <c r="M258" i="38"/>
  <c r="L258" i="38"/>
  <c r="K258" i="38"/>
  <c r="J258" i="38"/>
  <c r="I258" i="38"/>
  <c r="H258" i="38"/>
  <c r="G258" i="38"/>
  <c r="F258" i="38"/>
  <c r="E258" i="38"/>
  <c r="D258" i="38"/>
  <c r="C258" i="38"/>
  <c r="B258" i="38"/>
  <c r="M257" i="38"/>
  <c r="L257" i="38"/>
  <c r="K257" i="38"/>
  <c r="J257" i="38"/>
  <c r="I257" i="38"/>
  <c r="H257" i="38"/>
  <c r="G257" i="38"/>
  <c r="F257" i="38"/>
  <c r="E257" i="38"/>
  <c r="D257" i="38"/>
  <c r="C257" i="38"/>
  <c r="B257" i="38"/>
  <c r="M256" i="38"/>
  <c r="L256" i="38"/>
  <c r="K256" i="38"/>
  <c r="J256" i="38"/>
  <c r="I256" i="38"/>
  <c r="H256" i="38"/>
  <c r="G256" i="38"/>
  <c r="F256" i="38"/>
  <c r="E256" i="38"/>
  <c r="D256" i="38"/>
  <c r="C256" i="38"/>
  <c r="B256" i="38"/>
  <c r="M255" i="38"/>
  <c r="L255" i="38"/>
  <c r="K255" i="38"/>
  <c r="J255" i="38"/>
  <c r="I255" i="38"/>
  <c r="H255" i="38"/>
  <c r="G255" i="38"/>
  <c r="F255" i="38"/>
  <c r="E255" i="38"/>
  <c r="D255" i="38"/>
  <c r="C255" i="38"/>
  <c r="B255" i="38"/>
  <c r="M254" i="38"/>
  <c r="L254" i="38"/>
  <c r="K254" i="38"/>
  <c r="J254" i="38"/>
  <c r="I254" i="38"/>
  <c r="H254" i="38"/>
  <c r="G254" i="38"/>
  <c r="F254" i="38"/>
  <c r="E254" i="38"/>
  <c r="D254" i="38"/>
  <c r="C254" i="38"/>
  <c r="B254" i="38"/>
  <c r="M253" i="38"/>
  <c r="L253" i="38"/>
  <c r="K253" i="38"/>
  <c r="J253" i="38"/>
  <c r="I253" i="38"/>
  <c r="H253" i="38"/>
  <c r="G253" i="38"/>
  <c r="F253" i="38"/>
  <c r="E253" i="38"/>
  <c r="D253" i="38"/>
  <c r="C253" i="38"/>
  <c r="B253" i="38"/>
  <c r="M252" i="38"/>
  <c r="L252" i="38"/>
  <c r="K252" i="38"/>
  <c r="J252" i="38"/>
  <c r="I252" i="38"/>
  <c r="H252" i="38"/>
  <c r="G252" i="38"/>
  <c r="F252" i="38"/>
  <c r="E252" i="38"/>
  <c r="D252" i="38"/>
  <c r="C252" i="38"/>
  <c r="B252" i="38"/>
  <c r="M251" i="38"/>
  <c r="L251" i="38"/>
  <c r="K251" i="38"/>
  <c r="J251" i="38"/>
  <c r="I251" i="38"/>
  <c r="H251" i="38"/>
  <c r="G251" i="38"/>
  <c r="F251" i="38"/>
  <c r="E251" i="38"/>
  <c r="D251" i="38"/>
  <c r="C251" i="38"/>
  <c r="B251" i="38"/>
  <c r="M250" i="38"/>
  <c r="L250" i="38"/>
  <c r="K250" i="38"/>
  <c r="J250" i="38"/>
  <c r="I250" i="38"/>
  <c r="H250" i="38"/>
  <c r="G250" i="38"/>
  <c r="F250" i="38"/>
  <c r="E250" i="38"/>
  <c r="D250" i="38"/>
  <c r="C250" i="38"/>
  <c r="B250" i="38"/>
  <c r="M249" i="38"/>
  <c r="L249" i="38"/>
  <c r="K249" i="38"/>
  <c r="J249" i="38"/>
  <c r="I249" i="38"/>
  <c r="H249" i="38"/>
  <c r="G249" i="38"/>
  <c r="F249" i="38"/>
  <c r="E249" i="38"/>
  <c r="D249" i="38"/>
  <c r="C249" i="38"/>
  <c r="B249" i="38"/>
  <c r="M248" i="38"/>
  <c r="L248" i="38"/>
  <c r="K248" i="38"/>
  <c r="J248" i="38"/>
  <c r="I248" i="38"/>
  <c r="H248" i="38"/>
  <c r="G248" i="38"/>
  <c r="F248" i="38"/>
  <c r="E248" i="38"/>
  <c r="D248" i="38"/>
  <c r="C248" i="38"/>
  <c r="B248" i="38"/>
  <c r="M247" i="38"/>
  <c r="L247" i="38"/>
  <c r="K247" i="38"/>
  <c r="J247" i="38"/>
  <c r="I247" i="38"/>
  <c r="H247" i="38"/>
  <c r="G247" i="38"/>
  <c r="F247" i="38"/>
  <c r="E247" i="38"/>
  <c r="D247" i="38"/>
  <c r="C247" i="38"/>
  <c r="B247" i="38"/>
  <c r="M246" i="38"/>
  <c r="L246" i="38"/>
  <c r="K246" i="38"/>
  <c r="J246" i="38"/>
  <c r="I246" i="38"/>
  <c r="H246" i="38"/>
  <c r="G246" i="38"/>
  <c r="F246" i="38"/>
  <c r="E246" i="38"/>
  <c r="D246" i="38"/>
  <c r="C246" i="38"/>
  <c r="B246" i="38"/>
  <c r="M245" i="38"/>
  <c r="L245" i="38"/>
  <c r="K245" i="38"/>
  <c r="J245" i="38"/>
  <c r="I245" i="38"/>
  <c r="H245" i="38"/>
  <c r="G245" i="38"/>
  <c r="F245" i="38"/>
  <c r="E245" i="38"/>
  <c r="D245" i="38"/>
  <c r="C245" i="38"/>
  <c r="B245" i="38"/>
  <c r="M244" i="38"/>
  <c r="L244" i="38"/>
  <c r="K244" i="38"/>
  <c r="J244" i="38"/>
  <c r="I244" i="38"/>
  <c r="H244" i="38"/>
  <c r="G244" i="38"/>
  <c r="F244" i="38"/>
  <c r="E244" i="38"/>
  <c r="D244" i="38"/>
  <c r="C244" i="38"/>
  <c r="B244" i="38"/>
  <c r="M243" i="38"/>
  <c r="L243" i="38"/>
  <c r="K243" i="38"/>
  <c r="J243" i="38"/>
  <c r="I243" i="38"/>
  <c r="H243" i="38"/>
  <c r="G243" i="38"/>
  <c r="F243" i="38"/>
  <c r="E243" i="38"/>
  <c r="D243" i="38"/>
  <c r="C243" i="38"/>
  <c r="B243" i="38"/>
  <c r="M242" i="38"/>
  <c r="L242" i="38"/>
  <c r="K242" i="38"/>
  <c r="J242" i="38"/>
  <c r="I242" i="38"/>
  <c r="H242" i="38"/>
  <c r="G242" i="38"/>
  <c r="F242" i="38"/>
  <c r="E242" i="38"/>
  <c r="D242" i="38"/>
  <c r="C242" i="38"/>
  <c r="B242" i="38"/>
  <c r="M241" i="38"/>
  <c r="L241" i="38"/>
  <c r="K241" i="38"/>
  <c r="J241" i="38"/>
  <c r="I241" i="38"/>
  <c r="H241" i="38"/>
  <c r="G241" i="38"/>
  <c r="F241" i="38"/>
  <c r="E241" i="38"/>
  <c r="D241" i="38"/>
  <c r="C241" i="38"/>
  <c r="B241" i="38"/>
  <c r="M240" i="38"/>
  <c r="L240" i="38"/>
  <c r="K240" i="38"/>
  <c r="J240" i="38"/>
  <c r="I240" i="38"/>
  <c r="H240" i="38"/>
  <c r="G240" i="38"/>
  <c r="F240" i="38"/>
  <c r="E240" i="38"/>
  <c r="D240" i="38"/>
  <c r="C240" i="38"/>
  <c r="B240" i="38"/>
  <c r="M239" i="38"/>
  <c r="L239" i="38"/>
  <c r="K239" i="38"/>
  <c r="J239" i="38"/>
  <c r="I239" i="38"/>
  <c r="H239" i="38"/>
  <c r="G239" i="38"/>
  <c r="F239" i="38"/>
  <c r="E239" i="38"/>
  <c r="D239" i="38"/>
  <c r="C239" i="38"/>
  <c r="B239" i="38"/>
  <c r="M238" i="38"/>
  <c r="L238" i="38"/>
  <c r="K238" i="38"/>
  <c r="J238" i="38"/>
  <c r="I238" i="38"/>
  <c r="H238" i="38"/>
  <c r="G238" i="38"/>
  <c r="F238" i="38"/>
  <c r="E238" i="38"/>
  <c r="D238" i="38"/>
  <c r="C238" i="38"/>
  <c r="B238" i="38"/>
  <c r="M237" i="38"/>
  <c r="L237" i="38"/>
  <c r="K237" i="38"/>
  <c r="J237" i="38"/>
  <c r="I237" i="38"/>
  <c r="H237" i="38"/>
  <c r="G237" i="38"/>
  <c r="F237" i="38"/>
  <c r="E237" i="38"/>
  <c r="D237" i="38"/>
  <c r="C237" i="38"/>
  <c r="B237" i="38"/>
  <c r="M236" i="38"/>
  <c r="L236" i="38"/>
  <c r="K236" i="38"/>
  <c r="J236" i="38"/>
  <c r="I236" i="38"/>
  <c r="H236" i="38"/>
  <c r="G236" i="38"/>
  <c r="F236" i="38"/>
  <c r="E236" i="38"/>
  <c r="D236" i="38"/>
  <c r="C236" i="38"/>
  <c r="B236" i="38"/>
  <c r="M235" i="38"/>
  <c r="L235" i="38"/>
  <c r="K235" i="38"/>
  <c r="J235" i="38"/>
  <c r="I235" i="38"/>
  <c r="H235" i="38"/>
  <c r="G235" i="38"/>
  <c r="F235" i="38"/>
  <c r="E235" i="38"/>
  <c r="D235" i="38"/>
  <c r="C235" i="38"/>
  <c r="B235" i="38"/>
  <c r="M234" i="38"/>
  <c r="L234" i="38"/>
  <c r="K234" i="38"/>
  <c r="J234" i="38"/>
  <c r="I234" i="38"/>
  <c r="H234" i="38"/>
  <c r="G234" i="38"/>
  <c r="F234" i="38"/>
  <c r="E234" i="38"/>
  <c r="D234" i="38"/>
  <c r="C234" i="38"/>
  <c r="B234" i="38"/>
  <c r="M233" i="38"/>
  <c r="L233" i="38"/>
  <c r="K233" i="38"/>
  <c r="J233" i="38"/>
  <c r="I233" i="38"/>
  <c r="H233" i="38"/>
  <c r="G233" i="38"/>
  <c r="F233" i="38"/>
  <c r="E233" i="38"/>
  <c r="D233" i="38"/>
  <c r="C233" i="38"/>
  <c r="B233" i="38"/>
  <c r="M232" i="38"/>
  <c r="L232" i="38"/>
  <c r="K232" i="38"/>
  <c r="J232" i="38"/>
  <c r="I232" i="38"/>
  <c r="H232" i="38"/>
  <c r="G232" i="38"/>
  <c r="F232" i="38"/>
  <c r="E232" i="38"/>
  <c r="D232" i="38"/>
  <c r="C232" i="38"/>
  <c r="B232" i="38"/>
  <c r="M231" i="38"/>
  <c r="L231" i="38"/>
  <c r="K231" i="38"/>
  <c r="J231" i="38"/>
  <c r="I231" i="38"/>
  <c r="H231" i="38"/>
  <c r="G231" i="38"/>
  <c r="F231" i="38"/>
  <c r="E231" i="38"/>
  <c r="D231" i="38"/>
  <c r="C231" i="38"/>
  <c r="B231" i="38"/>
  <c r="M230" i="38"/>
  <c r="L230" i="38"/>
  <c r="K230" i="38"/>
  <c r="J230" i="38"/>
  <c r="I230" i="38"/>
  <c r="H230" i="38"/>
  <c r="G230" i="38"/>
  <c r="F230" i="38"/>
  <c r="E230" i="38"/>
  <c r="D230" i="38"/>
  <c r="C230" i="38"/>
  <c r="B230" i="38"/>
  <c r="M229" i="38"/>
  <c r="L229" i="38"/>
  <c r="K229" i="38"/>
  <c r="J229" i="38"/>
  <c r="I229" i="38"/>
  <c r="H229" i="38"/>
  <c r="G229" i="38"/>
  <c r="F229" i="38"/>
  <c r="E229" i="38"/>
  <c r="D229" i="38"/>
  <c r="C229" i="38"/>
  <c r="B229" i="38"/>
  <c r="M228" i="38"/>
  <c r="L228" i="38"/>
  <c r="K228" i="38"/>
  <c r="J228" i="38"/>
  <c r="I228" i="38"/>
  <c r="H228" i="38"/>
  <c r="G228" i="38"/>
  <c r="F228" i="38"/>
  <c r="E228" i="38"/>
  <c r="D228" i="38"/>
  <c r="C228" i="38"/>
  <c r="B228" i="38"/>
  <c r="M227" i="38"/>
  <c r="L227" i="38"/>
  <c r="K227" i="38"/>
  <c r="J227" i="38"/>
  <c r="I227" i="38"/>
  <c r="H227" i="38"/>
  <c r="G227" i="38"/>
  <c r="F227" i="38"/>
  <c r="E227" i="38"/>
  <c r="D227" i="38"/>
  <c r="C227" i="38"/>
  <c r="B227" i="38"/>
  <c r="M226" i="38"/>
  <c r="L226" i="38"/>
  <c r="K226" i="38"/>
  <c r="J226" i="38"/>
  <c r="I226" i="38"/>
  <c r="H226" i="38"/>
  <c r="G226" i="38"/>
  <c r="F226" i="38"/>
  <c r="E226" i="38"/>
  <c r="D226" i="38"/>
  <c r="C226" i="38"/>
  <c r="B226" i="38"/>
  <c r="M225" i="38"/>
  <c r="L225" i="38"/>
  <c r="K225" i="38"/>
  <c r="J225" i="38"/>
  <c r="I225" i="38"/>
  <c r="H225" i="38"/>
  <c r="G225" i="38"/>
  <c r="F225" i="38"/>
  <c r="E225" i="38"/>
  <c r="D225" i="38"/>
  <c r="C225" i="38"/>
  <c r="B225" i="38"/>
  <c r="M224" i="38"/>
  <c r="L224" i="38"/>
  <c r="K224" i="38"/>
  <c r="J224" i="38"/>
  <c r="I224" i="38"/>
  <c r="H224" i="38"/>
  <c r="G224" i="38"/>
  <c r="F224" i="38"/>
  <c r="E224" i="38"/>
  <c r="D224" i="38"/>
  <c r="C224" i="38"/>
  <c r="B224" i="38"/>
  <c r="M223" i="38"/>
  <c r="L223" i="38"/>
  <c r="K223" i="38"/>
  <c r="J223" i="38"/>
  <c r="I223" i="38"/>
  <c r="H223" i="38"/>
  <c r="G223" i="38"/>
  <c r="F223" i="38"/>
  <c r="E223" i="38"/>
  <c r="D223" i="38"/>
  <c r="C223" i="38"/>
  <c r="B223" i="38"/>
  <c r="M222" i="38"/>
  <c r="L222" i="38"/>
  <c r="K222" i="38"/>
  <c r="J222" i="38"/>
  <c r="I222" i="38"/>
  <c r="H222" i="38"/>
  <c r="G222" i="38"/>
  <c r="F222" i="38"/>
  <c r="E222" i="38"/>
  <c r="D222" i="38"/>
  <c r="C222" i="38"/>
  <c r="B222" i="38"/>
  <c r="M221" i="38"/>
  <c r="L221" i="38"/>
  <c r="K221" i="38"/>
  <c r="J221" i="38"/>
  <c r="I221" i="38"/>
  <c r="H221" i="38"/>
  <c r="G221" i="38"/>
  <c r="F221" i="38"/>
  <c r="E221" i="38"/>
  <c r="D221" i="38"/>
  <c r="C221" i="38"/>
  <c r="B221" i="38"/>
  <c r="M220" i="38"/>
  <c r="L220" i="38"/>
  <c r="K220" i="38"/>
  <c r="J220" i="38"/>
  <c r="I220" i="38"/>
  <c r="H220" i="38"/>
  <c r="G220" i="38"/>
  <c r="F220" i="38"/>
  <c r="E220" i="38"/>
  <c r="D220" i="38"/>
  <c r="C220" i="38"/>
  <c r="B220" i="38"/>
  <c r="M219" i="38"/>
  <c r="L219" i="38"/>
  <c r="K219" i="38"/>
  <c r="J219" i="38"/>
  <c r="I219" i="38"/>
  <c r="H219" i="38"/>
  <c r="G219" i="38"/>
  <c r="F219" i="38"/>
  <c r="E219" i="38"/>
  <c r="D219" i="38"/>
  <c r="C219" i="38"/>
  <c r="B219" i="38"/>
  <c r="M218" i="38"/>
  <c r="L218" i="38"/>
  <c r="K218" i="38"/>
  <c r="J218" i="38"/>
  <c r="I218" i="38"/>
  <c r="H218" i="38"/>
  <c r="G218" i="38"/>
  <c r="F218" i="38"/>
  <c r="E218" i="38"/>
  <c r="D218" i="38"/>
  <c r="C218" i="38"/>
  <c r="B218" i="38"/>
  <c r="M217" i="38"/>
  <c r="L217" i="38"/>
  <c r="K217" i="38"/>
  <c r="J217" i="38"/>
  <c r="I217" i="38"/>
  <c r="H217" i="38"/>
  <c r="G217" i="38"/>
  <c r="F217" i="38"/>
  <c r="E217" i="38"/>
  <c r="D217" i="38"/>
  <c r="C217" i="38"/>
  <c r="B217" i="38"/>
  <c r="M216" i="38"/>
  <c r="L216" i="38"/>
  <c r="K216" i="38"/>
  <c r="J216" i="38"/>
  <c r="I216" i="38"/>
  <c r="H216" i="38"/>
  <c r="G216" i="38"/>
  <c r="F216" i="38"/>
  <c r="E216" i="38"/>
  <c r="D216" i="38"/>
  <c r="C216" i="38"/>
  <c r="B216" i="38"/>
  <c r="M215" i="38"/>
  <c r="L215" i="38"/>
  <c r="K215" i="38"/>
  <c r="J215" i="38"/>
  <c r="I215" i="38"/>
  <c r="H215" i="38"/>
  <c r="G215" i="38"/>
  <c r="F215" i="38"/>
  <c r="E215" i="38"/>
  <c r="D215" i="38"/>
  <c r="C215" i="38"/>
  <c r="B215" i="38"/>
  <c r="M214" i="38"/>
  <c r="L214" i="38"/>
  <c r="K214" i="38"/>
  <c r="J214" i="38"/>
  <c r="I214" i="38"/>
  <c r="H214" i="38"/>
  <c r="G214" i="38"/>
  <c r="F214" i="38"/>
  <c r="E214" i="38"/>
  <c r="D214" i="38"/>
  <c r="C214" i="38"/>
  <c r="B214" i="38"/>
  <c r="M213" i="38"/>
  <c r="L213" i="38"/>
  <c r="K213" i="38"/>
  <c r="J213" i="38"/>
  <c r="I213" i="38"/>
  <c r="H213" i="38"/>
  <c r="G213" i="38"/>
  <c r="F213" i="38"/>
  <c r="E213" i="38"/>
  <c r="D213" i="38"/>
  <c r="C213" i="38"/>
  <c r="B213" i="38"/>
  <c r="M212" i="38"/>
  <c r="L212" i="38"/>
  <c r="K212" i="38"/>
  <c r="J212" i="38"/>
  <c r="I212" i="38"/>
  <c r="H212" i="38"/>
  <c r="G212" i="38"/>
  <c r="F212" i="38"/>
  <c r="E212" i="38"/>
  <c r="D212" i="38"/>
  <c r="C212" i="38"/>
  <c r="B212" i="38"/>
  <c r="M211" i="38"/>
  <c r="L211" i="38"/>
  <c r="K211" i="38"/>
  <c r="J211" i="38"/>
  <c r="I211" i="38"/>
  <c r="H211" i="38"/>
  <c r="G211" i="38"/>
  <c r="F211" i="38"/>
  <c r="E211" i="38"/>
  <c r="D211" i="38"/>
  <c r="C211" i="38"/>
  <c r="B211" i="38"/>
  <c r="M210" i="38"/>
  <c r="L210" i="38"/>
  <c r="K210" i="38"/>
  <c r="J210" i="38"/>
  <c r="I210" i="38"/>
  <c r="H210" i="38"/>
  <c r="G210" i="38"/>
  <c r="F210" i="38"/>
  <c r="E210" i="38"/>
  <c r="D210" i="38"/>
  <c r="C210" i="38"/>
  <c r="B210" i="38"/>
  <c r="M209" i="38"/>
  <c r="L209" i="38"/>
  <c r="K209" i="38"/>
  <c r="J209" i="38"/>
  <c r="I209" i="38"/>
  <c r="H209" i="38"/>
  <c r="G209" i="38"/>
  <c r="F209" i="38"/>
  <c r="E209" i="38"/>
  <c r="D209" i="38"/>
  <c r="C209" i="38"/>
  <c r="B209" i="38"/>
  <c r="M208" i="38"/>
  <c r="L208" i="38"/>
  <c r="K208" i="38"/>
  <c r="J208" i="38"/>
  <c r="I208" i="38"/>
  <c r="H208" i="38"/>
  <c r="G208" i="38"/>
  <c r="F208" i="38"/>
  <c r="E208" i="38"/>
  <c r="D208" i="38"/>
  <c r="C208" i="38"/>
  <c r="B208" i="38"/>
  <c r="M207" i="38"/>
  <c r="L207" i="38"/>
  <c r="K207" i="38"/>
  <c r="J207" i="38"/>
  <c r="I207" i="38"/>
  <c r="H207" i="38"/>
  <c r="G207" i="38"/>
  <c r="F207" i="38"/>
  <c r="E207" i="38"/>
  <c r="D207" i="38"/>
  <c r="C207" i="38"/>
  <c r="B207" i="38"/>
  <c r="M206" i="38"/>
  <c r="L206" i="38"/>
  <c r="K206" i="38"/>
  <c r="J206" i="38"/>
  <c r="I206" i="38"/>
  <c r="H206" i="38"/>
  <c r="G206" i="38"/>
  <c r="F206" i="38"/>
  <c r="E206" i="38"/>
  <c r="D206" i="38"/>
  <c r="C206" i="38"/>
  <c r="B206" i="38"/>
  <c r="M205" i="38"/>
  <c r="L205" i="38"/>
  <c r="K205" i="38"/>
  <c r="J205" i="38"/>
  <c r="I205" i="38"/>
  <c r="H205" i="38"/>
  <c r="G205" i="38"/>
  <c r="F205" i="38"/>
  <c r="E205" i="38"/>
  <c r="D205" i="38"/>
  <c r="C205" i="38"/>
  <c r="B205" i="38"/>
  <c r="M204" i="38"/>
  <c r="L204" i="38"/>
  <c r="K204" i="38"/>
  <c r="J204" i="38"/>
  <c r="I204" i="38"/>
  <c r="H204" i="38"/>
  <c r="G204" i="38"/>
  <c r="F204" i="38"/>
  <c r="E204" i="38"/>
  <c r="D204" i="38"/>
  <c r="C204" i="38"/>
  <c r="B204" i="38"/>
  <c r="M203" i="38"/>
  <c r="L203" i="38"/>
  <c r="K203" i="38"/>
  <c r="J203" i="38"/>
  <c r="I203" i="38"/>
  <c r="H203" i="38"/>
  <c r="G203" i="38"/>
  <c r="F203" i="38"/>
  <c r="E203" i="38"/>
  <c r="D203" i="38"/>
  <c r="C203" i="38"/>
  <c r="B203" i="38"/>
  <c r="M202" i="38"/>
  <c r="L202" i="38"/>
  <c r="K202" i="38"/>
  <c r="J202" i="38"/>
  <c r="I202" i="38"/>
  <c r="H202" i="38"/>
  <c r="G202" i="38"/>
  <c r="F202" i="38"/>
  <c r="E202" i="38"/>
  <c r="D202" i="38"/>
  <c r="C202" i="38"/>
  <c r="B202" i="38"/>
  <c r="M201" i="38"/>
  <c r="L201" i="38"/>
  <c r="K201" i="38"/>
  <c r="J201" i="38"/>
  <c r="I201" i="38"/>
  <c r="H201" i="38"/>
  <c r="G201" i="38"/>
  <c r="F201" i="38"/>
  <c r="E201" i="38"/>
  <c r="D201" i="38"/>
  <c r="C201" i="38"/>
  <c r="B201" i="38"/>
  <c r="M200" i="38"/>
  <c r="L200" i="38"/>
  <c r="K200" i="38"/>
  <c r="J200" i="38"/>
  <c r="I200" i="38"/>
  <c r="H200" i="38"/>
  <c r="G200" i="38"/>
  <c r="F200" i="38"/>
  <c r="E200" i="38"/>
  <c r="D200" i="38"/>
  <c r="C200" i="38"/>
  <c r="B200" i="38"/>
  <c r="M199" i="38"/>
  <c r="L199" i="38"/>
  <c r="K199" i="38"/>
  <c r="J199" i="38"/>
  <c r="I199" i="38"/>
  <c r="H199" i="38"/>
  <c r="G199" i="38"/>
  <c r="F199" i="38"/>
  <c r="E199" i="38"/>
  <c r="D199" i="38"/>
  <c r="C199" i="38"/>
  <c r="B199" i="38"/>
  <c r="M198" i="38"/>
  <c r="L198" i="38"/>
  <c r="K198" i="38"/>
  <c r="J198" i="38"/>
  <c r="I198" i="38"/>
  <c r="H198" i="38"/>
  <c r="G198" i="38"/>
  <c r="F198" i="38"/>
  <c r="E198" i="38"/>
  <c r="D198" i="38"/>
  <c r="C198" i="38"/>
  <c r="B198" i="38"/>
  <c r="M197" i="38"/>
  <c r="L197" i="38"/>
  <c r="K197" i="38"/>
  <c r="J197" i="38"/>
  <c r="I197" i="38"/>
  <c r="H197" i="38"/>
  <c r="G197" i="38"/>
  <c r="F197" i="38"/>
  <c r="E197" i="38"/>
  <c r="D197" i="38"/>
  <c r="C197" i="38"/>
  <c r="B197" i="38"/>
  <c r="M196" i="38"/>
  <c r="L196" i="38"/>
  <c r="K196" i="38"/>
  <c r="J196" i="38"/>
  <c r="I196" i="38"/>
  <c r="H196" i="38"/>
  <c r="G196" i="38"/>
  <c r="F196" i="38"/>
  <c r="E196" i="38"/>
  <c r="D196" i="38"/>
  <c r="C196" i="38"/>
  <c r="B196" i="38"/>
  <c r="M195" i="38"/>
  <c r="L195" i="38"/>
  <c r="K195" i="38"/>
  <c r="J195" i="38"/>
  <c r="I195" i="38"/>
  <c r="H195" i="38"/>
  <c r="G195" i="38"/>
  <c r="F195" i="38"/>
  <c r="E195" i="38"/>
  <c r="D195" i="38"/>
  <c r="C195" i="38"/>
  <c r="B195" i="38"/>
  <c r="M194" i="38"/>
  <c r="L194" i="38"/>
  <c r="K194" i="38"/>
  <c r="J194" i="38"/>
  <c r="I194" i="38"/>
  <c r="H194" i="38"/>
  <c r="G194" i="38"/>
  <c r="F194" i="38"/>
  <c r="E194" i="38"/>
  <c r="D194" i="38"/>
  <c r="C194" i="38"/>
  <c r="B194" i="38"/>
  <c r="M193" i="38"/>
  <c r="L193" i="38"/>
  <c r="K193" i="38"/>
  <c r="J193" i="38"/>
  <c r="I193" i="38"/>
  <c r="H193" i="38"/>
  <c r="G193" i="38"/>
  <c r="F193" i="38"/>
  <c r="E193" i="38"/>
  <c r="D193" i="38"/>
  <c r="C193" i="38"/>
  <c r="B193" i="38"/>
  <c r="M192" i="38"/>
  <c r="L192" i="38"/>
  <c r="K192" i="38"/>
  <c r="J192" i="38"/>
  <c r="I192" i="38"/>
  <c r="H192" i="38"/>
  <c r="G192" i="38"/>
  <c r="F192" i="38"/>
  <c r="E192" i="38"/>
  <c r="D192" i="38"/>
  <c r="C192" i="38"/>
  <c r="B192" i="38"/>
  <c r="M191" i="38"/>
  <c r="L191" i="38"/>
  <c r="K191" i="38"/>
  <c r="J191" i="38"/>
  <c r="I191" i="38"/>
  <c r="H191" i="38"/>
  <c r="G191" i="38"/>
  <c r="F191" i="38"/>
  <c r="E191" i="38"/>
  <c r="D191" i="38"/>
  <c r="C191" i="38"/>
  <c r="B191" i="38"/>
  <c r="M190" i="38"/>
  <c r="L190" i="38"/>
  <c r="K190" i="38"/>
  <c r="J190" i="38"/>
  <c r="I190" i="38"/>
  <c r="H190" i="38"/>
  <c r="G190" i="38"/>
  <c r="F190" i="38"/>
  <c r="E190" i="38"/>
  <c r="D190" i="38"/>
  <c r="C190" i="38"/>
  <c r="B190" i="38"/>
  <c r="M189" i="38"/>
  <c r="L189" i="38"/>
  <c r="K189" i="38"/>
  <c r="J189" i="38"/>
  <c r="I189" i="38"/>
  <c r="H189" i="38"/>
  <c r="G189" i="38"/>
  <c r="F189" i="38"/>
  <c r="E189" i="38"/>
  <c r="D189" i="38"/>
  <c r="C189" i="38"/>
  <c r="B189" i="38"/>
  <c r="M188" i="38"/>
  <c r="L188" i="38"/>
  <c r="K188" i="38"/>
  <c r="J188" i="38"/>
  <c r="I188" i="38"/>
  <c r="H188" i="38"/>
  <c r="G188" i="38"/>
  <c r="F188" i="38"/>
  <c r="E188" i="38"/>
  <c r="D188" i="38"/>
  <c r="C188" i="38"/>
  <c r="B188" i="38"/>
  <c r="M187" i="38"/>
  <c r="L187" i="38"/>
  <c r="K187" i="38"/>
  <c r="J187" i="38"/>
  <c r="I187" i="38"/>
  <c r="H187" i="38"/>
  <c r="G187" i="38"/>
  <c r="F187" i="38"/>
  <c r="E187" i="38"/>
  <c r="D187" i="38"/>
  <c r="C187" i="38"/>
  <c r="B187" i="38"/>
  <c r="M186" i="38"/>
  <c r="L186" i="38"/>
  <c r="K186" i="38"/>
  <c r="J186" i="38"/>
  <c r="I186" i="38"/>
  <c r="H186" i="38"/>
  <c r="G186" i="38"/>
  <c r="F186" i="38"/>
  <c r="E186" i="38"/>
  <c r="D186" i="38"/>
  <c r="C186" i="38"/>
  <c r="B186" i="38"/>
  <c r="M185" i="38"/>
  <c r="L185" i="38"/>
  <c r="K185" i="38"/>
  <c r="J185" i="38"/>
  <c r="I185" i="38"/>
  <c r="H185" i="38"/>
  <c r="G185" i="38"/>
  <c r="F185" i="38"/>
  <c r="E185" i="38"/>
  <c r="D185" i="38"/>
  <c r="C185" i="38"/>
  <c r="B185" i="38"/>
  <c r="M184" i="38"/>
  <c r="L184" i="38"/>
  <c r="K184" i="38"/>
  <c r="J184" i="38"/>
  <c r="I184" i="38"/>
  <c r="H184" i="38"/>
  <c r="G184" i="38"/>
  <c r="F184" i="38"/>
  <c r="E184" i="38"/>
  <c r="D184" i="38"/>
  <c r="C184" i="38"/>
  <c r="B184" i="38"/>
  <c r="M183" i="38"/>
  <c r="L183" i="38"/>
  <c r="K183" i="38"/>
  <c r="J183" i="38"/>
  <c r="I183" i="38"/>
  <c r="H183" i="38"/>
  <c r="G183" i="38"/>
  <c r="F183" i="38"/>
  <c r="E183" i="38"/>
  <c r="D183" i="38"/>
  <c r="C183" i="38"/>
  <c r="B183" i="38"/>
  <c r="M182" i="38"/>
  <c r="L182" i="38"/>
  <c r="K182" i="38"/>
  <c r="J182" i="38"/>
  <c r="I182" i="38"/>
  <c r="H182" i="38"/>
  <c r="G182" i="38"/>
  <c r="F182" i="38"/>
  <c r="E182" i="38"/>
  <c r="D182" i="38"/>
  <c r="C182" i="38"/>
  <c r="B182" i="38"/>
  <c r="M181" i="38"/>
  <c r="L181" i="38"/>
  <c r="K181" i="38"/>
  <c r="J181" i="38"/>
  <c r="I181" i="38"/>
  <c r="H181" i="38"/>
  <c r="G181" i="38"/>
  <c r="F181" i="38"/>
  <c r="E181" i="38"/>
  <c r="D181" i="38"/>
  <c r="C181" i="38"/>
  <c r="B181" i="38"/>
  <c r="M180" i="38"/>
  <c r="L180" i="38"/>
  <c r="K180" i="38"/>
  <c r="J180" i="38"/>
  <c r="I180" i="38"/>
  <c r="H180" i="38"/>
  <c r="G180" i="38"/>
  <c r="F180" i="38"/>
  <c r="E180" i="38"/>
  <c r="D180" i="38"/>
  <c r="C180" i="38"/>
  <c r="B180" i="38"/>
  <c r="M179" i="38"/>
  <c r="L179" i="38"/>
  <c r="K179" i="38"/>
  <c r="J179" i="38"/>
  <c r="I179" i="38"/>
  <c r="H179" i="38"/>
  <c r="G179" i="38"/>
  <c r="F179" i="38"/>
  <c r="E179" i="38"/>
  <c r="D179" i="38"/>
  <c r="C179" i="38"/>
  <c r="B179" i="38"/>
  <c r="M178" i="38"/>
  <c r="L178" i="38"/>
  <c r="K178" i="38"/>
  <c r="J178" i="38"/>
  <c r="I178" i="38"/>
  <c r="H178" i="38"/>
  <c r="G178" i="38"/>
  <c r="F178" i="38"/>
  <c r="E178" i="38"/>
  <c r="D178" i="38"/>
  <c r="C178" i="38"/>
  <c r="B178" i="38"/>
  <c r="M177" i="38"/>
  <c r="L177" i="38"/>
  <c r="K177" i="38"/>
  <c r="J177" i="38"/>
  <c r="I177" i="38"/>
  <c r="H177" i="38"/>
  <c r="G177" i="38"/>
  <c r="F177" i="38"/>
  <c r="E177" i="38"/>
  <c r="D177" i="38"/>
  <c r="C177" i="38"/>
  <c r="B177" i="38"/>
  <c r="M176" i="38"/>
  <c r="L176" i="38"/>
  <c r="K176" i="38"/>
  <c r="J176" i="38"/>
  <c r="I176" i="38"/>
  <c r="H176" i="38"/>
  <c r="G176" i="38"/>
  <c r="F176" i="38"/>
  <c r="E176" i="38"/>
  <c r="D176" i="38"/>
  <c r="C176" i="38"/>
  <c r="B176" i="38"/>
  <c r="M175" i="38"/>
  <c r="L175" i="38"/>
  <c r="K175" i="38"/>
  <c r="J175" i="38"/>
  <c r="I175" i="38"/>
  <c r="H175" i="38"/>
  <c r="G175" i="38"/>
  <c r="F175" i="38"/>
  <c r="E175" i="38"/>
  <c r="D175" i="38"/>
  <c r="C175" i="38"/>
  <c r="B175" i="38"/>
  <c r="M174" i="38"/>
  <c r="L174" i="38"/>
  <c r="K174" i="38"/>
  <c r="J174" i="38"/>
  <c r="I174" i="38"/>
  <c r="H174" i="38"/>
  <c r="G174" i="38"/>
  <c r="F174" i="38"/>
  <c r="E174" i="38"/>
  <c r="D174" i="38"/>
  <c r="C174" i="38"/>
  <c r="B174" i="38"/>
  <c r="M173" i="38"/>
  <c r="L173" i="38"/>
  <c r="K173" i="38"/>
  <c r="J173" i="38"/>
  <c r="I173" i="38"/>
  <c r="H173" i="38"/>
  <c r="G173" i="38"/>
  <c r="F173" i="38"/>
  <c r="E173" i="38"/>
  <c r="D173" i="38"/>
  <c r="C173" i="38"/>
  <c r="B173" i="38"/>
  <c r="M172" i="38"/>
  <c r="L172" i="38"/>
  <c r="K172" i="38"/>
  <c r="J172" i="38"/>
  <c r="I172" i="38"/>
  <c r="H172" i="38"/>
  <c r="G172" i="38"/>
  <c r="F172" i="38"/>
  <c r="E172" i="38"/>
  <c r="D172" i="38"/>
  <c r="C172" i="38"/>
  <c r="B172" i="38"/>
  <c r="M171" i="38"/>
  <c r="L171" i="38"/>
  <c r="K171" i="38"/>
  <c r="J171" i="38"/>
  <c r="I171" i="38"/>
  <c r="H171" i="38"/>
  <c r="G171" i="38"/>
  <c r="F171" i="38"/>
  <c r="E171" i="38"/>
  <c r="D171" i="38"/>
  <c r="C171" i="38"/>
  <c r="B171" i="38"/>
  <c r="M170" i="38"/>
  <c r="L170" i="38"/>
  <c r="K170" i="38"/>
  <c r="J170" i="38"/>
  <c r="I170" i="38"/>
  <c r="H170" i="38"/>
  <c r="G170" i="38"/>
  <c r="F170" i="38"/>
  <c r="E170" i="38"/>
  <c r="D170" i="38"/>
  <c r="C170" i="38"/>
  <c r="B170" i="38"/>
  <c r="M169" i="38"/>
  <c r="L169" i="38"/>
  <c r="K169" i="38"/>
  <c r="J169" i="38"/>
  <c r="I169" i="38"/>
  <c r="H169" i="38"/>
  <c r="G169" i="38"/>
  <c r="F169" i="38"/>
  <c r="E169" i="38"/>
  <c r="D169" i="38"/>
  <c r="C169" i="38"/>
  <c r="B169" i="38"/>
  <c r="M168" i="38"/>
  <c r="L168" i="38"/>
  <c r="K168" i="38"/>
  <c r="J168" i="38"/>
  <c r="I168" i="38"/>
  <c r="H168" i="38"/>
  <c r="G168" i="38"/>
  <c r="F168" i="38"/>
  <c r="E168" i="38"/>
  <c r="D168" i="38"/>
  <c r="C168" i="38"/>
  <c r="B168" i="38"/>
  <c r="M167" i="38"/>
  <c r="L167" i="38"/>
  <c r="K167" i="38"/>
  <c r="J167" i="38"/>
  <c r="I167" i="38"/>
  <c r="H167" i="38"/>
  <c r="G167" i="38"/>
  <c r="F167" i="38"/>
  <c r="E167" i="38"/>
  <c r="D167" i="38"/>
  <c r="C167" i="38"/>
  <c r="B167" i="38"/>
  <c r="M166" i="38"/>
  <c r="L166" i="38"/>
  <c r="K166" i="38"/>
  <c r="J166" i="38"/>
  <c r="I166" i="38"/>
  <c r="H166" i="38"/>
  <c r="G166" i="38"/>
  <c r="F166" i="38"/>
  <c r="E166" i="38"/>
  <c r="D166" i="38"/>
  <c r="C166" i="38"/>
  <c r="B166" i="38"/>
  <c r="M165" i="38"/>
  <c r="L165" i="38"/>
  <c r="K165" i="38"/>
  <c r="J165" i="38"/>
  <c r="I165" i="38"/>
  <c r="H165" i="38"/>
  <c r="G165" i="38"/>
  <c r="F165" i="38"/>
  <c r="E165" i="38"/>
  <c r="D165" i="38"/>
  <c r="C165" i="38"/>
  <c r="B165" i="38"/>
  <c r="M164" i="38"/>
  <c r="L164" i="38"/>
  <c r="K164" i="38"/>
  <c r="J164" i="38"/>
  <c r="I164" i="38"/>
  <c r="H164" i="38"/>
  <c r="G164" i="38"/>
  <c r="F164" i="38"/>
  <c r="E164" i="38"/>
  <c r="D164" i="38"/>
  <c r="C164" i="38"/>
  <c r="B164" i="38"/>
  <c r="M163" i="38"/>
  <c r="L163" i="38"/>
  <c r="K163" i="38"/>
  <c r="J163" i="38"/>
  <c r="I163" i="38"/>
  <c r="H163" i="38"/>
  <c r="G163" i="38"/>
  <c r="F163" i="38"/>
  <c r="E163" i="38"/>
  <c r="D163" i="38"/>
  <c r="C163" i="38"/>
  <c r="B163" i="38"/>
  <c r="M162" i="38"/>
  <c r="L162" i="38"/>
  <c r="K162" i="38"/>
  <c r="J162" i="38"/>
  <c r="I162" i="38"/>
  <c r="H162" i="38"/>
  <c r="G162" i="38"/>
  <c r="F162" i="38"/>
  <c r="E162" i="38"/>
  <c r="D162" i="38"/>
  <c r="C162" i="38"/>
  <c r="B162" i="38"/>
  <c r="M161" i="38"/>
  <c r="L161" i="38"/>
  <c r="K161" i="38"/>
  <c r="J161" i="38"/>
  <c r="I161" i="38"/>
  <c r="H161" i="38"/>
  <c r="G161" i="38"/>
  <c r="F161" i="38"/>
  <c r="E161" i="38"/>
  <c r="D161" i="38"/>
  <c r="C161" i="38"/>
  <c r="B161" i="38"/>
  <c r="M160" i="38"/>
  <c r="L160" i="38"/>
  <c r="K160" i="38"/>
  <c r="J160" i="38"/>
  <c r="I160" i="38"/>
  <c r="H160" i="38"/>
  <c r="G160" i="38"/>
  <c r="F160" i="38"/>
  <c r="E160" i="38"/>
  <c r="D160" i="38"/>
  <c r="C160" i="38"/>
  <c r="B160" i="38"/>
  <c r="M159" i="38"/>
  <c r="L159" i="38"/>
  <c r="K159" i="38"/>
  <c r="J159" i="38"/>
  <c r="I159" i="38"/>
  <c r="H159" i="38"/>
  <c r="G159" i="38"/>
  <c r="F159" i="38"/>
  <c r="E159" i="38"/>
  <c r="D159" i="38"/>
  <c r="C159" i="38"/>
  <c r="B159" i="38"/>
  <c r="M158" i="38"/>
  <c r="L158" i="38"/>
  <c r="K158" i="38"/>
  <c r="J158" i="38"/>
  <c r="I158" i="38"/>
  <c r="H158" i="38"/>
  <c r="G158" i="38"/>
  <c r="F158" i="38"/>
  <c r="E158" i="38"/>
  <c r="D158" i="38"/>
  <c r="C158" i="38"/>
  <c r="B158" i="38"/>
  <c r="M157" i="38"/>
  <c r="L157" i="38"/>
  <c r="K157" i="38"/>
  <c r="J157" i="38"/>
  <c r="I157" i="38"/>
  <c r="H157" i="38"/>
  <c r="G157" i="38"/>
  <c r="F157" i="38"/>
  <c r="E157" i="38"/>
  <c r="D157" i="38"/>
  <c r="C157" i="38"/>
  <c r="B157" i="38"/>
  <c r="M156" i="38"/>
  <c r="L156" i="38"/>
  <c r="K156" i="38"/>
  <c r="J156" i="38"/>
  <c r="I156" i="38"/>
  <c r="H156" i="38"/>
  <c r="G156" i="38"/>
  <c r="F156" i="38"/>
  <c r="E156" i="38"/>
  <c r="D156" i="38"/>
  <c r="C156" i="38"/>
  <c r="B156" i="38"/>
  <c r="M155" i="38"/>
  <c r="L155" i="38"/>
  <c r="K155" i="38"/>
  <c r="J155" i="38"/>
  <c r="I155" i="38"/>
  <c r="H155" i="38"/>
  <c r="G155" i="38"/>
  <c r="F155" i="38"/>
  <c r="E155" i="38"/>
  <c r="D155" i="38"/>
  <c r="C155" i="38"/>
  <c r="B155" i="38"/>
  <c r="M154" i="38"/>
  <c r="L154" i="38"/>
  <c r="K154" i="38"/>
  <c r="J154" i="38"/>
  <c r="I154" i="38"/>
  <c r="H154" i="38"/>
  <c r="G154" i="38"/>
  <c r="F154" i="38"/>
  <c r="E154" i="38"/>
  <c r="D154" i="38"/>
  <c r="C154" i="38"/>
  <c r="B154" i="38"/>
  <c r="M153" i="38"/>
  <c r="L153" i="38"/>
  <c r="K153" i="38"/>
  <c r="J153" i="38"/>
  <c r="I153" i="38"/>
  <c r="H153" i="38"/>
  <c r="G153" i="38"/>
  <c r="F153" i="38"/>
  <c r="E153" i="38"/>
  <c r="D153" i="38"/>
  <c r="C153" i="38"/>
  <c r="B153" i="38"/>
  <c r="M152" i="38"/>
  <c r="L152" i="38"/>
  <c r="K152" i="38"/>
  <c r="J152" i="38"/>
  <c r="I152" i="38"/>
  <c r="H152" i="38"/>
  <c r="G152" i="38"/>
  <c r="F152" i="38"/>
  <c r="E152" i="38"/>
  <c r="D152" i="38"/>
  <c r="C152" i="38"/>
  <c r="B152" i="38"/>
  <c r="M151" i="38"/>
  <c r="L151" i="38"/>
  <c r="K151" i="38"/>
  <c r="J151" i="38"/>
  <c r="I151" i="38"/>
  <c r="H151" i="38"/>
  <c r="G151" i="38"/>
  <c r="F151" i="38"/>
  <c r="E151" i="38"/>
  <c r="D151" i="38"/>
  <c r="C151" i="38"/>
  <c r="B151" i="38"/>
  <c r="M150" i="38"/>
  <c r="L150" i="38"/>
  <c r="K150" i="38"/>
  <c r="J150" i="38"/>
  <c r="I150" i="38"/>
  <c r="H150" i="38"/>
  <c r="G150" i="38"/>
  <c r="F150" i="38"/>
  <c r="E150" i="38"/>
  <c r="D150" i="38"/>
  <c r="C150" i="38"/>
  <c r="B150" i="38"/>
  <c r="M149" i="38"/>
  <c r="L149" i="38"/>
  <c r="K149" i="38"/>
  <c r="J149" i="38"/>
  <c r="I149" i="38"/>
  <c r="H149" i="38"/>
  <c r="G149" i="38"/>
  <c r="F149" i="38"/>
  <c r="E149" i="38"/>
  <c r="D149" i="38"/>
  <c r="C149" i="38"/>
  <c r="B149" i="38"/>
  <c r="M148" i="38"/>
  <c r="L148" i="38"/>
  <c r="K148" i="38"/>
  <c r="J148" i="38"/>
  <c r="I148" i="38"/>
  <c r="H148" i="38"/>
  <c r="G148" i="38"/>
  <c r="F148" i="38"/>
  <c r="E148" i="38"/>
  <c r="D148" i="38"/>
  <c r="C148" i="38"/>
  <c r="B148" i="38"/>
  <c r="M147" i="38"/>
  <c r="L147" i="38"/>
  <c r="K147" i="38"/>
  <c r="J147" i="38"/>
  <c r="I147" i="38"/>
  <c r="H147" i="38"/>
  <c r="G147" i="38"/>
  <c r="F147" i="38"/>
  <c r="E147" i="38"/>
  <c r="D147" i="38"/>
  <c r="C147" i="38"/>
  <c r="B147" i="38"/>
  <c r="M146" i="38"/>
  <c r="L146" i="38"/>
  <c r="K146" i="38"/>
  <c r="J146" i="38"/>
  <c r="I146" i="38"/>
  <c r="H146" i="38"/>
  <c r="G146" i="38"/>
  <c r="F146" i="38"/>
  <c r="E146" i="38"/>
  <c r="D146" i="38"/>
  <c r="C146" i="38"/>
  <c r="B146" i="38"/>
  <c r="M145" i="38"/>
  <c r="L145" i="38"/>
  <c r="K145" i="38"/>
  <c r="J145" i="38"/>
  <c r="I145" i="38"/>
  <c r="H145" i="38"/>
  <c r="G145" i="38"/>
  <c r="F145" i="38"/>
  <c r="E145" i="38"/>
  <c r="D145" i="38"/>
  <c r="C145" i="38"/>
  <c r="B145" i="38"/>
  <c r="M144" i="38"/>
  <c r="L144" i="38"/>
  <c r="K144" i="38"/>
  <c r="J144" i="38"/>
  <c r="I144" i="38"/>
  <c r="H144" i="38"/>
  <c r="G144" i="38"/>
  <c r="F144" i="38"/>
  <c r="E144" i="38"/>
  <c r="D144" i="38"/>
  <c r="C144" i="38"/>
  <c r="B144" i="38"/>
  <c r="M143" i="38"/>
  <c r="L143" i="38"/>
  <c r="K143" i="38"/>
  <c r="J143" i="38"/>
  <c r="I143" i="38"/>
  <c r="H143" i="38"/>
  <c r="G143" i="38"/>
  <c r="F143" i="38"/>
  <c r="E143" i="38"/>
  <c r="D143" i="38"/>
  <c r="C143" i="38"/>
  <c r="B143" i="38"/>
  <c r="M142" i="38"/>
  <c r="L142" i="38"/>
  <c r="K142" i="38"/>
  <c r="J142" i="38"/>
  <c r="I142" i="38"/>
  <c r="H142" i="38"/>
  <c r="G142" i="38"/>
  <c r="F142" i="38"/>
  <c r="E142" i="38"/>
  <c r="D142" i="38"/>
  <c r="C142" i="38"/>
  <c r="B142" i="38"/>
  <c r="M141" i="38"/>
  <c r="L141" i="38"/>
  <c r="K141" i="38"/>
  <c r="J141" i="38"/>
  <c r="I141" i="38"/>
  <c r="H141" i="38"/>
  <c r="G141" i="38"/>
  <c r="F141" i="38"/>
  <c r="E141" i="38"/>
  <c r="D141" i="38"/>
  <c r="C141" i="38"/>
  <c r="B141" i="38"/>
  <c r="M140" i="38"/>
  <c r="L140" i="38"/>
  <c r="K140" i="38"/>
  <c r="J140" i="38"/>
  <c r="I140" i="38"/>
  <c r="H140" i="38"/>
  <c r="G140" i="38"/>
  <c r="F140" i="38"/>
  <c r="E140" i="38"/>
  <c r="D140" i="38"/>
  <c r="C140" i="38"/>
  <c r="B140" i="38"/>
  <c r="M139" i="38"/>
  <c r="L139" i="38"/>
  <c r="K139" i="38"/>
  <c r="J139" i="38"/>
  <c r="I139" i="38"/>
  <c r="H139" i="38"/>
  <c r="G139" i="38"/>
  <c r="F139" i="38"/>
  <c r="E139" i="38"/>
  <c r="D139" i="38"/>
  <c r="C139" i="38"/>
  <c r="B139" i="38"/>
  <c r="M138" i="38"/>
  <c r="L138" i="38"/>
  <c r="K138" i="38"/>
  <c r="J138" i="38"/>
  <c r="I138" i="38"/>
  <c r="H138" i="38"/>
  <c r="G138" i="38"/>
  <c r="F138" i="38"/>
  <c r="E138" i="38"/>
  <c r="D138" i="38"/>
  <c r="C138" i="38"/>
  <c r="B138" i="38"/>
  <c r="M137" i="38"/>
  <c r="L137" i="38"/>
  <c r="K137" i="38"/>
  <c r="J137" i="38"/>
  <c r="I137" i="38"/>
  <c r="H137" i="38"/>
  <c r="G137" i="38"/>
  <c r="F137" i="38"/>
  <c r="E137" i="38"/>
  <c r="D137" i="38"/>
  <c r="C137" i="38"/>
  <c r="B137" i="38"/>
  <c r="M136" i="38"/>
  <c r="L136" i="38"/>
  <c r="K136" i="38"/>
  <c r="J136" i="38"/>
  <c r="I136" i="38"/>
  <c r="H136" i="38"/>
  <c r="G136" i="38"/>
  <c r="F136" i="38"/>
  <c r="E136" i="38"/>
  <c r="D136" i="38"/>
  <c r="C136" i="38"/>
  <c r="B136" i="38"/>
  <c r="M135" i="38"/>
  <c r="L135" i="38"/>
  <c r="K135" i="38"/>
  <c r="J135" i="38"/>
  <c r="I135" i="38"/>
  <c r="H135" i="38"/>
  <c r="G135" i="38"/>
  <c r="F135" i="38"/>
  <c r="E135" i="38"/>
  <c r="D135" i="38"/>
  <c r="C135" i="38"/>
  <c r="B135" i="38"/>
  <c r="M134" i="38"/>
  <c r="L134" i="38"/>
  <c r="K134" i="38"/>
  <c r="J134" i="38"/>
  <c r="I134" i="38"/>
  <c r="H134" i="38"/>
  <c r="G134" i="38"/>
  <c r="F134" i="38"/>
  <c r="E134" i="38"/>
  <c r="D134" i="38"/>
  <c r="C134" i="38"/>
  <c r="B134" i="38"/>
  <c r="M133" i="38"/>
  <c r="L133" i="38"/>
  <c r="K133" i="38"/>
  <c r="J133" i="38"/>
  <c r="I133" i="38"/>
  <c r="H133" i="38"/>
  <c r="G133" i="38"/>
  <c r="F133" i="38"/>
  <c r="E133" i="38"/>
  <c r="D133" i="38"/>
  <c r="C133" i="38"/>
  <c r="B133" i="38"/>
  <c r="M132" i="38"/>
  <c r="L132" i="38"/>
  <c r="K132" i="38"/>
  <c r="J132" i="38"/>
  <c r="I132" i="38"/>
  <c r="H132" i="38"/>
  <c r="G132" i="38"/>
  <c r="F132" i="38"/>
  <c r="E132" i="38"/>
  <c r="D132" i="38"/>
  <c r="C132" i="38"/>
  <c r="B132" i="38"/>
  <c r="M131" i="38"/>
  <c r="L131" i="38"/>
  <c r="K131" i="38"/>
  <c r="J131" i="38"/>
  <c r="I131" i="38"/>
  <c r="H131" i="38"/>
  <c r="G131" i="38"/>
  <c r="F131" i="38"/>
  <c r="E131" i="38"/>
  <c r="D131" i="38"/>
  <c r="C131" i="38"/>
  <c r="B131" i="38"/>
  <c r="M130" i="38"/>
  <c r="L130" i="38"/>
  <c r="K130" i="38"/>
  <c r="J130" i="38"/>
  <c r="I130" i="38"/>
  <c r="H130" i="38"/>
  <c r="G130" i="38"/>
  <c r="F130" i="38"/>
  <c r="E130" i="38"/>
  <c r="D130" i="38"/>
  <c r="C130" i="38"/>
  <c r="B130" i="38"/>
  <c r="M129" i="38"/>
  <c r="L129" i="38"/>
  <c r="K129" i="38"/>
  <c r="J129" i="38"/>
  <c r="I129" i="38"/>
  <c r="H129" i="38"/>
  <c r="G129" i="38"/>
  <c r="F129" i="38"/>
  <c r="E129" i="38"/>
  <c r="D129" i="38"/>
  <c r="C129" i="38"/>
  <c r="B129" i="38"/>
  <c r="M128" i="38"/>
  <c r="L128" i="38"/>
  <c r="K128" i="38"/>
  <c r="J128" i="38"/>
  <c r="I128" i="38"/>
  <c r="H128" i="38"/>
  <c r="G128" i="38"/>
  <c r="F128" i="38"/>
  <c r="E128" i="38"/>
  <c r="D128" i="38"/>
  <c r="C128" i="38"/>
  <c r="B128" i="38"/>
  <c r="M127" i="38"/>
  <c r="L127" i="38"/>
  <c r="K127" i="38"/>
  <c r="J127" i="38"/>
  <c r="I127" i="38"/>
  <c r="H127" i="38"/>
  <c r="G127" i="38"/>
  <c r="F127" i="38"/>
  <c r="E127" i="38"/>
  <c r="D127" i="38"/>
  <c r="C127" i="38"/>
  <c r="B127" i="38"/>
  <c r="M126" i="38"/>
  <c r="L126" i="38"/>
  <c r="K126" i="38"/>
  <c r="J126" i="38"/>
  <c r="I126" i="38"/>
  <c r="H126" i="38"/>
  <c r="G126" i="38"/>
  <c r="F126" i="38"/>
  <c r="E126" i="38"/>
  <c r="D126" i="38"/>
  <c r="C126" i="38"/>
  <c r="B126" i="38"/>
  <c r="M125" i="38"/>
  <c r="L125" i="38"/>
  <c r="K125" i="38"/>
  <c r="J125" i="38"/>
  <c r="I125" i="38"/>
  <c r="H125" i="38"/>
  <c r="G125" i="38"/>
  <c r="F125" i="38"/>
  <c r="E125" i="38"/>
  <c r="D125" i="38"/>
  <c r="C125" i="38"/>
  <c r="B125" i="38"/>
  <c r="M124" i="38"/>
  <c r="L124" i="38"/>
  <c r="K124" i="38"/>
  <c r="J124" i="38"/>
  <c r="I124" i="38"/>
  <c r="H124" i="38"/>
  <c r="G124" i="38"/>
  <c r="F124" i="38"/>
  <c r="E124" i="38"/>
  <c r="D124" i="38"/>
  <c r="C124" i="38"/>
  <c r="B124" i="38"/>
  <c r="M123" i="38"/>
  <c r="L123" i="38"/>
  <c r="K123" i="38"/>
  <c r="J123" i="38"/>
  <c r="I123" i="38"/>
  <c r="H123" i="38"/>
  <c r="G123" i="38"/>
  <c r="F123" i="38"/>
  <c r="E123" i="38"/>
  <c r="D123" i="38"/>
  <c r="C123" i="38"/>
  <c r="B123" i="38"/>
  <c r="M122" i="38"/>
  <c r="L122" i="38"/>
  <c r="K122" i="38"/>
  <c r="J122" i="38"/>
  <c r="I122" i="38"/>
  <c r="H122" i="38"/>
  <c r="G122" i="38"/>
  <c r="F122" i="38"/>
  <c r="E122" i="38"/>
  <c r="D122" i="38"/>
  <c r="C122" i="38"/>
  <c r="B122" i="38"/>
  <c r="M121" i="38"/>
  <c r="L121" i="38"/>
  <c r="K121" i="38"/>
  <c r="J121" i="38"/>
  <c r="I121" i="38"/>
  <c r="H121" i="38"/>
  <c r="G121" i="38"/>
  <c r="F121" i="38"/>
  <c r="E121" i="38"/>
  <c r="D121" i="38"/>
  <c r="C121" i="38"/>
  <c r="B121" i="38"/>
  <c r="M120" i="38"/>
  <c r="L120" i="38"/>
  <c r="K120" i="38"/>
  <c r="J120" i="38"/>
  <c r="I120" i="38"/>
  <c r="H120" i="38"/>
  <c r="G120" i="38"/>
  <c r="F120" i="38"/>
  <c r="E120" i="38"/>
  <c r="D120" i="38"/>
  <c r="C120" i="38"/>
  <c r="B120" i="38"/>
  <c r="M119" i="38"/>
  <c r="L119" i="38"/>
  <c r="K119" i="38"/>
  <c r="J119" i="38"/>
  <c r="I119" i="38"/>
  <c r="H119" i="38"/>
  <c r="G119" i="38"/>
  <c r="F119" i="38"/>
  <c r="E119" i="38"/>
  <c r="D119" i="38"/>
  <c r="C119" i="38"/>
  <c r="B119" i="38"/>
  <c r="M118" i="38"/>
  <c r="L118" i="38"/>
  <c r="K118" i="38"/>
  <c r="J118" i="38"/>
  <c r="I118" i="38"/>
  <c r="H118" i="38"/>
  <c r="G118" i="38"/>
  <c r="F118" i="38"/>
  <c r="E118" i="38"/>
  <c r="D118" i="38"/>
  <c r="C118" i="38"/>
  <c r="B118" i="38"/>
  <c r="M117" i="38"/>
  <c r="L117" i="38"/>
  <c r="K117" i="38"/>
  <c r="J117" i="38"/>
  <c r="I117" i="38"/>
  <c r="H117" i="38"/>
  <c r="G117" i="38"/>
  <c r="F117" i="38"/>
  <c r="E117" i="38"/>
  <c r="D117" i="38"/>
  <c r="C117" i="38"/>
  <c r="B117" i="38"/>
  <c r="M116" i="38"/>
  <c r="L116" i="38"/>
  <c r="K116" i="38"/>
  <c r="J116" i="38"/>
  <c r="I116" i="38"/>
  <c r="H116" i="38"/>
  <c r="G116" i="38"/>
  <c r="F116" i="38"/>
  <c r="E116" i="38"/>
  <c r="D116" i="38"/>
  <c r="C116" i="38"/>
  <c r="B116" i="38"/>
  <c r="M115" i="38"/>
  <c r="L115" i="38"/>
  <c r="K115" i="38"/>
  <c r="J115" i="38"/>
  <c r="I115" i="38"/>
  <c r="H115" i="38"/>
  <c r="G115" i="38"/>
  <c r="F115" i="38"/>
  <c r="E115" i="38"/>
  <c r="D115" i="38"/>
  <c r="C115" i="38"/>
  <c r="B115" i="38"/>
  <c r="M114" i="38"/>
  <c r="L114" i="38"/>
  <c r="K114" i="38"/>
  <c r="J114" i="38"/>
  <c r="I114" i="38"/>
  <c r="H114" i="38"/>
  <c r="G114" i="38"/>
  <c r="F114" i="38"/>
  <c r="E114" i="38"/>
  <c r="D114" i="38"/>
  <c r="C114" i="38"/>
  <c r="B114" i="38"/>
  <c r="M113" i="38"/>
  <c r="L113" i="38"/>
  <c r="K113" i="38"/>
  <c r="J113" i="38"/>
  <c r="I113" i="38"/>
  <c r="H113" i="38"/>
  <c r="G113" i="38"/>
  <c r="F113" i="38"/>
  <c r="E113" i="38"/>
  <c r="D113" i="38"/>
  <c r="C113" i="38"/>
  <c r="B113" i="38"/>
  <c r="M112" i="38"/>
  <c r="L112" i="38"/>
  <c r="K112" i="38"/>
  <c r="J112" i="38"/>
  <c r="I112" i="38"/>
  <c r="H112" i="38"/>
  <c r="G112" i="38"/>
  <c r="F112" i="38"/>
  <c r="E112" i="38"/>
  <c r="D112" i="38"/>
  <c r="C112" i="38"/>
  <c r="B112" i="38"/>
  <c r="M111" i="38"/>
  <c r="L111" i="38"/>
  <c r="K111" i="38"/>
  <c r="J111" i="38"/>
  <c r="I111" i="38"/>
  <c r="H111" i="38"/>
  <c r="G111" i="38"/>
  <c r="F111" i="38"/>
  <c r="E111" i="38"/>
  <c r="D111" i="38"/>
  <c r="C111" i="38"/>
  <c r="B111" i="38"/>
  <c r="M110" i="38"/>
  <c r="L110" i="38"/>
  <c r="K110" i="38"/>
  <c r="J110" i="38"/>
  <c r="I110" i="38"/>
  <c r="H110" i="38"/>
  <c r="G110" i="38"/>
  <c r="F110" i="38"/>
  <c r="E110" i="38"/>
  <c r="D110" i="38"/>
  <c r="C110" i="38"/>
  <c r="B110" i="38"/>
  <c r="M109" i="38"/>
  <c r="L109" i="38"/>
  <c r="K109" i="38"/>
  <c r="J109" i="38"/>
  <c r="I109" i="38"/>
  <c r="H109" i="38"/>
  <c r="G109" i="38"/>
  <c r="F109" i="38"/>
  <c r="E109" i="38"/>
  <c r="D109" i="38"/>
  <c r="C109" i="38"/>
  <c r="B109" i="38"/>
  <c r="M108" i="38"/>
  <c r="L108" i="38"/>
  <c r="K108" i="38"/>
  <c r="J108" i="38"/>
  <c r="I108" i="38"/>
  <c r="H108" i="38"/>
  <c r="G108" i="38"/>
  <c r="F108" i="38"/>
  <c r="E108" i="38"/>
  <c r="D108" i="38"/>
  <c r="C108" i="38"/>
  <c r="B108" i="38"/>
  <c r="M107" i="38"/>
  <c r="L107" i="38"/>
  <c r="K107" i="38"/>
  <c r="J107" i="38"/>
  <c r="I107" i="38"/>
  <c r="H107" i="38"/>
  <c r="G107" i="38"/>
  <c r="F107" i="38"/>
  <c r="E107" i="38"/>
  <c r="D107" i="38"/>
  <c r="C107" i="38"/>
  <c r="B107" i="38"/>
  <c r="M106" i="38"/>
  <c r="L106" i="38"/>
  <c r="K106" i="38"/>
  <c r="J106" i="38"/>
  <c r="I106" i="38"/>
  <c r="H106" i="38"/>
  <c r="G106" i="38"/>
  <c r="F106" i="38"/>
  <c r="E106" i="38"/>
  <c r="D106" i="38"/>
  <c r="C106" i="38"/>
  <c r="B106" i="38"/>
  <c r="M105" i="38"/>
  <c r="L105" i="38"/>
  <c r="K105" i="38"/>
  <c r="J105" i="38"/>
  <c r="I105" i="38"/>
  <c r="H105" i="38"/>
  <c r="G105" i="38"/>
  <c r="F105" i="38"/>
  <c r="E105" i="38"/>
  <c r="D105" i="38"/>
  <c r="C105" i="38"/>
  <c r="B105" i="38"/>
  <c r="M104" i="38"/>
  <c r="L104" i="38"/>
  <c r="K104" i="38"/>
  <c r="J104" i="38"/>
  <c r="I104" i="38"/>
  <c r="H104" i="38"/>
  <c r="G104" i="38"/>
  <c r="F104" i="38"/>
  <c r="E104" i="38"/>
  <c r="D104" i="38"/>
  <c r="C104" i="38"/>
  <c r="B104" i="38"/>
  <c r="M103" i="38"/>
  <c r="L103" i="38"/>
  <c r="K103" i="38"/>
  <c r="J103" i="38"/>
  <c r="I103" i="38"/>
  <c r="H103" i="38"/>
  <c r="G103" i="38"/>
  <c r="F103" i="38"/>
  <c r="E103" i="38"/>
  <c r="D103" i="38"/>
  <c r="C103" i="38"/>
  <c r="B103" i="38"/>
  <c r="BK79" i="38"/>
  <c r="BJ79" i="38"/>
  <c r="BI79" i="38"/>
  <c r="BG79" i="38"/>
  <c r="BE79" i="38"/>
  <c r="BA79" i="38"/>
  <c r="AY79" i="38"/>
  <c r="AX79" i="38"/>
  <c r="AW79" i="38"/>
  <c r="AV79" i="38"/>
  <c r="AU79" i="38"/>
  <c r="AT79" i="38"/>
  <c r="AS79" i="38"/>
  <c r="AQ79" i="38"/>
  <c r="AP79" i="38"/>
  <c r="AM79" i="38"/>
  <c r="AL79" i="38"/>
  <c r="AK79" i="38"/>
  <c r="AJ79" i="38"/>
  <c r="AI79" i="38"/>
  <c r="AH79" i="38"/>
  <c r="AG79" i="38"/>
  <c r="AE79" i="38"/>
  <c r="AD79" i="38"/>
  <c r="AC79" i="38"/>
  <c r="AB79" i="38"/>
  <c r="Z79" i="38"/>
  <c r="Y79" i="38"/>
  <c r="X79" i="38"/>
  <c r="W79" i="38"/>
  <c r="V79" i="38"/>
  <c r="U79" i="38"/>
  <c r="T79" i="38"/>
  <c r="R79" i="38"/>
  <c r="M79" i="38"/>
  <c r="L79" i="38"/>
  <c r="K79" i="38"/>
  <c r="J79" i="38"/>
  <c r="I79" i="38"/>
  <c r="D79" i="38"/>
  <c r="BK78" i="38"/>
  <c r="BJ78" i="38"/>
  <c r="BI78" i="38"/>
  <c r="BG78" i="38"/>
  <c r="BE78" i="38"/>
  <c r="BA78" i="38"/>
  <c r="AY78" i="38"/>
  <c r="AX78" i="38"/>
  <c r="AW78" i="38"/>
  <c r="AV78" i="38"/>
  <c r="AU78" i="38"/>
  <c r="AT78" i="38"/>
  <c r="AS78" i="38"/>
  <c r="AQ78" i="38"/>
  <c r="AP78" i="38"/>
  <c r="AM78" i="38"/>
  <c r="AL78" i="38"/>
  <c r="AK78" i="38"/>
  <c r="AJ78" i="38"/>
  <c r="AI78" i="38"/>
  <c r="AH78" i="38"/>
  <c r="AG78" i="38"/>
  <c r="AE78" i="38"/>
  <c r="AD78" i="38"/>
  <c r="AC78" i="38"/>
  <c r="AB78" i="38"/>
  <c r="Z78" i="38"/>
  <c r="Y78" i="38"/>
  <c r="X78" i="38"/>
  <c r="W78" i="38"/>
  <c r="V78" i="38"/>
  <c r="U78" i="38"/>
  <c r="T78" i="38"/>
  <c r="R78" i="38"/>
  <c r="M78" i="38"/>
  <c r="L78" i="38"/>
  <c r="K78" i="38"/>
  <c r="J78" i="38"/>
  <c r="I78" i="38"/>
  <c r="D78" i="38"/>
  <c r="BK77" i="38"/>
  <c r="BJ77" i="38"/>
  <c r="BI77" i="38"/>
  <c r="BG77" i="38"/>
  <c r="BE77" i="38"/>
  <c r="BA77" i="38"/>
  <c r="AY77" i="38"/>
  <c r="AX77" i="38"/>
  <c r="AW77" i="38"/>
  <c r="AV77" i="38"/>
  <c r="AU77" i="38"/>
  <c r="AT77" i="38"/>
  <c r="AS77" i="38"/>
  <c r="AQ77" i="38"/>
  <c r="AP77" i="38"/>
  <c r="AM77" i="38"/>
  <c r="AL77" i="38"/>
  <c r="AK77" i="38"/>
  <c r="AJ77" i="38"/>
  <c r="AI77" i="38"/>
  <c r="AH77" i="38"/>
  <c r="AG77" i="38"/>
  <c r="AE77" i="38"/>
  <c r="AD77" i="38"/>
  <c r="AC77" i="38"/>
  <c r="AB77" i="38"/>
  <c r="AA77" i="38"/>
  <c r="Z77" i="38"/>
  <c r="Y77" i="38"/>
  <c r="X77" i="38"/>
  <c r="W77" i="38"/>
  <c r="V77" i="38"/>
  <c r="U77" i="38"/>
  <c r="T77" i="38"/>
  <c r="R77" i="38"/>
  <c r="M77" i="38"/>
  <c r="L77" i="38"/>
  <c r="K77" i="38"/>
  <c r="J77" i="38"/>
  <c r="I77" i="38"/>
  <c r="D77" i="38"/>
  <c r="BK76" i="38"/>
  <c r="BJ76" i="38"/>
  <c r="BI76" i="38"/>
  <c r="BG76" i="38"/>
  <c r="BE76" i="38"/>
  <c r="BA76" i="38"/>
  <c r="AY76" i="38"/>
  <c r="AX76" i="38"/>
  <c r="AW76" i="38"/>
  <c r="AV76" i="38"/>
  <c r="AU76" i="38"/>
  <c r="AT76" i="38"/>
  <c r="AS76" i="38"/>
  <c r="AQ76" i="38"/>
  <c r="AP76" i="38"/>
  <c r="AM76" i="38"/>
  <c r="AL76" i="38"/>
  <c r="AK76" i="38"/>
  <c r="AJ76" i="38"/>
  <c r="AI76" i="38"/>
  <c r="AH76" i="38"/>
  <c r="AG76" i="38"/>
  <c r="AE76" i="38"/>
  <c r="AD76" i="38"/>
  <c r="AC76" i="38"/>
  <c r="AB76" i="38"/>
  <c r="Z76" i="38"/>
  <c r="Y76" i="38"/>
  <c r="X76" i="38"/>
  <c r="W76" i="38"/>
  <c r="V76" i="38"/>
  <c r="U76" i="38"/>
  <c r="T76" i="38"/>
  <c r="R76" i="38"/>
  <c r="M76" i="38"/>
  <c r="L76" i="38"/>
  <c r="K76" i="38"/>
  <c r="J76" i="38"/>
  <c r="I76" i="38"/>
  <c r="D76" i="38"/>
  <c r="BK75" i="38"/>
  <c r="BJ75" i="38"/>
  <c r="BI75" i="38"/>
  <c r="BG75" i="38"/>
  <c r="BE75" i="38"/>
  <c r="BA75" i="38"/>
  <c r="AY75" i="38"/>
  <c r="AX75" i="38"/>
  <c r="AW75" i="38"/>
  <c r="AV75" i="38"/>
  <c r="AU75" i="38"/>
  <c r="AT75" i="38"/>
  <c r="AS75" i="38"/>
  <c r="AQ75" i="38"/>
  <c r="AP75" i="38"/>
  <c r="AM75" i="38"/>
  <c r="AL75" i="38"/>
  <c r="AK75" i="38"/>
  <c r="AJ75" i="38"/>
  <c r="AI75" i="38"/>
  <c r="AH75" i="38"/>
  <c r="AG75" i="38"/>
  <c r="AE75" i="38"/>
  <c r="AD75" i="38"/>
  <c r="AC75" i="38"/>
  <c r="AB75" i="38"/>
  <c r="Z75" i="38"/>
  <c r="Y75" i="38"/>
  <c r="X75" i="38"/>
  <c r="W75" i="38"/>
  <c r="V75" i="38"/>
  <c r="U75" i="38"/>
  <c r="T75" i="38"/>
  <c r="R75" i="38"/>
  <c r="M75" i="38"/>
  <c r="L75" i="38"/>
  <c r="K75" i="38"/>
  <c r="J75" i="38"/>
  <c r="I75" i="38"/>
  <c r="D75" i="38"/>
  <c r="BK74" i="38"/>
  <c r="BJ74" i="38"/>
  <c r="BI74" i="38"/>
  <c r="BG74" i="38"/>
  <c r="BE74" i="38"/>
  <c r="BA74" i="38"/>
  <c r="AY74" i="38"/>
  <c r="AX74" i="38"/>
  <c r="AW74" i="38"/>
  <c r="AV74" i="38"/>
  <c r="AU74" i="38"/>
  <c r="AT74" i="38"/>
  <c r="AS74" i="38"/>
  <c r="AQ74" i="38"/>
  <c r="AP74" i="38"/>
  <c r="AM74" i="38"/>
  <c r="AL74" i="38"/>
  <c r="AK74" i="38"/>
  <c r="AJ74" i="38"/>
  <c r="AI74" i="38"/>
  <c r="AH74" i="38"/>
  <c r="AG74" i="38"/>
  <c r="AE74" i="38"/>
  <c r="AD74" i="38"/>
  <c r="AC74" i="38"/>
  <c r="AB74" i="38"/>
  <c r="AA74" i="38"/>
  <c r="Z74" i="38"/>
  <c r="Y74" i="38"/>
  <c r="X74" i="38"/>
  <c r="W74" i="38"/>
  <c r="V74" i="38"/>
  <c r="U74" i="38"/>
  <c r="T74" i="38"/>
  <c r="R74" i="38"/>
  <c r="M74" i="38"/>
  <c r="L74" i="38"/>
  <c r="K74" i="38"/>
  <c r="J74" i="38"/>
  <c r="I74" i="38"/>
  <c r="D74" i="38"/>
  <c r="BK73" i="38"/>
  <c r="BJ73" i="38"/>
  <c r="BI73" i="38"/>
  <c r="BG73" i="38"/>
  <c r="BE73" i="38"/>
  <c r="BA73" i="38"/>
  <c r="AY73" i="38"/>
  <c r="AX73" i="38"/>
  <c r="AW73" i="38"/>
  <c r="AV73" i="38"/>
  <c r="AU73" i="38"/>
  <c r="AT73" i="38"/>
  <c r="AS73" i="38"/>
  <c r="AQ73" i="38"/>
  <c r="AP73" i="38"/>
  <c r="AM73" i="38"/>
  <c r="AL73" i="38"/>
  <c r="AK73" i="38"/>
  <c r="AJ73" i="38"/>
  <c r="AI73" i="38"/>
  <c r="AH73" i="38"/>
  <c r="AG73" i="38"/>
  <c r="AE73" i="38"/>
  <c r="AD73" i="38"/>
  <c r="AC73" i="38"/>
  <c r="AB73" i="38"/>
  <c r="Z73" i="38"/>
  <c r="Y73" i="38"/>
  <c r="X73" i="38"/>
  <c r="W73" i="38"/>
  <c r="V73" i="38"/>
  <c r="U73" i="38"/>
  <c r="T73" i="38"/>
  <c r="R73" i="38"/>
  <c r="M73" i="38"/>
  <c r="L73" i="38"/>
  <c r="K73" i="38"/>
  <c r="J73" i="38"/>
  <c r="I73" i="38"/>
  <c r="D73" i="38"/>
  <c r="BK72" i="38"/>
  <c r="BJ72" i="38"/>
  <c r="BI72" i="38"/>
  <c r="BG72" i="38"/>
  <c r="BE72" i="38"/>
  <c r="BA72" i="38"/>
  <c r="AY72" i="38"/>
  <c r="AX72" i="38"/>
  <c r="AW72" i="38"/>
  <c r="AV72" i="38"/>
  <c r="AU72" i="38"/>
  <c r="AT72" i="38"/>
  <c r="AS72" i="38"/>
  <c r="AQ72" i="38"/>
  <c r="AP72" i="38"/>
  <c r="AM72" i="38"/>
  <c r="AL72" i="38"/>
  <c r="AK72" i="38"/>
  <c r="AJ72" i="38"/>
  <c r="AI72" i="38"/>
  <c r="AH72" i="38"/>
  <c r="AG72" i="38"/>
  <c r="AE72" i="38"/>
  <c r="AD72" i="38"/>
  <c r="AC72" i="38"/>
  <c r="AB72" i="38"/>
  <c r="Z72" i="38"/>
  <c r="Y72" i="38"/>
  <c r="X72" i="38"/>
  <c r="W72" i="38"/>
  <c r="V72" i="38"/>
  <c r="U72" i="38"/>
  <c r="T72" i="38"/>
  <c r="R72" i="38"/>
  <c r="M72" i="38"/>
  <c r="L72" i="38"/>
  <c r="K72" i="38"/>
  <c r="J72" i="38"/>
  <c r="I72" i="38"/>
  <c r="D72" i="38"/>
  <c r="BK71" i="38"/>
  <c r="BJ71" i="38"/>
  <c r="BI71" i="38"/>
  <c r="BG71" i="38"/>
  <c r="BE71" i="38"/>
  <c r="BA71" i="38"/>
  <c r="AY71" i="38"/>
  <c r="AX71" i="38"/>
  <c r="AW71" i="38"/>
  <c r="AV71" i="38"/>
  <c r="AU71" i="38"/>
  <c r="AT71" i="38"/>
  <c r="AS71" i="38"/>
  <c r="AQ71" i="38"/>
  <c r="AP71" i="38"/>
  <c r="AM71" i="38"/>
  <c r="AL71" i="38"/>
  <c r="AK71" i="38"/>
  <c r="AJ71" i="38"/>
  <c r="AI71" i="38"/>
  <c r="AH71" i="38"/>
  <c r="AG71" i="38"/>
  <c r="AE71" i="38"/>
  <c r="AD71" i="38"/>
  <c r="AC71" i="38"/>
  <c r="AB71" i="38"/>
  <c r="Z71" i="38"/>
  <c r="Y71" i="38"/>
  <c r="X71" i="38"/>
  <c r="W71" i="38"/>
  <c r="V71" i="38"/>
  <c r="U71" i="38"/>
  <c r="T71" i="38"/>
  <c r="R71" i="38"/>
  <c r="M71" i="38"/>
  <c r="L71" i="38"/>
  <c r="K71" i="38"/>
  <c r="J71" i="38"/>
  <c r="I71" i="38"/>
  <c r="D71" i="38"/>
  <c r="BK70" i="38"/>
  <c r="BJ70" i="38"/>
  <c r="BI70" i="38"/>
  <c r="BG70" i="38"/>
  <c r="BE70" i="38"/>
  <c r="BA70" i="38"/>
  <c r="AY70" i="38"/>
  <c r="AX70" i="38"/>
  <c r="AW70" i="38"/>
  <c r="AV70" i="38"/>
  <c r="AU70" i="38"/>
  <c r="AT70" i="38"/>
  <c r="AS70" i="38"/>
  <c r="AQ70" i="38"/>
  <c r="AP70" i="38"/>
  <c r="AM70" i="38"/>
  <c r="AL70" i="38"/>
  <c r="AK70" i="38"/>
  <c r="AJ70" i="38"/>
  <c r="AI70" i="38"/>
  <c r="AH70" i="38"/>
  <c r="AG70" i="38"/>
  <c r="AE70" i="38"/>
  <c r="AD70" i="38"/>
  <c r="AC70" i="38"/>
  <c r="AB70" i="38"/>
  <c r="AA70" i="38"/>
  <c r="Z70" i="38"/>
  <c r="Y70" i="38"/>
  <c r="X70" i="38"/>
  <c r="W70" i="38"/>
  <c r="V70" i="38"/>
  <c r="U70" i="38"/>
  <c r="T70" i="38"/>
  <c r="R70" i="38"/>
  <c r="M70" i="38"/>
  <c r="L70" i="38"/>
  <c r="K70" i="38"/>
  <c r="J70" i="38"/>
  <c r="I70" i="38"/>
  <c r="D70" i="38"/>
  <c r="BK69" i="38"/>
  <c r="BJ69" i="38"/>
  <c r="BI69" i="38"/>
  <c r="BG69" i="38"/>
  <c r="BE69" i="38"/>
  <c r="BA69" i="38"/>
  <c r="AY69" i="38"/>
  <c r="AX69" i="38"/>
  <c r="AW69" i="38"/>
  <c r="AV69" i="38"/>
  <c r="AU69" i="38"/>
  <c r="AT69" i="38"/>
  <c r="AS69" i="38"/>
  <c r="AQ69" i="38"/>
  <c r="AP69" i="38"/>
  <c r="AM69" i="38"/>
  <c r="AL69" i="38"/>
  <c r="AK69" i="38"/>
  <c r="AJ69" i="38"/>
  <c r="AI69" i="38"/>
  <c r="AH69" i="38"/>
  <c r="AG69" i="38"/>
  <c r="AE69" i="38"/>
  <c r="AD69" i="38"/>
  <c r="AC69" i="38"/>
  <c r="AB69" i="38"/>
  <c r="Z69" i="38"/>
  <c r="Y69" i="38"/>
  <c r="X69" i="38"/>
  <c r="W69" i="38"/>
  <c r="V69" i="38"/>
  <c r="U69" i="38"/>
  <c r="T69" i="38"/>
  <c r="R69" i="38"/>
  <c r="M69" i="38"/>
  <c r="L69" i="38"/>
  <c r="K69" i="38"/>
  <c r="J69" i="38"/>
  <c r="I69" i="38"/>
  <c r="D69" i="38"/>
  <c r="BK68" i="38"/>
  <c r="BJ68" i="38"/>
  <c r="BI68" i="38"/>
  <c r="BG68" i="38"/>
  <c r="BE68" i="38"/>
  <c r="BA68" i="38"/>
  <c r="AY68" i="38"/>
  <c r="AX68" i="38"/>
  <c r="AW68" i="38"/>
  <c r="AV68" i="38"/>
  <c r="AU68" i="38"/>
  <c r="AT68" i="38"/>
  <c r="AS68" i="38"/>
  <c r="AQ68" i="38"/>
  <c r="AP68" i="38"/>
  <c r="AM68" i="38"/>
  <c r="AL68" i="38"/>
  <c r="AK68" i="38"/>
  <c r="AJ68" i="38"/>
  <c r="AI68" i="38"/>
  <c r="AH68" i="38"/>
  <c r="AG68" i="38"/>
  <c r="AE68" i="38"/>
  <c r="AD68" i="38"/>
  <c r="AC68" i="38"/>
  <c r="AB68" i="38"/>
  <c r="Z68" i="38"/>
  <c r="Y68" i="38"/>
  <c r="X68" i="38"/>
  <c r="W68" i="38"/>
  <c r="V68" i="38"/>
  <c r="U68" i="38"/>
  <c r="T68" i="38"/>
  <c r="R68" i="38"/>
  <c r="M68" i="38"/>
  <c r="L68" i="38"/>
  <c r="K68" i="38"/>
  <c r="J68" i="38"/>
  <c r="I68" i="38"/>
  <c r="D68" i="38"/>
  <c r="BK67" i="38"/>
  <c r="BJ67" i="38"/>
  <c r="BI67" i="38"/>
  <c r="BG67" i="38"/>
  <c r="BE67" i="38"/>
  <c r="BA67" i="38"/>
  <c r="AY67" i="38"/>
  <c r="AX67" i="38"/>
  <c r="AW67" i="38"/>
  <c r="AV67" i="38"/>
  <c r="AU67" i="38"/>
  <c r="AT67" i="38"/>
  <c r="AS67" i="38"/>
  <c r="AQ67" i="38"/>
  <c r="AP67" i="38"/>
  <c r="AM67" i="38"/>
  <c r="AL67" i="38"/>
  <c r="AK67" i="38"/>
  <c r="AJ67" i="38"/>
  <c r="AI67" i="38"/>
  <c r="AH67" i="38"/>
  <c r="AG67" i="38"/>
  <c r="AE67" i="38"/>
  <c r="AD67" i="38"/>
  <c r="AC67" i="38"/>
  <c r="AB67" i="38"/>
  <c r="Z67" i="38"/>
  <c r="Y67" i="38"/>
  <c r="X67" i="38"/>
  <c r="W67" i="38"/>
  <c r="V67" i="38"/>
  <c r="U67" i="38"/>
  <c r="T67" i="38"/>
  <c r="R67" i="38"/>
  <c r="M67" i="38"/>
  <c r="L67" i="38"/>
  <c r="K67" i="38"/>
  <c r="J67" i="38"/>
  <c r="I67" i="38"/>
  <c r="D67" i="38"/>
  <c r="BK66" i="38"/>
  <c r="BJ66" i="38"/>
  <c r="BI66" i="38"/>
  <c r="BG66" i="38"/>
  <c r="BE66" i="38"/>
  <c r="BA66" i="38"/>
  <c r="AY66" i="38"/>
  <c r="AX66" i="38"/>
  <c r="AW66" i="38"/>
  <c r="AV66" i="38"/>
  <c r="AU66" i="38"/>
  <c r="AT66" i="38"/>
  <c r="AS66" i="38"/>
  <c r="AQ66" i="38"/>
  <c r="AP66" i="38"/>
  <c r="AM66" i="38"/>
  <c r="AL66" i="38"/>
  <c r="AK66" i="38"/>
  <c r="AJ66" i="38"/>
  <c r="AI66" i="38"/>
  <c r="AH66" i="38"/>
  <c r="AG66" i="38"/>
  <c r="AE66" i="38"/>
  <c r="AD66" i="38"/>
  <c r="AC66" i="38"/>
  <c r="AB66" i="38"/>
  <c r="Z66" i="38"/>
  <c r="Y66" i="38"/>
  <c r="X66" i="38"/>
  <c r="W66" i="38"/>
  <c r="V66" i="38"/>
  <c r="U66" i="38"/>
  <c r="T66" i="38"/>
  <c r="R66" i="38"/>
  <c r="M66" i="38"/>
  <c r="L66" i="38"/>
  <c r="K66" i="38"/>
  <c r="J66" i="38"/>
  <c r="I66" i="38"/>
  <c r="D66" i="38"/>
  <c r="BK65" i="38"/>
  <c r="BJ65" i="38"/>
  <c r="BI65" i="38"/>
  <c r="BG65" i="38"/>
  <c r="BE65" i="38"/>
  <c r="BA65" i="38"/>
  <c r="AY65" i="38"/>
  <c r="AX65" i="38"/>
  <c r="AW65" i="38"/>
  <c r="AV65" i="38"/>
  <c r="AU65" i="38"/>
  <c r="AT65" i="38"/>
  <c r="AS65" i="38"/>
  <c r="AQ65" i="38"/>
  <c r="AP65" i="38"/>
  <c r="AM65" i="38"/>
  <c r="AL65" i="38"/>
  <c r="AK65" i="38"/>
  <c r="AJ65" i="38"/>
  <c r="AI65" i="38"/>
  <c r="AH65" i="38"/>
  <c r="AG65" i="38"/>
  <c r="AE65" i="38"/>
  <c r="AD65" i="38"/>
  <c r="AC65" i="38"/>
  <c r="AB65" i="38"/>
  <c r="AA65" i="38"/>
  <c r="Z65" i="38"/>
  <c r="Y65" i="38"/>
  <c r="X65" i="38"/>
  <c r="W65" i="38"/>
  <c r="V65" i="38"/>
  <c r="U65" i="38"/>
  <c r="T65" i="38"/>
  <c r="R65" i="38"/>
  <c r="M65" i="38"/>
  <c r="L65" i="38"/>
  <c r="K65" i="38"/>
  <c r="J65" i="38"/>
  <c r="I65" i="38"/>
  <c r="D65" i="38"/>
  <c r="BK64" i="38"/>
  <c r="BJ64" i="38"/>
  <c r="BI64" i="38"/>
  <c r="BG64" i="38"/>
  <c r="BE64" i="38"/>
  <c r="BA64" i="38"/>
  <c r="AY64" i="38"/>
  <c r="AX64" i="38"/>
  <c r="AW64" i="38"/>
  <c r="AV64" i="38"/>
  <c r="AU64" i="38"/>
  <c r="AT64" i="38"/>
  <c r="AS64" i="38"/>
  <c r="AQ64" i="38"/>
  <c r="AP64" i="38"/>
  <c r="AM64" i="38"/>
  <c r="AL64" i="38"/>
  <c r="AK64" i="38"/>
  <c r="AJ64" i="38"/>
  <c r="AI64" i="38"/>
  <c r="AH64" i="38"/>
  <c r="AG64" i="38"/>
  <c r="AE64" i="38"/>
  <c r="AD64" i="38"/>
  <c r="AC64" i="38"/>
  <c r="AB64" i="38"/>
  <c r="Z64" i="38"/>
  <c r="Y64" i="38"/>
  <c r="X64" i="38"/>
  <c r="W64" i="38"/>
  <c r="V64" i="38"/>
  <c r="U64" i="38"/>
  <c r="T64" i="38"/>
  <c r="R64" i="38"/>
  <c r="M64" i="38"/>
  <c r="L64" i="38"/>
  <c r="K64" i="38"/>
  <c r="J64" i="38"/>
  <c r="I64" i="38"/>
  <c r="D64" i="38"/>
  <c r="BK63" i="38"/>
  <c r="BJ63" i="38"/>
  <c r="BI63" i="38"/>
  <c r="BG63" i="38"/>
  <c r="BE63" i="38"/>
  <c r="BA63" i="38"/>
  <c r="AY63" i="38"/>
  <c r="AX63" i="38"/>
  <c r="AW63" i="38"/>
  <c r="AV63" i="38"/>
  <c r="AU63" i="38"/>
  <c r="AT63" i="38"/>
  <c r="AS63" i="38"/>
  <c r="AQ63" i="38"/>
  <c r="AP63" i="38"/>
  <c r="AM63" i="38"/>
  <c r="AL63" i="38"/>
  <c r="AK63" i="38"/>
  <c r="AJ63" i="38"/>
  <c r="AI63" i="38"/>
  <c r="AH63" i="38"/>
  <c r="AG63" i="38"/>
  <c r="AE63" i="38"/>
  <c r="AD63" i="38"/>
  <c r="AC63" i="38"/>
  <c r="AB63" i="38"/>
  <c r="AA63" i="38"/>
  <c r="Z63" i="38"/>
  <c r="Y63" i="38"/>
  <c r="X63" i="38"/>
  <c r="W63" i="38"/>
  <c r="V63" i="38"/>
  <c r="U63" i="38"/>
  <c r="T63" i="38"/>
  <c r="R63" i="38"/>
  <c r="M63" i="38"/>
  <c r="L63" i="38"/>
  <c r="K63" i="38"/>
  <c r="J63" i="38"/>
  <c r="I63" i="38"/>
  <c r="D63" i="38"/>
  <c r="BK62" i="38"/>
  <c r="BJ62" i="38"/>
  <c r="BI62" i="38"/>
  <c r="BG62" i="38"/>
  <c r="BE62" i="38"/>
  <c r="BA62" i="38"/>
  <c r="AY62" i="38"/>
  <c r="AX62" i="38"/>
  <c r="AW62" i="38"/>
  <c r="AV62" i="38"/>
  <c r="AU62" i="38"/>
  <c r="AT62" i="38"/>
  <c r="AS62" i="38"/>
  <c r="AQ62" i="38"/>
  <c r="AP62" i="38"/>
  <c r="AM62" i="38"/>
  <c r="AL62" i="38"/>
  <c r="AK62" i="38"/>
  <c r="AJ62" i="38"/>
  <c r="AI62" i="38"/>
  <c r="AH62" i="38"/>
  <c r="AG62" i="38"/>
  <c r="AE62" i="38"/>
  <c r="AD62" i="38"/>
  <c r="AC62" i="38"/>
  <c r="AB62" i="38"/>
  <c r="AA62" i="38"/>
  <c r="Z62" i="38"/>
  <c r="Y62" i="38"/>
  <c r="X62" i="38"/>
  <c r="W62" i="38"/>
  <c r="V62" i="38"/>
  <c r="U62" i="38"/>
  <c r="T62" i="38"/>
  <c r="R62" i="38"/>
  <c r="M62" i="38"/>
  <c r="L62" i="38"/>
  <c r="K62" i="38"/>
  <c r="J62" i="38"/>
  <c r="I62" i="38"/>
  <c r="D62" i="38"/>
  <c r="BK61" i="38"/>
  <c r="BJ61" i="38"/>
  <c r="BI61" i="38"/>
  <c r="BG61" i="38"/>
  <c r="BE61" i="38"/>
  <c r="BA61" i="38"/>
  <c r="AY61" i="38"/>
  <c r="AX61" i="38"/>
  <c r="AW61" i="38"/>
  <c r="AV61" i="38"/>
  <c r="AU61" i="38"/>
  <c r="AT61" i="38"/>
  <c r="AS61" i="38"/>
  <c r="AQ61" i="38"/>
  <c r="AP61" i="38"/>
  <c r="AM61" i="38"/>
  <c r="AL61" i="38"/>
  <c r="AK61" i="38"/>
  <c r="AJ61" i="38"/>
  <c r="AI61" i="38"/>
  <c r="AH61" i="38"/>
  <c r="AG61" i="38"/>
  <c r="AE61" i="38"/>
  <c r="AD61" i="38"/>
  <c r="AC61" i="38"/>
  <c r="AB61" i="38"/>
  <c r="Z61" i="38"/>
  <c r="Y61" i="38"/>
  <c r="X61" i="38"/>
  <c r="W61" i="38"/>
  <c r="V61" i="38"/>
  <c r="U61" i="38"/>
  <c r="T61" i="38"/>
  <c r="R61" i="38"/>
  <c r="M61" i="38"/>
  <c r="L61" i="38"/>
  <c r="K61" i="38"/>
  <c r="J61" i="38"/>
  <c r="I61" i="38"/>
  <c r="D61" i="38"/>
  <c r="BK60" i="38"/>
  <c r="BJ60" i="38"/>
  <c r="BI60" i="38"/>
  <c r="BG60" i="38"/>
  <c r="BE60" i="38"/>
  <c r="BA60" i="38"/>
  <c r="AY60" i="38"/>
  <c r="AX60" i="38"/>
  <c r="AW60" i="38"/>
  <c r="AV60" i="38"/>
  <c r="AU60" i="38"/>
  <c r="AT60" i="38"/>
  <c r="AS60" i="38"/>
  <c r="AQ60" i="38"/>
  <c r="AP60" i="38"/>
  <c r="AM60" i="38"/>
  <c r="AL60" i="38"/>
  <c r="AK60" i="38"/>
  <c r="AJ60" i="38"/>
  <c r="AI60" i="38"/>
  <c r="AH60" i="38"/>
  <c r="AG60" i="38"/>
  <c r="AE60" i="38"/>
  <c r="AD60" i="38"/>
  <c r="AC60" i="38"/>
  <c r="AB60" i="38"/>
  <c r="Z60" i="38"/>
  <c r="Y60" i="38"/>
  <c r="X60" i="38"/>
  <c r="W60" i="38"/>
  <c r="V60" i="38"/>
  <c r="U60" i="38"/>
  <c r="T60" i="38"/>
  <c r="R60" i="38"/>
  <c r="M60" i="38"/>
  <c r="L60" i="38"/>
  <c r="K60" i="38"/>
  <c r="J60" i="38"/>
  <c r="I60" i="38"/>
  <c r="D60" i="38"/>
  <c r="BK59" i="38"/>
  <c r="BJ59" i="38"/>
  <c r="BI59" i="38"/>
  <c r="BG59" i="38"/>
  <c r="BE59" i="38"/>
  <c r="BA59" i="38"/>
  <c r="AY59" i="38"/>
  <c r="AX59" i="38"/>
  <c r="AW59" i="38"/>
  <c r="AV59" i="38"/>
  <c r="AU59" i="38"/>
  <c r="AT59" i="38"/>
  <c r="AS59" i="38"/>
  <c r="AQ59" i="38"/>
  <c r="AP59" i="38"/>
  <c r="AM59" i="38"/>
  <c r="AL59" i="38"/>
  <c r="AK59" i="38"/>
  <c r="AJ59" i="38"/>
  <c r="AI59" i="38"/>
  <c r="AH59" i="38"/>
  <c r="AG59" i="38"/>
  <c r="AE59" i="38"/>
  <c r="AD59" i="38"/>
  <c r="AC59" i="38"/>
  <c r="AB59" i="38"/>
  <c r="Z59" i="38"/>
  <c r="Y59" i="38"/>
  <c r="X59" i="38"/>
  <c r="W59" i="38"/>
  <c r="V59" i="38"/>
  <c r="U59" i="38"/>
  <c r="T59" i="38"/>
  <c r="R59" i="38"/>
  <c r="M59" i="38"/>
  <c r="L59" i="38"/>
  <c r="K59" i="38"/>
  <c r="J59" i="38"/>
  <c r="I59" i="38"/>
  <c r="D59" i="38"/>
  <c r="BK58" i="38"/>
  <c r="BJ58" i="38"/>
  <c r="BI58" i="38"/>
  <c r="BG58" i="38"/>
  <c r="BE58" i="38"/>
  <c r="BA58" i="38"/>
  <c r="AY58" i="38"/>
  <c r="AX58" i="38"/>
  <c r="AW58" i="38"/>
  <c r="AV58" i="38"/>
  <c r="AU58" i="38"/>
  <c r="AT58" i="38"/>
  <c r="AS58" i="38"/>
  <c r="AQ58" i="38"/>
  <c r="AP58" i="38"/>
  <c r="AM58" i="38"/>
  <c r="AL58" i="38"/>
  <c r="AK58" i="38"/>
  <c r="AJ58" i="38"/>
  <c r="AI58" i="38"/>
  <c r="AH58" i="38"/>
  <c r="AG58" i="38"/>
  <c r="AE58" i="38"/>
  <c r="AD58" i="38"/>
  <c r="AC58" i="38"/>
  <c r="AB58" i="38"/>
  <c r="AA58" i="38"/>
  <c r="Z58" i="38"/>
  <c r="Y58" i="38"/>
  <c r="X58" i="38"/>
  <c r="W58" i="38"/>
  <c r="V58" i="38"/>
  <c r="U58" i="38"/>
  <c r="T58" i="38"/>
  <c r="R58" i="38"/>
  <c r="M58" i="38"/>
  <c r="L58" i="38"/>
  <c r="K58" i="38"/>
  <c r="J58" i="38"/>
  <c r="I58" i="38"/>
  <c r="D58" i="38"/>
  <c r="BK57" i="38"/>
  <c r="BJ57" i="38"/>
  <c r="BI57" i="38"/>
  <c r="BG57" i="38"/>
  <c r="BE57" i="38"/>
  <c r="BA57" i="38"/>
  <c r="AY57" i="38"/>
  <c r="AX57" i="38"/>
  <c r="AW57" i="38"/>
  <c r="AV57" i="38"/>
  <c r="AU57" i="38"/>
  <c r="AT57" i="38"/>
  <c r="AS57" i="38"/>
  <c r="AQ57" i="38"/>
  <c r="AP57" i="38"/>
  <c r="AM57" i="38"/>
  <c r="AL57" i="38"/>
  <c r="AK57" i="38"/>
  <c r="AJ57" i="38"/>
  <c r="AI57" i="38"/>
  <c r="AH57" i="38"/>
  <c r="AG57" i="38"/>
  <c r="AE57" i="38"/>
  <c r="AD57" i="38"/>
  <c r="AC57" i="38"/>
  <c r="AB57" i="38"/>
  <c r="AA57" i="38"/>
  <c r="Z57" i="38"/>
  <c r="Y57" i="38"/>
  <c r="X57" i="38"/>
  <c r="W57" i="38"/>
  <c r="V57" i="38"/>
  <c r="U57" i="38"/>
  <c r="T57" i="38"/>
  <c r="R57" i="38"/>
  <c r="M57" i="38"/>
  <c r="L57" i="38"/>
  <c r="K57" i="38"/>
  <c r="J57" i="38"/>
  <c r="I57" i="38"/>
  <c r="D57" i="38"/>
  <c r="BK56" i="38"/>
  <c r="BJ56" i="38"/>
  <c r="BI56" i="38"/>
  <c r="BG56" i="38"/>
  <c r="BE56" i="38"/>
  <c r="BA56" i="38"/>
  <c r="AY56" i="38"/>
  <c r="AX56" i="38"/>
  <c r="AW56" i="38"/>
  <c r="AV56" i="38"/>
  <c r="AU56" i="38"/>
  <c r="AT56" i="38"/>
  <c r="AS56" i="38"/>
  <c r="AQ56" i="38"/>
  <c r="AP56" i="38"/>
  <c r="AM56" i="38"/>
  <c r="AL56" i="38"/>
  <c r="AK56" i="38"/>
  <c r="AJ56" i="38"/>
  <c r="AI56" i="38"/>
  <c r="AH56" i="38"/>
  <c r="AG56" i="38"/>
  <c r="AE56" i="38"/>
  <c r="AD56" i="38"/>
  <c r="AC56" i="38"/>
  <c r="AB56" i="38"/>
  <c r="Z56" i="38"/>
  <c r="Y56" i="38"/>
  <c r="X56" i="38"/>
  <c r="W56" i="38"/>
  <c r="V56" i="38"/>
  <c r="U56" i="38"/>
  <c r="T56" i="38"/>
  <c r="R56" i="38"/>
  <c r="M56" i="38"/>
  <c r="L56" i="38"/>
  <c r="K56" i="38"/>
  <c r="J56" i="38"/>
  <c r="I56" i="38"/>
  <c r="D56" i="38"/>
  <c r="BK55" i="38"/>
  <c r="BJ55" i="38"/>
  <c r="BI55" i="38"/>
  <c r="BG55" i="38"/>
  <c r="BE55" i="38"/>
  <c r="BA55" i="38"/>
  <c r="AY55" i="38"/>
  <c r="AX55" i="38"/>
  <c r="AW55" i="38"/>
  <c r="AV55" i="38"/>
  <c r="AU55" i="38"/>
  <c r="AT55" i="38"/>
  <c r="AS55" i="38"/>
  <c r="AQ55" i="38"/>
  <c r="AP55" i="38"/>
  <c r="AM55" i="38"/>
  <c r="AL55" i="38"/>
  <c r="AK55" i="38"/>
  <c r="AJ55" i="38"/>
  <c r="AI55" i="38"/>
  <c r="AH55" i="38"/>
  <c r="AG55" i="38"/>
  <c r="AE55" i="38"/>
  <c r="AD55" i="38"/>
  <c r="AC55" i="38"/>
  <c r="AB55" i="38"/>
  <c r="Z55" i="38"/>
  <c r="Y55" i="38"/>
  <c r="X55" i="38"/>
  <c r="W55" i="38"/>
  <c r="V55" i="38"/>
  <c r="U55" i="38"/>
  <c r="T55" i="38"/>
  <c r="R55" i="38"/>
  <c r="M55" i="38"/>
  <c r="L55" i="38"/>
  <c r="K55" i="38"/>
  <c r="J55" i="38"/>
  <c r="I55" i="38"/>
  <c r="D55" i="38"/>
  <c r="BK54" i="38"/>
  <c r="BJ54" i="38"/>
  <c r="BI54" i="38"/>
  <c r="BG54" i="38"/>
  <c r="BE54" i="38"/>
  <c r="BA54" i="38"/>
  <c r="AY54" i="38"/>
  <c r="AX54" i="38"/>
  <c r="AW54" i="38"/>
  <c r="AV54" i="38"/>
  <c r="AU54" i="38"/>
  <c r="AT54" i="38"/>
  <c r="AS54" i="38"/>
  <c r="AQ54" i="38"/>
  <c r="AP54" i="38"/>
  <c r="AM54" i="38"/>
  <c r="AL54" i="38"/>
  <c r="AK54" i="38"/>
  <c r="AJ54" i="38"/>
  <c r="AI54" i="38"/>
  <c r="AH54" i="38"/>
  <c r="AG54" i="38"/>
  <c r="AE54" i="38"/>
  <c r="AD54" i="38"/>
  <c r="AC54" i="38"/>
  <c r="AB54" i="38"/>
  <c r="Z54" i="38"/>
  <c r="Y54" i="38"/>
  <c r="X54" i="38"/>
  <c r="W54" i="38"/>
  <c r="V54" i="38"/>
  <c r="U54" i="38"/>
  <c r="T54" i="38"/>
  <c r="R54" i="38"/>
  <c r="M54" i="38"/>
  <c r="L54" i="38"/>
  <c r="K54" i="38"/>
  <c r="J54" i="38"/>
  <c r="I54" i="38"/>
  <c r="D54" i="38"/>
  <c r="BK53" i="38"/>
  <c r="BJ53" i="38"/>
  <c r="BI53" i="38"/>
  <c r="BG53" i="38"/>
  <c r="BE53" i="38"/>
  <c r="BA53" i="38"/>
  <c r="AY53" i="38"/>
  <c r="AX53" i="38"/>
  <c r="AW53" i="38"/>
  <c r="AV53" i="38"/>
  <c r="AU53" i="38"/>
  <c r="AT53" i="38"/>
  <c r="AS53" i="38"/>
  <c r="AQ53" i="38"/>
  <c r="AP53" i="38"/>
  <c r="AM53" i="38"/>
  <c r="AL53" i="38"/>
  <c r="AK53" i="38"/>
  <c r="AJ53" i="38"/>
  <c r="AI53" i="38"/>
  <c r="AH53" i="38"/>
  <c r="AG53" i="38"/>
  <c r="AE53" i="38"/>
  <c r="AD53" i="38"/>
  <c r="AC53" i="38"/>
  <c r="AB53" i="38"/>
  <c r="AA53" i="38"/>
  <c r="Z53" i="38"/>
  <c r="Y53" i="38"/>
  <c r="X53" i="38"/>
  <c r="W53" i="38"/>
  <c r="V53" i="38"/>
  <c r="U53" i="38"/>
  <c r="T53" i="38"/>
  <c r="R53" i="38"/>
  <c r="M53" i="38"/>
  <c r="L53" i="38"/>
  <c r="K53" i="38"/>
  <c r="J53" i="38"/>
  <c r="I53" i="38"/>
  <c r="D53" i="38"/>
  <c r="BK52" i="38"/>
  <c r="BJ52" i="38"/>
  <c r="BI52" i="38"/>
  <c r="BG52" i="38"/>
  <c r="BE52" i="38"/>
  <c r="BA52" i="38"/>
  <c r="AY52" i="38"/>
  <c r="AX52" i="38"/>
  <c r="AW52" i="38"/>
  <c r="AV52" i="38"/>
  <c r="AU52" i="38"/>
  <c r="AT52" i="38"/>
  <c r="AS52" i="38"/>
  <c r="AQ52" i="38"/>
  <c r="AP52" i="38"/>
  <c r="AM52" i="38"/>
  <c r="AL52" i="38"/>
  <c r="AK52" i="38"/>
  <c r="AJ52" i="38"/>
  <c r="AI52" i="38"/>
  <c r="AH52" i="38"/>
  <c r="AG52" i="38"/>
  <c r="AE52" i="38"/>
  <c r="AD52" i="38"/>
  <c r="AC52" i="38"/>
  <c r="AB52" i="38"/>
  <c r="AA52" i="38"/>
  <c r="Z52" i="38"/>
  <c r="Y52" i="38"/>
  <c r="X52" i="38"/>
  <c r="W52" i="38"/>
  <c r="V52" i="38"/>
  <c r="U52" i="38"/>
  <c r="T52" i="38"/>
  <c r="R52" i="38"/>
  <c r="M52" i="38"/>
  <c r="L52" i="38"/>
  <c r="K52" i="38"/>
  <c r="J52" i="38"/>
  <c r="I52" i="38"/>
  <c r="D52" i="38"/>
  <c r="BK51" i="38"/>
  <c r="BJ51" i="38"/>
  <c r="BI51" i="38"/>
  <c r="BG51" i="38"/>
  <c r="BE51" i="38"/>
  <c r="BA51" i="38"/>
  <c r="AY51" i="38"/>
  <c r="AX51" i="38"/>
  <c r="AW51" i="38"/>
  <c r="AV51" i="38"/>
  <c r="AU51" i="38"/>
  <c r="AT51" i="38"/>
  <c r="AS51" i="38"/>
  <c r="AQ51" i="38"/>
  <c r="AP51" i="38"/>
  <c r="AM51" i="38"/>
  <c r="AL51" i="38"/>
  <c r="AK51" i="38"/>
  <c r="AJ51" i="38"/>
  <c r="AI51" i="38"/>
  <c r="AH51" i="38"/>
  <c r="AG51" i="38"/>
  <c r="AE51" i="38"/>
  <c r="AD51" i="38"/>
  <c r="AC51" i="38"/>
  <c r="AB51" i="38"/>
  <c r="AA51" i="38"/>
  <c r="Z51" i="38"/>
  <c r="Y51" i="38"/>
  <c r="X51" i="38"/>
  <c r="W51" i="38"/>
  <c r="V51" i="38"/>
  <c r="U51" i="38"/>
  <c r="T51" i="38"/>
  <c r="R51" i="38"/>
  <c r="M51" i="38"/>
  <c r="L51" i="38"/>
  <c r="K51" i="38"/>
  <c r="J51" i="38"/>
  <c r="I51" i="38"/>
  <c r="D51" i="38"/>
  <c r="G611" i="4"/>
  <c r="M610" i="4"/>
  <c r="L610" i="4"/>
  <c r="I610" i="4"/>
  <c r="M609" i="4"/>
  <c r="L609" i="4"/>
  <c r="I609" i="4"/>
  <c r="M608" i="4"/>
  <c r="L608" i="4"/>
  <c r="I608" i="4"/>
  <c r="M607" i="4"/>
  <c r="L607" i="4"/>
  <c r="I607" i="4"/>
  <c r="M606" i="4"/>
  <c r="L606" i="4"/>
  <c r="I606" i="4"/>
  <c r="M605" i="4"/>
  <c r="L605" i="4"/>
  <c r="I605" i="4"/>
  <c r="M604" i="4"/>
  <c r="J3030" i="38" s="1"/>
  <c r="L604" i="4"/>
  <c r="I3030" i="38" s="1"/>
  <c r="I604" i="4"/>
  <c r="F3030" i="38" s="1"/>
  <c r="M603" i="4"/>
  <c r="J3029" i="38" s="1"/>
  <c r="L603" i="4"/>
  <c r="I3029" i="38" s="1"/>
  <c r="I603" i="4"/>
  <c r="F3029" i="38" s="1"/>
  <c r="M602" i="4"/>
  <c r="J3028" i="38" s="1"/>
  <c r="L602" i="4"/>
  <c r="I3028" i="38" s="1"/>
  <c r="I602" i="4"/>
  <c r="F3028" i="38" s="1"/>
  <c r="M601" i="4"/>
  <c r="L601" i="4"/>
  <c r="I601" i="4"/>
  <c r="G595" i="4"/>
  <c r="M594" i="4"/>
  <c r="L594" i="4"/>
  <c r="I594" i="4"/>
  <c r="M593" i="4"/>
  <c r="L593" i="4"/>
  <c r="I593" i="4"/>
  <c r="M592" i="4"/>
  <c r="L592" i="4"/>
  <c r="I592" i="4"/>
  <c r="M591" i="4"/>
  <c r="L591" i="4"/>
  <c r="I591" i="4"/>
  <c r="M590" i="4"/>
  <c r="L590" i="4"/>
  <c r="I590" i="4"/>
  <c r="M589" i="4"/>
  <c r="L589" i="4"/>
  <c r="I589" i="4"/>
  <c r="M588" i="4"/>
  <c r="J3020" i="38" s="1"/>
  <c r="L588" i="4"/>
  <c r="I3020" i="38" s="1"/>
  <c r="I588" i="4"/>
  <c r="F3020" i="38" s="1"/>
  <c r="M587" i="4"/>
  <c r="J3019" i="38" s="1"/>
  <c r="L587" i="4"/>
  <c r="I3019" i="38" s="1"/>
  <c r="I587" i="4"/>
  <c r="F3019" i="38" s="1"/>
  <c r="M586" i="4"/>
  <c r="J3018" i="38" s="1"/>
  <c r="L586" i="4"/>
  <c r="I3018" i="38" s="1"/>
  <c r="I586" i="4"/>
  <c r="F3018" i="38" s="1"/>
  <c r="M585" i="4"/>
  <c r="L585" i="4"/>
  <c r="I585" i="4"/>
  <c r="G579" i="4"/>
  <c r="M578" i="4"/>
  <c r="L578" i="4"/>
  <c r="I578" i="4"/>
  <c r="M577" i="4"/>
  <c r="L577" i="4"/>
  <c r="I577" i="4"/>
  <c r="M576" i="4"/>
  <c r="L576" i="4"/>
  <c r="I576" i="4"/>
  <c r="M575" i="4"/>
  <c r="L575" i="4"/>
  <c r="I575" i="4"/>
  <c r="M574" i="4"/>
  <c r="L574" i="4"/>
  <c r="I574" i="4"/>
  <c r="M573" i="4"/>
  <c r="L573" i="4"/>
  <c r="I573" i="4"/>
  <c r="M572" i="4"/>
  <c r="J3010" i="38" s="1"/>
  <c r="L572" i="4"/>
  <c r="I3010" i="38" s="1"/>
  <c r="I572" i="4"/>
  <c r="F3010" i="38" s="1"/>
  <c r="M571" i="4"/>
  <c r="J3009" i="38" s="1"/>
  <c r="L571" i="4"/>
  <c r="I3009" i="38" s="1"/>
  <c r="I571" i="4"/>
  <c r="F3009" i="38" s="1"/>
  <c r="M570" i="4"/>
  <c r="J3008" i="38" s="1"/>
  <c r="L570" i="4"/>
  <c r="I3008" i="38" s="1"/>
  <c r="I570" i="4"/>
  <c r="F3008" i="38" s="1"/>
  <c r="M569" i="4"/>
  <c r="L569" i="4"/>
  <c r="I569" i="4"/>
  <c r="G563" i="4"/>
  <c r="G2180" i="38" s="1"/>
  <c r="M562" i="4"/>
  <c r="L562" i="4"/>
  <c r="I562" i="4"/>
  <c r="M561" i="4"/>
  <c r="L561" i="4"/>
  <c r="I561" i="4"/>
  <c r="M560" i="4"/>
  <c r="L560" i="4"/>
  <c r="I560" i="4"/>
  <c r="M559" i="4"/>
  <c r="L559" i="4"/>
  <c r="I559" i="4"/>
  <c r="M558" i="4"/>
  <c r="L558" i="4"/>
  <c r="I558" i="4"/>
  <c r="M557" i="4"/>
  <c r="L557" i="4"/>
  <c r="I557" i="4"/>
  <c r="M556" i="4"/>
  <c r="J3000" i="38" s="1"/>
  <c r="L556" i="4"/>
  <c r="I3000" i="38" s="1"/>
  <c r="I556" i="4"/>
  <c r="F3000" i="38" s="1"/>
  <c r="M555" i="4"/>
  <c r="J2999" i="38" s="1"/>
  <c r="L555" i="4"/>
  <c r="I2999" i="38" s="1"/>
  <c r="I555" i="4"/>
  <c r="F2999" i="38" s="1"/>
  <c r="M554" i="4"/>
  <c r="J2998" i="38" s="1"/>
  <c r="L554" i="4"/>
  <c r="I2998" i="38" s="1"/>
  <c r="I554" i="4"/>
  <c r="F2998" i="38" s="1"/>
  <c r="M553" i="4"/>
  <c r="L553" i="4"/>
  <c r="I553" i="4"/>
  <c r="G547" i="4"/>
  <c r="M546" i="4"/>
  <c r="L546" i="4"/>
  <c r="I546" i="4"/>
  <c r="M545" i="4"/>
  <c r="L545" i="4"/>
  <c r="I545" i="4"/>
  <c r="M544" i="4"/>
  <c r="L544" i="4"/>
  <c r="I544" i="4"/>
  <c r="M543" i="4"/>
  <c r="L543" i="4"/>
  <c r="I543" i="4"/>
  <c r="M542" i="4"/>
  <c r="L542" i="4"/>
  <c r="I542" i="4"/>
  <c r="M541" i="4"/>
  <c r="L541" i="4"/>
  <c r="I541" i="4"/>
  <c r="M540" i="4"/>
  <c r="J2990" i="38" s="1"/>
  <c r="L540" i="4"/>
  <c r="I2990" i="38" s="1"/>
  <c r="I540" i="4"/>
  <c r="F2990" i="38" s="1"/>
  <c r="M539" i="4"/>
  <c r="J2989" i="38" s="1"/>
  <c r="L539" i="4"/>
  <c r="I2989" i="38" s="1"/>
  <c r="I539" i="4"/>
  <c r="F2989" i="38" s="1"/>
  <c r="M538" i="4"/>
  <c r="J2988" i="38" s="1"/>
  <c r="L538" i="4"/>
  <c r="I2988" i="38" s="1"/>
  <c r="I538" i="4"/>
  <c r="F2988" i="38" s="1"/>
  <c r="M537" i="4"/>
  <c r="L537" i="4"/>
  <c r="I537" i="4"/>
  <c r="G531" i="4"/>
  <c r="M530" i="4"/>
  <c r="L530" i="4"/>
  <c r="I530" i="4"/>
  <c r="M529" i="4"/>
  <c r="L529" i="4"/>
  <c r="I529" i="4"/>
  <c r="M528" i="4"/>
  <c r="L528" i="4"/>
  <c r="I528" i="4"/>
  <c r="M527" i="4"/>
  <c r="L527" i="4"/>
  <c r="I527" i="4"/>
  <c r="M526" i="4"/>
  <c r="L526" i="4"/>
  <c r="I526" i="4"/>
  <c r="M525" i="4"/>
  <c r="L525" i="4"/>
  <c r="I525" i="4"/>
  <c r="M524" i="4"/>
  <c r="J2980" i="38" s="1"/>
  <c r="L524" i="4"/>
  <c r="I2980" i="38" s="1"/>
  <c r="I524" i="4"/>
  <c r="F2980" i="38" s="1"/>
  <c r="M523" i="4"/>
  <c r="J2979" i="38" s="1"/>
  <c r="L523" i="4"/>
  <c r="I2979" i="38" s="1"/>
  <c r="I523" i="4"/>
  <c r="F2979" i="38" s="1"/>
  <c r="M522" i="4"/>
  <c r="J2978" i="38" s="1"/>
  <c r="L522" i="4"/>
  <c r="I2978" i="38" s="1"/>
  <c r="I522" i="4"/>
  <c r="F2978" i="38" s="1"/>
  <c r="M521" i="4"/>
  <c r="L521" i="4"/>
  <c r="I521" i="4"/>
  <c r="G515" i="4"/>
  <c r="M514" i="4"/>
  <c r="L514" i="4"/>
  <c r="I514" i="4"/>
  <c r="M513" i="4"/>
  <c r="L513" i="4"/>
  <c r="I513" i="4"/>
  <c r="M512" i="4"/>
  <c r="L512" i="4"/>
  <c r="I512" i="4"/>
  <c r="M511" i="4"/>
  <c r="L511" i="4"/>
  <c r="I511" i="4"/>
  <c r="M510" i="4"/>
  <c r="L510" i="4"/>
  <c r="I510" i="4"/>
  <c r="M509" i="4"/>
  <c r="L509" i="4"/>
  <c r="I509" i="4"/>
  <c r="M508" i="4"/>
  <c r="J2970" i="38" s="1"/>
  <c r="L508" i="4"/>
  <c r="I2970" i="38" s="1"/>
  <c r="I508" i="4"/>
  <c r="F2970" i="38" s="1"/>
  <c r="M507" i="4"/>
  <c r="J2969" i="38" s="1"/>
  <c r="L507" i="4"/>
  <c r="I2969" i="38" s="1"/>
  <c r="I507" i="4"/>
  <c r="F2969" i="38" s="1"/>
  <c r="M506" i="4"/>
  <c r="J2968" i="38" s="1"/>
  <c r="L506" i="4"/>
  <c r="I2968" i="38" s="1"/>
  <c r="I506" i="4"/>
  <c r="F2968" i="38" s="1"/>
  <c r="M505" i="4"/>
  <c r="L505" i="4"/>
  <c r="I505" i="4"/>
  <c r="G499" i="4"/>
  <c r="G2176" i="38" s="1"/>
  <c r="M498" i="4"/>
  <c r="L498" i="4"/>
  <c r="I498" i="4"/>
  <c r="M497" i="4"/>
  <c r="L497" i="4"/>
  <c r="I497" i="4"/>
  <c r="M496" i="4"/>
  <c r="L496" i="4"/>
  <c r="I496" i="4"/>
  <c r="M495" i="4"/>
  <c r="L495" i="4"/>
  <c r="I495" i="4"/>
  <c r="M494" i="4"/>
  <c r="L494" i="4"/>
  <c r="I494" i="4"/>
  <c r="M493" i="4"/>
  <c r="L493" i="4"/>
  <c r="I493" i="4"/>
  <c r="M492" i="4"/>
  <c r="J2960" i="38" s="1"/>
  <c r="L492" i="4"/>
  <c r="I2960" i="38" s="1"/>
  <c r="I492" i="4"/>
  <c r="F2960" i="38" s="1"/>
  <c r="M491" i="4"/>
  <c r="J2959" i="38" s="1"/>
  <c r="L491" i="4"/>
  <c r="I2959" i="38" s="1"/>
  <c r="I491" i="4"/>
  <c r="F2959" i="38" s="1"/>
  <c r="M490" i="4"/>
  <c r="J2958" i="38" s="1"/>
  <c r="L490" i="4"/>
  <c r="I2958" i="38" s="1"/>
  <c r="I490" i="4"/>
  <c r="F2958" i="38" s="1"/>
  <c r="M489" i="4"/>
  <c r="L489" i="4"/>
  <c r="I489" i="4"/>
  <c r="G483" i="4"/>
  <c r="M482" i="4"/>
  <c r="L482" i="4"/>
  <c r="I482" i="4"/>
  <c r="M481" i="4"/>
  <c r="L481" i="4"/>
  <c r="I481" i="4"/>
  <c r="M480" i="4"/>
  <c r="L480" i="4"/>
  <c r="I480" i="4"/>
  <c r="M479" i="4"/>
  <c r="L479" i="4"/>
  <c r="I479" i="4"/>
  <c r="M478" i="4"/>
  <c r="L478" i="4"/>
  <c r="I478" i="4"/>
  <c r="M477" i="4"/>
  <c r="L477" i="4"/>
  <c r="I477" i="4"/>
  <c r="M476" i="4"/>
  <c r="J2950" i="38" s="1"/>
  <c r="L476" i="4"/>
  <c r="I2950" i="38" s="1"/>
  <c r="I476" i="4"/>
  <c r="F2950" i="38" s="1"/>
  <c r="M475" i="4"/>
  <c r="J2949" i="38" s="1"/>
  <c r="L475" i="4"/>
  <c r="I2949" i="38" s="1"/>
  <c r="I475" i="4"/>
  <c r="F2949" i="38" s="1"/>
  <c r="M474" i="4"/>
  <c r="J2948" i="38" s="1"/>
  <c r="L474" i="4"/>
  <c r="I2948" i="38" s="1"/>
  <c r="I474" i="4"/>
  <c r="F2948" i="38" s="1"/>
  <c r="M473" i="4"/>
  <c r="L473" i="4"/>
  <c r="I473" i="4"/>
  <c r="G467" i="4"/>
  <c r="M466" i="4"/>
  <c r="L466" i="4"/>
  <c r="I466" i="4"/>
  <c r="M465" i="4"/>
  <c r="L465" i="4"/>
  <c r="I465" i="4"/>
  <c r="M464" i="4"/>
  <c r="L464" i="4"/>
  <c r="I464" i="4"/>
  <c r="M463" i="4"/>
  <c r="L463" i="4"/>
  <c r="I463" i="4"/>
  <c r="M462" i="4"/>
  <c r="L462" i="4"/>
  <c r="I462" i="4"/>
  <c r="M461" i="4"/>
  <c r="L461" i="4"/>
  <c r="I461" i="4"/>
  <c r="M460" i="4"/>
  <c r="J2940" i="38" s="1"/>
  <c r="L460" i="4"/>
  <c r="I2940" i="38" s="1"/>
  <c r="I460" i="4"/>
  <c r="F2940" i="38" s="1"/>
  <c r="M459" i="4"/>
  <c r="J2939" i="38" s="1"/>
  <c r="L459" i="4"/>
  <c r="I2939" i="38" s="1"/>
  <c r="I459" i="4"/>
  <c r="F2939" i="38" s="1"/>
  <c r="M458" i="4"/>
  <c r="J2938" i="38" s="1"/>
  <c r="L458" i="4"/>
  <c r="I2938" i="38" s="1"/>
  <c r="I458" i="4"/>
  <c r="F2938" i="38" s="1"/>
  <c r="M457" i="4"/>
  <c r="L457" i="4"/>
  <c r="I457" i="4"/>
  <c r="G451" i="4"/>
  <c r="M450" i="4"/>
  <c r="L450" i="4"/>
  <c r="I450" i="4"/>
  <c r="M449" i="4"/>
  <c r="L449" i="4"/>
  <c r="I449" i="4"/>
  <c r="M448" i="4"/>
  <c r="L448" i="4"/>
  <c r="I448" i="4"/>
  <c r="M447" i="4"/>
  <c r="L447" i="4"/>
  <c r="I447" i="4"/>
  <c r="M446" i="4"/>
  <c r="L446" i="4"/>
  <c r="I446" i="4"/>
  <c r="M445" i="4"/>
  <c r="L445" i="4"/>
  <c r="I445" i="4"/>
  <c r="M444" i="4"/>
  <c r="J2930" i="38" s="1"/>
  <c r="L444" i="4"/>
  <c r="I2930" i="38" s="1"/>
  <c r="I444" i="4"/>
  <c r="F2930" i="38" s="1"/>
  <c r="M443" i="4"/>
  <c r="J2929" i="38" s="1"/>
  <c r="L443" i="4"/>
  <c r="I2929" i="38" s="1"/>
  <c r="I443" i="4"/>
  <c r="F2929" i="38" s="1"/>
  <c r="M442" i="4"/>
  <c r="J2928" i="38" s="1"/>
  <c r="L442" i="4"/>
  <c r="I2928" i="38" s="1"/>
  <c r="I442" i="4"/>
  <c r="F2928" i="38" s="1"/>
  <c r="M441" i="4"/>
  <c r="L441" i="4"/>
  <c r="I441" i="4"/>
  <c r="G435" i="4"/>
  <c r="G2172" i="38" s="1"/>
  <c r="M434" i="4"/>
  <c r="L434" i="4"/>
  <c r="I434" i="4"/>
  <c r="M433" i="4"/>
  <c r="L433" i="4"/>
  <c r="I433" i="4"/>
  <c r="M432" i="4"/>
  <c r="L432" i="4"/>
  <c r="I432" i="4"/>
  <c r="M431" i="4"/>
  <c r="L431" i="4"/>
  <c r="I431" i="4"/>
  <c r="M430" i="4"/>
  <c r="L430" i="4"/>
  <c r="I430" i="4"/>
  <c r="M429" i="4"/>
  <c r="L429" i="4"/>
  <c r="I429" i="4"/>
  <c r="M428" i="4"/>
  <c r="J2920" i="38" s="1"/>
  <c r="L428" i="4"/>
  <c r="I2920" i="38" s="1"/>
  <c r="I428" i="4"/>
  <c r="F2920" i="38" s="1"/>
  <c r="M427" i="4"/>
  <c r="J2919" i="38" s="1"/>
  <c r="L427" i="4"/>
  <c r="I2919" i="38" s="1"/>
  <c r="I427" i="4"/>
  <c r="F2919" i="38" s="1"/>
  <c r="M426" i="4"/>
  <c r="J2918" i="38" s="1"/>
  <c r="L426" i="4"/>
  <c r="I2918" i="38" s="1"/>
  <c r="I426" i="4"/>
  <c r="F2918" i="38" s="1"/>
  <c r="M425" i="4"/>
  <c r="L425" i="4"/>
  <c r="I425" i="4"/>
  <c r="G419" i="4"/>
  <c r="M418" i="4"/>
  <c r="L418" i="4"/>
  <c r="I418" i="4"/>
  <c r="M417" i="4"/>
  <c r="L417" i="4"/>
  <c r="I417" i="4"/>
  <c r="M416" i="4"/>
  <c r="L416" i="4"/>
  <c r="I416" i="4"/>
  <c r="M415" i="4"/>
  <c r="L415" i="4"/>
  <c r="I415" i="4"/>
  <c r="M414" i="4"/>
  <c r="L414" i="4"/>
  <c r="I414" i="4"/>
  <c r="M413" i="4"/>
  <c r="L413" i="4"/>
  <c r="I413" i="4"/>
  <c r="M412" i="4"/>
  <c r="J2910" i="38" s="1"/>
  <c r="L412" i="4"/>
  <c r="I2910" i="38" s="1"/>
  <c r="I412" i="4"/>
  <c r="F2910" i="38" s="1"/>
  <c r="M411" i="4"/>
  <c r="J2909" i="38" s="1"/>
  <c r="L411" i="4"/>
  <c r="I2909" i="38" s="1"/>
  <c r="I411" i="4"/>
  <c r="F2909" i="38" s="1"/>
  <c r="M410" i="4"/>
  <c r="J2908" i="38" s="1"/>
  <c r="L410" i="4"/>
  <c r="I2908" i="38" s="1"/>
  <c r="I410" i="4"/>
  <c r="F2908" i="38" s="1"/>
  <c r="M409" i="4"/>
  <c r="L409" i="4"/>
  <c r="I409" i="4"/>
  <c r="G403" i="4"/>
  <c r="M402" i="4"/>
  <c r="L402" i="4"/>
  <c r="I402" i="4"/>
  <c r="M401" i="4"/>
  <c r="L401" i="4"/>
  <c r="I401" i="4"/>
  <c r="M400" i="4"/>
  <c r="L400" i="4"/>
  <c r="I400" i="4"/>
  <c r="M399" i="4"/>
  <c r="L399" i="4"/>
  <c r="I399" i="4"/>
  <c r="M398" i="4"/>
  <c r="L398" i="4"/>
  <c r="I398" i="4"/>
  <c r="M397" i="4"/>
  <c r="L397" i="4"/>
  <c r="I397" i="4"/>
  <c r="M396" i="4"/>
  <c r="J2900" i="38" s="1"/>
  <c r="L396" i="4"/>
  <c r="I2900" i="38" s="1"/>
  <c r="I396" i="4"/>
  <c r="F2900" i="38" s="1"/>
  <c r="M395" i="4"/>
  <c r="J2899" i="38" s="1"/>
  <c r="L395" i="4"/>
  <c r="I2899" i="38" s="1"/>
  <c r="I395" i="4"/>
  <c r="F2899" i="38" s="1"/>
  <c r="M394" i="4"/>
  <c r="J2898" i="38" s="1"/>
  <c r="L394" i="4"/>
  <c r="I2898" i="38" s="1"/>
  <c r="I394" i="4"/>
  <c r="F2898" i="38" s="1"/>
  <c r="M393" i="4"/>
  <c r="L393" i="4"/>
  <c r="I393" i="4"/>
  <c r="G387" i="4"/>
  <c r="M386" i="4"/>
  <c r="L386" i="4"/>
  <c r="I386" i="4"/>
  <c r="M385" i="4"/>
  <c r="L385" i="4"/>
  <c r="I385" i="4"/>
  <c r="M384" i="4"/>
  <c r="L384" i="4"/>
  <c r="I384" i="4"/>
  <c r="M383" i="4"/>
  <c r="L383" i="4"/>
  <c r="I383" i="4"/>
  <c r="M382" i="4"/>
  <c r="L382" i="4"/>
  <c r="I382" i="4"/>
  <c r="M381" i="4"/>
  <c r="L381" i="4"/>
  <c r="I381" i="4"/>
  <c r="M380" i="4"/>
  <c r="J2890" i="38" s="1"/>
  <c r="L380" i="4"/>
  <c r="I2890" i="38" s="1"/>
  <c r="I380" i="4"/>
  <c r="F2890" i="38" s="1"/>
  <c r="M379" i="4"/>
  <c r="J2889" i="38" s="1"/>
  <c r="L379" i="4"/>
  <c r="I2889" i="38" s="1"/>
  <c r="I379" i="4"/>
  <c r="F2889" i="38" s="1"/>
  <c r="M378" i="4"/>
  <c r="J2888" i="38" s="1"/>
  <c r="L378" i="4"/>
  <c r="I2888" i="38" s="1"/>
  <c r="I378" i="4"/>
  <c r="F2888" i="38" s="1"/>
  <c r="M377" i="4"/>
  <c r="L377" i="4"/>
  <c r="I377" i="4"/>
  <c r="G371" i="4"/>
  <c r="G2168" i="38" s="1"/>
  <c r="M370" i="4"/>
  <c r="L370" i="4"/>
  <c r="I370" i="4"/>
  <c r="M369" i="4"/>
  <c r="L369" i="4"/>
  <c r="I369" i="4"/>
  <c r="M368" i="4"/>
  <c r="L368" i="4"/>
  <c r="I368" i="4"/>
  <c r="M367" i="4"/>
  <c r="L367" i="4"/>
  <c r="I367" i="4"/>
  <c r="M366" i="4"/>
  <c r="L366" i="4"/>
  <c r="I366" i="4"/>
  <c r="M365" i="4"/>
  <c r="L365" i="4"/>
  <c r="I365" i="4"/>
  <c r="M364" i="4"/>
  <c r="J2880" i="38" s="1"/>
  <c r="L364" i="4"/>
  <c r="I2880" i="38" s="1"/>
  <c r="I364" i="4"/>
  <c r="F2880" i="38" s="1"/>
  <c r="M363" i="4"/>
  <c r="J2879" i="38" s="1"/>
  <c r="L363" i="4"/>
  <c r="I2879" i="38" s="1"/>
  <c r="I363" i="4"/>
  <c r="F2879" i="38" s="1"/>
  <c r="M362" i="4"/>
  <c r="J2878" i="38" s="1"/>
  <c r="L362" i="4"/>
  <c r="I2878" i="38" s="1"/>
  <c r="I362" i="4"/>
  <c r="F2878" i="38" s="1"/>
  <c r="M361" i="4"/>
  <c r="L361" i="4"/>
  <c r="I361" i="4"/>
  <c r="G355" i="4"/>
  <c r="M354" i="4"/>
  <c r="L354" i="4"/>
  <c r="I354" i="4"/>
  <c r="M353" i="4"/>
  <c r="L353" i="4"/>
  <c r="I353" i="4"/>
  <c r="M352" i="4"/>
  <c r="L352" i="4"/>
  <c r="I352" i="4"/>
  <c r="M351" i="4"/>
  <c r="L351" i="4"/>
  <c r="I351" i="4"/>
  <c r="M350" i="4"/>
  <c r="L350" i="4"/>
  <c r="I350" i="4"/>
  <c r="M349" i="4"/>
  <c r="L349" i="4"/>
  <c r="I349" i="4"/>
  <c r="M348" i="4"/>
  <c r="L348" i="4"/>
  <c r="I348" i="4"/>
  <c r="M347" i="4"/>
  <c r="L347" i="4"/>
  <c r="I347" i="4"/>
  <c r="M346" i="4"/>
  <c r="L346" i="4"/>
  <c r="I346" i="4"/>
  <c r="M345" i="4"/>
  <c r="L345" i="4"/>
  <c r="I345" i="4"/>
  <c r="G339" i="4"/>
  <c r="G340" i="4" s="1"/>
  <c r="H2166" i="38" s="1"/>
  <c r="M338" i="4"/>
  <c r="L338" i="4"/>
  <c r="I338" i="4"/>
  <c r="M337" i="4"/>
  <c r="L337" i="4"/>
  <c r="I337" i="4"/>
  <c r="M336" i="4"/>
  <c r="L336" i="4"/>
  <c r="I336" i="4"/>
  <c r="M335" i="4"/>
  <c r="L335" i="4"/>
  <c r="I335" i="4"/>
  <c r="M334" i="4"/>
  <c r="L334" i="4"/>
  <c r="I334" i="4"/>
  <c r="M333" i="4"/>
  <c r="L333" i="4"/>
  <c r="I333" i="4"/>
  <c r="M332" i="4"/>
  <c r="L332" i="4"/>
  <c r="I332" i="4"/>
  <c r="M331" i="4"/>
  <c r="L331" i="4"/>
  <c r="I331" i="4"/>
  <c r="M330" i="4"/>
  <c r="L330" i="4"/>
  <c r="I330" i="4"/>
  <c r="M329" i="4"/>
  <c r="L329" i="4"/>
  <c r="I329" i="4"/>
  <c r="K293" i="4"/>
  <c r="BH51" i="38" s="1"/>
  <c r="K281" i="4"/>
  <c r="BF51" i="38" s="1"/>
  <c r="K270" i="4"/>
  <c r="BD51" i="38" s="1"/>
  <c r="E269" i="4"/>
  <c r="C269" i="4"/>
  <c r="E268" i="4"/>
  <c r="C268" i="4"/>
  <c r="E267" i="4"/>
  <c r="C267" i="4"/>
  <c r="E266" i="4"/>
  <c r="C266" i="4"/>
  <c r="BC51" i="38"/>
  <c r="BB51" i="38"/>
  <c r="K203" i="4"/>
  <c r="AZ51" i="38" s="1"/>
  <c r="K193" i="4"/>
  <c r="AR51" i="38" s="1"/>
  <c r="Q192" i="4"/>
  <c r="O192" i="4"/>
  <c r="M192" i="4"/>
  <c r="K192" i="4"/>
  <c r="AN51" i="38"/>
  <c r="K142" i="4"/>
  <c r="AF51" i="38" s="1"/>
  <c r="S51" i="38"/>
  <c r="Q51" i="38"/>
  <c r="P51" i="38"/>
  <c r="O51" i="38"/>
  <c r="K84" i="4"/>
  <c r="N51" i="38" s="1"/>
  <c r="AD10" i="4"/>
  <c r="AA10" i="4"/>
  <c r="Z85" i="4"/>
  <c r="T6" i="4"/>
  <c r="T4" i="4"/>
  <c r="T2" i="4"/>
  <c r="E51" i="38" s="1"/>
  <c r="G611" i="5"/>
  <c r="M610" i="5"/>
  <c r="L610" i="5"/>
  <c r="I610" i="5"/>
  <c r="M609" i="5"/>
  <c r="L609" i="5"/>
  <c r="I609" i="5"/>
  <c r="M608" i="5"/>
  <c r="L608" i="5"/>
  <c r="I608" i="5"/>
  <c r="M607" i="5"/>
  <c r="L607" i="5"/>
  <c r="I607" i="5"/>
  <c r="M606" i="5"/>
  <c r="L606" i="5"/>
  <c r="I606" i="5"/>
  <c r="M605" i="5"/>
  <c r="L605" i="5"/>
  <c r="I605" i="5"/>
  <c r="M604" i="5"/>
  <c r="J3210" i="38" s="1"/>
  <c r="L604" i="5"/>
  <c r="I3210" i="38" s="1"/>
  <c r="I604" i="5"/>
  <c r="F3210" i="38" s="1"/>
  <c r="M603" i="5"/>
  <c r="J3209" i="38" s="1"/>
  <c r="L603" i="5"/>
  <c r="I3209" i="38" s="1"/>
  <c r="I603" i="5"/>
  <c r="F3209" i="38" s="1"/>
  <c r="M602" i="5"/>
  <c r="J3208" i="38" s="1"/>
  <c r="L602" i="5"/>
  <c r="I3208" i="38" s="1"/>
  <c r="I602" i="5"/>
  <c r="F3208" i="38" s="1"/>
  <c r="M601" i="5"/>
  <c r="L601" i="5"/>
  <c r="I601" i="5"/>
  <c r="G595" i="5"/>
  <c r="G2200" i="38" s="1"/>
  <c r="M594" i="5"/>
  <c r="L594" i="5"/>
  <c r="I594" i="5"/>
  <c r="M593" i="5"/>
  <c r="L593" i="5"/>
  <c r="I593" i="5"/>
  <c r="M592" i="5"/>
  <c r="L592" i="5"/>
  <c r="I592" i="5"/>
  <c r="M591" i="5"/>
  <c r="L591" i="5"/>
  <c r="I591" i="5"/>
  <c r="M590" i="5"/>
  <c r="L590" i="5"/>
  <c r="I590" i="5"/>
  <c r="M589" i="5"/>
  <c r="L589" i="5"/>
  <c r="I589" i="5"/>
  <c r="M588" i="5"/>
  <c r="J3200" i="38" s="1"/>
  <c r="L588" i="5"/>
  <c r="I3200" i="38" s="1"/>
  <c r="I588" i="5"/>
  <c r="F3200" i="38" s="1"/>
  <c r="M587" i="5"/>
  <c r="J3199" i="38" s="1"/>
  <c r="L587" i="5"/>
  <c r="I3199" i="38" s="1"/>
  <c r="I587" i="5"/>
  <c r="F3199" i="38" s="1"/>
  <c r="M586" i="5"/>
  <c r="J3198" i="38" s="1"/>
  <c r="L586" i="5"/>
  <c r="I3198" i="38" s="1"/>
  <c r="I586" i="5"/>
  <c r="F3198" i="38" s="1"/>
  <c r="M585" i="5"/>
  <c r="L585" i="5"/>
  <c r="I585" i="5"/>
  <c r="G579" i="5"/>
  <c r="M578" i="5"/>
  <c r="L578" i="5"/>
  <c r="I578" i="5"/>
  <c r="M577" i="5"/>
  <c r="L577" i="5"/>
  <c r="I577" i="5"/>
  <c r="M576" i="5"/>
  <c r="L576" i="5"/>
  <c r="I576" i="5"/>
  <c r="M575" i="5"/>
  <c r="L575" i="5"/>
  <c r="I575" i="5"/>
  <c r="M574" i="5"/>
  <c r="L574" i="5"/>
  <c r="I574" i="5"/>
  <c r="M573" i="5"/>
  <c r="L573" i="5"/>
  <c r="I573" i="5"/>
  <c r="M572" i="5"/>
  <c r="J3190" i="38" s="1"/>
  <c r="L572" i="5"/>
  <c r="I3190" i="38" s="1"/>
  <c r="I572" i="5"/>
  <c r="F3190" i="38" s="1"/>
  <c r="M571" i="5"/>
  <c r="J3189" i="38" s="1"/>
  <c r="L571" i="5"/>
  <c r="I3189" i="38" s="1"/>
  <c r="I571" i="5"/>
  <c r="F3189" i="38" s="1"/>
  <c r="M570" i="5"/>
  <c r="J3188" i="38" s="1"/>
  <c r="L570" i="5"/>
  <c r="I3188" i="38" s="1"/>
  <c r="I570" i="5"/>
  <c r="F3188" i="38" s="1"/>
  <c r="M569" i="5"/>
  <c r="L569" i="5"/>
  <c r="I569" i="5"/>
  <c r="G563" i="5"/>
  <c r="M562" i="5"/>
  <c r="L562" i="5"/>
  <c r="I562" i="5"/>
  <c r="M561" i="5"/>
  <c r="L561" i="5"/>
  <c r="I561" i="5"/>
  <c r="M560" i="5"/>
  <c r="L560" i="5"/>
  <c r="I560" i="5"/>
  <c r="M559" i="5"/>
  <c r="L559" i="5"/>
  <c r="I559" i="5"/>
  <c r="M558" i="5"/>
  <c r="L558" i="5"/>
  <c r="I558" i="5"/>
  <c r="M557" i="5"/>
  <c r="L557" i="5"/>
  <c r="I557" i="5"/>
  <c r="M556" i="5"/>
  <c r="J3180" i="38" s="1"/>
  <c r="L556" i="5"/>
  <c r="I3180" i="38" s="1"/>
  <c r="I556" i="5"/>
  <c r="F3180" i="38" s="1"/>
  <c r="M555" i="5"/>
  <c r="J3179" i="38" s="1"/>
  <c r="L555" i="5"/>
  <c r="I3179" i="38" s="1"/>
  <c r="I555" i="5"/>
  <c r="F3179" i="38" s="1"/>
  <c r="M554" i="5"/>
  <c r="J3178" i="38" s="1"/>
  <c r="L554" i="5"/>
  <c r="I3178" i="38" s="1"/>
  <c r="I554" i="5"/>
  <c r="F3178" i="38" s="1"/>
  <c r="M553" i="5"/>
  <c r="L553" i="5"/>
  <c r="I553" i="5"/>
  <c r="G547" i="5"/>
  <c r="M546" i="5"/>
  <c r="L546" i="5"/>
  <c r="I546" i="5"/>
  <c r="M545" i="5"/>
  <c r="L545" i="5"/>
  <c r="I545" i="5"/>
  <c r="M544" i="5"/>
  <c r="L544" i="5"/>
  <c r="I544" i="5"/>
  <c r="M543" i="5"/>
  <c r="L543" i="5"/>
  <c r="I543" i="5"/>
  <c r="M542" i="5"/>
  <c r="L542" i="5"/>
  <c r="I542" i="5"/>
  <c r="M541" i="5"/>
  <c r="L541" i="5"/>
  <c r="I541" i="5"/>
  <c r="M540" i="5"/>
  <c r="J3170" i="38" s="1"/>
  <c r="L540" i="5"/>
  <c r="I3170" i="38" s="1"/>
  <c r="I540" i="5"/>
  <c r="F3170" i="38" s="1"/>
  <c r="M539" i="5"/>
  <c r="J3169" i="38" s="1"/>
  <c r="L539" i="5"/>
  <c r="I3169" i="38" s="1"/>
  <c r="I539" i="5"/>
  <c r="F3169" i="38" s="1"/>
  <c r="M538" i="5"/>
  <c r="J3168" i="38" s="1"/>
  <c r="L538" i="5"/>
  <c r="I3168" i="38" s="1"/>
  <c r="I538" i="5"/>
  <c r="F3168" i="38" s="1"/>
  <c r="M537" i="5"/>
  <c r="L537" i="5"/>
  <c r="I537" i="5"/>
  <c r="G531" i="5"/>
  <c r="G2196" i="38" s="1"/>
  <c r="M530" i="5"/>
  <c r="L530" i="5"/>
  <c r="I530" i="5"/>
  <c r="M529" i="5"/>
  <c r="L529" i="5"/>
  <c r="I529" i="5"/>
  <c r="M528" i="5"/>
  <c r="L528" i="5"/>
  <c r="I528" i="5"/>
  <c r="M527" i="5"/>
  <c r="L527" i="5"/>
  <c r="I527" i="5"/>
  <c r="M526" i="5"/>
  <c r="L526" i="5"/>
  <c r="I526" i="5"/>
  <c r="M525" i="5"/>
  <c r="L525" i="5"/>
  <c r="I525" i="5"/>
  <c r="M524" i="5"/>
  <c r="J3160" i="38" s="1"/>
  <c r="L524" i="5"/>
  <c r="I3160" i="38" s="1"/>
  <c r="I524" i="5"/>
  <c r="F3160" i="38" s="1"/>
  <c r="M523" i="5"/>
  <c r="J3159" i="38" s="1"/>
  <c r="L523" i="5"/>
  <c r="I3159" i="38" s="1"/>
  <c r="I523" i="5"/>
  <c r="F3159" i="38" s="1"/>
  <c r="M522" i="5"/>
  <c r="J3158" i="38" s="1"/>
  <c r="L522" i="5"/>
  <c r="I3158" i="38" s="1"/>
  <c r="I522" i="5"/>
  <c r="F3158" i="38" s="1"/>
  <c r="M521" i="5"/>
  <c r="L521" i="5"/>
  <c r="I521" i="5"/>
  <c r="G515" i="5"/>
  <c r="M514" i="5"/>
  <c r="L514" i="5"/>
  <c r="I514" i="5"/>
  <c r="M513" i="5"/>
  <c r="L513" i="5"/>
  <c r="I513" i="5"/>
  <c r="M512" i="5"/>
  <c r="L512" i="5"/>
  <c r="I512" i="5"/>
  <c r="M511" i="5"/>
  <c r="L511" i="5"/>
  <c r="I511" i="5"/>
  <c r="M510" i="5"/>
  <c r="L510" i="5"/>
  <c r="I510" i="5"/>
  <c r="M509" i="5"/>
  <c r="L509" i="5"/>
  <c r="I509" i="5"/>
  <c r="M508" i="5"/>
  <c r="J3150" i="38" s="1"/>
  <c r="L508" i="5"/>
  <c r="I3150" i="38" s="1"/>
  <c r="I508" i="5"/>
  <c r="F3150" i="38" s="1"/>
  <c r="M507" i="5"/>
  <c r="J3149" i="38" s="1"/>
  <c r="L507" i="5"/>
  <c r="I3149" i="38" s="1"/>
  <c r="I507" i="5"/>
  <c r="F3149" i="38" s="1"/>
  <c r="M506" i="5"/>
  <c r="J3148" i="38" s="1"/>
  <c r="L506" i="5"/>
  <c r="I3148" i="38" s="1"/>
  <c r="I506" i="5"/>
  <c r="F3148" i="38" s="1"/>
  <c r="M505" i="5"/>
  <c r="L505" i="5"/>
  <c r="I505" i="5"/>
  <c r="G499" i="5"/>
  <c r="M498" i="5"/>
  <c r="L498" i="5"/>
  <c r="I498" i="5"/>
  <c r="M497" i="5"/>
  <c r="L497" i="5"/>
  <c r="I497" i="5"/>
  <c r="M496" i="5"/>
  <c r="L496" i="5"/>
  <c r="I496" i="5"/>
  <c r="M495" i="5"/>
  <c r="L495" i="5"/>
  <c r="I495" i="5"/>
  <c r="M494" i="5"/>
  <c r="L494" i="5"/>
  <c r="I494" i="5"/>
  <c r="M493" i="5"/>
  <c r="L493" i="5"/>
  <c r="I493" i="5"/>
  <c r="M492" i="5"/>
  <c r="J3140" i="38" s="1"/>
  <c r="L492" i="5"/>
  <c r="I3140" i="38" s="1"/>
  <c r="I492" i="5"/>
  <c r="F3140" i="38" s="1"/>
  <c r="M491" i="5"/>
  <c r="J3139" i="38" s="1"/>
  <c r="L491" i="5"/>
  <c r="I3139" i="38" s="1"/>
  <c r="I491" i="5"/>
  <c r="F3139" i="38" s="1"/>
  <c r="M490" i="5"/>
  <c r="J3138" i="38" s="1"/>
  <c r="L490" i="5"/>
  <c r="I3138" i="38" s="1"/>
  <c r="I490" i="5"/>
  <c r="F3138" i="38" s="1"/>
  <c r="M489" i="5"/>
  <c r="L489" i="5"/>
  <c r="I489" i="5"/>
  <c r="G483" i="5"/>
  <c r="M482" i="5"/>
  <c r="L482" i="5"/>
  <c r="I482" i="5"/>
  <c r="M481" i="5"/>
  <c r="L481" i="5"/>
  <c r="I481" i="5"/>
  <c r="M480" i="5"/>
  <c r="L480" i="5"/>
  <c r="I480" i="5"/>
  <c r="M479" i="5"/>
  <c r="L479" i="5"/>
  <c r="I479" i="5"/>
  <c r="M478" i="5"/>
  <c r="L478" i="5"/>
  <c r="I478" i="5"/>
  <c r="M477" i="5"/>
  <c r="L477" i="5"/>
  <c r="I477" i="5"/>
  <c r="M476" i="5"/>
  <c r="J3130" i="38" s="1"/>
  <c r="L476" i="5"/>
  <c r="I3130" i="38" s="1"/>
  <c r="I476" i="5"/>
  <c r="F3130" i="38" s="1"/>
  <c r="M475" i="5"/>
  <c r="J3129" i="38" s="1"/>
  <c r="L475" i="5"/>
  <c r="I3129" i="38" s="1"/>
  <c r="I475" i="5"/>
  <c r="F3129" i="38" s="1"/>
  <c r="M474" i="5"/>
  <c r="J3128" i="38" s="1"/>
  <c r="L474" i="5"/>
  <c r="I3128" i="38" s="1"/>
  <c r="I474" i="5"/>
  <c r="F3128" i="38" s="1"/>
  <c r="M473" i="5"/>
  <c r="L473" i="5"/>
  <c r="I473" i="5"/>
  <c r="G467" i="5"/>
  <c r="G2192" i="38" s="1"/>
  <c r="M466" i="5"/>
  <c r="L466" i="5"/>
  <c r="I466" i="5"/>
  <c r="M465" i="5"/>
  <c r="L465" i="5"/>
  <c r="I465" i="5"/>
  <c r="M464" i="5"/>
  <c r="L464" i="5"/>
  <c r="I464" i="5"/>
  <c r="M463" i="5"/>
  <c r="L463" i="5"/>
  <c r="I463" i="5"/>
  <c r="M462" i="5"/>
  <c r="L462" i="5"/>
  <c r="I462" i="5"/>
  <c r="M461" i="5"/>
  <c r="L461" i="5"/>
  <c r="I461" i="5"/>
  <c r="M460" i="5"/>
  <c r="J3120" i="38" s="1"/>
  <c r="L460" i="5"/>
  <c r="I3120" i="38" s="1"/>
  <c r="I460" i="5"/>
  <c r="F3120" i="38" s="1"/>
  <c r="M459" i="5"/>
  <c r="J3119" i="38" s="1"/>
  <c r="L459" i="5"/>
  <c r="I3119" i="38" s="1"/>
  <c r="I459" i="5"/>
  <c r="F3119" i="38" s="1"/>
  <c r="M458" i="5"/>
  <c r="J3118" i="38" s="1"/>
  <c r="L458" i="5"/>
  <c r="I3118" i="38" s="1"/>
  <c r="I458" i="5"/>
  <c r="F3118" i="38" s="1"/>
  <c r="M457" i="5"/>
  <c r="L457" i="5"/>
  <c r="I457" i="5"/>
  <c r="G451" i="5"/>
  <c r="M450" i="5"/>
  <c r="L450" i="5"/>
  <c r="I450" i="5"/>
  <c r="M449" i="5"/>
  <c r="L449" i="5"/>
  <c r="I449" i="5"/>
  <c r="M448" i="5"/>
  <c r="L448" i="5"/>
  <c r="I448" i="5"/>
  <c r="M447" i="5"/>
  <c r="L447" i="5"/>
  <c r="I447" i="5"/>
  <c r="M446" i="5"/>
  <c r="L446" i="5"/>
  <c r="I446" i="5"/>
  <c r="M445" i="5"/>
  <c r="L445" i="5"/>
  <c r="I445" i="5"/>
  <c r="M444" i="5"/>
  <c r="J3110" i="38" s="1"/>
  <c r="L444" i="5"/>
  <c r="I3110" i="38" s="1"/>
  <c r="I444" i="5"/>
  <c r="F3110" i="38" s="1"/>
  <c r="M443" i="5"/>
  <c r="J3109" i="38" s="1"/>
  <c r="L443" i="5"/>
  <c r="I3109" i="38" s="1"/>
  <c r="I443" i="5"/>
  <c r="F3109" i="38" s="1"/>
  <c r="M442" i="5"/>
  <c r="J3108" i="38" s="1"/>
  <c r="L442" i="5"/>
  <c r="I3108" i="38" s="1"/>
  <c r="I442" i="5"/>
  <c r="F3108" i="38" s="1"/>
  <c r="M441" i="5"/>
  <c r="L441" i="5"/>
  <c r="I441" i="5"/>
  <c r="G435" i="5"/>
  <c r="M434" i="5"/>
  <c r="L434" i="5"/>
  <c r="I434" i="5"/>
  <c r="M433" i="5"/>
  <c r="L433" i="5"/>
  <c r="I433" i="5"/>
  <c r="M432" i="5"/>
  <c r="L432" i="5"/>
  <c r="I432" i="5"/>
  <c r="M431" i="5"/>
  <c r="L431" i="5"/>
  <c r="I431" i="5"/>
  <c r="M430" i="5"/>
  <c r="L430" i="5"/>
  <c r="I430" i="5"/>
  <c r="M429" i="5"/>
  <c r="L429" i="5"/>
  <c r="I429" i="5"/>
  <c r="M428" i="5"/>
  <c r="J3100" i="38" s="1"/>
  <c r="L428" i="5"/>
  <c r="I3100" i="38" s="1"/>
  <c r="I428" i="5"/>
  <c r="F3100" i="38" s="1"/>
  <c r="M427" i="5"/>
  <c r="J3099" i="38" s="1"/>
  <c r="L427" i="5"/>
  <c r="I3099" i="38" s="1"/>
  <c r="I427" i="5"/>
  <c r="F3099" i="38" s="1"/>
  <c r="M426" i="5"/>
  <c r="J3098" i="38" s="1"/>
  <c r="L426" i="5"/>
  <c r="I3098" i="38" s="1"/>
  <c r="I426" i="5"/>
  <c r="F3098" i="38" s="1"/>
  <c r="M425" i="5"/>
  <c r="L425" i="5"/>
  <c r="I425" i="5"/>
  <c r="G419" i="5"/>
  <c r="M418" i="5"/>
  <c r="L418" i="5"/>
  <c r="I418" i="5"/>
  <c r="M417" i="5"/>
  <c r="L417" i="5"/>
  <c r="I417" i="5"/>
  <c r="M416" i="5"/>
  <c r="L416" i="5"/>
  <c r="I416" i="5"/>
  <c r="M415" i="5"/>
  <c r="L415" i="5"/>
  <c r="I415" i="5"/>
  <c r="M414" i="5"/>
  <c r="L414" i="5"/>
  <c r="I414" i="5"/>
  <c r="M413" i="5"/>
  <c r="L413" i="5"/>
  <c r="I413" i="5"/>
  <c r="M412" i="5"/>
  <c r="J3090" i="38" s="1"/>
  <c r="L412" i="5"/>
  <c r="I3090" i="38" s="1"/>
  <c r="I412" i="5"/>
  <c r="F3090" i="38" s="1"/>
  <c r="M411" i="5"/>
  <c r="J3089" i="38" s="1"/>
  <c r="L411" i="5"/>
  <c r="I3089" i="38" s="1"/>
  <c r="I411" i="5"/>
  <c r="F3089" i="38" s="1"/>
  <c r="M410" i="5"/>
  <c r="J3088" i="38" s="1"/>
  <c r="L410" i="5"/>
  <c r="I3088" i="38" s="1"/>
  <c r="I410" i="5"/>
  <c r="F3088" i="38" s="1"/>
  <c r="M409" i="5"/>
  <c r="L409" i="5"/>
  <c r="I409" i="5"/>
  <c r="G403" i="5"/>
  <c r="G2188" i="38" s="1"/>
  <c r="M402" i="5"/>
  <c r="L402" i="5"/>
  <c r="I402" i="5"/>
  <c r="M401" i="5"/>
  <c r="L401" i="5"/>
  <c r="I401" i="5"/>
  <c r="M400" i="5"/>
  <c r="L400" i="5"/>
  <c r="I400" i="5"/>
  <c r="M399" i="5"/>
  <c r="L399" i="5"/>
  <c r="I399" i="5"/>
  <c r="M398" i="5"/>
  <c r="L398" i="5"/>
  <c r="I398" i="5"/>
  <c r="M397" i="5"/>
  <c r="L397" i="5"/>
  <c r="I397" i="5"/>
  <c r="M396" i="5"/>
  <c r="J3080" i="38" s="1"/>
  <c r="L396" i="5"/>
  <c r="I3080" i="38" s="1"/>
  <c r="I396" i="5"/>
  <c r="F3080" i="38" s="1"/>
  <c r="M395" i="5"/>
  <c r="J3079" i="38" s="1"/>
  <c r="L395" i="5"/>
  <c r="I3079" i="38" s="1"/>
  <c r="I395" i="5"/>
  <c r="F3079" i="38" s="1"/>
  <c r="M394" i="5"/>
  <c r="J3078" i="38" s="1"/>
  <c r="L394" i="5"/>
  <c r="I3078" i="38" s="1"/>
  <c r="I394" i="5"/>
  <c r="F3078" i="38" s="1"/>
  <c r="M393" i="5"/>
  <c r="L393" i="5"/>
  <c r="I393" i="5"/>
  <c r="G387" i="5"/>
  <c r="M386" i="5"/>
  <c r="L386" i="5"/>
  <c r="I386" i="5"/>
  <c r="M385" i="5"/>
  <c r="L385" i="5"/>
  <c r="I385" i="5"/>
  <c r="M384" i="5"/>
  <c r="L384" i="5"/>
  <c r="I384" i="5"/>
  <c r="M383" i="5"/>
  <c r="L383" i="5"/>
  <c r="I383" i="5"/>
  <c r="M382" i="5"/>
  <c r="L382" i="5"/>
  <c r="I382" i="5"/>
  <c r="M381" i="5"/>
  <c r="L381" i="5"/>
  <c r="I381" i="5"/>
  <c r="M380" i="5"/>
  <c r="J3070" i="38" s="1"/>
  <c r="L380" i="5"/>
  <c r="I3070" i="38" s="1"/>
  <c r="I380" i="5"/>
  <c r="F3070" i="38" s="1"/>
  <c r="M379" i="5"/>
  <c r="J3069" i="38" s="1"/>
  <c r="L379" i="5"/>
  <c r="I3069" i="38" s="1"/>
  <c r="I379" i="5"/>
  <c r="F3069" i="38" s="1"/>
  <c r="M378" i="5"/>
  <c r="J3068" i="38" s="1"/>
  <c r="L378" i="5"/>
  <c r="I3068" i="38" s="1"/>
  <c r="I378" i="5"/>
  <c r="F3068" i="38" s="1"/>
  <c r="M377" i="5"/>
  <c r="L377" i="5"/>
  <c r="I377" i="5"/>
  <c r="G371" i="5"/>
  <c r="M370" i="5"/>
  <c r="L370" i="5"/>
  <c r="I370" i="5"/>
  <c r="M369" i="5"/>
  <c r="L369" i="5"/>
  <c r="I369" i="5"/>
  <c r="M368" i="5"/>
  <c r="L368" i="5"/>
  <c r="I368" i="5"/>
  <c r="M367" i="5"/>
  <c r="L367" i="5"/>
  <c r="I367" i="5"/>
  <c r="M366" i="5"/>
  <c r="L366" i="5"/>
  <c r="I366" i="5"/>
  <c r="M365" i="5"/>
  <c r="L365" i="5"/>
  <c r="I365" i="5"/>
  <c r="M364" i="5"/>
  <c r="J3060" i="38" s="1"/>
  <c r="L364" i="5"/>
  <c r="I3060" i="38" s="1"/>
  <c r="I364" i="5"/>
  <c r="F3060" i="38" s="1"/>
  <c r="M363" i="5"/>
  <c r="J3059" i="38" s="1"/>
  <c r="L363" i="5"/>
  <c r="I3059" i="38" s="1"/>
  <c r="I363" i="5"/>
  <c r="F3059" i="38" s="1"/>
  <c r="M362" i="5"/>
  <c r="J3058" i="38" s="1"/>
  <c r="L362" i="5"/>
  <c r="I3058" i="38" s="1"/>
  <c r="I362" i="5"/>
  <c r="F3058" i="38" s="1"/>
  <c r="M361" i="5"/>
  <c r="L361" i="5"/>
  <c r="I361" i="5"/>
  <c r="G355" i="5"/>
  <c r="M354" i="5"/>
  <c r="L354" i="5"/>
  <c r="I354" i="5"/>
  <c r="M353" i="5"/>
  <c r="L353" i="5"/>
  <c r="I353" i="5"/>
  <c r="M352" i="5"/>
  <c r="L352" i="5"/>
  <c r="I352" i="5"/>
  <c r="M351" i="5"/>
  <c r="L351" i="5"/>
  <c r="I351" i="5"/>
  <c r="M350" i="5"/>
  <c r="L350" i="5"/>
  <c r="I350" i="5"/>
  <c r="M349" i="5"/>
  <c r="L349" i="5"/>
  <c r="I349" i="5"/>
  <c r="M348" i="5"/>
  <c r="L348" i="5"/>
  <c r="I348" i="5"/>
  <c r="M347" i="5"/>
  <c r="L347" i="5"/>
  <c r="I347" i="5"/>
  <c r="M346" i="5"/>
  <c r="L346" i="5"/>
  <c r="I346" i="5"/>
  <c r="M345" i="5"/>
  <c r="L345" i="5"/>
  <c r="I345" i="5"/>
  <c r="G339" i="5"/>
  <c r="G340" i="5" s="1"/>
  <c r="H2184" i="38" s="1"/>
  <c r="M338" i="5"/>
  <c r="L338" i="5"/>
  <c r="I338" i="5"/>
  <c r="M337" i="5"/>
  <c r="L337" i="5"/>
  <c r="I337" i="5"/>
  <c r="M336" i="5"/>
  <c r="L336" i="5"/>
  <c r="I336" i="5"/>
  <c r="M335" i="5"/>
  <c r="L335" i="5"/>
  <c r="I335" i="5"/>
  <c r="M334" i="5"/>
  <c r="L334" i="5"/>
  <c r="I334" i="5"/>
  <c r="M333" i="5"/>
  <c r="L333" i="5"/>
  <c r="I333" i="5"/>
  <c r="M332" i="5"/>
  <c r="L332" i="5"/>
  <c r="I332" i="5"/>
  <c r="M331" i="5"/>
  <c r="L331" i="5"/>
  <c r="I331" i="5"/>
  <c r="M330" i="5"/>
  <c r="L330" i="5"/>
  <c r="I330" i="5"/>
  <c r="M329" i="5"/>
  <c r="L329" i="5"/>
  <c r="I329" i="5"/>
  <c r="K293" i="5"/>
  <c r="BH52" i="38" s="1"/>
  <c r="K281" i="5"/>
  <c r="BF52" i="38" s="1"/>
  <c r="K270" i="5"/>
  <c r="BD52" i="38" s="1"/>
  <c r="E269" i="5"/>
  <c r="C269" i="5"/>
  <c r="E268" i="5"/>
  <c r="C268" i="5"/>
  <c r="E267" i="5"/>
  <c r="C267" i="5"/>
  <c r="E266" i="5"/>
  <c r="C266" i="5"/>
  <c r="BC52" i="38"/>
  <c r="BB52" i="38"/>
  <c r="K203" i="5"/>
  <c r="AZ52" i="38" s="1"/>
  <c r="K193" i="5"/>
  <c r="AR52" i="38" s="1"/>
  <c r="Q192" i="5"/>
  <c r="O192" i="5"/>
  <c r="M192" i="5"/>
  <c r="K192" i="5"/>
  <c r="AN52" i="38"/>
  <c r="K142" i="5"/>
  <c r="AF52" i="38" s="1"/>
  <c r="S52" i="38"/>
  <c r="Q52" i="38"/>
  <c r="P52" i="38"/>
  <c r="O52" i="38"/>
  <c r="AD10" i="5"/>
  <c r="AA10" i="5"/>
  <c r="Z85" i="5"/>
  <c r="T6" i="5"/>
  <c r="T4" i="5"/>
  <c r="T2" i="5"/>
  <c r="E52" i="38" s="1"/>
  <c r="G611" i="6"/>
  <c r="M610" i="6"/>
  <c r="L610" i="6"/>
  <c r="I610" i="6"/>
  <c r="M609" i="6"/>
  <c r="L609" i="6"/>
  <c r="I609" i="6"/>
  <c r="M608" i="6"/>
  <c r="L608" i="6"/>
  <c r="I608" i="6"/>
  <c r="M607" i="6"/>
  <c r="L607" i="6"/>
  <c r="I607" i="6"/>
  <c r="M606" i="6"/>
  <c r="L606" i="6"/>
  <c r="I606" i="6"/>
  <c r="M605" i="6"/>
  <c r="L605" i="6"/>
  <c r="I605" i="6"/>
  <c r="M604" i="6"/>
  <c r="J3390" i="38" s="1"/>
  <c r="L604" i="6"/>
  <c r="I3390" i="38" s="1"/>
  <c r="I604" i="6"/>
  <c r="F3390" i="38" s="1"/>
  <c r="M603" i="6"/>
  <c r="J3389" i="38" s="1"/>
  <c r="L603" i="6"/>
  <c r="I3389" i="38" s="1"/>
  <c r="I603" i="6"/>
  <c r="F3389" i="38" s="1"/>
  <c r="M602" i="6"/>
  <c r="J3388" i="38" s="1"/>
  <c r="L602" i="6"/>
  <c r="I3388" i="38" s="1"/>
  <c r="I602" i="6"/>
  <c r="F3388" i="38" s="1"/>
  <c r="M601" i="6"/>
  <c r="L601" i="6"/>
  <c r="I601" i="6"/>
  <c r="G595" i="6"/>
  <c r="M594" i="6"/>
  <c r="L594" i="6"/>
  <c r="I594" i="6"/>
  <c r="M593" i="6"/>
  <c r="L593" i="6"/>
  <c r="I593" i="6"/>
  <c r="M592" i="6"/>
  <c r="L592" i="6"/>
  <c r="I592" i="6"/>
  <c r="M591" i="6"/>
  <c r="L591" i="6"/>
  <c r="I591" i="6"/>
  <c r="M590" i="6"/>
  <c r="L590" i="6"/>
  <c r="I590" i="6"/>
  <c r="M589" i="6"/>
  <c r="L589" i="6"/>
  <c r="I589" i="6"/>
  <c r="M588" i="6"/>
  <c r="J3380" i="38" s="1"/>
  <c r="L588" i="6"/>
  <c r="I3380" i="38" s="1"/>
  <c r="I588" i="6"/>
  <c r="F3380" i="38" s="1"/>
  <c r="M587" i="6"/>
  <c r="J3379" i="38" s="1"/>
  <c r="L587" i="6"/>
  <c r="I3379" i="38" s="1"/>
  <c r="I587" i="6"/>
  <c r="F3379" i="38" s="1"/>
  <c r="M586" i="6"/>
  <c r="J3378" i="38" s="1"/>
  <c r="L586" i="6"/>
  <c r="I3378" i="38" s="1"/>
  <c r="I586" i="6"/>
  <c r="F3378" i="38" s="1"/>
  <c r="M585" i="6"/>
  <c r="L585" i="6"/>
  <c r="I585" i="6"/>
  <c r="G579" i="6"/>
  <c r="M578" i="6"/>
  <c r="L578" i="6"/>
  <c r="I578" i="6"/>
  <c r="M577" i="6"/>
  <c r="L577" i="6"/>
  <c r="I577" i="6"/>
  <c r="M576" i="6"/>
  <c r="L576" i="6"/>
  <c r="I576" i="6"/>
  <c r="M575" i="6"/>
  <c r="L575" i="6"/>
  <c r="I575" i="6"/>
  <c r="M574" i="6"/>
  <c r="L574" i="6"/>
  <c r="I574" i="6"/>
  <c r="M573" i="6"/>
  <c r="L573" i="6"/>
  <c r="I573" i="6"/>
  <c r="M572" i="6"/>
  <c r="J3370" i="38" s="1"/>
  <c r="L572" i="6"/>
  <c r="I3370" i="38" s="1"/>
  <c r="I572" i="6"/>
  <c r="F3370" i="38" s="1"/>
  <c r="M571" i="6"/>
  <c r="J3369" i="38" s="1"/>
  <c r="L571" i="6"/>
  <c r="I3369" i="38" s="1"/>
  <c r="I571" i="6"/>
  <c r="F3369" i="38" s="1"/>
  <c r="M570" i="6"/>
  <c r="J3368" i="38" s="1"/>
  <c r="L570" i="6"/>
  <c r="I3368" i="38" s="1"/>
  <c r="I570" i="6"/>
  <c r="F3368" i="38" s="1"/>
  <c r="M569" i="6"/>
  <c r="L569" i="6"/>
  <c r="I569" i="6"/>
  <c r="G563" i="6"/>
  <c r="G2216" i="38" s="1"/>
  <c r="M562" i="6"/>
  <c r="L562" i="6"/>
  <c r="I562" i="6"/>
  <c r="M561" i="6"/>
  <c r="L561" i="6"/>
  <c r="I561" i="6"/>
  <c r="M560" i="6"/>
  <c r="L560" i="6"/>
  <c r="I560" i="6"/>
  <c r="M559" i="6"/>
  <c r="L559" i="6"/>
  <c r="I559" i="6"/>
  <c r="M558" i="6"/>
  <c r="L558" i="6"/>
  <c r="I558" i="6"/>
  <c r="M557" i="6"/>
  <c r="L557" i="6"/>
  <c r="I557" i="6"/>
  <c r="M556" i="6"/>
  <c r="J3360" i="38" s="1"/>
  <c r="L556" i="6"/>
  <c r="I3360" i="38" s="1"/>
  <c r="I556" i="6"/>
  <c r="F3360" i="38" s="1"/>
  <c r="M555" i="6"/>
  <c r="J3359" i="38" s="1"/>
  <c r="L555" i="6"/>
  <c r="I3359" i="38" s="1"/>
  <c r="I555" i="6"/>
  <c r="F3359" i="38" s="1"/>
  <c r="M554" i="6"/>
  <c r="J3358" i="38" s="1"/>
  <c r="L554" i="6"/>
  <c r="I3358" i="38" s="1"/>
  <c r="I554" i="6"/>
  <c r="F3358" i="38" s="1"/>
  <c r="M553" i="6"/>
  <c r="L553" i="6"/>
  <c r="I553" i="6"/>
  <c r="G547" i="6"/>
  <c r="M546" i="6"/>
  <c r="L546" i="6"/>
  <c r="I546" i="6"/>
  <c r="M545" i="6"/>
  <c r="L545" i="6"/>
  <c r="I545" i="6"/>
  <c r="M544" i="6"/>
  <c r="L544" i="6"/>
  <c r="I544" i="6"/>
  <c r="M543" i="6"/>
  <c r="L543" i="6"/>
  <c r="I543" i="6"/>
  <c r="M542" i="6"/>
  <c r="L542" i="6"/>
  <c r="I542" i="6"/>
  <c r="M541" i="6"/>
  <c r="L541" i="6"/>
  <c r="I541" i="6"/>
  <c r="M540" i="6"/>
  <c r="J3350" i="38" s="1"/>
  <c r="L540" i="6"/>
  <c r="I3350" i="38" s="1"/>
  <c r="I540" i="6"/>
  <c r="F3350" i="38" s="1"/>
  <c r="M539" i="6"/>
  <c r="J3349" i="38" s="1"/>
  <c r="L539" i="6"/>
  <c r="I3349" i="38" s="1"/>
  <c r="I539" i="6"/>
  <c r="F3349" i="38" s="1"/>
  <c r="M538" i="6"/>
  <c r="J3348" i="38" s="1"/>
  <c r="L538" i="6"/>
  <c r="I3348" i="38" s="1"/>
  <c r="I538" i="6"/>
  <c r="F3348" i="38" s="1"/>
  <c r="M537" i="6"/>
  <c r="L537" i="6"/>
  <c r="I537" i="6"/>
  <c r="G531" i="6"/>
  <c r="M530" i="6"/>
  <c r="L530" i="6"/>
  <c r="I530" i="6"/>
  <c r="M529" i="6"/>
  <c r="L529" i="6"/>
  <c r="I529" i="6"/>
  <c r="M528" i="6"/>
  <c r="L528" i="6"/>
  <c r="I528" i="6"/>
  <c r="M527" i="6"/>
  <c r="L527" i="6"/>
  <c r="I527" i="6"/>
  <c r="M526" i="6"/>
  <c r="L526" i="6"/>
  <c r="I526" i="6"/>
  <c r="M525" i="6"/>
  <c r="L525" i="6"/>
  <c r="I525" i="6"/>
  <c r="M524" i="6"/>
  <c r="J3340" i="38" s="1"/>
  <c r="L524" i="6"/>
  <c r="I3340" i="38" s="1"/>
  <c r="I524" i="6"/>
  <c r="F3340" i="38" s="1"/>
  <c r="M523" i="6"/>
  <c r="J3339" i="38" s="1"/>
  <c r="L523" i="6"/>
  <c r="I3339" i="38" s="1"/>
  <c r="I523" i="6"/>
  <c r="F3339" i="38" s="1"/>
  <c r="M522" i="6"/>
  <c r="J3338" i="38" s="1"/>
  <c r="L522" i="6"/>
  <c r="I3338" i="38" s="1"/>
  <c r="I522" i="6"/>
  <c r="F3338" i="38" s="1"/>
  <c r="M521" i="6"/>
  <c r="L521" i="6"/>
  <c r="I521" i="6"/>
  <c r="G515" i="6"/>
  <c r="M514" i="6"/>
  <c r="L514" i="6"/>
  <c r="I514" i="6"/>
  <c r="M513" i="6"/>
  <c r="L513" i="6"/>
  <c r="I513" i="6"/>
  <c r="M512" i="6"/>
  <c r="L512" i="6"/>
  <c r="I512" i="6"/>
  <c r="M511" i="6"/>
  <c r="L511" i="6"/>
  <c r="I511" i="6"/>
  <c r="M510" i="6"/>
  <c r="L510" i="6"/>
  <c r="I510" i="6"/>
  <c r="M509" i="6"/>
  <c r="L509" i="6"/>
  <c r="I509" i="6"/>
  <c r="M508" i="6"/>
  <c r="J3330" i="38" s="1"/>
  <c r="L508" i="6"/>
  <c r="I3330" i="38" s="1"/>
  <c r="I508" i="6"/>
  <c r="F3330" i="38" s="1"/>
  <c r="M507" i="6"/>
  <c r="J3329" i="38" s="1"/>
  <c r="L507" i="6"/>
  <c r="I3329" i="38" s="1"/>
  <c r="I507" i="6"/>
  <c r="F3329" i="38" s="1"/>
  <c r="M506" i="6"/>
  <c r="J3328" i="38" s="1"/>
  <c r="L506" i="6"/>
  <c r="I3328" i="38" s="1"/>
  <c r="I506" i="6"/>
  <c r="F3328" i="38" s="1"/>
  <c r="M505" i="6"/>
  <c r="L505" i="6"/>
  <c r="I505" i="6"/>
  <c r="G499" i="6"/>
  <c r="G2212" i="38" s="1"/>
  <c r="M498" i="6"/>
  <c r="L498" i="6"/>
  <c r="I498" i="6"/>
  <c r="M497" i="6"/>
  <c r="L497" i="6"/>
  <c r="I497" i="6"/>
  <c r="M496" i="6"/>
  <c r="L496" i="6"/>
  <c r="I496" i="6"/>
  <c r="M495" i="6"/>
  <c r="L495" i="6"/>
  <c r="I495" i="6"/>
  <c r="M494" i="6"/>
  <c r="L494" i="6"/>
  <c r="I494" i="6"/>
  <c r="M493" i="6"/>
  <c r="L493" i="6"/>
  <c r="I493" i="6"/>
  <c r="M492" i="6"/>
  <c r="J3320" i="38" s="1"/>
  <c r="L492" i="6"/>
  <c r="I3320" i="38" s="1"/>
  <c r="I492" i="6"/>
  <c r="F3320" i="38" s="1"/>
  <c r="M491" i="6"/>
  <c r="J3319" i="38" s="1"/>
  <c r="L491" i="6"/>
  <c r="I3319" i="38" s="1"/>
  <c r="I491" i="6"/>
  <c r="F3319" i="38" s="1"/>
  <c r="M490" i="6"/>
  <c r="J3318" i="38" s="1"/>
  <c r="L490" i="6"/>
  <c r="I3318" i="38" s="1"/>
  <c r="I490" i="6"/>
  <c r="F3318" i="38" s="1"/>
  <c r="M489" i="6"/>
  <c r="L489" i="6"/>
  <c r="I489" i="6"/>
  <c r="G483" i="6"/>
  <c r="M482" i="6"/>
  <c r="L482" i="6"/>
  <c r="I482" i="6"/>
  <c r="M481" i="6"/>
  <c r="L481" i="6"/>
  <c r="I481" i="6"/>
  <c r="M480" i="6"/>
  <c r="L480" i="6"/>
  <c r="I480" i="6"/>
  <c r="M479" i="6"/>
  <c r="L479" i="6"/>
  <c r="I479" i="6"/>
  <c r="M478" i="6"/>
  <c r="L478" i="6"/>
  <c r="I478" i="6"/>
  <c r="M477" i="6"/>
  <c r="L477" i="6"/>
  <c r="I477" i="6"/>
  <c r="M476" i="6"/>
  <c r="J3310" i="38" s="1"/>
  <c r="L476" i="6"/>
  <c r="I3310" i="38" s="1"/>
  <c r="I476" i="6"/>
  <c r="F3310" i="38" s="1"/>
  <c r="M475" i="6"/>
  <c r="J3309" i="38" s="1"/>
  <c r="L475" i="6"/>
  <c r="I3309" i="38" s="1"/>
  <c r="I475" i="6"/>
  <c r="F3309" i="38" s="1"/>
  <c r="M474" i="6"/>
  <c r="J3308" i="38" s="1"/>
  <c r="L474" i="6"/>
  <c r="I3308" i="38" s="1"/>
  <c r="I474" i="6"/>
  <c r="F3308" i="38" s="1"/>
  <c r="M473" i="6"/>
  <c r="L473" i="6"/>
  <c r="I473" i="6"/>
  <c r="G467" i="6"/>
  <c r="M466" i="6"/>
  <c r="L466" i="6"/>
  <c r="I466" i="6"/>
  <c r="M465" i="6"/>
  <c r="L465" i="6"/>
  <c r="I465" i="6"/>
  <c r="M464" i="6"/>
  <c r="L464" i="6"/>
  <c r="I464" i="6"/>
  <c r="M463" i="6"/>
  <c r="L463" i="6"/>
  <c r="I463" i="6"/>
  <c r="M462" i="6"/>
  <c r="L462" i="6"/>
  <c r="I462" i="6"/>
  <c r="M461" i="6"/>
  <c r="L461" i="6"/>
  <c r="I461" i="6"/>
  <c r="M460" i="6"/>
  <c r="J3300" i="38" s="1"/>
  <c r="L460" i="6"/>
  <c r="I3300" i="38" s="1"/>
  <c r="I460" i="6"/>
  <c r="F3300" i="38" s="1"/>
  <c r="M459" i="6"/>
  <c r="J3299" i="38" s="1"/>
  <c r="L459" i="6"/>
  <c r="I3299" i="38" s="1"/>
  <c r="I459" i="6"/>
  <c r="F3299" i="38" s="1"/>
  <c r="M458" i="6"/>
  <c r="J3298" i="38" s="1"/>
  <c r="L458" i="6"/>
  <c r="I3298" i="38" s="1"/>
  <c r="I458" i="6"/>
  <c r="F3298" i="38" s="1"/>
  <c r="M457" i="6"/>
  <c r="L457" i="6"/>
  <c r="I457" i="6"/>
  <c r="G451" i="6"/>
  <c r="M450" i="6"/>
  <c r="L450" i="6"/>
  <c r="I450" i="6"/>
  <c r="M449" i="6"/>
  <c r="L449" i="6"/>
  <c r="I449" i="6"/>
  <c r="M448" i="6"/>
  <c r="L448" i="6"/>
  <c r="I448" i="6"/>
  <c r="M447" i="6"/>
  <c r="L447" i="6"/>
  <c r="I447" i="6"/>
  <c r="M446" i="6"/>
  <c r="L446" i="6"/>
  <c r="I446" i="6"/>
  <c r="M445" i="6"/>
  <c r="L445" i="6"/>
  <c r="I445" i="6"/>
  <c r="M444" i="6"/>
  <c r="J3290" i="38" s="1"/>
  <c r="L444" i="6"/>
  <c r="I3290" i="38" s="1"/>
  <c r="I444" i="6"/>
  <c r="F3290" i="38" s="1"/>
  <c r="M443" i="6"/>
  <c r="J3289" i="38" s="1"/>
  <c r="L443" i="6"/>
  <c r="I3289" i="38" s="1"/>
  <c r="I443" i="6"/>
  <c r="F3289" i="38" s="1"/>
  <c r="M442" i="6"/>
  <c r="J3288" i="38" s="1"/>
  <c r="L442" i="6"/>
  <c r="I3288" i="38" s="1"/>
  <c r="I442" i="6"/>
  <c r="F3288" i="38" s="1"/>
  <c r="M441" i="6"/>
  <c r="L441" i="6"/>
  <c r="I441" i="6"/>
  <c r="G435" i="6"/>
  <c r="G2208" i="38" s="1"/>
  <c r="M434" i="6"/>
  <c r="L434" i="6"/>
  <c r="I434" i="6"/>
  <c r="M433" i="6"/>
  <c r="L433" i="6"/>
  <c r="I433" i="6"/>
  <c r="M432" i="6"/>
  <c r="L432" i="6"/>
  <c r="I432" i="6"/>
  <c r="M431" i="6"/>
  <c r="L431" i="6"/>
  <c r="I431" i="6"/>
  <c r="M430" i="6"/>
  <c r="L430" i="6"/>
  <c r="I430" i="6"/>
  <c r="M429" i="6"/>
  <c r="L429" i="6"/>
  <c r="I429" i="6"/>
  <c r="M428" i="6"/>
  <c r="J3280" i="38" s="1"/>
  <c r="L428" i="6"/>
  <c r="I3280" i="38" s="1"/>
  <c r="I428" i="6"/>
  <c r="F3280" i="38" s="1"/>
  <c r="M427" i="6"/>
  <c r="J3279" i="38" s="1"/>
  <c r="L427" i="6"/>
  <c r="I3279" i="38" s="1"/>
  <c r="I427" i="6"/>
  <c r="F3279" i="38" s="1"/>
  <c r="M426" i="6"/>
  <c r="J3278" i="38" s="1"/>
  <c r="L426" i="6"/>
  <c r="I3278" i="38" s="1"/>
  <c r="I426" i="6"/>
  <c r="F3278" i="38" s="1"/>
  <c r="M425" i="6"/>
  <c r="L425" i="6"/>
  <c r="I425" i="6"/>
  <c r="G419" i="6"/>
  <c r="M418" i="6"/>
  <c r="L418" i="6"/>
  <c r="I418" i="6"/>
  <c r="M417" i="6"/>
  <c r="L417" i="6"/>
  <c r="I417" i="6"/>
  <c r="M416" i="6"/>
  <c r="L416" i="6"/>
  <c r="I416" i="6"/>
  <c r="M415" i="6"/>
  <c r="L415" i="6"/>
  <c r="I415" i="6"/>
  <c r="M414" i="6"/>
  <c r="L414" i="6"/>
  <c r="I414" i="6"/>
  <c r="M413" i="6"/>
  <c r="L413" i="6"/>
  <c r="I413" i="6"/>
  <c r="M412" i="6"/>
  <c r="J3270" i="38" s="1"/>
  <c r="L412" i="6"/>
  <c r="I3270" i="38" s="1"/>
  <c r="I412" i="6"/>
  <c r="F3270" i="38" s="1"/>
  <c r="M411" i="6"/>
  <c r="J3269" i="38" s="1"/>
  <c r="L411" i="6"/>
  <c r="I3269" i="38" s="1"/>
  <c r="I411" i="6"/>
  <c r="F3269" i="38" s="1"/>
  <c r="M410" i="6"/>
  <c r="J3268" i="38" s="1"/>
  <c r="L410" i="6"/>
  <c r="I3268" i="38" s="1"/>
  <c r="I410" i="6"/>
  <c r="F3268" i="38" s="1"/>
  <c r="M409" i="6"/>
  <c r="L409" i="6"/>
  <c r="I409" i="6"/>
  <c r="G403" i="6"/>
  <c r="M402" i="6"/>
  <c r="L402" i="6"/>
  <c r="I402" i="6"/>
  <c r="M401" i="6"/>
  <c r="L401" i="6"/>
  <c r="I401" i="6"/>
  <c r="M400" i="6"/>
  <c r="L400" i="6"/>
  <c r="I400" i="6"/>
  <c r="M399" i="6"/>
  <c r="L399" i="6"/>
  <c r="I399" i="6"/>
  <c r="M398" i="6"/>
  <c r="L398" i="6"/>
  <c r="I398" i="6"/>
  <c r="M397" i="6"/>
  <c r="L397" i="6"/>
  <c r="I397" i="6"/>
  <c r="M396" i="6"/>
  <c r="J3260" i="38" s="1"/>
  <c r="L396" i="6"/>
  <c r="I3260" i="38" s="1"/>
  <c r="I396" i="6"/>
  <c r="F3260" i="38" s="1"/>
  <c r="M395" i="6"/>
  <c r="J3259" i="38" s="1"/>
  <c r="L395" i="6"/>
  <c r="I3259" i="38" s="1"/>
  <c r="I395" i="6"/>
  <c r="F3259" i="38" s="1"/>
  <c r="M394" i="6"/>
  <c r="J3258" i="38" s="1"/>
  <c r="L394" i="6"/>
  <c r="I3258" i="38" s="1"/>
  <c r="I394" i="6"/>
  <c r="F3258" i="38" s="1"/>
  <c r="M393" i="6"/>
  <c r="L393" i="6"/>
  <c r="I393" i="6"/>
  <c r="G387" i="6"/>
  <c r="M386" i="6"/>
  <c r="L386" i="6"/>
  <c r="I386" i="6"/>
  <c r="M385" i="6"/>
  <c r="L385" i="6"/>
  <c r="I385" i="6"/>
  <c r="M384" i="6"/>
  <c r="L384" i="6"/>
  <c r="I384" i="6"/>
  <c r="M383" i="6"/>
  <c r="L383" i="6"/>
  <c r="I383" i="6"/>
  <c r="M382" i="6"/>
  <c r="L382" i="6"/>
  <c r="I382" i="6"/>
  <c r="M381" i="6"/>
  <c r="L381" i="6"/>
  <c r="I381" i="6"/>
  <c r="M380" i="6"/>
  <c r="J3250" i="38" s="1"/>
  <c r="L380" i="6"/>
  <c r="I3250" i="38" s="1"/>
  <c r="I380" i="6"/>
  <c r="F3250" i="38" s="1"/>
  <c r="M379" i="6"/>
  <c r="J3249" i="38" s="1"/>
  <c r="L379" i="6"/>
  <c r="I3249" i="38" s="1"/>
  <c r="I379" i="6"/>
  <c r="F3249" i="38" s="1"/>
  <c r="M378" i="6"/>
  <c r="J3248" i="38" s="1"/>
  <c r="L378" i="6"/>
  <c r="I3248" i="38" s="1"/>
  <c r="I378" i="6"/>
  <c r="F3248" i="38" s="1"/>
  <c r="M377" i="6"/>
  <c r="L377" i="6"/>
  <c r="I377" i="6"/>
  <c r="G371" i="6"/>
  <c r="G2204" i="38" s="1"/>
  <c r="M370" i="6"/>
  <c r="L370" i="6"/>
  <c r="I370" i="6"/>
  <c r="M369" i="6"/>
  <c r="L369" i="6"/>
  <c r="I369" i="6"/>
  <c r="M368" i="6"/>
  <c r="L368" i="6"/>
  <c r="I368" i="6"/>
  <c r="M367" i="6"/>
  <c r="L367" i="6"/>
  <c r="I367" i="6"/>
  <c r="M366" i="6"/>
  <c r="L366" i="6"/>
  <c r="I366" i="6"/>
  <c r="M365" i="6"/>
  <c r="L365" i="6"/>
  <c r="I365" i="6"/>
  <c r="M364" i="6"/>
  <c r="J3240" i="38" s="1"/>
  <c r="L364" i="6"/>
  <c r="I3240" i="38" s="1"/>
  <c r="I364" i="6"/>
  <c r="F3240" i="38" s="1"/>
  <c r="M363" i="6"/>
  <c r="J3239" i="38" s="1"/>
  <c r="L363" i="6"/>
  <c r="I3239" i="38" s="1"/>
  <c r="I363" i="6"/>
  <c r="F3239" i="38" s="1"/>
  <c r="M362" i="6"/>
  <c r="J3238" i="38" s="1"/>
  <c r="L362" i="6"/>
  <c r="I3238" i="38" s="1"/>
  <c r="I362" i="6"/>
  <c r="F3238" i="38" s="1"/>
  <c r="M361" i="6"/>
  <c r="L361" i="6"/>
  <c r="I361" i="6"/>
  <c r="G355" i="6"/>
  <c r="M354" i="6"/>
  <c r="L354" i="6"/>
  <c r="I354" i="6"/>
  <c r="M353" i="6"/>
  <c r="L353" i="6"/>
  <c r="I353" i="6"/>
  <c r="M352" i="6"/>
  <c r="L352" i="6"/>
  <c r="I352" i="6"/>
  <c r="M351" i="6"/>
  <c r="L351" i="6"/>
  <c r="I351" i="6"/>
  <c r="M350" i="6"/>
  <c r="L350" i="6"/>
  <c r="I350" i="6"/>
  <c r="M349" i="6"/>
  <c r="L349" i="6"/>
  <c r="I349" i="6"/>
  <c r="M348" i="6"/>
  <c r="L348" i="6"/>
  <c r="I348" i="6"/>
  <c r="M347" i="6"/>
  <c r="L347" i="6"/>
  <c r="I347" i="6"/>
  <c r="M346" i="6"/>
  <c r="L346" i="6"/>
  <c r="I346" i="6"/>
  <c r="M345" i="6"/>
  <c r="L345" i="6"/>
  <c r="I345" i="6"/>
  <c r="G339" i="6"/>
  <c r="G340" i="6" s="1"/>
  <c r="H2202" i="38" s="1"/>
  <c r="M338" i="6"/>
  <c r="L338" i="6"/>
  <c r="I338" i="6"/>
  <c r="M337" i="6"/>
  <c r="L337" i="6"/>
  <c r="I337" i="6"/>
  <c r="M336" i="6"/>
  <c r="L336" i="6"/>
  <c r="I336" i="6"/>
  <c r="M335" i="6"/>
  <c r="L335" i="6"/>
  <c r="I335" i="6"/>
  <c r="M334" i="6"/>
  <c r="L334" i="6"/>
  <c r="I334" i="6"/>
  <c r="M333" i="6"/>
  <c r="L333" i="6"/>
  <c r="I333" i="6"/>
  <c r="M332" i="6"/>
  <c r="L332" i="6"/>
  <c r="I332" i="6"/>
  <c r="M331" i="6"/>
  <c r="L331" i="6"/>
  <c r="I331" i="6"/>
  <c r="M330" i="6"/>
  <c r="L330" i="6"/>
  <c r="I330" i="6"/>
  <c r="M329" i="6"/>
  <c r="L329" i="6"/>
  <c r="I329" i="6"/>
  <c r="K293" i="6"/>
  <c r="BH53" i="38" s="1"/>
  <c r="K281" i="6"/>
  <c r="BF53" i="38" s="1"/>
  <c r="K270" i="6"/>
  <c r="BD53" i="38" s="1"/>
  <c r="E269" i="6"/>
  <c r="C269" i="6"/>
  <c r="E268" i="6"/>
  <c r="C268" i="6"/>
  <c r="E267" i="6"/>
  <c r="C267" i="6"/>
  <c r="E266" i="6"/>
  <c r="C266" i="6"/>
  <c r="BC53" i="38"/>
  <c r="BB53" i="38"/>
  <c r="K203" i="6"/>
  <c r="AZ53" i="38" s="1"/>
  <c r="K193" i="6"/>
  <c r="AR53" i="38" s="1"/>
  <c r="Q192" i="6"/>
  <c r="O192" i="6"/>
  <c r="M192" i="6"/>
  <c r="K192" i="6"/>
  <c r="AN53" i="38"/>
  <c r="K142" i="6"/>
  <c r="AF53" i="38" s="1"/>
  <c r="S53" i="38"/>
  <c r="Q53" i="38"/>
  <c r="P53" i="38"/>
  <c r="O53" i="38"/>
  <c r="K84" i="6"/>
  <c r="N53" i="38" s="1"/>
  <c r="AD10" i="6"/>
  <c r="AA10" i="6"/>
  <c r="Z85" i="6"/>
  <c r="T6" i="6"/>
  <c r="T4" i="6"/>
  <c r="T2" i="6"/>
  <c r="E53" i="38" s="1"/>
  <c r="G611" i="7"/>
  <c r="M610" i="7"/>
  <c r="L610" i="7"/>
  <c r="I610" i="7"/>
  <c r="M609" i="7"/>
  <c r="L609" i="7"/>
  <c r="I609" i="7"/>
  <c r="M608" i="7"/>
  <c r="L608" i="7"/>
  <c r="I608" i="7"/>
  <c r="M607" i="7"/>
  <c r="L607" i="7"/>
  <c r="I607" i="7"/>
  <c r="M606" i="7"/>
  <c r="L606" i="7"/>
  <c r="I606" i="7"/>
  <c r="M605" i="7"/>
  <c r="L605" i="7"/>
  <c r="I605" i="7"/>
  <c r="M604" i="7"/>
  <c r="J3570" i="38" s="1"/>
  <c r="L604" i="7"/>
  <c r="I3570" i="38" s="1"/>
  <c r="I604" i="7"/>
  <c r="F3570" i="38" s="1"/>
  <c r="M603" i="7"/>
  <c r="J3569" i="38" s="1"/>
  <c r="L603" i="7"/>
  <c r="I3569" i="38" s="1"/>
  <c r="I603" i="7"/>
  <c r="F3569" i="38" s="1"/>
  <c r="M602" i="7"/>
  <c r="J3568" i="38" s="1"/>
  <c r="L602" i="7"/>
  <c r="I3568" i="38" s="1"/>
  <c r="I602" i="7"/>
  <c r="F3568" i="38" s="1"/>
  <c r="M601" i="7"/>
  <c r="L601" i="7"/>
  <c r="I601" i="7"/>
  <c r="G595" i="7"/>
  <c r="G2236" i="38" s="1"/>
  <c r="M594" i="7"/>
  <c r="L594" i="7"/>
  <c r="I594" i="7"/>
  <c r="M593" i="7"/>
  <c r="L593" i="7"/>
  <c r="I593" i="7"/>
  <c r="M592" i="7"/>
  <c r="L592" i="7"/>
  <c r="I592" i="7"/>
  <c r="M591" i="7"/>
  <c r="L591" i="7"/>
  <c r="I591" i="7"/>
  <c r="M590" i="7"/>
  <c r="L590" i="7"/>
  <c r="I590" i="7"/>
  <c r="M589" i="7"/>
  <c r="L589" i="7"/>
  <c r="I589" i="7"/>
  <c r="M588" i="7"/>
  <c r="J3560" i="38" s="1"/>
  <c r="L588" i="7"/>
  <c r="I3560" i="38" s="1"/>
  <c r="I588" i="7"/>
  <c r="F3560" i="38" s="1"/>
  <c r="M587" i="7"/>
  <c r="J3559" i="38" s="1"/>
  <c r="L587" i="7"/>
  <c r="I3559" i="38" s="1"/>
  <c r="I587" i="7"/>
  <c r="F3559" i="38" s="1"/>
  <c r="M586" i="7"/>
  <c r="J3558" i="38" s="1"/>
  <c r="L586" i="7"/>
  <c r="I3558" i="38" s="1"/>
  <c r="I586" i="7"/>
  <c r="F3558" i="38" s="1"/>
  <c r="M585" i="7"/>
  <c r="L585" i="7"/>
  <c r="I585" i="7"/>
  <c r="G579" i="7"/>
  <c r="M578" i="7"/>
  <c r="L578" i="7"/>
  <c r="I578" i="7"/>
  <c r="M577" i="7"/>
  <c r="L577" i="7"/>
  <c r="I577" i="7"/>
  <c r="M576" i="7"/>
  <c r="L576" i="7"/>
  <c r="I576" i="7"/>
  <c r="M575" i="7"/>
  <c r="L575" i="7"/>
  <c r="I575" i="7"/>
  <c r="M574" i="7"/>
  <c r="L574" i="7"/>
  <c r="I574" i="7"/>
  <c r="M573" i="7"/>
  <c r="L573" i="7"/>
  <c r="I573" i="7"/>
  <c r="M572" i="7"/>
  <c r="J3550" i="38" s="1"/>
  <c r="L572" i="7"/>
  <c r="I3550" i="38" s="1"/>
  <c r="I572" i="7"/>
  <c r="F3550" i="38" s="1"/>
  <c r="M571" i="7"/>
  <c r="J3549" i="38" s="1"/>
  <c r="L571" i="7"/>
  <c r="I3549" i="38" s="1"/>
  <c r="I571" i="7"/>
  <c r="F3549" i="38" s="1"/>
  <c r="M570" i="7"/>
  <c r="J3548" i="38" s="1"/>
  <c r="L570" i="7"/>
  <c r="I3548" i="38" s="1"/>
  <c r="I570" i="7"/>
  <c r="F3548" i="38" s="1"/>
  <c r="M569" i="7"/>
  <c r="L569" i="7"/>
  <c r="I569" i="7"/>
  <c r="G563" i="7"/>
  <c r="M562" i="7"/>
  <c r="L562" i="7"/>
  <c r="I562" i="7"/>
  <c r="M561" i="7"/>
  <c r="L561" i="7"/>
  <c r="I561" i="7"/>
  <c r="M560" i="7"/>
  <c r="L560" i="7"/>
  <c r="I560" i="7"/>
  <c r="M559" i="7"/>
  <c r="L559" i="7"/>
  <c r="I559" i="7"/>
  <c r="M558" i="7"/>
  <c r="L558" i="7"/>
  <c r="I558" i="7"/>
  <c r="M557" i="7"/>
  <c r="L557" i="7"/>
  <c r="I557" i="7"/>
  <c r="M556" i="7"/>
  <c r="J3540" i="38" s="1"/>
  <c r="L556" i="7"/>
  <c r="I3540" i="38" s="1"/>
  <c r="I556" i="7"/>
  <c r="F3540" i="38" s="1"/>
  <c r="M555" i="7"/>
  <c r="J3539" i="38" s="1"/>
  <c r="L555" i="7"/>
  <c r="I3539" i="38" s="1"/>
  <c r="I555" i="7"/>
  <c r="F3539" i="38" s="1"/>
  <c r="M554" i="7"/>
  <c r="J3538" i="38" s="1"/>
  <c r="L554" i="7"/>
  <c r="I3538" i="38" s="1"/>
  <c r="I554" i="7"/>
  <c r="F3538" i="38" s="1"/>
  <c r="M553" i="7"/>
  <c r="L553" i="7"/>
  <c r="I553" i="7"/>
  <c r="G547" i="7"/>
  <c r="M546" i="7"/>
  <c r="L546" i="7"/>
  <c r="I546" i="7"/>
  <c r="M545" i="7"/>
  <c r="L545" i="7"/>
  <c r="I545" i="7"/>
  <c r="M544" i="7"/>
  <c r="L544" i="7"/>
  <c r="I544" i="7"/>
  <c r="M543" i="7"/>
  <c r="L543" i="7"/>
  <c r="I543" i="7"/>
  <c r="M542" i="7"/>
  <c r="L542" i="7"/>
  <c r="I542" i="7"/>
  <c r="M541" i="7"/>
  <c r="L541" i="7"/>
  <c r="I541" i="7"/>
  <c r="M540" i="7"/>
  <c r="J3530" i="38" s="1"/>
  <c r="L540" i="7"/>
  <c r="I3530" i="38" s="1"/>
  <c r="I540" i="7"/>
  <c r="F3530" i="38" s="1"/>
  <c r="M539" i="7"/>
  <c r="J3529" i="38" s="1"/>
  <c r="L539" i="7"/>
  <c r="I3529" i="38" s="1"/>
  <c r="I539" i="7"/>
  <c r="F3529" i="38" s="1"/>
  <c r="M538" i="7"/>
  <c r="J3528" i="38" s="1"/>
  <c r="L538" i="7"/>
  <c r="I3528" i="38" s="1"/>
  <c r="I538" i="7"/>
  <c r="F3528" i="38" s="1"/>
  <c r="M537" i="7"/>
  <c r="L537" i="7"/>
  <c r="I537" i="7"/>
  <c r="G531" i="7"/>
  <c r="G2232" i="38" s="1"/>
  <c r="M530" i="7"/>
  <c r="L530" i="7"/>
  <c r="I530" i="7"/>
  <c r="M529" i="7"/>
  <c r="L529" i="7"/>
  <c r="I529" i="7"/>
  <c r="M528" i="7"/>
  <c r="L528" i="7"/>
  <c r="I528" i="7"/>
  <c r="M527" i="7"/>
  <c r="L527" i="7"/>
  <c r="I527" i="7"/>
  <c r="M526" i="7"/>
  <c r="L526" i="7"/>
  <c r="I526" i="7"/>
  <c r="M525" i="7"/>
  <c r="L525" i="7"/>
  <c r="I525" i="7"/>
  <c r="M524" i="7"/>
  <c r="J3520" i="38" s="1"/>
  <c r="L524" i="7"/>
  <c r="I3520" i="38" s="1"/>
  <c r="I524" i="7"/>
  <c r="F3520" i="38" s="1"/>
  <c r="M523" i="7"/>
  <c r="J3519" i="38" s="1"/>
  <c r="L523" i="7"/>
  <c r="I3519" i="38" s="1"/>
  <c r="I523" i="7"/>
  <c r="F3519" i="38" s="1"/>
  <c r="M522" i="7"/>
  <c r="J3518" i="38" s="1"/>
  <c r="L522" i="7"/>
  <c r="I3518" i="38" s="1"/>
  <c r="I522" i="7"/>
  <c r="F3518" i="38" s="1"/>
  <c r="M521" i="7"/>
  <c r="L521" i="7"/>
  <c r="I521" i="7"/>
  <c r="G515" i="7"/>
  <c r="M514" i="7"/>
  <c r="L514" i="7"/>
  <c r="I514" i="7"/>
  <c r="M513" i="7"/>
  <c r="L513" i="7"/>
  <c r="I513" i="7"/>
  <c r="M512" i="7"/>
  <c r="L512" i="7"/>
  <c r="I512" i="7"/>
  <c r="M511" i="7"/>
  <c r="L511" i="7"/>
  <c r="I511" i="7"/>
  <c r="M510" i="7"/>
  <c r="L510" i="7"/>
  <c r="I510" i="7"/>
  <c r="M509" i="7"/>
  <c r="L509" i="7"/>
  <c r="I509" i="7"/>
  <c r="M508" i="7"/>
  <c r="J3510" i="38" s="1"/>
  <c r="L508" i="7"/>
  <c r="I3510" i="38" s="1"/>
  <c r="I508" i="7"/>
  <c r="F3510" i="38" s="1"/>
  <c r="M507" i="7"/>
  <c r="J3509" i="38" s="1"/>
  <c r="L507" i="7"/>
  <c r="I3509" i="38" s="1"/>
  <c r="I507" i="7"/>
  <c r="F3509" i="38" s="1"/>
  <c r="M506" i="7"/>
  <c r="J3508" i="38" s="1"/>
  <c r="L506" i="7"/>
  <c r="I3508" i="38" s="1"/>
  <c r="I506" i="7"/>
  <c r="F3508" i="38" s="1"/>
  <c r="M505" i="7"/>
  <c r="L505" i="7"/>
  <c r="I505" i="7"/>
  <c r="G499" i="7"/>
  <c r="M498" i="7"/>
  <c r="L498" i="7"/>
  <c r="I498" i="7"/>
  <c r="M497" i="7"/>
  <c r="L497" i="7"/>
  <c r="I497" i="7"/>
  <c r="M496" i="7"/>
  <c r="L496" i="7"/>
  <c r="I496" i="7"/>
  <c r="M495" i="7"/>
  <c r="L495" i="7"/>
  <c r="I495" i="7"/>
  <c r="M494" i="7"/>
  <c r="L494" i="7"/>
  <c r="I494" i="7"/>
  <c r="M493" i="7"/>
  <c r="L493" i="7"/>
  <c r="I493" i="7"/>
  <c r="M492" i="7"/>
  <c r="J3500" i="38" s="1"/>
  <c r="L492" i="7"/>
  <c r="I3500" i="38" s="1"/>
  <c r="I492" i="7"/>
  <c r="F3500" i="38" s="1"/>
  <c r="M491" i="7"/>
  <c r="J3499" i="38" s="1"/>
  <c r="L491" i="7"/>
  <c r="I3499" i="38" s="1"/>
  <c r="I491" i="7"/>
  <c r="F3499" i="38" s="1"/>
  <c r="M490" i="7"/>
  <c r="J3498" i="38" s="1"/>
  <c r="L490" i="7"/>
  <c r="I3498" i="38" s="1"/>
  <c r="I490" i="7"/>
  <c r="F3498" i="38" s="1"/>
  <c r="M489" i="7"/>
  <c r="L489" i="7"/>
  <c r="I489" i="7"/>
  <c r="G483" i="7"/>
  <c r="M482" i="7"/>
  <c r="L482" i="7"/>
  <c r="I482" i="7"/>
  <c r="M481" i="7"/>
  <c r="L481" i="7"/>
  <c r="I481" i="7"/>
  <c r="M480" i="7"/>
  <c r="L480" i="7"/>
  <c r="I480" i="7"/>
  <c r="M479" i="7"/>
  <c r="L479" i="7"/>
  <c r="I479" i="7"/>
  <c r="M478" i="7"/>
  <c r="L478" i="7"/>
  <c r="I478" i="7"/>
  <c r="M477" i="7"/>
  <c r="L477" i="7"/>
  <c r="I477" i="7"/>
  <c r="M476" i="7"/>
  <c r="J3490" i="38" s="1"/>
  <c r="L476" i="7"/>
  <c r="I3490" i="38" s="1"/>
  <c r="I476" i="7"/>
  <c r="F3490" i="38" s="1"/>
  <c r="M475" i="7"/>
  <c r="J3489" i="38" s="1"/>
  <c r="L475" i="7"/>
  <c r="I3489" i="38" s="1"/>
  <c r="I475" i="7"/>
  <c r="F3489" i="38" s="1"/>
  <c r="M474" i="7"/>
  <c r="J3488" i="38" s="1"/>
  <c r="L474" i="7"/>
  <c r="I3488" i="38" s="1"/>
  <c r="I474" i="7"/>
  <c r="F3488" i="38" s="1"/>
  <c r="M473" i="7"/>
  <c r="L473" i="7"/>
  <c r="I473" i="7"/>
  <c r="G467" i="7"/>
  <c r="G2228" i="38" s="1"/>
  <c r="M466" i="7"/>
  <c r="L466" i="7"/>
  <c r="I466" i="7"/>
  <c r="M465" i="7"/>
  <c r="L465" i="7"/>
  <c r="I465" i="7"/>
  <c r="M464" i="7"/>
  <c r="L464" i="7"/>
  <c r="I464" i="7"/>
  <c r="M463" i="7"/>
  <c r="L463" i="7"/>
  <c r="I463" i="7"/>
  <c r="M462" i="7"/>
  <c r="L462" i="7"/>
  <c r="I462" i="7"/>
  <c r="M461" i="7"/>
  <c r="L461" i="7"/>
  <c r="I461" i="7"/>
  <c r="M460" i="7"/>
  <c r="J3480" i="38" s="1"/>
  <c r="L460" i="7"/>
  <c r="I3480" i="38" s="1"/>
  <c r="I460" i="7"/>
  <c r="F3480" i="38" s="1"/>
  <c r="M459" i="7"/>
  <c r="J3479" i="38" s="1"/>
  <c r="L459" i="7"/>
  <c r="I3479" i="38" s="1"/>
  <c r="I459" i="7"/>
  <c r="F3479" i="38" s="1"/>
  <c r="M458" i="7"/>
  <c r="J3478" i="38" s="1"/>
  <c r="L458" i="7"/>
  <c r="I3478" i="38" s="1"/>
  <c r="I458" i="7"/>
  <c r="F3478" i="38" s="1"/>
  <c r="M457" i="7"/>
  <c r="L457" i="7"/>
  <c r="I457" i="7"/>
  <c r="G451" i="7"/>
  <c r="M450" i="7"/>
  <c r="L450" i="7"/>
  <c r="I450" i="7"/>
  <c r="M449" i="7"/>
  <c r="L449" i="7"/>
  <c r="I449" i="7"/>
  <c r="M448" i="7"/>
  <c r="L448" i="7"/>
  <c r="I448" i="7"/>
  <c r="M447" i="7"/>
  <c r="L447" i="7"/>
  <c r="I447" i="7"/>
  <c r="M446" i="7"/>
  <c r="L446" i="7"/>
  <c r="I446" i="7"/>
  <c r="M445" i="7"/>
  <c r="L445" i="7"/>
  <c r="I445" i="7"/>
  <c r="M444" i="7"/>
  <c r="J3470" i="38" s="1"/>
  <c r="L444" i="7"/>
  <c r="I3470" i="38" s="1"/>
  <c r="I444" i="7"/>
  <c r="F3470" i="38" s="1"/>
  <c r="M443" i="7"/>
  <c r="J3469" i="38" s="1"/>
  <c r="L443" i="7"/>
  <c r="I3469" i="38" s="1"/>
  <c r="I443" i="7"/>
  <c r="F3469" i="38" s="1"/>
  <c r="M442" i="7"/>
  <c r="J3468" i="38" s="1"/>
  <c r="L442" i="7"/>
  <c r="I3468" i="38" s="1"/>
  <c r="I442" i="7"/>
  <c r="F3468" i="38" s="1"/>
  <c r="M441" i="7"/>
  <c r="L441" i="7"/>
  <c r="I441" i="7"/>
  <c r="G435" i="7"/>
  <c r="M434" i="7"/>
  <c r="L434" i="7"/>
  <c r="I434" i="7"/>
  <c r="M433" i="7"/>
  <c r="L433" i="7"/>
  <c r="I433" i="7"/>
  <c r="M432" i="7"/>
  <c r="L432" i="7"/>
  <c r="I432" i="7"/>
  <c r="M431" i="7"/>
  <c r="L431" i="7"/>
  <c r="I431" i="7"/>
  <c r="M430" i="7"/>
  <c r="L430" i="7"/>
  <c r="I430" i="7"/>
  <c r="M429" i="7"/>
  <c r="L429" i="7"/>
  <c r="I429" i="7"/>
  <c r="M428" i="7"/>
  <c r="J3460" i="38" s="1"/>
  <c r="L428" i="7"/>
  <c r="I3460" i="38" s="1"/>
  <c r="I428" i="7"/>
  <c r="F3460" i="38" s="1"/>
  <c r="M427" i="7"/>
  <c r="J3459" i="38" s="1"/>
  <c r="L427" i="7"/>
  <c r="I3459" i="38" s="1"/>
  <c r="I427" i="7"/>
  <c r="F3459" i="38" s="1"/>
  <c r="M426" i="7"/>
  <c r="J3458" i="38" s="1"/>
  <c r="L426" i="7"/>
  <c r="I3458" i="38" s="1"/>
  <c r="I426" i="7"/>
  <c r="F3458" i="38" s="1"/>
  <c r="M425" i="7"/>
  <c r="L425" i="7"/>
  <c r="I425" i="7"/>
  <c r="G419" i="7"/>
  <c r="M418" i="7"/>
  <c r="L418" i="7"/>
  <c r="I418" i="7"/>
  <c r="M417" i="7"/>
  <c r="L417" i="7"/>
  <c r="I417" i="7"/>
  <c r="M416" i="7"/>
  <c r="L416" i="7"/>
  <c r="I416" i="7"/>
  <c r="M415" i="7"/>
  <c r="L415" i="7"/>
  <c r="I415" i="7"/>
  <c r="M414" i="7"/>
  <c r="L414" i="7"/>
  <c r="I414" i="7"/>
  <c r="M413" i="7"/>
  <c r="L413" i="7"/>
  <c r="I413" i="7"/>
  <c r="M412" i="7"/>
  <c r="J3450" i="38" s="1"/>
  <c r="L412" i="7"/>
  <c r="I3450" i="38" s="1"/>
  <c r="I412" i="7"/>
  <c r="F3450" i="38" s="1"/>
  <c r="M411" i="7"/>
  <c r="J3449" i="38" s="1"/>
  <c r="L411" i="7"/>
  <c r="I3449" i="38" s="1"/>
  <c r="I411" i="7"/>
  <c r="F3449" i="38" s="1"/>
  <c r="M410" i="7"/>
  <c r="J3448" i="38" s="1"/>
  <c r="L410" i="7"/>
  <c r="I3448" i="38" s="1"/>
  <c r="I410" i="7"/>
  <c r="F3448" i="38" s="1"/>
  <c r="M409" i="7"/>
  <c r="L409" i="7"/>
  <c r="I409" i="7"/>
  <c r="G403" i="7"/>
  <c r="G2224" i="38" s="1"/>
  <c r="M402" i="7"/>
  <c r="L402" i="7"/>
  <c r="I402" i="7"/>
  <c r="M401" i="7"/>
  <c r="L401" i="7"/>
  <c r="I401" i="7"/>
  <c r="M400" i="7"/>
  <c r="L400" i="7"/>
  <c r="I400" i="7"/>
  <c r="M399" i="7"/>
  <c r="L399" i="7"/>
  <c r="I399" i="7"/>
  <c r="M398" i="7"/>
  <c r="L398" i="7"/>
  <c r="I398" i="7"/>
  <c r="M397" i="7"/>
  <c r="L397" i="7"/>
  <c r="I397" i="7"/>
  <c r="M396" i="7"/>
  <c r="J3440" i="38" s="1"/>
  <c r="L396" i="7"/>
  <c r="I3440" i="38" s="1"/>
  <c r="I396" i="7"/>
  <c r="F3440" i="38" s="1"/>
  <c r="M395" i="7"/>
  <c r="J3439" i="38" s="1"/>
  <c r="L395" i="7"/>
  <c r="I3439" i="38" s="1"/>
  <c r="I395" i="7"/>
  <c r="F3439" i="38" s="1"/>
  <c r="M394" i="7"/>
  <c r="J3438" i="38" s="1"/>
  <c r="L394" i="7"/>
  <c r="I3438" i="38" s="1"/>
  <c r="I394" i="7"/>
  <c r="F3438" i="38" s="1"/>
  <c r="M393" i="7"/>
  <c r="L393" i="7"/>
  <c r="I393" i="7"/>
  <c r="G387" i="7"/>
  <c r="M386" i="7"/>
  <c r="L386" i="7"/>
  <c r="I386" i="7"/>
  <c r="M385" i="7"/>
  <c r="L385" i="7"/>
  <c r="I385" i="7"/>
  <c r="M384" i="7"/>
  <c r="L384" i="7"/>
  <c r="I384" i="7"/>
  <c r="M383" i="7"/>
  <c r="L383" i="7"/>
  <c r="I383" i="7"/>
  <c r="M382" i="7"/>
  <c r="L382" i="7"/>
  <c r="I382" i="7"/>
  <c r="M381" i="7"/>
  <c r="L381" i="7"/>
  <c r="I381" i="7"/>
  <c r="M380" i="7"/>
  <c r="J3430" i="38" s="1"/>
  <c r="L380" i="7"/>
  <c r="I3430" i="38" s="1"/>
  <c r="I380" i="7"/>
  <c r="F3430" i="38" s="1"/>
  <c r="M379" i="7"/>
  <c r="J3429" i="38" s="1"/>
  <c r="L379" i="7"/>
  <c r="I3429" i="38" s="1"/>
  <c r="I379" i="7"/>
  <c r="F3429" i="38" s="1"/>
  <c r="M378" i="7"/>
  <c r="J3428" i="38" s="1"/>
  <c r="L378" i="7"/>
  <c r="I3428" i="38" s="1"/>
  <c r="I378" i="7"/>
  <c r="F3428" i="38" s="1"/>
  <c r="M377" i="7"/>
  <c r="L377" i="7"/>
  <c r="I377" i="7"/>
  <c r="G371" i="7"/>
  <c r="M370" i="7"/>
  <c r="L370" i="7"/>
  <c r="I370" i="7"/>
  <c r="M369" i="7"/>
  <c r="L369" i="7"/>
  <c r="I369" i="7"/>
  <c r="M368" i="7"/>
  <c r="L368" i="7"/>
  <c r="I368" i="7"/>
  <c r="M367" i="7"/>
  <c r="L367" i="7"/>
  <c r="I367" i="7"/>
  <c r="M366" i="7"/>
  <c r="L366" i="7"/>
  <c r="I366" i="7"/>
  <c r="M365" i="7"/>
  <c r="L365" i="7"/>
  <c r="I365" i="7"/>
  <c r="M364" i="7"/>
  <c r="J3420" i="38" s="1"/>
  <c r="L364" i="7"/>
  <c r="I3420" i="38" s="1"/>
  <c r="I364" i="7"/>
  <c r="F3420" i="38" s="1"/>
  <c r="M363" i="7"/>
  <c r="J3419" i="38" s="1"/>
  <c r="L363" i="7"/>
  <c r="I3419" i="38" s="1"/>
  <c r="I363" i="7"/>
  <c r="F3419" i="38" s="1"/>
  <c r="M362" i="7"/>
  <c r="J3418" i="38" s="1"/>
  <c r="L362" i="7"/>
  <c r="I3418" i="38" s="1"/>
  <c r="I362" i="7"/>
  <c r="F3418" i="38" s="1"/>
  <c r="M361" i="7"/>
  <c r="L361" i="7"/>
  <c r="I361" i="7"/>
  <c r="G355" i="7"/>
  <c r="M354" i="7"/>
  <c r="L354" i="7"/>
  <c r="I354" i="7"/>
  <c r="M353" i="7"/>
  <c r="L353" i="7"/>
  <c r="I353" i="7"/>
  <c r="M352" i="7"/>
  <c r="L352" i="7"/>
  <c r="I352" i="7"/>
  <c r="M351" i="7"/>
  <c r="L351" i="7"/>
  <c r="I351" i="7"/>
  <c r="M350" i="7"/>
  <c r="L350" i="7"/>
  <c r="I350" i="7"/>
  <c r="M349" i="7"/>
  <c r="L349" i="7"/>
  <c r="I349" i="7"/>
  <c r="M348" i="7"/>
  <c r="L348" i="7"/>
  <c r="I348" i="7"/>
  <c r="M347" i="7"/>
  <c r="L347" i="7"/>
  <c r="I347" i="7"/>
  <c r="M346" i="7"/>
  <c r="L346" i="7"/>
  <c r="I346" i="7"/>
  <c r="M345" i="7"/>
  <c r="L345" i="7"/>
  <c r="I345" i="7"/>
  <c r="G339" i="7"/>
  <c r="G340" i="7" s="1"/>
  <c r="H2220" i="38" s="1"/>
  <c r="M338" i="7"/>
  <c r="L338" i="7"/>
  <c r="I338" i="7"/>
  <c r="M337" i="7"/>
  <c r="L337" i="7"/>
  <c r="I337" i="7"/>
  <c r="M336" i="7"/>
  <c r="L336" i="7"/>
  <c r="I336" i="7"/>
  <c r="M335" i="7"/>
  <c r="L335" i="7"/>
  <c r="I335" i="7"/>
  <c r="M334" i="7"/>
  <c r="L334" i="7"/>
  <c r="I334" i="7"/>
  <c r="M333" i="7"/>
  <c r="L333" i="7"/>
  <c r="I333" i="7"/>
  <c r="M332" i="7"/>
  <c r="L332" i="7"/>
  <c r="I332" i="7"/>
  <c r="M331" i="7"/>
  <c r="L331" i="7"/>
  <c r="I331" i="7"/>
  <c r="M330" i="7"/>
  <c r="L330" i="7"/>
  <c r="I330" i="7"/>
  <c r="M329" i="7"/>
  <c r="L329" i="7"/>
  <c r="I329" i="7"/>
  <c r="K293" i="7"/>
  <c r="BH54" i="38" s="1"/>
  <c r="K281" i="7"/>
  <c r="BF54" i="38" s="1"/>
  <c r="K270" i="7"/>
  <c r="BD54" i="38" s="1"/>
  <c r="E269" i="7"/>
  <c r="C269" i="7"/>
  <c r="E268" i="7"/>
  <c r="C268" i="7"/>
  <c r="E267" i="7"/>
  <c r="C267" i="7"/>
  <c r="E266" i="7"/>
  <c r="C266" i="7"/>
  <c r="BC54" i="38"/>
  <c r="BB54" i="38"/>
  <c r="K203" i="7"/>
  <c r="AZ54" i="38" s="1"/>
  <c r="K193" i="7"/>
  <c r="AR54" i="38" s="1"/>
  <c r="Q192" i="7"/>
  <c r="O192" i="7"/>
  <c r="M192" i="7"/>
  <c r="K192" i="7"/>
  <c r="AN54" i="38"/>
  <c r="K142" i="7"/>
  <c r="AF54" i="38" s="1"/>
  <c r="AA54" i="38"/>
  <c r="S54" i="38"/>
  <c r="Q54" i="38"/>
  <c r="P54" i="38"/>
  <c r="O54" i="38"/>
  <c r="K84" i="7"/>
  <c r="N54" i="38" s="1"/>
  <c r="AD10" i="7"/>
  <c r="AA10" i="7"/>
  <c r="Z85" i="7"/>
  <c r="T6" i="7"/>
  <c r="T4" i="7"/>
  <c r="T2" i="7"/>
  <c r="E54" i="38" s="1"/>
  <c r="G611" i="8"/>
  <c r="M610" i="8"/>
  <c r="L610" i="8"/>
  <c r="I610" i="8"/>
  <c r="M609" i="8"/>
  <c r="L609" i="8"/>
  <c r="I609" i="8"/>
  <c r="M608" i="8"/>
  <c r="L608" i="8"/>
  <c r="I608" i="8"/>
  <c r="M607" i="8"/>
  <c r="L607" i="8"/>
  <c r="I607" i="8"/>
  <c r="M606" i="8"/>
  <c r="L606" i="8"/>
  <c r="I606" i="8"/>
  <c r="M605" i="8"/>
  <c r="L605" i="8"/>
  <c r="I605" i="8"/>
  <c r="M604" i="8"/>
  <c r="J3750" i="38" s="1"/>
  <c r="L604" i="8"/>
  <c r="I3750" i="38" s="1"/>
  <c r="I604" i="8"/>
  <c r="F3750" i="38" s="1"/>
  <c r="M603" i="8"/>
  <c r="J3749" i="38" s="1"/>
  <c r="L603" i="8"/>
  <c r="I3749" i="38" s="1"/>
  <c r="I603" i="8"/>
  <c r="F3749" i="38" s="1"/>
  <c r="M602" i="8"/>
  <c r="J3748" i="38" s="1"/>
  <c r="L602" i="8"/>
  <c r="I3748" i="38" s="1"/>
  <c r="I602" i="8"/>
  <c r="F3748" i="38" s="1"/>
  <c r="M601" i="8"/>
  <c r="L601" i="8"/>
  <c r="I601" i="8"/>
  <c r="G595" i="8"/>
  <c r="M594" i="8"/>
  <c r="L594" i="8"/>
  <c r="I594" i="8"/>
  <c r="M593" i="8"/>
  <c r="L593" i="8"/>
  <c r="I593" i="8"/>
  <c r="M592" i="8"/>
  <c r="L592" i="8"/>
  <c r="I592" i="8"/>
  <c r="M591" i="8"/>
  <c r="L591" i="8"/>
  <c r="I591" i="8"/>
  <c r="M590" i="8"/>
  <c r="L590" i="8"/>
  <c r="I590" i="8"/>
  <c r="M589" i="8"/>
  <c r="L589" i="8"/>
  <c r="I589" i="8"/>
  <c r="M588" i="8"/>
  <c r="J3740" i="38" s="1"/>
  <c r="L588" i="8"/>
  <c r="I3740" i="38" s="1"/>
  <c r="I588" i="8"/>
  <c r="F3740" i="38" s="1"/>
  <c r="M587" i="8"/>
  <c r="J3739" i="38" s="1"/>
  <c r="L587" i="8"/>
  <c r="I3739" i="38" s="1"/>
  <c r="I587" i="8"/>
  <c r="F3739" i="38" s="1"/>
  <c r="M586" i="8"/>
  <c r="J3738" i="38" s="1"/>
  <c r="L586" i="8"/>
  <c r="I3738" i="38" s="1"/>
  <c r="I586" i="8"/>
  <c r="F3738" i="38" s="1"/>
  <c r="M585" i="8"/>
  <c r="L585" i="8"/>
  <c r="I585" i="8"/>
  <c r="G579" i="8"/>
  <c r="M578" i="8"/>
  <c r="L578" i="8"/>
  <c r="I578" i="8"/>
  <c r="M577" i="8"/>
  <c r="L577" i="8"/>
  <c r="I577" i="8"/>
  <c r="M576" i="8"/>
  <c r="L576" i="8"/>
  <c r="I576" i="8"/>
  <c r="M575" i="8"/>
  <c r="L575" i="8"/>
  <c r="I575" i="8"/>
  <c r="M574" i="8"/>
  <c r="L574" i="8"/>
  <c r="I574" i="8"/>
  <c r="M573" i="8"/>
  <c r="L573" i="8"/>
  <c r="I573" i="8"/>
  <c r="M572" i="8"/>
  <c r="J3730" i="38" s="1"/>
  <c r="L572" i="8"/>
  <c r="I3730" i="38" s="1"/>
  <c r="I572" i="8"/>
  <c r="F3730" i="38" s="1"/>
  <c r="M571" i="8"/>
  <c r="J3729" i="38" s="1"/>
  <c r="L571" i="8"/>
  <c r="I3729" i="38" s="1"/>
  <c r="I571" i="8"/>
  <c r="F3729" i="38" s="1"/>
  <c r="M570" i="8"/>
  <c r="J3728" i="38" s="1"/>
  <c r="L570" i="8"/>
  <c r="I3728" i="38" s="1"/>
  <c r="I570" i="8"/>
  <c r="F3728" i="38" s="1"/>
  <c r="M569" i="8"/>
  <c r="L569" i="8"/>
  <c r="I569" i="8"/>
  <c r="G563" i="8"/>
  <c r="G2252" i="38" s="1"/>
  <c r="M562" i="8"/>
  <c r="L562" i="8"/>
  <c r="I562" i="8"/>
  <c r="M561" i="8"/>
  <c r="L561" i="8"/>
  <c r="I561" i="8"/>
  <c r="M560" i="8"/>
  <c r="L560" i="8"/>
  <c r="I560" i="8"/>
  <c r="M559" i="8"/>
  <c r="L559" i="8"/>
  <c r="I559" i="8"/>
  <c r="M558" i="8"/>
  <c r="L558" i="8"/>
  <c r="I558" i="8"/>
  <c r="M557" i="8"/>
  <c r="L557" i="8"/>
  <c r="I557" i="8"/>
  <c r="M556" i="8"/>
  <c r="J3720" i="38" s="1"/>
  <c r="L556" i="8"/>
  <c r="I3720" i="38" s="1"/>
  <c r="I556" i="8"/>
  <c r="F3720" i="38" s="1"/>
  <c r="M555" i="8"/>
  <c r="J3719" i="38" s="1"/>
  <c r="L555" i="8"/>
  <c r="I3719" i="38" s="1"/>
  <c r="I555" i="8"/>
  <c r="F3719" i="38" s="1"/>
  <c r="M554" i="8"/>
  <c r="J3718" i="38" s="1"/>
  <c r="L554" i="8"/>
  <c r="I3718" i="38" s="1"/>
  <c r="I554" i="8"/>
  <c r="F3718" i="38" s="1"/>
  <c r="M553" i="8"/>
  <c r="L553" i="8"/>
  <c r="I553" i="8"/>
  <c r="G547" i="8"/>
  <c r="M546" i="8"/>
  <c r="L546" i="8"/>
  <c r="I546" i="8"/>
  <c r="M545" i="8"/>
  <c r="L545" i="8"/>
  <c r="I545" i="8"/>
  <c r="M544" i="8"/>
  <c r="L544" i="8"/>
  <c r="I544" i="8"/>
  <c r="M543" i="8"/>
  <c r="L543" i="8"/>
  <c r="I543" i="8"/>
  <c r="M542" i="8"/>
  <c r="L542" i="8"/>
  <c r="I542" i="8"/>
  <c r="M541" i="8"/>
  <c r="L541" i="8"/>
  <c r="I541" i="8"/>
  <c r="M540" i="8"/>
  <c r="J3710" i="38" s="1"/>
  <c r="L540" i="8"/>
  <c r="I3710" i="38" s="1"/>
  <c r="I540" i="8"/>
  <c r="F3710" i="38" s="1"/>
  <c r="M539" i="8"/>
  <c r="J3709" i="38" s="1"/>
  <c r="L539" i="8"/>
  <c r="I3709" i="38" s="1"/>
  <c r="I539" i="8"/>
  <c r="F3709" i="38" s="1"/>
  <c r="M538" i="8"/>
  <c r="J3708" i="38" s="1"/>
  <c r="L538" i="8"/>
  <c r="I3708" i="38" s="1"/>
  <c r="I538" i="8"/>
  <c r="F3708" i="38" s="1"/>
  <c r="M537" i="8"/>
  <c r="L537" i="8"/>
  <c r="I537" i="8"/>
  <c r="G531" i="8"/>
  <c r="M530" i="8"/>
  <c r="L530" i="8"/>
  <c r="I530" i="8"/>
  <c r="M529" i="8"/>
  <c r="L529" i="8"/>
  <c r="I529" i="8"/>
  <c r="M528" i="8"/>
  <c r="L528" i="8"/>
  <c r="I528" i="8"/>
  <c r="M527" i="8"/>
  <c r="L527" i="8"/>
  <c r="I527" i="8"/>
  <c r="M526" i="8"/>
  <c r="L526" i="8"/>
  <c r="I526" i="8"/>
  <c r="M525" i="8"/>
  <c r="L525" i="8"/>
  <c r="I525" i="8"/>
  <c r="M524" i="8"/>
  <c r="J3700" i="38" s="1"/>
  <c r="L524" i="8"/>
  <c r="I3700" i="38" s="1"/>
  <c r="I524" i="8"/>
  <c r="F3700" i="38" s="1"/>
  <c r="M523" i="8"/>
  <c r="J3699" i="38" s="1"/>
  <c r="L523" i="8"/>
  <c r="I3699" i="38" s="1"/>
  <c r="I523" i="8"/>
  <c r="F3699" i="38" s="1"/>
  <c r="M522" i="8"/>
  <c r="J3698" i="38" s="1"/>
  <c r="L522" i="8"/>
  <c r="I3698" i="38" s="1"/>
  <c r="I522" i="8"/>
  <c r="F3698" i="38" s="1"/>
  <c r="M521" i="8"/>
  <c r="L521" i="8"/>
  <c r="I521" i="8"/>
  <c r="G515" i="8"/>
  <c r="M514" i="8"/>
  <c r="L514" i="8"/>
  <c r="I514" i="8"/>
  <c r="M513" i="8"/>
  <c r="L513" i="8"/>
  <c r="I513" i="8"/>
  <c r="M512" i="8"/>
  <c r="L512" i="8"/>
  <c r="I512" i="8"/>
  <c r="M511" i="8"/>
  <c r="L511" i="8"/>
  <c r="I511" i="8"/>
  <c r="M510" i="8"/>
  <c r="L510" i="8"/>
  <c r="I510" i="8"/>
  <c r="M509" i="8"/>
  <c r="L509" i="8"/>
  <c r="I509" i="8"/>
  <c r="M508" i="8"/>
  <c r="J3690" i="38" s="1"/>
  <c r="L508" i="8"/>
  <c r="I3690" i="38" s="1"/>
  <c r="I508" i="8"/>
  <c r="F3690" i="38" s="1"/>
  <c r="M507" i="8"/>
  <c r="J3689" i="38" s="1"/>
  <c r="L507" i="8"/>
  <c r="I3689" i="38" s="1"/>
  <c r="I507" i="8"/>
  <c r="F3689" i="38" s="1"/>
  <c r="M506" i="8"/>
  <c r="J3688" i="38" s="1"/>
  <c r="L506" i="8"/>
  <c r="I3688" i="38" s="1"/>
  <c r="I506" i="8"/>
  <c r="F3688" i="38" s="1"/>
  <c r="M505" i="8"/>
  <c r="L505" i="8"/>
  <c r="I505" i="8"/>
  <c r="G499" i="8"/>
  <c r="G2248" i="38" s="1"/>
  <c r="M498" i="8"/>
  <c r="L498" i="8"/>
  <c r="I498" i="8"/>
  <c r="M497" i="8"/>
  <c r="L497" i="8"/>
  <c r="I497" i="8"/>
  <c r="M496" i="8"/>
  <c r="L496" i="8"/>
  <c r="I496" i="8"/>
  <c r="M495" i="8"/>
  <c r="L495" i="8"/>
  <c r="I495" i="8"/>
  <c r="M494" i="8"/>
  <c r="L494" i="8"/>
  <c r="I494" i="8"/>
  <c r="M493" i="8"/>
  <c r="L493" i="8"/>
  <c r="I493" i="8"/>
  <c r="M492" i="8"/>
  <c r="J3680" i="38" s="1"/>
  <c r="L492" i="8"/>
  <c r="I3680" i="38" s="1"/>
  <c r="I492" i="8"/>
  <c r="F3680" i="38" s="1"/>
  <c r="M491" i="8"/>
  <c r="J3679" i="38" s="1"/>
  <c r="L491" i="8"/>
  <c r="I3679" i="38" s="1"/>
  <c r="I491" i="8"/>
  <c r="F3679" i="38" s="1"/>
  <c r="M490" i="8"/>
  <c r="J3678" i="38" s="1"/>
  <c r="L490" i="8"/>
  <c r="I3678" i="38" s="1"/>
  <c r="I490" i="8"/>
  <c r="F3678" i="38" s="1"/>
  <c r="M489" i="8"/>
  <c r="L489" i="8"/>
  <c r="I489" i="8"/>
  <c r="G483" i="8"/>
  <c r="M482" i="8"/>
  <c r="L482" i="8"/>
  <c r="I482" i="8"/>
  <c r="M481" i="8"/>
  <c r="L481" i="8"/>
  <c r="I481" i="8"/>
  <c r="M480" i="8"/>
  <c r="L480" i="8"/>
  <c r="I480" i="8"/>
  <c r="M479" i="8"/>
  <c r="L479" i="8"/>
  <c r="I479" i="8"/>
  <c r="M478" i="8"/>
  <c r="L478" i="8"/>
  <c r="I478" i="8"/>
  <c r="M477" i="8"/>
  <c r="L477" i="8"/>
  <c r="I477" i="8"/>
  <c r="M476" i="8"/>
  <c r="J3670" i="38" s="1"/>
  <c r="L476" i="8"/>
  <c r="I3670" i="38" s="1"/>
  <c r="I476" i="8"/>
  <c r="F3670" i="38" s="1"/>
  <c r="M475" i="8"/>
  <c r="J3669" i="38" s="1"/>
  <c r="L475" i="8"/>
  <c r="I3669" i="38" s="1"/>
  <c r="I475" i="8"/>
  <c r="F3669" i="38" s="1"/>
  <c r="M474" i="8"/>
  <c r="J3668" i="38" s="1"/>
  <c r="L474" i="8"/>
  <c r="I3668" i="38" s="1"/>
  <c r="I474" i="8"/>
  <c r="F3668" i="38" s="1"/>
  <c r="M473" i="8"/>
  <c r="L473" i="8"/>
  <c r="I473" i="8"/>
  <c r="G467" i="8"/>
  <c r="M466" i="8"/>
  <c r="L466" i="8"/>
  <c r="I466" i="8"/>
  <c r="M465" i="8"/>
  <c r="L465" i="8"/>
  <c r="I465" i="8"/>
  <c r="M464" i="8"/>
  <c r="L464" i="8"/>
  <c r="I464" i="8"/>
  <c r="M463" i="8"/>
  <c r="L463" i="8"/>
  <c r="I463" i="8"/>
  <c r="M462" i="8"/>
  <c r="L462" i="8"/>
  <c r="I462" i="8"/>
  <c r="M461" i="8"/>
  <c r="L461" i="8"/>
  <c r="I461" i="8"/>
  <c r="M460" i="8"/>
  <c r="J3660" i="38" s="1"/>
  <c r="L460" i="8"/>
  <c r="I3660" i="38" s="1"/>
  <c r="I460" i="8"/>
  <c r="F3660" i="38" s="1"/>
  <c r="M459" i="8"/>
  <c r="J3659" i="38" s="1"/>
  <c r="L459" i="8"/>
  <c r="I3659" i="38" s="1"/>
  <c r="I459" i="8"/>
  <c r="F3659" i="38" s="1"/>
  <c r="M458" i="8"/>
  <c r="J3658" i="38" s="1"/>
  <c r="L458" i="8"/>
  <c r="I3658" i="38" s="1"/>
  <c r="I458" i="8"/>
  <c r="F3658" i="38" s="1"/>
  <c r="M457" i="8"/>
  <c r="L457" i="8"/>
  <c r="I457" i="8"/>
  <c r="G451" i="8"/>
  <c r="M450" i="8"/>
  <c r="L450" i="8"/>
  <c r="I450" i="8"/>
  <c r="M449" i="8"/>
  <c r="L449" i="8"/>
  <c r="I449" i="8"/>
  <c r="M448" i="8"/>
  <c r="L448" i="8"/>
  <c r="I448" i="8"/>
  <c r="M447" i="8"/>
  <c r="L447" i="8"/>
  <c r="I447" i="8"/>
  <c r="M446" i="8"/>
  <c r="L446" i="8"/>
  <c r="I446" i="8"/>
  <c r="M445" i="8"/>
  <c r="L445" i="8"/>
  <c r="I445" i="8"/>
  <c r="M444" i="8"/>
  <c r="J3650" i="38" s="1"/>
  <c r="L444" i="8"/>
  <c r="I3650" i="38" s="1"/>
  <c r="I444" i="8"/>
  <c r="F3650" i="38" s="1"/>
  <c r="M443" i="8"/>
  <c r="J3649" i="38" s="1"/>
  <c r="L443" i="8"/>
  <c r="I3649" i="38" s="1"/>
  <c r="I443" i="8"/>
  <c r="F3649" i="38" s="1"/>
  <c r="M442" i="8"/>
  <c r="J3648" i="38" s="1"/>
  <c r="L442" i="8"/>
  <c r="I3648" i="38" s="1"/>
  <c r="I442" i="8"/>
  <c r="F3648" i="38" s="1"/>
  <c r="M441" i="8"/>
  <c r="L441" i="8"/>
  <c r="I441" i="8"/>
  <c r="G435" i="8"/>
  <c r="G2244" i="38" s="1"/>
  <c r="M434" i="8"/>
  <c r="L434" i="8"/>
  <c r="I434" i="8"/>
  <c r="M433" i="8"/>
  <c r="L433" i="8"/>
  <c r="I433" i="8"/>
  <c r="M432" i="8"/>
  <c r="L432" i="8"/>
  <c r="I432" i="8"/>
  <c r="M431" i="8"/>
  <c r="L431" i="8"/>
  <c r="I431" i="8"/>
  <c r="M430" i="8"/>
  <c r="L430" i="8"/>
  <c r="I430" i="8"/>
  <c r="M429" i="8"/>
  <c r="L429" i="8"/>
  <c r="I429" i="8"/>
  <c r="M428" i="8"/>
  <c r="J3640" i="38" s="1"/>
  <c r="L428" i="8"/>
  <c r="I3640" i="38" s="1"/>
  <c r="I428" i="8"/>
  <c r="F3640" i="38" s="1"/>
  <c r="M427" i="8"/>
  <c r="J3639" i="38" s="1"/>
  <c r="L427" i="8"/>
  <c r="I3639" i="38" s="1"/>
  <c r="I427" i="8"/>
  <c r="F3639" i="38" s="1"/>
  <c r="M426" i="8"/>
  <c r="J3638" i="38" s="1"/>
  <c r="L426" i="8"/>
  <c r="I3638" i="38" s="1"/>
  <c r="I426" i="8"/>
  <c r="F3638" i="38" s="1"/>
  <c r="M425" i="8"/>
  <c r="L425" i="8"/>
  <c r="I425" i="8"/>
  <c r="G419" i="8"/>
  <c r="M418" i="8"/>
  <c r="L418" i="8"/>
  <c r="I418" i="8"/>
  <c r="M417" i="8"/>
  <c r="L417" i="8"/>
  <c r="I417" i="8"/>
  <c r="M416" i="8"/>
  <c r="L416" i="8"/>
  <c r="I416" i="8"/>
  <c r="M415" i="8"/>
  <c r="L415" i="8"/>
  <c r="I415" i="8"/>
  <c r="M414" i="8"/>
  <c r="L414" i="8"/>
  <c r="I414" i="8"/>
  <c r="M413" i="8"/>
  <c r="L413" i="8"/>
  <c r="I413" i="8"/>
  <c r="M412" i="8"/>
  <c r="J3630" i="38" s="1"/>
  <c r="L412" i="8"/>
  <c r="I3630" i="38" s="1"/>
  <c r="I412" i="8"/>
  <c r="F3630" i="38" s="1"/>
  <c r="M411" i="8"/>
  <c r="J3629" i="38" s="1"/>
  <c r="L411" i="8"/>
  <c r="I3629" i="38" s="1"/>
  <c r="I411" i="8"/>
  <c r="F3629" i="38" s="1"/>
  <c r="M410" i="8"/>
  <c r="J3628" i="38" s="1"/>
  <c r="L410" i="8"/>
  <c r="I3628" i="38" s="1"/>
  <c r="I410" i="8"/>
  <c r="F3628" i="38" s="1"/>
  <c r="M409" i="8"/>
  <c r="L409" i="8"/>
  <c r="I409" i="8"/>
  <c r="G403" i="8"/>
  <c r="M402" i="8"/>
  <c r="L402" i="8"/>
  <c r="I402" i="8"/>
  <c r="M401" i="8"/>
  <c r="L401" i="8"/>
  <c r="I401" i="8"/>
  <c r="M400" i="8"/>
  <c r="L400" i="8"/>
  <c r="I400" i="8"/>
  <c r="M399" i="8"/>
  <c r="L399" i="8"/>
  <c r="I399" i="8"/>
  <c r="M398" i="8"/>
  <c r="L398" i="8"/>
  <c r="I398" i="8"/>
  <c r="M397" i="8"/>
  <c r="L397" i="8"/>
  <c r="I397" i="8"/>
  <c r="M396" i="8"/>
  <c r="J3620" i="38" s="1"/>
  <c r="L396" i="8"/>
  <c r="I3620" i="38" s="1"/>
  <c r="I396" i="8"/>
  <c r="F3620" i="38" s="1"/>
  <c r="M395" i="8"/>
  <c r="J3619" i="38" s="1"/>
  <c r="L395" i="8"/>
  <c r="I3619" i="38" s="1"/>
  <c r="I395" i="8"/>
  <c r="F3619" i="38" s="1"/>
  <c r="M394" i="8"/>
  <c r="J3618" i="38" s="1"/>
  <c r="L394" i="8"/>
  <c r="I3618" i="38" s="1"/>
  <c r="I394" i="8"/>
  <c r="F3618" i="38" s="1"/>
  <c r="M393" i="8"/>
  <c r="L393" i="8"/>
  <c r="I393" i="8"/>
  <c r="G387" i="8"/>
  <c r="M386" i="8"/>
  <c r="L386" i="8"/>
  <c r="I386" i="8"/>
  <c r="M385" i="8"/>
  <c r="L385" i="8"/>
  <c r="I385" i="8"/>
  <c r="M384" i="8"/>
  <c r="L384" i="8"/>
  <c r="I384" i="8"/>
  <c r="M383" i="8"/>
  <c r="L383" i="8"/>
  <c r="I383" i="8"/>
  <c r="M382" i="8"/>
  <c r="L382" i="8"/>
  <c r="I382" i="8"/>
  <c r="M381" i="8"/>
  <c r="L381" i="8"/>
  <c r="I381" i="8"/>
  <c r="M380" i="8"/>
  <c r="J3610" i="38" s="1"/>
  <c r="L380" i="8"/>
  <c r="I3610" i="38" s="1"/>
  <c r="I380" i="8"/>
  <c r="F3610" i="38" s="1"/>
  <c r="M379" i="8"/>
  <c r="J3609" i="38" s="1"/>
  <c r="L379" i="8"/>
  <c r="I3609" i="38" s="1"/>
  <c r="I379" i="8"/>
  <c r="F3609" i="38" s="1"/>
  <c r="M378" i="8"/>
  <c r="J3608" i="38" s="1"/>
  <c r="L378" i="8"/>
  <c r="I3608" i="38" s="1"/>
  <c r="I378" i="8"/>
  <c r="F3608" i="38" s="1"/>
  <c r="M377" i="8"/>
  <c r="L377" i="8"/>
  <c r="I377" i="8"/>
  <c r="G371" i="8"/>
  <c r="G2240" i="38" s="1"/>
  <c r="M370" i="8"/>
  <c r="L370" i="8"/>
  <c r="I370" i="8"/>
  <c r="M369" i="8"/>
  <c r="L369" i="8"/>
  <c r="I369" i="8"/>
  <c r="M368" i="8"/>
  <c r="L368" i="8"/>
  <c r="I368" i="8"/>
  <c r="M367" i="8"/>
  <c r="L367" i="8"/>
  <c r="I367" i="8"/>
  <c r="M366" i="8"/>
  <c r="L366" i="8"/>
  <c r="I366" i="8"/>
  <c r="M365" i="8"/>
  <c r="L365" i="8"/>
  <c r="I365" i="8"/>
  <c r="M364" i="8"/>
  <c r="J3600" i="38" s="1"/>
  <c r="L364" i="8"/>
  <c r="I3600" i="38" s="1"/>
  <c r="I364" i="8"/>
  <c r="F3600" i="38" s="1"/>
  <c r="M363" i="8"/>
  <c r="J3599" i="38" s="1"/>
  <c r="L363" i="8"/>
  <c r="I3599" i="38" s="1"/>
  <c r="I363" i="8"/>
  <c r="F3599" i="38" s="1"/>
  <c r="M362" i="8"/>
  <c r="J3598" i="38" s="1"/>
  <c r="L362" i="8"/>
  <c r="I3598" i="38" s="1"/>
  <c r="I362" i="8"/>
  <c r="F3598" i="38" s="1"/>
  <c r="M361" i="8"/>
  <c r="L361" i="8"/>
  <c r="I361" i="8"/>
  <c r="G355" i="8"/>
  <c r="M354" i="8"/>
  <c r="L354" i="8"/>
  <c r="I354" i="8"/>
  <c r="M353" i="8"/>
  <c r="L353" i="8"/>
  <c r="I353" i="8"/>
  <c r="M352" i="8"/>
  <c r="L352" i="8"/>
  <c r="I352" i="8"/>
  <c r="M351" i="8"/>
  <c r="L351" i="8"/>
  <c r="I351" i="8"/>
  <c r="M350" i="8"/>
  <c r="L350" i="8"/>
  <c r="I350" i="8"/>
  <c r="M349" i="8"/>
  <c r="L349" i="8"/>
  <c r="I349" i="8"/>
  <c r="M348" i="8"/>
  <c r="L348" i="8"/>
  <c r="I348" i="8"/>
  <c r="M347" i="8"/>
  <c r="L347" i="8"/>
  <c r="I347" i="8"/>
  <c r="M346" i="8"/>
  <c r="L346" i="8"/>
  <c r="I346" i="8"/>
  <c r="M345" i="8"/>
  <c r="L345" i="8"/>
  <c r="I345" i="8"/>
  <c r="G339" i="8"/>
  <c r="G340" i="8" s="1"/>
  <c r="H2238" i="38" s="1"/>
  <c r="M338" i="8"/>
  <c r="L338" i="8"/>
  <c r="I338" i="8"/>
  <c r="M337" i="8"/>
  <c r="L337" i="8"/>
  <c r="I337" i="8"/>
  <c r="M336" i="8"/>
  <c r="L336" i="8"/>
  <c r="I336" i="8"/>
  <c r="M335" i="8"/>
  <c r="L335" i="8"/>
  <c r="I335" i="8"/>
  <c r="M334" i="8"/>
  <c r="L334" i="8"/>
  <c r="I334" i="8"/>
  <c r="M333" i="8"/>
  <c r="L333" i="8"/>
  <c r="I333" i="8"/>
  <c r="M332" i="8"/>
  <c r="L332" i="8"/>
  <c r="I332" i="8"/>
  <c r="M331" i="8"/>
  <c r="L331" i="8"/>
  <c r="I331" i="8"/>
  <c r="M330" i="8"/>
  <c r="L330" i="8"/>
  <c r="I330" i="8"/>
  <c r="M329" i="8"/>
  <c r="L329" i="8"/>
  <c r="I329" i="8"/>
  <c r="K293" i="8"/>
  <c r="BH55" i="38" s="1"/>
  <c r="K281" i="8"/>
  <c r="BF55" i="38" s="1"/>
  <c r="K270" i="8"/>
  <c r="BD55" i="38" s="1"/>
  <c r="E269" i="8"/>
  <c r="C269" i="8"/>
  <c r="E268" i="8"/>
  <c r="C268" i="8"/>
  <c r="E267" i="8"/>
  <c r="C267" i="8"/>
  <c r="E266" i="8"/>
  <c r="C266" i="8"/>
  <c r="BC55" i="38"/>
  <c r="BB55" i="38"/>
  <c r="K203" i="8"/>
  <c r="AZ55" i="38" s="1"/>
  <c r="K193" i="8"/>
  <c r="AR55" i="38" s="1"/>
  <c r="Q192" i="8"/>
  <c r="O192" i="8"/>
  <c r="M192" i="8"/>
  <c r="K192" i="8"/>
  <c r="AN55" i="38"/>
  <c r="K142" i="8"/>
  <c r="AF55" i="38" s="1"/>
  <c r="AA55" i="38"/>
  <c r="S55" i="38"/>
  <c r="Q55" i="38"/>
  <c r="P55" i="38"/>
  <c r="O55" i="38"/>
  <c r="K84" i="8"/>
  <c r="N55" i="38" s="1"/>
  <c r="AD10" i="8"/>
  <c r="AA10" i="8"/>
  <c r="Z85" i="8"/>
  <c r="T6" i="8"/>
  <c r="T4" i="8"/>
  <c r="T2" i="8"/>
  <c r="E55" i="38" s="1"/>
  <c r="G611" i="9"/>
  <c r="M610" i="9"/>
  <c r="L610" i="9"/>
  <c r="I610" i="9"/>
  <c r="M609" i="9"/>
  <c r="L609" i="9"/>
  <c r="I609" i="9"/>
  <c r="M608" i="9"/>
  <c r="L608" i="9"/>
  <c r="I608" i="9"/>
  <c r="M607" i="9"/>
  <c r="L607" i="9"/>
  <c r="I607" i="9"/>
  <c r="M606" i="9"/>
  <c r="L606" i="9"/>
  <c r="I606" i="9"/>
  <c r="M605" i="9"/>
  <c r="L605" i="9"/>
  <c r="I605" i="9"/>
  <c r="M604" i="9"/>
  <c r="J3930" i="38" s="1"/>
  <c r="L604" i="9"/>
  <c r="I3930" i="38" s="1"/>
  <c r="I604" i="9"/>
  <c r="F3930" i="38" s="1"/>
  <c r="M603" i="9"/>
  <c r="J3929" i="38" s="1"/>
  <c r="L603" i="9"/>
  <c r="I3929" i="38" s="1"/>
  <c r="I603" i="9"/>
  <c r="F3929" i="38" s="1"/>
  <c r="M602" i="9"/>
  <c r="J3928" i="38" s="1"/>
  <c r="L602" i="9"/>
  <c r="I3928" i="38" s="1"/>
  <c r="I602" i="9"/>
  <c r="F3928" i="38" s="1"/>
  <c r="M601" i="9"/>
  <c r="L601" i="9"/>
  <c r="I601" i="9"/>
  <c r="G595" i="9"/>
  <c r="M594" i="9"/>
  <c r="L594" i="9"/>
  <c r="I594" i="9"/>
  <c r="M593" i="9"/>
  <c r="L593" i="9"/>
  <c r="I593" i="9"/>
  <c r="M592" i="9"/>
  <c r="L592" i="9"/>
  <c r="I592" i="9"/>
  <c r="M591" i="9"/>
  <c r="L591" i="9"/>
  <c r="I591" i="9"/>
  <c r="M590" i="9"/>
  <c r="L590" i="9"/>
  <c r="I590" i="9"/>
  <c r="M589" i="9"/>
  <c r="L589" i="9"/>
  <c r="I589" i="9"/>
  <c r="M588" i="9"/>
  <c r="J3920" i="38" s="1"/>
  <c r="L588" i="9"/>
  <c r="I3920" i="38" s="1"/>
  <c r="I588" i="9"/>
  <c r="F3920" i="38" s="1"/>
  <c r="M587" i="9"/>
  <c r="J3919" i="38" s="1"/>
  <c r="L587" i="9"/>
  <c r="I3919" i="38" s="1"/>
  <c r="I587" i="9"/>
  <c r="F3919" i="38" s="1"/>
  <c r="M586" i="9"/>
  <c r="J3918" i="38" s="1"/>
  <c r="L586" i="9"/>
  <c r="I3918" i="38" s="1"/>
  <c r="I586" i="9"/>
  <c r="F3918" i="38" s="1"/>
  <c r="M585" i="9"/>
  <c r="L585" i="9"/>
  <c r="I585" i="9"/>
  <c r="G579" i="9"/>
  <c r="M578" i="9"/>
  <c r="L578" i="9"/>
  <c r="I578" i="9"/>
  <c r="M577" i="9"/>
  <c r="L577" i="9"/>
  <c r="I577" i="9"/>
  <c r="M576" i="9"/>
  <c r="L576" i="9"/>
  <c r="I576" i="9"/>
  <c r="M575" i="9"/>
  <c r="L575" i="9"/>
  <c r="I575" i="9"/>
  <c r="M574" i="9"/>
  <c r="L574" i="9"/>
  <c r="I574" i="9"/>
  <c r="M573" i="9"/>
  <c r="L573" i="9"/>
  <c r="I573" i="9"/>
  <c r="M572" i="9"/>
  <c r="J3910" i="38" s="1"/>
  <c r="L572" i="9"/>
  <c r="I3910" i="38" s="1"/>
  <c r="I572" i="9"/>
  <c r="F3910" i="38" s="1"/>
  <c r="M571" i="9"/>
  <c r="J3909" i="38" s="1"/>
  <c r="L571" i="9"/>
  <c r="I3909" i="38" s="1"/>
  <c r="I571" i="9"/>
  <c r="F3909" i="38" s="1"/>
  <c r="M570" i="9"/>
  <c r="J3908" i="38" s="1"/>
  <c r="L570" i="9"/>
  <c r="I3908" i="38" s="1"/>
  <c r="I570" i="9"/>
  <c r="F3908" i="38" s="1"/>
  <c r="M569" i="9"/>
  <c r="L569" i="9"/>
  <c r="I569" i="9"/>
  <c r="G563" i="9"/>
  <c r="G2270" i="38" s="1"/>
  <c r="M562" i="9"/>
  <c r="L562" i="9"/>
  <c r="I562" i="9"/>
  <c r="M561" i="9"/>
  <c r="L561" i="9"/>
  <c r="I561" i="9"/>
  <c r="M560" i="9"/>
  <c r="L560" i="9"/>
  <c r="I560" i="9"/>
  <c r="M559" i="9"/>
  <c r="L559" i="9"/>
  <c r="I559" i="9"/>
  <c r="M558" i="9"/>
  <c r="L558" i="9"/>
  <c r="I558" i="9"/>
  <c r="M557" i="9"/>
  <c r="L557" i="9"/>
  <c r="I557" i="9"/>
  <c r="M556" i="9"/>
  <c r="J3900" i="38" s="1"/>
  <c r="L556" i="9"/>
  <c r="I3900" i="38" s="1"/>
  <c r="I556" i="9"/>
  <c r="F3900" i="38" s="1"/>
  <c r="M555" i="9"/>
  <c r="J3899" i="38" s="1"/>
  <c r="L555" i="9"/>
  <c r="I3899" i="38" s="1"/>
  <c r="I555" i="9"/>
  <c r="F3899" i="38" s="1"/>
  <c r="M554" i="9"/>
  <c r="J3898" i="38" s="1"/>
  <c r="L554" i="9"/>
  <c r="I3898" i="38" s="1"/>
  <c r="I554" i="9"/>
  <c r="F3898" i="38" s="1"/>
  <c r="M553" i="9"/>
  <c r="L553" i="9"/>
  <c r="I553" i="9"/>
  <c r="G547" i="9"/>
  <c r="M546" i="9"/>
  <c r="L546" i="9"/>
  <c r="I546" i="9"/>
  <c r="M545" i="9"/>
  <c r="L545" i="9"/>
  <c r="I545" i="9"/>
  <c r="M544" i="9"/>
  <c r="L544" i="9"/>
  <c r="I544" i="9"/>
  <c r="M543" i="9"/>
  <c r="L543" i="9"/>
  <c r="I543" i="9"/>
  <c r="M542" i="9"/>
  <c r="L542" i="9"/>
  <c r="I542" i="9"/>
  <c r="M541" i="9"/>
  <c r="L541" i="9"/>
  <c r="I541" i="9"/>
  <c r="M540" i="9"/>
  <c r="J3890" i="38" s="1"/>
  <c r="L540" i="9"/>
  <c r="I3890" i="38" s="1"/>
  <c r="I540" i="9"/>
  <c r="F3890" i="38" s="1"/>
  <c r="M539" i="9"/>
  <c r="J3889" i="38" s="1"/>
  <c r="L539" i="9"/>
  <c r="I3889" i="38" s="1"/>
  <c r="I539" i="9"/>
  <c r="F3889" i="38" s="1"/>
  <c r="M538" i="9"/>
  <c r="J3888" i="38" s="1"/>
  <c r="L538" i="9"/>
  <c r="I3888" i="38" s="1"/>
  <c r="I538" i="9"/>
  <c r="F3888" i="38" s="1"/>
  <c r="M537" i="9"/>
  <c r="L537" i="9"/>
  <c r="I537" i="9"/>
  <c r="G531" i="9"/>
  <c r="M530" i="9"/>
  <c r="L530" i="9"/>
  <c r="I530" i="9"/>
  <c r="M529" i="9"/>
  <c r="L529" i="9"/>
  <c r="I529" i="9"/>
  <c r="M528" i="9"/>
  <c r="L528" i="9"/>
  <c r="I528" i="9"/>
  <c r="M527" i="9"/>
  <c r="L527" i="9"/>
  <c r="I527" i="9"/>
  <c r="M526" i="9"/>
  <c r="L526" i="9"/>
  <c r="I526" i="9"/>
  <c r="M525" i="9"/>
  <c r="L525" i="9"/>
  <c r="I525" i="9"/>
  <c r="M524" i="9"/>
  <c r="J3880" i="38" s="1"/>
  <c r="L524" i="9"/>
  <c r="I3880" i="38" s="1"/>
  <c r="I524" i="9"/>
  <c r="F3880" i="38" s="1"/>
  <c r="M523" i="9"/>
  <c r="J3879" i="38" s="1"/>
  <c r="L523" i="9"/>
  <c r="I3879" i="38" s="1"/>
  <c r="I523" i="9"/>
  <c r="F3879" i="38" s="1"/>
  <c r="M522" i="9"/>
  <c r="J3878" i="38" s="1"/>
  <c r="L522" i="9"/>
  <c r="I3878" i="38" s="1"/>
  <c r="I522" i="9"/>
  <c r="F3878" i="38" s="1"/>
  <c r="M521" i="9"/>
  <c r="L521" i="9"/>
  <c r="I521" i="9"/>
  <c r="G515" i="9"/>
  <c r="M514" i="9"/>
  <c r="L514" i="9"/>
  <c r="I514" i="9"/>
  <c r="M513" i="9"/>
  <c r="L513" i="9"/>
  <c r="I513" i="9"/>
  <c r="M512" i="9"/>
  <c r="L512" i="9"/>
  <c r="I512" i="9"/>
  <c r="M511" i="9"/>
  <c r="L511" i="9"/>
  <c r="I511" i="9"/>
  <c r="M510" i="9"/>
  <c r="L510" i="9"/>
  <c r="I510" i="9"/>
  <c r="M509" i="9"/>
  <c r="L509" i="9"/>
  <c r="I509" i="9"/>
  <c r="M508" i="9"/>
  <c r="J3870" i="38" s="1"/>
  <c r="L508" i="9"/>
  <c r="I3870" i="38" s="1"/>
  <c r="I508" i="9"/>
  <c r="F3870" i="38" s="1"/>
  <c r="M507" i="9"/>
  <c r="J3869" i="38" s="1"/>
  <c r="L507" i="9"/>
  <c r="I3869" i="38" s="1"/>
  <c r="I507" i="9"/>
  <c r="F3869" i="38" s="1"/>
  <c r="M506" i="9"/>
  <c r="J3868" i="38" s="1"/>
  <c r="L506" i="9"/>
  <c r="I3868" i="38" s="1"/>
  <c r="I506" i="9"/>
  <c r="F3868" i="38" s="1"/>
  <c r="M505" i="9"/>
  <c r="L505" i="9"/>
  <c r="I505" i="9"/>
  <c r="G499" i="9"/>
  <c r="G2266" i="38" s="1"/>
  <c r="M498" i="9"/>
  <c r="L498" i="9"/>
  <c r="I498" i="9"/>
  <c r="M497" i="9"/>
  <c r="L497" i="9"/>
  <c r="I497" i="9"/>
  <c r="M496" i="9"/>
  <c r="L496" i="9"/>
  <c r="I496" i="9"/>
  <c r="M495" i="9"/>
  <c r="L495" i="9"/>
  <c r="I495" i="9"/>
  <c r="M494" i="9"/>
  <c r="L494" i="9"/>
  <c r="I494" i="9"/>
  <c r="M493" i="9"/>
  <c r="L493" i="9"/>
  <c r="I493" i="9"/>
  <c r="M492" i="9"/>
  <c r="J3860" i="38" s="1"/>
  <c r="L492" i="9"/>
  <c r="I3860" i="38" s="1"/>
  <c r="I492" i="9"/>
  <c r="F3860" i="38" s="1"/>
  <c r="M491" i="9"/>
  <c r="J3859" i="38" s="1"/>
  <c r="L491" i="9"/>
  <c r="I3859" i="38" s="1"/>
  <c r="I491" i="9"/>
  <c r="F3859" i="38" s="1"/>
  <c r="M490" i="9"/>
  <c r="J3858" i="38" s="1"/>
  <c r="L490" i="9"/>
  <c r="I3858" i="38" s="1"/>
  <c r="I490" i="9"/>
  <c r="F3858" i="38" s="1"/>
  <c r="M489" i="9"/>
  <c r="L489" i="9"/>
  <c r="I489" i="9"/>
  <c r="G483" i="9"/>
  <c r="M482" i="9"/>
  <c r="L482" i="9"/>
  <c r="I482" i="9"/>
  <c r="M481" i="9"/>
  <c r="L481" i="9"/>
  <c r="I481" i="9"/>
  <c r="M480" i="9"/>
  <c r="L480" i="9"/>
  <c r="I480" i="9"/>
  <c r="M479" i="9"/>
  <c r="L479" i="9"/>
  <c r="I479" i="9"/>
  <c r="M478" i="9"/>
  <c r="L478" i="9"/>
  <c r="I478" i="9"/>
  <c r="M477" i="9"/>
  <c r="L477" i="9"/>
  <c r="I477" i="9"/>
  <c r="M476" i="9"/>
  <c r="J3850" i="38" s="1"/>
  <c r="L476" i="9"/>
  <c r="I3850" i="38" s="1"/>
  <c r="I476" i="9"/>
  <c r="F3850" i="38" s="1"/>
  <c r="M475" i="9"/>
  <c r="J3849" i="38" s="1"/>
  <c r="L475" i="9"/>
  <c r="I3849" i="38" s="1"/>
  <c r="I475" i="9"/>
  <c r="F3849" i="38" s="1"/>
  <c r="M474" i="9"/>
  <c r="J3848" i="38" s="1"/>
  <c r="L474" i="9"/>
  <c r="I3848" i="38" s="1"/>
  <c r="I474" i="9"/>
  <c r="F3848" i="38" s="1"/>
  <c r="M473" i="9"/>
  <c r="L473" i="9"/>
  <c r="I473" i="9"/>
  <c r="G467" i="9"/>
  <c r="M466" i="9"/>
  <c r="L466" i="9"/>
  <c r="I466" i="9"/>
  <c r="M465" i="9"/>
  <c r="L465" i="9"/>
  <c r="I465" i="9"/>
  <c r="M464" i="9"/>
  <c r="L464" i="9"/>
  <c r="I464" i="9"/>
  <c r="M463" i="9"/>
  <c r="L463" i="9"/>
  <c r="I463" i="9"/>
  <c r="M462" i="9"/>
  <c r="L462" i="9"/>
  <c r="I462" i="9"/>
  <c r="M461" i="9"/>
  <c r="L461" i="9"/>
  <c r="I461" i="9"/>
  <c r="M460" i="9"/>
  <c r="J3840" i="38" s="1"/>
  <c r="L460" i="9"/>
  <c r="I3840" i="38" s="1"/>
  <c r="I460" i="9"/>
  <c r="F3840" i="38" s="1"/>
  <c r="M459" i="9"/>
  <c r="J3839" i="38" s="1"/>
  <c r="L459" i="9"/>
  <c r="I3839" i="38" s="1"/>
  <c r="I459" i="9"/>
  <c r="F3839" i="38" s="1"/>
  <c r="M458" i="9"/>
  <c r="J3838" i="38" s="1"/>
  <c r="L458" i="9"/>
  <c r="I3838" i="38" s="1"/>
  <c r="I458" i="9"/>
  <c r="F3838" i="38" s="1"/>
  <c r="M457" i="9"/>
  <c r="L457" i="9"/>
  <c r="I457" i="9"/>
  <c r="G451" i="9"/>
  <c r="M450" i="9"/>
  <c r="L450" i="9"/>
  <c r="I450" i="9"/>
  <c r="M449" i="9"/>
  <c r="L449" i="9"/>
  <c r="I449" i="9"/>
  <c r="M448" i="9"/>
  <c r="L448" i="9"/>
  <c r="I448" i="9"/>
  <c r="M447" i="9"/>
  <c r="L447" i="9"/>
  <c r="I447" i="9"/>
  <c r="M446" i="9"/>
  <c r="L446" i="9"/>
  <c r="I446" i="9"/>
  <c r="M445" i="9"/>
  <c r="L445" i="9"/>
  <c r="I445" i="9"/>
  <c r="M444" i="9"/>
  <c r="J3830" i="38" s="1"/>
  <c r="L444" i="9"/>
  <c r="I3830" i="38" s="1"/>
  <c r="I444" i="9"/>
  <c r="F3830" i="38" s="1"/>
  <c r="M443" i="9"/>
  <c r="J3829" i="38" s="1"/>
  <c r="L443" i="9"/>
  <c r="I3829" i="38" s="1"/>
  <c r="I443" i="9"/>
  <c r="F3829" i="38" s="1"/>
  <c r="M442" i="9"/>
  <c r="J3828" i="38" s="1"/>
  <c r="L442" i="9"/>
  <c r="I3828" i="38" s="1"/>
  <c r="I442" i="9"/>
  <c r="F3828" i="38" s="1"/>
  <c r="M441" i="9"/>
  <c r="L441" i="9"/>
  <c r="I441" i="9"/>
  <c r="G435" i="9"/>
  <c r="G2262" i="38" s="1"/>
  <c r="M434" i="9"/>
  <c r="L434" i="9"/>
  <c r="I434" i="9"/>
  <c r="M433" i="9"/>
  <c r="L433" i="9"/>
  <c r="I433" i="9"/>
  <c r="M432" i="9"/>
  <c r="L432" i="9"/>
  <c r="I432" i="9"/>
  <c r="M431" i="9"/>
  <c r="L431" i="9"/>
  <c r="I431" i="9"/>
  <c r="M430" i="9"/>
  <c r="L430" i="9"/>
  <c r="I430" i="9"/>
  <c r="M429" i="9"/>
  <c r="L429" i="9"/>
  <c r="I429" i="9"/>
  <c r="M428" i="9"/>
  <c r="J3820" i="38" s="1"/>
  <c r="L428" i="9"/>
  <c r="I3820" i="38" s="1"/>
  <c r="I428" i="9"/>
  <c r="F3820" i="38" s="1"/>
  <c r="M427" i="9"/>
  <c r="J3819" i="38" s="1"/>
  <c r="L427" i="9"/>
  <c r="I3819" i="38" s="1"/>
  <c r="I427" i="9"/>
  <c r="F3819" i="38" s="1"/>
  <c r="M426" i="9"/>
  <c r="J3818" i="38" s="1"/>
  <c r="L426" i="9"/>
  <c r="I3818" i="38" s="1"/>
  <c r="I426" i="9"/>
  <c r="F3818" i="38" s="1"/>
  <c r="M425" i="9"/>
  <c r="L425" i="9"/>
  <c r="I425" i="9"/>
  <c r="G419" i="9"/>
  <c r="M418" i="9"/>
  <c r="L418" i="9"/>
  <c r="I418" i="9"/>
  <c r="M417" i="9"/>
  <c r="L417" i="9"/>
  <c r="I417" i="9"/>
  <c r="M416" i="9"/>
  <c r="L416" i="9"/>
  <c r="I416" i="9"/>
  <c r="M415" i="9"/>
  <c r="L415" i="9"/>
  <c r="I415" i="9"/>
  <c r="M414" i="9"/>
  <c r="L414" i="9"/>
  <c r="I414" i="9"/>
  <c r="M413" i="9"/>
  <c r="L413" i="9"/>
  <c r="I413" i="9"/>
  <c r="M412" i="9"/>
  <c r="J3810" i="38" s="1"/>
  <c r="L412" i="9"/>
  <c r="I3810" i="38" s="1"/>
  <c r="I412" i="9"/>
  <c r="F3810" i="38" s="1"/>
  <c r="M411" i="9"/>
  <c r="J3809" i="38" s="1"/>
  <c r="L411" i="9"/>
  <c r="I3809" i="38" s="1"/>
  <c r="I411" i="9"/>
  <c r="F3809" i="38" s="1"/>
  <c r="M410" i="9"/>
  <c r="J3808" i="38" s="1"/>
  <c r="L410" i="9"/>
  <c r="I3808" i="38" s="1"/>
  <c r="I410" i="9"/>
  <c r="F3808" i="38" s="1"/>
  <c r="M409" i="9"/>
  <c r="L409" i="9"/>
  <c r="I409" i="9"/>
  <c r="G403" i="9"/>
  <c r="M402" i="9"/>
  <c r="L402" i="9"/>
  <c r="I402" i="9"/>
  <c r="M401" i="9"/>
  <c r="L401" i="9"/>
  <c r="I401" i="9"/>
  <c r="M400" i="9"/>
  <c r="L400" i="9"/>
  <c r="I400" i="9"/>
  <c r="M399" i="9"/>
  <c r="L399" i="9"/>
  <c r="I399" i="9"/>
  <c r="M398" i="9"/>
  <c r="L398" i="9"/>
  <c r="I398" i="9"/>
  <c r="M397" i="9"/>
  <c r="L397" i="9"/>
  <c r="I397" i="9"/>
  <c r="M396" i="9"/>
  <c r="J3800" i="38" s="1"/>
  <c r="L396" i="9"/>
  <c r="I3800" i="38" s="1"/>
  <c r="I396" i="9"/>
  <c r="F3800" i="38" s="1"/>
  <c r="M395" i="9"/>
  <c r="J3799" i="38" s="1"/>
  <c r="L395" i="9"/>
  <c r="I3799" i="38" s="1"/>
  <c r="I395" i="9"/>
  <c r="F3799" i="38" s="1"/>
  <c r="M394" i="9"/>
  <c r="J3798" i="38" s="1"/>
  <c r="L394" i="9"/>
  <c r="I3798" i="38" s="1"/>
  <c r="I394" i="9"/>
  <c r="F3798" i="38" s="1"/>
  <c r="M393" i="9"/>
  <c r="L393" i="9"/>
  <c r="I393" i="9"/>
  <c r="G387" i="9"/>
  <c r="M386" i="9"/>
  <c r="L386" i="9"/>
  <c r="I386" i="9"/>
  <c r="M385" i="9"/>
  <c r="L385" i="9"/>
  <c r="I385" i="9"/>
  <c r="M384" i="9"/>
  <c r="L384" i="9"/>
  <c r="I384" i="9"/>
  <c r="M383" i="9"/>
  <c r="L383" i="9"/>
  <c r="I383" i="9"/>
  <c r="M382" i="9"/>
  <c r="L382" i="9"/>
  <c r="I382" i="9"/>
  <c r="M381" i="9"/>
  <c r="L381" i="9"/>
  <c r="I381" i="9"/>
  <c r="M380" i="9"/>
  <c r="J3790" i="38" s="1"/>
  <c r="L380" i="9"/>
  <c r="I3790" i="38" s="1"/>
  <c r="I380" i="9"/>
  <c r="F3790" i="38" s="1"/>
  <c r="M379" i="9"/>
  <c r="J3789" i="38" s="1"/>
  <c r="L379" i="9"/>
  <c r="I3789" i="38" s="1"/>
  <c r="I379" i="9"/>
  <c r="F3789" i="38" s="1"/>
  <c r="M378" i="9"/>
  <c r="J3788" i="38" s="1"/>
  <c r="L378" i="9"/>
  <c r="I3788" i="38" s="1"/>
  <c r="I378" i="9"/>
  <c r="F3788" i="38" s="1"/>
  <c r="M377" i="9"/>
  <c r="L377" i="9"/>
  <c r="I377" i="9"/>
  <c r="G371" i="9"/>
  <c r="G2258" i="38" s="1"/>
  <c r="M370" i="9"/>
  <c r="L370" i="9"/>
  <c r="I370" i="9"/>
  <c r="M369" i="9"/>
  <c r="L369" i="9"/>
  <c r="I369" i="9"/>
  <c r="M368" i="9"/>
  <c r="L368" i="9"/>
  <c r="I368" i="9"/>
  <c r="M367" i="9"/>
  <c r="L367" i="9"/>
  <c r="I367" i="9"/>
  <c r="M366" i="9"/>
  <c r="L366" i="9"/>
  <c r="I366" i="9"/>
  <c r="M365" i="9"/>
  <c r="L365" i="9"/>
  <c r="I365" i="9"/>
  <c r="M364" i="9"/>
  <c r="J3780" i="38" s="1"/>
  <c r="L364" i="9"/>
  <c r="I3780" i="38" s="1"/>
  <c r="I364" i="9"/>
  <c r="F3780" i="38" s="1"/>
  <c r="M363" i="9"/>
  <c r="J3779" i="38" s="1"/>
  <c r="L363" i="9"/>
  <c r="I3779" i="38" s="1"/>
  <c r="I363" i="9"/>
  <c r="F3779" i="38" s="1"/>
  <c r="M362" i="9"/>
  <c r="J3778" i="38" s="1"/>
  <c r="L362" i="9"/>
  <c r="I3778" i="38" s="1"/>
  <c r="I362" i="9"/>
  <c r="F3778" i="38" s="1"/>
  <c r="M361" i="9"/>
  <c r="L361" i="9"/>
  <c r="I361" i="9"/>
  <c r="G355" i="9"/>
  <c r="M354" i="9"/>
  <c r="L354" i="9"/>
  <c r="I354" i="9"/>
  <c r="M353" i="9"/>
  <c r="L353" i="9"/>
  <c r="I353" i="9"/>
  <c r="M352" i="9"/>
  <c r="L352" i="9"/>
  <c r="I352" i="9"/>
  <c r="M351" i="9"/>
  <c r="L351" i="9"/>
  <c r="I351" i="9"/>
  <c r="M350" i="9"/>
  <c r="L350" i="9"/>
  <c r="I350" i="9"/>
  <c r="M349" i="9"/>
  <c r="L349" i="9"/>
  <c r="I349" i="9"/>
  <c r="M348" i="9"/>
  <c r="L348" i="9"/>
  <c r="I348" i="9"/>
  <c r="M347" i="9"/>
  <c r="L347" i="9"/>
  <c r="I347" i="9"/>
  <c r="M346" i="9"/>
  <c r="L346" i="9"/>
  <c r="I346" i="9"/>
  <c r="M345" i="9"/>
  <c r="L345" i="9"/>
  <c r="I345" i="9"/>
  <c r="G339" i="9"/>
  <c r="G340" i="9" s="1"/>
  <c r="H2256" i="38" s="1"/>
  <c r="M338" i="9"/>
  <c r="L338" i="9"/>
  <c r="I338" i="9"/>
  <c r="M337" i="9"/>
  <c r="L337" i="9"/>
  <c r="I337" i="9"/>
  <c r="M336" i="9"/>
  <c r="L336" i="9"/>
  <c r="I336" i="9"/>
  <c r="M335" i="9"/>
  <c r="L335" i="9"/>
  <c r="I335" i="9"/>
  <c r="M334" i="9"/>
  <c r="L334" i="9"/>
  <c r="I334" i="9"/>
  <c r="M333" i="9"/>
  <c r="L333" i="9"/>
  <c r="I333" i="9"/>
  <c r="M332" i="9"/>
  <c r="L332" i="9"/>
  <c r="I332" i="9"/>
  <c r="M331" i="9"/>
  <c r="L331" i="9"/>
  <c r="I331" i="9"/>
  <c r="M330" i="9"/>
  <c r="L330" i="9"/>
  <c r="I330" i="9"/>
  <c r="M329" i="9"/>
  <c r="L329" i="9"/>
  <c r="I329" i="9"/>
  <c r="K293" i="9"/>
  <c r="BH56" i="38" s="1"/>
  <c r="K281" i="9"/>
  <c r="BF56" i="38" s="1"/>
  <c r="K270" i="9"/>
  <c r="BD56" i="38" s="1"/>
  <c r="E269" i="9"/>
  <c r="C269" i="9"/>
  <c r="E268" i="9"/>
  <c r="C268" i="9"/>
  <c r="E267" i="9"/>
  <c r="C267" i="9"/>
  <c r="E266" i="9"/>
  <c r="C266" i="9"/>
  <c r="BC56" i="38"/>
  <c r="BB56" i="38"/>
  <c r="K203" i="9"/>
  <c r="AZ56" i="38" s="1"/>
  <c r="K193" i="9"/>
  <c r="AR56" i="38" s="1"/>
  <c r="Q192" i="9"/>
  <c r="O192" i="9"/>
  <c r="M192" i="9"/>
  <c r="K192" i="9"/>
  <c r="AN56" i="38"/>
  <c r="K142" i="9"/>
  <c r="AF56" i="38" s="1"/>
  <c r="AA56" i="38"/>
  <c r="S56" i="38"/>
  <c r="Q56" i="38"/>
  <c r="P56" i="38"/>
  <c r="O56" i="38"/>
  <c r="K84" i="9"/>
  <c r="N56" i="38" s="1"/>
  <c r="AD10" i="9"/>
  <c r="AA10" i="9"/>
  <c r="Z85" i="9"/>
  <c r="T6" i="9"/>
  <c r="T4" i="9"/>
  <c r="T2" i="9"/>
  <c r="E56" i="38" s="1"/>
  <c r="G611" i="10"/>
  <c r="M610" i="10"/>
  <c r="L610" i="10"/>
  <c r="I610" i="10"/>
  <c r="M609" i="10"/>
  <c r="L609" i="10"/>
  <c r="I609" i="10"/>
  <c r="M608" i="10"/>
  <c r="L608" i="10"/>
  <c r="I608" i="10"/>
  <c r="M607" i="10"/>
  <c r="L607" i="10"/>
  <c r="I607" i="10"/>
  <c r="M606" i="10"/>
  <c r="L606" i="10"/>
  <c r="I606" i="10"/>
  <c r="M605" i="10"/>
  <c r="L605" i="10"/>
  <c r="I605" i="10"/>
  <c r="M604" i="10"/>
  <c r="J4110" i="38" s="1"/>
  <c r="L604" i="10"/>
  <c r="I4110" i="38" s="1"/>
  <c r="I604" i="10"/>
  <c r="F4110" i="38" s="1"/>
  <c r="M603" i="10"/>
  <c r="J4109" i="38" s="1"/>
  <c r="L603" i="10"/>
  <c r="I4109" i="38" s="1"/>
  <c r="I603" i="10"/>
  <c r="F4109" i="38" s="1"/>
  <c r="M602" i="10"/>
  <c r="J4108" i="38" s="1"/>
  <c r="L602" i="10"/>
  <c r="I4108" i="38" s="1"/>
  <c r="I602" i="10"/>
  <c r="F4108" i="38" s="1"/>
  <c r="M601" i="10"/>
  <c r="L601" i="10"/>
  <c r="I601" i="10"/>
  <c r="G595" i="10"/>
  <c r="G2290" i="38" s="1"/>
  <c r="M594" i="10"/>
  <c r="L594" i="10"/>
  <c r="I594" i="10"/>
  <c r="M593" i="10"/>
  <c r="L593" i="10"/>
  <c r="I593" i="10"/>
  <c r="M592" i="10"/>
  <c r="L592" i="10"/>
  <c r="I592" i="10"/>
  <c r="M591" i="10"/>
  <c r="L591" i="10"/>
  <c r="I591" i="10"/>
  <c r="M590" i="10"/>
  <c r="L590" i="10"/>
  <c r="I590" i="10"/>
  <c r="M589" i="10"/>
  <c r="L589" i="10"/>
  <c r="I589" i="10"/>
  <c r="M588" i="10"/>
  <c r="J4100" i="38" s="1"/>
  <c r="L588" i="10"/>
  <c r="I4100" i="38" s="1"/>
  <c r="I588" i="10"/>
  <c r="F4100" i="38" s="1"/>
  <c r="M587" i="10"/>
  <c r="J4099" i="38" s="1"/>
  <c r="L587" i="10"/>
  <c r="I4099" i="38" s="1"/>
  <c r="I587" i="10"/>
  <c r="F4099" i="38" s="1"/>
  <c r="M586" i="10"/>
  <c r="J4098" i="38" s="1"/>
  <c r="L586" i="10"/>
  <c r="I4098" i="38" s="1"/>
  <c r="I586" i="10"/>
  <c r="F4098" i="38" s="1"/>
  <c r="M585" i="10"/>
  <c r="L585" i="10"/>
  <c r="I585" i="10"/>
  <c r="G579" i="10"/>
  <c r="M578" i="10"/>
  <c r="L578" i="10"/>
  <c r="I578" i="10"/>
  <c r="M577" i="10"/>
  <c r="L577" i="10"/>
  <c r="I577" i="10"/>
  <c r="M576" i="10"/>
  <c r="L576" i="10"/>
  <c r="I576" i="10"/>
  <c r="M575" i="10"/>
  <c r="L575" i="10"/>
  <c r="I575" i="10"/>
  <c r="M574" i="10"/>
  <c r="L574" i="10"/>
  <c r="I574" i="10"/>
  <c r="M573" i="10"/>
  <c r="L573" i="10"/>
  <c r="I573" i="10"/>
  <c r="M572" i="10"/>
  <c r="J4090" i="38" s="1"/>
  <c r="L572" i="10"/>
  <c r="I4090" i="38" s="1"/>
  <c r="I572" i="10"/>
  <c r="F4090" i="38" s="1"/>
  <c r="M571" i="10"/>
  <c r="J4089" i="38" s="1"/>
  <c r="L571" i="10"/>
  <c r="I4089" i="38" s="1"/>
  <c r="I571" i="10"/>
  <c r="F4089" i="38" s="1"/>
  <c r="M570" i="10"/>
  <c r="J4088" i="38" s="1"/>
  <c r="L570" i="10"/>
  <c r="I4088" i="38" s="1"/>
  <c r="I570" i="10"/>
  <c r="F4088" i="38" s="1"/>
  <c r="M569" i="10"/>
  <c r="L569" i="10"/>
  <c r="I569" i="10"/>
  <c r="G563" i="10"/>
  <c r="M562" i="10"/>
  <c r="L562" i="10"/>
  <c r="I562" i="10"/>
  <c r="M561" i="10"/>
  <c r="L561" i="10"/>
  <c r="I561" i="10"/>
  <c r="M560" i="10"/>
  <c r="L560" i="10"/>
  <c r="I560" i="10"/>
  <c r="M559" i="10"/>
  <c r="L559" i="10"/>
  <c r="I559" i="10"/>
  <c r="M558" i="10"/>
  <c r="L558" i="10"/>
  <c r="I558" i="10"/>
  <c r="M557" i="10"/>
  <c r="L557" i="10"/>
  <c r="I557" i="10"/>
  <c r="M556" i="10"/>
  <c r="J4080" i="38" s="1"/>
  <c r="L556" i="10"/>
  <c r="I4080" i="38" s="1"/>
  <c r="I556" i="10"/>
  <c r="F4080" i="38" s="1"/>
  <c r="M555" i="10"/>
  <c r="J4079" i="38" s="1"/>
  <c r="L555" i="10"/>
  <c r="I4079" i="38" s="1"/>
  <c r="I555" i="10"/>
  <c r="F4079" i="38" s="1"/>
  <c r="M554" i="10"/>
  <c r="J4078" i="38" s="1"/>
  <c r="L554" i="10"/>
  <c r="I4078" i="38" s="1"/>
  <c r="I554" i="10"/>
  <c r="F4078" i="38" s="1"/>
  <c r="M553" i="10"/>
  <c r="L553" i="10"/>
  <c r="I553" i="10"/>
  <c r="G547" i="10"/>
  <c r="M546" i="10"/>
  <c r="L546" i="10"/>
  <c r="I546" i="10"/>
  <c r="M545" i="10"/>
  <c r="L545" i="10"/>
  <c r="I545" i="10"/>
  <c r="M544" i="10"/>
  <c r="L544" i="10"/>
  <c r="I544" i="10"/>
  <c r="M543" i="10"/>
  <c r="L543" i="10"/>
  <c r="I543" i="10"/>
  <c r="M542" i="10"/>
  <c r="L542" i="10"/>
  <c r="I542" i="10"/>
  <c r="M541" i="10"/>
  <c r="L541" i="10"/>
  <c r="I541" i="10"/>
  <c r="M540" i="10"/>
  <c r="J4070" i="38" s="1"/>
  <c r="L540" i="10"/>
  <c r="I4070" i="38" s="1"/>
  <c r="I540" i="10"/>
  <c r="F4070" i="38" s="1"/>
  <c r="M539" i="10"/>
  <c r="J4069" i="38" s="1"/>
  <c r="L539" i="10"/>
  <c r="I4069" i="38" s="1"/>
  <c r="I539" i="10"/>
  <c r="F4069" i="38" s="1"/>
  <c r="M538" i="10"/>
  <c r="J4068" i="38" s="1"/>
  <c r="L538" i="10"/>
  <c r="I4068" i="38" s="1"/>
  <c r="I538" i="10"/>
  <c r="F4068" i="38" s="1"/>
  <c r="M537" i="10"/>
  <c r="L537" i="10"/>
  <c r="I537" i="10"/>
  <c r="G531" i="10"/>
  <c r="G2286" i="38" s="1"/>
  <c r="M530" i="10"/>
  <c r="L530" i="10"/>
  <c r="I530" i="10"/>
  <c r="M529" i="10"/>
  <c r="L529" i="10"/>
  <c r="I529" i="10"/>
  <c r="M528" i="10"/>
  <c r="L528" i="10"/>
  <c r="I528" i="10"/>
  <c r="M527" i="10"/>
  <c r="L527" i="10"/>
  <c r="I527" i="10"/>
  <c r="M526" i="10"/>
  <c r="L526" i="10"/>
  <c r="I526" i="10"/>
  <c r="M525" i="10"/>
  <c r="L525" i="10"/>
  <c r="I525" i="10"/>
  <c r="M524" i="10"/>
  <c r="J4060" i="38" s="1"/>
  <c r="L524" i="10"/>
  <c r="I4060" i="38" s="1"/>
  <c r="I524" i="10"/>
  <c r="F4060" i="38" s="1"/>
  <c r="M523" i="10"/>
  <c r="J4059" i="38" s="1"/>
  <c r="L523" i="10"/>
  <c r="I4059" i="38" s="1"/>
  <c r="I523" i="10"/>
  <c r="F4059" i="38" s="1"/>
  <c r="M522" i="10"/>
  <c r="J4058" i="38" s="1"/>
  <c r="L522" i="10"/>
  <c r="I4058" i="38" s="1"/>
  <c r="I522" i="10"/>
  <c r="F4058" i="38" s="1"/>
  <c r="M521" i="10"/>
  <c r="L521" i="10"/>
  <c r="I521" i="10"/>
  <c r="G515" i="10"/>
  <c r="M514" i="10"/>
  <c r="L514" i="10"/>
  <c r="I514" i="10"/>
  <c r="M513" i="10"/>
  <c r="L513" i="10"/>
  <c r="I513" i="10"/>
  <c r="M512" i="10"/>
  <c r="L512" i="10"/>
  <c r="I512" i="10"/>
  <c r="M511" i="10"/>
  <c r="L511" i="10"/>
  <c r="I511" i="10"/>
  <c r="M510" i="10"/>
  <c r="L510" i="10"/>
  <c r="I510" i="10"/>
  <c r="M509" i="10"/>
  <c r="L509" i="10"/>
  <c r="I509" i="10"/>
  <c r="M508" i="10"/>
  <c r="J4050" i="38" s="1"/>
  <c r="L508" i="10"/>
  <c r="I4050" i="38" s="1"/>
  <c r="I508" i="10"/>
  <c r="F4050" i="38" s="1"/>
  <c r="M507" i="10"/>
  <c r="J4049" i="38" s="1"/>
  <c r="L507" i="10"/>
  <c r="I4049" i="38" s="1"/>
  <c r="I507" i="10"/>
  <c r="F4049" i="38" s="1"/>
  <c r="M506" i="10"/>
  <c r="J4048" i="38" s="1"/>
  <c r="L506" i="10"/>
  <c r="I4048" i="38" s="1"/>
  <c r="I506" i="10"/>
  <c r="F4048" i="38" s="1"/>
  <c r="M505" i="10"/>
  <c r="L505" i="10"/>
  <c r="I505" i="10"/>
  <c r="G499" i="10"/>
  <c r="M498" i="10"/>
  <c r="L498" i="10"/>
  <c r="I498" i="10"/>
  <c r="M497" i="10"/>
  <c r="L497" i="10"/>
  <c r="I497" i="10"/>
  <c r="M496" i="10"/>
  <c r="L496" i="10"/>
  <c r="I496" i="10"/>
  <c r="M495" i="10"/>
  <c r="L495" i="10"/>
  <c r="I495" i="10"/>
  <c r="M494" i="10"/>
  <c r="L494" i="10"/>
  <c r="I494" i="10"/>
  <c r="M493" i="10"/>
  <c r="L493" i="10"/>
  <c r="I493" i="10"/>
  <c r="M492" i="10"/>
  <c r="J4040" i="38" s="1"/>
  <c r="L492" i="10"/>
  <c r="I4040" i="38" s="1"/>
  <c r="I492" i="10"/>
  <c r="F4040" i="38" s="1"/>
  <c r="M491" i="10"/>
  <c r="J4039" i="38" s="1"/>
  <c r="L491" i="10"/>
  <c r="I4039" i="38" s="1"/>
  <c r="I491" i="10"/>
  <c r="F4039" i="38" s="1"/>
  <c r="M490" i="10"/>
  <c r="J4038" i="38" s="1"/>
  <c r="L490" i="10"/>
  <c r="I4038" i="38" s="1"/>
  <c r="I490" i="10"/>
  <c r="F4038" i="38" s="1"/>
  <c r="M489" i="10"/>
  <c r="L489" i="10"/>
  <c r="I489" i="10"/>
  <c r="G483" i="10"/>
  <c r="M482" i="10"/>
  <c r="L482" i="10"/>
  <c r="I482" i="10"/>
  <c r="M481" i="10"/>
  <c r="L481" i="10"/>
  <c r="I481" i="10"/>
  <c r="M480" i="10"/>
  <c r="L480" i="10"/>
  <c r="I480" i="10"/>
  <c r="M479" i="10"/>
  <c r="L479" i="10"/>
  <c r="I479" i="10"/>
  <c r="M478" i="10"/>
  <c r="L478" i="10"/>
  <c r="I478" i="10"/>
  <c r="M477" i="10"/>
  <c r="L477" i="10"/>
  <c r="I477" i="10"/>
  <c r="M476" i="10"/>
  <c r="J4030" i="38" s="1"/>
  <c r="L476" i="10"/>
  <c r="I4030" i="38" s="1"/>
  <c r="I476" i="10"/>
  <c r="F4030" i="38" s="1"/>
  <c r="M475" i="10"/>
  <c r="J4029" i="38" s="1"/>
  <c r="L475" i="10"/>
  <c r="I4029" i="38" s="1"/>
  <c r="I475" i="10"/>
  <c r="F4029" i="38" s="1"/>
  <c r="M474" i="10"/>
  <c r="J4028" i="38" s="1"/>
  <c r="L474" i="10"/>
  <c r="I4028" i="38" s="1"/>
  <c r="I474" i="10"/>
  <c r="F4028" i="38" s="1"/>
  <c r="M473" i="10"/>
  <c r="L473" i="10"/>
  <c r="I473" i="10"/>
  <c r="G467" i="10"/>
  <c r="G2282" i="38" s="1"/>
  <c r="M466" i="10"/>
  <c r="L466" i="10"/>
  <c r="I466" i="10"/>
  <c r="M465" i="10"/>
  <c r="L465" i="10"/>
  <c r="I465" i="10"/>
  <c r="M464" i="10"/>
  <c r="L464" i="10"/>
  <c r="I464" i="10"/>
  <c r="M463" i="10"/>
  <c r="L463" i="10"/>
  <c r="I463" i="10"/>
  <c r="M462" i="10"/>
  <c r="L462" i="10"/>
  <c r="I462" i="10"/>
  <c r="M461" i="10"/>
  <c r="L461" i="10"/>
  <c r="I461" i="10"/>
  <c r="M460" i="10"/>
  <c r="J4020" i="38" s="1"/>
  <c r="L460" i="10"/>
  <c r="I4020" i="38" s="1"/>
  <c r="I460" i="10"/>
  <c r="F4020" i="38" s="1"/>
  <c r="M459" i="10"/>
  <c r="J4019" i="38" s="1"/>
  <c r="L459" i="10"/>
  <c r="I4019" i="38" s="1"/>
  <c r="I459" i="10"/>
  <c r="F4019" i="38" s="1"/>
  <c r="M458" i="10"/>
  <c r="J4018" i="38" s="1"/>
  <c r="L458" i="10"/>
  <c r="I4018" i="38" s="1"/>
  <c r="I458" i="10"/>
  <c r="F4018" i="38" s="1"/>
  <c r="M457" i="10"/>
  <c r="L457" i="10"/>
  <c r="I457" i="10"/>
  <c r="G451" i="10"/>
  <c r="M450" i="10"/>
  <c r="L450" i="10"/>
  <c r="I450" i="10"/>
  <c r="M449" i="10"/>
  <c r="L449" i="10"/>
  <c r="I449" i="10"/>
  <c r="M448" i="10"/>
  <c r="L448" i="10"/>
  <c r="I448" i="10"/>
  <c r="M447" i="10"/>
  <c r="L447" i="10"/>
  <c r="I447" i="10"/>
  <c r="M446" i="10"/>
  <c r="L446" i="10"/>
  <c r="I446" i="10"/>
  <c r="M445" i="10"/>
  <c r="L445" i="10"/>
  <c r="I445" i="10"/>
  <c r="M444" i="10"/>
  <c r="J4010" i="38" s="1"/>
  <c r="L444" i="10"/>
  <c r="I4010" i="38" s="1"/>
  <c r="I444" i="10"/>
  <c r="F4010" i="38" s="1"/>
  <c r="M443" i="10"/>
  <c r="J4009" i="38" s="1"/>
  <c r="L443" i="10"/>
  <c r="I4009" i="38" s="1"/>
  <c r="I443" i="10"/>
  <c r="F4009" i="38" s="1"/>
  <c r="M442" i="10"/>
  <c r="J4008" i="38" s="1"/>
  <c r="L442" i="10"/>
  <c r="I4008" i="38" s="1"/>
  <c r="I442" i="10"/>
  <c r="F4008" i="38" s="1"/>
  <c r="M441" i="10"/>
  <c r="L441" i="10"/>
  <c r="I441" i="10"/>
  <c r="G435" i="10"/>
  <c r="M434" i="10"/>
  <c r="L434" i="10"/>
  <c r="I434" i="10"/>
  <c r="M433" i="10"/>
  <c r="L433" i="10"/>
  <c r="I433" i="10"/>
  <c r="M432" i="10"/>
  <c r="L432" i="10"/>
  <c r="I432" i="10"/>
  <c r="M431" i="10"/>
  <c r="L431" i="10"/>
  <c r="I431" i="10"/>
  <c r="M430" i="10"/>
  <c r="L430" i="10"/>
  <c r="I430" i="10"/>
  <c r="M429" i="10"/>
  <c r="L429" i="10"/>
  <c r="I429" i="10"/>
  <c r="M428" i="10"/>
  <c r="J4000" i="38" s="1"/>
  <c r="L428" i="10"/>
  <c r="I4000" i="38" s="1"/>
  <c r="I428" i="10"/>
  <c r="F4000" i="38" s="1"/>
  <c r="M427" i="10"/>
  <c r="J3999" i="38" s="1"/>
  <c r="L427" i="10"/>
  <c r="I3999" i="38" s="1"/>
  <c r="I427" i="10"/>
  <c r="F3999" i="38" s="1"/>
  <c r="M426" i="10"/>
  <c r="J3998" i="38" s="1"/>
  <c r="L426" i="10"/>
  <c r="I3998" i="38" s="1"/>
  <c r="I426" i="10"/>
  <c r="F3998" i="38" s="1"/>
  <c r="M425" i="10"/>
  <c r="L425" i="10"/>
  <c r="I425" i="10"/>
  <c r="G419" i="10"/>
  <c r="M418" i="10"/>
  <c r="L418" i="10"/>
  <c r="I418" i="10"/>
  <c r="M417" i="10"/>
  <c r="L417" i="10"/>
  <c r="I417" i="10"/>
  <c r="M416" i="10"/>
  <c r="L416" i="10"/>
  <c r="I416" i="10"/>
  <c r="M415" i="10"/>
  <c r="L415" i="10"/>
  <c r="I415" i="10"/>
  <c r="M414" i="10"/>
  <c r="L414" i="10"/>
  <c r="I414" i="10"/>
  <c r="M413" i="10"/>
  <c r="L413" i="10"/>
  <c r="I413" i="10"/>
  <c r="M412" i="10"/>
  <c r="J3990" i="38" s="1"/>
  <c r="L412" i="10"/>
  <c r="I3990" i="38" s="1"/>
  <c r="I412" i="10"/>
  <c r="F3990" i="38" s="1"/>
  <c r="M411" i="10"/>
  <c r="J3989" i="38" s="1"/>
  <c r="L411" i="10"/>
  <c r="I3989" i="38" s="1"/>
  <c r="I411" i="10"/>
  <c r="F3989" i="38" s="1"/>
  <c r="M410" i="10"/>
  <c r="J3988" i="38" s="1"/>
  <c r="L410" i="10"/>
  <c r="I3988" i="38" s="1"/>
  <c r="I410" i="10"/>
  <c r="F3988" i="38" s="1"/>
  <c r="M409" i="10"/>
  <c r="L409" i="10"/>
  <c r="I409" i="10"/>
  <c r="G403" i="10"/>
  <c r="G2278" i="38" s="1"/>
  <c r="M402" i="10"/>
  <c r="L402" i="10"/>
  <c r="I402" i="10"/>
  <c r="M401" i="10"/>
  <c r="L401" i="10"/>
  <c r="I401" i="10"/>
  <c r="M400" i="10"/>
  <c r="L400" i="10"/>
  <c r="I400" i="10"/>
  <c r="M399" i="10"/>
  <c r="L399" i="10"/>
  <c r="I399" i="10"/>
  <c r="M398" i="10"/>
  <c r="L398" i="10"/>
  <c r="I398" i="10"/>
  <c r="M397" i="10"/>
  <c r="L397" i="10"/>
  <c r="I397" i="10"/>
  <c r="M396" i="10"/>
  <c r="J3980" i="38" s="1"/>
  <c r="L396" i="10"/>
  <c r="I3980" i="38" s="1"/>
  <c r="I396" i="10"/>
  <c r="F3980" i="38" s="1"/>
  <c r="M395" i="10"/>
  <c r="J3979" i="38" s="1"/>
  <c r="L395" i="10"/>
  <c r="I3979" i="38" s="1"/>
  <c r="I395" i="10"/>
  <c r="F3979" i="38" s="1"/>
  <c r="M394" i="10"/>
  <c r="J3978" i="38" s="1"/>
  <c r="L394" i="10"/>
  <c r="I3978" i="38" s="1"/>
  <c r="I394" i="10"/>
  <c r="F3978" i="38" s="1"/>
  <c r="M393" i="10"/>
  <c r="L393" i="10"/>
  <c r="I393" i="10"/>
  <c r="G387" i="10"/>
  <c r="M386" i="10"/>
  <c r="L386" i="10"/>
  <c r="I386" i="10"/>
  <c r="M385" i="10"/>
  <c r="L385" i="10"/>
  <c r="I385" i="10"/>
  <c r="M384" i="10"/>
  <c r="L384" i="10"/>
  <c r="I384" i="10"/>
  <c r="M383" i="10"/>
  <c r="L383" i="10"/>
  <c r="I383" i="10"/>
  <c r="M382" i="10"/>
  <c r="L382" i="10"/>
  <c r="I382" i="10"/>
  <c r="M381" i="10"/>
  <c r="L381" i="10"/>
  <c r="I381" i="10"/>
  <c r="M380" i="10"/>
  <c r="J3970" i="38" s="1"/>
  <c r="L380" i="10"/>
  <c r="I3970" i="38" s="1"/>
  <c r="I380" i="10"/>
  <c r="F3970" i="38" s="1"/>
  <c r="M379" i="10"/>
  <c r="J3969" i="38" s="1"/>
  <c r="L379" i="10"/>
  <c r="I3969" i="38" s="1"/>
  <c r="I379" i="10"/>
  <c r="F3969" i="38" s="1"/>
  <c r="M378" i="10"/>
  <c r="J3968" i="38" s="1"/>
  <c r="L378" i="10"/>
  <c r="I3968" i="38" s="1"/>
  <c r="I378" i="10"/>
  <c r="F3968" i="38" s="1"/>
  <c r="M377" i="10"/>
  <c r="L377" i="10"/>
  <c r="I377" i="10"/>
  <c r="G371" i="10"/>
  <c r="M370" i="10"/>
  <c r="L370" i="10"/>
  <c r="I370" i="10"/>
  <c r="M369" i="10"/>
  <c r="L369" i="10"/>
  <c r="I369" i="10"/>
  <c r="M368" i="10"/>
  <c r="L368" i="10"/>
  <c r="I368" i="10"/>
  <c r="M367" i="10"/>
  <c r="L367" i="10"/>
  <c r="I367" i="10"/>
  <c r="M366" i="10"/>
  <c r="L366" i="10"/>
  <c r="I366" i="10"/>
  <c r="M365" i="10"/>
  <c r="L365" i="10"/>
  <c r="I365" i="10"/>
  <c r="M364" i="10"/>
  <c r="J3960" i="38" s="1"/>
  <c r="L364" i="10"/>
  <c r="I3960" i="38" s="1"/>
  <c r="I364" i="10"/>
  <c r="F3960" i="38" s="1"/>
  <c r="M363" i="10"/>
  <c r="J3959" i="38" s="1"/>
  <c r="L363" i="10"/>
  <c r="I3959" i="38" s="1"/>
  <c r="I363" i="10"/>
  <c r="F3959" i="38" s="1"/>
  <c r="M362" i="10"/>
  <c r="J3958" i="38" s="1"/>
  <c r="L362" i="10"/>
  <c r="I3958" i="38" s="1"/>
  <c r="I362" i="10"/>
  <c r="F3958" i="38" s="1"/>
  <c r="M361" i="10"/>
  <c r="L361" i="10"/>
  <c r="I361" i="10"/>
  <c r="G355" i="10"/>
  <c r="M354" i="10"/>
  <c r="L354" i="10"/>
  <c r="I354" i="10"/>
  <c r="M353" i="10"/>
  <c r="L353" i="10"/>
  <c r="I353" i="10"/>
  <c r="M352" i="10"/>
  <c r="L352" i="10"/>
  <c r="I352" i="10"/>
  <c r="M351" i="10"/>
  <c r="L351" i="10"/>
  <c r="I351" i="10"/>
  <c r="M350" i="10"/>
  <c r="L350" i="10"/>
  <c r="I350" i="10"/>
  <c r="M349" i="10"/>
  <c r="L349" i="10"/>
  <c r="I349" i="10"/>
  <c r="M348" i="10"/>
  <c r="L348" i="10"/>
  <c r="I348" i="10"/>
  <c r="M347" i="10"/>
  <c r="L347" i="10"/>
  <c r="I347" i="10"/>
  <c r="M346" i="10"/>
  <c r="L346" i="10"/>
  <c r="I346" i="10"/>
  <c r="M345" i="10"/>
  <c r="L345" i="10"/>
  <c r="I345" i="10"/>
  <c r="G339" i="10"/>
  <c r="G340" i="10" s="1"/>
  <c r="H2274" i="38" s="1"/>
  <c r="M338" i="10"/>
  <c r="L338" i="10"/>
  <c r="I338" i="10"/>
  <c r="M337" i="10"/>
  <c r="L337" i="10"/>
  <c r="I337" i="10"/>
  <c r="M336" i="10"/>
  <c r="L336" i="10"/>
  <c r="I336" i="10"/>
  <c r="M335" i="10"/>
  <c r="L335" i="10"/>
  <c r="I335" i="10"/>
  <c r="M334" i="10"/>
  <c r="L334" i="10"/>
  <c r="I334" i="10"/>
  <c r="M333" i="10"/>
  <c r="L333" i="10"/>
  <c r="I333" i="10"/>
  <c r="M332" i="10"/>
  <c r="L332" i="10"/>
  <c r="I332" i="10"/>
  <c r="M331" i="10"/>
  <c r="L331" i="10"/>
  <c r="I331" i="10"/>
  <c r="M330" i="10"/>
  <c r="L330" i="10"/>
  <c r="I330" i="10"/>
  <c r="M329" i="10"/>
  <c r="L329" i="10"/>
  <c r="I329" i="10"/>
  <c r="K293" i="10"/>
  <c r="BH57" i="38" s="1"/>
  <c r="K281" i="10"/>
  <c r="BF57" i="38" s="1"/>
  <c r="K270" i="10"/>
  <c r="BD57" i="38" s="1"/>
  <c r="E269" i="10"/>
  <c r="C269" i="10"/>
  <c r="E268" i="10"/>
  <c r="C268" i="10"/>
  <c r="E267" i="10"/>
  <c r="C267" i="10"/>
  <c r="E266" i="10"/>
  <c r="C266" i="10"/>
  <c r="BC57" i="38"/>
  <c r="BB57" i="38"/>
  <c r="K203" i="10"/>
  <c r="AZ57" i="38" s="1"/>
  <c r="K193" i="10"/>
  <c r="AR57" i="38" s="1"/>
  <c r="Q192" i="10"/>
  <c r="O192" i="10"/>
  <c r="M192" i="10"/>
  <c r="K192" i="10"/>
  <c r="AN57" i="38"/>
  <c r="K142" i="10"/>
  <c r="AF57" i="38" s="1"/>
  <c r="S57" i="38"/>
  <c r="Q57" i="38"/>
  <c r="P57" i="38"/>
  <c r="O57" i="38"/>
  <c r="K84" i="10"/>
  <c r="N57" i="38" s="1"/>
  <c r="AD10" i="10"/>
  <c r="AA10" i="10"/>
  <c r="Z85" i="10"/>
  <c r="T6" i="10"/>
  <c r="T4" i="10"/>
  <c r="T2" i="10"/>
  <c r="E57" i="38" s="1"/>
  <c r="G611" i="11"/>
  <c r="M610" i="11"/>
  <c r="L610" i="11"/>
  <c r="I610" i="11"/>
  <c r="M609" i="11"/>
  <c r="L609" i="11"/>
  <c r="I609" i="11"/>
  <c r="M608" i="11"/>
  <c r="L608" i="11"/>
  <c r="I608" i="11"/>
  <c r="M607" i="11"/>
  <c r="L607" i="11"/>
  <c r="I607" i="11"/>
  <c r="M606" i="11"/>
  <c r="L606" i="11"/>
  <c r="I606" i="11"/>
  <c r="M605" i="11"/>
  <c r="L605" i="11"/>
  <c r="I605" i="11"/>
  <c r="M604" i="11"/>
  <c r="J4290" i="38" s="1"/>
  <c r="L604" i="11"/>
  <c r="I4290" i="38" s="1"/>
  <c r="I604" i="11"/>
  <c r="F4290" i="38" s="1"/>
  <c r="M603" i="11"/>
  <c r="J4289" i="38" s="1"/>
  <c r="L603" i="11"/>
  <c r="I4289" i="38" s="1"/>
  <c r="I603" i="11"/>
  <c r="F4289" i="38" s="1"/>
  <c r="M602" i="11"/>
  <c r="J4288" i="38" s="1"/>
  <c r="L602" i="11"/>
  <c r="I4288" i="38" s="1"/>
  <c r="I602" i="11"/>
  <c r="F4288" i="38" s="1"/>
  <c r="M601" i="11"/>
  <c r="L601" i="11"/>
  <c r="I601" i="11"/>
  <c r="G595" i="11"/>
  <c r="M594" i="11"/>
  <c r="L594" i="11"/>
  <c r="I594" i="11"/>
  <c r="M593" i="11"/>
  <c r="L593" i="11"/>
  <c r="I593" i="11"/>
  <c r="M592" i="11"/>
  <c r="L592" i="11"/>
  <c r="I592" i="11"/>
  <c r="M591" i="11"/>
  <c r="L591" i="11"/>
  <c r="I591" i="11"/>
  <c r="M590" i="11"/>
  <c r="L590" i="11"/>
  <c r="I590" i="11"/>
  <c r="M589" i="11"/>
  <c r="L589" i="11"/>
  <c r="I589" i="11"/>
  <c r="M588" i="11"/>
  <c r="J4280" i="38" s="1"/>
  <c r="L588" i="11"/>
  <c r="I4280" i="38" s="1"/>
  <c r="I588" i="11"/>
  <c r="F4280" i="38" s="1"/>
  <c r="M587" i="11"/>
  <c r="J4279" i="38" s="1"/>
  <c r="L587" i="11"/>
  <c r="I4279" i="38" s="1"/>
  <c r="I587" i="11"/>
  <c r="F4279" i="38" s="1"/>
  <c r="M586" i="11"/>
  <c r="J4278" i="38" s="1"/>
  <c r="L586" i="11"/>
  <c r="I4278" i="38" s="1"/>
  <c r="I586" i="11"/>
  <c r="F4278" i="38" s="1"/>
  <c r="M585" i="11"/>
  <c r="L585" i="11"/>
  <c r="I585" i="11"/>
  <c r="G579" i="11"/>
  <c r="M578" i="11"/>
  <c r="L578" i="11"/>
  <c r="I578" i="11"/>
  <c r="M577" i="11"/>
  <c r="L577" i="11"/>
  <c r="I577" i="11"/>
  <c r="M576" i="11"/>
  <c r="L576" i="11"/>
  <c r="I576" i="11"/>
  <c r="M575" i="11"/>
  <c r="L575" i="11"/>
  <c r="I575" i="11"/>
  <c r="M574" i="11"/>
  <c r="L574" i="11"/>
  <c r="I574" i="11"/>
  <c r="M573" i="11"/>
  <c r="L573" i="11"/>
  <c r="I573" i="11"/>
  <c r="M572" i="11"/>
  <c r="J4270" i="38" s="1"/>
  <c r="L572" i="11"/>
  <c r="I4270" i="38" s="1"/>
  <c r="I572" i="11"/>
  <c r="F4270" i="38" s="1"/>
  <c r="M571" i="11"/>
  <c r="J4269" i="38" s="1"/>
  <c r="L571" i="11"/>
  <c r="I4269" i="38" s="1"/>
  <c r="I571" i="11"/>
  <c r="F4269" i="38" s="1"/>
  <c r="M570" i="11"/>
  <c r="J4268" i="38" s="1"/>
  <c r="L570" i="11"/>
  <c r="I4268" i="38" s="1"/>
  <c r="I570" i="11"/>
  <c r="F4268" i="38" s="1"/>
  <c r="M569" i="11"/>
  <c r="L569" i="11"/>
  <c r="I569" i="11"/>
  <c r="G563" i="11"/>
  <c r="G2306" i="38" s="1"/>
  <c r="M562" i="11"/>
  <c r="L562" i="11"/>
  <c r="I562" i="11"/>
  <c r="M561" i="11"/>
  <c r="L561" i="11"/>
  <c r="I561" i="11"/>
  <c r="M560" i="11"/>
  <c r="L560" i="11"/>
  <c r="I560" i="11"/>
  <c r="M559" i="11"/>
  <c r="L559" i="11"/>
  <c r="I559" i="11"/>
  <c r="M558" i="11"/>
  <c r="L558" i="11"/>
  <c r="I558" i="11"/>
  <c r="M557" i="11"/>
  <c r="L557" i="11"/>
  <c r="I557" i="11"/>
  <c r="M556" i="11"/>
  <c r="J4260" i="38" s="1"/>
  <c r="L556" i="11"/>
  <c r="I4260" i="38" s="1"/>
  <c r="I556" i="11"/>
  <c r="F4260" i="38" s="1"/>
  <c r="M555" i="11"/>
  <c r="J4259" i="38" s="1"/>
  <c r="L555" i="11"/>
  <c r="I4259" i="38" s="1"/>
  <c r="I555" i="11"/>
  <c r="F4259" i="38" s="1"/>
  <c r="M554" i="11"/>
  <c r="J4258" i="38" s="1"/>
  <c r="L554" i="11"/>
  <c r="I4258" i="38" s="1"/>
  <c r="I554" i="11"/>
  <c r="F4258" i="38" s="1"/>
  <c r="M553" i="11"/>
  <c r="L553" i="11"/>
  <c r="I553" i="11"/>
  <c r="G547" i="11"/>
  <c r="M546" i="11"/>
  <c r="L546" i="11"/>
  <c r="I546" i="11"/>
  <c r="M545" i="11"/>
  <c r="L545" i="11"/>
  <c r="I545" i="11"/>
  <c r="M544" i="11"/>
  <c r="L544" i="11"/>
  <c r="I544" i="11"/>
  <c r="M543" i="11"/>
  <c r="L543" i="11"/>
  <c r="I543" i="11"/>
  <c r="M542" i="11"/>
  <c r="L542" i="11"/>
  <c r="I542" i="11"/>
  <c r="M541" i="11"/>
  <c r="L541" i="11"/>
  <c r="I541" i="11"/>
  <c r="M540" i="11"/>
  <c r="J4250" i="38" s="1"/>
  <c r="L540" i="11"/>
  <c r="I4250" i="38" s="1"/>
  <c r="I540" i="11"/>
  <c r="F4250" i="38" s="1"/>
  <c r="M539" i="11"/>
  <c r="J4249" i="38" s="1"/>
  <c r="L539" i="11"/>
  <c r="I4249" i="38" s="1"/>
  <c r="I539" i="11"/>
  <c r="F4249" i="38" s="1"/>
  <c r="M538" i="11"/>
  <c r="J4248" i="38" s="1"/>
  <c r="L538" i="11"/>
  <c r="I4248" i="38" s="1"/>
  <c r="I538" i="11"/>
  <c r="F4248" i="38" s="1"/>
  <c r="M537" i="11"/>
  <c r="L537" i="11"/>
  <c r="I537" i="11"/>
  <c r="G531" i="11"/>
  <c r="M530" i="11"/>
  <c r="L530" i="11"/>
  <c r="I530" i="11"/>
  <c r="M529" i="11"/>
  <c r="L529" i="11"/>
  <c r="I529" i="11"/>
  <c r="M528" i="11"/>
  <c r="L528" i="11"/>
  <c r="I528" i="11"/>
  <c r="M527" i="11"/>
  <c r="L527" i="11"/>
  <c r="I527" i="11"/>
  <c r="M526" i="11"/>
  <c r="L526" i="11"/>
  <c r="I526" i="11"/>
  <c r="M525" i="11"/>
  <c r="L525" i="11"/>
  <c r="I525" i="11"/>
  <c r="M524" i="11"/>
  <c r="J4240" i="38" s="1"/>
  <c r="L524" i="11"/>
  <c r="I4240" i="38" s="1"/>
  <c r="I524" i="11"/>
  <c r="F4240" i="38" s="1"/>
  <c r="M523" i="11"/>
  <c r="J4239" i="38" s="1"/>
  <c r="L523" i="11"/>
  <c r="I4239" i="38" s="1"/>
  <c r="I523" i="11"/>
  <c r="F4239" i="38" s="1"/>
  <c r="M522" i="11"/>
  <c r="J4238" i="38" s="1"/>
  <c r="L522" i="11"/>
  <c r="I4238" i="38" s="1"/>
  <c r="I522" i="11"/>
  <c r="F4238" i="38" s="1"/>
  <c r="M521" i="11"/>
  <c r="L521" i="11"/>
  <c r="I521" i="11"/>
  <c r="G515" i="11"/>
  <c r="M514" i="11"/>
  <c r="L514" i="11"/>
  <c r="I514" i="11"/>
  <c r="M513" i="11"/>
  <c r="L513" i="11"/>
  <c r="I513" i="11"/>
  <c r="M512" i="11"/>
  <c r="L512" i="11"/>
  <c r="I512" i="11"/>
  <c r="M511" i="11"/>
  <c r="L511" i="11"/>
  <c r="I511" i="11"/>
  <c r="M510" i="11"/>
  <c r="L510" i="11"/>
  <c r="I510" i="11"/>
  <c r="M509" i="11"/>
  <c r="L509" i="11"/>
  <c r="I509" i="11"/>
  <c r="M508" i="11"/>
  <c r="J4230" i="38" s="1"/>
  <c r="L508" i="11"/>
  <c r="I4230" i="38" s="1"/>
  <c r="I508" i="11"/>
  <c r="F4230" i="38" s="1"/>
  <c r="M507" i="11"/>
  <c r="J4229" i="38" s="1"/>
  <c r="L507" i="11"/>
  <c r="I4229" i="38" s="1"/>
  <c r="I507" i="11"/>
  <c r="F4229" i="38" s="1"/>
  <c r="M506" i="11"/>
  <c r="J4228" i="38" s="1"/>
  <c r="L506" i="11"/>
  <c r="I4228" i="38" s="1"/>
  <c r="I506" i="11"/>
  <c r="F4228" i="38" s="1"/>
  <c r="M505" i="11"/>
  <c r="L505" i="11"/>
  <c r="I505" i="11"/>
  <c r="G499" i="11"/>
  <c r="G2302" i="38" s="1"/>
  <c r="M498" i="11"/>
  <c r="L498" i="11"/>
  <c r="I498" i="11"/>
  <c r="M497" i="11"/>
  <c r="L497" i="11"/>
  <c r="I497" i="11"/>
  <c r="M496" i="11"/>
  <c r="L496" i="11"/>
  <c r="I496" i="11"/>
  <c r="M495" i="11"/>
  <c r="L495" i="11"/>
  <c r="I495" i="11"/>
  <c r="M494" i="11"/>
  <c r="L494" i="11"/>
  <c r="I494" i="11"/>
  <c r="M493" i="11"/>
  <c r="L493" i="11"/>
  <c r="I493" i="11"/>
  <c r="M492" i="11"/>
  <c r="J4220" i="38" s="1"/>
  <c r="L492" i="11"/>
  <c r="I4220" i="38" s="1"/>
  <c r="I492" i="11"/>
  <c r="F4220" i="38" s="1"/>
  <c r="M491" i="11"/>
  <c r="J4219" i="38" s="1"/>
  <c r="L491" i="11"/>
  <c r="I4219" i="38" s="1"/>
  <c r="I491" i="11"/>
  <c r="F4219" i="38" s="1"/>
  <c r="M490" i="11"/>
  <c r="J4218" i="38" s="1"/>
  <c r="L490" i="11"/>
  <c r="I4218" i="38" s="1"/>
  <c r="I490" i="11"/>
  <c r="F4218" i="38" s="1"/>
  <c r="M489" i="11"/>
  <c r="L489" i="11"/>
  <c r="I489" i="11"/>
  <c r="G483" i="11"/>
  <c r="M482" i="11"/>
  <c r="L482" i="11"/>
  <c r="I482" i="11"/>
  <c r="M481" i="11"/>
  <c r="L481" i="11"/>
  <c r="I481" i="11"/>
  <c r="M480" i="11"/>
  <c r="L480" i="11"/>
  <c r="I480" i="11"/>
  <c r="M479" i="11"/>
  <c r="L479" i="11"/>
  <c r="I479" i="11"/>
  <c r="M478" i="11"/>
  <c r="L478" i="11"/>
  <c r="I478" i="11"/>
  <c r="M477" i="11"/>
  <c r="L477" i="11"/>
  <c r="I477" i="11"/>
  <c r="M476" i="11"/>
  <c r="J4210" i="38" s="1"/>
  <c r="L476" i="11"/>
  <c r="I4210" i="38" s="1"/>
  <c r="I476" i="11"/>
  <c r="F4210" i="38" s="1"/>
  <c r="M475" i="11"/>
  <c r="J4209" i="38" s="1"/>
  <c r="L475" i="11"/>
  <c r="I4209" i="38" s="1"/>
  <c r="I475" i="11"/>
  <c r="F4209" i="38" s="1"/>
  <c r="M474" i="11"/>
  <c r="J4208" i="38" s="1"/>
  <c r="L474" i="11"/>
  <c r="I4208" i="38" s="1"/>
  <c r="I474" i="11"/>
  <c r="F4208" i="38" s="1"/>
  <c r="M473" i="11"/>
  <c r="L473" i="11"/>
  <c r="I473" i="11"/>
  <c r="G467" i="11"/>
  <c r="M466" i="11"/>
  <c r="L466" i="11"/>
  <c r="I466" i="11"/>
  <c r="M465" i="11"/>
  <c r="L465" i="11"/>
  <c r="I465" i="11"/>
  <c r="M464" i="11"/>
  <c r="L464" i="11"/>
  <c r="I464" i="11"/>
  <c r="M463" i="11"/>
  <c r="L463" i="11"/>
  <c r="I463" i="11"/>
  <c r="M462" i="11"/>
  <c r="L462" i="11"/>
  <c r="I462" i="11"/>
  <c r="M461" i="11"/>
  <c r="L461" i="11"/>
  <c r="I461" i="11"/>
  <c r="M460" i="11"/>
  <c r="J4200" i="38" s="1"/>
  <c r="L460" i="11"/>
  <c r="I4200" i="38" s="1"/>
  <c r="I460" i="11"/>
  <c r="F4200" i="38" s="1"/>
  <c r="M459" i="11"/>
  <c r="J4199" i="38" s="1"/>
  <c r="L459" i="11"/>
  <c r="I4199" i="38" s="1"/>
  <c r="I459" i="11"/>
  <c r="F4199" i="38" s="1"/>
  <c r="M458" i="11"/>
  <c r="J4198" i="38" s="1"/>
  <c r="L458" i="11"/>
  <c r="I4198" i="38" s="1"/>
  <c r="I458" i="11"/>
  <c r="F4198" i="38" s="1"/>
  <c r="M457" i="11"/>
  <c r="L457" i="11"/>
  <c r="I457" i="11"/>
  <c r="G451" i="11"/>
  <c r="M450" i="11"/>
  <c r="L450" i="11"/>
  <c r="I450" i="11"/>
  <c r="M449" i="11"/>
  <c r="L449" i="11"/>
  <c r="I449" i="11"/>
  <c r="M448" i="11"/>
  <c r="L448" i="11"/>
  <c r="I448" i="11"/>
  <c r="M447" i="11"/>
  <c r="L447" i="11"/>
  <c r="I447" i="11"/>
  <c r="M446" i="11"/>
  <c r="L446" i="11"/>
  <c r="I446" i="11"/>
  <c r="M445" i="11"/>
  <c r="L445" i="11"/>
  <c r="I445" i="11"/>
  <c r="M444" i="11"/>
  <c r="J4190" i="38" s="1"/>
  <c r="L444" i="11"/>
  <c r="I4190" i="38" s="1"/>
  <c r="I444" i="11"/>
  <c r="F4190" i="38" s="1"/>
  <c r="M443" i="11"/>
  <c r="J4189" i="38" s="1"/>
  <c r="L443" i="11"/>
  <c r="I4189" i="38" s="1"/>
  <c r="I443" i="11"/>
  <c r="F4189" i="38" s="1"/>
  <c r="M442" i="11"/>
  <c r="J4188" i="38" s="1"/>
  <c r="L442" i="11"/>
  <c r="I4188" i="38" s="1"/>
  <c r="I442" i="11"/>
  <c r="F4188" i="38" s="1"/>
  <c r="M441" i="11"/>
  <c r="L441" i="11"/>
  <c r="I441" i="11"/>
  <c r="G435" i="11"/>
  <c r="G2298" i="38" s="1"/>
  <c r="M434" i="11"/>
  <c r="L434" i="11"/>
  <c r="I434" i="11"/>
  <c r="M433" i="11"/>
  <c r="L433" i="11"/>
  <c r="I433" i="11"/>
  <c r="M432" i="11"/>
  <c r="L432" i="11"/>
  <c r="I432" i="11"/>
  <c r="M431" i="11"/>
  <c r="L431" i="11"/>
  <c r="I431" i="11"/>
  <c r="M430" i="11"/>
  <c r="L430" i="11"/>
  <c r="I430" i="11"/>
  <c r="M429" i="11"/>
  <c r="L429" i="11"/>
  <c r="I429" i="11"/>
  <c r="M428" i="11"/>
  <c r="J4180" i="38" s="1"/>
  <c r="L428" i="11"/>
  <c r="I4180" i="38" s="1"/>
  <c r="I428" i="11"/>
  <c r="F4180" i="38" s="1"/>
  <c r="M427" i="11"/>
  <c r="J4179" i="38" s="1"/>
  <c r="L427" i="11"/>
  <c r="I4179" i="38" s="1"/>
  <c r="I427" i="11"/>
  <c r="F4179" i="38" s="1"/>
  <c r="M426" i="11"/>
  <c r="J4178" i="38" s="1"/>
  <c r="L426" i="11"/>
  <c r="I4178" i="38" s="1"/>
  <c r="I426" i="11"/>
  <c r="F4178" i="38" s="1"/>
  <c r="M425" i="11"/>
  <c r="L425" i="11"/>
  <c r="I425" i="11"/>
  <c r="G419" i="11"/>
  <c r="M418" i="11"/>
  <c r="L418" i="11"/>
  <c r="I418" i="11"/>
  <c r="M417" i="11"/>
  <c r="L417" i="11"/>
  <c r="I417" i="11"/>
  <c r="M416" i="11"/>
  <c r="L416" i="11"/>
  <c r="I416" i="11"/>
  <c r="M415" i="11"/>
  <c r="L415" i="11"/>
  <c r="I415" i="11"/>
  <c r="M414" i="11"/>
  <c r="L414" i="11"/>
  <c r="I414" i="11"/>
  <c r="M413" i="11"/>
  <c r="L413" i="11"/>
  <c r="I413" i="11"/>
  <c r="M412" i="11"/>
  <c r="J4170" i="38" s="1"/>
  <c r="L412" i="11"/>
  <c r="I4170" i="38" s="1"/>
  <c r="I412" i="11"/>
  <c r="F4170" i="38" s="1"/>
  <c r="M411" i="11"/>
  <c r="J4169" i="38" s="1"/>
  <c r="L411" i="11"/>
  <c r="I4169" i="38" s="1"/>
  <c r="I411" i="11"/>
  <c r="F4169" i="38" s="1"/>
  <c r="M410" i="11"/>
  <c r="J4168" i="38" s="1"/>
  <c r="L410" i="11"/>
  <c r="I4168" i="38" s="1"/>
  <c r="I410" i="11"/>
  <c r="F4168" i="38" s="1"/>
  <c r="M409" i="11"/>
  <c r="L409" i="11"/>
  <c r="I409" i="11"/>
  <c r="G403" i="11"/>
  <c r="M402" i="11"/>
  <c r="L402" i="11"/>
  <c r="I402" i="11"/>
  <c r="M401" i="11"/>
  <c r="L401" i="11"/>
  <c r="I401" i="11"/>
  <c r="M400" i="11"/>
  <c r="L400" i="11"/>
  <c r="I400" i="11"/>
  <c r="M399" i="11"/>
  <c r="L399" i="11"/>
  <c r="I399" i="11"/>
  <c r="M398" i="11"/>
  <c r="L398" i="11"/>
  <c r="I398" i="11"/>
  <c r="M397" i="11"/>
  <c r="L397" i="11"/>
  <c r="I397" i="11"/>
  <c r="M396" i="11"/>
  <c r="J4160" i="38" s="1"/>
  <c r="L396" i="11"/>
  <c r="I4160" i="38" s="1"/>
  <c r="I396" i="11"/>
  <c r="F4160" i="38" s="1"/>
  <c r="M395" i="11"/>
  <c r="J4159" i="38" s="1"/>
  <c r="L395" i="11"/>
  <c r="I4159" i="38" s="1"/>
  <c r="I395" i="11"/>
  <c r="F4159" i="38" s="1"/>
  <c r="M394" i="11"/>
  <c r="J4158" i="38" s="1"/>
  <c r="L394" i="11"/>
  <c r="I4158" i="38" s="1"/>
  <c r="I394" i="11"/>
  <c r="F4158" i="38" s="1"/>
  <c r="M393" i="11"/>
  <c r="L393" i="11"/>
  <c r="I393" i="11"/>
  <c r="G387" i="11"/>
  <c r="M386" i="11"/>
  <c r="L386" i="11"/>
  <c r="I386" i="11"/>
  <c r="M385" i="11"/>
  <c r="L385" i="11"/>
  <c r="I385" i="11"/>
  <c r="M384" i="11"/>
  <c r="L384" i="11"/>
  <c r="I384" i="11"/>
  <c r="M383" i="11"/>
  <c r="L383" i="11"/>
  <c r="I383" i="11"/>
  <c r="M382" i="11"/>
  <c r="L382" i="11"/>
  <c r="I382" i="11"/>
  <c r="M381" i="11"/>
  <c r="L381" i="11"/>
  <c r="I381" i="11"/>
  <c r="M380" i="11"/>
  <c r="J4150" i="38" s="1"/>
  <c r="L380" i="11"/>
  <c r="I4150" i="38" s="1"/>
  <c r="I380" i="11"/>
  <c r="F4150" i="38" s="1"/>
  <c r="M379" i="11"/>
  <c r="J4149" i="38" s="1"/>
  <c r="L379" i="11"/>
  <c r="I4149" i="38" s="1"/>
  <c r="I379" i="11"/>
  <c r="F4149" i="38" s="1"/>
  <c r="M378" i="11"/>
  <c r="J4148" i="38" s="1"/>
  <c r="L378" i="11"/>
  <c r="I4148" i="38" s="1"/>
  <c r="I378" i="11"/>
  <c r="F4148" i="38" s="1"/>
  <c r="M377" i="11"/>
  <c r="L377" i="11"/>
  <c r="I377" i="11"/>
  <c r="G371" i="11"/>
  <c r="G2294" i="38" s="1"/>
  <c r="M370" i="11"/>
  <c r="L370" i="11"/>
  <c r="I370" i="11"/>
  <c r="M369" i="11"/>
  <c r="L369" i="11"/>
  <c r="I369" i="11"/>
  <c r="M368" i="11"/>
  <c r="L368" i="11"/>
  <c r="I368" i="11"/>
  <c r="M367" i="11"/>
  <c r="L367" i="11"/>
  <c r="I367" i="11"/>
  <c r="M366" i="11"/>
  <c r="L366" i="11"/>
  <c r="I366" i="11"/>
  <c r="M365" i="11"/>
  <c r="L365" i="11"/>
  <c r="I365" i="11"/>
  <c r="M364" i="11"/>
  <c r="J4140" i="38" s="1"/>
  <c r="L364" i="11"/>
  <c r="I4140" i="38" s="1"/>
  <c r="I364" i="11"/>
  <c r="F4140" i="38" s="1"/>
  <c r="M363" i="11"/>
  <c r="J4139" i="38" s="1"/>
  <c r="L363" i="11"/>
  <c r="I4139" i="38" s="1"/>
  <c r="I363" i="11"/>
  <c r="F4139" i="38" s="1"/>
  <c r="M362" i="11"/>
  <c r="J4138" i="38" s="1"/>
  <c r="L362" i="11"/>
  <c r="I4138" i="38" s="1"/>
  <c r="I362" i="11"/>
  <c r="F4138" i="38" s="1"/>
  <c r="M361" i="11"/>
  <c r="L361" i="11"/>
  <c r="I361" i="11"/>
  <c r="G355" i="11"/>
  <c r="M354" i="11"/>
  <c r="L354" i="11"/>
  <c r="I354" i="11"/>
  <c r="M353" i="11"/>
  <c r="L353" i="11"/>
  <c r="I353" i="11"/>
  <c r="M352" i="11"/>
  <c r="L352" i="11"/>
  <c r="I352" i="11"/>
  <c r="M351" i="11"/>
  <c r="L351" i="11"/>
  <c r="I351" i="11"/>
  <c r="M350" i="11"/>
  <c r="L350" i="11"/>
  <c r="I350" i="11"/>
  <c r="M349" i="11"/>
  <c r="L349" i="11"/>
  <c r="I349" i="11"/>
  <c r="M348" i="11"/>
  <c r="L348" i="11"/>
  <c r="I348" i="11"/>
  <c r="M347" i="11"/>
  <c r="L347" i="11"/>
  <c r="I347" i="11"/>
  <c r="M346" i="11"/>
  <c r="L346" i="11"/>
  <c r="I346" i="11"/>
  <c r="M345" i="11"/>
  <c r="L345" i="11"/>
  <c r="I345" i="11"/>
  <c r="G339" i="11"/>
  <c r="G340" i="11" s="1"/>
  <c r="H2292" i="38" s="1"/>
  <c r="M338" i="11"/>
  <c r="L338" i="11"/>
  <c r="I338" i="11"/>
  <c r="M337" i="11"/>
  <c r="L337" i="11"/>
  <c r="I337" i="11"/>
  <c r="M336" i="11"/>
  <c r="L336" i="11"/>
  <c r="I336" i="11"/>
  <c r="M335" i="11"/>
  <c r="L335" i="11"/>
  <c r="I335" i="11"/>
  <c r="M334" i="11"/>
  <c r="L334" i="11"/>
  <c r="I334" i="11"/>
  <c r="M333" i="11"/>
  <c r="L333" i="11"/>
  <c r="I333" i="11"/>
  <c r="M332" i="11"/>
  <c r="L332" i="11"/>
  <c r="I332" i="11"/>
  <c r="M331" i="11"/>
  <c r="L331" i="11"/>
  <c r="I331" i="11"/>
  <c r="M330" i="11"/>
  <c r="L330" i="11"/>
  <c r="I330" i="11"/>
  <c r="M329" i="11"/>
  <c r="L329" i="11"/>
  <c r="I329" i="11"/>
  <c r="K293" i="11"/>
  <c r="BH58" i="38" s="1"/>
  <c r="K281" i="11"/>
  <c r="BF58" i="38" s="1"/>
  <c r="K270" i="11"/>
  <c r="BD58" i="38" s="1"/>
  <c r="E269" i="11"/>
  <c r="C269" i="11"/>
  <c r="E268" i="11"/>
  <c r="C268" i="11"/>
  <c r="E267" i="11"/>
  <c r="C267" i="11"/>
  <c r="E266" i="11"/>
  <c r="C266" i="11"/>
  <c r="BC58" i="38"/>
  <c r="BB58" i="38"/>
  <c r="K203" i="11"/>
  <c r="AZ58" i="38" s="1"/>
  <c r="K193" i="11"/>
  <c r="AR58" i="38" s="1"/>
  <c r="Q192" i="11"/>
  <c r="O192" i="11"/>
  <c r="M192" i="11"/>
  <c r="K192" i="11"/>
  <c r="AN58" i="38"/>
  <c r="K142" i="11"/>
  <c r="AF58" i="38" s="1"/>
  <c r="S58" i="38"/>
  <c r="Q58" i="38"/>
  <c r="P58" i="38"/>
  <c r="O58" i="38"/>
  <c r="K84" i="11"/>
  <c r="N58" i="38" s="1"/>
  <c r="AD10" i="11"/>
  <c r="AA10" i="11"/>
  <c r="Z85" i="11"/>
  <c r="T6" i="11"/>
  <c r="T4" i="11"/>
  <c r="T2" i="11"/>
  <c r="E58" i="38" s="1"/>
  <c r="G611" i="12"/>
  <c r="M610" i="12"/>
  <c r="L610" i="12"/>
  <c r="I610" i="12"/>
  <c r="M609" i="12"/>
  <c r="L609" i="12"/>
  <c r="I609" i="12"/>
  <c r="M608" i="12"/>
  <c r="L608" i="12"/>
  <c r="I608" i="12"/>
  <c r="M607" i="12"/>
  <c r="L607" i="12"/>
  <c r="I607" i="12"/>
  <c r="M606" i="12"/>
  <c r="L606" i="12"/>
  <c r="I606" i="12"/>
  <c r="M605" i="12"/>
  <c r="L605" i="12"/>
  <c r="I605" i="12"/>
  <c r="M604" i="12"/>
  <c r="J4470" i="38" s="1"/>
  <c r="L604" i="12"/>
  <c r="I4470" i="38" s="1"/>
  <c r="I604" i="12"/>
  <c r="F4470" i="38" s="1"/>
  <c r="M603" i="12"/>
  <c r="J4469" i="38" s="1"/>
  <c r="L603" i="12"/>
  <c r="I4469" i="38" s="1"/>
  <c r="I603" i="12"/>
  <c r="F4469" i="38" s="1"/>
  <c r="M602" i="12"/>
  <c r="J4468" i="38" s="1"/>
  <c r="L602" i="12"/>
  <c r="I4468" i="38" s="1"/>
  <c r="I602" i="12"/>
  <c r="F4468" i="38" s="1"/>
  <c r="M601" i="12"/>
  <c r="L601" i="12"/>
  <c r="I601" i="12"/>
  <c r="G595" i="12"/>
  <c r="G2326" i="38" s="1"/>
  <c r="M594" i="12"/>
  <c r="L594" i="12"/>
  <c r="I594" i="12"/>
  <c r="M593" i="12"/>
  <c r="L593" i="12"/>
  <c r="I593" i="12"/>
  <c r="M592" i="12"/>
  <c r="L592" i="12"/>
  <c r="I592" i="12"/>
  <c r="M591" i="12"/>
  <c r="L591" i="12"/>
  <c r="I591" i="12"/>
  <c r="M590" i="12"/>
  <c r="L590" i="12"/>
  <c r="I590" i="12"/>
  <c r="M589" i="12"/>
  <c r="L589" i="12"/>
  <c r="I589" i="12"/>
  <c r="M588" i="12"/>
  <c r="J4460" i="38" s="1"/>
  <c r="L588" i="12"/>
  <c r="I4460" i="38" s="1"/>
  <c r="I588" i="12"/>
  <c r="F4460" i="38" s="1"/>
  <c r="M587" i="12"/>
  <c r="J4459" i="38" s="1"/>
  <c r="L587" i="12"/>
  <c r="I4459" i="38" s="1"/>
  <c r="I587" i="12"/>
  <c r="F4459" i="38" s="1"/>
  <c r="M586" i="12"/>
  <c r="J4458" i="38" s="1"/>
  <c r="L586" i="12"/>
  <c r="I4458" i="38" s="1"/>
  <c r="I586" i="12"/>
  <c r="F4458" i="38" s="1"/>
  <c r="M585" i="12"/>
  <c r="L585" i="12"/>
  <c r="I585" i="12"/>
  <c r="G579" i="12"/>
  <c r="M578" i="12"/>
  <c r="L578" i="12"/>
  <c r="I578" i="12"/>
  <c r="M577" i="12"/>
  <c r="L577" i="12"/>
  <c r="I577" i="12"/>
  <c r="M576" i="12"/>
  <c r="L576" i="12"/>
  <c r="I576" i="12"/>
  <c r="M575" i="12"/>
  <c r="L575" i="12"/>
  <c r="I575" i="12"/>
  <c r="M574" i="12"/>
  <c r="L574" i="12"/>
  <c r="I574" i="12"/>
  <c r="M573" i="12"/>
  <c r="L573" i="12"/>
  <c r="I573" i="12"/>
  <c r="M572" i="12"/>
  <c r="J4450" i="38" s="1"/>
  <c r="L572" i="12"/>
  <c r="I4450" i="38" s="1"/>
  <c r="I572" i="12"/>
  <c r="F4450" i="38" s="1"/>
  <c r="M571" i="12"/>
  <c r="J4449" i="38" s="1"/>
  <c r="L571" i="12"/>
  <c r="I4449" i="38" s="1"/>
  <c r="I571" i="12"/>
  <c r="F4449" i="38" s="1"/>
  <c r="M570" i="12"/>
  <c r="J4448" i="38" s="1"/>
  <c r="L570" i="12"/>
  <c r="I4448" i="38" s="1"/>
  <c r="I570" i="12"/>
  <c r="F4448" i="38" s="1"/>
  <c r="M569" i="12"/>
  <c r="L569" i="12"/>
  <c r="I569" i="12"/>
  <c r="G563" i="12"/>
  <c r="M562" i="12"/>
  <c r="L562" i="12"/>
  <c r="I562" i="12"/>
  <c r="M561" i="12"/>
  <c r="L561" i="12"/>
  <c r="I561" i="12"/>
  <c r="M560" i="12"/>
  <c r="L560" i="12"/>
  <c r="I560" i="12"/>
  <c r="M559" i="12"/>
  <c r="L559" i="12"/>
  <c r="I559" i="12"/>
  <c r="M558" i="12"/>
  <c r="L558" i="12"/>
  <c r="I558" i="12"/>
  <c r="M557" i="12"/>
  <c r="L557" i="12"/>
  <c r="I557" i="12"/>
  <c r="M556" i="12"/>
  <c r="J4440" i="38" s="1"/>
  <c r="L556" i="12"/>
  <c r="I4440" i="38" s="1"/>
  <c r="I556" i="12"/>
  <c r="F4440" i="38" s="1"/>
  <c r="M555" i="12"/>
  <c r="J4439" i="38" s="1"/>
  <c r="L555" i="12"/>
  <c r="I4439" i="38" s="1"/>
  <c r="I555" i="12"/>
  <c r="F4439" i="38" s="1"/>
  <c r="M554" i="12"/>
  <c r="J4438" i="38" s="1"/>
  <c r="L554" i="12"/>
  <c r="I4438" i="38" s="1"/>
  <c r="I554" i="12"/>
  <c r="F4438" i="38" s="1"/>
  <c r="M553" i="12"/>
  <c r="L553" i="12"/>
  <c r="I553" i="12"/>
  <c r="G547" i="12"/>
  <c r="M546" i="12"/>
  <c r="L546" i="12"/>
  <c r="I546" i="12"/>
  <c r="M545" i="12"/>
  <c r="L545" i="12"/>
  <c r="I545" i="12"/>
  <c r="M544" i="12"/>
  <c r="L544" i="12"/>
  <c r="I544" i="12"/>
  <c r="M543" i="12"/>
  <c r="L543" i="12"/>
  <c r="I543" i="12"/>
  <c r="M542" i="12"/>
  <c r="L542" i="12"/>
  <c r="I542" i="12"/>
  <c r="M541" i="12"/>
  <c r="L541" i="12"/>
  <c r="I541" i="12"/>
  <c r="M540" i="12"/>
  <c r="J4430" i="38" s="1"/>
  <c r="L540" i="12"/>
  <c r="I4430" i="38" s="1"/>
  <c r="I540" i="12"/>
  <c r="F4430" i="38" s="1"/>
  <c r="M539" i="12"/>
  <c r="J4429" i="38" s="1"/>
  <c r="L539" i="12"/>
  <c r="I4429" i="38" s="1"/>
  <c r="I539" i="12"/>
  <c r="F4429" i="38" s="1"/>
  <c r="M538" i="12"/>
  <c r="J4428" i="38" s="1"/>
  <c r="L538" i="12"/>
  <c r="I4428" i="38" s="1"/>
  <c r="I538" i="12"/>
  <c r="F4428" i="38" s="1"/>
  <c r="M537" i="12"/>
  <c r="L537" i="12"/>
  <c r="I537" i="12"/>
  <c r="G531" i="12"/>
  <c r="G2322" i="38" s="1"/>
  <c r="M530" i="12"/>
  <c r="L530" i="12"/>
  <c r="I530" i="12"/>
  <c r="M529" i="12"/>
  <c r="L529" i="12"/>
  <c r="I529" i="12"/>
  <c r="M528" i="12"/>
  <c r="L528" i="12"/>
  <c r="I528" i="12"/>
  <c r="M527" i="12"/>
  <c r="L527" i="12"/>
  <c r="I527" i="12"/>
  <c r="M526" i="12"/>
  <c r="L526" i="12"/>
  <c r="I526" i="12"/>
  <c r="M525" i="12"/>
  <c r="L525" i="12"/>
  <c r="I525" i="12"/>
  <c r="M524" i="12"/>
  <c r="J4420" i="38" s="1"/>
  <c r="L524" i="12"/>
  <c r="I4420" i="38" s="1"/>
  <c r="I524" i="12"/>
  <c r="F4420" i="38" s="1"/>
  <c r="M523" i="12"/>
  <c r="J4419" i="38" s="1"/>
  <c r="L523" i="12"/>
  <c r="I4419" i="38" s="1"/>
  <c r="I523" i="12"/>
  <c r="F4419" i="38" s="1"/>
  <c r="M522" i="12"/>
  <c r="J4418" i="38" s="1"/>
  <c r="L522" i="12"/>
  <c r="I4418" i="38" s="1"/>
  <c r="I522" i="12"/>
  <c r="F4418" i="38" s="1"/>
  <c r="M521" i="12"/>
  <c r="L521" i="12"/>
  <c r="I521" i="12"/>
  <c r="G515" i="12"/>
  <c r="M514" i="12"/>
  <c r="L514" i="12"/>
  <c r="I514" i="12"/>
  <c r="M513" i="12"/>
  <c r="L513" i="12"/>
  <c r="I513" i="12"/>
  <c r="M512" i="12"/>
  <c r="L512" i="12"/>
  <c r="I512" i="12"/>
  <c r="M511" i="12"/>
  <c r="L511" i="12"/>
  <c r="I511" i="12"/>
  <c r="M510" i="12"/>
  <c r="L510" i="12"/>
  <c r="I510" i="12"/>
  <c r="M509" i="12"/>
  <c r="L509" i="12"/>
  <c r="I509" i="12"/>
  <c r="M508" i="12"/>
  <c r="J4410" i="38" s="1"/>
  <c r="L508" i="12"/>
  <c r="I4410" i="38" s="1"/>
  <c r="I508" i="12"/>
  <c r="F4410" i="38" s="1"/>
  <c r="M507" i="12"/>
  <c r="J4409" i="38" s="1"/>
  <c r="L507" i="12"/>
  <c r="I4409" i="38" s="1"/>
  <c r="I507" i="12"/>
  <c r="F4409" i="38" s="1"/>
  <c r="M506" i="12"/>
  <c r="J4408" i="38" s="1"/>
  <c r="L506" i="12"/>
  <c r="I4408" i="38" s="1"/>
  <c r="I506" i="12"/>
  <c r="F4408" i="38" s="1"/>
  <c r="M505" i="12"/>
  <c r="L505" i="12"/>
  <c r="I505" i="12"/>
  <c r="G499" i="12"/>
  <c r="M498" i="12"/>
  <c r="L498" i="12"/>
  <c r="I498" i="12"/>
  <c r="M497" i="12"/>
  <c r="L497" i="12"/>
  <c r="I497" i="12"/>
  <c r="M496" i="12"/>
  <c r="L496" i="12"/>
  <c r="I496" i="12"/>
  <c r="M495" i="12"/>
  <c r="L495" i="12"/>
  <c r="I495" i="12"/>
  <c r="M494" i="12"/>
  <c r="L494" i="12"/>
  <c r="I494" i="12"/>
  <c r="M493" i="12"/>
  <c r="L493" i="12"/>
  <c r="I493" i="12"/>
  <c r="M492" i="12"/>
  <c r="J4400" i="38" s="1"/>
  <c r="L492" i="12"/>
  <c r="I4400" i="38" s="1"/>
  <c r="I492" i="12"/>
  <c r="F4400" i="38" s="1"/>
  <c r="M491" i="12"/>
  <c r="J4399" i="38" s="1"/>
  <c r="L491" i="12"/>
  <c r="I4399" i="38" s="1"/>
  <c r="I491" i="12"/>
  <c r="F4399" i="38" s="1"/>
  <c r="M490" i="12"/>
  <c r="J4398" i="38" s="1"/>
  <c r="L490" i="12"/>
  <c r="I4398" i="38" s="1"/>
  <c r="I490" i="12"/>
  <c r="F4398" i="38" s="1"/>
  <c r="M489" i="12"/>
  <c r="L489" i="12"/>
  <c r="I489" i="12"/>
  <c r="G483" i="12"/>
  <c r="M482" i="12"/>
  <c r="L482" i="12"/>
  <c r="I482" i="12"/>
  <c r="M481" i="12"/>
  <c r="L481" i="12"/>
  <c r="I481" i="12"/>
  <c r="M480" i="12"/>
  <c r="L480" i="12"/>
  <c r="I480" i="12"/>
  <c r="M479" i="12"/>
  <c r="L479" i="12"/>
  <c r="I479" i="12"/>
  <c r="M478" i="12"/>
  <c r="L478" i="12"/>
  <c r="I478" i="12"/>
  <c r="M477" i="12"/>
  <c r="L477" i="12"/>
  <c r="I477" i="12"/>
  <c r="M476" i="12"/>
  <c r="J4390" i="38" s="1"/>
  <c r="L476" i="12"/>
  <c r="I4390" i="38" s="1"/>
  <c r="I476" i="12"/>
  <c r="F4390" i="38" s="1"/>
  <c r="M475" i="12"/>
  <c r="J4389" i="38" s="1"/>
  <c r="L475" i="12"/>
  <c r="I4389" i="38" s="1"/>
  <c r="I475" i="12"/>
  <c r="F4389" i="38" s="1"/>
  <c r="M474" i="12"/>
  <c r="J4388" i="38" s="1"/>
  <c r="L474" i="12"/>
  <c r="I4388" i="38" s="1"/>
  <c r="I474" i="12"/>
  <c r="F4388" i="38" s="1"/>
  <c r="M473" i="12"/>
  <c r="L473" i="12"/>
  <c r="I473" i="12"/>
  <c r="G467" i="12"/>
  <c r="G2318" i="38" s="1"/>
  <c r="M466" i="12"/>
  <c r="L466" i="12"/>
  <c r="I466" i="12"/>
  <c r="M465" i="12"/>
  <c r="L465" i="12"/>
  <c r="I465" i="12"/>
  <c r="M464" i="12"/>
  <c r="L464" i="12"/>
  <c r="I464" i="12"/>
  <c r="M463" i="12"/>
  <c r="L463" i="12"/>
  <c r="I463" i="12"/>
  <c r="M462" i="12"/>
  <c r="L462" i="12"/>
  <c r="I462" i="12"/>
  <c r="M461" i="12"/>
  <c r="L461" i="12"/>
  <c r="I461" i="12"/>
  <c r="M460" i="12"/>
  <c r="J4380" i="38" s="1"/>
  <c r="L460" i="12"/>
  <c r="I4380" i="38" s="1"/>
  <c r="I460" i="12"/>
  <c r="F4380" i="38" s="1"/>
  <c r="M459" i="12"/>
  <c r="J4379" i="38" s="1"/>
  <c r="L459" i="12"/>
  <c r="I4379" i="38" s="1"/>
  <c r="I459" i="12"/>
  <c r="F4379" i="38" s="1"/>
  <c r="M458" i="12"/>
  <c r="J4378" i="38" s="1"/>
  <c r="L458" i="12"/>
  <c r="I4378" i="38" s="1"/>
  <c r="I458" i="12"/>
  <c r="F4378" i="38" s="1"/>
  <c r="M457" i="12"/>
  <c r="L457" i="12"/>
  <c r="I457" i="12"/>
  <c r="G451" i="12"/>
  <c r="M450" i="12"/>
  <c r="L450" i="12"/>
  <c r="I450" i="12"/>
  <c r="M449" i="12"/>
  <c r="L449" i="12"/>
  <c r="I449" i="12"/>
  <c r="M448" i="12"/>
  <c r="L448" i="12"/>
  <c r="I448" i="12"/>
  <c r="M447" i="12"/>
  <c r="L447" i="12"/>
  <c r="I447" i="12"/>
  <c r="M446" i="12"/>
  <c r="L446" i="12"/>
  <c r="I446" i="12"/>
  <c r="M445" i="12"/>
  <c r="L445" i="12"/>
  <c r="I445" i="12"/>
  <c r="M444" i="12"/>
  <c r="J4370" i="38" s="1"/>
  <c r="L444" i="12"/>
  <c r="I4370" i="38" s="1"/>
  <c r="I444" i="12"/>
  <c r="F4370" i="38" s="1"/>
  <c r="M443" i="12"/>
  <c r="J4369" i="38" s="1"/>
  <c r="L443" i="12"/>
  <c r="I4369" i="38" s="1"/>
  <c r="I443" i="12"/>
  <c r="F4369" i="38" s="1"/>
  <c r="M442" i="12"/>
  <c r="J4368" i="38" s="1"/>
  <c r="L442" i="12"/>
  <c r="I4368" i="38" s="1"/>
  <c r="I442" i="12"/>
  <c r="F4368" i="38" s="1"/>
  <c r="M441" i="12"/>
  <c r="L441" i="12"/>
  <c r="I441" i="12"/>
  <c r="G435" i="12"/>
  <c r="M434" i="12"/>
  <c r="L434" i="12"/>
  <c r="I434" i="12"/>
  <c r="M433" i="12"/>
  <c r="L433" i="12"/>
  <c r="I433" i="12"/>
  <c r="M432" i="12"/>
  <c r="L432" i="12"/>
  <c r="I432" i="12"/>
  <c r="M431" i="12"/>
  <c r="L431" i="12"/>
  <c r="I431" i="12"/>
  <c r="M430" i="12"/>
  <c r="L430" i="12"/>
  <c r="I430" i="12"/>
  <c r="M429" i="12"/>
  <c r="L429" i="12"/>
  <c r="I429" i="12"/>
  <c r="M428" i="12"/>
  <c r="J4360" i="38" s="1"/>
  <c r="L428" i="12"/>
  <c r="I4360" i="38" s="1"/>
  <c r="I428" i="12"/>
  <c r="F4360" i="38" s="1"/>
  <c r="M427" i="12"/>
  <c r="J4359" i="38" s="1"/>
  <c r="L427" i="12"/>
  <c r="I4359" i="38" s="1"/>
  <c r="I427" i="12"/>
  <c r="F4359" i="38" s="1"/>
  <c r="M426" i="12"/>
  <c r="J4358" i="38" s="1"/>
  <c r="L426" i="12"/>
  <c r="I4358" i="38" s="1"/>
  <c r="I426" i="12"/>
  <c r="F4358" i="38" s="1"/>
  <c r="M425" i="12"/>
  <c r="L425" i="12"/>
  <c r="I425" i="12"/>
  <c r="G419" i="12"/>
  <c r="M418" i="12"/>
  <c r="L418" i="12"/>
  <c r="I418" i="12"/>
  <c r="M417" i="12"/>
  <c r="L417" i="12"/>
  <c r="I417" i="12"/>
  <c r="M416" i="12"/>
  <c r="L416" i="12"/>
  <c r="I416" i="12"/>
  <c r="M415" i="12"/>
  <c r="L415" i="12"/>
  <c r="I415" i="12"/>
  <c r="M414" i="12"/>
  <c r="L414" i="12"/>
  <c r="I414" i="12"/>
  <c r="M413" i="12"/>
  <c r="L413" i="12"/>
  <c r="I413" i="12"/>
  <c r="M412" i="12"/>
  <c r="J4350" i="38" s="1"/>
  <c r="L412" i="12"/>
  <c r="I4350" i="38" s="1"/>
  <c r="I412" i="12"/>
  <c r="F4350" i="38" s="1"/>
  <c r="M411" i="12"/>
  <c r="J4349" i="38" s="1"/>
  <c r="L411" i="12"/>
  <c r="I4349" i="38" s="1"/>
  <c r="I411" i="12"/>
  <c r="F4349" i="38" s="1"/>
  <c r="M410" i="12"/>
  <c r="J4348" i="38" s="1"/>
  <c r="L410" i="12"/>
  <c r="I4348" i="38" s="1"/>
  <c r="I410" i="12"/>
  <c r="F4348" i="38" s="1"/>
  <c r="M409" i="12"/>
  <c r="L409" i="12"/>
  <c r="I409" i="12"/>
  <c r="G403" i="12"/>
  <c r="G2314" i="38" s="1"/>
  <c r="M402" i="12"/>
  <c r="L402" i="12"/>
  <c r="I402" i="12"/>
  <c r="M401" i="12"/>
  <c r="L401" i="12"/>
  <c r="I401" i="12"/>
  <c r="M400" i="12"/>
  <c r="L400" i="12"/>
  <c r="I400" i="12"/>
  <c r="M399" i="12"/>
  <c r="L399" i="12"/>
  <c r="I399" i="12"/>
  <c r="M398" i="12"/>
  <c r="L398" i="12"/>
  <c r="I398" i="12"/>
  <c r="M397" i="12"/>
  <c r="L397" i="12"/>
  <c r="I397" i="12"/>
  <c r="M396" i="12"/>
  <c r="J4340" i="38" s="1"/>
  <c r="L396" i="12"/>
  <c r="I4340" i="38" s="1"/>
  <c r="I396" i="12"/>
  <c r="F4340" i="38" s="1"/>
  <c r="M395" i="12"/>
  <c r="J4339" i="38" s="1"/>
  <c r="L395" i="12"/>
  <c r="I4339" i="38" s="1"/>
  <c r="I395" i="12"/>
  <c r="F4339" i="38" s="1"/>
  <c r="M394" i="12"/>
  <c r="J4338" i="38" s="1"/>
  <c r="L394" i="12"/>
  <c r="I4338" i="38" s="1"/>
  <c r="I394" i="12"/>
  <c r="F4338" i="38" s="1"/>
  <c r="M393" i="12"/>
  <c r="L393" i="12"/>
  <c r="I393" i="12"/>
  <c r="G387" i="12"/>
  <c r="M386" i="12"/>
  <c r="L386" i="12"/>
  <c r="I386" i="12"/>
  <c r="M385" i="12"/>
  <c r="L385" i="12"/>
  <c r="I385" i="12"/>
  <c r="M384" i="12"/>
  <c r="L384" i="12"/>
  <c r="I384" i="12"/>
  <c r="M383" i="12"/>
  <c r="L383" i="12"/>
  <c r="I383" i="12"/>
  <c r="M382" i="12"/>
  <c r="L382" i="12"/>
  <c r="I382" i="12"/>
  <c r="M381" i="12"/>
  <c r="L381" i="12"/>
  <c r="I381" i="12"/>
  <c r="M380" i="12"/>
  <c r="J4330" i="38" s="1"/>
  <c r="L380" i="12"/>
  <c r="I4330" i="38" s="1"/>
  <c r="I380" i="12"/>
  <c r="F4330" i="38" s="1"/>
  <c r="M379" i="12"/>
  <c r="J4329" i="38" s="1"/>
  <c r="L379" i="12"/>
  <c r="I4329" i="38" s="1"/>
  <c r="I379" i="12"/>
  <c r="F4329" i="38" s="1"/>
  <c r="M378" i="12"/>
  <c r="J4328" i="38" s="1"/>
  <c r="L378" i="12"/>
  <c r="I4328" i="38" s="1"/>
  <c r="I378" i="12"/>
  <c r="F4328" i="38" s="1"/>
  <c r="M377" i="12"/>
  <c r="L377" i="12"/>
  <c r="I377" i="12"/>
  <c r="G371" i="12"/>
  <c r="M370" i="12"/>
  <c r="L370" i="12"/>
  <c r="I370" i="12"/>
  <c r="M369" i="12"/>
  <c r="L369" i="12"/>
  <c r="I369" i="12"/>
  <c r="M368" i="12"/>
  <c r="L368" i="12"/>
  <c r="I368" i="12"/>
  <c r="M367" i="12"/>
  <c r="L367" i="12"/>
  <c r="I367" i="12"/>
  <c r="M366" i="12"/>
  <c r="L366" i="12"/>
  <c r="I366" i="12"/>
  <c r="M365" i="12"/>
  <c r="L365" i="12"/>
  <c r="I365" i="12"/>
  <c r="M364" i="12"/>
  <c r="J4320" i="38" s="1"/>
  <c r="L364" i="12"/>
  <c r="I4320" i="38" s="1"/>
  <c r="I364" i="12"/>
  <c r="F4320" i="38" s="1"/>
  <c r="M363" i="12"/>
  <c r="J4319" i="38" s="1"/>
  <c r="L363" i="12"/>
  <c r="I4319" i="38" s="1"/>
  <c r="I363" i="12"/>
  <c r="F4319" i="38" s="1"/>
  <c r="M362" i="12"/>
  <c r="J4318" i="38" s="1"/>
  <c r="L362" i="12"/>
  <c r="I4318" i="38" s="1"/>
  <c r="I362" i="12"/>
  <c r="F4318" i="38" s="1"/>
  <c r="M361" i="12"/>
  <c r="L361" i="12"/>
  <c r="I361" i="12"/>
  <c r="G355" i="12"/>
  <c r="M354" i="12"/>
  <c r="L354" i="12"/>
  <c r="I354" i="12"/>
  <c r="M353" i="12"/>
  <c r="L353" i="12"/>
  <c r="I353" i="12"/>
  <c r="M352" i="12"/>
  <c r="L352" i="12"/>
  <c r="I352" i="12"/>
  <c r="M351" i="12"/>
  <c r="L351" i="12"/>
  <c r="I351" i="12"/>
  <c r="M350" i="12"/>
  <c r="L350" i="12"/>
  <c r="I350" i="12"/>
  <c r="M349" i="12"/>
  <c r="L349" i="12"/>
  <c r="I349" i="12"/>
  <c r="M348" i="12"/>
  <c r="L348" i="12"/>
  <c r="I348" i="12"/>
  <c r="M347" i="12"/>
  <c r="L347" i="12"/>
  <c r="I347" i="12"/>
  <c r="M346" i="12"/>
  <c r="L346" i="12"/>
  <c r="I346" i="12"/>
  <c r="M345" i="12"/>
  <c r="L345" i="12"/>
  <c r="I345" i="12"/>
  <c r="G339" i="12"/>
  <c r="G340" i="12" s="1"/>
  <c r="H2310" i="38" s="1"/>
  <c r="M338" i="12"/>
  <c r="L338" i="12"/>
  <c r="I338" i="12"/>
  <c r="M337" i="12"/>
  <c r="L337" i="12"/>
  <c r="I337" i="12"/>
  <c r="M336" i="12"/>
  <c r="L336" i="12"/>
  <c r="I336" i="12"/>
  <c r="M335" i="12"/>
  <c r="L335" i="12"/>
  <c r="I335" i="12"/>
  <c r="M334" i="12"/>
  <c r="L334" i="12"/>
  <c r="I334" i="12"/>
  <c r="M333" i="12"/>
  <c r="L333" i="12"/>
  <c r="I333" i="12"/>
  <c r="M332" i="12"/>
  <c r="L332" i="12"/>
  <c r="I332" i="12"/>
  <c r="M331" i="12"/>
  <c r="L331" i="12"/>
  <c r="I331" i="12"/>
  <c r="M330" i="12"/>
  <c r="L330" i="12"/>
  <c r="I330" i="12"/>
  <c r="M329" i="12"/>
  <c r="L329" i="12"/>
  <c r="I329" i="12"/>
  <c r="K293" i="12"/>
  <c r="BH59" i="38" s="1"/>
  <c r="K281" i="12"/>
  <c r="BF59" i="38" s="1"/>
  <c r="K270" i="12"/>
  <c r="BD59" i="38" s="1"/>
  <c r="E269" i="12"/>
  <c r="C269" i="12"/>
  <c r="E268" i="12"/>
  <c r="C268" i="12"/>
  <c r="E267" i="12"/>
  <c r="C267" i="12"/>
  <c r="E266" i="12"/>
  <c r="C266" i="12"/>
  <c r="BC59" i="38"/>
  <c r="BB59" i="38"/>
  <c r="K203" i="12"/>
  <c r="AZ59" i="38" s="1"/>
  <c r="K193" i="12"/>
  <c r="AR59" i="38" s="1"/>
  <c r="Q192" i="12"/>
  <c r="O192" i="12"/>
  <c r="M192" i="12"/>
  <c r="K192" i="12"/>
  <c r="AN59" i="38"/>
  <c r="K142" i="12"/>
  <c r="AF59" i="38" s="1"/>
  <c r="AA59" i="38"/>
  <c r="S59" i="38"/>
  <c r="Q59" i="38"/>
  <c r="P59" i="38"/>
  <c r="O59" i="38"/>
  <c r="K84" i="12"/>
  <c r="N59" i="38" s="1"/>
  <c r="AD10" i="12"/>
  <c r="AA10" i="12"/>
  <c r="Z85" i="12"/>
  <c r="T6" i="12"/>
  <c r="T4" i="12"/>
  <c r="T2" i="12"/>
  <c r="E59" i="38" s="1"/>
  <c r="G611" i="13"/>
  <c r="M610" i="13"/>
  <c r="L610" i="13"/>
  <c r="I610" i="13"/>
  <c r="M609" i="13"/>
  <c r="L609" i="13"/>
  <c r="I609" i="13"/>
  <c r="M608" i="13"/>
  <c r="L608" i="13"/>
  <c r="I608" i="13"/>
  <c r="M607" i="13"/>
  <c r="L607" i="13"/>
  <c r="I607" i="13"/>
  <c r="M606" i="13"/>
  <c r="L606" i="13"/>
  <c r="I606" i="13"/>
  <c r="M605" i="13"/>
  <c r="L605" i="13"/>
  <c r="I605" i="13"/>
  <c r="M604" i="13"/>
  <c r="J4650" i="38" s="1"/>
  <c r="L604" i="13"/>
  <c r="I4650" i="38" s="1"/>
  <c r="I604" i="13"/>
  <c r="F4650" i="38" s="1"/>
  <c r="M603" i="13"/>
  <c r="J4649" i="38" s="1"/>
  <c r="L603" i="13"/>
  <c r="I4649" i="38" s="1"/>
  <c r="I603" i="13"/>
  <c r="F4649" i="38" s="1"/>
  <c r="M602" i="13"/>
  <c r="J4648" i="38" s="1"/>
  <c r="L602" i="13"/>
  <c r="I4648" i="38" s="1"/>
  <c r="I602" i="13"/>
  <c r="F4648" i="38" s="1"/>
  <c r="M601" i="13"/>
  <c r="L601" i="13"/>
  <c r="I601" i="13"/>
  <c r="G595" i="13"/>
  <c r="M594" i="13"/>
  <c r="L594" i="13"/>
  <c r="I594" i="13"/>
  <c r="M593" i="13"/>
  <c r="L593" i="13"/>
  <c r="I593" i="13"/>
  <c r="M592" i="13"/>
  <c r="L592" i="13"/>
  <c r="I592" i="13"/>
  <c r="M591" i="13"/>
  <c r="L591" i="13"/>
  <c r="I591" i="13"/>
  <c r="M590" i="13"/>
  <c r="L590" i="13"/>
  <c r="I590" i="13"/>
  <c r="M589" i="13"/>
  <c r="L589" i="13"/>
  <c r="I589" i="13"/>
  <c r="M588" i="13"/>
  <c r="J4640" i="38" s="1"/>
  <c r="L588" i="13"/>
  <c r="I4640" i="38" s="1"/>
  <c r="I588" i="13"/>
  <c r="F4640" i="38" s="1"/>
  <c r="M587" i="13"/>
  <c r="J4639" i="38" s="1"/>
  <c r="L587" i="13"/>
  <c r="I4639" i="38" s="1"/>
  <c r="I587" i="13"/>
  <c r="F4639" i="38" s="1"/>
  <c r="M586" i="13"/>
  <c r="J4638" i="38" s="1"/>
  <c r="L586" i="13"/>
  <c r="I4638" i="38" s="1"/>
  <c r="I586" i="13"/>
  <c r="F4638" i="38" s="1"/>
  <c r="M585" i="13"/>
  <c r="L585" i="13"/>
  <c r="I585" i="13"/>
  <c r="G579" i="13"/>
  <c r="G580" i="13" s="1"/>
  <c r="H2343" i="38" s="1"/>
  <c r="M578" i="13"/>
  <c r="L578" i="13"/>
  <c r="I578" i="13"/>
  <c r="M577" i="13"/>
  <c r="L577" i="13"/>
  <c r="I577" i="13"/>
  <c r="M576" i="13"/>
  <c r="L576" i="13"/>
  <c r="I576" i="13"/>
  <c r="M575" i="13"/>
  <c r="L575" i="13"/>
  <c r="I575" i="13"/>
  <c r="M574" i="13"/>
  <c r="L574" i="13"/>
  <c r="I574" i="13"/>
  <c r="M573" i="13"/>
  <c r="L573" i="13"/>
  <c r="I573" i="13"/>
  <c r="M572" i="13"/>
  <c r="J4630" i="38" s="1"/>
  <c r="L572" i="13"/>
  <c r="I4630" i="38" s="1"/>
  <c r="I572" i="13"/>
  <c r="F4630" i="38" s="1"/>
  <c r="M571" i="13"/>
  <c r="J4629" i="38" s="1"/>
  <c r="L571" i="13"/>
  <c r="I4629" i="38" s="1"/>
  <c r="I571" i="13"/>
  <c r="F4629" i="38" s="1"/>
  <c r="M570" i="13"/>
  <c r="J4628" i="38" s="1"/>
  <c r="L570" i="13"/>
  <c r="I4628" i="38" s="1"/>
  <c r="I570" i="13"/>
  <c r="F4628" i="38" s="1"/>
  <c r="M569" i="13"/>
  <c r="L569" i="13"/>
  <c r="I569" i="13"/>
  <c r="G563" i="13"/>
  <c r="M562" i="13"/>
  <c r="L562" i="13"/>
  <c r="I562" i="13"/>
  <c r="M561" i="13"/>
  <c r="L561" i="13"/>
  <c r="I561" i="13"/>
  <c r="M560" i="13"/>
  <c r="L560" i="13"/>
  <c r="I560" i="13"/>
  <c r="M559" i="13"/>
  <c r="L559" i="13"/>
  <c r="I559" i="13"/>
  <c r="M558" i="13"/>
  <c r="L558" i="13"/>
  <c r="I558" i="13"/>
  <c r="M557" i="13"/>
  <c r="L557" i="13"/>
  <c r="I557" i="13"/>
  <c r="M556" i="13"/>
  <c r="J4620" i="38" s="1"/>
  <c r="L556" i="13"/>
  <c r="I4620" i="38" s="1"/>
  <c r="I556" i="13"/>
  <c r="F4620" i="38" s="1"/>
  <c r="M555" i="13"/>
  <c r="J4619" i="38" s="1"/>
  <c r="L555" i="13"/>
  <c r="I4619" i="38" s="1"/>
  <c r="I555" i="13"/>
  <c r="F4619" i="38" s="1"/>
  <c r="M554" i="13"/>
  <c r="J4618" i="38" s="1"/>
  <c r="L554" i="13"/>
  <c r="I4618" i="38" s="1"/>
  <c r="I554" i="13"/>
  <c r="F4618" i="38" s="1"/>
  <c r="M553" i="13"/>
  <c r="L553" i="13"/>
  <c r="I553" i="13"/>
  <c r="G547" i="13"/>
  <c r="M546" i="13"/>
  <c r="L546" i="13"/>
  <c r="I546" i="13"/>
  <c r="M545" i="13"/>
  <c r="L545" i="13"/>
  <c r="I545" i="13"/>
  <c r="M544" i="13"/>
  <c r="L544" i="13"/>
  <c r="I544" i="13"/>
  <c r="M543" i="13"/>
  <c r="L543" i="13"/>
  <c r="I543" i="13"/>
  <c r="M542" i="13"/>
  <c r="L542" i="13"/>
  <c r="I542" i="13"/>
  <c r="M541" i="13"/>
  <c r="L541" i="13"/>
  <c r="I541" i="13"/>
  <c r="M540" i="13"/>
  <c r="J4610" i="38" s="1"/>
  <c r="L540" i="13"/>
  <c r="I4610" i="38" s="1"/>
  <c r="I540" i="13"/>
  <c r="F4610" i="38" s="1"/>
  <c r="M539" i="13"/>
  <c r="J4609" i="38" s="1"/>
  <c r="L539" i="13"/>
  <c r="I4609" i="38" s="1"/>
  <c r="I539" i="13"/>
  <c r="F4609" i="38" s="1"/>
  <c r="M538" i="13"/>
  <c r="J4608" i="38" s="1"/>
  <c r="L538" i="13"/>
  <c r="I4608" i="38" s="1"/>
  <c r="I538" i="13"/>
  <c r="F4608" i="38" s="1"/>
  <c r="M537" i="13"/>
  <c r="L537" i="13"/>
  <c r="I537" i="13"/>
  <c r="G531" i="13"/>
  <c r="M530" i="13"/>
  <c r="L530" i="13"/>
  <c r="I530" i="13"/>
  <c r="M529" i="13"/>
  <c r="L529" i="13"/>
  <c r="I529" i="13"/>
  <c r="M528" i="13"/>
  <c r="L528" i="13"/>
  <c r="I528" i="13"/>
  <c r="M527" i="13"/>
  <c r="L527" i="13"/>
  <c r="I527" i="13"/>
  <c r="M526" i="13"/>
  <c r="L526" i="13"/>
  <c r="I526" i="13"/>
  <c r="M525" i="13"/>
  <c r="L525" i="13"/>
  <c r="I525" i="13"/>
  <c r="M524" i="13"/>
  <c r="J4600" i="38" s="1"/>
  <c r="L524" i="13"/>
  <c r="I4600" i="38" s="1"/>
  <c r="I524" i="13"/>
  <c r="F4600" i="38" s="1"/>
  <c r="M523" i="13"/>
  <c r="J4599" i="38" s="1"/>
  <c r="L523" i="13"/>
  <c r="I4599" i="38" s="1"/>
  <c r="I523" i="13"/>
  <c r="F4599" i="38" s="1"/>
  <c r="M522" i="13"/>
  <c r="J4598" i="38" s="1"/>
  <c r="L522" i="13"/>
  <c r="I4598" i="38" s="1"/>
  <c r="I522" i="13"/>
  <c r="F4598" i="38" s="1"/>
  <c r="M521" i="13"/>
  <c r="L521" i="13"/>
  <c r="I521" i="13"/>
  <c r="G515" i="13"/>
  <c r="G516" i="13" s="1"/>
  <c r="H2339" i="38" s="1"/>
  <c r="M514" i="13"/>
  <c r="L514" i="13"/>
  <c r="I514" i="13"/>
  <c r="M513" i="13"/>
  <c r="L513" i="13"/>
  <c r="I513" i="13"/>
  <c r="M512" i="13"/>
  <c r="L512" i="13"/>
  <c r="I512" i="13"/>
  <c r="M511" i="13"/>
  <c r="L511" i="13"/>
  <c r="I511" i="13"/>
  <c r="M510" i="13"/>
  <c r="L510" i="13"/>
  <c r="I510" i="13"/>
  <c r="M509" i="13"/>
  <c r="L509" i="13"/>
  <c r="I509" i="13"/>
  <c r="M508" i="13"/>
  <c r="J4590" i="38" s="1"/>
  <c r="L508" i="13"/>
  <c r="I4590" i="38" s="1"/>
  <c r="I508" i="13"/>
  <c r="F4590" i="38" s="1"/>
  <c r="M507" i="13"/>
  <c r="J4589" i="38" s="1"/>
  <c r="L507" i="13"/>
  <c r="I4589" i="38" s="1"/>
  <c r="I507" i="13"/>
  <c r="F4589" i="38" s="1"/>
  <c r="M506" i="13"/>
  <c r="J4588" i="38" s="1"/>
  <c r="L506" i="13"/>
  <c r="I4588" i="38" s="1"/>
  <c r="I506" i="13"/>
  <c r="F4588" i="38" s="1"/>
  <c r="M505" i="13"/>
  <c r="L505" i="13"/>
  <c r="I505" i="13"/>
  <c r="G499" i="13"/>
  <c r="M498" i="13"/>
  <c r="L498" i="13"/>
  <c r="I498" i="13"/>
  <c r="M497" i="13"/>
  <c r="L497" i="13"/>
  <c r="I497" i="13"/>
  <c r="M496" i="13"/>
  <c r="L496" i="13"/>
  <c r="I496" i="13"/>
  <c r="M495" i="13"/>
  <c r="L495" i="13"/>
  <c r="I495" i="13"/>
  <c r="M494" i="13"/>
  <c r="L494" i="13"/>
  <c r="I494" i="13"/>
  <c r="M493" i="13"/>
  <c r="L493" i="13"/>
  <c r="I493" i="13"/>
  <c r="M492" i="13"/>
  <c r="J4580" i="38" s="1"/>
  <c r="L492" i="13"/>
  <c r="I4580" i="38" s="1"/>
  <c r="I492" i="13"/>
  <c r="F4580" i="38" s="1"/>
  <c r="M491" i="13"/>
  <c r="J4579" i="38" s="1"/>
  <c r="L491" i="13"/>
  <c r="I4579" i="38" s="1"/>
  <c r="I491" i="13"/>
  <c r="F4579" i="38" s="1"/>
  <c r="M490" i="13"/>
  <c r="J4578" i="38" s="1"/>
  <c r="L490" i="13"/>
  <c r="I4578" i="38" s="1"/>
  <c r="I490" i="13"/>
  <c r="F4578" i="38" s="1"/>
  <c r="M489" i="13"/>
  <c r="L489" i="13"/>
  <c r="I489" i="13"/>
  <c r="G483" i="13"/>
  <c r="M482" i="13"/>
  <c r="L482" i="13"/>
  <c r="I482" i="13"/>
  <c r="M481" i="13"/>
  <c r="L481" i="13"/>
  <c r="I481" i="13"/>
  <c r="M480" i="13"/>
  <c r="L480" i="13"/>
  <c r="I480" i="13"/>
  <c r="M479" i="13"/>
  <c r="L479" i="13"/>
  <c r="I479" i="13"/>
  <c r="M478" i="13"/>
  <c r="L478" i="13"/>
  <c r="I478" i="13"/>
  <c r="M477" i="13"/>
  <c r="L477" i="13"/>
  <c r="I477" i="13"/>
  <c r="M476" i="13"/>
  <c r="J4570" i="38" s="1"/>
  <c r="L476" i="13"/>
  <c r="I4570" i="38" s="1"/>
  <c r="I476" i="13"/>
  <c r="F4570" i="38" s="1"/>
  <c r="M475" i="13"/>
  <c r="J4569" i="38" s="1"/>
  <c r="L475" i="13"/>
  <c r="I4569" i="38" s="1"/>
  <c r="I475" i="13"/>
  <c r="F4569" i="38" s="1"/>
  <c r="M474" i="13"/>
  <c r="J4568" i="38" s="1"/>
  <c r="L474" i="13"/>
  <c r="I4568" i="38" s="1"/>
  <c r="I474" i="13"/>
  <c r="F4568" i="38" s="1"/>
  <c r="M473" i="13"/>
  <c r="L473" i="13"/>
  <c r="I473" i="13"/>
  <c r="G467" i="13"/>
  <c r="D4561" i="38" s="1"/>
  <c r="M466" i="13"/>
  <c r="L466" i="13"/>
  <c r="I466" i="13"/>
  <c r="M465" i="13"/>
  <c r="L465" i="13"/>
  <c r="I465" i="13"/>
  <c r="M464" i="13"/>
  <c r="L464" i="13"/>
  <c r="I464" i="13"/>
  <c r="M463" i="13"/>
  <c r="L463" i="13"/>
  <c r="I463" i="13"/>
  <c r="M462" i="13"/>
  <c r="L462" i="13"/>
  <c r="I462" i="13"/>
  <c r="M461" i="13"/>
  <c r="L461" i="13"/>
  <c r="I461" i="13"/>
  <c r="M460" i="13"/>
  <c r="J4560" i="38" s="1"/>
  <c r="L460" i="13"/>
  <c r="I4560" i="38" s="1"/>
  <c r="I460" i="13"/>
  <c r="F4560" i="38" s="1"/>
  <c r="M459" i="13"/>
  <c r="J4559" i="38" s="1"/>
  <c r="L459" i="13"/>
  <c r="I4559" i="38" s="1"/>
  <c r="I459" i="13"/>
  <c r="F4559" i="38" s="1"/>
  <c r="M458" i="13"/>
  <c r="J4558" i="38" s="1"/>
  <c r="L458" i="13"/>
  <c r="I4558" i="38" s="1"/>
  <c r="I458" i="13"/>
  <c r="F4558" i="38" s="1"/>
  <c r="M457" i="13"/>
  <c r="L457" i="13"/>
  <c r="I457" i="13"/>
  <c r="G451" i="13"/>
  <c r="D4551" i="38" s="1"/>
  <c r="M450" i="13"/>
  <c r="L450" i="13"/>
  <c r="I450" i="13"/>
  <c r="M449" i="13"/>
  <c r="L449" i="13"/>
  <c r="I449" i="13"/>
  <c r="M448" i="13"/>
  <c r="L448" i="13"/>
  <c r="I448" i="13"/>
  <c r="M447" i="13"/>
  <c r="L447" i="13"/>
  <c r="I447" i="13"/>
  <c r="M446" i="13"/>
  <c r="L446" i="13"/>
  <c r="I446" i="13"/>
  <c r="M445" i="13"/>
  <c r="L445" i="13"/>
  <c r="I445" i="13"/>
  <c r="M444" i="13"/>
  <c r="J4550" i="38" s="1"/>
  <c r="L444" i="13"/>
  <c r="I4550" i="38" s="1"/>
  <c r="I444" i="13"/>
  <c r="F4550" i="38" s="1"/>
  <c r="M443" i="13"/>
  <c r="J4549" i="38" s="1"/>
  <c r="L443" i="13"/>
  <c r="I4549" i="38" s="1"/>
  <c r="I443" i="13"/>
  <c r="F4549" i="38" s="1"/>
  <c r="M442" i="13"/>
  <c r="J4548" i="38" s="1"/>
  <c r="L442" i="13"/>
  <c r="I4548" i="38" s="1"/>
  <c r="I442" i="13"/>
  <c r="F4548" i="38" s="1"/>
  <c r="M441" i="13"/>
  <c r="L441" i="13"/>
  <c r="I441" i="13"/>
  <c r="G435" i="13"/>
  <c r="M434" i="13"/>
  <c r="L434" i="13"/>
  <c r="I434" i="13"/>
  <c r="M433" i="13"/>
  <c r="L433" i="13"/>
  <c r="I433" i="13"/>
  <c r="M432" i="13"/>
  <c r="L432" i="13"/>
  <c r="I432" i="13"/>
  <c r="M431" i="13"/>
  <c r="L431" i="13"/>
  <c r="I431" i="13"/>
  <c r="M430" i="13"/>
  <c r="L430" i="13"/>
  <c r="I430" i="13"/>
  <c r="M429" i="13"/>
  <c r="L429" i="13"/>
  <c r="I429" i="13"/>
  <c r="M428" i="13"/>
  <c r="J4540" i="38" s="1"/>
  <c r="L428" i="13"/>
  <c r="I4540" i="38" s="1"/>
  <c r="I428" i="13"/>
  <c r="F4540" i="38" s="1"/>
  <c r="M427" i="13"/>
  <c r="J4539" i="38" s="1"/>
  <c r="L427" i="13"/>
  <c r="I4539" i="38" s="1"/>
  <c r="I427" i="13"/>
  <c r="F4539" i="38" s="1"/>
  <c r="M426" i="13"/>
  <c r="J4538" i="38" s="1"/>
  <c r="L426" i="13"/>
  <c r="I4538" i="38" s="1"/>
  <c r="I426" i="13"/>
  <c r="F4538" i="38" s="1"/>
  <c r="M425" i="13"/>
  <c r="L425" i="13"/>
  <c r="I425" i="13"/>
  <c r="G419" i="13"/>
  <c r="M418" i="13"/>
  <c r="L418" i="13"/>
  <c r="I418" i="13"/>
  <c r="M417" i="13"/>
  <c r="L417" i="13"/>
  <c r="I417" i="13"/>
  <c r="M416" i="13"/>
  <c r="L416" i="13"/>
  <c r="I416" i="13"/>
  <c r="M415" i="13"/>
  <c r="L415" i="13"/>
  <c r="I415" i="13"/>
  <c r="M414" i="13"/>
  <c r="L414" i="13"/>
  <c r="I414" i="13"/>
  <c r="M413" i="13"/>
  <c r="L413" i="13"/>
  <c r="I413" i="13"/>
  <c r="M412" i="13"/>
  <c r="J4530" i="38" s="1"/>
  <c r="L412" i="13"/>
  <c r="I4530" i="38" s="1"/>
  <c r="I412" i="13"/>
  <c r="F4530" i="38" s="1"/>
  <c r="M411" i="13"/>
  <c r="J4529" i="38" s="1"/>
  <c r="L411" i="13"/>
  <c r="I4529" i="38" s="1"/>
  <c r="I411" i="13"/>
  <c r="F4529" i="38" s="1"/>
  <c r="M410" i="13"/>
  <c r="J4528" i="38" s="1"/>
  <c r="L410" i="13"/>
  <c r="I4528" i="38" s="1"/>
  <c r="I410" i="13"/>
  <c r="F4528" i="38" s="1"/>
  <c r="M409" i="13"/>
  <c r="L409" i="13"/>
  <c r="I409" i="13"/>
  <c r="G403" i="13"/>
  <c r="D4521" i="38" s="1"/>
  <c r="M402" i="13"/>
  <c r="L402" i="13"/>
  <c r="I402" i="13"/>
  <c r="M401" i="13"/>
  <c r="L401" i="13"/>
  <c r="I401" i="13"/>
  <c r="M400" i="13"/>
  <c r="L400" i="13"/>
  <c r="I400" i="13"/>
  <c r="M399" i="13"/>
  <c r="L399" i="13"/>
  <c r="I399" i="13"/>
  <c r="M398" i="13"/>
  <c r="L398" i="13"/>
  <c r="I398" i="13"/>
  <c r="M397" i="13"/>
  <c r="L397" i="13"/>
  <c r="I397" i="13"/>
  <c r="M396" i="13"/>
  <c r="J4520" i="38" s="1"/>
  <c r="L396" i="13"/>
  <c r="I4520" i="38" s="1"/>
  <c r="I396" i="13"/>
  <c r="F4520" i="38" s="1"/>
  <c r="M395" i="13"/>
  <c r="J4519" i="38" s="1"/>
  <c r="L395" i="13"/>
  <c r="I4519" i="38" s="1"/>
  <c r="I395" i="13"/>
  <c r="F4519" i="38" s="1"/>
  <c r="M394" i="13"/>
  <c r="J4518" i="38" s="1"/>
  <c r="L394" i="13"/>
  <c r="I4518" i="38" s="1"/>
  <c r="I394" i="13"/>
  <c r="F4518" i="38" s="1"/>
  <c r="M393" i="13"/>
  <c r="L393" i="13"/>
  <c r="I393" i="13"/>
  <c r="G387" i="13"/>
  <c r="D4511" i="38" s="1"/>
  <c r="M386" i="13"/>
  <c r="L386" i="13"/>
  <c r="I386" i="13"/>
  <c r="M385" i="13"/>
  <c r="L385" i="13"/>
  <c r="I385" i="13"/>
  <c r="M384" i="13"/>
  <c r="L384" i="13"/>
  <c r="I384" i="13"/>
  <c r="M383" i="13"/>
  <c r="L383" i="13"/>
  <c r="I383" i="13"/>
  <c r="M382" i="13"/>
  <c r="L382" i="13"/>
  <c r="I382" i="13"/>
  <c r="M381" i="13"/>
  <c r="L381" i="13"/>
  <c r="I381" i="13"/>
  <c r="M380" i="13"/>
  <c r="J4510" i="38" s="1"/>
  <c r="L380" i="13"/>
  <c r="I4510" i="38" s="1"/>
  <c r="I380" i="13"/>
  <c r="F4510" i="38" s="1"/>
  <c r="M379" i="13"/>
  <c r="J4509" i="38" s="1"/>
  <c r="L379" i="13"/>
  <c r="I4509" i="38" s="1"/>
  <c r="I379" i="13"/>
  <c r="F4509" i="38" s="1"/>
  <c r="M378" i="13"/>
  <c r="J4508" i="38" s="1"/>
  <c r="L378" i="13"/>
  <c r="I4508" i="38" s="1"/>
  <c r="I378" i="13"/>
  <c r="F4508" i="38" s="1"/>
  <c r="M377" i="13"/>
  <c r="L377" i="13"/>
  <c r="I377" i="13"/>
  <c r="G371" i="13"/>
  <c r="D4501" i="38" s="1"/>
  <c r="M370" i="13"/>
  <c r="L370" i="13"/>
  <c r="I370" i="13"/>
  <c r="M369" i="13"/>
  <c r="L369" i="13"/>
  <c r="I369" i="13"/>
  <c r="M368" i="13"/>
  <c r="L368" i="13"/>
  <c r="I368" i="13"/>
  <c r="M367" i="13"/>
  <c r="L367" i="13"/>
  <c r="I367" i="13"/>
  <c r="M366" i="13"/>
  <c r="L366" i="13"/>
  <c r="I366" i="13"/>
  <c r="M365" i="13"/>
  <c r="L365" i="13"/>
  <c r="I365" i="13"/>
  <c r="M364" i="13"/>
  <c r="J4500" i="38" s="1"/>
  <c r="L364" i="13"/>
  <c r="I4500" i="38" s="1"/>
  <c r="I364" i="13"/>
  <c r="F4500" i="38" s="1"/>
  <c r="M363" i="13"/>
  <c r="J4499" i="38" s="1"/>
  <c r="L363" i="13"/>
  <c r="I4499" i="38" s="1"/>
  <c r="I363" i="13"/>
  <c r="F4499" i="38" s="1"/>
  <c r="M362" i="13"/>
  <c r="J4498" i="38" s="1"/>
  <c r="L362" i="13"/>
  <c r="I4498" i="38" s="1"/>
  <c r="I362" i="13"/>
  <c r="F4498" i="38" s="1"/>
  <c r="M361" i="13"/>
  <c r="L361" i="13"/>
  <c r="I361" i="13"/>
  <c r="G355" i="13"/>
  <c r="M354" i="13"/>
  <c r="L354" i="13"/>
  <c r="I354" i="13"/>
  <c r="M353" i="13"/>
  <c r="L353" i="13"/>
  <c r="I353" i="13"/>
  <c r="M352" i="13"/>
  <c r="L352" i="13"/>
  <c r="I352" i="13"/>
  <c r="M351" i="13"/>
  <c r="L351" i="13"/>
  <c r="I351" i="13"/>
  <c r="M350" i="13"/>
  <c r="L350" i="13"/>
  <c r="I350" i="13"/>
  <c r="M349" i="13"/>
  <c r="L349" i="13"/>
  <c r="I349" i="13"/>
  <c r="M348" i="13"/>
  <c r="L348" i="13"/>
  <c r="I348" i="13"/>
  <c r="M347" i="13"/>
  <c r="L347" i="13"/>
  <c r="I347" i="13"/>
  <c r="M346" i="13"/>
  <c r="L346" i="13"/>
  <c r="I346" i="13"/>
  <c r="M345" i="13"/>
  <c r="L345" i="13"/>
  <c r="I345" i="13"/>
  <c r="G339" i="13"/>
  <c r="M338" i="13"/>
  <c r="L338" i="13"/>
  <c r="I338" i="13"/>
  <c r="M337" i="13"/>
  <c r="L337" i="13"/>
  <c r="I337" i="13"/>
  <c r="M336" i="13"/>
  <c r="L336" i="13"/>
  <c r="I336" i="13"/>
  <c r="M335" i="13"/>
  <c r="L335" i="13"/>
  <c r="I335" i="13"/>
  <c r="M334" i="13"/>
  <c r="L334" i="13"/>
  <c r="I334" i="13"/>
  <c r="M333" i="13"/>
  <c r="L333" i="13"/>
  <c r="I333" i="13"/>
  <c r="M332" i="13"/>
  <c r="L332" i="13"/>
  <c r="I332" i="13"/>
  <c r="M331" i="13"/>
  <c r="L331" i="13"/>
  <c r="I331" i="13"/>
  <c r="M330" i="13"/>
  <c r="L330" i="13"/>
  <c r="I330" i="13"/>
  <c r="M329" i="13"/>
  <c r="L329" i="13"/>
  <c r="I329" i="13"/>
  <c r="K293" i="13"/>
  <c r="BH60" i="38" s="1"/>
  <c r="K281" i="13"/>
  <c r="BF60" i="38" s="1"/>
  <c r="K270" i="13"/>
  <c r="BD60" i="38" s="1"/>
  <c r="E269" i="13"/>
  <c r="C269" i="13"/>
  <c r="E268" i="13"/>
  <c r="C268" i="13"/>
  <c r="E267" i="13"/>
  <c r="C267" i="13"/>
  <c r="E266" i="13"/>
  <c r="C266" i="13"/>
  <c r="BC60" i="38"/>
  <c r="BB60" i="38"/>
  <c r="K203" i="13"/>
  <c r="AZ60" i="38" s="1"/>
  <c r="K193" i="13"/>
  <c r="AR60" i="38" s="1"/>
  <c r="Q192" i="13"/>
  <c r="O192" i="13"/>
  <c r="M192" i="13"/>
  <c r="K192" i="13"/>
  <c r="AN60" i="38"/>
  <c r="K142" i="13"/>
  <c r="AF60" i="38" s="1"/>
  <c r="AA60" i="38"/>
  <c r="S60" i="38"/>
  <c r="Q60" i="38"/>
  <c r="P60" i="38"/>
  <c r="O60" i="38"/>
  <c r="K84" i="13"/>
  <c r="N60" i="38" s="1"/>
  <c r="AD10" i="13"/>
  <c r="AA10" i="13"/>
  <c r="Z85" i="13"/>
  <c r="T6" i="13"/>
  <c r="T4" i="13"/>
  <c r="T2" i="13"/>
  <c r="E60" i="38" s="1"/>
  <c r="G611" i="14"/>
  <c r="M610" i="14"/>
  <c r="L610" i="14"/>
  <c r="I610" i="14"/>
  <c r="M609" i="14"/>
  <c r="L609" i="14"/>
  <c r="I609" i="14"/>
  <c r="M608" i="14"/>
  <c r="L608" i="14"/>
  <c r="I608" i="14"/>
  <c r="M607" i="14"/>
  <c r="L607" i="14"/>
  <c r="I607" i="14"/>
  <c r="M606" i="14"/>
  <c r="L606" i="14"/>
  <c r="I606" i="14"/>
  <c r="M605" i="14"/>
  <c r="L605" i="14"/>
  <c r="I605" i="14"/>
  <c r="M604" i="14"/>
  <c r="J4830" i="38" s="1"/>
  <c r="L604" i="14"/>
  <c r="I4830" i="38" s="1"/>
  <c r="I604" i="14"/>
  <c r="F4830" i="38" s="1"/>
  <c r="M603" i="14"/>
  <c r="J4829" i="38" s="1"/>
  <c r="L603" i="14"/>
  <c r="I4829" i="38" s="1"/>
  <c r="I603" i="14"/>
  <c r="F4829" i="38" s="1"/>
  <c r="M602" i="14"/>
  <c r="J4828" i="38" s="1"/>
  <c r="L602" i="14"/>
  <c r="I4828" i="38" s="1"/>
  <c r="I602" i="14"/>
  <c r="F4828" i="38" s="1"/>
  <c r="M601" i="14"/>
  <c r="L601" i="14"/>
  <c r="I601" i="14"/>
  <c r="G595" i="14"/>
  <c r="M594" i="14"/>
  <c r="L594" i="14"/>
  <c r="I594" i="14"/>
  <c r="M593" i="14"/>
  <c r="L593" i="14"/>
  <c r="I593" i="14"/>
  <c r="M592" i="14"/>
  <c r="L592" i="14"/>
  <c r="I592" i="14"/>
  <c r="M591" i="14"/>
  <c r="L591" i="14"/>
  <c r="I591" i="14"/>
  <c r="M590" i="14"/>
  <c r="L590" i="14"/>
  <c r="I590" i="14"/>
  <c r="M589" i="14"/>
  <c r="L589" i="14"/>
  <c r="I589" i="14"/>
  <c r="M588" i="14"/>
  <c r="J4820" i="38" s="1"/>
  <c r="L588" i="14"/>
  <c r="I4820" i="38" s="1"/>
  <c r="I588" i="14"/>
  <c r="F4820" i="38" s="1"/>
  <c r="M587" i="14"/>
  <c r="J4819" i="38" s="1"/>
  <c r="L587" i="14"/>
  <c r="I4819" i="38" s="1"/>
  <c r="I587" i="14"/>
  <c r="F4819" i="38" s="1"/>
  <c r="M586" i="14"/>
  <c r="J4818" i="38" s="1"/>
  <c r="L586" i="14"/>
  <c r="I4818" i="38" s="1"/>
  <c r="I586" i="14"/>
  <c r="F4818" i="38" s="1"/>
  <c r="M585" i="14"/>
  <c r="L585" i="14"/>
  <c r="I585" i="14"/>
  <c r="G579" i="14"/>
  <c r="M578" i="14"/>
  <c r="L578" i="14"/>
  <c r="I578" i="14"/>
  <c r="M577" i="14"/>
  <c r="L577" i="14"/>
  <c r="I577" i="14"/>
  <c r="M576" i="14"/>
  <c r="L576" i="14"/>
  <c r="I576" i="14"/>
  <c r="M575" i="14"/>
  <c r="L575" i="14"/>
  <c r="I575" i="14"/>
  <c r="M574" i="14"/>
  <c r="L574" i="14"/>
  <c r="I574" i="14"/>
  <c r="M573" i="14"/>
  <c r="L573" i="14"/>
  <c r="I573" i="14"/>
  <c r="M572" i="14"/>
  <c r="J4810" i="38" s="1"/>
  <c r="L572" i="14"/>
  <c r="I4810" i="38" s="1"/>
  <c r="I572" i="14"/>
  <c r="F4810" i="38" s="1"/>
  <c r="M571" i="14"/>
  <c r="J4809" i="38" s="1"/>
  <c r="L571" i="14"/>
  <c r="I4809" i="38" s="1"/>
  <c r="I571" i="14"/>
  <c r="F4809" i="38" s="1"/>
  <c r="M570" i="14"/>
  <c r="J4808" i="38" s="1"/>
  <c r="L570" i="14"/>
  <c r="I4808" i="38" s="1"/>
  <c r="I570" i="14"/>
  <c r="F4808" i="38" s="1"/>
  <c r="M569" i="14"/>
  <c r="L569" i="14"/>
  <c r="I569" i="14"/>
  <c r="G563" i="14"/>
  <c r="G2360" i="38" s="1"/>
  <c r="M562" i="14"/>
  <c r="L562" i="14"/>
  <c r="I562" i="14"/>
  <c r="M561" i="14"/>
  <c r="L561" i="14"/>
  <c r="I561" i="14"/>
  <c r="M560" i="14"/>
  <c r="L560" i="14"/>
  <c r="I560" i="14"/>
  <c r="M559" i="14"/>
  <c r="L559" i="14"/>
  <c r="I559" i="14"/>
  <c r="M558" i="14"/>
  <c r="L558" i="14"/>
  <c r="I558" i="14"/>
  <c r="M557" i="14"/>
  <c r="L557" i="14"/>
  <c r="I557" i="14"/>
  <c r="M556" i="14"/>
  <c r="J4800" i="38" s="1"/>
  <c r="L556" i="14"/>
  <c r="I4800" i="38" s="1"/>
  <c r="I556" i="14"/>
  <c r="F4800" i="38" s="1"/>
  <c r="M555" i="14"/>
  <c r="J4799" i="38" s="1"/>
  <c r="L555" i="14"/>
  <c r="I4799" i="38" s="1"/>
  <c r="I555" i="14"/>
  <c r="F4799" i="38" s="1"/>
  <c r="M554" i="14"/>
  <c r="J4798" i="38" s="1"/>
  <c r="L554" i="14"/>
  <c r="I4798" i="38" s="1"/>
  <c r="I554" i="14"/>
  <c r="F4798" i="38" s="1"/>
  <c r="M553" i="14"/>
  <c r="L553" i="14"/>
  <c r="I553" i="14"/>
  <c r="G547" i="14"/>
  <c r="M546" i="14"/>
  <c r="L546" i="14"/>
  <c r="I546" i="14"/>
  <c r="M545" i="14"/>
  <c r="L545" i="14"/>
  <c r="I545" i="14"/>
  <c r="M544" i="14"/>
  <c r="L544" i="14"/>
  <c r="I544" i="14"/>
  <c r="M543" i="14"/>
  <c r="L543" i="14"/>
  <c r="I543" i="14"/>
  <c r="M542" i="14"/>
  <c r="L542" i="14"/>
  <c r="I542" i="14"/>
  <c r="M541" i="14"/>
  <c r="L541" i="14"/>
  <c r="I541" i="14"/>
  <c r="M540" i="14"/>
  <c r="J4790" i="38" s="1"/>
  <c r="L540" i="14"/>
  <c r="I4790" i="38" s="1"/>
  <c r="I540" i="14"/>
  <c r="F4790" i="38" s="1"/>
  <c r="M539" i="14"/>
  <c r="J4789" i="38" s="1"/>
  <c r="L539" i="14"/>
  <c r="I4789" i="38" s="1"/>
  <c r="I539" i="14"/>
  <c r="F4789" i="38" s="1"/>
  <c r="M538" i="14"/>
  <c r="J4788" i="38" s="1"/>
  <c r="L538" i="14"/>
  <c r="I4788" i="38" s="1"/>
  <c r="I538" i="14"/>
  <c r="F4788" i="38" s="1"/>
  <c r="M537" i="14"/>
  <c r="L537" i="14"/>
  <c r="I537" i="14"/>
  <c r="G531" i="14"/>
  <c r="M530" i="14"/>
  <c r="L530" i="14"/>
  <c r="I530" i="14"/>
  <c r="M529" i="14"/>
  <c r="L529" i="14"/>
  <c r="I529" i="14"/>
  <c r="M528" i="14"/>
  <c r="L528" i="14"/>
  <c r="I528" i="14"/>
  <c r="M527" i="14"/>
  <c r="L527" i="14"/>
  <c r="I527" i="14"/>
  <c r="M526" i="14"/>
  <c r="L526" i="14"/>
  <c r="I526" i="14"/>
  <c r="M525" i="14"/>
  <c r="L525" i="14"/>
  <c r="I525" i="14"/>
  <c r="M524" i="14"/>
  <c r="J4780" i="38" s="1"/>
  <c r="L524" i="14"/>
  <c r="I4780" i="38" s="1"/>
  <c r="I524" i="14"/>
  <c r="F4780" i="38" s="1"/>
  <c r="M523" i="14"/>
  <c r="J4779" i="38" s="1"/>
  <c r="L523" i="14"/>
  <c r="I4779" i="38" s="1"/>
  <c r="I523" i="14"/>
  <c r="F4779" i="38" s="1"/>
  <c r="M522" i="14"/>
  <c r="J4778" i="38" s="1"/>
  <c r="L522" i="14"/>
  <c r="I4778" i="38" s="1"/>
  <c r="I522" i="14"/>
  <c r="F4778" i="38" s="1"/>
  <c r="M521" i="14"/>
  <c r="L521" i="14"/>
  <c r="I521" i="14"/>
  <c r="G515" i="14"/>
  <c r="M514" i="14"/>
  <c r="L514" i="14"/>
  <c r="I514" i="14"/>
  <c r="M513" i="14"/>
  <c r="L513" i="14"/>
  <c r="I513" i="14"/>
  <c r="M512" i="14"/>
  <c r="L512" i="14"/>
  <c r="I512" i="14"/>
  <c r="M511" i="14"/>
  <c r="L511" i="14"/>
  <c r="I511" i="14"/>
  <c r="M510" i="14"/>
  <c r="L510" i="14"/>
  <c r="I510" i="14"/>
  <c r="M509" i="14"/>
  <c r="L509" i="14"/>
  <c r="I509" i="14"/>
  <c r="M508" i="14"/>
  <c r="J4770" i="38" s="1"/>
  <c r="L508" i="14"/>
  <c r="I4770" i="38" s="1"/>
  <c r="I508" i="14"/>
  <c r="F4770" i="38" s="1"/>
  <c r="M507" i="14"/>
  <c r="J4769" i="38" s="1"/>
  <c r="L507" i="14"/>
  <c r="I4769" i="38" s="1"/>
  <c r="I507" i="14"/>
  <c r="F4769" i="38" s="1"/>
  <c r="M506" i="14"/>
  <c r="J4768" i="38" s="1"/>
  <c r="L506" i="14"/>
  <c r="I4768" i="38" s="1"/>
  <c r="I506" i="14"/>
  <c r="F4768" i="38" s="1"/>
  <c r="M505" i="14"/>
  <c r="L505" i="14"/>
  <c r="I505" i="14"/>
  <c r="G499" i="14"/>
  <c r="G2356" i="38" s="1"/>
  <c r="M498" i="14"/>
  <c r="L498" i="14"/>
  <c r="I498" i="14"/>
  <c r="M497" i="14"/>
  <c r="L497" i="14"/>
  <c r="I497" i="14"/>
  <c r="M496" i="14"/>
  <c r="L496" i="14"/>
  <c r="I496" i="14"/>
  <c r="M495" i="14"/>
  <c r="L495" i="14"/>
  <c r="I495" i="14"/>
  <c r="M494" i="14"/>
  <c r="L494" i="14"/>
  <c r="I494" i="14"/>
  <c r="M493" i="14"/>
  <c r="L493" i="14"/>
  <c r="I493" i="14"/>
  <c r="M492" i="14"/>
  <c r="J4760" i="38" s="1"/>
  <c r="L492" i="14"/>
  <c r="I4760" i="38" s="1"/>
  <c r="I492" i="14"/>
  <c r="F4760" i="38" s="1"/>
  <c r="M491" i="14"/>
  <c r="J4759" i="38" s="1"/>
  <c r="L491" i="14"/>
  <c r="I4759" i="38" s="1"/>
  <c r="I491" i="14"/>
  <c r="F4759" i="38" s="1"/>
  <c r="M490" i="14"/>
  <c r="J4758" i="38" s="1"/>
  <c r="L490" i="14"/>
  <c r="I4758" i="38" s="1"/>
  <c r="I490" i="14"/>
  <c r="F4758" i="38" s="1"/>
  <c r="M489" i="14"/>
  <c r="L489" i="14"/>
  <c r="I489" i="14"/>
  <c r="G483" i="14"/>
  <c r="M482" i="14"/>
  <c r="L482" i="14"/>
  <c r="I482" i="14"/>
  <c r="M481" i="14"/>
  <c r="L481" i="14"/>
  <c r="I481" i="14"/>
  <c r="M480" i="14"/>
  <c r="L480" i="14"/>
  <c r="I480" i="14"/>
  <c r="M479" i="14"/>
  <c r="L479" i="14"/>
  <c r="I479" i="14"/>
  <c r="M478" i="14"/>
  <c r="L478" i="14"/>
  <c r="I478" i="14"/>
  <c r="M477" i="14"/>
  <c r="L477" i="14"/>
  <c r="I477" i="14"/>
  <c r="M476" i="14"/>
  <c r="J4750" i="38" s="1"/>
  <c r="L476" i="14"/>
  <c r="I4750" i="38" s="1"/>
  <c r="I476" i="14"/>
  <c r="F4750" i="38" s="1"/>
  <c r="M475" i="14"/>
  <c r="J4749" i="38" s="1"/>
  <c r="L475" i="14"/>
  <c r="I4749" i="38" s="1"/>
  <c r="I475" i="14"/>
  <c r="F4749" i="38" s="1"/>
  <c r="M474" i="14"/>
  <c r="J4748" i="38" s="1"/>
  <c r="L474" i="14"/>
  <c r="I4748" i="38" s="1"/>
  <c r="I474" i="14"/>
  <c r="F4748" i="38" s="1"/>
  <c r="M473" i="14"/>
  <c r="L473" i="14"/>
  <c r="I473" i="14"/>
  <c r="G467" i="14"/>
  <c r="M466" i="14"/>
  <c r="L466" i="14"/>
  <c r="I466" i="14"/>
  <c r="M465" i="14"/>
  <c r="L465" i="14"/>
  <c r="I465" i="14"/>
  <c r="M464" i="14"/>
  <c r="L464" i="14"/>
  <c r="I464" i="14"/>
  <c r="M463" i="14"/>
  <c r="L463" i="14"/>
  <c r="I463" i="14"/>
  <c r="M462" i="14"/>
  <c r="L462" i="14"/>
  <c r="I462" i="14"/>
  <c r="M461" i="14"/>
  <c r="L461" i="14"/>
  <c r="I461" i="14"/>
  <c r="M460" i="14"/>
  <c r="J4740" i="38" s="1"/>
  <c r="L460" i="14"/>
  <c r="I4740" i="38" s="1"/>
  <c r="I460" i="14"/>
  <c r="F4740" i="38" s="1"/>
  <c r="M459" i="14"/>
  <c r="J4739" i="38" s="1"/>
  <c r="L459" i="14"/>
  <c r="I4739" i="38" s="1"/>
  <c r="I459" i="14"/>
  <c r="F4739" i="38" s="1"/>
  <c r="M458" i="14"/>
  <c r="J4738" i="38" s="1"/>
  <c r="L458" i="14"/>
  <c r="I4738" i="38" s="1"/>
  <c r="I458" i="14"/>
  <c r="F4738" i="38" s="1"/>
  <c r="M457" i="14"/>
  <c r="L457" i="14"/>
  <c r="I457" i="14"/>
  <c r="G451" i="14"/>
  <c r="M450" i="14"/>
  <c r="L450" i="14"/>
  <c r="I450" i="14"/>
  <c r="M449" i="14"/>
  <c r="L449" i="14"/>
  <c r="I449" i="14"/>
  <c r="M448" i="14"/>
  <c r="L448" i="14"/>
  <c r="I448" i="14"/>
  <c r="M447" i="14"/>
  <c r="L447" i="14"/>
  <c r="I447" i="14"/>
  <c r="M446" i="14"/>
  <c r="L446" i="14"/>
  <c r="I446" i="14"/>
  <c r="M445" i="14"/>
  <c r="L445" i="14"/>
  <c r="I445" i="14"/>
  <c r="M444" i="14"/>
  <c r="J4730" i="38" s="1"/>
  <c r="L444" i="14"/>
  <c r="I4730" i="38" s="1"/>
  <c r="I444" i="14"/>
  <c r="F4730" i="38" s="1"/>
  <c r="M443" i="14"/>
  <c r="J4729" i="38" s="1"/>
  <c r="L443" i="14"/>
  <c r="I4729" i="38" s="1"/>
  <c r="I443" i="14"/>
  <c r="F4729" i="38" s="1"/>
  <c r="M442" i="14"/>
  <c r="J4728" i="38" s="1"/>
  <c r="L442" i="14"/>
  <c r="I4728" i="38" s="1"/>
  <c r="I442" i="14"/>
  <c r="F4728" i="38" s="1"/>
  <c r="M441" i="14"/>
  <c r="L441" i="14"/>
  <c r="I441" i="14"/>
  <c r="G435" i="14"/>
  <c r="G2352" i="38" s="1"/>
  <c r="M434" i="14"/>
  <c r="L434" i="14"/>
  <c r="I434" i="14"/>
  <c r="M433" i="14"/>
  <c r="L433" i="14"/>
  <c r="I433" i="14"/>
  <c r="M432" i="14"/>
  <c r="L432" i="14"/>
  <c r="I432" i="14"/>
  <c r="M431" i="14"/>
  <c r="L431" i="14"/>
  <c r="I431" i="14"/>
  <c r="M430" i="14"/>
  <c r="L430" i="14"/>
  <c r="I430" i="14"/>
  <c r="M429" i="14"/>
  <c r="L429" i="14"/>
  <c r="I429" i="14"/>
  <c r="M428" i="14"/>
  <c r="J4720" i="38" s="1"/>
  <c r="L428" i="14"/>
  <c r="I4720" i="38" s="1"/>
  <c r="I428" i="14"/>
  <c r="F4720" i="38" s="1"/>
  <c r="M427" i="14"/>
  <c r="J4719" i="38" s="1"/>
  <c r="L427" i="14"/>
  <c r="I4719" i="38" s="1"/>
  <c r="I427" i="14"/>
  <c r="F4719" i="38" s="1"/>
  <c r="M426" i="14"/>
  <c r="J4718" i="38" s="1"/>
  <c r="L426" i="14"/>
  <c r="I4718" i="38" s="1"/>
  <c r="I426" i="14"/>
  <c r="F4718" i="38" s="1"/>
  <c r="M425" i="14"/>
  <c r="L425" i="14"/>
  <c r="I425" i="14"/>
  <c r="G419" i="14"/>
  <c r="M418" i="14"/>
  <c r="L418" i="14"/>
  <c r="I418" i="14"/>
  <c r="M417" i="14"/>
  <c r="L417" i="14"/>
  <c r="I417" i="14"/>
  <c r="M416" i="14"/>
  <c r="L416" i="14"/>
  <c r="I416" i="14"/>
  <c r="M415" i="14"/>
  <c r="L415" i="14"/>
  <c r="I415" i="14"/>
  <c r="M414" i="14"/>
  <c r="L414" i="14"/>
  <c r="I414" i="14"/>
  <c r="M413" i="14"/>
  <c r="L413" i="14"/>
  <c r="I413" i="14"/>
  <c r="M412" i="14"/>
  <c r="J4710" i="38" s="1"/>
  <c r="L412" i="14"/>
  <c r="I4710" i="38" s="1"/>
  <c r="I412" i="14"/>
  <c r="F4710" i="38" s="1"/>
  <c r="M411" i="14"/>
  <c r="J4709" i="38" s="1"/>
  <c r="L411" i="14"/>
  <c r="I4709" i="38" s="1"/>
  <c r="I411" i="14"/>
  <c r="F4709" i="38" s="1"/>
  <c r="M410" i="14"/>
  <c r="J4708" i="38" s="1"/>
  <c r="L410" i="14"/>
  <c r="I4708" i="38" s="1"/>
  <c r="I410" i="14"/>
  <c r="F4708" i="38" s="1"/>
  <c r="M409" i="14"/>
  <c r="L409" i="14"/>
  <c r="I409" i="14"/>
  <c r="G403" i="14"/>
  <c r="M402" i="14"/>
  <c r="L402" i="14"/>
  <c r="I402" i="14"/>
  <c r="M401" i="14"/>
  <c r="L401" i="14"/>
  <c r="I401" i="14"/>
  <c r="M400" i="14"/>
  <c r="L400" i="14"/>
  <c r="I400" i="14"/>
  <c r="M399" i="14"/>
  <c r="L399" i="14"/>
  <c r="I399" i="14"/>
  <c r="M398" i="14"/>
  <c r="L398" i="14"/>
  <c r="I398" i="14"/>
  <c r="M397" i="14"/>
  <c r="L397" i="14"/>
  <c r="I397" i="14"/>
  <c r="M396" i="14"/>
  <c r="J4700" i="38" s="1"/>
  <c r="L396" i="14"/>
  <c r="I4700" i="38" s="1"/>
  <c r="I396" i="14"/>
  <c r="F4700" i="38" s="1"/>
  <c r="M395" i="14"/>
  <c r="J4699" i="38" s="1"/>
  <c r="L395" i="14"/>
  <c r="I4699" i="38" s="1"/>
  <c r="I395" i="14"/>
  <c r="F4699" i="38" s="1"/>
  <c r="M394" i="14"/>
  <c r="J4698" i="38" s="1"/>
  <c r="L394" i="14"/>
  <c r="I4698" i="38" s="1"/>
  <c r="I394" i="14"/>
  <c r="F4698" i="38" s="1"/>
  <c r="M393" i="14"/>
  <c r="L393" i="14"/>
  <c r="I393" i="14"/>
  <c r="G387" i="14"/>
  <c r="M386" i="14"/>
  <c r="L386" i="14"/>
  <c r="I386" i="14"/>
  <c r="M385" i="14"/>
  <c r="L385" i="14"/>
  <c r="I385" i="14"/>
  <c r="M384" i="14"/>
  <c r="L384" i="14"/>
  <c r="I384" i="14"/>
  <c r="M383" i="14"/>
  <c r="L383" i="14"/>
  <c r="I383" i="14"/>
  <c r="M382" i="14"/>
  <c r="L382" i="14"/>
  <c r="I382" i="14"/>
  <c r="M381" i="14"/>
  <c r="L381" i="14"/>
  <c r="I381" i="14"/>
  <c r="M380" i="14"/>
  <c r="J4690" i="38" s="1"/>
  <c r="L380" i="14"/>
  <c r="I4690" i="38" s="1"/>
  <c r="I380" i="14"/>
  <c r="F4690" i="38" s="1"/>
  <c r="M379" i="14"/>
  <c r="J4689" i="38" s="1"/>
  <c r="L379" i="14"/>
  <c r="I4689" i="38" s="1"/>
  <c r="I379" i="14"/>
  <c r="F4689" i="38" s="1"/>
  <c r="M378" i="14"/>
  <c r="J4688" i="38" s="1"/>
  <c r="L378" i="14"/>
  <c r="I4688" i="38" s="1"/>
  <c r="I378" i="14"/>
  <c r="F4688" i="38" s="1"/>
  <c r="M377" i="14"/>
  <c r="L377" i="14"/>
  <c r="I377" i="14"/>
  <c r="G371" i="14"/>
  <c r="G2348" i="38" s="1"/>
  <c r="M370" i="14"/>
  <c r="L370" i="14"/>
  <c r="I370" i="14"/>
  <c r="M369" i="14"/>
  <c r="L369" i="14"/>
  <c r="I369" i="14"/>
  <c r="M368" i="14"/>
  <c r="L368" i="14"/>
  <c r="I368" i="14"/>
  <c r="M367" i="14"/>
  <c r="L367" i="14"/>
  <c r="I367" i="14"/>
  <c r="M366" i="14"/>
  <c r="L366" i="14"/>
  <c r="I366" i="14"/>
  <c r="M365" i="14"/>
  <c r="L365" i="14"/>
  <c r="I365" i="14"/>
  <c r="M364" i="14"/>
  <c r="J4680" i="38" s="1"/>
  <c r="L364" i="14"/>
  <c r="I4680" i="38" s="1"/>
  <c r="I364" i="14"/>
  <c r="F4680" i="38" s="1"/>
  <c r="M363" i="14"/>
  <c r="J4679" i="38" s="1"/>
  <c r="L363" i="14"/>
  <c r="I4679" i="38" s="1"/>
  <c r="I363" i="14"/>
  <c r="F4679" i="38" s="1"/>
  <c r="M362" i="14"/>
  <c r="J4678" i="38" s="1"/>
  <c r="L362" i="14"/>
  <c r="I4678" i="38" s="1"/>
  <c r="I362" i="14"/>
  <c r="F4678" i="38" s="1"/>
  <c r="M361" i="14"/>
  <c r="L361" i="14"/>
  <c r="I361" i="14"/>
  <c r="G355" i="14"/>
  <c r="M354" i="14"/>
  <c r="L354" i="14"/>
  <c r="I354" i="14"/>
  <c r="M353" i="14"/>
  <c r="L353" i="14"/>
  <c r="I353" i="14"/>
  <c r="M352" i="14"/>
  <c r="L352" i="14"/>
  <c r="I352" i="14"/>
  <c r="M351" i="14"/>
  <c r="L351" i="14"/>
  <c r="I351" i="14"/>
  <c r="M350" i="14"/>
  <c r="L350" i="14"/>
  <c r="I350" i="14"/>
  <c r="M349" i="14"/>
  <c r="L349" i="14"/>
  <c r="I349" i="14"/>
  <c r="M348" i="14"/>
  <c r="L348" i="14"/>
  <c r="I348" i="14"/>
  <c r="M347" i="14"/>
  <c r="L347" i="14"/>
  <c r="I347" i="14"/>
  <c r="M346" i="14"/>
  <c r="L346" i="14"/>
  <c r="I346" i="14"/>
  <c r="M345" i="14"/>
  <c r="L345" i="14"/>
  <c r="I345" i="14"/>
  <c r="G339" i="14"/>
  <c r="G340" i="14" s="1"/>
  <c r="H2346" i="38" s="1"/>
  <c r="M338" i="14"/>
  <c r="L338" i="14"/>
  <c r="I338" i="14"/>
  <c r="M337" i="14"/>
  <c r="L337" i="14"/>
  <c r="I337" i="14"/>
  <c r="M336" i="14"/>
  <c r="L336" i="14"/>
  <c r="I336" i="14"/>
  <c r="M335" i="14"/>
  <c r="L335" i="14"/>
  <c r="I335" i="14"/>
  <c r="M334" i="14"/>
  <c r="L334" i="14"/>
  <c r="I334" i="14"/>
  <c r="M333" i="14"/>
  <c r="L333" i="14"/>
  <c r="I333" i="14"/>
  <c r="M332" i="14"/>
  <c r="L332" i="14"/>
  <c r="I332" i="14"/>
  <c r="M331" i="14"/>
  <c r="L331" i="14"/>
  <c r="I331" i="14"/>
  <c r="M330" i="14"/>
  <c r="L330" i="14"/>
  <c r="I330" i="14"/>
  <c r="M329" i="14"/>
  <c r="L329" i="14"/>
  <c r="I329" i="14"/>
  <c r="K293" i="14"/>
  <c r="BH61" i="38" s="1"/>
  <c r="K281" i="14"/>
  <c r="BF61" i="38" s="1"/>
  <c r="K270" i="14"/>
  <c r="BD61" i="38" s="1"/>
  <c r="E269" i="14"/>
  <c r="C269" i="14"/>
  <c r="E268" i="14"/>
  <c r="C268" i="14"/>
  <c r="E267" i="14"/>
  <c r="C267" i="14"/>
  <c r="E266" i="14"/>
  <c r="C266" i="14"/>
  <c r="BC61" i="38"/>
  <c r="BB61" i="38"/>
  <c r="K203" i="14"/>
  <c r="AZ61" i="38" s="1"/>
  <c r="K193" i="14"/>
  <c r="AR61" i="38" s="1"/>
  <c r="Q192" i="14"/>
  <c r="O192" i="14"/>
  <c r="M192" i="14"/>
  <c r="K192" i="14"/>
  <c r="AN61" i="38"/>
  <c r="K142" i="14"/>
  <c r="AF61" i="38" s="1"/>
  <c r="AA61" i="38"/>
  <c r="S61" i="38"/>
  <c r="Q61" i="38"/>
  <c r="P61" i="38"/>
  <c r="O61" i="38"/>
  <c r="K84" i="14"/>
  <c r="N61" i="38" s="1"/>
  <c r="AD10" i="14"/>
  <c r="AA10" i="14"/>
  <c r="Z85" i="14"/>
  <c r="T6" i="14"/>
  <c r="T4" i="14"/>
  <c r="T2" i="14"/>
  <c r="E61" i="38" s="1"/>
  <c r="G611" i="15"/>
  <c r="M610" i="15"/>
  <c r="L610" i="15"/>
  <c r="I610" i="15"/>
  <c r="M609" i="15"/>
  <c r="L609" i="15"/>
  <c r="I609" i="15"/>
  <c r="M608" i="15"/>
  <c r="L608" i="15"/>
  <c r="I608" i="15"/>
  <c r="M607" i="15"/>
  <c r="L607" i="15"/>
  <c r="I607" i="15"/>
  <c r="M606" i="15"/>
  <c r="L606" i="15"/>
  <c r="I606" i="15"/>
  <c r="M605" i="15"/>
  <c r="L605" i="15"/>
  <c r="I605" i="15"/>
  <c r="M604" i="15"/>
  <c r="J5010" i="38" s="1"/>
  <c r="L604" i="15"/>
  <c r="I5010" i="38" s="1"/>
  <c r="I604" i="15"/>
  <c r="F5010" i="38" s="1"/>
  <c r="M603" i="15"/>
  <c r="J5009" i="38" s="1"/>
  <c r="L603" i="15"/>
  <c r="I5009" i="38" s="1"/>
  <c r="I603" i="15"/>
  <c r="F5009" i="38" s="1"/>
  <c r="M602" i="15"/>
  <c r="J5008" i="38" s="1"/>
  <c r="L602" i="15"/>
  <c r="I5008" i="38" s="1"/>
  <c r="I602" i="15"/>
  <c r="F5008" i="38" s="1"/>
  <c r="M601" i="15"/>
  <c r="L601" i="15"/>
  <c r="I601" i="15"/>
  <c r="G595" i="15"/>
  <c r="M594" i="15"/>
  <c r="L594" i="15"/>
  <c r="I594" i="15"/>
  <c r="M593" i="15"/>
  <c r="L593" i="15"/>
  <c r="I593" i="15"/>
  <c r="M592" i="15"/>
  <c r="L592" i="15"/>
  <c r="I592" i="15"/>
  <c r="M591" i="15"/>
  <c r="L591" i="15"/>
  <c r="I591" i="15"/>
  <c r="M590" i="15"/>
  <c r="L590" i="15"/>
  <c r="I590" i="15"/>
  <c r="M589" i="15"/>
  <c r="L589" i="15"/>
  <c r="I589" i="15"/>
  <c r="M588" i="15"/>
  <c r="J5000" i="38" s="1"/>
  <c r="L588" i="15"/>
  <c r="I5000" i="38" s="1"/>
  <c r="I588" i="15"/>
  <c r="F5000" i="38" s="1"/>
  <c r="M587" i="15"/>
  <c r="J4999" i="38" s="1"/>
  <c r="L587" i="15"/>
  <c r="I4999" i="38" s="1"/>
  <c r="I587" i="15"/>
  <c r="F4999" i="38" s="1"/>
  <c r="M586" i="15"/>
  <c r="J4998" i="38" s="1"/>
  <c r="L586" i="15"/>
  <c r="I4998" i="38" s="1"/>
  <c r="I586" i="15"/>
  <c r="F4998" i="38" s="1"/>
  <c r="M585" i="15"/>
  <c r="L585" i="15"/>
  <c r="I585" i="15"/>
  <c r="G579" i="15"/>
  <c r="G2379" i="38" s="1"/>
  <c r="M578" i="15"/>
  <c r="L578" i="15"/>
  <c r="I578" i="15"/>
  <c r="M577" i="15"/>
  <c r="L577" i="15"/>
  <c r="I577" i="15"/>
  <c r="M576" i="15"/>
  <c r="L576" i="15"/>
  <c r="I576" i="15"/>
  <c r="M575" i="15"/>
  <c r="L575" i="15"/>
  <c r="I575" i="15"/>
  <c r="M574" i="15"/>
  <c r="L574" i="15"/>
  <c r="I574" i="15"/>
  <c r="M573" i="15"/>
  <c r="L573" i="15"/>
  <c r="I573" i="15"/>
  <c r="M572" i="15"/>
  <c r="J4990" i="38" s="1"/>
  <c r="L572" i="15"/>
  <c r="I4990" i="38" s="1"/>
  <c r="I572" i="15"/>
  <c r="F4990" i="38" s="1"/>
  <c r="M571" i="15"/>
  <c r="J4989" i="38" s="1"/>
  <c r="L571" i="15"/>
  <c r="I4989" i="38" s="1"/>
  <c r="I571" i="15"/>
  <c r="F4989" i="38" s="1"/>
  <c r="M570" i="15"/>
  <c r="J4988" i="38" s="1"/>
  <c r="L570" i="15"/>
  <c r="I4988" i="38" s="1"/>
  <c r="I570" i="15"/>
  <c r="F4988" i="38" s="1"/>
  <c r="M569" i="15"/>
  <c r="L569" i="15"/>
  <c r="I569" i="15"/>
  <c r="G563" i="15"/>
  <c r="G2378" i="38" s="1"/>
  <c r="M562" i="15"/>
  <c r="L562" i="15"/>
  <c r="I562" i="15"/>
  <c r="M561" i="15"/>
  <c r="L561" i="15"/>
  <c r="I561" i="15"/>
  <c r="M560" i="15"/>
  <c r="L560" i="15"/>
  <c r="I560" i="15"/>
  <c r="M559" i="15"/>
  <c r="L559" i="15"/>
  <c r="I559" i="15"/>
  <c r="M558" i="15"/>
  <c r="L558" i="15"/>
  <c r="I558" i="15"/>
  <c r="M557" i="15"/>
  <c r="L557" i="15"/>
  <c r="I557" i="15"/>
  <c r="M556" i="15"/>
  <c r="J4980" i="38" s="1"/>
  <c r="L556" i="15"/>
  <c r="I4980" i="38" s="1"/>
  <c r="I556" i="15"/>
  <c r="F4980" i="38" s="1"/>
  <c r="M555" i="15"/>
  <c r="J4979" i="38" s="1"/>
  <c r="L555" i="15"/>
  <c r="I4979" i="38" s="1"/>
  <c r="I555" i="15"/>
  <c r="F4979" i="38" s="1"/>
  <c r="M554" i="15"/>
  <c r="J4978" i="38" s="1"/>
  <c r="L554" i="15"/>
  <c r="I4978" i="38" s="1"/>
  <c r="I554" i="15"/>
  <c r="F4978" i="38" s="1"/>
  <c r="M553" i="15"/>
  <c r="L553" i="15"/>
  <c r="I553" i="15"/>
  <c r="G547" i="15"/>
  <c r="M546" i="15"/>
  <c r="L546" i="15"/>
  <c r="I546" i="15"/>
  <c r="M545" i="15"/>
  <c r="L545" i="15"/>
  <c r="I545" i="15"/>
  <c r="M544" i="15"/>
  <c r="L544" i="15"/>
  <c r="I544" i="15"/>
  <c r="M543" i="15"/>
  <c r="L543" i="15"/>
  <c r="I543" i="15"/>
  <c r="M542" i="15"/>
  <c r="L542" i="15"/>
  <c r="I542" i="15"/>
  <c r="M541" i="15"/>
  <c r="L541" i="15"/>
  <c r="I541" i="15"/>
  <c r="M540" i="15"/>
  <c r="J4970" i="38" s="1"/>
  <c r="L540" i="15"/>
  <c r="I4970" i="38" s="1"/>
  <c r="I540" i="15"/>
  <c r="F4970" i="38" s="1"/>
  <c r="M539" i="15"/>
  <c r="J4969" i="38" s="1"/>
  <c r="L539" i="15"/>
  <c r="I4969" i="38" s="1"/>
  <c r="I539" i="15"/>
  <c r="F4969" i="38" s="1"/>
  <c r="M538" i="15"/>
  <c r="J4968" i="38" s="1"/>
  <c r="L538" i="15"/>
  <c r="I4968" i="38" s="1"/>
  <c r="I538" i="15"/>
  <c r="F4968" i="38" s="1"/>
  <c r="M537" i="15"/>
  <c r="L537" i="15"/>
  <c r="I537" i="15"/>
  <c r="G531" i="15"/>
  <c r="M530" i="15"/>
  <c r="L530" i="15"/>
  <c r="I530" i="15"/>
  <c r="M529" i="15"/>
  <c r="L529" i="15"/>
  <c r="I529" i="15"/>
  <c r="M528" i="15"/>
  <c r="L528" i="15"/>
  <c r="I528" i="15"/>
  <c r="M527" i="15"/>
  <c r="L527" i="15"/>
  <c r="I527" i="15"/>
  <c r="M526" i="15"/>
  <c r="L526" i="15"/>
  <c r="I526" i="15"/>
  <c r="M525" i="15"/>
  <c r="L525" i="15"/>
  <c r="I525" i="15"/>
  <c r="M524" i="15"/>
  <c r="J4960" i="38" s="1"/>
  <c r="L524" i="15"/>
  <c r="I4960" i="38" s="1"/>
  <c r="I524" i="15"/>
  <c r="F4960" i="38" s="1"/>
  <c r="M523" i="15"/>
  <c r="J4959" i="38" s="1"/>
  <c r="L523" i="15"/>
  <c r="I4959" i="38" s="1"/>
  <c r="I523" i="15"/>
  <c r="F4959" i="38" s="1"/>
  <c r="M522" i="15"/>
  <c r="J4958" i="38" s="1"/>
  <c r="L522" i="15"/>
  <c r="I4958" i="38" s="1"/>
  <c r="I522" i="15"/>
  <c r="F4958" i="38" s="1"/>
  <c r="M521" i="15"/>
  <c r="L521" i="15"/>
  <c r="I521" i="15"/>
  <c r="G515" i="15"/>
  <c r="G2375" i="38" s="1"/>
  <c r="M514" i="15"/>
  <c r="L514" i="15"/>
  <c r="I514" i="15"/>
  <c r="M513" i="15"/>
  <c r="L513" i="15"/>
  <c r="I513" i="15"/>
  <c r="M512" i="15"/>
  <c r="L512" i="15"/>
  <c r="I512" i="15"/>
  <c r="M511" i="15"/>
  <c r="L511" i="15"/>
  <c r="I511" i="15"/>
  <c r="M510" i="15"/>
  <c r="L510" i="15"/>
  <c r="I510" i="15"/>
  <c r="M509" i="15"/>
  <c r="L509" i="15"/>
  <c r="I509" i="15"/>
  <c r="M508" i="15"/>
  <c r="J4950" i="38" s="1"/>
  <c r="L508" i="15"/>
  <c r="I4950" i="38" s="1"/>
  <c r="I508" i="15"/>
  <c r="F4950" i="38" s="1"/>
  <c r="M507" i="15"/>
  <c r="J4949" i="38" s="1"/>
  <c r="L507" i="15"/>
  <c r="I4949" i="38" s="1"/>
  <c r="I507" i="15"/>
  <c r="F4949" i="38" s="1"/>
  <c r="M506" i="15"/>
  <c r="J4948" i="38" s="1"/>
  <c r="L506" i="15"/>
  <c r="I4948" i="38" s="1"/>
  <c r="I506" i="15"/>
  <c r="F4948" i="38" s="1"/>
  <c r="M505" i="15"/>
  <c r="L505" i="15"/>
  <c r="I505" i="15"/>
  <c r="G499" i="15"/>
  <c r="G2374" i="38" s="1"/>
  <c r="M498" i="15"/>
  <c r="L498" i="15"/>
  <c r="I498" i="15"/>
  <c r="M497" i="15"/>
  <c r="L497" i="15"/>
  <c r="I497" i="15"/>
  <c r="M496" i="15"/>
  <c r="L496" i="15"/>
  <c r="I496" i="15"/>
  <c r="M495" i="15"/>
  <c r="L495" i="15"/>
  <c r="I495" i="15"/>
  <c r="M494" i="15"/>
  <c r="L494" i="15"/>
  <c r="I494" i="15"/>
  <c r="M493" i="15"/>
  <c r="L493" i="15"/>
  <c r="I493" i="15"/>
  <c r="M492" i="15"/>
  <c r="J4940" i="38" s="1"/>
  <c r="L492" i="15"/>
  <c r="I4940" i="38" s="1"/>
  <c r="I492" i="15"/>
  <c r="F4940" i="38" s="1"/>
  <c r="M491" i="15"/>
  <c r="J4939" i="38" s="1"/>
  <c r="L491" i="15"/>
  <c r="I4939" i="38" s="1"/>
  <c r="I491" i="15"/>
  <c r="F4939" i="38" s="1"/>
  <c r="M490" i="15"/>
  <c r="J4938" i="38" s="1"/>
  <c r="L490" i="15"/>
  <c r="I4938" i="38" s="1"/>
  <c r="I490" i="15"/>
  <c r="F4938" i="38" s="1"/>
  <c r="M489" i="15"/>
  <c r="L489" i="15"/>
  <c r="I489" i="15"/>
  <c r="G483" i="15"/>
  <c r="M482" i="15"/>
  <c r="L482" i="15"/>
  <c r="I482" i="15"/>
  <c r="M481" i="15"/>
  <c r="L481" i="15"/>
  <c r="I481" i="15"/>
  <c r="M480" i="15"/>
  <c r="L480" i="15"/>
  <c r="I480" i="15"/>
  <c r="M479" i="15"/>
  <c r="L479" i="15"/>
  <c r="I479" i="15"/>
  <c r="M478" i="15"/>
  <c r="L478" i="15"/>
  <c r="I478" i="15"/>
  <c r="M477" i="15"/>
  <c r="L477" i="15"/>
  <c r="I477" i="15"/>
  <c r="M476" i="15"/>
  <c r="J4930" i="38" s="1"/>
  <c r="L476" i="15"/>
  <c r="I4930" i="38" s="1"/>
  <c r="I476" i="15"/>
  <c r="F4930" i="38" s="1"/>
  <c r="M475" i="15"/>
  <c r="J4929" i="38" s="1"/>
  <c r="L475" i="15"/>
  <c r="I4929" i="38" s="1"/>
  <c r="I475" i="15"/>
  <c r="F4929" i="38" s="1"/>
  <c r="M474" i="15"/>
  <c r="J4928" i="38" s="1"/>
  <c r="L474" i="15"/>
  <c r="I4928" i="38" s="1"/>
  <c r="I474" i="15"/>
  <c r="F4928" i="38" s="1"/>
  <c r="M473" i="15"/>
  <c r="L473" i="15"/>
  <c r="I473" i="15"/>
  <c r="G467" i="15"/>
  <c r="M466" i="15"/>
  <c r="L466" i="15"/>
  <c r="I466" i="15"/>
  <c r="M465" i="15"/>
  <c r="L465" i="15"/>
  <c r="I465" i="15"/>
  <c r="M464" i="15"/>
  <c r="L464" i="15"/>
  <c r="I464" i="15"/>
  <c r="M463" i="15"/>
  <c r="L463" i="15"/>
  <c r="I463" i="15"/>
  <c r="M462" i="15"/>
  <c r="L462" i="15"/>
  <c r="I462" i="15"/>
  <c r="M461" i="15"/>
  <c r="L461" i="15"/>
  <c r="I461" i="15"/>
  <c r="M460" i="15"/>
  <c r="J4920" i="38" s="1"/>
  <c r="L460" i="15"/>
  <c r="I4920" i="38" s="1"/>
  <c r="I460" i="15"/>
  <c r="F4920" i="38" s="1"/>
  <c r="M459" i="15"/>
  <c r="J4919" i="38" s="1"/>
  <c r="L459" i="15"/>
  <c r="I4919" i="38" s="1"/>
  <c r="I459" i="15"/>
  <c r="F4919" i="38" s="1"/>
  <c r="M458" i="15"/>
  <c r="J4918" i="38" s="1"/>
  <c r="L458" i="15"/>
  <c r="I4918" i="38" s="1"/>
  <c r="I458" i="15"/>
  <c r="F4918" i="38" s="1"/>
  <c r="M457" i="15"/>
  <c r="L457" i="15"/>
  <c r="I457" i="15"/>
  <c r="G451" i="15"/>
  <c r="G2371" i="38" s="1"/>
  <c r="M450" i="15"/>
  <c r="L450" i="15"/>
  <c r="I450" i="15"/>
  <c r="M449" i="15"/>
  <c r="L449" i="15"/>
  <c r="I449" i="15"/>
  <c r="M448" i="15"/>
  <c r="L448" i="15"/>
  <c r="I448" i="15"/>
  <c r="M447" i="15"/>
  <c r="L447" i="15"/>
  <c r="I447" i="15"/>
  <c r="M446" i="15"/>
  <c r="L446" i="15"/>
  <c r="I446" i="15"/>
  <c r="M445" i="15"/>
  <c r="L445" i="15"/>
  <c r="I445" i="15"/>
  <c r="M444" i="15"/>
  <c r="J4910" i="38" s="1"/>
  <c r="L444" i="15"/>
  <c r="I4910" i="38" s="1"/>
  <c r="I444" i="15"/>
  <c r="F4910" i="38" s="1"/>
  <c r="M443" i="15"/>
  <c r="J4909" i="38" s="1"/>
  <c r="L443" i="15"/>
  <c r="I4909" i="38" s="1"/>
  <c r="I443" i="15"/>
  <c r="F4909" i="38" s="1"/>
  <c r="M442" i="15"/>
  <c r="J4908" i="38" s="1"/>
  <c r="L442" i="15"/>
  <c r="I4908" i="38" s="1"/>
  <c r="I442" i="15"/>
  <c r="F4908" i="38" s="1"/>
  <c r="M441" i="15"/>
  <c r="L441" i="15"/>
  <c r="I441" i="15"/>
  <c r="G435" i="15"/>
  <c r="G2370" i="38" s="1"/>
  <c r="M434" i="15"/>
  <c r="L434" i="15"/>
  <c r="I434" i="15"/>
  <c r="M433" i="15"/>
  <c r="L433" i="15"/>
  <c r="I433" i="15"/>
  <c r="M432" i="15"/>
  <c r="L432" i="15"/>
  <c r="I432" i="15"/>
  <c r="M431" i="15"/>
  <c r="L431" i="15"/>
  <c r="I431" i="15"/>
  <c r="M430" i="15"/>
  <c r="L430" i="15"/>
  <c r="I430" i="15"/>
  <c r="M429" i="15"/>
  <c r="L429" i="15"/>
  <c r="I429" i="15"/>
  <c r="M428" i="15"/>
  <c r="J4900" i="38" s="1"/>
  <c r="L428" i="15"/>
  <c r="I4900" i="38" s="1"/>
  <c r="I428" i="15"/>
  <c r="F4900" i="38" s="1"/>
  <c r="M427" i="15"/>
  <c r="J4899" i="38" s="1"/>
  <c r="L427" i="15"/>
  <c r="I4899" i="38" s="1"/>
  <c r="I427" i="15"/>
  <c r="F4899" i="38" s="1"/>
  <c r="M426" i="15"/>
  <c r="J4898" i="38" s="1"/>
  <c r="L426" i="15"/>
  <c r="I4898" i="38" s="1"/>
  <c r="I426" i="15"/>
  <c r="F4898" i="38" s="1"/>
  <c r="M425" i="15"/>
  <c r="L425" i="15"/>
  <c r="I425" i="15"/>
  <c r="G419" i="15"/>
  <c r="M418" i="15"/>
  <c r="L418" i="15"/>
  <c r="I418" i="15"/>
  <c r="M417" i="15"/>
  <c r="L417" i="15"/>
  <c r="I417" i="15"/>
  <c r="M416" i="15"/>
  <c r="L416" i="15"/>
  <c r="I416" i="15"/>
  <c r="M415" i="15"/>
  <c r="L415" i="15"/>
  <c r="I415" i="15"/>
  <c r="M414" i="15"/>
  <c r="L414" i="15"/>
  <c r="I414" i="15"/>
  <c r="M413" i="15"/>
  <c r="L413" i="15"/>
  <c r="I413" i="15"/>
  <c r="M412" i="15"/>
  <c r="J4890" i="38" s="1"/>
  <c r="L412" i="15"/>
  <c r="I4890" i="38" s="1"/>
  <c r="I412" i="15"/>
  <c r="F4890" i="38" s="1"/>
  <c r="M411" i="15"/>
  <c r="J4889" i="38" s="1"/>
  <c r="L411" i="15"/>
  <c r="I4889" i="38" s="1"/>
  <c r="I411" i="15"/>
  <c r="F4889" i="38" s="1"/>
  <c r="M410" i="15"/>
  <c r="J4888" i="38" s="1"/>
  <c r="L410" i="15"/>
  <c r="I4888" i="38" s="1"/>
  <c r="I410" i="15"/>
  <c r="F4888" i="38" s="1"/>
  <c r="M409" i="15"/>
  <c r="L409" i="15"/>
  <c r="I409" i="15"/>
  <c r="G403" i="15"/>
  <c r="M402" i="15"/>
  <c r="L402" i="15"/>
  <c r="I402" i="15"/>
  <c r="M401" i="15"/>
  <c r="L401" i="15"/>
  <c r="I401" i="15"/>
  <c r="M400" i="15"/>
  <c r="L400" i="15"/>
  <c r="I400" i="15"/>
  <c r="M399" i="15"/>
  <c r="L399" i="15"/>
  <c r="I399" i="15"/>
  <c r="M398" i="15"/>
  <c r="L398" i="15"/>
  <c r="I398" i="15"/>
  <c r="M397" i="15"/>
  <c r="L397" i="15"/>
  <c r="I397" i="15"/>
  <c r="M396" i="15"/>
  <c r="J4880" i="38" s="1"/>
  <c r="L396" i="15"/>
  <c r="I4880" i="38" s="1"/>
  <c r="I396" i="15"/>
  <c r="F4880" i="38" s="1"/>
  <c r="M395" i="15"/>
  <c r="J4879" i="38" s="1"/>
  <c r="L395" i="15"/>
  <c r="I4879" i="38" s="1"/>
  <c r="I395" i="15"/>
  <c r="F4879" i="38" s="1"/>
  <c r="M394" i="15"/>
  <c r="J4878" i="38" s="1"/>
  <c r="L394" i="15"/>
  <c r="I4878" i="38" s="1"/>
  <c r="I394" i="15"/>
  <c r="F4878" i="38" s="1"/>
  <c r="M393" i="15"/>
  <c r="L393" i="15"/>
  <c r="I393" i="15"/>
  <c r="G387" i="15"/>
  <c r="G2367" i="38" s="1"/>
  <c r="M386" i="15"/>
  <c r="L386" i="15"/>
  <c r="I386" i="15"/>
  <c r="M385" i="15"/>
  <c r="L385" i="15"/>
  <c r="I385" i="15"/>
  <c r="M384" i="15"/>
  <c r="L384" i="15"/>
  <c r="I384" i="15"/>
  <c r="M383" i="15"/>
  <c r="L383" i="15"/>
  <c r="I383" i="15"/>
  <c r="M382" i="15"/>
  <c r="L382" i="15"/>
  <c r="I382" i="15"/>
  <c r="M381" i="15"/>
  <c r="L381" i="15"/>
  <c r="I381" i="15"/>
  <c r="M380" i="15"/>
  <c r="J4870" i="38" s="1"/>
  <c r="L380" i="15"/>
  <c r="I4870" i="38" s="1"/>
  <c r="I380" i="15"/>
  <c r="F4870" i="38" s="1"/>
  <c r="M379" i="15"/>
  <c r="J4869" i="38" s="1"/>
  <c r="L379" i="15"/>
  <c r="I4869" i="38" s="1"/>
  <c r="I379" i="15"/>
  <c r="F4869" i="38" s="1"/>
  <c r="M378" i="15"/>
  <c r="J4868" i="38" s="1"/>
  <c r="L378" i="15"/>
  <c r="I4868" i="38" s="1"/>
  <c r="I378" i="15"/>
  <c r="F4868" i="38" s="1"/>
  <c r="M377" i="15"/>
  <c r="L377" i="15"/>
  <c r="I377" i="15"/>
  <c r="G371" i="15"/>
  <c r="G2366" i="38" s="1"/>
  <c r="M370" i="15"/>
  <c r="L370" i="15"/>
  <c r="I370" i="15"/>
  <c r="M369" i="15"/>
  <c r="L369" i="15"/>
  <c r="I369" i="15"/>
  <c r="M368" i="15"/>
  <c r="L368" i="15"/>
  <c r="I368" i="15"/>
  <c r="M367" i="15"/>
  <c r="L367" i="15"/>
  <c r="I367" i="15"/>
  <c r="M366" i="15"/>
  <c r="L366" i="15"/>
  <c r="I366" i="15"/>
  <c r="M365" i="15"/>
  <c r="L365" i="15"/>
  <c r="I365" i="15"/>
  <c r="M364" i="15"/>
  <c r="J4860" i="38" s="1"/>
  <c r="L364" i="15"/>
  <c r="I4860" i="38" s="1"/>
  <c r="I364" i="15"/>
  <c r="F4860" i="38" s="1"/>
  <c r="M363" i="15"/>
  <c r="J4859" i="38" s="1"/>
  <c r="L363" i="15"/>
  <c r="I4859" i="38" s="1"/>
  <c r="I363" i="15"/>
  <c r="F4859" i="38" s="1"/>
  <c r="M362" i="15"/>
  <c r="J4858" i="38" s="1"/>
  <c r="L362" i="15"/>
  <c r="I4858" i="38" s="1"/>
  <c r="I362" i="15"/>
  <c r="F4858" i="38" s="1"/>
  <c r="M361" i="15"/>
  <c r="L361" i="15"/>
  <c r="I361" i="15"/>
  <c r="G355" i="15"/>
  <c r="M354" i="15"/>
  <c r="L354" i="15"/>
  <c r="I354" i="15"/>
  <c r="M353" i="15"/>
  <c r="L353" i="15"/>
  <c r="I353" i="15"/>
  <c r="M352" i="15"/>
  <c r="L352" i="15"/>
  <c r="I352" i="15"/>
  <c r="M351" i="15"/>
  <c r="L351" i="15"/>
  <c r="I351" i="15"/>
  <c r="M350" i="15"/>
  <c r="L350" i="15"/>
  <c r="I350" i="15"/>
  <c r="M349" i="15"/>
  <c r="L349" i="15"/>
  <c r="I349" i="15"/>
  <c r="M348" i="15"/>
  <c r="L348" i="15"/>
  <c r="I348" i="15"/>
  <c r="M347" i="15"/>
  <c r="L347" i="15"/>
  <c r="I347" i="15"/>
  <c r="M346" i="15"/>
  <c r="L346" i="15"/>
  <c r="I346" i="15"/>
  <c r="M345" i="15"/>
  <c r="L345" i="15"/>
  <c r="I345" i="15"/>
  <c r="G339" i="15"/>
  <c r="G340" i="15" s="1"/>
  <c r="H2364" i="38" s="1"/>
  <c r="M338" i="15"/>
  <c r="L338" i="15"/>
  <c r="I338" i="15"/>
  <c r="M337" i="15"/>
  <c r="L337" i="15"/>
  <c r="I337" i="15"/>
  <c r="M336" i="15"/>
  <c r="L336" i="15"/>
  <c r="I336" i="15"/>
  <c r="M335" i="15"/>
  <c r="L335" i="15"/>
  <c r="I335" i="15"/>
  <c r="M334" i="15"/>
  <c r="L334" i="15"/>
  <c r="I334" i="15"/>
  <c r="M333" i="15"/>
  <c r="L333" i="15"/>
  <c r="I333" i="15"/>
  <c r="M332" i="15"/>
  <c r="L332" i="15"/>
  <c r="I332" i="15"/>
  <c r="M331" i="15"/>
  <c r="L331" i="15"/>
  <c r="I331" i="15"/>
  <c r="M330" i="15"/>
  <c r="L330" i="15"/>
  <c r="I330" i="15"/>
  <c r="M329" i="15"/>
  <c r="L329" i="15"/>
  <c r="I329" i="15"/>
  <c r="K293" i="15"/>
  <c r="BH62" i="38" s="1"/>
  <c r="K281" i="15"/>
  <c r="BF62" i="38" s="1"/>
  <c r="K270" i="15"/>
  <c r="BD62" i="38" s="1"/>
  <c r="E269" i="15"/>
  <c r="C269" i="15"/>
  <c r="E268" i="15"/>
  <c r="C268" i="15"/>
  <c r="E267" i="15"/>
  <c r="C267" i="15"/>
  <c r="E266" i="15"/>
  <c r="C266" i="15"/>
  <c r="BC62" i="38"/>
  <c r="BB62" i="38"/>
  <c r="K203" i="15"/>
  <c r="AZ62" i="38" s="1"/>
  <c r="K193" i="15"/>
  <c r="AR62" i="38" s="1"/>
  <c r="Q192" i="15"/>
  <c r="O192" i="15"/>
  <c r="M192" i="15"/>
  <c r="K192" i="15"/>
  <c r="AN62" i="38"/>
  <c r="K142" i="15"/>
  <c r="AF62" i="38" s="1"/>
  <c r="S62" i="38"/>
  <c r="Q62" i="38"/>
  <c r="P62" i="38"/>
  <c r="O62" i="38"/>
  <c r="K84" i="15"/>
  <c r="N62" i="38" s="1"/>
  <c r="AD10" i="15"/>
  <c r="AA10" i="15"/>
  <c r="Z85" i="15"/>
  <c r="T6" i="15"/>
  <c r="T4" i="15"/>
  <c r="T2" i="15"/>
  <c r="E62" i="38" s="1"/>
  <c r="G611" i="16"/>
  <c r="G2399" i="38" s="1"/>
  <c r="M610" i="16"/>
  <c r="L610" i="16"/>
  <c r="I610" i="16"/>
  <c r="M609" i="16"/>
  <c r="L609" i="16"/>
  <c r="I609" i="16"/>
  <c r="M608" i="16"/>
  <c r="L608" i="16"/>
  <c r="I608" i="16"/>
  <c r="M607" i="16"/>
  <c r="L607" i="16"/>
  <c r="I607" i="16"/>
  <c r="M606" i="16"/>
  <c r="L606" i="16"/>
  <c r="I606" i="16"/>
  <c r="M605" i="16"/>
  <c r="L605" i="16"/>
  <c r="I605" i="16"/>
  <c r="M604" i="16"/>
  <c r="J5190" i="38" s="1"/>
  <c r="L604" i="16"/>
  <c r="I5190" i="38" s="1"/>
  <c r="I604" i="16"/>
  <c r="F5190" i="38" s="1"/>
  <c r="M603" i="16"/>
  <c r="J5189" i="38" s="1"/>
  <c r="L603" i="16"/>
  <c r="I5189" i="38" s="1"/>
  <c r="I603" i="16"/>
  <c r="F5189" i="38" s="1"/>
  <c r="M602" i="16"/>
  <c r="J5188" i="38" s="1"/>
  <c r="L602" i="16"/>
  <c r="I5188" i="38" s="1"/>
  <c r="I602" i="16"/>
  <c r="F5188" i="38" s="1"/>
  <c r="M601" i="16"/>
  <c r="L601" i="16"/>
  <c r="I601" i="16"/>
  <c r="G595" i="16"/>
  <c r="G2398" i="38" s="1"/>
  <c r="M594" i="16"/>
  <c r="L594" i="16"/>
  <c r="I594" i="16"/>
  <c r="M593" i="16"/>
  <c r="L593" i="16"/>
  <c r="I593" i="16"/>
  <c r="M592" i="16"/>
  <c r="L592" i="16"/>
  <c r="I592" i="16"/>
  <c r="M591" i="16"/>
  <c r="L591" i="16"/>
  <c r="I591" i="16"/>
  <c r="M590" i="16"/>
  <c r="L590" i="16"/>
  <c r="I590" i="16"/>
  <c r="M589" i="16"/>
  <c r="L589" i="16"/>
  <c r="I589" i="16"/>
  <c r="M588" i="16"/>
  <c r="J5180" i="38" s="1"/>
  <c r="L588" i="16"/>
  <c r="I5180" i="38" s="1"/>
  <c r="I588" i="16"/>
  <c r="F5180" i="38" s="1"/>
  <c r="M587" i="16"/>
  <c r="J5179" i="38" s="1"/>
  <c r="L587" i="16"/>
  <c r="I5179" i="38" s="1"/>
  <c r="I587" i="16"/>
  <c r="F5179" i="38" s="1"/>
  <c r="M586" i="16"/>
  <c r="J5178" i="38" s="1"/>
  <c r="L586" i="16"/>
  <c r="I5178" i="38" s="1"/>
  <c r="I586" i="16"/>
  <c r="F5178" i="38" s="1"/>
  <c r="M585" i="16"/>
  <c r="L585" i="16"/>
  <c r="I585" i="16"/>
  <c r="G579" i="16"/>
  <c r="M578" i="16"/>
  <c r="L578" i="16"/>
  <c r="I578" i="16"/>
  <c r="M577" i="16"/>
  <c r="L577" i="16"/>
  <c r="I577" i="16"/>
  <c r="M576" i="16"/>
  <c r="L576" i="16"/>
  <c r="I576" i="16"/>
  <c r="M575" i="16"/>
  <c r="L575" i="16"/>
  <c r="I575" i="16"/>
  <c r="M574" i="16"/>
  <c r="L574" i="16"/>
  <c r="I574" i="16"/>
  <c r="M573" i="16"/>
  <c r="L573" i="16"/>
  <c r="I573" i="16"/>
  <c r="M572" i="16"/>
  <c r="J5170" i="38" s="1"/>
  <c r="L572" i="16"/>
  <c r="I5170" i="38" s="1"/>
  <c r="I572" i="16"/>
  <c r="F5170" i="38" s="1"/>
  <c r="M571" i="16"/>
  <c r="J5169" i="38" s="1"/>
  <c r="L571" i="16"/>
  <c r="I5169" i="38" s="1"/>
  <c r="I571" i="16"/>
  <c r="F5169" i="38" s="1"/>
  <c r="M570" i="16"/>
  <c r="J5168" i="38" s="1"/>
  <c r="L570" i="16"/>
  <c r="I5168" i="38" s="1"/>
  <c r="I570" i="16"/>
  <c r="F5168" i="38" s="1"/>
  <c r="M569" i="16"/>
  <c r="L569" i="16"/>
  <c r="I569" i="16"/>
  <c r="G563" i="16"/>
  <c r="M562" i="16"/>
  <c r="L562" i="16"/>
  <c r="I562" i="16"/>
  <c r="M561" i="16"/>
  <c r="L561" i="16"/>
  <c r="I561" i="16"/>
  <c r="M560" i="16"/>
  <c r="L560" i="16"/>
  <c r="I560" i="16"/>
  <c r="M559" i="16"/>
  <c r="L559" i="16"/>
  <c r="I559" i="16"/>
  <c r="M558" i="16"/>
  <c r="L558" i="16"/>
  <c r="I558" i="16"/>
  <c r="M557" i="16"/>
  <c r="L557" i="16"/>
  <c r="I557" i="16"/>
  <c r="M556" i="16"/>
  <c r="J5160" i="38" s="1"/>
  <c r="L556" i="16"/>
  <c r="I5160" i="38" s="1"/>
  <c r="I556" i="16"/>
  <c r="F5160" i="38" s="1"/>
  <c r="M555" i="16"/>
  <c r="J5159" i="38" s="1"/>
  <c r="L555" i="16"/>
  <c r="I5159" i="38" s="1"/>
  <c r="I555" i="16"/>
  <c r="F5159" i="38" s="1"/>
  <c r="M554" i="16"/>
  <c r="J5158" i="38" s="1"/>
  <c r="L554" i="16"/>
  <c r="I5158" i="38" s="1"/>
  <c r="I554" i="16"/>
  <c r="F5158" i="38" s="1"/>
  <c r="M553" i="16"/>
  <c r="L553" i="16"/>
  <c r="I553" i="16"/>
  <c r="G547" i="16"/>
  <c r="G2395" i="38" s="1"/>
  <c r="M546" i="16"/>
  <c r="L546" i="16"/>
  <c r="I546" i="16"/>
  <c r="M545" i="16"/>
  <c r="L545" i="16"/>
  <c r="I545" i="16"/>
  <c r="M544" i="16"/>
  <c r="L544" i="16"/>
  <c r="I544" i="16"/>
  <c r="M543" i="16"/>
  <c r="L543" i="16"/>
  <c r="I543" i="16"/>
  <c r="M542" i="16"/>
  <c r="L542" i="16"/>
  <c r="I542" i="16"/>
  <c r="M541" i="16"/>
  <c r="L541" i="16"/>
  <c r="I541" i="16"/>
  <c r="M540" i="16"/>
  <c r="J5150" i="38" s="1"/>
  <c r="L540" i="16"/>
  <c r="I5150" i="38" s="1"/>
  <c r="I540" i="16"/>
  <c r="F5150" i="38" s="1"/>
  <c r="M539" i="16"/>
  <c r="J5149" i="38" s="1"/>
  <c r="L539" i="16"/>
  <c r="I5149" i="38" s="1"/>
  <c r="I539" i="16"/>
  <c r="F5149" i="38" s="1"/>
  <c r="M538" i="16"/>
  <c r="J5148" i="38" s="1"/>
  <c r="L538" i="16"/>
  <c r="I5148" i="38" s="1"/>
  <c r="I538" i="16"/>
  <c r="F5148" i="38" s="1"/>
  <c r="M537" i="16"/>
  <c r="L537" i="16"/>
  <c r="I537" i="16"/>
  <c r="G531" i="16"/>
  <c r="G2394" i="38" s="1"/>
  <c r="M530" i="16"/>
  <c r="L530" i="16"/>
  <c r="I530" i="16"/>
  <c r="M529" i="16"/>
  <c r="L529" i="16"/>
  <c r="I529" i="16"/>
  <c r="M528" i="16"/>
  <c r="L528" i="16"/>
  <c r="I528" i="16"/>
  <c r="M527" i="16"/>
  <c r="L527" i="16"/>
  <c r="I527" i="16"/>
  <c r="M526" i="16"/>
  <c r="L526" i="16"/>
  <c r="I526" i="16"/>
  <c r="M525" i="16"/>
  <c r="L525" i="16"/>
  <c r="I525" i="16"/>
  <c r="M524" i="16"/>
  <c r="J5140" i="38" s="1"/>
  <c r="L524" i="16"/>
  <c r="I5140" i="38" s="1"/>
  <c r="I524" i="16"/>
  <c r="F5140" i="38" s="1"/>
  <c r="M523" i="16"/>
  <c r="J5139" i="38" s="1"/>
  <c r="L523" i="16"/>
  <c r="I5139" i="38" s="1"/>
  <c r="I523" i="16"/>
  <c r="F5139" i="38" s="1"/>
  <c r="M522" i="16"/>
  <c r="J5138" i="38" s="1"/>
  <c r="L522" i="16"/>
  <c r="I5138" i="38" s="1"/>
  <c r="I522" i="16"/>
  <c r="F5138" i="38" s="1"/>
  <c r="M521" i="16"/>
  <c r="L521" i="16"/>
  <c r="I521" i="16"/>
  <c r="G515" i="16"/>
  <c r="M514" i="16"/>
  <c r="L514" i="16"/>
  <c r="I514" i="16"/>
  <c r="M513" i="16"/>
  <c r="L513" i="16"/>
  <c r="I513" i="16"/>
  <c r="M512" i="16"/>
  <c r="L512" i="16"/>
  <c r="I512" i="16"/>
  <c r="M511" i="16"/>
  <c r="L511" i="16"/>
  <c r="I511" i="16"/>
  <c r="M510" i="16"/>
  <c r="L510" i="16"/>
  <c r="I510" i="16"/>
  <c r="M509" i="16"/>
  <c r="L509" i="16"/>
  <c r="I509" i="16"/>
  <c r="M508" i="16"/>
  <c r="J5130" i="38" s="1"/>
  <c r="L508" i="16"/>
  <c r="I5130" i="38" s="1"/>
  <c r="I508" i="16"/>
  <c r="F5130" i="38" s="1"/>
  <c r="M507" i="16"/>
  <c r="J5129" i="38" s="1"/>
  <c r="L507" i="16"/>
  <c r="I5129" i="38" s="1"/>
  <c r="I507" i="16"/>
  <c r="F5129" i="38" s="1"/>
  <c r="M506" i="16"/>
  <c r="J5128" i="38" s="1"/>
  <c r="L506" i="16"/>
  <c r="I5128" i="38" s="1"/>
  <c r="I506" i="16"/>
  <c r="F5128" i="38" s="1"/>
  <c r="M505" i="16"/>
  <c r="L505" i="16"/>
  <c r="I505" i="16"/>
  <c r="G499" i="16"/>
  <c r="M498" i="16"/>
  <c r="L498" i="16"/>
  <c r="I498" i="16"/>
  <c r="M497" i="16"/>
  <c r="L497" i="16"/>
  <c r="I497" i="16"/>
  <c r="M496" i="16"/>
  <c r="L496" i="16"/>
  <c r="I496" i="16"/>
  <c r="M495" i="16"/>
  <c r="L495" i="16"/>
  <c r="I495" i="16"/>
  <c r="M494" i="16"/>
  <c r="L494" i="16"/>
  <c r="I494" i="16"/>
  <c r="M493" i="16"/>
  <c r="L493" i="16"/>
  <c r="I493" i="16"/>
  <c r="M492" i="16"/>
  <c r="J5120" i="38" s="1"/>
  <c r="L492" i="16"/>
  <c r="I5120" i="38" s="1"/>
  <c r="I492" i="16"/>
  <c r="F5120" i="38" s="1"/>
  <c r="M491" i="16"/>
  <c r="J5119" i="38" s="1"/>
  <c r="L491" i="16"/>
  <c r="I5119" i="38" s="1"/>
  <c r="I491" i="16"/>
  <c r="F5119" i="38" s="1"/>
  <c r="M490" i="16"/>
  <c r="J5118" i="38" s="1"/>
  <c r="L490" i="16"/>
  <c r="I5118" i="38" s="1"/>
  <c r="I490" i="16"/>
  <c r="F5118" i="38" s="1"/>
  <c r="M489" i="16"/>
  <c r="L489" i="16"/>
  <c r="I489" i="16"/>
  <c r="G483" i="16"/>
  <c r="G2391" i="38" s="1"/>
  <c r="M482" i="16"/>
  <c r="L482" i="16"/>
  <c r="I482" i="16"/>
  <c r="M481" i="16"/>
  <c r="L481" i="16"/>
  <c r="I481" i="16"/>
  <c r="M480" i="16"/>
  <c r="L480" i="16"/>
  <c r="I480" i="16"/>
  <c r="M479" i="16"/>
  <c r="L479" i="16"/>
  <c r="I479" i="16"/>
  <c r="M478" i="16"/>
  <c r="L478" i="16"/>
  <c r="I478" i="16"/>
  <c r="M477" i="16"/>
  <c r="L477" i="16"/>
  <c r="I477" i="16"/>
  <c r="M476" i="16"/>
  <c r="J5110" i="38" s="1"/>
  <c r="L476" i="16"/>
  <c r="I5110" i="38" s="1"/>
  <c r="I476" i="16"/>
  <c r="F5110" i="38" s="1"/>
  <c r="M475" i="16"/>
  <c r="J5109" i="38" s="1"/>
  <c r="L475" i="16"/>
  <c r="I5109" i="38" s="1"/>
  <c r="I475" i="16"/>
  <c r="F5109" i="38" s="1"/>
  <c r="M474" i="16"/>
  <c r="J5108" i="38" s="1"/>
  <c r="L474" i="16"/>
  <c r="I5108" i="38" s="1"/>
  <c r="I474" i="16"/>
  <c r="F5108" i="38" s="1"/>
  <c r="M473" i="16"/>
  <c r="L473" i="16"/>
  <c r="I473" i="16"/>
  <c r="G467" i="16"/>
  <c r="G2390" i="38" s="1"/>
  <c r="M466" i="16"/>
  <c r="L466" i="16"/>
  <c r="I466" i="16"/>
  <c r="M465" i="16"/>
  <c r="L465" i="16"/>
  <c r="I465" i="16"/>
  <c r="M464" i="16"/>
  <c r="L464" i="16"/>
  <c r="I464" i="16"/>
  <c r="M463" i="16"/>
  <c r="L463" i="16"/>
  <c r="I463" i="16"/>
  <c r="M462" i="16"/>
  <c r="L462" i="16"/>
  <c r="I462" i="16"/>
  <c r="M461" i="16"/>
  <c r="L461" i="16"/>
  <c r="I461" i="16"/>
  <c r="M460" i="16"/>
  <c r="J5100" i="38" s="1"/>
  <c r="L460" i="16"/>
  <c r="I5100" i="38" s="1"/>
  <c r="I460" i="16"/>
  <c r="F5100" i="38" s="1"/>
  <c r="M459" i="16"/>
  <c r="J5099" i="38" s="1"/>
  <c r="L459" i="16"/>
  <c r="I5099" i="38" s="1"/>
  <c r="I459" i="16"/>
  <c r="F5099" i="38" s="1"/>
  <c r="M458" i="16"/>
  <c r="J5098" i="38" s="1"/>
  <c r="L458" i="16"/>
  <c r="I5098" i="38" s="1"/>
  <c r="I458" i="16"/>
  <c r="F5098" i="38" s="1"/>
  <c r="M457" i="16"/>
  <c r="L457" i="16"/>
  <c r="I457" i="16"/>
  <c r="G451" i="16"/>
  <c r="M450" i="16"/>
  <c r="L450" i="16"/>
  <c r="I450" i="16"/>
  <c r="M449" i="16"/>
  <c r="L449" i="16"/>
  <c r="I449" i="16"/>
  <c r="M448" i="16"/>
  <c r="L448" i="16"/>
  <c r="I448" i="16"/>
  <c r="M447" i="16"/>
  <c r="L447" i="16"/>
  <c r="I447" i="16"/>
  <c r="M446" i="16"/>
  <c r="L446" i="16"/>
  <c r="I446" i="16"/>
  <c r="M445" i="16"/>
  <c r="L445" i="16"/>
  <c r="I445" i="16"/>
  <c r="M444" i="16"/>
  <c r="J5090" i="38" s="1"/>
  <c r="L444" i="16"/>
  <c r="I5090" i="38" s="1"/>
  <c r="I444" i="16"/>
  <c r="F5090" i="38" s="1"/>
  <c r="M443" i="16"/>
  <c r="J5089" i="38" s="1"/>
  <c r="L443" i="16"/>
  <c r="I5089" i="38" s="1"/>
  <c r="I443" i="16"/>
  <c r="F5089" i="38" s="1"/>
  <c r="M442" i="16"/>
  <c r="J5088" i="38" s="1"/>
  <c r="L442" i="16"/>
  <c r="I5088" i="38" s="1"/>
  <c r="I442" i="16"/>
  <c r="F5088" i="38" s="1"/>
  <c r="M441" i="16"/>
  <c r="L441" i="16"/>
  <c r="I441" i="16"/>
  <c r="G435" i="16"/>
  <c r="M434" i="16"/>
  <c r="L434" i="16"/>
  <c r="I434" i="16"/>
  <c r="M433" i="16"/>
  <c r="L433" i="16"/>
  <c r="I433" i="16"/>
  <c r="M432" i="16"/>
  <c r="L432" i="16"/>
  <c r="I432" i="16"/>
  <c r="M431" i="16"/>
  <c r="L431" i="16"/>
  <c r="I431" i="16"/>
  <c r="M430" i="16"/>
  <c r="L430" i="16"/>
  <c r="I430" i="16"/>
  <c r="M429" i="16"/>
  <c r="L429" i="16"/>
  <c r="I429" i="16"/>
  <c r="M428" i="16"/>
  <c r="J5080" i="38" s="1"/>
  <c r="L428" i="16"/>
  <c r="I5080" i="38" s="1"/>
  <c r="I428" i="16"/>
  <c r="F5080" i="38" s="1"/>
  <c r="M427" i="16"/>
  <c r="J5079" i="38" s="1"/>
  <c r="L427" i="16"/>
  <c r="I5079" i="38" s="1"/>
  <c r="I427" i="16"/>
  <c r="F5079" i="38" s="1"/>
  <c r="M426" i="16"/>
  <c r="J5078" i="38" s="1"/>
  <c r="L426" i="16"/>
  <c r="I5078" i="38" s="1"/>
  <c r="I426" i="16"/>
  <c r="F5078" i="38" s="1"/>
  <c r="M425" i="16"/>
  <c r="L425" i="16"/>
  <c r="I425" i="16"/>
  <c r="G419" i="16"/>
  <c r="G2387" i="38" s="1"/>
  <c r="M418" i="16"/>
  <c r="L418" i="16"/>
  <c r="I418" i="16"/>
  <c r="M417" i="16"/>
  <c r="L417" i="16"/>
  <c r="I417" i="16"/>
  <c r="M416" i="16"/>
  <c r="L416" i="16"/>
  <c r="I416" i="16"/>
  <c r="M415" i="16"/>
  <c r="L415" i="16"/>
  <c r="I415" i="16"/>
  <c r="M414" i="16"/>
  <c r="L414" i="16"/>
  <c r="I414" i="16"/>
  <c r="M413" i="16"/>
  <c r="L413" i="16"/>
  <c r="I413" i="16"/>
  <c r="M412" i="16"/>
  <c r="J5070" i="38" s="1"/>
  <c r="L412" i="16"/>
  <c r="I5070" i="38" s="1"/>
  <c r="I412" i="16"/>
  <c r="F5070" i="38" s="1"/>
  <c r="M411" i="16"/>
  <c r="J5069" i="38" s="1"/>
  <c r="L411" i="16"/>
  <c r="I5069" i="38" s="1"/>
  <c r="I411" i="16"/>
  <c r="F5069" i="38" s="1"/>
  <c r="M410" i="16"/>
  <c r="J5068" i="38" s="1"/>
  <c r="L410" i="16"/>
  <c r="I5068" i="38" s="1"/>
  <c r="I410" i="16"/>
  <c r="F5068" i="38" s="1"/>
  <c r="M409" i="16"/>
  <c r="L409" i="16"/>
  <c r="I409" i="16"/>
  <c r="G403" i="16"/>
  <c r="G2386" i="38" s="1"/>
  <c r="M402" i="16"/>
  <c r="L402" i="16"/>
  <c r="I402" i="16"/>
  <c r="M401" i="16"/>
  <c r="L401" i="16"/>
  <c r="I401" i="16"/>
  <c r="M400" i="16"/>
  <c r="L400" i="16"/>
  <c r="I400" i="16"/>
  <c r="M399" i="16"/>
  <c r="L399" i="16"/>
  <c r="I399" i="16"/>
  <c r="M398" i="16"/>
  <c r="L398" i="16"/>
  <c r="I398" i="16"/>
  <c r="M397" i="16"/>
  <c r="L397" i="16"/>
  <c r="I397" i="16"/>
  <c r="M396" i="16"/>
  <c r="J5060" i="38" s="1"/>
  <c r="L396" i="16"/>
  <c r="I5060" i="38" s="1"/>
  <c r="I396" i="16"/>
  <c r="F5060" i="38" s="1"/>
  <c r="M395" i="16"/>
  <c r="J5059" i="38" s="1"/>
  <c r="L395" i="16"/>
  <c r="I5059" i="38" s="1"/>
  <c r="I395" i="16"/>
  <c r="F5059" i="38" s="1"/>
  <c r="M394" i="16"/>
  <c r="J5058" i="38" s="1"/>
  <c r="L394" i="16"/>
  <c r="I5058" i="38" s="1"/>
  <c r="I394" i="16"/>
  <c r="F5058" i="38" s="1"/>
  <c r="M393" i="16"/>
  <c r="L393" i="16"/>
  <c r="I393" i="16"/>
  <c r="G387" i="16"/>
  <c r="M386" i="16"/>
  <c r="L386" i="16"/>
  <c r="I386" i="16"/>
  <c r="M385" i="16"/>
  <c r="L385" i="16"/>
  <c r="I385" i="16"/>
  <c r="M384" i="16"/>
  <c r="L384" i="16"/>
  <c r="I384" i="16"/>
  <c r="M383" i="16"/>
  <c r="L383" i="16"/>
  <c r="I383" i="16"/>
  <c r="M382" i="16"/>
  <c r="L382" i="16"/>
  <c r="I382" i="16"/>
  <c r="M381" i="16"/>
  <c r="L381" i="16"/>
  <c r="I381" i="16"/>
  <c r="M380" i="16"/>
  <c r="J5050" i="38" s="1"/>
  <c r="L380" i="16"/>
  <c r="I5050" i="38" s="1"/>
  <c r="I380" i="16"/>
  <c r="F5050" i="38" s="1"/>
  <c r="M379" i="16"/>
  <c r="J5049" i="38" s="1"/>
  <c r="L379" i="16"/>
  <c r="I5049" i="38" s="1"/>
  <c r="I379" i="16"/>
  <c r="F5049" i="38" s="1"/>
  <c r="M378" i="16"/>
  <c r="J5048" i="38" s="1"/>
  <c r="L378" i="16"/>
  <c r="I5048" i="38" s="1"/>
  <c r="I378" i="16"/>
  <c r="F5048" i="38" s="1"/>
  <c r="M377" i="16"/>
  <c r="L377" i="16"/>
  <c r="I377" i="16"/>
  <c r="G371" i="16"/>
  <c r="M370" i="16"/>
  <c r="L370" i="16"/>
  <c r="I370" i="16"/>
  <c r="M369" i="16"/>
  <c r="L369" i="16"/>
  <c r="I369" i="16"/>
  <c r="M368" i="16"/>
  <c r="L368" i="16"/>
  <c r="I368" i="16"/>
  <c r="M367" i="16"/>
  <c r="L367" i="16"/>
  <c r="I367" i="16"/>
  <c r="M366" i="16"/>
  <c r="L366" i="16"/>
  <c r="I366" i="16"/>
  <c r="M365" i="16"/>
  <c r="L365" i="16"/>
  <c r="I365" i="16"/>
  <c r="M364" i="16"/>
  <c r="J5040" i="38" s="1"/>
  <c r="L364" i="16"/>
  <c r="I5040" i="38" s="1"/>
  <c r="I364" i="16"/>
  <c r="F5040" i="38" s="1"/>
  <c r="M363" i="16"/>
  <c r="J5039" i="38" s="1"/>
  <c r="L363" i="16"/>
  <c r="I5039" i="38" s="1"/>
  <c r="I363" i="16"/>
  <c r="F5039" i="38" s="1"/>
  <c r="M362" i="16"/>
  <c r="J5038" i="38" s="1"/>
  <c r="L362" i="16"/>
  <c r="I5038" i="38" s="1"/>
  <c r="I362" i="16"/>
  <c r="F5038" i="38" s="1"/>
  <c r="M361" i="16"/>
  <c r="L361" i="16"/>
  <c r="I361" i="16"/>
  <c r="G355" i="16"/>
  <c r="G2383" i="38" s="1"/>
  <c r="M354" i="16"/>
  <c r="L354" i="16"/>
  <c r="I354" i="16"/>
  <c r="M353" i="16"/>
  <c r="L353" i="16"/>
  <c r="I353" i="16"/>
  <c r="M352" i="16"/>
  <c r="L352" i="16"/>
  <c r="I352" i="16"/>
  <c r="M351" i="16"/>
  <c r="L351" i="16"/>
  <c r="I351" i="16"/>
  <c r="M350" i="16"/>
  <c r="L350" i="16"/>
  <c r="I350" i="16"/>
  <c r="M349" i="16"/>
  <c r="L349" i="16"/>
  <c r="I349" i="16"/>
  <c r="M348" i="16"/>
  <c r="L348" i="16"/>
  <c r="I348" i="16"/>
  <c r="M347" i="16"/>
  <c r="L347" i="16"/>
  <c r="I347" i="16"/>
  <c r="M346" i="16"/>
  <c r="L346" i="16"/>
  <c r="I346" i="16"/>
  <c r="M345" i="16"/>
  <c r="L345" i="16"/>
  <c r="I345" i="16"/>
  <c r="G339" i="16"/>
  <c r="G340" i="16" s="1"/>
  <c r="H2382" i="38" s="1"/>
  <c r="M338" i="16"/>
  <c r="L338" i="16"/>
  <c r="I338" i="16"/>
  <c r="M337" i="16"/>
  <c r="L337" i="16"/>
  <c r="I337" i="16"/>
  <c r="M336" i="16"/>
  <c r="L336" i="16"/>
  <c r="I336" i="16"/>
  <c r="M335" i="16"/>
  <c r="L335" i="16"/>
  <c r="I335" i="16"/>
  <c r="M334" i="16"/>
  <c r="L334" i="16"/>
  <c r="I334" i="16"/>
  <c r="M333" i="16"/>
  <c r="L333" i="16"/>
  <c r="I333" i="16"/>
  <c r="M332" i="16"/>
  <c r="L332" i="16"/>
  <c r="I332" i="16"/>
  <c r="M331" i="16"/>
  <c r="L331" i="16"/>
  <c r="I331" i="16"/>
  <c r="M330" i="16"/>
  <c r="L330" i="16"/>
  <c r="I330" i="16"/>
  <c r="M329" i="16"/>
  <c r="L329" i="16"/>
  <c r="I329" i="16"/>
  <c r="K293" i="16"/>
  <c r="BH63" i="38" s="1"/>
  <c r="K281" i="16"/>
  <c r="BF63" i="38" s="1"/>
  <c r="K270" i="16"/>
  <c r="BD63" i="38" s="1"/>
  <c r="E269" i="16"/>
  <c r="C269" i="16"/>
  <c r="E268" i="16"/>
  <c r="C268" i="16"/>
  <c r="E267" i="16"/>
  <c r="C267" i="16"/>
  <c r="E266" i="16"/>
  <c r="C266" i="16"/>
  <c r="BC63" i="38"/>
  <c r="BB63" i="38"/>
  <c r="K203" i="16"/>
  <c r="AZ63" i="38" s="1"/>
  <c r="K193" i="16"/>
  <c r="AR63" i="38" s="1"/>
  <c r="Q192" i="16"/>
  <c r="O192" i="16"/>
  <c r="M192" i="16"/>
  <c r="K192" i="16"/>
  <c r="AN63" i="38"/>
  <c r="K142" i="16"/>
  <c r="AF63" i="38" s="1"/>
  <c r="S63" i="38"/>
  <c r="Q63" i="38"/>
  <c r="P63" i="38"/>
  <c r="O63" i="38"/>
  <c r="K84" i="16"/>
  <c r="N63" i="38" s="1"/>
  <c r="AD10" i="16"/>
  <c r="AA10" i="16"/>
  <c r="Z85" i="16"/>
  <c r="T6" i="16"/>
  <c r="T4" i="16"/>
  <c r="T2" i="16"/>
  <c r="E63" i="38" s="1"/>
  <c r="G611" i="17"/>
  <c r="M610" i="17"/>
  <c r="L610" i="17"/>
  <c r="I610" i="17"/>
  <c r="M609" i="17"/>
  <c r="L609" i="17"/>
  <c r="I609" i="17"/>
  <c r="M608" i="17"/>
  <c r="L608" i="17"/>
  <c r="I608" i="17"/>
  <c r="M607" i="17"/>
  <c r="L607" i="17"/>
  <c r="I607" i="17"/>
  <c r="M606" i="17"/>
  <c r="L606" i="17"/>
  <c r="I606" i="17"/>
  <c r="M605" i="17"/>
  <c r="L605" i="17"/>
  <c r="I605" i="17"/>
  <c r="M604" i="17"/>
  <c r="J5370" i="38" s="1"/>
  <c r="L604" i="17"/>
  <c r="I5370" i="38" s="1"/>
  <c r="I604" i="17"/>
  <c r="F5370" i="38" s="1"/>
  <c r="M603" i="17"/>
  <c r="J5369" i="38" s="1"/>
  <c r="L603" i="17"/>
  <c r="I5369" i="38" s="1"/>
  <c r="I603" i="17"/>
  <c r="F5369" i="38" s="1"/>
  <c r="M602" i="17"/>
  <c r="J5368" i="38" s="1"/>
  <c r="L602" i="17"/>
  <c r="I5368" i="38" s="1"/>
  <c r="I602" i="17"/>
  <c r="F5368" i="38" s="1"/>
  <c r="M601" i="17"/>
  <c r="L601" i="17"/>
  <c r="I601" i="17"/>
  <c r="G595" i="17"/>
  <c r="M594" i="17"/>
  <c r="L594" i="17"/>
  <c r="I594" i="17"/>
  <c r="M593" i="17"/>
  <c r="L593" i="17"/>
  <c r="I593" i="17"/>
  <c r="M592" i="17"/>
  <c r="L592" i="17"/>
  <c r="I592" i="17"/>
  <c r="M591" i="17"/>
  <c r="L591" i="17"/>
  <c r="I591" i="17"/>
  <c r="M590" i="17"/>
  <c r="L590" i="17"/>
  <c r="I590" i="17"/>
  <c r="M589" i="17"/>
  <c r="L589" i="17"/>
  <c r="I589" i="17"/>
  <c r="M588" i="17"/>
  <c r="J5360" i="38" s="1"/>
  <c r="L588" i="17"/>
  <c r="I5360" i="38" s="1"/>
  <c r="I588" i="17"/>
  <c r="F5360" i="38" s="1"/>
  <c r="M587" i="17"/>
  <c r="J5359" i="38" s="1"/>
  <c r="L587" i="17"/>
  <c r="I5359" i="38" s="1"/>
  <c r="I587" i="17"/>
  <c r="F5359" i="38" s="1"/>
  <c r="M586" i="17"/>
  <c r="J5358" i="38" s="1"/>
  <c r="L586" i="17"/>
  <c r="I5358" i="38" s="1"/>
  <c r="I586" i="17"/>
  <c r="F5358" i="38" s="1"/>
  <c r="M585" i="17"/>
  <c r="L585" i="17"/>
  <c r="I585" i="17"/>
  <c r="G579" i="17"/>
  <c r="G2415" i="38" s="1"/>
  <c r="M578" i="17"/>
  <c r="L578" i="17"/>
  <c r="I578" i="17"/>
  <c r="M577" i="17"/>
  <c r="L577" i="17"/>
  <c r="I577" i="17"/>
  <c r="M576" i="17"/>
  <c r="L576" i="17"/>
  <c r="I576" i="17"/>
  <c r="M575" i="17"/>
  <c r="L575" i="17"/>
  <c r="I575" i="17"/>
  <c r="M574" i="17"/>
  <c r="L574" i="17"/>
  <c r="I574" i="17"/>
  <c r="M573" i="17"/>
  <c r="L573" i="17"/>
  <c r="I573" i="17"/>
  <c r="M572" i="17"/>
  <c r="J5350" i="38" s="1"/>
  <c r="L572" i="17"/>
  <c r="I5350" i="38" s="1"/>
  <c r="I572" i="17"/>
  <c r="F5350" i="38" s="1"/>
  <c r="M571" i="17"/>
  <c r="J5349" i="38" s="1"/>
  <c r="L571" i="17"/>
  <c r="I5349" i="38" s="1"/>
  <c r="I571" i="17"/>
  <c r="F5349" i="38" s="1"/>
  <c r="M570" i="17"/>
  <c r="J5348" i="38" s="1"/>
  <c r="L570" i="17"/>
  <c r="I5348" i="38" s="1"/>
  <c r="I570" i="17"/>
  <c r="F5348" i="38" s="1"/>
  <c r="M569" i="17"/>
  <c r="L569" i="17"/>
  <c r="I569" i="17"/>
  <c r="G563" i="17"/>
  <c r="G2414" i="38" s="1"/>
  <c r="M562" i="17"/>
  <c r="L562" i="17"/>
  <c r="I562" i="17"/>
  <c r="M561" i="17"/>
  <c r="L561" i="17"/>
  <c r="I561" i="17"/>
  <c r="M560" i="17"/>
  <c r="L560" i="17"/>
  <c r="I560" i="17"/>
  <c r="M559" i="17"/>
  <c r="L559" i="17"/>
  <c r="I559" i="17"/>
  <c r="M558" i="17"/>
  <c r="L558" i="17"/>
  <c r="I558" i="17"/>
  <c r="M557" i="17"/>
  <c r="L557" i="17"/>
  <c r="I557" i="17"/>
  <c r="M556" i="17"/>
  <c r="J5340" i="38" s="1"/>
  <c r="L556" i="17"/>
  <c r="I5340" i="38" s="1"/>
  <c r="I556" i="17"/>
  <c r="F5340" i="38" s="1"/>
  <c r="M555" i="17"/>
  <c r="J5339" i="38" s="1"/>
  <c r="L555" i="17"/>
  <c r="I5339" i="38" s="1"/>
  <c r="I555" i="17"/>
  <c r="F5339" i="38" s="1"/>
  <c r="M554" i="17"/>
  <c r="J5338" i="38" s="1"/>
  <c r="L554" i="17"/>
  <c r="I5338" i="38" s="1"/>
  <c r="I554" i="17"/>
  <c r="F5338" i="38" s="1"/>
  <c r="M553" i="17"/>
  <c r="L553" i="17"/>
  <c r="I553" i="17"/>
  <c r="G547" i="17"/>
  <c r="M546" i="17"/>
  <c r="L546" i="17"/>
  <c r="I546" i="17"/>
  <c r="M545" i="17"/>
  <c r="L545" i="17"/>
  <c r="I545" i="17"/>
  <c r="M544" i="17"/>
  <c r="L544" i="17"/>
  <c r="I544" i="17"/>
  <c r="M543" i="17"/>
  <c r="L543" i="17"/>
  <c r="I543" i="17"/>
  <c r="M542" i="17"/>
  <c r="L542" i="17"/>
  <c r="I542" i="17"/>
  <c r="M541" i="17"/>
  <c r="L541" i="17"/>
  <c r="I541" i="17"/>
  <c r="M540" i="17"/>
  <c r="J5330" i="38" s="1"/>
  <c r="L540" i="17"/>
  <c r="I5330" i="38" s="1"/>
  <c r="I540" i="17"/>
  <c r="F5330" i="38" s="1"/>
  <c r="M539" i="17"/>
  <c r="J5329" i="38" s="1"/>
  <c r="L539" i="17"/>
  <c r="I5329" i="38" s="1"/>
  <c r="I539" i="17"/>
  <c r="F5329" i="38" s="1"/>
  <c r="M538" i="17"/>
  <c r="J5328" i="38" s="1"/>
  <c r="L538" i="17"/>
  <c r="I5328" i="38" s="1"/>
  <c r="I538" i="17"/>
  <c r="F5328" i="38" s="1"/>
  <c r="M537" i="17"/>
  <c r="L537" i="17"/>
  <c r="I537" i="17"/>
  <c r="G531" i="17"/>
  <c r="M530" i="17"/>
  <c r="L530" i="17"/>
  <c r="I530" i="17"/>
  <c r="M529" i="17"/>
  <c r="L529" i="17"/>
  <c r="I529" i="17"/>
  <c r="M528" i="17"/>
  <c r="L528" i="17"/>
  <c r="I528" i="17"/>
  <c r="M527" i="17"/>
  <c r="L527" i="17"/>
  <c r="I527" i="17"/>
  <c r="M526" i="17"/>
  <c r="L526" i="17"/>
  <c r="I526" i="17"/>
  <c r="M525" i="17"/>
  <c r="L525" i="17"/>
  <c r="I525" i="17"/>
  <c r="M524" i="17"/>
  <c r="J5320" i="38" s="1"/>
  <c r="L524" i="17"/>
  <c r="I5320" i="38" s="1"/>
  <c r="I524" i="17"/>
  <c r="F5320" i="38" s="1"/>
  <c r="M523" i="17"/>
  <c r="J5319" i="38" s="1"/>
  <c r="L523" i="17"/>
  <c r="I5319" i="38" s="1"/>
  <c r="I523" i="17"/>
  <c r="F5319" i="38" s="1"/>
  <c r="M522" i="17"/>
  <c r="J5318" i="38" s="1"/>
  <c r="L522" i="17"/>
  <c r="I5318" i="38" s="1"/>
  <c r="I522" i="17"/>
  <c r="F5318" i="38" s="1"/>
  <c r="M521" i="17"/>
  <c r="L521" i="17"/>
  <c r="I521" i="17"/>
  <c r="G515" i="17"/>
  <c r="G2411" i="38" s="1"/>
  <c r="M514" i="17"/>
  <c r="L514" i="17"/>
  <c r="I514" i="17"/>
  <c r="M513" i="17"/>
  <c r="L513" i="17"/>
  <c r="I513" i="17"/>
  <c r="M512" i="17"/>
  <c r="L512" i="17"/>
  <c r="I512" i="17"/>
  <c r="M511" i="17"/>
  <c r="L511" i="17"/>
  <c r="I511" i="17"/>
  <c r="M510" i="17"/>
  <c r="L510" i="17"/>
  <c r="I510" i="17"/>
  <c r="M509" i="17"/>
  <c r="L509" i="17"/>
  <c r="I509" i="17"/>
  <c r="M508" i="17"/>
  <c r="J5310" i="38" s="1"/>
  <c r="L508" i="17"/>
  <c r="I5310" i="38" s="1"/>
  <c r="I508" i="17"/>
  <c r="F5310" i="38" s="1"/>
  <c r="M507" i="17"/>
  <c r="J5309" i="38" s="1"/>
  <c r="L507" i="17"/>
  <c r="I5309" i="38" s="1"/>
  <c r="I507" i="17"/>
  <c r="F5309" i="38" s="1"/>
  <c r="M506" i="17"/>
  <c r="J5308" i="38" s="1"/>
  <c r="L506" i="17"/>
  <c r="I5308" i="38" s="1"/>
  <c r="I506" i="17"/>
  <c r="F5308" i="38" s="1"/>
  <c r="M505" i="17"/>
  <c r="L505" i="17"/>
  <c r="I505" i="17"/>
  <c r="G499" i="17"/>
  <c r="G2410" i="38" s="1"/>
  <c r="M498" i="17"/>
  <c r="L498" i="17"/>
  <c r="I498" i="17"/>
  <c r="M497" i="17"/>
  <c r="L497" i="17"/>
  <c r="I497" i="17"/>
  <c r="M496" i="17"/>
  <c r="L496" i="17"/>
  <c r="I496" i="17"/>
  <c r="M495" i="17"/>
  <c r="L495" i="17"/>
  <c r="I495" i="17"/>
  <c r="M494" i="17"/>
  <c r="L494" i="17"/>
  <c r="I494" i="17"/>
  <c r="M493" i="17"/>
  <c r="L493" i="17"/>
  <c r="I493" i="17"/>
  <c r="M492" i="17"/>
  <c r="J5300" i="38" s="1"/>
  <c r="L492" i="17"/>
  <c r="I5300" i="38" s="1"/>
  <c r="I492" i="17"/>
  <c r="F5300" i="38" s="1"/>
  <c r="M491" i="17"/>
  <c r="J5299" i="38" s="1"/>
  <c r="L491" i="17"/>
  <c r="I5299" i="38" s="1"/>
  <c r="I491" i="17"/>
  <c r="F5299" i="38" s="1"/>
  <c r="M490" i="17"/>
  <c r="J5298" i="38" s="1"/>
  <c r="L490" i="17"/>
  <c r="I5298" i="38" s="1"/>
  <c r="I490" i="17"/>
  <c r="F5298" i="38" s="1"/>
  <c r="M489" i="17"/>
  <c r="L489" i="17"/>
  <c r="I489" i="17"/>
  <c r="G483" i="17"/>
  <c r="M482" i="17"/>
  <c r="L482" i="17"/>
  <c r="I482" i="17"/>
  <c r="M481" i="17"/>
  <c r="L481" i="17"/>
  <c r="I481" i="17"/>
  <c r="M480" i="17"/>
  <c r="L480" i="17"/>
  <c r="I480" i="17"/>
  <c r="M479" i="17"/>
  <c r="L479" i="17"/>
  <c r="I479" i="17"/>
  <c r="M478" i="17"/>
  <c r="L478" i="17"/>
  <c r="I478" i="17"/>
  <c r="M477" i="17"/>
  <c r="L477" i="17"/>
  <c r="I477" i="17"/>
  <c r="M476" i="17"/>
  <c r="J5290" i="38" s="1"/>
  <c r="L476" i="17"/>
  <c r="I5290" i="38" s="1"/>
  <c r="I476" i="17"/>
  <c r="F5290" i="38" s="1"/>
  <c r="M475" i="17"/>
  <c r="J5289" i="38" s="1"/>
  <c r="L475" i="17"/>
  <c r="I5289" i="38" s="1"/>
  <c r="I475" i="17"/>
  <c r="F5289" i="38" s="1"/>
  <c r="M474" i="17"/>
  <c r="J5288" i="38" s="1"/>
  <c r="L474" i="17"/>
  <c r="I5288" i="38" s="1"/>
  <c r="I474" i="17"/>
  <c r="F5288" i="38" s="1"/>
  <c r="M473" i="17"/>
  <c r="L473" i="17"/>
  <c r="I473" i="17"/>
  <c r="G467" i="17"/>
  <c r="M466" i="17"/>
  <c r="L466" i="17"/>
  <c r="I466" i="17"/>
  <c r="M465" i="17"/>
  <c r="L465" i="17"/>
  <c r="I465" i="17"/>
  <c r="M464" i="17"/>
  <c r="L464" i="17"/>
  <c r="I464" i="17"/>
  <c r="M463" i="17"/>
  <c r="L463" i="17"/>
  <c r="I463" i="17"/>
  <c r="M462" i="17"/>
  <c r="L462" i="17"/>
  <c r="I462" i="17"/>
  <c r="M461" i="17"/>
  <c r="L461" i="17"/>
  <c r="I461" i="17"/>
  <c r="M460" i="17"/>
  <c r="J5280" i="38" s="1"/>
  <c r="L460" i="17"/>
  <c r="I5280" i="38" s="1"/>
  <c r="I460" i="17"/>
  <c r="F5280" i="38" s="1"/>
  <c r="M459" i="17"/>
  <c r="J5279" i="38" s="1"/>
  <c r="L459" i="17"/>
  <c r="I5279" i="38" s="1"/>
  <c r="I459" i="17"/>
  <c r="F5279" i="38" s="1"/>
  <c r="M458" i="17"/>
  <c r="J5278" i="38" s="1"/>
  <c r="L458" i="17"/>
  <c r="I5278" i="38" s="1"/>
  <c r="I458" i="17"/>
  <c r="F5278" i="38" s="1"/>
  <c r="M457" i="17"/>
  <c r="L457" i="17"/>
  <c r="I457" i="17"/>
  <c r="G451" i="17"/>
  <c r="G2407" i="38" s="1"/>
  <c r="M450" i="17"/>
  <c r="L450" i="17"/>
  <c r="I450" i="17"/>
  <c r="M449" i="17"/>
  <c r="L449" i="17"/>
  <c r="I449" i="17"/>
  <c r="M448" i="17"/>
  <c r="L448" i="17"/>
  <c r="I448" i="17"/>
  <c r="M447" i="17"/>
  <c r="L447" i="17"/>
  <c r="I447" i="17"/>
  <c r="M446" i="17"/>
  <c r="L446" i="17"/>
  <c r="I446" i="17"/>
  <c r="M445" i="17"/>
  <c r="L445" i="17"/>
  <c r="I445" i="17"/>
  <c r="M444" i="17"/>
  <c r="J5270" i="38" s="1"/>
  <c r="L444" i="17"/>
  <c r="I5270" i="38" s="1"/>
  <c r="I444" i="17"/>
  <c r="F5270" i="38" s="1"/>
  <c r="M443" i="17"/>
  <c r="J5269" i="38" s="1"/>
  <c r="L443" i="17"/>
  <c r="I5269" i="38" s="1"/>
  <c r="I443" i="17"/>
  <c r="F5269" i="38" s="1"/>
  <c r="M442" i="17"/>
  <c r="J5268" i="38" s="1"/>
  <c r="L442" i="17"/>
  <c r="I5268" i="38" s="1"/>
  <c r="I442" i="17"/>
  <c r="F5268" i="38" s="1"/>
  <c r="M441" i="17"/>
  <c r="L441" i="17"/>
  <c r="I441" i="17"/>
  <c r="G435" i="17"/>
  <c r="G2406" i="38" s="1"/>
  <c r="M434" i="17"/>
  <c r="L434" i="17"/>
  <c r="I434" i="17"/>
  <c r="M433" i="17"/>
  <c r="L433" i="17"/>
  <c r="I433" i="17"/>
  <c r="M432" i="17"/>
  <c r="L432" i="17"/>
  <c r="I432" i="17"/>
  <c r="M431" i="17"/>
  <c r="L431" i="17"/>
  <c r="I431" i="17"/>
  <c r="M430" i="17"/>
  <c r="L430" i="17"/>
  <c r="I430" i="17"/>
  <c r="M429" i="17"/>
  <c r="L429" i="17"/>
  <c r="I429" i="17"/>
  <c r="M428" i="17"/>
  <c r="J5260" i="38" s="1"/>
  <c r="L428" i="17"/>
  <c r="I5260" i="38" s="1"/>
  <c r="I428" i="17"/>
  <c r="F5260" i="38" s="1"/>
  <c r="M427" i="17"/>
  <c r="J5259" i="38" s="1"/>
  <c r="L427" i="17"/>
  <c r="I5259" i="38" s="1"/>
  <c r="I427" i="17"/>
  <c r="F5259" i="38" s="1"/>
  <c r="M426" i="17"/>
  <c r="J5258" i="38" s="1"/>
  <c r="L426" i="17"/>
  <c r="I5258" i="38" s="1"/>
  <c r="I426" i="17"/>
  <c r="F5258" i="38" s="1"/>
  <c r="M425" i="17"/>
  <c r="L425" i="17"/>
  <c r="I425" i="17"/>
  <c r="G419" i="17"/>
  <c r="M418" i="17"/>
  <c r="L418" i="17"/>
  <c r="I418" i="17"/>
  <c r="M417" i="17"/>
  <c r="L417" i="17"/>
  <c r="I417" i="17"/>
  <c r="M416" i="17"/>
  <c r="L416" i="17"/>
  <c r="I416" i="17"/>
  <c r="M415" i="17"/>
  <c r="L415" i="17"/>
  <c r="I415" i="17"/>
  <c r="M414" i="17"/>
  <c r="L414" i="17"/>
  <c r="I414" i="17"/>
  <c r="M413" i="17"/>
  <c r="L413" i="17"/>
  <c r="I413" i="17"/>
  <c r="M412" i="17"/>
  <c r="J5250" i="38" s="1"/>
  <c r="L412" i="17"/>
  <c r="I5250" i="38" s="1"/>
  <c r="I412" i="17"/>
  <c r="F5250" i="38" s="1"/>
  <c r="M411" i="17"/>
  <c r="J5249" i="38" s="1"/>
  <c r="L411" i="17"/>
  <c r="I5249" i="38" s="1"/>
  <c r="I411" i="17"/>
  <c r="F5249" i="38" s="1"/>
  <c r="M410" i="17"/>
  <c r="J5248" i="38" s="1"/>
  <c r="L410" i="17"/>
  <c r="I5248" i="38" s="1"/>
  <c r="I410" i="17"/>
  <c r="F5248" i="38" s="1"/>
  <c r="M409" i="17"/>
  <c r="L409" i="17"/>
  <c r="I409" i="17"/>
  <c r="G403" i="17"/>
  <c r="M402" i="17"/>
  <c r="L402" i="17"/>
  <c r="I402" i="17"/>
  <c r="M401" i="17"/>
  <c r="L401" i="17"/>
  <c r="I401" i="17"/>
  <c r="M400" i="17"/>
  <c r="L400" i="17"/>
  <c r="I400" i="17"/>
  <c r="M399" i="17"/>
  <c r="L399" i="17"/>
  <c r="I399" i="17"/>
  <c r="M398" i="17"/>
  <c r="L398" i="17"/>
  <c r="I398" i="17"/>
  <c r="M397" i="17"/>
  <c r="L397" i="17"/>
  <c r="I397" i="17"/>
  <c r="M396" i="17"/>
  <c r="J5240" i="38" s="1"/>
  <c r="L396" i="17"/>
  <c r="I5240" i="38" s="1"/>
  <c r="I396" i="17"/>
  <c r="F5240" i="38" s="1"/>
  <c r="M395" i="17"/>
  <c r="J5239" i="38" s="1"/>
  <c r="L395" i="17"/>
  <c r="I5239" i="38" s="1"/>
  <c r="I395" i="17"/>
  <c r="F5239" i="38" s="1"/>
  <c r="M394" i="17"/>
  <c r="J5238" i="38" s="1"/>
  <c r="L394" i="17"/>
  <c r="I5238" i="38" s="1"/>
  <c r="I394" i="17"/>
  <c r="F5238" i="38" s="1"/>
  <c r="M393" i="17"/>
  <c r="L393" i="17"/>
  <c r="I393" i="17"/>
  <c r="G387" i="17"/>
  <c r="G2403" i="38" s="1"/>
  <c r="M386" i="17"/>
  <c r="L386" i="17"/>
  <c r="I386" i="17"/>
  <c r="M385" i="17"/>
  <c r="L385" i="17"/>
  <c r="I385" i="17"/>
  <c r="M384" i="17"/>
  <c r="L384" i="17"/>
  <c r="I384" i="17"/>
  <c r="M383" i="17"/>
  <c r="L383" i="17"/>
  <c r="I383" i="17"/>
  <c r="M382" i="17"/>
  <c r="L382" i="17"/>
  <c r="I382" i="17"/>
  <c r="M381" i="17"/>
  <c r="L381" i="17"/>
  <c r="I381" i="17"/>
  <c r="M380" i="17"/>
  <c r="J5230" i="38" s="1"/>
  <c r="L380" i="17"/>
  <c r="I5230" i="38" s="1"/>
  <c r="I380" i="17"/>
  <c r="F5230" i="38" s="1"/>
  <c r="M379" i="17"/>
  <c r="J5229" i="38" s="1"/>
  <c r="L379" i="17"/>
  <c r="I5229" i="38" s="1"/>
  <c r="I379" i="17"/>
  <c r="F5229" i="38" s="1"/>
  <c r="M378" i="17"/>
  <c r="J5228" i="38" s="1"/>
  <c r="L378" i="17"/>
  <c r="I5228" i="38" s="1"/>
  <c r="I378" i="17"/>
  <c r="F5228" i="38" s="1"/>
  <c r="M377" i="17"/>
  <c r="L377" i="17"/>
  <c r="I377" i="17"/>
  <c r="G371" i="17"/>
  <c r="G2402" i="38" s="1"/>
  <c r="M370" i="17"/>
  <c r="L370" i="17"/>
  <c r="I370" i="17"/>
  <c r="M369" i="17"/>
  <c r="L369" i="17"/>
  <c r="I369" i="17"/>
  <c r="M368" i="17"/>
  <c r="L368" i="17"/>
  <c r="I368" i="17"/>
  <c r="M367" i="17"/>
  <c r="L367" i="17"/>
  <c r="I367" i="17"/>
  <c r="M366" i="17"/>
  <c r="L366" i="17"/>
  <c r="I366" i="17"/>
  <c r="M365" i="17"/>
  <c r="L365" i="17"/>
  <c r="I365" i="17"/>
  <c r="M364" i="17"/>
  <c r="J5220" i="38" s="1"/>
  <c r="L364" i="17"/>
  <c r="I5220" i="38" s="1"/>
  <c r="I364" i="17"/>
  <c r="F5220" i="38" s="1"/>
  <c r="M363" i="17"/>
  <c r="J5219" i="38" s="1"/>
  <c r="L363" i="17"/>
  <c r="I5219" i="38" s="1"/>
  <c r="I363" i="17"/>
  <c r="F5219" i="38" s="1"/>
  <c r="M362" i="17"/>
  <c r="J5218" i="38" s="1"/>
  <c r="L362" i="17"/>
  <c r="I5218" i="38" s="1"/>
  <c r="I362" i="17"/>
  <c r="F5218" i="38" s="1"/>
  <c r="M361" i="17"/>
  <c r="L361" i="17"/>
  <c r="I361" i="17"/>
  <c r="G355" i="17"/>
  <c r="M354" i="17"/>
  <c r="L354" i="17"/>
  <c r="I354" i="17"/>
  <c r="M353" i="17"/>
  <c r="L353" i="17"/>
  <c r="I353" i="17"/>
  <c r="M352" i="17"/>
  <c r="L352" i="17"/>
  <c r="I352" i="17"/>
  <c r="M351" i="17"/>
  <c r="L351" i="17"/>
  <c r="I351" i="17"/>
  <c r="M350" i="17"/>
  <c r="L350" i="17"/>
  <c r="I350" i="17"/>
  <c r="M349" i="17"/>
  <c r="L349" i="17"/>
  <c r="I349" i="17"/>
  <c r="M348" i="17"/>
  <c r="L348" i="17"/>
  <c r="I348" i="17"/>
  <c r="M347" i="17"/>
  <c r="L347" i="17"/>
  <c r="I347" i="17"/>
  <c r="M346" i="17"/>
  <c r="L346" i="17"/>
  <c r="I346" i="17"/>
  <c r="M345" i="17"/>
  <c r="L345" i="17"/>
  <c r="I345" i="17"/>
  <c r="G339" i="17"/>
  <c r="G340" i="17" s="1"/>
  <c r="H2400" i="38" s="1"/>
  <c r="M338" i="17"/>
  <c r="L338" i="17"/>
  <c r="I338" i="17"/>
  <c r="M337" i="17"/>
  <c r="L337" i="17"/>
  <c r="I337" i="17"/>
  <c r="M336" i="17"/>
  <c r="L336" i="17"/>
  <c r="I336" i="17"/>
  <c r="M335" i="17"/>
  <c r="L335" i="17"/>
  <c r="I335" i="17"/>
  <c r="M334" i="17"/>
  <c r="L334" i="17"/>
  <c r="I334" i="17"/>
  <c r="M333" i="17"/>
  <c r="L333" i="17"/>
  <c r="I333" i="17"/>
  <c r="M332" i="17"/>
  <c r="L332" i="17"/>
  <c r="I332" i="17"/>
  <c r="M331" i="17"/>
  <c r="L331" i="17"/>
  <c r="I331" i="17"/>
  <c r="M330" i="17"/>
  <c r="L330" i="17"/>
  <c r="I330" i="17"/>
  <c r="M329" i="17"/>
  <c r="L329" i="17"/>
  <c r="I329" i="17"/>
  <c r="K293" i="17"/>
  <c r="BH64" i="38" s="1"/>
  <c r="K281" i="17"/>
  <c r="BF64" i="38" s="1"/>
  <c r="K270" i="17"/>
  <c r="BD64" i="38" s="1"/>
  <c r="E269" i="17"/>
  <c r="C269" i="17"/>
  <c r="E268" i="17"/>
  <c r="C268" i="17"/>
  <c r="E267" i="17"/>
  <c r="C267" i="17"/>
  <c r="E266" i="17"/>
  <c r="C266" i="17"/>
  <c r="BC64" i="38"/>
  <c r="BB64" i="38"/>
  <c r="K203" i="17"/>
  <c r="AZ64" i="38" s="1"/>
  <c r="K193" i="17"/>
  <c r="AR64" i="38" s="1"/>
  <c r="Q192" i="17"/>
  <c r="O192" i="17"/>
  <c r="M192" i="17"/>
  <c r="K192" i="17"/>
  <c r="AN64" i="38"/>
  <c r="K142" i="17"/>
  <c r="AF64" i="38" s="1"/>
  <c r="AA64" i="38"/>
  <c r="S64" i="38"/>
  <c r="Q64" i="38"/>
  <c r="P64" i="38"/>
  <c r="O64" i="38"/>
  <c r="K84" i="17"/>
  <c r="N64" i="38" s="1"/>
  <c r="AD10" i="17"/>
  <c r="AA10" i="17"/>
  <c r="Z85" i="17"/>
  <c r="T6" i="17"/>
  <c r="T4" i="17"/>
  <c r="T2" i="17"/>
  <c r="E64" i="38" s="1"/>
  <c r="G611" i="18"/>
  <c r="M610" i="18"/>
  <c r="L610" i="18"/>
  <c r="I610" i="18"/>
  <c r="M609" i="18"/>
  <c r="L609" i="18"/>
  <c r="I609" i="18"/>
  <c r="M608" i="18"/>
  <c r="L608" i="18"/>
  <c r="I608" i="18"/>
  <c r="M607" i="18"/>
  <c r="L607" i="18"/>
  <c r="I607" i="18"/>
  <c r="M606" i="18"/>
  <c r="L606" i="18"/>
  <c r="I606" i="18"/>
  <c r="M605" i="18"/>
  <c r="L605" i="18"/>
  <c r="I605" i="18"/>
  <c r="M604" i="18"/>
  <c r="J5550" i="38" s="1"/>
  <c r="L604" i="18"/>
  <c r="I5550" i="38" s="1"/>
  <c r="I604" i="18"/>
  <c r="F5550" i="38" s="1"/>
  <c r="M603" i="18"/>
  <c r="J5549" i="38" s="1"/>
  <c r="L603" i="18"/>
  <c r="I5549" i="38" s="1"/>
  <c r="I603" i="18"/>
  <c r="F5549" i="38" s="1"/>
  <c r="M602" i="18"/>
  <c r="J5548" i="38" s="1"/>
  <c r="L602" i="18"/>
  <c r="I5548" i="38" s="1"/>
  <c r="I602" i="18"/>
  <c r="F5548" i="38" s="1"/>
  <c r="M601" i="18"/>
  <c r="L601" i="18"/>
  <c r="I601" i="18"/>
  <c r="G595" i="18"/>
  <c r="G2434" i="38" s="1"/>
  <c r="M594" i="18"/>
  <c r="L594" i="18"/>
  <c r="I594" i="18"/>
  <c r="M593" i="18"/>
  <c r="L593" i="18"/>
  <c r="I593" i="18"/>
  <c r="M592" i="18"/>
  <c r="L592" i="18"/>
  <c r="I592" i="18"/>
  <c r="M591" i="18"/>
  <c r="L591" i="18"/>
  <c r="I591" i="18"/>
  <c r="M590" i="18"/>
  <c r="L590" i="18"/>
  <c r="I590" i="18"/>
  <c r="M589" i="18"/>
  <c r="L589" i="18"/>
  <c r="I589" i="18"/>
  <c r="M588" i="18"/>
  <c r="J5540" i="38" s="1"/>
  <c r="L588" i="18"/>
  <c r="I5540" i="38" s="1"/>
  <c r="I588" i="18"/>
  <c r="F5540" i="38" s="1"/>
  <c r="M587" i="18"/>
  <c r="J5539" i="38" s="1"/>
  <c r="L587" i="18"/>
  <c r="I5539" i="38" s="1"/>
  <c r="I587" i="18"/>
  <c r="F5539" i="38" s="1"/>
  <c r="M586" i="18"/>
  <c r="J5538" i="38" s="1"/>
  <c r="L586" i="18"/>
  <c r="I5538" i="38" s="1"/>
  <c r="I586" i="18"/>
  <c r="F5538" i="38" s="1"/>
  <c r="M585" i="18"/>
  <c r="L585" i="18"/>
  <c r="I585" i="18"/>
  <c r="G579" i="18"/>
  <c r="M578" i="18"/>
  <c r="L578" i="18"/>
  <c r="I578" i="18"/>
  <c r="M577" i="18"/>
  <c r="L577" i="18"/>
  <c r="I577" i="18"/>
  <c r="M576" i="18"/>
  <c r="L576" i="18"/>
  <c r="I576" i="18"/>
  <c r="M575" i="18"/>
  <c r="L575" i="18"/>
  <c r="I575" i="18"/>
  <c r="M574" i="18"/>
  <c r="L574" i="18"/>
  <c r="I574" i="18"/>
  <c r="M573" i="18"/>
  <c r="L573" i="18"/>
  <c r="I573" i="18"/>
  <c r="M572" i="18"/>
  <c r="J5530" i="38" s="1"/>
  <c r="L572" i="18"/>
  <c r="I5530" i="38" s="1"/>
  <c r="I572" i="18"/>
  <c r="F5530" i="38" s="1"/>
  <c r="M571" i="18"/>
  <c r="J5529" i="38" s="1"/>
  <c r="L571" i="18"/>
  <c r="I5529" i="38" s="1"/>
  <c r="I571" i="18"/>
  <c r="F5529" i="38" s="1"/>
  <c r="M570" i="18"/>
  <c r="J5528" i="38" s="1"/>
  <c r="L570" i="18"/>
  <c r="I5528" i="38" s="1"/>
  <c r="I570" i="18"/>
  <c r="F5528" i="38" s="1"/>
  <c r="M569" i="18"/>
  <c r="L569" i="18"/>
  <c r="I569" i="18"/>
  <c r="G563" i="18"/>
  <c r="M562" i="18"/>
  <c r="L562" i="18"/>
  <c r="I562" i="18"/>
  <c r="M561" i="18"/>
  <c r="L561" i="18"/>
  <c r="I561" i="18"/>
  <c r="M560" i="18"/>
  <c r="L560" i="18"/>
  <c r="I560" i="18"/>
  <c r="M559" i="18"/>
  <c r="L559" i="18"/>
  <c r="I559" i="18"/>
  <c r="M558" i="18"/>
  <c r="L558" i="18"/>
  <c r="I558" i="18"/>
  <c r="M557" i="18"/>
  <c r="L557" i="18"/>
  <c r="I557" i="18"/>
  <c r="M556" i="18"/>
  <c r="J5520" i="38" s="1"/>
  <c r="L556" i="18"/>
  <c r="I5520" i="38" s="1"/>
  <c r="I556" i="18"/>
  <c r="F5520" i="38" s="1"/>
  <c r="M555" i="18"/>
  <c r="J5519" i="38" s="1"/>
  <c r="L555" i="18"/>
  <c r="I5519" i="38" s="1"/>
  <c r="I555" i="18"/>
  <c r="F5519" i="38" s="1"/>
  <c r="M554" i="18"/>
  <c r="J5518" i="38" s="1"/>
  <c r="L554" i="18"/>
  <c r="I5518" i="38" s="1"/>
  <c r="I554" i="18"/>
  <c r="F5518" i="38" s="1"/>
  <c r="M553" i="18"/>
  <c r="L553" i="18"/>
  <c r="I553" i="18"/>
  <c r="G547" i="18"/>
  <c r="M546" i="18"/>
  <c r="L546" i="18"/>
  <c r="I546" i="18"/>
  <c r="M545" i="18"/>
  <c r="L545" i="18"/>
  <c r="I545" i="18"/>
  <c r="M544" i="18"/>
  <c r="L544" i="18"/>
  <c r="I544" i="18"/>
  <c r="M543" i="18"/>
  <c r="L543" i="18"/>
  <c r="I543" i="18"/>
  <c r="M542" i="18"/>
  <c r="L542" i="18"/>
  <c r="I542" i="18"/>
  <c r="M541" i="18"/>
  <c r="L541" i="18"/>
  <c r="I541" i="18"/>
  <c r="M540" i="18"/>
  <c r="J5510" i="38" s="1"/>
  <c r="L540" i="18"/>
  <c r="I5510" i="38" s="1"/>
  <c r="I540" i="18"/>
  <c r="F5510" i="38" s="1"/>
  <c r="M539" i="18"/>
  <c r="J5509" i="38" s="1"/>
  <c r="L539" i="18"/>
  <c r="I5509" i="38" s="1"/>
  <c r="I539" i="18"/>
  <c r="F5509" i="38" s="1"/>
  <c r="M538" i="18"/>
  <c r="J5508" i="38" s="1"/>
  <c r="L538" i="18"/>
  <c r="I5508" i="38" s="1"/>
  <c r="I538" i="18"/>
  <c r="F5508" i="38" s="1"/>
  <c r="M537" i="18"/>
  <c r="L537" i="18"/>
  <c r="I537" i="18"/>
  <c r="G531" i="18"/>
  <c r="M530" i="18"/>
  <c r="L530" i="18"/>
  <c r="I530" i="18"/>
  <c r="M529" i="18"/>
  <c r="L529" i="18"/>
  <c r="I529" i="18"/>
  <c r="M528" i="18"/>
  <c r="L528" i="18"/>
  <c r="I528" i="18"/>
  <c r="M527" i="18"/>
  <c r="L527" i="18"/>
  <c r="I527" i="18"/>
  <c r="M526" i="18"/>
  <c r="L526" i="18"/>
  <c r="I526" i="18"/>
  <c r="M525" i="18"/>
  <c r="L525" i="18"/>
  <c r="I525" i="18"/>
  <c r="M524" i="18"/>
  <c r="J5500" i="38" s="1"/>
  <c r="L524" i="18"/>
  <c r="I5500" i="38" s="1"/>
  <c r="I524" i="18"/>
  <c r="F5500" i="38" s="1"/>
  <c r="M523" i="18"/>
  <c r="J5499" i="38" s="1"/>
  <c r="L523" i="18"/>
  <c r="I5499" i="38" s="1"/>
  <c r="I523" i="18"/>
  <c r="F5499" i="38" s="1"/>
  <c r="M522" i="18"/>
  <c r="J5498" i="38" s="1"/>
  <c r="L522" i="18"/>
  <c r="I5498" i="38" s="1"/>
  <c r="I522" i="18"/>
  <c r="F5498" i="38" s="1"/>
  <c r="M521" i="18"/>
  <c r="L521" i="18"/>
  <c r="I521" i="18"/>
  <c r="G515" i="18"/>
  <c r="M514" i="18"/>
  <c r="L514" i="18"/>
  <c r="I514" i="18"/>
  <c r="M513" i="18"/>
  <c r="L513" i="18"/>
  <c r="I513" i="18"/>
  <c r="M512" i="18"/>
  <c r="L512" i="18"/>
  <c r="I512" i="18"/>
  <c r="M511" i="18"/>
  <c r="L511" i="18"/>
  <c r="I511" i="18"/>
  <c r="M510" i="18"/>
  <c r="L510" i="18"/>
  <c r="I510" i="18"/>
  <c r="M509" i="18"/>
  <c r="L509" i="18"/>
  <c r="I509" i="18"/>
  <c r="M508" i="18"/>
  <c r="J5490" i="38" s="1"/>
  <c r="L508" i="18"/>
  <c r="I5490" i="38" s="1"/>
  <c r="I508" i="18"/>
  <c r="F5490" i="38" s="1"/>
  <c r="M507" i="18"/>
  <c r="J5489" i="38" s="1"/>
  <c r="L507" i="18"/>
  <c r="I5489" i="38" s="1"/>
  <c r="I507" i="18"/>
  <c r="F5489" i="38" s="1"/>
  <c r="M506" i="18"/>
  <c r="J5488" i="38" s="1"/>
  <c r="L506" i="18"/>
  <c r="I5488" i="38" s="1"/>
  <c r="I506" i="18"/>
  <c r="F5488" i="38" s="1"/>
  <c r="M505" i="18"/>
  <c r="L505" i="18"/>
  <c r="I505" i="18"/>
  <c r="G499" i="18"/>
  <c r="M498" i="18"/>
  <c r="L498" i="18"/>
  <c r="I498" i="18"/>
  <c r="M497" i="18"/>
  <c r="L497" i="18"/>
  <c r="I497" i="18"/>
  <c r="M496" i="18"/>
  <c r="L496" i="18"/>
  <c r="I496" i="18"/>
  <c r="M495" i="18"/>
  <c r="L495" i="18"/>
  <c r="I495" i="18"/>
  <c r="M494" i="18"/>
  <c r="L494" i="18"/>
  <c r="I494" i="18"/>
  <c r="M493" i="18"/>
  <c r="L493" i="18"/>
  <c r="I493" i="18"/>
  <c r="M492" i="18"/>
  <c r="J5480" i="38" s="1"/>
  <c r="L492" i="18"/>
  <c r="I5480" i="38" s="1"/>
  <c r="I492" i="18"/>
  <c r="F5480" i="38" s="1"/>
  <c r="M491" i="18"/>
  <c r="J5479" i="38" s="1"/>
  <c r="L491" i="18"/>
  <c r="I5479" i="38" s="1"/>
  <c r="I491" i="18"/>
  <c r="F5479" i="38" s="1"/>
  <c r="M490" i="18"/>
  <c r="J5478" i="38" s="1"/>
  <c r="L490" i="18"/>
  <c r="I5478" i="38" s="1"/>
  <c r="I490" i="18"/>
  <c r="F5478" i="38" s="1"/>
  <c r="M489" i="18"/>
  <c r="L489" i="18"/>
  <c r="I489" i="18"/>
  <c r="G483" i="18"/>
  <c r="G2427" i="38" s="1"/>
  <c r="M482" i="18"/>
  <c r="L482" i="18"/>
  <c r="I482" i="18"/>
  <c r="M481" i="18"/>
  <c r="L481" i="18"/>
  <c r="I481" i="18"/>
  <c r="M480" i="18"/>
  <c r="L480" i="18"/>
  <c r="I480" i="18"/>
  <c r="M479" i="18"/>
  <c r="L479" i="18"/>
  <c r="I479" i="18"/>
  <c r="M478" i="18"/>
  <c r="L478" i="18"/>
  <c r="I478" i="18"/>
  <c r="M477" i="18"/>
  <c r="L477" i="18"/>
  <c r="I477" i="18"/>
  <c r="M476" i="18"/>
  <c r="J5470" i="38" s="1"/>
  <c r="L476" i="18"/>
  <c r="I5470" i="38" s="1"/>
  <c r="I476" i="18"/>
  <c r="F5470" i="38" s="1"/>
  <c r="M475" i="18"/>
  <c r="J5469" i="38" s="1"/>
  <c r="L475" i="18"/>
  <c r="I5469" i="38" s="1"/>
  <c r="I475" i="18"/>
  <c r="F5469" i="38" s="1"/>
  <c r="M474" i="18"/>
  <c r="J5468" i="38" s="1"/>
  <c r="L474" i="18"/>
  <c r="I5468" i="38" s="1"/>
  <c r="I474" i="18"/>
  <c r="F5468" i="38" s="1"/>
  <c r="M473" i="18"/>
  <c r="L473" i="18"/>
  <c r="I473" i="18"/>
  <c r="G467" i="18"/>
  <c r="G2426" i="38" s="1"/>
  <c r="M466" i="18"/>
  <c r="L466" i="18"/>
  <c r="I466" i="18"/>
  <c r="M465" i="18"/>
  <c r="L465" i="18"/>
  <c r="I465" i="18"/>
  <c r="M464" i="18"/>
  <c r="L464" i="18"/>
  <c r="I464" i="18"/>
  <c r="M463" i="18"/>
  <c r="L463" i="18"/>
  <c r="I463" i="18"/>
  <c r="M462" i="18"/>
  <c r="L462" i="18"/>
  <c r="I462" i="18"/>
  <c r="M461" i="18"/>
  <c r="L461" i="18"/>
  <c r="I461" i="18"/>
  <c r="M460" i="18"/>
  <c r="J5460" i="38" s="1"/>
  <c r="L460" i="18"/>
  <c r="I5460" i="38" s="1"/>
  <c r="I460" i="18"/>
  <c r="F5460" i="38" s="1"/>
  <c r="M459" i="18"/>
  <c r="J5459" i="38" s="1"/>
  <c r="L459" i="18"/>
  <c r="I5459" i="38" s="1"/>
  <c r="I459" i="18"/>
  <c r="F5459" i="38" s="1"/>
  <c r="M458" i="18"/>
  <c r="J5458" i="38" s="1"/>
  <c r="L458" i="18"/>
  <c r="I5458" i="38" s="1"/>
  <c r="I458" i="18"/>
  <c r="F5458" i="38" s="1"/>
  <c r="M457" i="18"/>
  <c r="L457" i="18"/>
  <c r="I457" i="18"/>
  <c r="G451" i="18"/>
  <c r="G2425" i="38" s="1"/>
  <c r="M450" i="18"/>
  <c r="L450" i="18"/>
  <c r="I450" i="18"/>
  <c r="M449" i="18"/>
  <c r="L449" i="18"/>
  <c r="I449" i="18"/>
  <c r="M448" i="18"/>
  <c r="L448" i="18"/>
  <c r="I448" i="18"/>
  <c r="M447" i="18"/>
  <c r="L447" i="18"/>
  <c r="I447" i="18"/>
  <c r="M446" i="18"/>
  <c r="L446" i="18"/>
  <c r="I446" i="18"/>
  <c r="M445" i="18"/>
  <c r="L445" i="18"/>
  <c r="I445" i="18"/>
  <c r="M444" i="18"/>
  <c r="J5450" i="38" s="1"/>
  <c r="L444" i="18"/>
  <c r="I5450" i="38" s="1"/>
  <c r="I444" i="18"/>
  <c r="F5450" i="38" s="1"/>
  <c r="M443" i="18"/>
  <c r="J5449" i="38" s="1"/>
  <c r="L443" i="18"/>
  <c r="I5449" i="38" s="1"/>
  <c r="I443" i="18"/>
  <c r="F5449" i="38" s="1"/>
  <c r="M442" i="18"/>
  <c r="J5448" i="38" s="1"/>
  <c r="L442" i="18"/>
  <c r="I5448" i="38" s="1"/>
  <c r="I442" i="18"/>
  <c r="F5448" i="38" s="1"/>
  <c r="M441" i="18"/>
  <c r="L441" i="18"/>
  <c r="I441" i="18"/>
  <c r="G435" i="18"/>
  <c r="M434" i="18"/>
  <c r="L434" i="18"/>
  <c r="I434" i="18"/>
  <c r="M433" i="18"/>
  <c r="L433" i="18"/>
  <c r="I433" i="18"/>
  <c r="M432" i="18"/>
  <c r="L432" i="18"/>
  <c r="I432" i="18"/>
  <c r="M431" i="18"/>
  <c r="L431" i="18"/>
  <c r="I431" i="18"/>
  <c r="M430" i="18"/>
  <c r="L430" i="18"/>
  <c r="I430" i="18"/>
  <c r="M429" i="18"/>
  <c r="L429" i="18"/>
  <c r="I429" i="18"/>
  <c r="M428" i="18"/>
  <c r="J5440" i="38" s="1"/>
  <c r="L428" i="18"/>
  <c r="I5440" i="38" s="1"/>
  <c r="I428" i="18"/>
  <c r="F5440" i="38" s="1"/>
  <c r="M427" i="18"/>
  <c r="J5439" i="38" s="1"/>
  <c r="L427" i="18"/>
  <c r="I5439" i="38" s="1"/>
  <c r="I427" i="18"/>
  <c r="F5439" i="38" s="1"/>
  <c r="M426" i="18"/>
  <c r="J5438" i="38" s="1"/>
  <c r="L426" i="18"/>
  <c r="I5438" i="38" s="1"/>
  <c r="I426" i="18"/>
  <c r="F5438" i="38" s="1"/>
  <c r="M425" i="18"/>
  <c r="L425" i="18"/>
  <c r="I425" i="18"/>
  <c r="G419" i="18"/>
  <c r="G2423" i="38" s="1"/>
  <c r="M418" i="18"/>
  <c r="L418" i="18"/>
  <c r="I418" i="18"/>
  <c r="M417" i="18"/>
  <c r="L417" i="18"/>
  <c r="I417" i="18"/>
  <c r="M416" i="18"/>
  <c r="L416" i="18"/>
  <c r="I416" i="18"/>
  <c r="M415" i="18"/>
  <c r="L415" i="18"/>
  <c r="I415" i="18"/>
  <c r="M414" i="18"/>
  <c r="L414" i="18"/>
  <c r="I414" i="18"/>
  <c r="M413" i="18"/>
  <c r="L413" i="18"/>
  <c r="I413" i="18"/>
  <c r="M412" i="18"/>
  <c r="J5430" i="38" s="1"/>
  <c r="L412" i="18"/>
  <c r="I5430" i="38" s="1"/>
  <c r="I412" i="18"/>
  <c r="F5430" i="38" s="1"/>
  <c r="M411" i="18"/>
  <c r="J5429" i="38" s="1"/>
  <c r="L411" i="18"/>
  <c r="I5429" i="38" s="1"/>
  <c r="I411" i="18"/>
  <c r="F5429" i="38" s="1"/>
  <c r="M410" i="18"/>
  <c r="J5428" i="38" s="1"/>
  <c r="L410" i="18"/>
  <c r="I5428" i="38" s="1"/>
  <c r="I410" i="18"/>
  <c r="F5428" i="38" s="1"/>
  <c r="M409" i="18"/>
  <c r="L409" i="18"/>
  <c r="I409" i="18"/>
  <c r="G403" i="18"/>
  <c r="G2422" i="38" s="1"/>
  <c r="M402" i="18"/>
  <c r="L402" i="18"/>
  <c r="I402" i="18"/>
  <c r="M401" i="18"/>
  <c r="L401" i="18"/>
  <c r="I401" i="18"/>
  <c r="M400" i="18"/>
  <c r="L400" i="18"/>
  <c r="I400" i="18"/>
  <c r="M399" i="18"/>
  <c r="L399" i="18"/>
  <c r="I399" i="18"/>
  <c r="M398" i="18"/>
  <c r="L398" i="18"/>
  <c r="I398" i="18"/>
  <c r="M397" i="18"/>
  <c r="L397" i="18"/>
  <c r="I397" i="18"/>
  <c r="M396" i="18"/>
  <c r="J5420" i="38" s="1"/>
  <c r="L396" i="18"/>
  <c r="I5420" i="38" s="1"/>
  <c r="I396" i="18"/>
  <c r="F5420" i="38" s="1"/>
  <c r="M395" i="18"/>
  <c r="J5419" i="38" s="1"/>
  <c r="L395" i="18"/>
  <c r="I5419" i="38" s="1"/>
  <c r="I395" i="18"/>
  <c r="F5419" i="38" s="1"/>
  <c r="M394" i="18"/>
  <c r="J5418" i="38" s="1"/>
  <c r="L394" i="18"/>
  <c r="I5418" i="38" s="1"/>
  <c r="I394" i="18"/>
  <c r="F5418" i="38" s="1"/>
  <c r="M393" i="18"/>
  <c r="L393" i="18"/>
  <c r="I393" i="18"/>
  <c r="G387" i="18"/>
  <c r="G2421" i="38" s="1"/>
  <c r="M386" i="18"/>
  <c r="L386" i="18"/>
  <c r="I386" i="18"/>
  <c r="M385" i="18"/>
  <c r="L385" i="18"/>
  <c r="I385" i="18"/>
  <c r="M384" i="18"/>
  <c r="L384" i="18"/>
  <c r="I384" i="18"/>
  <c r="M383" i="18"/>
  <c r="L383" i="18"/>
  <c r="I383" i="18"/>
  <c r="M382" i="18"/>
  <c r="L382" i="18"/>
  <c r="I382" i="18"/>
  <c r="M381" i="18"/>
  <c r="L381" i="18"/>
  <c r="I381" i="18"/>
  <c r="M380" i="18"/>
  <c r="J5410" i="38" s="1"/>
  <c r="L380" i="18"/>
  <c r="I5410" i="38" s="1"/>
  <c r="I380" i="18"/>
  <c r="F5410" i="38" s="1"/>
  <c r="M379" i="18"/>
  <c r="J5409" i="38" s="1"/>
  <c r="L379" i="18"/>
  <c r="I5409" i="38" s="1"/>
  <c r="I379" i="18"/>
  <c r="F5409" i="38" s="1"/>
  <c r="M378" i="18"/>
  <c r="J5408" i="38" s="1"/>
  <c r="L378" i="18"/>
  <c r="I5408" i="38" s="1"/>
  <c r="I378" i="18"/>
  <c r="F5408" i="38" s="1"/>
  <c r="M377" i="18"/>
  <c r="L377" i="18"/>
  <c r="I377" i="18"/>
  <c r="G371" i="18"/>
  <c r="M370" i="18"/>
  <c r="L370" i="18"/>
  <c r="I370" i="18"/>
  <c r="M369" i="18"/>
  <c r="L369" i="18"/>
  <c r="I369" i="18"/>
  <c r="M368" i="18"/>
  <c r="L368" i="18"/>
  <c r="I368" i="18"/>
  <c r="M367" i="18"/>
  <c r="L367" i="18"/>
  <c r="I367" i="18"/>
  <c r="M366" i="18"/>
  <c r="L366" i="18"/>
  <c r="I366" i="18"/>
  <c r="M365" i="18"/>
  <c r="L365" i="18"/>
  <c r="I365" i="18"/>
  <c r="M364" i="18"/>
  <c r="J5400" i="38" s="1"/>
  <c r="L364" i="18"/>
  <c r="I5400" i="38" s="1"/>
  <c r="I364" i="18"/>
  <c r="F5400" i="38" s="1"/>
  <c r="M363" i="18"/>
  <c r="J5399" i="38" s="1"/>
  <c r="L363" i="18"/>
  <c r="I5399" i="38" s="1"/>
  <c r="I363" i="18"/>
  <c r="F5399" i="38" s="1"/>
  <c r="M362" i="18"/>
  <c r="J5398" i="38" s="1"/>
  <c r="L362" i="18"/>
  <c r="I5398" i="38" s="1"/>
  <c r="I362" i="18"/>
  <c r="F5398" i="38" s="1"/>
  <c r="M361" i="18"/>
  <c r="L361" i="18"/>
  <c r="I361" i="18"/>
  <c r="G355" i="18"/>
  <c r="G2419" i="38" s="1"/>
  <c r="M354" i="18"/>
  <c r="L354" i="18"/>
  <c r="I354" i="18"/>
  <c r="M353" i="18"/>
  <c r="L353" i="18"/>
  <c r="I353" i="18"/>
  <c r="M352" i="18"/>
  <c r="L352" i="18"/>
  <c r="I352" i="18"/>
  <c r="M351" i="18"/>
  <c r="L351" i="18"/>
  <c r="I351" i="18"/>
  <c r="M350" i="18"/>
  <c r="L350" i="18"/>
  <c r="I350" i="18"/>
  <c r="M349" i="18"/>
  <c r="L349" i="18"/>
  <c r="I349" i="18"/>
  <c r="M348" i="18"/>
  <c r="L348" i="18"/>
  <c r="I348" i="18"/>
  <c r="M347" i="18"/>
  <c r="L347" i="18"/>
  <c r="I347" i="18"/>
  <c r="M346" i="18"/>
  <c r="L346" i="18"/>
  <c r="I346" i="18"/>
  <c r="M345" i="18"/>
  <c r="L345" i="18"/>
  <c r="I345" i="18"/>
  <c r="G339" i="18"/>
  <c r="G340" i="18" s="1"/>
  <c r="H2418" i="38" s="1"/>
  <c r="M338" i="18"/>
  <c r="L338" i="18"/>
  <c r="I338" i="18"/>
  <c r="M337" i="18"/>
  <c r="L337" i="18"/>
  <c r="I337" i="18"/>
  <c r="M336" i="18"/>
  <c r="L336" i="18"/>
  <c r="I336" i="18"/>
  <c r="M335" i="18"/>
  <c r="L335" i="18"/>
  <c r="I335" i="18"/>
  <c r="M334" i="18"/>
  <c r="L334" i="18"/>
  <c r="I334" i="18"/>
  <c r="M333" i="18"/>
  <c r="L333" i="18"/>
  <c r="I333" i="18"/>
  <c r="M332" i="18"/>
  <c r="L332" i="18"/>
  <c r="I332" i="18"/>
  <c r="M331" i="18"/>
  <c r="L331" i="18"/>
  <c r="I331" i="18"/>
  <c r="M330" i="18"/>
  <c r="L330" i="18"/>
  <c r="I330" i="18"/>
  <c r="M329" i="18"/>
  <c r="L329" i="18"/>
  <c r="I329" i="18"/>
  <c r="K293" i="18"/>
  <c r="BH65" i="38" s="1"/>
  <c r="K281" i="18"/>
  <c r="BF65" i="38" s="1"/>
  <c r="K270" i="18"/>
  <c r="BD65" i="38" s="1"/>
  <c r="E269" i="18"/>
  <c r="C269" i="18"/>
  <c r="E268" i="18"/>
  <c r="C268" i="18"/>
  <c r="E267" i="18"/>
  <c r="C267" i="18"/>
  <c r="E266" i="18"/>
  <c r="C266" i="18"/>
  <c r="BC65" i="38"/>
  <c r="BB65" i="38"/>
  <c r="K203" i="18"/>
  <c r="AZ65" i="38" s="1"/>
  <c r="K193" i="18"/>
  <c r="AR65" i="38" s="1"/>
  <c r="Q192" i="18"/>
  <c r="O192" i="18"/>
  <c r="M192" i="18"/>
  <c r="K192" i="18"/>
  <c r="AN65" i="38"/>
  <c r="K142" i="18"/>
  <c r="AF65" i="38" s="1"/>
  <c r="S65" i="38"/>
  <c r="Q65" i="38"/>
  <c r="P65" i="38"/>
  <c r="O65" i="38"/>
  <c r="K84" i="18"/>
  <c r="N65" i="38" s="1"/>
  <c r="AD10" i="18"/>
  <c r="AA10" i="18"/>
  <c r="Z85" i="18"/>
  <c r="T6" i="18"/>
  <c r="T4" i="18"/>
  <c r="T2" i="18"/>
  <c r="E65" i="38" s="1"/>
  <c r="G611" i="19"/>
  <c r="M610" i="19"/>
  <c r="L610" i="19"/>
  <c r="I610" i="19"/>
  <c r="M609" i="19"/>
  <c r="L609" i="19"/>
  <c r="I609" i="19"/>
  <c r="M608" i="19"/>
  <c r="L608" i="19"/>
  <c r="I608" i="19"/>
  <c r="M607" i="19"/>
  <c r="L607" i="19"/>
  <c r="I607" i="19"/>
  <c r="M606" i="19"/>
  <c r="L606" i="19"/>
  <c r="I606" i="19"/>
  <c r="M605" i="19"/>
  <c r="L605" i="19"/>
  <c r="I605" i="19"/>
  <c r="M604" i="19"/>
  <c r="J5730" i="38" s="1"/>
  <c r="L604" i="19"/>
  <c r="I5730" i="38" s="1"/>
  <c r="I604" i="19"/>
  <c r="F5730" i="38" s="1"/>
  <c r="M603" i="19"/>
  <c r="J5729" i="38" s="1"/>
  <c r="L603" i="19"/>
  <c r="I5729" i="38" s="1"/>
  <c r="I603" i="19"/>
  <c r="F5729" i="38" s="1"/>
  <c r="M602" i="19"/>
  <c r="J5728" i="38" s="1"/>
  <c r="L602" i="19"/>
  <c r="I5728" i="38" s="1"/>
  <c r="I602" i="19"/>
  <c r="F5728" i="38" s="1"/>
  <c r="M601" i="19"/>
  <c r="L601" i="19"/>
  <c r="I601" i="19"/>
  <c r="G595" i="19"/>
  <c r="M594" i="19"/>
  <c r="L594" i="19"/>
  <c r="I594" i="19"/>
  <c r="M593" i="19"/>
  <c r="L593" i="19"/>
  <c r="I593" i="19"/>
  <c r="M592" i="19"/>
  <c r="L592" i="19"/>
  <c r="I592" i="19"/>
  <c r="M591" i="19"/>
  <c r="L591" i="19"/>
  <c r="I591" i="19"/>
  <c r="M590" i="19"/>
  <c r="L590" i="19"/>
  <c r="I590" i="19"/>
  <c r="M589" i="19"/>
  <c r="L589" i="19"/>
  <c r="I589" i="19"/>
  <c r="M588" i="19"/>
  <c r="J5720" i="38" s="1"/>
  <c r="L588" i="19"/>
  <c r="I5720" i="38" s="1"/>
  <c r="I588" i="19"/>
  <c r="F5720" i="38" s="1"/>
  <c r="M587" i="19"/>
  <c r="J5719" i="38" s="1"/>
  <c r="L587" i="19"/>
  <c r="I5719" i="38" s="1"/>
  <c r="I587" i="19"/>
  <c r="F5719" i="38" s="1"/>
  <c r="M586" i="19"/>
  <c r="J5718" i="38" s="1"/>
  <c r="L586" i="19"/>
  <c r="I5718" i="38" s="1"/>
  <c r="I586" i="19"/>
  <c r="F5718" i="38" s="1"/>
  <c r="M585" i="19"/>
  <c r="L585" i="19"/>
  <c r="I585" i="19"/>
  <c r="G579" i="19"/>
  <c r="M578" i="19"/>
  <c r="L578" i="19"/>
  <c r="I578" i="19"/>
  <c r="M577" i="19"/>
  <c r="L577" i="19"/>
  <c r="I577" i="19"/>
  <c r="M576" i="19"/>
  <c r="L576" i="19"/>
  <c r="I576" i="19"/>
  <c r="M575" i="19"/>
  <c r="L575" i="19"/>
  <c r="I575" i="19"/>
  <c r="M574" i="19"/>
  <c r="L574" i="19"/>
  <c r="I574" i="19"/>
  <c r="M573" i="19"/>
  <c r="L573" i="19"/>
  <c r="I573" i="19"/>
  <c r="M572" i="19"/>
  <c r="J5710" i="38" s="1"/>
  <c r="L572" i="19"/>
  <c r="I5710" i="38" s="1"/>
  <c r="I572" i="19"/>
  <c r="F5710" i="38" s="1"/>
  <c r="M571" i="19"/>
  <c r="J5709" i="38" s="1"/>
  <c r="L571" i="19"/>
  <c r="I5709" i="38" s="1"/>
  <c r="I571" i="19"/>
  <c r="F5709" i="38" s="1"/>
  <c r="M570" i="19"/>
  <c r="J5708" i="38" s="1"/>
  <c r="L570" i="19"/>
  <c r="I5708" i="38" s="1"/>
  <c r="I570" i="19"/>
  <c r="F5708" i="38" s="1"/>
  <c r="M569" i="19"/>
  <c r="L569" i="19"/>
  <c r="I569" i="19"/>
  <c r="G563" i="19"/>
  <c r="M562" i="19"/>
  <c r="L562" i="19"/>
  <c r="I562" i="19"/>
  <c r="M561" i="19"/>
  <c r="L561" i="19"/>
  <c r="I561" i="19"/>
  <c r="M560" i="19"/>
  <c r="L560" i="19"/>
  <c r="I560" i="19"/>
  <c r="M559" i="19"/>
  <c r="L559" i="19"/>
  <c r="I559" i="19"/>
  <c r="M558" i="19"/>
  <c r="L558" i="19"/>
  <c r="I558" i="19"/>
  <c r="M557" i="19"/>
  <c r="L557" i="19"/>
  <c r="I557" i="19"/>
  <c r="M556" i="19"/>
  <c r="J5700" i="38" s="1"/>
  <c r="L556" i="19"/>
  <c r="I5700" i="38" s="1"/>
  <c r="I556" i="19"/>
  <c r="F5700" i="38" s="1"/>
  <c r="M555" i="19"/>
  <c r="J5699" i="38" s="1"/>
  <c r="L555" i="19"/>
  <c r="I5699" i="38" s="1"/>
  <c r="I555" i="19"/>
  <c r="F5699" i="38" s="1"/>
  <c r="M554" i="19"/>
  <c r="J5698" i="38" s="1"/>
  <c r="L554" i="19"/>
  <c r="I5698" i="38" s="1"/>
  <c r="I554" i="19"/>
  <c r="F5698" i="38" s="1"/>
  <c r="M553" i="19"/>
  <c r="L553" i="19"/>
  <c r="I553" i="19"/>
  <c r="G547" i="19"/>
  <c r="M546" i="19"/>
  <c r="L546" i="19"/>
  <c r="I546" i="19"/>
  <c r="M545" i="19"/>
  <c r="L545" i="19"/>
  <c r="I545" i="19"/>
  <c r="M544" i="19"/>
  <c r="L544" i="19"/>
  <c r="I544" i="19"/>
  <c r="M543" i="19"/>
  <c r="L543" i="19"/>
  <c r="I543" i="19"/>
  <c r="M542" i="19"/>
  <c r="L542" i="19"/>
  <c r="I542" i="19"/>
  <c r="M541" i="19"/>
  <c r="L541" i="19"/>
  <c r="I541" i="19"/>
  <c r="M540" i="19"/>
  <c r="J5690" i="38" s="1"/>
  <c r="L540" i="19"/>
  <c r="I5690" i="38" s="1"/>
  <c r="I540" i="19"/>
  <c r="F5690" i="38" s="1"/>
  <c r="M539" i="19"/>
  <c r="J5689" i="38" s="1"/>
  <c r="L539" i="19"/>
  <c r="I5689" i="38" s="1"/>
  <c r="I539" i="19"/>
  <c r="F5689" i="38" s="1"/>
  <c r="M538" i="19"/>
  <c r="J5688" i="38" s="1"/>
  <c r="L538" i="19"/>
  <c r="I5688" i="38" s="1"/>
  <c r="I538" i="19"/>
  <c r="F5688" i="38" s="1"/>
  <c r="M537" i="19"/>
  <c r="L537" i="19"/>
  <c r="I537" i="19"/>
  <c r="G531" i="19"/>
  <c r="M530" i="19"/>
  <c r="L530" i="19"/>
  <c r="I530" i="19"/>
  <c r="M529" i="19"/>
  <c r="L529" i="19"/>
  <c r="I529" i="19"/>
  <c r="M528" i="19"/>
  <c r="L528" i="19"/>
  <c r="I528" i="19"/>
  <c r="M527" i="19"/>
  <c r="L527" i="19"/>
  <c r="I527" i="19"/>
  <c r="M526" i="19"/>
  <c r="L526" i="19"/>
  <c r="I526" i="19"/>
  <c r="M525" i="19"/>
  <c r="L525" i="19"/>
  <c r="I525" i="19"/>
  <c r="M524" i="19"/>
  <c r="J5680" i="38" s="1"/>
  <c r="L524" i="19"/>
  <c r="I5680" i="38" s="1"/>
  <c r="I524" i="19"/>
  <c r="F5680" i="38" s="1"/>
  <c r="M523" i="19"/>
  <c r="J5679" i="38" s="1"/>
  <c r="L523" i="19"/>
  <c r="I5679" i="38" s="1"/>
  <c r="I523" i="19"/>
  <c r="F5679" i="38" s="1"/>
  <c r="M522" i="19"/>
  <c r="J5678" i="38" s="1"/>
  <c r="L522" i="19"/>
  <c r="I5678" i="38" s="1"/>
  <c r="I522" i="19"/>
  <c r="F5678" i="38" s="1"/>
  <c r="M521" i="19"/>
  <c r="L521" i="19"/>
  <c r="I521" i="19"/>
  <c r="G515" i="19"/>
  <c r="M514" i="19"/>
  <c r="L514" i="19"/>
  <c r="I514" i="19"/>
  <c r="M513" i="19"/>
  <c r="L513" i="19"/>
  <c r="I513" i="19"/>
  <c r="M512" i="19"/>
  <c r="L512" i="19"/>
  <c r="I512" i="19"/>
  <c r="M511" i="19"/>
  <c r="L511" i="19"/>
  <c r="I511" i="19"/>
  <c r="M510" i="19"/>
  <c r="L510" i="19"/>
  <c r="I510" i="19"/>
  <c r="M509" i="19"/>
  <c r="L509" i="19"/>
  <c r="I509" i="19"/>
  <c r="M508" i="19"/>
  <c r="J5670" i="38" s="1"/>
  <c r="L508" i="19"/>
  <c r="I5670" i="38" s="1"/>
  <c r="I508" i="19"/>
  <c r="F5670" i="38" s="1"/>
  <c r="M507" i="19"/>
  <c r="J5669" i="38" s="1"/>
  <c r="L507" i="19"/>
  <c r="I5669" i="38" s="1"/>
  <c r="I507" i="19"/>
  <c r="F5669" i="38" s="1"/>
  <c r="M506" i="19"/>
  <c r="J5668" i="38" s="1"/>
  <c r="L506" i="19"/>
  <c r="I5668" i="38" s="1"/>
  <c r="I506" i="19"/>
  <c r="F5668" i="38" s="1"/>
  <c r="M505" i="19"/>
  <c r="L505" i="19"/>
  <c r="I505" i="19"/>
  <c r="G499" i="19"/>
  <c r="M498" i="19"/>
  <c r="L498" i="19"/>
  <c r="I498" i="19"/>
  <c r="M497" i="19"/>
  <c r="L497" i="19"/>
  <c r="I497" i="19"/>
  <c r="M496" i="19"/>
  <c r="L496" i="19"/>
  <c r="I496" i="19"/>
  <c r="M495" i="19"/>
  <c r="L495" i="19"/>
  <c r="I495" i="19"/>
  <c r="M494" i="19"/>
  <c r="L494" i="19"/>
  <c r="I494" i="19"/>
  <c r="M493" i="19"/>
  <c r="L493" i="19"/>
  <c r="I493" i="19"/>
  <c r="M492" i="19"/>
  <c r="J5660" i="38" s="1"/>
  <c r="L492" i="19"/>
  <c r="I5660" i="38" s="1"/>
  <c r="I492" i="19"/>
  <c r="F5660" i="38" s="1"/>
  <c r="M491" i="19"/>
  <c r="J5659" i="38" s="1"/>
  <c r="L491" i="19"/>
  <c r="I5659" i="38" s="1"/>
  <c r="I491" i="19"/>
  <c r="F5659" i="38" s="1"/>
  <c r="M490" i="19"/>
  <c r="J5658" i="38" s="1"/>
  <c r="L490" i="19"/>
  <c r="I5658" i="38" s="1"/>
  <c r="I490" i="19"/>
  <c r="F5658" i="38" s="1"/>
  <c r="M489" i="19"/>
  <c r="L489" i="19"/>
  <c r="I489" i="19"/>
  <c r="G483" i="19"/>
  <c r="M482" i="19"/>
  <c r="L482" i="19"/>
  <c r="I482" i="19"/>
  <c r="M481" i="19"/>
  <c r="L481" i="19"/>
  <c r="I481" i="19"/>
  <c r="M480" i="19"/>
  <c r="L480" i="19"/>
  <c r="I480" i="19"/>
  <c r="M479" i="19"/>
  <c r="L479" i="19"/>
  <c r="I479" i="19"/>
  <c r="M478" i="19"/>
  <c r="L478" i="19"/>
  <c r="I478" i="19"/>
  <c r="M477" i="19"/>
  <c r="L477" i="19"/>
  <c r="I477" i="19"/>
  <c r="M476" i="19"/>
  <c r="J5650" i="38" s="1"/>
  <c r="L476" i="19"/>
  <c r="I5650" i="38" s="1"/>
  <c r="I476" i="19"/>
  <c r="F5650" i="38" s="1"/>
  <c r="M475" i="19"/>
  <c r="J5649" i="38" s="1"/>
  <c r="L475" i="19"/>
  <c r="I5649" i="38" s="1"/>
  <c r="I475" i="19"/>
  <c r="F5649" i="38" s="1"/>
  <c r="M474" i="19"/>
  <c r="J5648" i="38" s="1"/>
  <c r="L474" i="19"/>
  <c r="I5648" i="38" s="1"/>
  <c r="I474" i="19"/>
  <c r="F5648" i="38" s="1"/>
  <c r="M473" i="19"/>
  <c r="L473" i="19"/>
  <c r="I473" i="19"/>
  <c r="G467" i="19"/>
  <c r="M466" i="19"/>
  <c r="L466" i="19"/>
  <c r="I466" i="19"/>
  <c r="M465" i="19"/>
  <c r="L465" i="19"/>
  <c r="I465" i="19"/>
  <c r="M464" i="19"/>
  <c r="L464" i="19"/>
  <c r="I464" i="19"/>
  <c r="M463" i="19"/>
  <c r="L463" i="19"/>
  <c r="I463" i="19"/>
  <c r="M462" i="19"/>
  <c r="L462" i="19"/>
  <c r="I462" i="19"/>
  <c r="M461" i="19"/>
  <c r="L461" i="19"/>
  <c r="I461" i="19"/>
  <c r="M460" i="19"/>
  <c r="J5640" i="38" s="1"/>
  <c r="L460" i="19"/>
  <c r="I5640" i="38" s="1"/>
  <c r="I460" i="19"/>
  <c r="F5640" i="38" s="1"/>
  <c r="M459" i="19"/>
  <c r="J5639" i="38" s="1"/>
  <c r="L459" i="19"/>
  <c r="I5639" i="38" s="1"/>
  <c r="I459" i="19"/>
  <c r="F5639" i="38" s="1"/>
  <c r="M458" i="19"/>
  <c r="J5638" i="38" s="1"/>
  <c r="L458" i="19"/>
  <c r="I5638" i="38" s="1"/>
  <c r="I458" i="19"/>
  <c r="F5638" i="38" s="1"/>
  <c r="M457" i="19"/>
  <c r="L457" i="19"/>
  <c r="I457" i="19"/>
  <c r="G451" i="19"/>
  <c r="M450" i="19"/>
  <c r="L450" i="19"/>
  <c r="I450" i="19"/>
  <c r="M449" i="19"/>
  <c r="L449" i="19"/>
  <c r="I449" i="19"/>
  <c r="M448" i="19"/>
  <c r="L448" i="19"/>
  <c r="I448" i="19"/>
  <c r="M447" i="19"/>
  <c r="L447" i="19"/>
  <c r="I447" i="19"/>
  <c r="M446" i="19"/>
  <c r="L446" i="19"/>
  <c r="I446" i="19"/>
  <c r="M445" i="19"/>
  <c r="L445" i="19"/>
  <c r="I445" i="19"/>
  <c r="M444" i="19"/>
  <c r="J5630" i="38" s="1"/>
  <c r="L444" i="19"/>
  <c r="I5630" i="38" s="1"/>
  <c r="I444" i="19"/>
  <c r="F5630" i="38" s="1"/>
  <c r="M443" i="19"/>
  <c r="J5629" i="38" s="1"/>
  <c r="L443" i="19"/>
  <c r="I5629" i="38" s="1"/>
  <c r="I443" i="19"/>
  <c r="F5629" i="38" s="1"/>
  <c r="M442" i="19"/>
  <c r="J5628" i="38" s="1"/>
  <c r="L442" i="19"/>
  <c r="I5628" i="38" s="1"/>
  <c r="I442" i="19"/>
  <c r="F5628" i="38" s="1"/>
  <c r="M441" i="19"/>
  <c r="L441" i="19"/>
  <c r="I441" i="19"/>
  <c r="G435" i="19"/>
  <c r="M434" i="19"/>
  <c r="L434" i="19"/>
  <c r="I434" i="19"/>
  <c r="M433" i="19"/>
  <c r="L433" i="19"/>
  <c r="I433" i="19"/>
  <c r="M432" i="19"/>
  <c r="L432" i="19"/>
  <c r="I432" i="19"/>
  <c r="M431" i="19"/>
  <c r="L431" i="19"/>
  <c r="I431" i="19"/>
  <c r="M430" i="19"/>
  <c r="L430" i="19"/>
  <c r="I430" i="19"/>
  <c r="M429" i="19"/>
  <c r="L429" i="19"/>
  <c r="I429" i="19"/>
  <c r="M428" i="19"/>
  <c r="J5620" i="38" s="1"/>
  <c r="L428" i="19"/>
  <c r="I5620" i="38" s="1"/>
  <c r="I428" i="19"/>
  <c r="F5620" i="38" s="1"/>
  <c r="M427" i="19"/>
  <c r="J5619" i="38" s="1"/>
  <c r="L427" i="19"/>
  <c r="I5619" i="38" s="1"/>
  <c r="I427" i="19"/>
  <c r="F5619" i="38" s="1"/>
  <c r="M426" i="19"/>
  <c r="J5618" i="38" s="1"/>
  <c r="L426" i="19"/>
  <c r="I5618" i="38" s="1"/>
  <c r="I426" i="19"/>
  <c r="F5618" i="38" s="1"/>
  <c r="M425" i="19"/>
  <c r="L425" i="19"/>
  <c r="I425" i="19"/>
  <c r="G419" i="19"/>
  <c r="M418" i="19"/>
  <c r="L418" i="19"/>
  <c r="I418" i="19"/>
  <c r="M417" i="19"/>
  <c r="L417" i="19"/>
  <c r="I417" i="19"/>
  <c r="M416" i="19"/>
  <c r="L416" i="19"/>
  <c r="I416" i="19"/>
  <c r="M415" i="19"/>
  <c r="L415" i="19"/>
  <c r="I415" i="19"/>
  <c r="M414" i="19"/>
  <c r="L414" i="19"/>
  <c r="I414" i="19"/>
  <c r="M413" i="19"/>
  <c r="L413" i="19"/>
  <c r="I413" i="19"/>
  <c r="M412" i="19"/>
  <c r="J5610" i="38" s="1"/>
  <c r="L412" i="19"/>
  <c r="I5610" i="38" s="1"/>
  <c r="I412" i="19"/>
  <c r="F5610" i="38" s="1"/>
  <c r="M411" i="19"/>
  <c r="J5609" i="38" s="1"/>
  <c r="L411" i="19"/>
  <c r="I5609" i="38" s="1"/>
  <c r="I411" i="19"/>
  <c r="F5609" i="38" s="1"/>
  <c r="M410" i="19"/>
  <c r="J5608" i="38" s="1"/>
  <c r="L410" i="19"/>
  <c r="I5608" i="38" s="1"/>
  <c r="I410" i="19"/>
  <c r="F5608" i="38" s="1"/>
  <c r="M409" i="19"/>
  <c r="L409" i="19"/>
  <c r="I409" i="19"/>
  <c r="G403" i="19"/>
  <c r="M402" i="19"/>
  <c r="L402" i="19"/>
  <c r="I402" i="19"/>
  <c r="M401" i="19"/>
  <c r="L401" i="19"/>
  <c r="I401" i="19"/>
  <c r="M400" i="19"/>
  <c r="L400" i="19"/>
  <c r="I400" i="19"/>
  <c r="M399" i="19"/>
  <c r="L399" i="19"/>
  <c r="I399" i="19"/>
  <c r="M398" i="19"/>
  <c r="L398" i="19"/>
  <c r="I398" i="19"/>
  <c r="M397" i="19"/>
  <c r="L397" i="19"/>
  <c r="I397" i="19"/>
  <c r="M396" i="19"/>
  <c r="J5600" i="38" s="1"/>
  <c r="L396" i="19"/>
  <c r="I5600" i="38" s="1"/>
  <c r="I396" i="19"/>
  <c r="F5600" i="38" s="1"/>
  <c r="M395" i="19"/>
  <c r="J5599" i="38" s="1"/>
  <c r="L395" i="19"/>
  <c r="I5599" i="38" s="1"/>
  <c r="I395" i="19"/>
  <c r="F5599" i="38" s="1"/>
  <c r="M394" i="19"/>
  <c r="J5598" i="38" s="1"/>
  <c r="L394" i="19"/>
  <c r="I5598" i="38" s="1"/>
  <c r="I394" i="19"/>
  <c r="F5598" i="38" s="1"/>
  <c r="M393" i="19"/>
  <c r="L393" i="19"/>
  <c r="I393" i="19"/>
  <c r="G387" i="19"/>
  <c r="M386" i="19"/>
  <c r="L386" i="19"/>
  <c r="I386" i="19"/>
  <c r="M385" i="19"/>
  <c r="L385" i="19"/>
  <c r="I385" i="19"/>
  <c r="M384" i="19"/>
  <c r="L384" i="19"/>
  <c r="I384" i="19"/>
  <c r="M383" i="19"/>
  <c r="L383" i="19"/>
  <c r="I383" i="19"/>
  <c r="M382" i="19"/>
  <c r="L382" i="19"/>
  <c r="I382" i="19"/>
  <c r="M381" i="19"/>
  <c r="L381" i="19"/>
  <c r="I381" i="19"/>
  <c r="M380" i="19"/>
  <c r="J5590" i="38" s="1"/>
  <c r="L380" i="19"/>
  <c r="I5590" i="38" s="1"/>
  <c r="I380" i="19"/>
  <c r="F5590" i="38" s="1"/>
  <c r="M379" i="19"/>
  <c r="J5589" i="38" s="1"/>
  <c r="L379" i="19"/>
  <c r="I5589" i="38" s="1"/>
  <c r="I379" i="19"/>
  <c r="F5589" i="38" s="1"/>
  <c r="M378" i="19"/>
  <c r="J5588" i="38" s="1"/>
  <c r="L378" i="19"/>
  <c r="I5588" i="38" s="1"/>
  <c r="I378" i="19"/>
  <c r="F5588" i="38" s="1"/>
  <c r="M377" i="19"/>
  <c r="L377" i="19"/>
  <c r="I377" i="19"/>
  <c r="G371" i="19"/>
  <c r="M370" i="19"/>
  <c r="L370" i="19"/>
  <c r="I370" i="19"/>
  <c r="M369" i="19"/>
  <c r="L369" i="19"/>
  <c r="I369" i="19"/>
  <c r="M368" i="19"/>
  <c r="L368" i="19"/>
  <c r="I368" i="19"/>
  <c r="M367" i="19"/>
  <c r="L367" i="19"/>
  <c r="I367" i="19"/>
  <c r="M366" i="19"/>
  <c r="L366" i="19"/>
  <c r="I366" i="19"/>
  <c r="M365" i="19"/>
  <c r="L365" i="19"/>
  <c r="I365" i="19"/>
  <c r="M364" i="19"/>
  <c r="J5580" i="38" s="1"/>
  <c r="L364" i="19"/>
  <c r="I5580" i="38" s="1"/>
  <c r="I364" i="19"/>
  <c r="F5580" i="38" s="1"/>
  <c r="M363" i="19"/>
  <c r="J5579" i="38" s="1"/>
  <c r="L363" i="19"/>
  <c r="I5579" i="38" s="1"/>
  <c r="I363" i="19"/>
  <c r="F5579" i="38" s="1"/>
  <c r="M362" i="19"/>
  <c r="J5578" i="38" s="1"/>
  <c r="L362" i="19"/>
  <c r="I5578" i="38" s="1"/>
  <c r="I362" i="19"/>
  <c r="F5578" i="38" s="1"/>
  <c r="M361" i="19"/>
  <c r="L361" i="19"/>
  <c r="I361" i="19"/>
  <c r="G355" i="19"/>
  <c r="M354" i="19"/>
  <c r="L354" i="19"/>
  <c r="I354" i="19"/>
  <c r="M353" i="19"/>
  <c r="L353" i="19"/>
  <c r="I353" i="19"/>
  <c r="M352" i="19"/>
  <c r="L352" i="19"/>
  <c r="I352" i="19"/>
  <c r="M351" i="19"/>
  <c r="L351" i="19"/>
  <c r="I351" i="19"/>
  <c r="M350" i="19"/>
  <c r="L350" i="19"/>
  <c r="I350" i="19"/>
  <c r="M349" i="19"/>
  <c r="L349" i="19"/>
  <c r="I349" i="19"/>
  <c r="M348" i="19"/>
  <c r="L348" i="19"/>
  <c r="I348" i="19"/>
  <c r="M347" i="19"/>
  <c r="L347" i="19"/>
  <c r="I347" i="19"/>
  <c r="M346" i="19"/>
  <c r="L346" i="19"/>
  <c r="I346" i="19"/>
  <c r="M345" i="19"/>
  <c r="L345" i="19"/>
  <c r="I345" i="19"/>
  <c r="G339" i="19"/>
  <c r="G340" i="19" s="1"/>
  <c r="H2436" i="38" s="1"/>
  <c r="M338" i="19"/>
  <c r="L338" i="19"/>
  <c r="I338" i="19"/>
  <c r="M337" i="19"/>
  <c r="L337" i="19"/>
  <c r="I337" i="19"/>
  <c r="M336" i="19"/>
  <c r="L336" i="19"/>
  <c r="I336" i="19"/>
  <c r="M335" i="19"/>
  <c r="L335" i="19"/>
  <c r="I335" i="19"/>
  <c r="M334" i="19"/>
  <c r="L334" i="19"/>
  <c r="I334" i="19"/>
  <c r="M333" i="19"/>
  <c r="L333" i="19"/>
  <c r="I333" i="19"/>
  <c r="M332" i="19"/>
  <c r="L332" i="19"/>
  <c r="I332" i="19"/>
  <c r="M331" i="19"/>
  <c r="L331" i="19"/>
  <c r="I331" i="19"/>
  <c r="M330" i="19"/>
  <c r="L330" i="19"/>
  <c r="I330" i="19"/>
  <c r="M329" i="19"/>
  <c r="L329" i="19"/>
  <c r="I329" i="19"/>
  <c r="K293" i="19"/>
  <c r="BH66" i="38" s="1"/>
  <c r="K281" i="19"/>
  <c r="BF66" i="38" s="1"/>
  <c r="K270" i="19"/>
  <c r="BD66" i="38" s="1"/>
  <c r="E269" i="19"/>
  <c r="C269" i="19"/>
  <c r="E268" i="19"/>
  <c r="C268" i="19"/>
  <c r="E267" i="19"/>
  <c r="C267" i="19"/>
  <c r="E266" i="19"/>
  <c r="C266" i="19"/>
  <c r="BC66" i="38"/>
  <c r="BB66" i="38"/>
  <c r="K203" i="19"/>
  <c r="AZ66" i="38" s="1"/>
  <c r="K193" i="19"/>
  <c r="AR66" i="38" s="1"/>
  <c r="Q192" i="19"/>
  <c r="O192" i="19"/>
  <c r="M192" i="19"/>
  <c r="K192" i="19"/>
  <c r="AN66" i="38"/>
  <c r="K142" i="19"/>
  <c r="AF66" i="38" s="1"/>
  <c r="AA66" i="38"/>
  <c r="S66" i="38"/>
  <c r="Q66" i="38"/>
  <c r="P66" i="38"/>
  <c r="O66" i="38"/>
  <c r="K84" i="19"/>
  <c r="N66" i="38" s="1"/>
  <c r="AD10" i="19"/>
  <c r="AA10" i="19"/>
  <c r="Z85" i="19"/>
  <c r="T6" i="19"/>
  <c r="T4" i="19"/>
  <c r="T2" i="19"/>
  <c r="E66" i="38" s="1"/>
  <c r="G611" i="20"/>
  <c r="M610" i="20"/>
  <c r="L610" i="20"/>
  <c r="I610" i="20"/>
  <c r="M609" i="20"/>
  <c r="L609" i="20"/>
  <c r="I609" i="20"/>
  <c r="M608" i="20"/>
  <c r="L608" i="20"/>
  <c r="I608" i="20"/>
  <c r="M607" i="20"/>
  <c r="L607" i="20"/>
  <c r="I607" i="20"/>
  <c r="M606" i="20"/>
  <c r="L606" i="20"/>
  <c r="I606" i="20"/>
  <c r="M605" i="20"/>
  <c r="L605" i="20"/>
  <c r="I605" i="20"/>
  <c r="M604" i="20"/>
  <c r="J5910" i="38" s="1"/>
  <c r="L604" i="20"/>
  <c r="I5910" i="38" s="1"/>
  <c r="I604" i="20"/>
  <c r="F5910" i="38" s="1"/>
  <c r="M603" i="20"/>
  <c r="J5909" i="38" s="1"/>
  <c r="L603" i="20"/>
  <c r="I5909" i="38" s="1"/>
  <c r="I603" i="20"/>
  <c r="F5909" i="38" s="1"/>
  <c r="M602" i="20"/>
  <c r="J5908" i="38" s="1"/>
  <c r="L602" i="20"/>
  <c r="I5908" i="38" s="1"/>
  <c r="I602" i="20"/>
  <c r="F5908" i="38" s="1"/>
  <c r="M601" i="20"/>
  <c r="L601" i="20"/>
  <c r="I601" i="20"/>
  <c r="G595" i="20"/>
  <c r="M594" i="20"/>
  <c r="L594" i="20"/>
  <c r="I594" i="20"/>
  <c r="M593" i="20"/>
  <c r="L593" i="20"/>
  <c r="I593" i="20"/>
  <c r="M592" i="20"/>
  <c r="L592" i="20"/>
  <c r="I592" i="20"/>
  <c r="M591" i="20"/>
  <c r="L591" i="20"/>
  <c r="I591" i="20"/>
  <c r="M590" i="20"/>
  <c r="L590" i="20"/>
  <c r="I590" i="20"/>
  <c r="M589" i="20"/>
  <c r="L589" i="20"/>
  <c r="I589" i="20"/>
  <c r="M588" i="20"/>
  <c r="J5900" i="38" s="1"/>
  <c r="L588" i="20"/>
  <c r="I5900" i="38" s="1"/>
  <c r="I588" i="20"/>
  <c r="F5900" i="38" s="1"/>
  <c r="M587" i="20"/>
  <c r="J5899" i="38" s="1"/>
  <c r="L587" i="20"/>
  <c r="I5899" i="38" s="1"/>
  <c r="I587" i="20"/>
  <c r="F5899" i="38" s="1"/>
  <c r="M586" i="20"/>
  <c r="J5898" i="38" s="1"/>
  <c r="L586" i="20"/>
  <c r="I5898" i="38" s="1"/>
  <c r="I586" i="20"/>
  <c r="F5898" i="38" s="1"/>
  <c r="M585" i="20"/>
  <c r="L585" i="20"/>
  <c r="I585" i="20"/>
  <c r="G579" i="20"/>
  <c r="M578" i="20"/>
  <c r="L578" i="20"/>
  <c r="I578" i="20"/>
  <c r="M577" i="20"/>
  <c r="L577" i="20"/>
  <c r="I577" i="20"/>
  <c r="M576" i="20"/>
  <c r="L576" i="20"/>
  <c r="I576" i="20"/>
  <c r="M575" i="20"/>
  <c r="L575" i="20"/>
  <c r="I575" i="20"/>
  <c r="M574" i="20"/>
  <c r="L574" i="20"/>
  <c r="I574" i="20"/>
  <c r="M573" i="20"/>
  <c r="L573" i="20"/>
  <c r="I573" i="20"/>
  <c r="M572" i="20"/>
  <c r="J5890" i="38" s="1"/>
  <c r="L572" i="20"/>
  <c r="I5890" i="38" s="1"/>
  <c r="I572" i="20"/>
  <c r="F5890" i="38" s="1"/>
  <c r="M571" i="20"/>
  <c r="J5889" i="38" s="1"/>
  <c r="L571" i="20"/>
  <c r="I5889" i="38" s="1"/>
  <c r="I571" i="20"/>
  <c r="F5889" i="38" s="1"/>
  <c r="M570" i="20"/>
  <c r="J5888" i="38" s="1"/>
  <c r="L570" i="20"/>
  <c r="I5888" i="38" s="1"/>
  <c r="I570" i="20"/>
  <c r="F5888" i="38" s="1"/>
  <c r="M569" i="20"/>
  <c r="L569" i="20"/>
  <c r="I569" i="20"/>
  <c r="G563" i="20"/>
  <c r="M562" i="20"/>
  <c r="L562" i="20"/>
  <c r="I562" i="20"/>
  <c r="M561" i="20"/>
  <c r="L561" i="20"/>
  <c r="I561" i="20"/>
  <c r="M560" i="20"/>
  <c r="L560" i="20"/>
  <c r="I560" i="20"/>
  <c r="M559" i="20"/>
  <c r="L559" i="20"/>
  <c r="I559" i="20"/>
  <c r="M558" i="20"/>
  <c r="L558" i="20"/>
  <c r="I558" i="20"/>
  <c r="M557" i="20"/>
  <c r="L557" i="20"/>
  <c r="I557" i="20"/>
  <c r="M556" i="20"/>
  <c r="J5880" i="38" s="1"/>
  <c r="L556" i="20"/>
  <c r="I5880" i="38" s="1"/>
  <c r="I556" i="20"/>
  <c r="F5880" i="38" s="1"/>
  <c r="M555" i="20"/>
  <c r="J5879" i="38" s="1"/>
  <c r="L555" i="20"/>
  <c r="I5879" i="38" s="1"/>
  <c r="I555" i="20"/>
  <c r="F5879" i="38" s="1"/>
  <c r="M554" i="20"/>
  <c r="J5878" i="38" s="1"/>
  <c r="L554" i="20"/>
  <c r="I5878" i="38" s="1"/>
  <c r="I554" i="20"/>
  <c r="F5878" i="38" s="1"/>
  <c r="M553" i="20"/>
  <c r="L553" i="20"/>
  <c r="I553" i="20"/>
  <c r="G547" i="20"/>
  <c r="M546" i="20"/>
  <c r="L546" i="20"/>
  <c r="I546" i="20"/>
  <c r="M545" i="20"/>
  <c r="L545" i="20"/>
  <c r="I545" i="20"/>
  <c r="M544" i="20"/>
  <c r="L544" i="20"/>
  <c r="I544" i="20"/>
  <c r="M543" i="20"/>
  <c r="L543" i="20"/>
  <c r="I543" i="20"/>
  <c r="M542" i="20"/>
  <c r="L542" i="20"/>
  <c r="I542" i="20"/>
  <c r="M541" i="20"/>
  <c r="L541" i="20"/>
  <c r="I541" i="20"/>
  <c r="M540" i="20"/>
  <c r="J5870" i="38" s="1"/>
  <c r="L540" i="20"/>
  <c r="I5870" i="38" s="1"/>
  <c r="I540" i="20"/>
  <c r="F5870" i="38" s="1"/>
  <c r="M539" i="20"/>
  <c r="J5869" i="38" s="1"/>
  <c r="L539" i="20"/>
  <c r="I5869" i="38" s="1"/>
  <c r="I539" i="20"/>
  <c r="F5869" i="38" s="1"/>
  <c r="M538" i="20"/>
  <c r="J5868" i="38" s="1"/>
  <c r="L538" i="20"/>
  <c r="I5868" i="38" s="1"/>
  <c r="I538" i="20"/>
  <c r="F5868" i="38" s="1"/>
  <c r="M537" i="20"/>
  <c r="L537" i="20"/>
  <c r="I537" i="20"/>
  <c r="G531" i="20"/>
  <c r="M530" i="20"/>
  <c r="L530" i="20"/>
  <c r="I530" i="20"/>
  <c r="M529" i="20"/>
  <c r="L529" i="20"/>
  <c r="I529" i="20"/>
  <c r="M528" i="20"/>
  <c r="L528" i="20"/>
  <c r="I528" i="20"/>
  <c r="M527" i="20"/>
  <c r="L527" i="20"/>
  <c r="I527" i="20"/>
  <c r="M526" i="20"/>
  <c r="L526" i="20"/>
  <c r="I526" i="20"/>
  <c r="M525" i="20"/>
  <c r="L525" i="20"/>
  <c r="I525" i="20"/>
  <c r="M524" i="20"/>
  <c r="J5860" i="38" s="1"/>
  <c r="L524" i="20"/>
  <c r="I5860" i="38" s="1"/>
  <c r="I524" i="20"/>
  <c r="F5860" i="38" s="1"/>
  <c r="M523" i="20"/>
  <c r="J5859" i="38" s="1"/>
  <c r="L523" i="20"/>
  <c r="I5859" i="38" s="1"/>
  <c r="I523" i="20"/>
  <c r="F5859" i="38" s="1"/>
  <c r="M522" i="20"/>
  <c r="J5858" i="38" s="1"/>
  <c r="L522" i="20"/>
  <c r="I5858" i="38" s="1"/>
  <c r="I522" i="20"/>
  <c r="F5858" i="38" s="1"/>
  <c r="M521" i="20"/>
  <c r="L521" i="20"/>
  <c r="I521" i="20"/>
  <c r="G515" i="20"/>
  <c r="M514" i="20"/>
  <c r="L514" i="20"/>
  <c r="I514" i="20"/>
  <c r="M513" i="20"/>
  <c r="L513" i="20"/>
  <c r="I513" i="20"/>
  <c r="M512" i="20"/>
  <c r="L512" i="20"/>
  <c r="I512" i="20"/>
  <c r="M511" i="20"/>
  <c r="L511" i="20"/>
  <c r="I511" i="20"/>
  <c r="M510" i="20"/>
  <c r="L510" i="20"/>
  <c r="I510" i="20"/>
  <c r="M509" i="20"/>
  <c r="L509" i="20"/>
  <c r="I509" i="20"/>
  <c r="M508" i="20"/>
  <c r="J5850" i="38" s="1"/>
  <c r="L508" i="20"/>
  <c r="I5850" i="38" s="1"/>
  <c r="I508" i="20"/>
  <c r="F5850" i="38" s="1"/>
  <c r="M507" i="20"/>
  <c r="J5849" i="38" s="1"/>
  <c r="L507" i="20"/>
  <c r="I5849" i="38" s="1"/>
  <c r="I507" i="20"/>
  <c r="F5849" i="38" s="1"/>
  <c r="M506" i="20"/>
  <c r="J5848" i="38" s="1"/>
  <c r="L506" i="20"/>
  <c r="I5848" i="38" s="1"/>
  <c r="I506" i="20"/>
  <c r="F5848" i="38" s="1"/>
  <c r="M505" i="20"/>
  <c r="L505" i="20"/>
  <c r="I505" i="20"/>
  <c r="G499" i="20"/>
  <c r="M498" i="20"/>
  <c r="L498" i="20"/>
  <c r="I498" i="20"/>
  <c r="M497" i="20"/>
  <c r="L497" i="20"/>
  <c r="I497" i="20"/>
  <c r="M496" i="20"/>
  <c r="L496" i="20"/>
  <c r="I496" i="20"/>
  <c r="M495" i="20"/>
  <c r="L495" i="20"/>
  <c r="I495" i="20"/>
  <c r="M494" i="20"/>
  <c r="L494" i="20"/>
  <c r="I494" i="20"/>
  <c r="M493" i="20"/>
  <c r="L493" i="20"/>
  <c r="I493" i="20"/>
  <c r="M492" i="20"/>
  <c r="J5840" i="38" s="1"/>
  <c r="L492" i="20"/>
  <c r="I5840" i="38" s="1"/>
  <c r="I492" i="20"/>
  <c r="F5840" i="38" s="1"/>
  <c r="M491" i="20"/>
  <c r="J5839" i="38" s="1"/>
  <c r="L491" i="20"/>
  <c r="I5839" i="38" s="1"/>
  <c r="I491" i="20"/>
  <c r="F5839" i="38" s="1"/>
  <c r="M490" i="20"/>
  <c r="J5838" i="38" s="1"/>
  <c r="L490" i="20"/>
  <c r="I5838" i="38" s="1"/>
  <c r="I490" i="20"/>
  <c r="F5838" i="38" s="1"/>
  <c r="M489" i="20"/>
  <c r="L489" i="20"/>
  <c r="I489" i="20"/>
  <c r="G483" i="20"/>
  <c r="M482" i="20"/>
  <c r="L482" i="20"/>
  <c r="I482" i="20"/>
  <c r="M481" i="20"/>
  <c r="L481" i="20"/>
  <c r="I481" i="20"/>
  <c r="M480" i="20"/>
  <c r="L480" i="20"/>
  <c r="I480" i="20"/>
  <c r="M479" i="20"/>
  <c r="L479" i="20"/>
  <c r="I479" i="20"/>
  <c r="M478" i="20"/>
  <c r="L478" i="20"/>
  <c r="I478" i="20"/>
  <c r="M477" i="20"/>
  <c r="L477" i="20"/>
  <c r="I477" i="20"/>
  <c r="M476" i="20"/>
  <c r="J5830" i="38" s="1"/>
  <c r="L476" i="20"/>
  <c r="I5830" i="38" s="1"/>
  <c r="I476" i="20"/>
  <c r="F5830" i="38" s="1"/>
  <c r="M475" i="20"/>
  <c r="J5829" i="38" s="1"/>
  <c r="L475" i="20"/>
  <c r="I5829" i="38" s="1"/>
  <c r="I475" i="20"/>
  <c r="F5829" i="38" s="1"/>
  <c r="M474" i="20"/>
  <c r="J5828" i="38" s="1"/>
  <c r="L474" i="20"/>
  <c r="I5828" i="38" s="1"/>
  <c r="I474" i="20"/>
  <c r="F5828" i="38" s="1"/>
  <c r="M473" i="20"/>
  <c r="L473" i="20"/>
  <c r="I473" i="20"/>
  <c r="G467" i="20"/>
  <c r="M466" i="20"/>
  <c r="L466" i="20"/>
  <c r="I466" i="20"/>
  <c r="M465" i="20"/>
  <c r="L465" i="20"/>
  <c r="I465" i="20"/>
  <c r="M464" i="20"/>
  <c r="L464" i="20"/>
  <c r="I464" i="20"/>
  <c r="M463" i="20"/>
  <c r="L463" i="20"/>
  <c r="I463" i="20"/>
  <c r="M462" i="20"/>
  <c r="L462" i="20"/>
  <c r="I462" i="20"/>
  <c r="M461" i="20"/>
  <c r="L461" i="20"/>
  <c r="I461" i="20"/>
  <c r="M460" i="20"/>
  <c r="J5820" i="38" s="1"/>
  <c r="L460" i="20"/>
  <c r="I5820" i="38" s="1"/>
  <c r="I460" i="20"/>
  <c r="F5820" i="38" s="1"/>
  <c r="M459" i="20"/>
  <c r="J5819" i="38" s="1"/>
  <c r="L459" i="20"/>
  <c r="I5819" i="38" s="1"/>
  <c r="I459" i="20"/>
  <c r="F5819" i="38" s="1"/>
  <c r="M458" i="20"/>
  <c r="J5818" i="38" s="1"/>
  <c r="L458" i="20"/>
  <c r="I5818" i="38" s="1"/>
  <c r="I458" i="20"/>
  <c r="F5818" i="38" s="1"/>
  <c r="M457" i="20"/>
  <c r="L457" i="20"/>
  <c r="I457" i="20"/>
  <c r="G451" i="20"/>
  <c r="M450" i="20"/>
  <c r="L450" i="20"/>
  <c r="I450" i="20"/>
  <c r="M449" i="20"/>
  <c r="L449" i="20"/>
  <c r="I449" i="20"/>
  <c r="M448" i="20"/>
  <c r="L448" i="20"/>
  <c r="I448" i="20"/>
  <c r="M447" i="20"/>
  <c r="L447" i="20"/>
  <c r="I447" i="20"/>
  <c r="M446" i="20"/>
  <c r="L446" i="20"/>
  <c r="I446" i="20"/>
  <c r="M445" i="20"/>
  <c r="L445" i="20"/>
  <c r="I445" i="20"/>
  <c r="M444" i="20"/>
  <c r="J5810" i="38" s="1"/>
  <c r="L444" i="20"/>
  <c r="I5810" i="38" s="1"/>
  <c r="I444" i="20"/>
  <c r="F5810" i="38" s="1"/>
  <c r="M443" i="20"/>
  <c r="J5809" i="38" s="1"/>
  <c r="L443" i="20"/>
  <c r="I5809" i="38" s="1"/>
  <c r="I443" i="20"/>
  <c r="F5809" i="38" s="1"/>
  <c r="M442" i="20"/>
  <c r="J5808" i="38" s="1"/>
  <c r="L442" i="20"/>
  <c r="I5808" i="38" s="1"/>
  <c r="I442" i="20"/>
  <c r="F5808" i="38" s="1"/>
  <c r="M441" i="20"/>
  <c r="L441" i="20"/>
  <c r="I441" i="20"/>
  <c r="G435" i="20"/>
  <c r="M434" i="20"/>
  <c r="L434" i="20"/>
  <c r="I434" i="20"/>
  <c r="M433" i="20"/>
  <c r="L433" i="20"/>
  <c r="I433" i="20"/>
  <c r="M432" i="20"/>
  <c r="L432" i="20"/>
  <c r="I432" i="20"/>
  <c r="M431" i="20"/>
  <c r="L431" i="20"/>
  <c r="I431" i="20"/>
  <c r="M430" i="20"/>
  <c r="L430" i="20"/>
  <c r="I430" i="20"/>
  <c r="M429" i="20"/>
  <c r="L429" i="20"/>
  <c r="I429" i="20"/>
  <c r="M428" i="20"/>
  <c r="J5800" i="38" s="1"/>
  <c r="L428" i="20"/>
  <c r="I5800" i="38" s="1"/>
  <c r="I428" i="20"/>
  <c r="F5800" i="38" s="1"/>
  <c r="M427" i="20"/>
  <c r="J5799" i="38" s="1"/>
  <c r="L427" i="20"/>
  <c r="I5799" i="38" s="1"/>
  <c r="I427" i="20"/>
  <c r="F5799" i="38" s="1"/>
  <c r="M426" i="20"/>
  <c r="J5798" i="38" s="1"/>
  <c r="L426" i="20"/>
  <c r="I5798" i="38" s="1"/>
  <c r="I426" i="20"/>
  <c r="F5798" i="38" s="1"/>
  <c r="M425" i="20"/>
  <c r="L425" i="20"/>
  <c r="I425" i="20"/>
  <c r="G419" i="20"/>
  <c r="M418" i="20"/>
  <c r="L418" i="20"/>
  <c r="I418" i="20"/>
  <c r="M417" i="20"/>
  <c r="L417" i="20"/>
  <c r="I417" i="20"/>
  <c r="M416" i="20"/>
  <c r="L416" i="20"/>
  <c r="I416" i="20"/>
  <c r="M415" i="20"/>
  <c r="L415" i="20"/>
  <c r="I415" i="20"/>
  <c r="M414" i="20"/>
  <c r="L414" i="20"/>
  <c r="I414" i="20"/>
  <c r="M413" i="20"/>
  <c r="L413" i="20"/>
  <c r="I413" i="20"/>
  <c r="M412" i="20"/>
  <c r="J5790" i="38" s="1"/>
  <c r="L412" i="20"/>
  <c r="I5790" i="38" s="1"/>
  <c r="I412" i="20"/>
  <c r="F5790" i="38" s="1"/>
  <c r="M411" i="20"/>
  <c r="J5789" i="38" s="1"/>
  <c r="L411" i="20"/>
  <c r="I5789" i="38" s="1"/>
  <c r="I411" i="20"/>
  <c r="F5789" i="38" s="1"/>
  <c r="M410" i="20"/>
  <c r="J5788" i="38" s="1"/>
  <c r="L410" i="20"/>
  <c r="I5788" i="38" s="1"/>
  <c r="I410" i="20"/>
  <c r="F5788" i="38" s="1"/>
  <c r="M409" i="20"/>
  <c r="L409" i="20"/>
  <c r="I409" i="20"/>
  <c r="G403" i="20"/>
  <c r="M402" i="20"/>
  <c r="L402" i="20"/>
  <c r="I402" i="20"/>
  <c r="M401" i="20"/>
  <c r="L401" i="20"/>
  <c r="I401" i="20"/>
  <c r="M400" i="20"/>
  <c r="L400" i="20"/>
  <c r="I400" i="20"/>
  <c r="M399" i="20"/>
  <c r="L399" i="20"/>
  <c r="I399" i="20"/>
  <c r="M398" i="20"/>
  <c r="L398" i="20"/>
  <c r="I398" i="20"/>
  <c r="M397" i="20"/>
  <c r="L397" i="20"/>
  <c r="I397" i="20"/>
  <c r="M396" i="20"/>
  <c r="J5780" i="38" s="1"/>
  <c r="L396" i="20"/>
  <c r="I5780" i="38" s="1"/>
  <c r="I396" i="20"/>
  <c r="F5780" i="38" s="1"/>
  <c r="M395" i="20"/>
  <c r="J5779" i="38" s="1"/>
  <c r="L395" i="20"/>
  <c r="I5779" i="38" s="1"/>
  <c r="I395" i="20"/>
  <c r="F5779" i="38" s="1"/>
  <c r="M394" i="20"/>
  <c r="J5778" i="38" s="1"/>
  <c r="L394" i="20"/>
  <c r="I5778" i="38" s="1"/>
  <c r="I394" i="20"/>
  <c r="F5778" i="38" s="1"/>
  <c r="M393" i="20"/>
  <c r="L393" i="20"/>
  <c r="I393" i="20"/>
  <c r="G387" i="20"/>
  <c r="M386" i="20"/>
  <c r="L386" i="20"/>
  <c r="I386" i="20"/>
  <c r="M385" i="20"/>
  <c r="L385" i="20"/>
  <c r="I385" i="20"/>
  <c r="M384" i="20"/>
  <c r="L384" i="20"/>
  <c r="I384" i="20"/>
  <c r="M383" i="20"/>
  <c r="L383" i="20"/>
  <c r="I383" i="20"/>
  <c r="M382" i="20"/>
  <c r="L382" i="20"/>
  <c r="I382" i="20"/>
  <c r="M381" i="20"/>
  <c r="L381" i="20"/>
  <c r="I381" i="20"/>
  <c r="M380" i="20"/>
  <c r="J5770" i="38" s="1"/>
  <c r="L380" i="20"/>
  <c r="I5770" i="38" s="1"/>
  <c r="I380" i="20"/>
  <c r="F5770" i="38" s="1"/>
  <c r="M379" i="20"/>
  <c r="J5769" i="38" s="1"/>
  <c r="L379" i="20"/>
  <c r="I5769" i="38" s="1"/>
  <c r="I379" i="20"/>
  <c r="F5769" i="38" s="1"/>
  <c r="M378" i="20"/>
  <c r="J5768" i="38" s="1"/>
  <c r="L378" i="20"/>
  <c r="I5768" i="38" s="1"/>
  <c r="I378" i="20"/>
  <c r="F5768" i="38" s="1"/>
  <c r="M377" i="20"/>
  <c r="L377" i="20"/>
  <c r="I377" i="20"/>
  <c r="G371" i="20"/>
  <c r="M370" i="20"/>
  <c r="L370" i="20"/>
  <c r="I370" i="20"/>
  <c r="M369" i="20"/>
  <c r="L369" i="20"/>
  <c r="I369" i="20"/>
  <c r="M368" i="20"/>
  <c r="L368" i="20"/>
  <c r="I368" i="20"/>
  <c r="M367" i="20"/>
  <c r="L367" i="20"/>
  <c r="I367" i="20"/>
  <c r="M366" i="20"/>
  <c r="L366" i="20"/>
  <c r="I366" i="20"/>
  <c r="M365" i="20"/>
  <c r="L365" i="20"/>
  <c r="I365" i="20"/>
  <c r="M364" i="20"/>
  <c r="J5760" i="38" s="1"/>
  <c r="L364" i="20"/>
  <c r="I5760" i="38" s="1"/>
  <c r="I364" i="20"/>
  <c r="F5760" i="38" s="1"/>
  <c r="M363" i="20"/>
  <c r="J5759" i="38" s="1"/>
  <c r="L363" i="20"/>
  <c r="I5759" i="38" s="1"/>
  <c r="I363" i="20"/>
  <c r="F5759" i="38" s="1"/>
  <c r="M362" i="20"/>
  <c r="J5758" i="38" s="1"/>
  <c r="L362" i="20"/>
  <c r="I5758" i="38" s="1"/>
  <c r="I362" i="20"/>
  <c r="F5758" i="38" s="1"/>
  <c r="M361" i="20"/>
  <c r="L361" i="20"/>
  <c r="I361" i="20"/>
  <c r="G355" i="20"/>
  <c r="M354" i="20"/>
  <c r="L354" i="20"/>
  <c r="I354" i="20"/>
  <c r="M353" i="20"/>
  <c r="L353" i="20"/>
  <c r="I353" i="20"/>
  <c r="M352" i="20"/>
  <c r="L352" i="20"/>
  <c r="I352" i="20"/>
  <c r="M351" i="20"/>
  <c r="L351" i="20"/>
  <c r="I351" i="20"/>
  <c r="M350" i="20"/>
  <c r="L350" i="20"/>
  <c r="I350" i="20"/>
  <c r="M349" i="20"/>
  <c r="L349" i="20"/>
  <c r="I349" i="20"/>
  <c r="M348" i="20"/>
  <c r="L348" i="20"/>
  <c r="I348" i="20"/>
  <c r="M347" i="20"/>
  <c r="L347" i="20"/>
  <c r="I347" i="20"/>
  <c r="M346" i="20"/>
  <c r="L346" i="20"/>
  <c r="I346" i="20"/>
  <c r="M345" i="20"/>
  <c r="L345" i="20"/>
  <c r="I345" i="20"/>
  <c r="G339" i="20"/>
  <c r="M338" i="20"/>
  <c r="L338" i="20"/>
  <c r="I338" i="20"/>
  <c r="M337" i="20"/>
  <c r="L337" i="20"/>
  <c r="I337" i="20"/>
  <c r="M336" i="20"/>
  <c r="L336" i="20"/>
  <c r="I336" i="20"/>
  <c r="M335" i="20"/>
  <c r="L335" i="20"/>
  <c r="I335" i="20"/>
  <c r="M334" i="20"/>
  <c r="L334" i="20"/>
  <c r="I334" i="20"/>
  <c r="M333" i="20"/>
  <c r="L333" i="20"/>
  <c r="I333" i="20"/>
  <c r="M332" i="20"/>
  <c r="L332" i="20"/>
  <c r="I332" i="20"/>
  <c r="M331" i="20"/>
  <c r="L331" i="20"/>
  <c r="I331" i="20"/>
  <c r="M330" i="20"/>
  <c r="L330" i="20"/>
  <c r="I330" i="20"/>
  <c r="M329" i="20"/>
  <c r="L329" i="20"/>
  <c r="I329" i="20"/>
  <c r="K293" i="20"/>
  <c r="BH67" i="38" s="1"/>
  <c r="K281" i="20"/>
  <c r="BF67" i="38" s="1"/>
  <c r="K270" i="20"/>
  <c r="BD67" i="38" s="1"/>
  <c r="E269" i="20"/>
  <c r="C269" i="20"/>
  <c r="E268" i="20"/>
  <c r="C268" i="20"/>
  <c r="E267" i="20"/>
  <c r="C267" i="20"/>
  <c r="E266" i="20"/>
  <c r="C266" i="20"/>
  <c r="BC67" i="38"/>
  <c r="BB67" i="38"/>
  <c r="K203" i="20"/>
  <c r="AZ67" i="38" s="1"/>
  <c r="K193" i="20"/>
  <c r="AR67" i="38" s="1"/>
  <c r="Q192" i="20"/>
  <c r="O192" i="20"/>
  <c r="M192" i="20"/>
  <c r="K192" i="20"/>
  <c r="AN67" i="38"/>
  <c r="K142" i="20"/>
  <c r="AF67" i="38" s="1"/>
  <c r="AA67" i="38"/>
  <c r="S67" i="38"/>
  <c r="Q67" i="38"/>
  <c r="P67" i="38"/>
  <c r="O67" i="38"/>
  <c r="K84" i="20"/>
  <c r="N67" i="38" s="1"/>
  <c r="AD10" i="20"/>
  <c r="AA10" i="20"/>
  <c r="Z85" i="20"/>
  <c r="T6" i="20"/>
  <c r="T4" i="20"/>
  <c r="T2" i="20"/>
  <c r="E67" i="38" s="1"/>
  <c r="G611" i="21"/>
  <c r="M610" i="21"/>
  <c r="L610" i="21"/>
  <c r="I610" i="21"/>
  <c r="M609" i="21"/>
  <c r="L609" i="21"/>
  <c r="I609" i="21"/>
  <c r="M608" i="21"/>
  <c r="L608" i="21"/>
  <c r="I608" i="21"/>
  <c r="M607" i="21"/>
  <c r="L607" i="21"/>
  <c r="I607" i="21"/>
  <c r="M606" i="21"/>
  <c r="L606" i="21"/>
  <c r="I606" i="21"/>
  <c r="M605" i="21"/>
  <c r="L605" i="21"/>
  <c r="I605" i="21"/>
  <c r="M604" i="21"/>
  <c r="J6090" i="38" s="1"/>
  <c r="L604" i="21"/>
  <c r="I6090" i="38" s="1"/>
  <c r="I604" i="21"/>
  <c r="F6090" i="38" s="1"/>
  <c r="M603" i="21"/>
  <c r="J6089" i="38" s="1"/>
  <c r="L603" i="21"/>
  <c r="I6089" i="38" s="1"/>
  <c r="I603" i="21"/>
  <c r="F6089" i="38" s="1"/>
  <c r="M602" i="21"/>
  <c r="J6088" i="38" s="1"/>
  <c r="L602" i="21"/>
  <c r="I6088" i="38" s="1"/>
  <c r="I602" i="21"/>
  <c r="F6088" i="38" s="1"/>
  <c r="M601" i="21"/>
  <c r="L601" i="21"/>
  <c r="I601" i="21"/>
  <c r="G595" i="21"/>
  <c r="M594" i="21"/>
  <c r="L594" i="21"/>
  <c r="I594" i="21"/>
  <c r="M593" i="21"/>
  <c r="L593" i="21"/>
  <c r="I593" i="21"/>
  <c r="M592" i="21"/>
  <c r="L592" i="21"/>
  <c r="I592" i="21"/>
  <c r="M591" i="21"/>
  <c r="L591" i="21"/>
  <c r="I591" i="21"/>
  <c r="M590" i="21"/>
  <c r="L590" i="21"/>
  <c r="I590" i="21"/>
  <c r="M589" i="21"/>
  <c r="L589" i="21"/>
  <c r="I589" i="21"/>
  <c r="M588" i="21"/>
  <c r="J6080" i="38" s="1"/>
  <c r="L588" i="21"/>
  <c r="I6080" i="38" s="1"/>
  <c r="I588" i="21"/>
  <c r="F6080" i="38" s="1"/>
  <c r="M587" i="21"/>
  <c r="J6079" i="38" s="1"/>
  <c r="L587" i="21"/>
  <c r="I6079" i="38" s="1"/>
  <c r="I587" i="21"/>
  <c r="F6079" i="38" s="1"/>
  <c r="M586" i="21"/>
  <c r="J6078" i="38" s="1"/>
  <c r="L586" i="21"/>
  <c r="I6078" i="38" s="1"/>
  <c r="I586" i="21"/>
  <c r="F6078" i="38" s="1"/>
  <c r="M585" i="21"/>
  <c r="L585" i="21"/>
  <c r="I585" i="21"/>
  <c r="G579" i="21"/>
  <c r="M578" i="21"/>
  <c r="L578" i="21"/>
  <c r="I578" i="21"/>
  <c r="M577" i="21"/>
  <c r="L577" i="21"/>
  <c r="I577" i="21"/>
  <c r="M576" i="21"/>
  <c r="L576" i="21"/>
  <c r="I576" i="21"/>
  <c r="M575" i="21"/>
  <c r="L575" i="21"/>
  <c r="I575" i="21"/>
  <c r="M574" i="21"/>
  <c r="L574" i="21"/>
  <c r="I574" i="21"/>
  <c r="M573" i="21"/>
  <c r="L573" i="21"/>
  <c r="I573" i="21"/>
  <c r="M572" i="21"/>
  <c r="J6070" i="38" s="1"/>
  <c r="L572" i="21"/>
  <c r="I6070" i="38" s="1"/>
  <c r="I572" i="21"/>
  <c r="F6070" i="38" s="1"/>
  <c r="M571" i="21"/>
  <c r="J6069" i="38" s="1"/>
  <c r="L571" i="21"/>
  <c r="I6069" i="38" s="1"/>
  <c r="I571" i="21"/>
  <c r="F6069" i="38" s="1"/>
  <c r="M570" i="21"/>
  <c r="J6068" i="38" s="1"/>
  <c r="L570" i="21"/>
  <c r="I6068" i="38" s="1"/>
  <c r="I570" i="21"/>
  <c r="F6068" i="38" s="1"/>
  <c r="M569" i="21"/>
  <c r="L569" i="21"/>
  <c r="I569" i="21"/>
  <c r="G563" i="21"/>
  <c r="M562" i="21"/>
  <c r="L562" i="21"/>
  <c r="I562" i="21"/>
  <c r="M561" i="21"/>
  <c r="L561" i="21"/>
  <c r="I561" i="21"/>
  <c r="M560" i="21"/>
  <c r="L560" i="21"/>
  <c r="I560" i="21"/>
  <c r="M559" i="21"/>
  <c r="L559" i="21"/>
  <c r="I559" i="21"/>
  <c r="M558" i="21"/>
  <c r="L558" i="21"/>
  <c r="I558" i="21"/>
  <c r="M557" i="21"/>
  <c r="L557" i="21"/>
  <c r="I557" i="21"/>
  <c r="M556" i="21"/>
  <c r="J6060" i="38" s="1"/>
  <c r="L556" i="21"/>
  <c r="I6060" i="38" s="1"/>
  <c r="I556" i="21"/>
  <c r="F6060" i="38" s="1"/>
  <c r="M555" i="21"/>
  <c r="J6059" i="38" s="1"/>
  <c r="L555" i="21"/>
  <c r="I6059" i="38" s="1"/>
  <c r="I555" i="21"/>
  <c r="F6059" i="38" s="1"/>
  <c r="M554" i="21"/>
  <c r="J6058" i="38" s="1"/>
  <c r="L554" i="21"/>
  <c r="I6058" i="38" s="1"/>
  <c r="I554" i="21"/>
  <c r="F6058" i="38" s="1"/>
  <c r="M553" i="21"/>
  <c r="L553" i="21"/>
  <c r="I553" i="21"/>
  <c r="G547" i="21"/>
  <c r="M546" i="21"/>
  <c r="L546" i="21"/>
  <c r="I546" i="21"/>
  <c r="M545" i="21"/>
  <c r="L545" i="21"/>
  <c r="I545" i="21"/>
  <c r="M544" i="21"/>
  <c r="L544" i="21"/>
  <c r="I544" i="21"/>
  <c r="M543" i="21"/>
  <c r="L543" i="21"/>
  <c r="I543" i="21"/>
  <c r="M542" i="21"/>
  <c r="L542" i="21"/>
  <c r="I542" i="21"/>
  <c r="M541" i="21"/>
  <c r="L541" i="21"/>
  <c r="I541" i="21"/>
  <c r="M540" i="21"/>
  <c r="J6050" i="38" s="1"/>
  <c r="L540" i="21"/>
  <c r="I6050" i="38" s="1"/>
  <c r="I540" i="21"/>
  <c r="F6050" i="38" s="1"/>
  <c r="M539" i="21"/>
  <c r="J6049" i="38" s="1"/>
  <c r="L539" i="21"/>
  <c r="I6049" i="38" s="1"/>
  <c r="I539" i="21"/>
  <c r="F6049" i="38" s="1"/>
  <c r="M538" i="21"/>
  <c r="J6048" i="38" s="1"/>
  <c r="L538" i="21"/>
  <c r="I6048" i="38" s="1"/>
  <c r="I538" i="21"/>
  <c r="F6048" i="38" s="1"/>
  <c r="M537" i="21"/>
  <c r="L537" i="21"/>
  <c r="I537" i="21"/>
  <c r="G531" i="21"/>
  <c r="M530" i="21"/>
  <c r="L530" i="21"/>
  <c r="I530" i="21"/>
  <c r="M529" i="21"/>
  <c r="L529" i="21"/>
  <c r="I529" i="21"/>
  <c r="M528" i="21"/>
  <c r="L528" i="21"/>
  <c r="I528" i="21"/>
  <c r="M527" i="21"/>
  <c r="L527" i="21"/>
  <c r="I527" i="21"/>
  <c r="M526" i="21"/>
  <c r="L526" i="21"/>
  <c r="I526" i="21"/>
  <c r="M525" i="21"/>
  <c r="L525" i="21"/>
  <c r="I525" i="21"/>
  <c r="M524" i="21"/>
  <c r="J6040" i="38" s="1"/>
  <c r="L524" i="21"/>
  <c r="I6040" i="38" s="1"/>
  <c r="I524" i="21"/>
  <c r="F6040" i="38" s="1"/>
  <c r="M523" i="21"/>
  <c r="J6039" i="38" s="1"/>
  <c r="L523" i="21"/>
  <c r="I6039" i="38" s="1"/>
  <c r="I523" i="21"/>
  <c r="F6039" i="38" s="1"/>
  <c r="M522" i="21"/>
  <c r="J6038" i="38" s="1"/>
  <c r="L522" i="21"/>
  <c r="I6038" i="38" s="1"/>
  <c r="I522" i="21"/>
  <c r="F6038" i="38" s="1"/>
  <c r="M521" i="21"/>
  <c r="L521" i="21"/>
  <c r="I521" i="21"/>
  <c r="G515" i="21"/>
  <c r="M514" i="21"/>
  <c r="L514" i="21"/>
  <c r="I514" i="21"/>
  <c r="M513" i="21"/>
  <c r="L513" i="21"/>
  <c r="I513" i="21"/>
  <c r="M512" i="21"/>
  <c r="L512" i="21"/>
  <c r="I512" i="21"/>
  <c r="M511" i="21"/>
  <c r="L511" i="21"/>
  <c r="I511" i="21"/>
  <c r="M510" i="21"/>
  <c r="L510" i="21"/>
  <c r="I510" i="21"/>
  <c r="M509" i="21"/>
  <c r="L509" i="21"/>
  <c r="I509" i="21"/>
  <c r="M508" i="21"/>
  <c r="J6030" i="38" s="1"/>
  <c r="L508" i="21"/>
  <c r="I6030" i="38" s="1"/>
  <c r="I508" i="21"/>
  <c r="F6030" i="38" s="1"/>
  <c r="M507" i="21"/>
  <c r="J6029" i="38" s="1"/>
  <c r="L507" i="21"/>
  <c r="I6029" i="38" s="1"/>
  <c r="I507" i="21"/>
  <c r="F6029" i="38" s="1"/>
  <c r="M506" i="21"/>
  <c r="J6028" i="38" s="1"/>
  <c r="L506" i="21"/>
  <c r="I6028" i="38" s="1"/>
  <c r="I506" i="21"/>
  <c r="F6028" i="38" s="1"/>
  <c r="M505" i="21"/>
  <c r="L505" i="21"/>
  <c r="I505" i="21"/>
  <c r="G499" i="21"/>
  <c r="M498" i="21"/>
  <c r="L498" i="21"/>
  <c r="I498" i="21"/>
  <c r="M497" i="21"/>
  <c r="L497" i="21"/>
  <c r="I497" i="21"/>
  <c r="M496" i="21"/>
  <c r="L496" i="21"/>
  <c r="I496" i="21"/>
  <c r="M495" i="21"/>
  <c r="L495" i="21"/>
  <c r="I495" i="21"/>
  <c r="M494" i="21"/>
  <c r="L494" i="21"/>
  <c r="I494" i="21"/>
  <c r="M493" i="21"/>
  <c r="L493" i="21"/>
  <c r="I493" i="21"/>
  <c r="M492" i="21"/>
  <c r="J6020" i="38" s="1"/>
  <c r="L492" i="21"/>
  <c r="I6020" i="38" s="1"/>
  <c r="I492" i="21"/>
  <c r="F6020" i="38" s="1"/>
  <c r="M491" i="21"/>
  <c r="J6019" i="38" s="1"/>
  <c r="L491" i="21"/>
  <c r="I6019" i="38" s="1"/>
  <c r="I491" i="21"/>
  <c r="F6019" i="38" s="1"/>
  <c r="M490" i="21"/>
  <c r="J6018" i="38" s="1"/>
  <c r="L490" i="21"/>
  <c r="I6018" i="38" s="1"/>
  <c r="I490" i="21"/>
  <c r="F6018" i="38" s="1"/>
  <c r="M489" i="21"/>
  <c r="L489" i="21"/>
  <c r="I489" i="21"/>
  <c r="G483" i="21"/>
  <c r="M482" i="21"/>
  <c r="L482" i="21"/>
  <c r="I482" i="21"/>
  <c r="M481" i="21"/>
  <c r="L481" i="21"/>
  <c r="I481" i="21"/>
  <c r="M480" i="21"/>
  <c r="L480" i="21"/>
  <c r="I480" i="21"/>
  <c r="M479" i="21"/>
  <c r="L479" i="21"/>
  <c r="I479" i="21"/>
  <c r="M478" i="21"/>
  <c r="L478" i="21"/>
  <c r="I478" i="21"/>
  <c r="M477" i="21"/>
  <c r="L477" i="21"/>
  <c r="I477" i="21"/>
  <c r="M476" i="21"/>
  <c r="J6010" i="38" s="1"/>
  <c r="L476" i="21"/>
  <c r="I6010" i="38" s="1"/>
  <c r="I476" i="21"/>
  <c r="F6010" i="38" s="1"/>
  <c r="M475" i="21"/>
  <c r="J6009" i="38" s="1"/>
  <c r="L475" i="21"/>
  <c r="I6009" i="38" s="1"/>
  <c r="I475" i="21"/>
  <c r="F6009" i="38" s="1"/>
  <c r="M474" i="21"/>
  <c r="J6008" i="38" s="1"/>
  <c r="L474" i="21"/>
  <c r="I6008" i="38" s="1"/>
  <c r="I474" i="21"/>
  <c r="F6008" i="38" s="1"/>
  <c r="M473" i="21"/>
  <c r="L473" i="21"/>
  <c r="I473" i="21"/>
  <c r="G467" i="21"/>
  <c r="M466" i="21"/>
  <c r="L466" i="21"/>
  <c r="I466" i="21"/>
  <c r="M465" i="21"/>
  <c r="L465" i="21"/>
  <c r="I465" i="21"/>
  <c r="M464" i="21"/>
  <c r="L464" i="21"/>
  <c r="I464" i="21"/>
  <c r="M463" i="21"/>
  <c r="L463" i="21"/>
  <c r="I463" i="21"/>
  <c r="M462" i="21"/>
  <c r="L462" i="21"/>
  <c r="I462" i="21"/>
  <c r="M461" i="21"/>
  <c r="L461" i="21"/>
  <c r="I461" i="21"/>
  <c r="M460" i="21"/>
  <c r="J6000" i="38" s="1"/>
  <c r="L460" i="21"/>
  <c r="I6000" i="38" s="1"/>
  <c r="I460" i="21"/>
  <c r="F6000" i="38" s="1"/>
  <c r="M459" i="21"/>
  <c r="J5999" i="38" s="1"/>
  <c r="L459" i="21"/>
  <c r="I5999" i="38" s="1"/>
  <c r="I459" i="21"/>
  <c r="F5999" i="38" s="1"/>
  <c r="M458" i="21"/>
  <c r="J5998" i="38" s="1"/>
  <c r="L458" i="21"/>
  <c r="I5998" i="38" s="1"/>
  <c r="I458" i="21"/>
  <c r="F5998" i="38" s="1"/>
  <c r="M457" i="21"/>
  <c r="L457" i="21"/>
  <c r="I457" i="21"/>
  <c r="G451" i="21"/>
  <c r="M450" i="21"/>
  <c r="L450" i="21"/>
  <c r="I450" i="21"/>
  <c r="M449" i="21"/>
  <c r="L449" i="21"/>
  <c r="I449" i="21"/>
  <c r="M448" i="21"/>
  <c r="L448" i="21"/>
  <c r="I448" i="21"/>
  <c r="M447" i="21"/>
  <c r="L447" i="21"/>
  <c r="I447" i="21"/>
  <c r="M446" i="21"/>
  <c r="L446" i="21"/>
  <c r="I446" i="21"/>
  <c r="M445" i="21"/>
  <c r="L445" i="21"/>
  <c r="I445" i="21"/>
  <c r="M444" i="21"/>
  <c r="J5990" i="38" s="1"/>
  <c r="L444" i="21"/>
  <c r="I5990" i="38" s="1"/>
  <c r="I444" i="21"/>
  <c r="F5990" i="38" s="1"/>
  <c r="M443" i="21"/>
  <c r="J5989" i="38" s="1"/>
  <c r="L443" i="21"/>
  <c r="I5989" i="38" s="1"/>
  <c r="I443" i="21"/>
  <c r="F5989" i="38" s="1"/>
  <c r="M442" i="21"/>
  <c r="J5988" i="38" s="1"/>
  <c r="L442" i="21"/>
  <c r="I5988" i="38" s="1"/>
  <c r="I442" i="21"/>
  <c r="F5988" i="38" s="1"/>
  <c r="M441" i="21"/>
  <c r="L441" i="21"/>
  <c r="I441" i="21"/>
  <c r="G435" i="21"/>
  <c r="M434" i="21"/>
  <c r="L434" i="21"/>
  <c r="I434" i="21"/>
  <c r="M433" i="21"/>
  <c r="L433" i="21"/>
  <c r="I433" i="21"/>
  <c r="M432" i="21"/>
  <c r="L432" i="21"/>
  <c r="I432" i="21"/>
  <c r="M431" i="21"/>
  <c r="L431" i="21"/>
  <c r="I431" i="21"/>
  <c r="M430" i="21"/>
  <c r="L430" i="21"/>
  <c r="I430" i="21"/>
  <c r="M429" i="21"/>
  <c r="L429" i="21"/>
  <c r="I429" i="21"/>
  <c r="M428" i="21"/>
  <c r="J5980" i="38" s="1"/>
  <c r="L428" i="21"/>
  <c r="I5980" i="38" s="1"/>
  <c r="I428" i="21"/>
  <c r="F5980" i="38" s="1"/>
  <c r="M427" i="21"/>
  <c r="J5979" i="38" s="1"/>
  <c r="L427" i="21"/>
  <c r="I5979" i="38" s="1"/>
  <c r="I427" i="21"/>
  <c r="F5979" i="38" s="1"/>
  <c r="M426" i="21"/>
  <c r="J5978" i="38" s="1"/>
  <c r="L426" i="21"/>
  <c r="I5978" i="38" s="1"/>
  <c r="I426" i="21"/>
  <c r="F5978" i="38" s="1"/>
  <c r="M425" i="21"/>
  <c r="L425" i="21"/>
  <c r="I425" i="21"/>
  <c r="G419" i="21"/>
  <c r="M418" i="21"/>
  <c r="L418" i="21"/>
  <c r="I418" i="21"/>
  <c r="M417" i="21"/>
  <c r="L417" i="21"/>
  <c r="I417" i="21"/>
  <c r="M416" i="21"/>
  <c r="L416" i="21"/>
  <c r="I416" i="21"/>
  <c r="M415" i="21"/>
  <c r="L415" i="21"/>
  <c r="I415" i="21"/>
  <c r="M414" i="21"/>
  <c r="L414" i="21"/>
  <c r="I414" i="21"/>
  <c r="M413" i="21"/>
  <c r="L413" i="21"/>
  <c r="I413" i="21"/>
  <c r="M412" i="21"/>
  <c r="J5970" i="38" s="1"/>
  <c r="L412" i="21"/>
  <c r="I5970" i="38" s="1"/>
  <c r="I412" i="21"/>
  <c r="F5970" i="38" s="1"/>
  <c r="M411" i="21"/>
  <c r="J5969" i="38" s="1"/>
  <c r="L411" i="21"/>
  <c r="I5969" i="38" s="1"/>
  <c r="I411" i="21"/>
  <c r="F5969" i="38" s="1"/>
  <c r="M410" i="21"/>
  <c r="J5968" i="38" s="1"/>
  <c r="L410" i="21"/>
  <c r="I5968" i="38" s="1"/>
  <c r="I410" i="21"/>
  <c r="F5968" i="38" s="1"/>
  <c r="M409" i="21"/>
  <c r="L409" i="21"/>
  <c r="I409" i="21"/>
  <c r="G403" i="21"/>
  <c r="M402" i="21"/>
  <c r="L402" i="21"/>
  <c r="I402" i="21"/>
  <c r="M401" i="21"/>
  <c r="L401" i="21"/>
  <c r="I401" i="21"/>
  <c r="M400" i="21"/>
  <c r="L400" i="21"/>
  <c r="I400" i="21"/>
  <c r="M399" i="21"/>
  <c r="L399" i="21"/>
  <c r="I399" i="21"/>
  <c r="M398" i="21"/>
  <c r="L398" i="21"/>
  <c r="I398" i="21"/>
  <c r="M397" i="21"/>
  <c r="L397" i="21"/>
  <c r="I397" i="21"/>
  <c r="M396" i="21"/>
  <c r="J5960" i="38" s="1"/>
  <c r="L396" i="21"/>
  <c r="I5960" i="38" s="1"/>
  <c r="I396" i="21"/>
  <c r="F5960" i="38" s="1"/>
  <c r="M395" i="21"/>
  <c r="J5959" i="38" s="1"/>
  <c r="L395" i="21"/>
  <c r="I5959" i="38" s="1"/>
  <c r="I395" i="21"/>
  <c r="F5959" i="38" s="1"/>
  <c r="M394" i="21"/>
  <c r="J5958" i="38" s="1"/>
  <c r="L394" i="21"/>
  <c r="I5958" i="38" s="1"/>
  <c r="I394" i="21"/>
  <c r="F5958" i="38" s="1"/>
  <c r="M393" i="21"/>
  <c r="L393" i="21"/>
  <c r="I393" i="21"/>
  <c r="G387" i="21"/>
  <c r="M386" i="21"/>
  <c r="L386" i="21"/>
  <c r="I386" i="21"/>
  <c r="M385" i="21"/>
  <c r="L385" i="21"/>
  <c r="I385" i="21"/>
  <c r="M384" i="21"/>
  <c r="L384" i="21"/>
  <c r="I384" i="21"/>
  <c r="M383" i="21"/>
  <c r="L383" i="21"/>
  <c r="I383" i="21"/>
  <c r="M382" i="21"/>
  <c r="L382" i="21"/>
  <c r="I382" i="21"/>
  <c r="M381" i="21"/>
  <c r="L381" i="21"/>
  <c r="I381" i="21"/>
  <c r="M380" i="21"/>
  <c r="J5950" i="38" s="1"/>
  <c r="L380" i="21"/>
  <c r="I5950" i="38" s="1"/>
  <c r="I380" i="21"/>
  <c r="F5950" i="38" s="1"/>
  <c r="M379" i="21"/>
  <c r="J5949" i="38" s="1"/>
  <c r="L379" i="21"/>
  <c r="I5949" i="38" s="1"/>
  <c r="I379" i="21"/>
  <c r="F5949" i="38" s="1"/>
  <c r="M378" i="21"/>
  <c r="J5948" i="38" s="1"/>
  <c r="L378" i="21"/>
  <c r="I5948" i="38" s="1"/>
  <c r="I378" i="21"/>
  <c r="F5948" i="38" s="1"/>
  <c r="M377" i="21"/>
  <c r="L377" i="21"/>
  <c r="I377" i="21"/>
  <c r="G371" i="21"/>
  <c r="M370" i="21"/>
  <c r="L370" i="21"/>
  <c r="I370" i="21"/>
  <c r="M369" i="21"/>
  <c r="L369" i="21"/>
  <c r="I369" i="21"/>
  <c r="M368" i="21"/>
  <c r="L368" i="21"/>
  <c r="I368" i="21"/>
  <c r="M367" i="21"/>
  <c r="L367" i="21"/>
  <c r="I367" i="21"/>
  <c r="M366" i="21"/>
  <c r="L366" i="21"/>
  <c r="I366" i="21"/>
  <c r="M365" i="21"/>
  <c r="L365" i="21"/>
  <c r="I365" i="21"/>
  <c r="M364" i="21"/>
  <c r="J5940" i="38" s="1"/>
  <c r="L364" i="21"/>
  <c r="I5940" i="38" s="1"/>
  <c r="I364" i="21"/>
  <c r="F5940" i="38" s="1"/>
  <c r="M363" i="21"/>
  <c r="J5939" i="38" s="1"/>
  <c r="L363" i="21"/>
  <c r="I5939" i="38" s="1"/>
  <c r="I363" i="21"/>
  <c r="F5939" i="38" s="1"/>
  <c r="M362" i="21"/>
  <c r="J5938" i="38" s="1"/>
  <c r="L362" i="21"/>
  <c r="I5938" i="38" s="1"/>
  <c r="I362" i="21"/>
  <c r="F5938" i="38" s="1"/>
  <c r="M361" i="21"/>
  <c r="L361" i="21"/>
  <c r="I361" i="21"/>
  <c r="G355" i="21"/>
  <c r="M354" i="21"/>
  <c r="L354" i="21"/>
  <c r="I354" i="21"/>
  <c r="M353" i="21"/>
  <c r="L353" i="21"/>
  <c r="I353" i="21"/>
  <c r="M352" i="21"/>
  <c r="L352" i="21"/>
  <c r="I352" i="21"/>
  <c r="M351" i="21"/>
  <c r="L351" i="21"/>
  <c r="I351" i="21"/>
  <c r="M350" i="21"/>
  <c r="L350" i="21"/>
  <c r="I350" i="21"/>
  <c r="M349" i="21"/>
  <c r="L349" i="21"/>
  <c r="I349" i="21"/>
  <c r="M348" i="21"/>
  <c r="L348" i="21"/>
  <c r="I348" i="21"/>
  <c r="M347" i="21"/>
  <c r="L347" i="21"/>
  <c r="I347" i="21"/>
  <c r="M346" i="21"/>
  <c r="L346" i="21"/>
  <c r="I346" i="21"/>
  <c r="M345" i="21"/>
  <c r="L345" i="21"/>
  <c r="I345" i="21"/>
  <c r="G339" i="21"/>
  <c r="M338" i="21"/>
  <c r="L338" i="21"/>
  <c r="I338" i="21"/>
  <c r="M337" i="21"/>
  <c r="L337" i="21"/>
  <c r="I337" i="21"/>
  <c r="M336" i="21"/>
  <c r="L336" i="21"/>
  <c r="I336" i="21"/>
  <c r="M335" i="21"/>
  <c r="L335" i="21"/>
  <c r="I335" i="21"/>
  <c r="M334" i="21"/>
  <c r="L334" i="21"/>
  <c r="I334" i="21"/>
  <c r="M333" i="21"/>
  <c r="L333" i="21"/>
  <c r="I333" i="21"/>
  <c r="M332" i="21"/>
  <c r="L332" i="21"/>
  <c r="I332" i="21"/>
  <c r="M331" i="21"/>
  <c r="L331" i="21"/>
  <c r="I331" i="21"/>
  <c r="M330" i="21"/>
  <c r="L330" i="21"/>
  <c r="I330" i="21"/>
  <c r="M329" i="21"/>
  <c r="L329" i="21"/>
  <c r="I329" i="21"/>
  <c r="K293" i="21"/>
  <c r="BH68" i="38" s="1"/>
  <c r="K281" i="21"/>
  <c r="BF68" i="38" s="1"/>
  <c r="K270" i="21"/>
  <c r="BD68" i="38" s="1"/>
  <c r="E269" i="21"/>
  <c r="C269" i="21"/>
  <c r="E268" i="21"/>
  <c r="C268" i="21"/>
  <c r="E267" i="21"/>
  <c r="C267" i="21"/>
  <c r="E266" i="21"/>
  <c r="C266" i="21"/>
  <c r="BC68" i="38"/>
  <c r="BB68" i="38"/>
  <c r="K203" i="21"/>
  <c r="AZ68" i="38" s="1"/>
  <c r="K193" i="21"/>
  <c r="AR68" i="38" s="1"/>
  <c r="Q192" i="21"/>
  <c r="O192" i="21"/>
  <c r="M192" i="21"/>
  <c r="K192" i="21"/>
  <c r="AN68" i="38"/>
  <c r="K142" i="21"/>
  <c r="AF68" i="38" s="1"/>
  <c r="AA68" i="38"/>
  <c r="S68" i="38"/>
  <c r="Q68" i="38"/>
  <c r="P68" i="38"/>
  <c r="O68" i="38"/>
  <c r="K84" i="21"/>
  <c r="N68" i="38" s="1"/>
  <c r="AD10" i="21"/>
  <c r="AA10" i="21"/>
  <c r="Z85" i="21"/>
  <c r="T6" i="21"/>
  <c r="T4" i="21"/>
  <c r="T2" i="21"/>
  <c r="E68" i="38" s="1"/>
  <c r="G611" i="22"/>
  <c r="M610" i="22"/>
  <c r="L610" i="22"/>
  <c r="I610" i="22"/>
  <c r="M609" i="22"/>
  <c r="L609" i="22"/>
  <c r="I609" i="22"/>
  <c r="M608" i="22"/>
  <c r="L608" i="22"/>
  <c r="I608" i="22"/>
  <c r="M607" i="22"/>
  <c r="L607" i="22"/>
  <c r="I607" i="22"/>
  <c r="M606" i="22"/>
  <c r="L606" i="22"/>
  <c r="I606" i="22"/>
  <c r="M605" i="22"/>
  <c r="L605" i="22"/>
  <c r="I605" i="22"/>
  <c r="M604" i="22"/>
  <c r="J6270" i="38" s="1"/>
  <c r="L604" i="22"/>
  <c r="I6270" i="38" s="1"/>
  <c r="I604" i="22"/>
  <c r="F6270" i="38" s="1"/>
  <c r="M603" i="22"/>
  <c r="J6269" i="38" s="1"/>
  <c r="L603" i="22"/>
  <c r="I6269" i="38" s="1"/>
  <c r="I603" i="22"/>
  <c r="F6269" i="38" s="1"/>
  <c r="M602" i="22"/>
  <c r="J6268" i="38" s="1"/>
  <c r="L602" i="22"/>
  <c r="I6268" i="38" s="1"/>
  <c r="I602" i="22"/>
  <c r="F6268" i="38" s="1"/>
  <c r="M601" i="22"/>
  <c r="L601" i="22"/>
  <c r="I601" i="22"/>
  <c r="G595" i="22"/>
  <c r="M594" i="22"/>
  <c r="L594" i="22"/>
  <c r="I594" i="22"/>
  <c r="M593" i="22"/>
  <c r="L593" i="22"/>
  <c r="I593" i="22"/>
  <c r="M592" i="22"/>
  <c r="L592" i="22"/>
  <c r="I592" i="22"/>
  <c r="M591" i="22"/>
  <c r="L591" i="22"/>
  <c r="I591" i="22"/>
  <c r="M590" i="22"/>
  <c r="L590" i="22"/>
  <c r="I590" i="22"/>
  <c r="M589" i="22"/>
  <c r="L589" i="22"/>
  <c r="I589" i="22"/>
  <c r="M588" i="22"/>
  <c r="J6260" i="38" s="1"/>
  <c r="L588" i="22"/>
  <c r="I6260" i="38" s="1"/>
  <c r="I588" i="22"/>
  <c r="F6260" i="38" s="1"/>
  <c r="M587" i="22"/>
  <c r="J6259" i="38" s="1"/>
  <c r="L587" i="22"/>
  <c r="I6259" i="38" s="1"/>
  <c r="I587" i="22"/>
  <c r="F6259" i="38" s="1"/>
  <c r="M586" i="22"/>
  <c r="J6258" i="38" s="1"/>
  <c r="L586" i="22"/>
  <c r="I6258" i="38" s="1"/>
  <c r="I586" i="22"/>
  <c r="F6258" i="38" s="1"/>
  <c r="M585" i="22"/>
  <c r="L585" i="22"/>
  <c r="I585" i="22"/>
  <c r="G579" i="22"/>
  <c r="M578" i="22"/>
  <c r="L578" i="22"/>
  <c r="I578" i="22"/>
  <c r="M577" i="22"/>
  <c r="L577" i="22"/>
  <c r="I577" i="22"/>
  <c r="M576" i="22"/>
  <c r="L576" i="22"/>
  <c r="I576" i="22"/>
  <c r="M575" i="22"/>
  <c r="L575" i="22"/>
  <c r="I575" i="22"/>
  <c r="M574" i="22"/>
  <c r="L574" i="22"/>
  <c r="I574" i="22"/>
  <c r="M573" i="22"/>
  <c r="L573" i="22"/>
  <c r="I573" i="22"/>
  <c r="M572" i="22"/>
  <c r="J6250" i="38" s="1"/>
  <c r="L572" i="22"/>
  <c r="I6250" i="38" s="1"/>
  <c r="I572" i="22"/>
  <c r="F6250" i="38" s="1"/>
  <c r="M571" i="22"/>
  <c r="J6249" i="38" s="1"/>
  <c r="L571" i="22"/>
  <c r="I6249" i="38" s="1"/>
  <c r="I571" i="22"/>
  <c r="F6249" i="38" s="1"/>
  <c r="M570" i="22"/>
  <c r="J6248" i="38" s="1"/>
  <c r="L570" i="22"/>
  <c r="I6248" i="38" s="1"/>
  <c r="I570" i="22"/>
  <c r="F6248" i="38" s="1"/>
  <c r="M569" i="22"/>
  <c r="L569" i="22"/>
  <c r="I569" i="22"/>
  <c r="G563" i="22"/>
  <c r="M562" i="22"/>
  <c r="L562" i="22"/>
  <c r="I562" i="22"/>
  <c r="M561" i="22"/>
  <c r="L561" i="22"/>
  <c r="I561" i="22"/>
  <c r="M560" i="22"/>
  <c r="L560" i="22"/>
  <c r="I560" i="22"/>
  <c r="M559" i="22"/>
  <c r="L559" i="22"/>
  <c r="I559" i="22"/>
  <c r="M558" i="22"/>
  <c r="L558" i="22"/>
  <c r="I558" i="22"/>
  <c r="M557" i="22"/>
  <c r="L557" i="22"/>
  <c r="I557" i="22"/>
  <c r="M556" i="22"/>
  <c r="J6240" i="38" s="1"/>
  <c r="L556" i="22"/>
  <c r="I6240" i="38" s="1"/>
  <c r="I556" i="22"/>
  <c r="F6240" i="38" s="1"/>
  <c r="M555" i="22"/>
  <c r="J6239" i="38" s="1"/>
  <c r="L555" i="22"/>
  <c r="I6239" i="38" s="1"/>
  <c r="I555" i="22"/>
  <c r="F6239" i="38" s="1"/>
  <c r="M554" i="22"/>
  <c r="J6238" i="38" s="1"/>
  <c r="L554" i="22"/>
  <c r="I6238" i="38" s="1"/>
  <c r="I554" i="22"/>
  <c r="F6238" i="38" s="1"/>
  <c r="M553" i="22"/>
  <c r="L553" i="22"/>
  <c r="I553" i="22"/>
  <c r="G547" i="22"/>
  <c r="M546" i="22"/>
  <c r="L546" i="22"/>
  <c r="I546" i="22"/>
  <c r="M545" i="22"/>
  <c r="L545" i="22"/>
  <c r="I545" i="22"/>
  <c r="M544" i="22"/>
  <c r="L544" i="22"/>
  <c r="I544" i="22"/>
  <c r="M543" i="22"/>
  <c r="L543" i="22"/>
  <c r="I543" i="22"/>
  <c r="M542" i="22"/>
  <c r="L542" i="22"/>
  <c r="I542" i="22"/>
  <c r="M541" i="22"/>
  <c r="L541" i="22"/>
  <c r="I541" i="22"/>
  <c r="M540" i="22"/>
  <c r="J6230" i="38" s="1"/>
  <c r="L540" i="22"/>
  <c r="I6230" i="38" s="1"/>
  <c r="I540" i="22"/>
  <c r="F6230" i="38" s="1"/>
  <c r="M539" i="22"/>
  <c r="J6229" i="38" s="1"/>
  <c r="L539" i="22"/>
  <c r="I6229" i="38" s="1"/>
  <c r="I539" i="22"/>
  <c r="F6229" i="38" s="1"/>
  <c r="M538" i="22"/>
  <c r="J6228" i="38" s="1"/>
  <c r="L538" i="22"/>
  <c r="I6228" i="38" s="1"/>
  <c r="I538" i="22"/>
  <c r="F6228" i="38" s="1"/>
  <c r="M537" i="22"/>
  <c r="L537" i="22"/>
  <c r="I537" i="22"/>
  <c r="G531" i="22"/>
  <c r="M530" i="22"/>
  <c r="L530" i="22"/>
  <c r="I530" i="22"/>
  <c r="M529" i="22"/>
  <c r="L529" i="22"/>
  <c r="I529" i="22"/>
  <c r="M528" i="22"/>
  <c r="L528" i="22"/>
  <c r="I528" i="22"/>
  <c r="M527" i="22"/>
  <c r="L527" i="22"/>
  <c r="I527" i="22"/>
  <c r="M526" i="22"/>
  <c r="L526" i="22"/>
  <c r="I526" i="22"/>
  <c r="M525" i="22"/>
  <c r="L525" i="22"/>
  <c r="I525" i="22"/>
  <c r="M524" i="22"/>
  <c r="J6220" i="38" s="1"/>
  <c r="L524" i="22"/>
  <c r="I6220" i="38" s="1"/>
  <c r="I524" i="22"/>
  <c r="F6220" i="38" s="1"/>
  <c r="M523" i="22"/>
  <c r="J6219" i="38" s="1"/>
  <c r="L523" i="22"/>
  <c r="I6219" i="38" s="1"/>
  <c r="I523" i="22"/>
  <c r="F6219" i="38" s="1"/>
  <c r="M522" i="22"/>
  <c r="J6218" i="38" s="1"/>
  <c r="L522" i="22"/>
  <c r="I6218" i="38" s="1"/>
  <c r="I522" i="22"/>
  <c r="F6218" i="38" s="1"/>
  <c r="M521" i="22"/>
  <c r="L521" i="22"/>
  <c r="I521" i="22"/>
  <c r="G515" i="22"/>
  <c r="M514" i="22"/>
  <c r="L514" i="22"/>
  <c r="I514" i="22"/>
  <c r="M513" i="22"/>
  <c r="L513" i="22"/>
  <c r="I513" i="22"/>
  <c r="M512" i="22"/>
  <c r="L512" i="22"/>
  <c r="I512" i="22"/>
  <c r="M511" i="22"/>
  <c r="L511" i="22"/>
  <c r="I511" i="22"/>
  <c r="M510" i="22"/>
  <c r="L510" i="22"/>
  <c r="I510" i="22"/>
  <c r="M509" i="22"/>
  <c r="L509" i="22"/>
  <c r="I509" i="22"/>
  <c r="M508" i="22"/>
  <c r="J6210" i="38" s="1"/>
  <c r="L508" i="22"/>
  <c r="I6210" i="38" s="1"/>
  <c r="I508" i="22"/>
  <c r="F6210" i="38" s="1"/>
  <c r="M507" i="22"/>
  <c r="J6209" i="38" s="1"/>
  <c r="L507" i="22"/>
  <c r="I6209" i="38" s="1"/>
  <c r="I507" i="22"/>
  <c r="F6209" i="38" s="1"/>
  <c r="M506" i="22"/>
  <c r="J6208" i="38" s="1"/>
  <c r="L506" i="22"/>
  <c r="I6208" i="38" s="1"/>
  <c r="I506" i="22"/>
  <c r="F6208" i="38" s="1"/>
  <c r="M505" i="22"/>
  <c r="L505" i="22"/>
  <c r="I505" i="22"/>
  <c r="G499" i="22"/>
  <c r="M498" i="22"/>
  <c r="L498" i="22"/>
  <c r="I498" i="22"/>
  <c r="M497" i="22"/>
  <c r="L497" i="22"/>
  <c r="I497" i="22"/>
  <c r="M496" i="22"/>
  <c r="L496" i="22"/>
  <c r="I496" i="22"/>
  <c r="M495" i="22"/>
  <c r="L495" i="22"/>
  <c r="I495" i="22"/>
  <c r="M494" i="22"/>
  <c r="L494" i="22"/>
  <c r="I494" i="22"/>
  <c r="M493" i="22"/>
  <c r="L493" i="22"/>
  <c r="I493" i="22"/>
  <c r="M492" i="22"/>
  <c r="J6200" i="38" s="1"/>
  <c r="L492" i="22"/>
  <c r="I6200" i="38" s="1"/>
  <c r="I492" i="22"/>
  <c r="F6200" i="38" s="1"/>
  <c r="M491" i="22"/>
  <c r="J6199" i="38" s="1"/>
  <c r="L491" i="22"/>
  <c r="I6199" i="38" s="1"/>
  <c r="I491" i="22"/>
  <c r="F6199" i="38" s="1"/>
  <c r="M490" i="22"/>
  <c r="J6198" i="38" s="1"/>
  <c r="L490" i="22"/>
  <c r="I6198" i="38" s="1"/>
  <c r="I490" i="22"/>
  <c r="F6198" i="38" s="1"/>
  <c r="M489" i="22"/>
  <c r="L489" i="22"/>
  <c r="I489" i="22"/>
  <c r="G483" i="22"/>
  <c r="M482" i="22"/>
  <c r="L482" i="22"/>
  <c r="I482" i="22"/>
  <c r="M481" i="22"/>
  <c r="L481" i="22"/>
  <c r="I481" i="22"/>
  <c r="M480" i="22"/>
  <c r="L480" i="22"/>
  <c r="I480" i="22"/>
  <c r="M479" i="22"/>
  <c r="L479" i="22"/>
  <c r="I479" i="22"/>
  <c r="M478" i="22"/>
  <c r="L478" i="22"/>
  <c r="I478" i="22"/>
  <c r="M477" i="22"/>
  <c r="L477" i="22"/>
  <c r="I477" i="22"/>
  <c r="M476" i="22"/>
  <c r="J6190" i="38" s="1"/>
  <c r="L476" i="22"/>
  <c r="I6190" i="38" s="1"/>
  <c r="I476" i="22"/>
  <c r="F6190" i="38" s="1"/>
  <c r="M475" i="22"/>
  <c r="J6189" i="38" s="1"/>
  <c r="L475" i="22"/>
  <c r="I6189" i="38" s="1"/>
  <c r="I475" i="22"/>
  <c r="F6189" i="38" s="1"/>
  <c r="M474" i="22"/>
  <c r="J6188" i="38" s="1"/>
  <c r="L474" i="22"/>
  <c r="I6188" i="38" s="1"/>
  <c r="I474" i="22"/>
  <c r="F6188" i="38" s="1"/>
  <c r="M473" i="22"/>
  <c r="L473" i="22"/>
  <c r="I473" i="22"/>
  <c r="G467" i="22"/>
  <c r="M466" i="22"/>
  <c r="L466" i="22"/>
  <c r="I466" i="22"/>
  <c r="M465" i="22"/>
  <c r="L465" i="22"/>
  <c r="I465" i="22"/>
  <c r="M464" i="22"/>
  <c r="L464" i="22"/>
  <c r="I464" i="22"/>
  <c r="M463" i="22"/>
  <c r="L463" i="22"/>
  <c r="I463" i="22"/>
  <c r="M462" i="22"/>
  <c r="L462" i="22"/>
  <c r="I462" i="22"/>
  <c r="M461" i="22"/>
  <c r="L461" i="22"/>
  <c r="I461" i="22"/>
  <c r="M460" i="22"/>
  <c r="J6180" i="38" s="1"/>
  <c r="L460" i="22"/>
  <c r="I6180" i="38" s="1"/>
  <c r="I460" i="22"/>
  <c r="F6180" i="38" s="1"/>
  <c r="M459" i="22"/>
  <c r="J6179" i="38" s="1"/>
  <c r="L459" i="22"/>
  <c r="I6179" i="38" s="1"/>
  <c r="I459" i="22"/>
  <c r="F6179" i="38" s="1"/>
  <c r="M458" i="22"/>
  <c r="J6178" i="38" s="1"/>
  <c r="L458" i="22"/>
  <c r="I6178" i="38" s="1"/>
  <c r="I458" i="22"/>
  <c r="F6178" i="38" s="1"/>
  <c r="M457" i="22"/>
  <c r="L457" i="22"/>
  <c r="I457" i="22"/>
  <c r="G451" i="22"/>
  <c r="M450" i="22"/>
  <c r="L450" i="22"/>
  <c r="I450" i="22"/>
  <c r="M449" i="22"/>
  <c r="L449" i="22"/>
  <c r="I449" i="22"/>
  <c r="M448" i="22"/>
  <c r="L448" i="22"/>
  <c r="I448" i="22"/>
  <c r="M447" i="22"/>
  <c r="L447" i="22"/>
  <c r="I447" i="22"/>
  <c r="M446" i="22"/>
  <c r="L446" i="22"/>
  <c r="I446" i="22"/>
  <c r="M445" i="22"/>
  <c r="L445" i="22"/>
  <c r="I445" i="22"/>
  <c r="M444" i="22"/>
  <c r="J6170" i="38" s="1"/>
  <c r="L444" i="22"/>
  <c r="I6170" i="38" s="1"/>
  <c r="I444" i="22"/>
  <c r="F6170" i="38" s="1"/>
  <c r="M443" i="22"/>
  <c r="J6169" i="38" s="1"/>
  <c r="L443" i="22"/>
  <c r="I6169" i="38" s="1"/>
  <c r="I443" i="22"/>
  <c r="F6169" i="38" s="1"/>
  <c r="M442" i="22"/>
  <c r="J6168" i="38" s="1"/>
  <c r="L442" i="22"/>
  <c r="I6168" i="38" s="1"/>
  <c r="I442" i="22"/>
  <c r="F6168" i="38" s="1"/>
  <c r="M441" i="22"/>
  <c r="L441" i="22"/>
  <c r="I441" i="22"/>
  <c r="G435" i="22"/>
  <c r="M434" i="22"/>
  <c r="L434" i="22"/>
  <c r="I434" i="22"/>
  <c r="M433" i="22"/>
  <c r="L433" i="22"/>
  <c r="I433" i="22"/>
  <c r="M432" i="22"/>
  <c r="L432" i="22"/>
  <c r="I432" i="22"/>
  <c r="M431" i="22"/>
  <c r="L431" i="22"/>
  <c r="I431" i="22"/>
  <c r="M430" i="22"/>
  <c r="L430" i="22"/>
  <c r="I430" i="22"/>
  <c r="M429" i="22"/>
  <c r="L429" i="22"/>
  <c r="I429" i="22"/>
  <c r="M428" i="22"/>
  <c r="J6160" i="38" s="1"/>
  <c r="L428" i="22"/>
  <c r="I6160" i="38" s="1"/>
  <c r="I428" i="22"/>
  <c r="F6160" i="38" s="1"/>
  <c r="M427" i="22"/>
  <c r="J6159" i="38" s="1"/>
  <c r="L427" i="22"/>
  <c r="I6159" i="38" s="1"/>
  <c r="I427" i="22"/>
  <c r="F6159" i="38" s="1"/>
  <c r="M426" i="22"/>
  <c r="J6158" i="38" s="1"/>
  <c r="L426" i="22"/>
  <c r="I6158" i="38" s="1"/>
  <c r="I426" i="22"/>
  <c r="F6158" i="38" s="1"/>
  <c r="M425" i="22"/>
  <c r="L425" i="22"/>
  <c r="I425" i="22"/>
  <c r="G419" i="22"/>
  <c r="M418" i="22"/>
  <c r="L418" i="22"/>
  <c r="I418" i="22"/>
  <c r="M417" i="22"/>
  <c r="L417" i="22"/>
  <c r="I417" i="22"/>
  <c r="M416" i="22"/>
  <c r="L416" i="22"/>
  <c r="I416" i="22"/>
  <c r="M415" i="22"/>
  <c r="L415" i="22"/>
  <c r="I415" i="22"/>
  <c r="M414" i="22"/>
  <c r="L414" i="22"/>
  <c r="I414" i="22"/>
  <c r="M413" i="22"/>
  <c r="L413" i="22"/>
  <c r="I413" i="22"/>
  <c r="M412" i="22"/>
  <c r="J6150" i="38" s="1"/>
  <c r="L412" i="22"/>
  <c r="I6150" i="38" s="1"/>
  <c r="I412" i="22"/>
  <c r="F6150" i="38" s="1"/>
  <c r="M411" i="22"/>
  <c r="J6149" i="38" s="1"/>
  <c r="L411" i="22"/>
  <c r="I6149" i="38" s="1"/>
  <c r="I411" i="22"/>
  <c r="F6149" i="38" s="1"/>
  <c r="M410" i="22"/>
  <c r="J6148" i="38" s="1"/>
  <c r="L410" i="22"/>
  <c r="I6148" i="38" s="1"/>
  <c r="I410" i="22"/>
  <c r="F6148" i="38" s="1"/>
  <c r="M409" i="22"/>
  <c r="L409" i="22"/>
  <c r="I409" i="22"/>
  <c r="G403" i="22"/>
  <c r="M402" i="22"/>
  <c r="L402" i="22"/>
  <c r="I402" i="22"/>
  <c r="M401" i="22"/>
  <c r="L401" i="22"/>
  <c r="I401" i="22"/>
  <c r="M400" i="22"/>
  <c r="L400" i="22"/>
  <c r="I400" i="22"/>
  <c r="M399" i="22"/>
  <c r="L399" i="22"/>
  <c r="I399" i="22"/>
  <c r="M398" i="22"/>
  <c r="L398" i="22"/>
  <c r="I398" i="22"/>
  <c r="M397" i="22"/>
  <c r="L397" i="22"/>
  <c r="I397" i="22"/>
  <c r="M396" i="22"/>
  <c r="J6140" i="38" s="1"/>
  <c r="L396" i="22"/>
  <c r="I6140" i="38" s="1"/>
  <c r="I396" i="22"/>
  <c r="F6140" i="38" s="1"/>
  <c r="M395" i="22"/>
  <c r="J6139" i="38" s="1"/>
  <c r="L395" i="22"/>
  <c r="I6139" i="38" s="1"/>
  <c r="I395" i="22"/>
  <c r="F6139" i="38" s="1"/>
  <c r="M394" i="22"/>
  <c r="J6138" i="38" s="1"/>
  <c r="L394" i="22"/>
  <c r="I6138" i="38" s="1"/>
  <c r="I394" i="22"/>
  <c r="F6138" i="38" s="1"/>
  <c r="M393" i="22"/>
  <c r="L393" i="22"/>
  <c r="I393" i="22"/>
  <c r="G387" i="22"/>
  <c r="M386" i="22"/>
  <c r="L386" i="22"/>
  <c r="I386" i="22"/>
  <c r="M385" i="22"/>
  <c r="L385" i="22"/>
  <c r="I385" i="22"/>
  <c r="M384" i="22"/>
  <c r="L384" i="22"/>
  <c r="I384" i="22"/>
  <c r="M383" i="22"/>
  <c r="L383" i="22"/>
  <c r="I383" i="22"/>
  <c r="M382" i="22"/>
  <c r="L382" i="22"/>
  <c r="I382" i="22"/>
  <c r="M381" i="22"/>
  <c r="L381" i="22"/>
  <c r="I381" i="22"/>
  <c r="M380" i="22"/>
  <c r="J6130" i="38" s="1"/>
  <c r="L380" i="22"/>
  <c r="I6130" i="38" s="1"/>
  <c r="I380" i="22"/>
  <c r="F6130" i="38" s="1"/>
  <c r="M379" i="22"/>
  <c r="J6129" i="38" s="1"/>
  <c r="L379" i="22"/>
  <c r="I6129" i="38" s="1"/>
  <c r="I379" i="22"/>
  <c r="F6129" i="38" s="1"/>
  <c r="M378" i="22"/>
  <c r="J6128" i="38" s="1"/>
  <c r="L378" i="22"/>
  <c r="I6128" i="38" s="1"/>
  <c r="I378" i="22"/>
  <c r="F6128" i="38" s="1"/>
  <c r="M377" i="22"/>
  <c r="L377" i="22"/>
  <c r="I377" i="22"/>
  <c r="G371" i="22"/>
  <c r="M370" i="22"/>
  <c r="L370" i="22"/>
  <c r="I370" i="22"/>
  <c r="M369" i="22"/>
  <c r="L369" i="22"/>
  <c r="I369" i="22"/>
  <c r="M368" i="22"/>
  <c r="L368" i="22"/>
  <c r="I368" i="22"/>
  <c r="M367" i="22"/>
  <c r="L367" i="22"/>
  <c r="I367" i="22"/>
  <c r="M366" i="22"/>
  <c r="L366" i="22"/>
  <c r="I366" i="22"/>
  <c r="M365" i="22"/>
  <c r="L365" i="22"/>
  <c r="I365" i="22"/>
  <c r="M364" i="22"/>
  <c r="J6120" i="38" s="1"/>
  <c r="L364" i="22"/>
  <c r="I6120" i="38" s="1"/>
  <c r="I364" i="22"/>
  <c r="F6120" i="38" s="1"/>
  <c r="M363" i="22"/>
  <c r="J6119" i="38" s="1"/>
  <c r="L363" i="22"/>
  <c r="I6119" i="38" s="1"/>
  <c r="I363" i="22"/>
  <c r="F6119" i="38" s="1"/>
  <c r="M362" i="22"/>
  <c r="J6118" i="38" s="1"/>
  <c r="L362" i="22"/>
  <c r="I6118" i="38" s="1"/>
  <c r="I362" i="22"/>
  <c r="F6118" i="38" s="1"/>
  <c r="M361" i="22"/>
  <c r="L361" i="22"/>
  <c r="I361" i="22"/>
  <c r="G355" i="22"/>
  <c r="M354" i="22"/>
  <c r="L354" i="22"/>
  <c r="I354" i="22"/>
  <c r="M353" i="22"/>
  <c r="L353" i="22"/>
  <c r="I353" i="22"/>
  <c r="M352" i="22"/>
  <c r="L352" i="22"/>
  <c r="I352" i="22"/>
  <c r="M351" i="22"/>
  <c r="L351" i="22"/>
  <c r="I351" i="22"/>
  <c r="M350" i="22"/>
  <c r="L350" i="22"/>
  <c r="I350" i="22"/>
  <c r="M349" i="22"/>
  <c r="L349" i="22"/>
  <c r="I349" i="22"/>
  <c r="M348" i="22"/>
  <c r="L348" i="22"/>
  <c r="I348" i="22"/>
  <c r="M347" i="22"/>
  <c r="L347" i="22"/>
  <c r="I347" i="22"/>
  <c r="M346" i="22"/>
  <c r="L346" i="22"/>
  <c r="I346" i="22"/>
  <c r="M345" i="22"/>
  <c r="L345" i="22"/>
  <c r="I345" i="22"/>
  <c r="G339" i="22"/>
  <c r="M338" i="22"/>
  <c r="L338" i="22"/>
  <c r="I338" i="22"/>
  <c r="M337" i="22"/>
  <c r="L337" i="22"/>
  <c r="I337" i="22"/>
  <c r="M336" i="22"/>
  <c r="L336" i="22"/>
  <c r="I336" i="22"/>
  <c r="M335" i="22"/>
  <c r="L335" i="22"/>
  <c r="I335" i="22"/>
  <c r="M334" i="22"/>
  <c r="L334" i="22"/>
  <c r="I334" i="22"/>
  <c r="M333" i="22"/>
  <c r="L333" i="22"/>
  <c r="I333" i="22"/>
  <c r="M332" i="22"/>
  <c r="L332" i="22"/>
  <c r="I332" i="22"/>
  <c r="M331" i="22"/>
  <c r="L331" i="22"/>
  <c r="I331" i="22"/>
  <c r="M330" i="22"/>
  <c r="L330" i="22"/>
  <c r="I330" i="22"/>
  <c r="M329" i="22"/>
  <c r="L329" i="22"/>
  <c r="I329" i="22"/>
  <c r="K293" i="22"/>
  <c r="BH69" i="38" s="1"/>
  <c r="K281" i="22"/>
  <c r="BF69" i="38" s="1"/>
  <c r="K270" i="22"/>
  <c r="BD69" i="38" s="1"/>
  <c r="E269" i="22"/>
  <c r="C269" i="22"/>
  <c r="E268" i="22"/>
  <c r="C268" i="22"/>
  <c r="E267" i="22"/>
  <c r="C267" i="22"/>
  <c r="E266" i="22"/>
  <c r="C266" i="22"/>
  <c r="BC69" i="38"/>
  <c r="BB69" i="38"/>
  <c r="K203" i="22"/>
  <c r="AZ69" i="38" s="1"/>
  <c r="K193" i="22"/>
  <c r="AR69" i="38" s="1"/>
  <c r="Q192" i="22"/>
  <c r="O192" i="22"/>
  <c r="M192" i="22"/>
  <c r="K192" i="22"/>
  <c r="AN69" i="38"/>
  <c r="K142" i="22"/>
  <c r="AF69" i="38" s="1"/>
  <c r="AA69" i="38"/>
  <c r="S69" i="38"/>
  <c r="Q69" i="38"/>
  <c r="P69" i="38"/>
  <c r="O69" i="38"/>
  <c r="K84" i="22"/>
  <c r="N69" i="38" s="1"/>
  <c r="AD10" i="22"/>
  <c r="AA10" i="22"/>
  <c r="Z85" i="22"/>
  <c r="T6" i="22"/>
  <c r="T4" i="22"/>
  <c r="T2" i="22"/>
  <c r="E69" i="38" s="1"/>
  <c r="G611" i="23"/>
  <c r="M610" i="23"/>
  <c r="L610" i="23"/>
  <c r="I610" i="23"/>
  <c r="M609" i="23"/>
  <c r="L609" i="23"/>
  <c r="I609" i="23"/>
  <c r="M608" i="23"/>
  <c r="L608" i="23"/>
  <c r="I608" i="23"/>
  <c r="M607" i="23"/>
  <c r="L607" i="23"/>
  <c r="I607" i="23"/>
  <c r="M606" i="23"/>
  <c r="L606" i="23"/>
  <c r="I606" i="23"/>
  <c r="M605" i="23"/>
  <c r="L605" i="23"/>
  <c r="I605" i="23"/>
  <c r="M604" i="23"/>
  <c r="J6450" i="38" s="1"/>
  <c r="L604" i="23"/>
  <c r="I6450" i="38" s="1"/>
  <c r="I604" i="23"/>
  <c r="F6450" i="38" s="1"/>
  <c r="M603" i="23"/>
  <c r="J6449" i="38" s="1"/>
  <c r="L603" i="23"/>
  <c r="I6449" i="38" s="1"/>
  <c r="I603" i="23"/>
  <c r="F6449" i="38" s="1"/>
  <c r="M602" i="23"/>
  <c r="J6448" i="38" s="1"/>
  <c r="L602" i="23"/>
  <c r="I6448" i="38" s="1"/>
  <c r="I602" i="23"/>
  <c r="F6448" i="38" s="1"/>
  <c r="M601" i="23"/>
  <c r="L601" i="23"/>
  <c r="I601" i="23"/>
  <c r="G595" i="23"/>
  <c r="M594" i="23"/>
  <c r="L594" i="23"/>
  <c r="I594" i="23"/>
  <c r="M593" i="23"/>
  <c r="L593" i="23"/>
  <c r="I593" i="23"/>
  <c r="M592" i="23"/>
  <c r="L592" i="23"/>
  <c r="I592" i="23"/>
  <c r="M591" i="23"/>
  <c r="L591" i="23"/>
  <c r="I591" i="23"/>
  <c r="M590" i="23"/>
  <c r="L590" i="23"/>
  <c r="I590" i="23"/>
  <c r="M589" i="23"/>
  <c r="L589" i="23"/>
  <c r="I589" i="23"/>
  <c r="M588" i="23"/>
  <c r="J6440" i="38" s="1"/>
  <c r="L588" i="23"/>
  <c r="I6440" i="38" s="1"/>
  <c r="I588" i="23"/>
  <c r="F6440" i="38" s="1"/>
  <c r="M587" i="23"/>
  <c r="J6439" i="38" s="1"/>
  <c r="L587" i="23"/>
  <c r="I6439" i="38" s="1"/>
  <c r="I587" i="23"/>
  <c r="F6439" i="38" s="1"/>
  <c r="M586" i="23"/>
  <c r="J6438" i="38" s="1"/>
  <c r="L586" i="23"/>
  <c r="I6438" i="38" s="1"/>
  <c r="I586" i="23"/>
  <c r="F6438" i="38" s="1"/>
  <c r="M585" i="23"/>
  <c r="L585" i="23"/>
  <c r="I585" i="23"/>
  <c r="G579" i="23"/>
  <c r="M578" i="23"/>
  <c r="L578" i="23"/>
  <c r="I578" i="23"/>
  <c r="M577" i="23"/>
  <c r="L577" i="23"/>
  <c r="I577" i="23"/>
  <c r="M576" i="23"/>
  <c r="L576" i="23"/>
  <c r="I576" i="23"/>
  <c r="M575" i="23"/>
  <c r="L575" i="23"/>
  <c r="I575" i="23"/>
  <c r="M574" i="23"/>
  <c r="L574" i="23"/>
  <c r="I574" i="23"/>
  <c r="M573" i="23"/>
  <c r="L573" i="23"/>
  <c r="I573" i="23"/>
  <c r="M572" i="23"/>
  <c r="J6430" i="38" s="1"/>
  <c r="L572" i="23"/>
  <c r="I6430" i="38" s="1"/>
  <c r="I572" i="23"/>
  <c r="F6430" i="38" s="1"/>
  <c r="M571" i="23"/>
  <c r="J6429" i="38" s="1"/>
  <c r="L571" i="23"/>
  <c r="I6429" i="38" s="1"/>
  <c r="I571" i="23"/>
  <c r="F6429" i="38" s="1"/>
  <c r="M570" i="23"/>
  <c r="J6428" i="38" s="1"/>
  <c r="L570" i="23"/>
  <c r="I6428" i="38" s="1"/>
  <c r="I570" i="23"/>
  <c r="F6428" i="38" s="1"/>
  <c r="M569" i="23"/>
  <c r="L569" i="23"/>
  <c r="I569" i="23"/>
  <c r="G563" i="23"/>
  <c r="M562" i="23"/>
  <c r="L562" i="23"/>
  <c r="I562" i="23"/>
  <c r="M561" i="23"/>
  <c r="L561" i="23"/>
  <c r="I561" i="23"/>
  <c r="M560" i="23"/>
  <c r="L560" i="23"/>
  <c r="I560" i="23"/>
  <c r="M559" i="23"/>
  <c r="L559" i="23"/>
  <c r="I559" i="23"/>
  <c r="M558" i="23"/>
  <c r="L558" i="23"/>
  <c r="I558" i="23"/>
  <c r="M557" i="23"/>
  <c r="L557" i="23"/>
  <c r="I557" i="23"/>
  <c r="M556" i="23"/>
  <c r="J6420" i="38" s="1"/>
  <c r="L556" i="23"/>
  <c r="I6420" i="38" s="1"/>
  <c r="I556" i="23"/>
  <c r="F6420" i="38" s="1"/>
  <c r="M555" i="23"/>
  <c r="J6419" i="38" s="1"/>
  <c r="L555" i="23"/>
  <c r="I6419" i="38" s="1"/>
  <c r="I555" i="23"/>
  <c r="F6419" i="38" s="1"/>
  <c r="M554" i="23"/>
  <c r="J6418" i="38" s="1"/>
  <c r="L554" i="23"/>
  <c r="I6418" i="38" s="1"/>
  <c r="I554" i="23"/>
  <c r="F6418" i="38" s="1"/>
  <c r="M553" i="23"/>
  <c r="L553" i="23"/>
  <c r="I553" i="23"/>
  <c r="G547" i="23"/>
  <c r="M546" i="23"/>
  <c r="L546" i="23"/>
  <c r="I546" i="23"/>
  <c r="M545" i="23"/>
  <c r="L545" i="23"/>
  <c r="I545" i="23"/>
  <c r="M544" i="23"/>
  <c r="L544" i="23"/>
  <c r="I544" i="23"/>
  <c r="M543" i="23"/>
  <c r="L543" i="23"/>
  <c r="I543" i="23"/>
  <c r="M542" i="23"/>
  <c r="L542" i="23"/>
  <c r="I542" i="23"/>
  <c r="M541" i="23"/>
  <c r="L541" i="23"/>
  <c r="I541" i="23"/>
  <c r="M540" i="23"/>
  <c r="J6410" i="38" s="1"/>
  <c r="L540" i="23"/>
  <c r="I6410" i="38" s="1"/>
  <c r="I540" i="23"/>
  <c r="F6410" i="38" s="1"/>
  <c r="M539" i="23"/>
  <c r="J6409" i="38" s="1"/>
  <c r="L539" i="23"/>
  <c r="I6409" i="38" s="1"/>
  <c r="I539" i="23"/>
  <c r="F6409" i="38" s="1"/>
  <c r="M538" i="23"/>
  <c r="J6408" i="38" s="1"/>
  <c r="L538" i="23"/>
  <c r="I6408" i="38" s="1"/>
  <c r="I538" i="23"/>
  <c r="F6408" i="38" s="1"/>
  <c r="M537" i="23"/>
  <c r="L537" i="23"/>
  <c r="I537" i="23"/>
  <c r="G531" i="23"/>
  <c r="M530" i="23"/>
  <c r="L530" i="23"/>
  <c r="I530" i="23"/>
  <c r="M529" i="23"/>
  <c r="L529" i="23"/>
  <c r="I529" i="23"/>
  <c r="M528" i="23"/>
  <c r="L528" i="23"/>
  <c r="I528" i="23"/>
  <c r="M527" i="23"/>
  <c r="L527" i="23"/>
  <c r="I527" i="23"/>
  <c r="M526" i="23"/>
  <c r="L526" i="23"/>
  <c r="I526" i="23"/>
  <c r="M525" i="23"/>
  <c r="L525" i="23"/>
  <c r="I525" i="23"/>
  <c r="M524" i="23"/>
  <c r="J6400" i="38" s="1"/>
  <c r="L524" i="23"/>
  <c r="I6400" i="38" s="1"/>
  <c r="I524" i="23"/>
  <c r="F6400" i="38" s="1"/>
  <c r="M523" i="23"/>
  <c r="J6399" i="38" s="1"/>
  <c r="L523" i="23"/>
  <c r="I6399" i="38" s="1"/>
  <c r="I523" i="23"/>
  <c r="F6399" i="38" s="1"/>
  <c r="M522" i="23"/>
  <c r="J6398" i="38" s="1"/>
  <c r="L522" i="23"/>
  <c r="I6398" i="38" s="1"/>
  <c r="I522" i="23"/>
  <c r="F6398" i="38" s="1"/>
  <c r="M521" i="23"/>
  <c r="L521" i="23"/>
  <c r="I521" i="23"/>
  <c r="G515" i="23"/>
  <c r="M514" i="23"/>
  <c r="L514" i="23"/>
  <c r="I514" i="23"/>
  <c r="M513" i="23"/>
  <c r="L513" i="23"/>
  <c r="I513" i="23"/>
  <c r="M512" i="23"/>
  <c r="L512" i="23"/>
  <c r="I512" i="23"/>
  <c r="M511" i="23"/>
  <c r="L511" i="23"/>
  <c r="I511" i="23"/>
  <c r="M510" i="23"/>
  <c r="L510" i="23"/>
  <c r="I510" i="23"/>
  <c r="M509" i="23"/>
  <c r="L509" i="23"/>
  <c r="I509" i="23"/>
  <c r="M508" i="23"/>
  <c r="J6390" i="38" s="1"/>
  <c r="L508" i="23"/>
  <c r="I6390" i="38" s="1"/>
  <c r="I508" i="23"/>
  <c r="F6390" i="38" s="1"/>
  <c r="M507" i="23"/>
  <c r="J6389" i="38" s="1"/>
  <c r="L507" i="23"/>
  <c r="I6389" i="38" s="1"/>
  <c r="I507" i="23"/>
  <c r="F6389" i="38" s="1"/>
  <c r="M506" i="23"/>
  <c r="J6388" i="38" s="1"/>
  <c r="L506" i="23"/>
  <c r="I6388" i="38" s="1"/>
  <c r="I506" i="23"/>
  <c r="F6388" i="38" s="1"/>
  <c r="M505" i="23"/>
  <c r="L505" i="23"/>
  <c r="I505" i="23"/>
  <c r="G499" i="23"/>
  <c r="M498" i="23"/>
  <c r="L498" i="23"/>
  <c r="I498" i="23"/>
  <c r="M497" i="23"/>
  <c r="L497" i="23"/>
  <c r="I497" i="23"/>
  <c r="M496" i="23"/>
  <c r="L496" i="23"/>
  <c r="I496" i="23"/>
  <c r="M495" i="23"/>
  <c r="L495" i="23"/>
  <c r="I495" i="23"/>
  <c r="M494" i="23"/>
  <c r="L494" i="23"/>
  <c r="I494" i="23"/>
  <c r="M493" i="23"/>
  <c r="L493" i="23"/>
  <c r="I493" i="23"/>
  <c r="M492" i="23"/>
  <c r="J6380" i="38" s="1"/>
  <c r="L492" i="23"/>
  <c r="I6380" i="38" s="1"/>
  <c r="I492" i="23"/>
  <c r="F6380" i="38" s="1"/>
  <c r="M491" i="23"/>
  <c r="J6379" i="38" s="1"/>
  <c r="L491" i="23"/>
  <c r="I6379" i="38" s="1"/>
  <c r="I491" i="23"/>
  <c r="F6379" i="38" s="1"/>
  <c r="M490" i="23"/>
  <c r="J6378" i="38" s="1"/>
  <c r="L490" i="23"/>
  <c r="I6378" i="38" s="1"/>
  <c r="I490" i="23"/>
  <c r="F6378" i="38" s="1"/>
  <c r="M489" i="23"/>
  <c r="L489" i="23"/>
  <c r="I489" i="23"/>
  <c r="G483" i="23"/>
  <c r="M482" i="23"/>
  <c r="L482" i="23"/>
  <c r="I482" i="23"/>
  <c r="M481" i="23"/>
  <c r="L481" i="23"/>
  <c r="I481" i="23"/>
  <c r="M480" i="23"/>
  <c r="L480" i="23"/>
  <c r="I480" i="23"/>
  <c r="M479" i="23"/>
  <c r="L479" i="23"/>
  <c r="I479" i="23"/>
  <c r="M478" i="23"/>
  <c r="L478" i="23"/>
  <c r="I478" i="23"/>
  <c r="M477" i="23"/>
  <c r="L477" i="23"/>
  <c r="I477" i="23"/>
  <c r="M476" i="23"/>
  <c r="J6370" i="38" s="1"/>
  <c r="L476" i="23"/>
  <c r="I6370" i="38" s="1"/>
  <c r="I476" i="23"/>
  <c r="F6370" i="38" s="1"/>
  <c r="M475" i="23"/>
  <c r="J6369" i="38" s="1"/>
  <c r="L475" i="23"/>
  <c r="I6369" i="38" s="1"/>
  <c r="I475" i="23"/>
  <c r="F6369" i="38" s="1"/>
  <c r="M474" i="23"/>
  <c r="J6368" i="38" s="1"/>
  <c r="L474" i="23"/>
  <c r="I6368" i="38" s="1"/>
  <c r="I474" i="23"/>
  <c r="F6368" i="38" s="1"/>
  <c r="M473" i="23"/>
  <c r="L473" i="23"/>
  <c r="I473" i="23"/>
  <c r="G467" i="23"/>
  <c r="M466" i="23"/>
  <c r="L466" i="23"/>
  <c r="I466" i="23"/>
  <c r="M465" i="23"/>
  <c r="L465" i="23"/>
  <c r="I465" i="23"/>
  <c r="M464" i="23"/>
  <c r="L464" i="23"/>
  <c r="I464" i="23"/>
  <c r="M463" i="23"/>
  <c r="L463" i="23"/>
  <c r="I463" i="23"/>
  <c r="M462" i="23"/>
  <c r="L462" i="23"/>
  <c r="I462" i="23"/>
  <c r="M461" i="23"/>
  <c r="L461" i="23"/>
  <c r="I461" i="23"/>
  <c r="M460" i="23"/>
  <c r="J6360" i="38" s="1"/>
  <c r="L460" i="23"/>
  <c r="I6360" i="38" s="1"/>
  <c r="I460" i="23"/>
  <c r="F6360" i="38" s="1"/>
  <c r="M459" i="23"/>
  <c r="J6359" i="38" s="1"/>
  <c r="L459" i="23"/>
  <c r="I6359" i="38" s="1"/>
  <c r="I459" i="23"/>
  <c r="F6359" i="38" s="1"/>
  <c r="M458" i="23"/>
  <c r="J6358" i="38" s="1"/>
  <c r="L458" i="23"/>
  <c r="I6358" i="38" s="1"/>
  <c r="I458" i="23"/>
  <c r="F6358" i="38" s="1"/>
  <c r="M457" i="23"/>
  <c r="L457" i="23"/>
  <c r="I457" i="23"/>
  <c r="G451" i="23"/>
  <c r="M450" i="23"/>
  <c r="L450" i="23"/>
  <c r="I450" i="23"/>
  <c r="M449" i="23"/>
  <c r="L449" i="23"/>
  <c r="I449" i="23"/>
  <c r="M448" i="23"/>
  <c r="L448" i="23"/>
  <c r="I448" i="23"/>
  <c r="M447" i="23"/>
  <c r="L447" i="23"/>
  <c r="I447" i="23"/>
  <c r="M446" i="23"/>
  <c r="L446" i="23"/>
  <c r="I446" i="23"/>
  <c r="M445" i="23"/>
  <c r="L445" i="23"/>
  <c r="I445" i="23"/>
  <c r="M444" i="23"/>
  <c r="J6350" i="38" s="1"/>
  <c r="L444" i="23"/>
  <c r="I6350" i="38" s="1"/>
  <c r="I444" i="23"/>
  <c r="F6350" i="38" s="1"/>
  <c r="M443" i="23"/>
  <c r="J6349" i="38" s="1"/>
  <c r="L443" i="23"/>
  <c r="I6349" i="38" s="1"/>
  <c r="I443" i="23"/>
  <c r="F6349" i="38" s="1"/>
  <c r="M442" i="23"/>
  <c r="J6348" i="38" s="1"/>
  <c r="L442" i="23"/>
  <c r="I6348" i="38" s="1"/>
  <c r="I442" i="23"/>
  <c r="F6348" i="38" s="1"/>
  <c r="M441" i="23"/>
  <c r="L441" i="23"/>
  <c r="I441" i="23"/>
  <c r="G435" i="23"/>
  <c r="M434" i="23"/>
  <c r="L434" i="23"/>
  <c r="I434" i="23"/>
  <c r="M433" i="23"/>
  <c r="L433" i="23"/>
  <c r="I433" i="23"/>
  <c r="M432" i="23"/>
  <c r="L432" i="23"/>
  <c r="I432" i="23"/>
  <c r="M431" i="23"/>
  <c r="L431" i="23"/>
  <c r="I431" i="23"/>
  <c r="M430" i="23"/>
  <c r="L430" i="23"/>
  <c r="I430" i="23"/>
  <c r="M429" i="23"/>
  <c r="L429" i="23"/>
  <c r="I429" i="23"/>
  <c r="M428" i="23"/>
  <c r="J6340" i="38" s="1"/>
  <c r="L428" i="23"/>
  <c r="I6340" i="38" s="1"/>
  <c r="I428" i="23"/>
  <c r="F6340" i="38" s="1"/>
  <c r="M427" i="23"/>
  <c r="J6339" i="38" s="1"/>
  <c r="L427" i="23"/>
  <c r="I6339" i="38" s="1"/>
  <c r="I427" i="23"/>
  <c r="F6339" i="38" s="1"/>
  <c r="M426" i="23"/>
  <c r="J6338" i="38" s="1"/>
  <c r="L426" i="23"/>
  <c r="I6338" i="38" s="1"/>
  <c r="I426" i="23"/>
  <c r="F6338" i="38" s="1"/>
  <c r="M425" i="23"/>
  <c r="L425" i="23"/>
  <c r="I425" i="23"/>
  <c r="G419" i="23"/>
  <c r="M418" i="23"/>
  <c r="L418" i="23"/>
  <c r="I418" i="23"/>
  <c r="M417" i="23"/>
  <c r="L417" i="23"/>
  <c r="I417" i="23"/>
  <c r="M416" i="23"/>
  <c r="L416" i="23"/>
  <c r="I416" i="23"/>
  <c r="M415" i="23"/>
  <c r="L415" i="23"/>
  <c r="I415" i="23"/>
  <c r="M414" i="23"/>
  <c r="L414" i="23"/>
  <c r="I414" i="23"/>
  <c r="M413" i="23"/>
  <c r="L413" i="23"/>
  <c r="I413" i="23"/>
  <c r="M412" i="23"/>
  <c r="J6330" i="38" s="1"/>
  <c r="L412" i="23"/>
  <c r="I6330" i="38" s="1"/>
  <c r="I412" i="23"/>
  <c r="F6330" i="38" s="1"/>
  <c r="M411" i="23"/>
  <c r="J6329" i="38" s="1"/>
  <c r="L411" i="23"/>
  <c r="I6329" i="38" s="1"/>
  <c r="I411" i="23"/>
  <c r="F6329" i="38" s="1"/>
  <c r="M410" i="23"/>
  <c r="J6328" i="38" s="1"/>
  <c r="L410" i="23"/>
  <c r="I6328" i="38" s="1"/>
  <c r="I410" i="23"/>
  <c r="F6328" i="38" s="1"/>
  <c r="M409" i="23"/>
  <c r="L409" i="23"/>
  <c r="I409" i="23"/>
  <c r="G403" i="23"/>
  <c r="M402" i="23"/>
  <c r="L402" i="23"/>
  <c r="I402" i="23"/>
  <c r="M401" i="23"/>
  <c r="L401" i="23"/>
  <c r="I401" i="23"/>
  <c r="M400" i="23"/>
  <c r="L400" i="23"/>
  <c r="I400" i="23"/>
  <c r="M399" i="23"/>
  <c r="L399" i="23"/>
  <c r="I399" i="23"/>
  <c r="M398" i="23"/>
  <c r="L398" i="23"/>
  <c r="I398" i="23"/>
  <c r="M397" i="23"/>
  <c r="L397" i="23"/>
  <c r="I397" i="23"/>
  <c r="M396" i="23"/>
  <c r="J6320" i="38" s="1"/>
  <c r="L396" i="23"/>
  <c r="I6320" i="38" s="1"/>
  <c r="I396" i="23"/>
  <c r="F6320" i="38" s="1"/>
  <c r="M395" i="23"/>
  <c r="J6319" i="38" s="1"/>
  <c r="L395" i="23"/>
  <c r="I6319" i="38" s="1"/>
  <c r="I395" i="23"/>
  <c r="F6319" i="38" s="1"/>
  <c r="M394" i="23"/>
  <c r="J6318" i="38" s="1"/>
  <c r="L394" i="23"/>
  <c r="I6318" i="38" s="1"/>
  <c r="I394" i="23"/>
  <c r="F6318" i="38" s="1"/>
  <c r="M393" i="23"/>
  <c r="L393" i="23"/>
  <c r="I393" i="23"/>
  <c r="G387" i="23"/>
  <c r="M386" i="23"/>
  <c r="L386" i="23"/>
  <c r="I386" i="23"/>
  <c r="M385" i="23"/>
  <c r="L385" i="23"/>
  <c r="I385" i="23"/>
  <c r="M384" i="23"/>
  <c r="L384" i="23"/>
  <c r="I384" i="23"/>
  <c r="M383" i="23"/>
  <c r="L383" i="23"/>
  <c r="I383" i="23"/>
  <c r="M382" i="23"/>
  <c r="L382" i="23"/>
  <c r="I382" i="23"/>
  <c r="M381" i="23"/>
  <c r="L381" i="23"/>
  <c r="I381" i="23"/>
  <c r="M380" i="23"/>
  <c r="J6310" i="38" s="1"/>
  <c r="L380" i="23"/>
  <c r="I6310" i="38" s="1"/>
  <c r="I380" i="23"/>
  <c r="F6310" i="38" s="1"/>
  <c r="M379" i="23"/>
  <c r="J6309" i="38" s="1"/>
  <c r="L379" i="23"/>
  <c r="I6309" i="38" s="1"/>
  <c r="I379" i="23"/>
  <c r="F6309" i="38" s="1"/>
  <c r="M378" i="23"/>
  <c r="J6308" i="38" s="1"/>
  <c r="L378" i="23"/>
  <c r="I6308" i="38" s="1"/>
  <c r="I378" i="23"/>
  <c r="F6308" i="38" s="1"/>
  <c r="M377" i="23"/>
  <c r="L377" i="23"/>
  <c r="I377" i="23"/>
  <c r="G371" i="23"/>
  <c r="M370" i="23"/>
  <c r="L370" i="23"/>
  <c r="I370" i="23"/>
  <c r="M369" i="23"/>
  <c r="L369" i="23"/>
  <c r="I369" i="23"/>
  <c r="M368" i="23"/>
  <c r="L368" i="23"/>
  <c r="I368" i="23"/>
  <c r="M367" i="23"/>
  <c r="L367" i="23"/>
  <c r="I367" i="23"/>
  <c r="M366" i="23"/>
  <c r="L366" i="23"/>
  <c r="I366" i="23"/>
  <c r="M365" i="23"/>
  <c r="L365" i="23"/>
  <c r="I365" i="23"/>
  <c r="M364" i="23"/>
  <c r="J6300" i="38" s="1"/>
  <c r="L364" i="23"/>
  <c r="I6300" i="38" s="1"/>
  <c r="I364" i="23"/>
  <c r="F6300" i="38" s="1"/>
  <c r="M363" i="23"/>
  <c r="J6299" i="38" s="1"/>
  <c r="L363" i="23"/>
  <c r="I6299" i="38" s="1"/>
  <c r="I363" i="23"/>
  <c r="F6299" i="38" s="1"/>
  <c r="M362" i="23"/>
  <c r="J6298" i="38" s="1"/>
  <c r="L362" i="23"/>
  <c r="I6298" i="38" s="1"/>
  <c r="I362" i="23"/>
  <c r="F6298" i="38" s="1"/>
  <c r="M361" i="23"/>
  <c r="L361" i="23"/>
  <c r="I361" i="23"/>
  <c r="G355" i="23"/>
  <c r="M354" i="23"/>
  <c r="L354" i="23"/>
  <c r="I354" i="23"/>
  <c r="M353" i="23"/>
  <c r="L353" i="23"/>
  <c r="I353" i="23"/>
  <c r="M352" i="23"/>
  <c r="L352" i="23"/>
  <c r="I352" i="23"/>
  <c r="M351" i="23"/>
  <c r="L351" i="23"/>
  <c r="I351" i="23"/>
  <c r="M350" i="23"/>
  <c r="L350" i="23"/>
  <c r="I350" i="23"/>
  <c r="M349" i="23"/>
  <c r="L349" i="23"/>
  <c r="I349" i="23"/>
  <c r="M348" i="23"/>
  <c r="L348" i="23"/>
  <c r="I348" i="23"/>
  <c r="M347" i="23"/>
  <c r="L347" i="23"/>
  <c r="I347" i="23"/>
  <c r="M346" i="23"/>
  <c r="L346" i="23"/>
  <c r="I346" i="23"/>
  <c r="M345" i="23"/>
  <c r="L345" i="23"/>
  <c r="I345" i="23"/>
  <c r="G339" i="23"/>
  <c r="M338" i="23"/>
  <c r="L338" i="23"/>
  <c r="I338" i="23"/>
  <c r="M337" i="23"/>
  <c r="L337" i="23"/>
  <c r="I337" i="23"/>
  <c r="M336" i="23"/>
  <c r="L336" i="23"/>
  <c r="I336" i="23"/>
  <c r="M335" i="23"/>
  <c r="L335" i="23"/>
  <c r="I335" i="23"/>
  <c r="M334" i="23"/>
  <c r="L334" i="23"/>
  <c r="I334" i="23"/>
  <c r="M333" i="23"/>
  <c r="L333" i="23"/>
  <c r="I333" i="23"/>
  <c r="M332" i="23"/>
  <c r="L332" i="23"/>
  <c r="I332" i="23"/>
  <c r="M331" i="23"/>
  <c r="L331" i="23"/>
  <c r="I331" i="23"/>
  <c r="M330" i="23"/>
  <c r="L330" i="23"/>
  <c r="I330" i="23"/>
  <c r="M329" i="23"/>
  <c r="L329" i="23"/>
  <c r="I329" i="23"/>
  <c r="K293" i="23"/>
  <c r="BH70" i="38" s="1"/>
  <c r="K281" i="23"/>
  <c r="BF70" i="38" s="1"/>
  <c r="K270" i="23"/>
  <c r="BD70" i="38" s="1"/>
  <c r="E269" i="23"/>
  <c r="C269" i="23"/>
  <c r="E268" i="23"/>
  <c r="C268" i="23"/>
  <c r="E267" i="23"/>
  <c r="C267" i="23"/>
  <c r="E266" i="23"/>
  <c r="C266" i="23"/>
  <c r="BC70" i="38"/>
  <c r="BB70" i="38"/>
  <c r="K203" i="23"/>
  <c r="AZ70" i="38" s="1"/>
  <c r="K193" i="23"/>
  <c r="AR70" i="38" s="1"/>
  <c r="Q192" i="23"/>
  <c r="O192" i="23"/>
  <c r="M192" i="23"/>
  <c r="K192" i="23"/>
  <c r="AN70" i="38"/>
  <c r="K142" i="23"/>
  <c r="AF70" i="38" s="1"/>
  <c r="S70" i="38"/>
  <c r="Q70" i="38"/>
  <c r="P70" i="38"/>
  <c r="O70" i="38"/>
  <c r="K84" i="23"/>
  <c r="N70" i="38" s="1"/>
  <c r="AD10" i="23"/>
  <c r="AA10" i="23"/>
  <c r="Z85" i="23"/>
  <c r="T6" i="23"/>
  <c r="T4" i="23"/>
  <c r="T2" i="23"/>
  <c r="E70" i="38" s="1"/>
  <c r="G611" i="24"/>
  <c r="M610" i="24"/>
  <c r="L610" i="24"/>
  <c r="I610" i="24"/>
  <c r="M609" i="24"/>
  <c r="L609" i="24"/>
  <c r="I609" i="24"/>
  <c r="M608" i="24"/>
  <c r="L608" i="24"/>
  <c r="I608" i="24"/>
  <c r="M607" i="24"/>
  <c r="L607" i="24"/>
  <c r="I607" i="24"/>
  <c r="M606" i="24"/>
  <c r="L606" i="24"/>
  <c r="I606" i="24"/>
  <c r="M605" i="24"/>
  <c r="L605" i="24"/>
  <c r="I605" i="24"/>
  <c r="M604" i="24"/>
  <c r="J6630" i="38" s="1"/>
  <c r="L604" i="24"/>
  <c r="I6630" i="38" s="1"/>
  <c r="I604" i="24"/>
  <c r="F6630" i="38" s="1"/>
  <c r="M603" i="24"/>
  <c r="J6629" i="38" s="1"/>
  <c r="L603" i="24"/>
  <c r="I6629" i="38" s="1"/>
  <c r="I603" i="24"/>
  <c r="F6629" i="38" s="1"/>
  <c r="M602" i="24"/>
  <c r="J6628" i="38" s="1"/>
  <c r="L602" i="24"/>
  <c r="I6628" i="38" s="1"/>
  <c r="I602" i="24"/>
  <c r="F6628" i="38" s="1"/>
  <c r="M601" i="24"/>
  <c r="L601" i="24"/>
  <c r="I601" i="24"/>
  <c r="G595" i="24"/>
  <c r="M594" i="24"/>
  <c r="L594" i="24"/>
  <c r="I594" i="24"/>
  <c r="M593" i="24"/>
  <c r="L593" i="24"/>
  <c r="I593" i="24"/>
  <c r="M592" i="24"/>
  <c r="L592" i="24"/>
  <c r="I592" i="24"/>
  <c r="M591" i="24"/>
  <c r="L591" i="24"/>
  <c r="I591" i="24"/>
  <c r="M590" i="24"/>
  <c r="L590" i="24"/>
  <c r="I590" i="24"/>
  <c r="M589" i="24"/>
  <c r="L589" i="24"/>
  <c r="I589" i="24"/>
  <c r="M588" i="24"/>
  <c r="J6620" i="38" s="1"/>
  <c r="L588" i="24"/>
  <c r="I6620" i="38" s="1"/>
  <c r="I588" i="24"/>
  <c r="F6620" i="38" s="1"/>
  <c r="M587" i="24"/>
  <c r="J6619" i="38" s="1"/>
  <c r="L587" i="24"/>
  <c r="I6619" i="38" s="1"/>
  <c r="I587" i="24"/>
  <c r="F6619" i="38" s="1"/>
  <c r="M586" i="24"/>
  <c r="J6618" i="38" s="1"/>
  <c r="L586" i="24"/>
  <c r="I6618" i="38" s="1"/>
  <c r="I586" i="24"/>
  <c r="F6618" i="38" s="1"/>
  <c r="M585" i="24"/>
  <c r="L585" i="24"/>
  <c r="I585" i="24"/>
  <c r="G579" i="24"/>
  <c r="M578" i="24"/>
  <c r="L578" i="24"/>
  <c r="I578" i="24"/>
  <c r="M577" i="24"/>
  <c r="L577" i="24"/>
  <c r="I577" i="24"/>
  <c r="M576" i="24"/>
  <c r="L576" i="24"/>
  <c r="I576" i="24"/>
  <c r="M575" i="24"/>
  <c r="L575" i="24"/>
  <c r="I575" i="24"/>
  <c r="M574" i="24"/>
  <c r="L574" i="24"/>
  <c r="I574" i="24"/>
  <c r="M573" i="24"/>
  <c r="L573" i="24"/>
  <c r="I573" i="24"/>
  <c r="M572" i="24"/>
  <c r="J6610" i="38" s="1"/>
  <c r="L572" i="24"/>
  <c r="I6610" i="38" s="1"/>
  <c r="I572" i="24"/>
  <c r="F6610" i="38" s="1"/>
  <c r="M571" i="24"/>
  <c r="J6609" i="38" s="1"/>
  <c r="L571" i="24"/>
  <c r="I6609" i="38" s="1"/>
  <c r="I571" i="24"/>
  <c r="F6609" i="38" s="1"/>
  <c r="M570" i="24"/>
  <c r="J6608" i="38" s="1"/>
  <c r="L570" i="24"/>
  <c r="I6608" i="38" s="1"/>
  <c r="I570" i="24"/>
  <c r="F6608" i="38" s="1"/>
  <c r="M569" i="24"/>
  <c r="L569" i="24"/>
  <c r="I569" i="24"/>
  <c r="G563" i="24"/>
  <c r="M562" i="24"/>
  <c r="L562" i="24"/>
  <c r="I562" i="24"/>
  <c r="M561" i="24"/>
  <c r="L561" i="24"/>
  <c r="I561" i="24"/>
  <c r="M560" i="24"/>
  <c r="L560" i="24"/>
  <c r="I560" i="24"/>
  <c r="M559" i="24"/>
  <c r="L559" i="24"/>
  <c r="I559" i="24"/>
  <c r="M558" i="24"/>
  <c r="L558" i="24"/>
  <c r="I558" i="24"/>
  <c r="M557" i="24"/>
  <c r="L557" i="24"/>
  <c r="I557" i="24"/>
  <c r="M556" i="24"/>
  <c r="J6600" i="38" s="1"/>
  <c r="L556" i="24"/>
  <c r="I6600" i="38" s="1"/>
  <c r="I556" i="24"/>
  <c r="F6600" i="38" s="1"/>
  <c r="M555" i="24"/>
  <c r="J6599" i="38" s="1"/>
  <c r="L555" i="24"/>
  <c r="I6599" i="38" s="1"/>
  <c r="I555" i="24"/>
  <c r="F6599" i="38" s="1"/>
  <c r="M554" i="24"/>
  <c r="J6598" i="38" s="1"/>
  <c r="L554" i="24"/>
  <c r="I6598" i="38" s="1"/>
  <c r="I554" i="24"/>
  <c r="F6598" i="38" s="1"/>
  <c r="M553" i="24"/>
  <c r="L553" i="24"/>
  <c r="I553" i="24"/>
  <c r="G547" i="24"/>
  <c r="M546" i="24"/>
  <c r="L546" i="24"/>
  <c r="I546" i="24"/>
  <c r="M545" i="24"/>
  <c r="L545" i="24"/>
  <c r="I545" i="24"/>
  <c r="M544" i="24"/>
  <c r="L544" i="24"/>
  <c r="I544" i="24"/>
  <c r="M543" i="24"/>
  <c r="L543" i="24"/>
  <c r="I543" i="24"/>
  <c r="M542" i="24"/>
  <c r="L542" i="24"/>
  <c r="I542" i="24"/>
  <c r="M541" i="24"/>
  <c r="L541" i="24"/>
  <c r="I541" i="24"/>
  <c r="M540" i="24"/>
  <c r="J6590" i="38" s="1"/>
  <c r="L540" i="24"/>
  <c r="I6590" i="38" s="1"/>
  <c r="I540" i="24"/>
  <c r="F6590" i="38" s="1"/>
  <c r="M539" i="24"/>
  <c r="J6589" i="38" s="1"/>
  <c r="L539" i="24"/>
  <c r="I6589" i="38" s="1"/>
  <c r="I539" i="24"/>
  <c r="F6589" i="38" s="1"/>
  <c r="M538" i="24"/>
  <c r="J6588" i="38" s="1"/>
  <c r="L538" i="24"/>
  <c r="I6588" i="38" s="1"/>
  <c r="I538" i="24"/>
  <c r="F6588" i="38" s="1"/>
  <c r="M537" i="24"/>
  <c r="L537" i="24"/>
  <c r="I537" i="24"/>
  <c r="G531" i="24"/>
  <c r="M530" i="24"/>
  <c r="L530" i="24"/>
  <c r="I530" i="24"/>
  <c r="M529" i="24"/>
  <c r="L529" i="24"/>
  <c r="I529" i="24"/>
  <c r="M528" i="24"/>
  <c r="L528" i="24"/>
  <c r="I528" i="24"/>
  <c r="M527" i="24"/>
  <c r="L527" i="24"/>
  <c r="I527" i="24"/>
  <c r="M526" i="24"/>
  <c r="L526" i="24"/>
  <c r="I526" i="24"/>
  <c r="M525" i="24"/>
  <c r="L525" i="24"/>
  <c r="I525" i="24"/>
  <c r="M524" i="24"/>
  <c r="J6580" i="38" s="1"/>
  <c r="L524" i="24"/>
  <c r="I6580" i="38" s="1"/>
  <c r="I524" i="24"/>
  <c r="F6580" i="38" s="1"/>
  <c r="M523" i="24"/>
  <c r="J6579" i="38" s="1"/>
  <c r="L523" i="24"/>
  <c r="I6579" i="38" s="1"/>
  <c r="I523" i="24"/>
  <c r="F6579" i="38" s="1"/>
  <c r="M522" i="24"/>
  <c r="J6578" i="38" s="1"/>
  <c r="L522" i="24"/>
  <c r="I6578" i="38" s="1"/>
  <c r="I522" i="24"/>
  <c r="F6578" i="38" s="1"/>
  <c r="M521" i="24"/>
  <c r="L521" i="24"/>
  <c r="I521" i="24"/>
  <c r="G515" i="24"/>
  <c r="M514" i="24"/>
  <c r="L514" i="24"/>
  <c r="I514" i="24"/>
  <c r="M513" i="24"/>
  <c r="L513" i="24"/>
  <c r="I513" i="24"/>
  <c r="M512" i="24"/>
  <c r="L512" i="24"/>
  <c r="I512" i="24"/>
  <c r="M511" i="24"/>
  <c r="L511" i="24"/>
  <c r="I511" i="24"/>
  <c r="M510" i="24"/>
  <c r="L510" i="24"/>
  <c r="I510" i="24"/>
  <c r="M509" i="24"/>
  <c r="L509" i="24"/>
  <c r="I509" i="24"/>
  <c r="M508" i="24"/>
  <c r="J6570" i="38" s="1"/>
  <c r="L508" i="24"/>
  <c r="I6570" i="38" s="1"/>
  <c r="I508" i="24"/>
  <c r="F6570" i="38" s="1"/>
  <c r="M507" i="24"/>
  <c r="J6569" i="38" s="1"/>
  <c r="L507" i="24"/>
  <c r="I6569" i="38" s="1"/>
  <c r="I507" i="24"/>
  <c r="F6569" i="38" s="1"/>
  <c r="M506" i="24"/>
  <c r="J6568" i="38" s="1"/>
  <c r="L506" i="24"/>
  <c r="I6568" i="38" s="1"/>
  <c r="I506" i="24"/>
  <c r="F6568" i="38" s="1"/>
  <c r="M505" i="24"/>
  <c r="L505" i="24"/>
  <c r="I505" i="24"/>
  <c r="G499" i="24"/>
  <c r="M498" i="24"/>
  <c r="L498" i="24"/>
  <c r="I498" i="24"/>
  <c r="M497" i="24"/>
  <c r="L497" i="24"/>
  <c r="I497" i="24"/>
  <c r="M496" i="24"/>
  <c r="L496" i="24"/>
  <c r="I496" i="24"/>
  <c r="M495" i="24"/>
  <c r="L495" i="24"/>
  <c r="I495" i="24"/>
  <c r="M494" i="24"/>
  <c r="L494" i="24"/>
  <c r="I494" i="24"/>
  <c r="M493" i="24"/>
  <c r="L493" i="24"/>
  <c r="I493" i="24"/>
  <c r="M492" i="24"/>
  <c r="J6560" i="38" s="1"/>
  <c r="L492" i="24"/>
  <c r="I6560" i="38" s="1"/>
  <c r="I492" i="24"/>
  <c r="F6560" i="38" s="1"/>
  <c r="M491" i="24"/>
  <c r="J6559" i="38" s="1"/>
  <c r="L491" i="24"/>
  <c r="I6559" i="38" s="1"/>
  <c r="I491" i="24"/>
  <c r="F6559" i="38" s="1"/>
  <c r="M490" i="24"/>
  <c r="J6558" i="38" s="1"/>
  <c r="L490" i="24"/>
  <c r="I6558" i="38" s="1"/>
  <c r="I490" i="24"/>
  <c r="F6558" i="38" s="1"/>
  <c r="M489" i="24"/>
  <c r="L489" i="24"/>
  <c r="I489" i="24"/>
  <c r="G483" i="24"/>
  <c r="M482" i="24"/>
  <c r="L482" i="24"/>
  <c r="I482" i="24"/>
  <c r="M481" i="24"/>
  <c r="L481" i="24"/>
  <c r="I481" i="24"/>
  <c r="M480" i="24"/>
  <c r="L480" i="24"/>
  <c r="I480" i="24"/>
  <c r="M479" i="24"/>
  <c r="L479" i="24"/>
  <c r="I479" i="24"/>
  <c r="M478" i="24"/>
  <c r="L478" i="24"/>
  <c r="I478" i="24"/>
  <c r="M477" i="24"/>
  <c r="L477" i="24"/>
  <c r="I477" i="24"/>
  <c r="M476" i="24"/>
  <c r="J6550" i="38" s="1"/>
  <c r="L476" i="24"/>
  <c r="I6550" i="38" s="1"/>
  <c r="I476" i="24"/>
  <c r="F6550" i="38" s="1"/>
  <c r="M475" i="24"/>
  <c r="J6549" i="38" s="1"/>
  <c r="L475" i="24"/>
  <c r="I6549" i="38" s="1"/>
  <c r="I475" i="24"/>
  <c r="F6549" i="38" s="1"/>
  <c r="M474" i="24"/>
  <c r="J6548" i="38" s="1"/>
  <c r="L474" i="24"/>
  <c r="I6548" i="38" s="1"/>
  <c r="I474" i="24"/>
  <c r="F6548" i="38" s="1"/>
  <c r="M473" i="24"/>
  <c r="L473" i="24"/>
  <c r="I473" i="24"/>
  <c r="G467" i="24"/>
  <c r="M466" i="24"/>
  <c r="L466" i="24"/>
  <c r="I466" i="24"/>
  <c r="M465" i="24"/>
  <c r="L465" i="24"/>
  <c r="I465" i="24"/>
  <c r="M464" i="24"/>
  <c r="L464" i="24"/>
  <c r="I464" i="24"/>
  <c r="M463" i="24"/>
  <c r="L463" i="24"/>
  <c r="I463" i="24"/>
  <c r="M462" i="24"/>
  <c r="L462" i="24"/>
  <c r="I462" i="24"/>
  <c r="M461" i="24"/>
  <c r="L461" i="24"/>
  <c r="I461" i="24"/>
  <c r="M460" i="24"/>
  <c r="J6540" i="38" s="1"/>
  <c r="L460" i="24"/>
  <c r="I6540" i="38" s="1"/>
  <c r="I460" i="24"/>
  <c r="F6540" i="38" s="1"/>
  <c r="M459" i="24"/>
  <c r="J6539" i="38" s="1"/>
  <c r="L459" i="24"/>
  <c r="I6539" i="38" s="1"/>
  <c r="I459" i="24"/>
  <c r="F6539" i="38" s="1"/>
  <c r="M458" i="24"/>
  <c r="J6538" i="38" s="1"/>
  <c r="L458" i="24"/>
  <c r="I6538" i="38" s="1"/>
  <c r="I458" i="24"/>
  <c r="F6538" i="38" s="1"/>
  <c r="M457" i="24"/>
  <c r="L457" i="24"/>
  <c r="I457" i="24"/>
  <c r="G451" i="24"/>
  <c r="M450" i="24"/>
  <c r="L450" i="24"/>
  <c r="I450" i="24"/>
  <c r="M449" i="24"/>
  <c r="L449" i="24"/>
  <c r="I449" i="24"/>
  <c r="M448" i="24"/>
  <c r="L448" i="24"/>
  <c r="I448" i="24"/>
  <c r="M447" i="24"/>
  <c r="L447" i="24"/>
  <c r="I447" i="24"/>
  <c r="M446" i="24"/>
  <c r="L446" i="24"/>
  <c r="I446" i="24"/>
  <c r="M445" i="24"/>
  <c r="L445" i="24"/>
  <c r="I445" i="24"/>
  <c r="M444" i="24"/>
  <c r="J6530" i="38" s="1"/>
  <c r="L444" i="24"/>
  <c r="I6530" i="38" s="1"/>
  <c r="I444" i="24"/>
  <c r="F6530" i="38" s="1"/>
  <c r="M443" i="24"/>
  <c r="J6529" i="38" s="1"/>
  <c r="L443" i="24"/>
  <c r="I6529" i="38" s="1"/>
  <c r="I443" i="24"/>
  <c r="F6529" i="38" s="1"/>
  <c r="M442" i="24"/>
  <c r="J6528" i="38" s="1"/>
  <c r="L442" i="24"/>
  <c r="I6528" i="38" s="1"/>
  <c r="I442" i="24"/>
  <c r="F6528" i="38" s="1"/>
  <c r="M441" i="24"/>
  <c r="L441" i="24"/>
  <c r="I441" i="24"/>
  <c r="G435" i="24"/>
  <c r="M434" i="24"/>
  <c r="L434" i="24"/>
  <c r="I434" i="24"/>
  <c r="M433" i="24"/>
  <c r="L433" i="24"/>
  <c r="I433" i="24"/>
  <c r="M432" i="24"/>
  <c r="L432" i="24"/>
  <c r="I432" i="24"/>
  <c r="M431" i="24"/>
  <c r="L431" i="24"/>
  <c r="I431" i="24"/>
  <c r="M430" i="24"/>
  <c r="L430" i="24"/>
  <c r="I430" i="24"/>
  <c r="M429" i="24"/>
  <c r="L429" i="24"/>
  <c r="I429" i="24"/>
  <c r="M428" i="24"/>
  <c r="J6520" i="38" s="1"/>
  <c r="L428" i="24"/>
  <c r="I6520" i="38" s="1"/>
  <c r="I428" i="24"/>
  <c r="F6520" i="38" s="1"/>
  <c r="M427" i="24"/>
  <c r="J6519" i="38" s="1"/>
  <c r="L427" i="24"/>
  <c r="I6519" i="38" s="1"/>
  <c r="I427" i="24"/>
  <c r="F6519" i="38" s="1"/>
  <c r="M426" i="24"/>
  <c r="J6518" i="38" s="1"/>
  <c r="L426" i="24"/>
  <c r="I6518" i="38" s="1"/>
  <c r="I426" i="24"/>
  <c r="F6518" i="38" s="1"/>
  <c r="M425" i="24"/>
  <c r="L425" i="24"/>
  <c r="I425" i="24"/>
  <c r="G419" i="24"/>
  <c r="M418" i="24"/>
  <c r="L418" i="24"/>
  <c r="I418" i="24"/>
  <c r="M417" i="24"/>
  <c r="L417" i="24"/>
  <c r="I417" i="24"/>
  <c r="M416" i="24"/>
  <c r="L416" i="24"/>
  <c r="I416" i="24"/>
  <c r="M415" i="24"/>
  <c r="L415" i="24"/>
  <c r="I415" i="24"/>
  <c r="M414" i="24"/>
  <c r="L414" i="24"/>
  <c r="I414" i="24"/>
  <c r="M413" i="24"/>
  <c r="L413" i="24"/>
  <c r="I413" i="24"/>
  <c r="M412" i="24"/>
  <c r="J6510" i="38" s="1"/>
  <c r="L412" i="24"/>
  <c r="I6510" i="38" s="1"/>
  <c r="I412" i="24"/>
  <c r="F6510" i="38" s="1"/>
  <c r="M411" i="24"/>
  <c r="J6509" i="38" s="1"/>
  <c r="L411" i="24"/>
  <c r="I6509" i="38" s="1"/>
  <c r="I411" i="24"/>
  <c r="F6509" i="38" s="1"/>
  <c r="M410" i="24"/>
  <c r="J6508" i="38" s="1"/>
  <c r="L410" i="24"/>
  <c r="I6508" i="38" s="1"/>
  <c r="I410" i="24"/>
  <c r="F6508" i="38" s="1"/>
  <c r="M409" i="24"/>
  <c r="L409" i="24"/>
  <c r="I409" i="24"/>
  <c r="G403" i="24"/>
  <c r="M402" i="24"/>
  <c r="L402" i="24"/>
  <c r="I402" i="24"/>
  <c r="M401" i="24"/>
  <c r="L401" i="24"/>
  <c r="I401" i="24"/>
  <c r="M400" i="24"/>
  <c r="L400" i="24"/>
  <c r="I400" i="24"/>
  <c r="M399" i="24"/>
  <c r="L399" i="24"/>
  <c r="I399" i="24"/>
  <c r="M398" i="24"/>
  <c r="L398" i="24"/>
  <c r="I398" i="24"/>
  <c r="M397" i="24"/>
  <c r="L397" i="24"/>
  <c r="I397" i="24"/>
  <c r="M396" i="24"/>
  <c r="J6500" i="38" s="1"/>
  <c r="L396" i="24"/>
  <c r="I6500" i="38" s="1"/>
  <c r="I396" i="24"/>
  <c r="F6500" i="38" s="1"/>
  <c r="M395" i="24"/>
  <c r="J6499" i="38" s="1"/>
  <c r="L395" i="24"/>
  <c r="I6499" i="38" s="1"/>
  <c r="I395" i="24"/>
  <c r="F6499" i="38" s="1"/>
  <c r="M394" i="24"/>
  <c r="J6498" i="38" s="1"/>
  <c r="L394" i="24"/>
  <c r="I6498" i="38" s="1"/>
  <c r="I394" i="24"/>
  <c r="F6498" i="38" s="1"/>
  <c r="M393" i="24"/>
  <c r="L393" i="24"/>
  <c r="I393" i="24"/>
  <c r="G387" i="24"/>
  <c r="M386" i="24"/>
  <c r="L386" i="24"/>
  <c r="I386" i="24"/>
  <c r="M385" i="24"/>
  <c r="L385" i="24"/>
  <c r="I385" i="24"/>
  <c r="M384" i="24"/>
  <c r="L384" i="24"/>
  <c r="I384" i="24"/>
  <c r="M383" i="24"/>
  <c r="L383" i="24"/>
  <c r="I383" i="24"/>
  <c r="M382" i="24"/>
  <c r="L382" i="24"/>
  <c r="I382" i="24"/>
  <c r="M381" i="24"/>
  <c r="L381" i="24"/>
  <c r="I381" i="24"/>
  <c r="M380" i="24"/>
  <c r="J6490" i="38" s="1"/>
  <c r="L380" i="24"/>
  <c r="I6490" i="38" s="1"/>
  <c r="I380" i="24"/>
  <c r="F6490" i="38" s="1"/>
  <c r="M379" i="24"/>
  <c r="J6489" i="38" s="1"/>
  <c r="L379" i="24"/>
  <c r="I6489" i="38" s="1"/>
  <c r="I379" i="24"/>
  <c r="F6489" i="38" s="1"/>
  <c r="M378" i="24"/>
  <c r="J6488" i="38" s="1"/>
  <c r="L378" i="24"/>
  <c r="I6488" i="38" s="1"/>
  <c r="I378" i="24"/>
  <c r="F6488" i="38" s="1"/>
  <c r="M377" i="24"/>
  <c r="L377" i="24"/>
  <c r="I377" i="24"/>
  <c r="G371" i="24"/>
  <c r="M370" i="24"/>
  <c r="L370" i="24"/>
  <c r="I370" i="24"/>
  <c r="M369" i="24"/>
  <c r="L369" i="24"/>
  <c r="I369" i="24"/>
  <c r="M368" i="24"/>
  <c r="L368" i="24"/>
  <c r="I368" i="24"/>
  <c r="M367" i="24"/>
  <c r="L367" i="24"/>
  <c r="I367" i="24"/>
  <c r="M366" i="24"/>
  <c r="L366" i="24"/>
  <c r="I366" i="24"/>
  <c r="M365" i="24"/>
  <c r="L365" i="24"/>
  <c r="I365" i="24"/>
  <c r="M364" i="24"/>
  <c r="J6480" i="38" s="1"/>
  <c r="L364" i="24"/>
  <c r="I6480" i="38" s="1"/>
  <c r="I364" i="24"/>
  <c r="F6480" i="38" s="1"/>
  <c r="M363" i="24"/>
  <c r="J6479" i="38" s="1"/>
  <c r="L363" i="24"/>
  <c r="I6479" i="38" s="1"/>
  <c r="I363" i="24"/>
  <c r="F6479" i="38" s="1"/>
  <c r="M362" i="24"/>
  <c r="J6478" i="38" s="1"/>
  <c r="L362" i="24"/>
  <c r="I6478" i="38" s="1"/>
  <c r="I362" i="24"/>
  <c r="F6478" i="38" s="1"/>
  <c r="M361" i="24"/>
  <c r="L361" i="24"/>
  <c r="I361" i="24"/>
  <c r="G355" i="24"/>
  <c r="M354" i="24"/>
  <c r="L354" i="24"/>
  <c r="I354" i="24"/>
  <c r="M353" i="24"/>
  <c r="L353" i="24"/>
  <c r="I353" i="24"/>
  <c r="M352" i="24"/>
  <c r="L352" i="24"/>
  <c r="I352" i="24"/>
  <c r="M351" i="24"/>
  <c r="L351" i="24"/>
  <c r="I351" i="24"/>
  <c r="M350" i="24"/>
  <c r="L350" i="24"/>
  <c r="I350" i="24"/>
  <c r="M349" i="24"/>
  <c r="L349" i="24"/>
  <c r="I349" i="24"/>
  <c r="M348" i="24"/>
  <c r="L348" i="24"/>
  <c r="I348" i="24"/>
  <c r="M347" i="24"/>
  <c r="L347" i="24"/>
  <c r="I347" i="24"/>
  <c r="M346" i="24"/>
  <c r="L346" i="24"/>
  <c r="I346" i="24"/>
  <c r="M345" i="24"/>
  <c r="L345" i="24"/>
  <c r="I345" i="24"/>
  <c r="G339" i="24"/>
  <c r="M338" i="24"/>
  <c r="L338" i="24"/>
  <c r="I338" i="24"/>
  <c r="M337" i="24"/>
  <c r="L337" i="24"/>
  <c r="I337" i="24"/>
  <c r="M336" i="24"/>
  <c r="L336" i="24"/>
  <c r="I336" i="24"/>
  <c r="M335" i="24"/>
  <c r="L335" i="24"/>
  <c r="I335" i="24"/>
  <c r="M334" i="24"/>
  <c r="L334" i="24"/>
  <c r="I334" i="24"/>
  <c r="M333" i="24"/>
  <c r="L333" i="24"/>
  <c r="I333" i="24"/>
  <c r="M332" i="24"/>
  <c r="L332" i="24"/>
  <c r="I332" i="24"/>
  <c r="M331" i="24"/>
  <c r="L331" i="24"/>
  <c r="I331" i="24"/>
  <c r="M330" i="24"/>
  <c r="L330" i="24"/>
  <c r="I330" i="24"/>
  <c r="M329" i="24"/>
  <c r="L329" i="24"/>
  <c r="I329" i="24"/>
  <c r="K293" i="24"/>
  <c r="BH71" i="38" s="1"/>
  <c r="K281" i="24"/>
  <c r="BF71" i="38" s="1"/>
  <c r="K270" i="24"/>
  <c r="BD71" i="38" s="1"/>
  <c r="E269" i="24"/>
  <c r="C269" i="24"/>
  <c r="E268" i="24"/>
  <c r="C268" i="24"/>
  <c r="E267" i="24"/>
  <c r="C267" i="24"/>
  <c r="E266" i="24"/>
  <c r="C266" i="24"/>
  <c r="BC71" i="38"/>
  <c r="BB71" i="38"/>
  <c r="K203" i="24"/>
  <c r="AZ71" i="38" s="1"/>
  <c r="K193" i="24"/>
  <c r="AR71" i="38" s="1"/>
  <c r="Q192" i="24"/>
  <c r="O192" i="24"/>
  <c r="M192" i="24"/>
  <c r="K192" i="24"/>
  <c r="AN71" i="38"/>
  <c r="K142" i="24"/>
  <c r="AF71" i="38" s="1"/>
  <c r="AA71" i="38"/>
  <c r="S71" i="38"/>
  <c r="Q71" i="38"/>
  <c r="P71" i="38"/>
  <c r="O71" i="38"/>
  <c r="K84" i="24"/>
  <c r="N71" i="38" s="1"/>
  <c r="AD10" i="24"/>
  <c r="AA10" i="24"/>
  <c r="Z85" i="24"/>
  <c r="T6" i="24"/>
  <c r="T4" i="24"/>
  <c r="T2" i="24"/>
  <c r="E71" i="38" s="1"/>
  <c r="G611" i="25"/>
  <c r="M610" i="25"/>
  <c r="L610" i="25"/>
  <c r="I610" i="25"/>
  <c r="M609" i="25"/>
  <c r="L609" i="25"/>
  <c r="I609" i="25"/>
  <c r="M608" i="25"/>
  <c r="L608" i="25"/>
  <c r="I608" i="25"/>
  <c r="M607" i="25"/>
  <c r="L607" i="25"/>
  <c r="I607" i="25"/>
  <c r="M606" i="25"/>
  <c r="L606" i="25"/>
  <c r="I606" i="25"/>
  <c r="M605" i="25"/>
  <c r="L605" i="25"/>
  <c r="I605" i="25"/>
  <c r="M604" i="25"/>
  <c r="J6810" i="38" s="1"/>
  <c r="L604" i="25"/>
  <c r="I6810" i="38" s="1"/>
  <c r="I604" i="25"/>
  <c r="F6810" i="38" s="1"/>
  <c r="M603" i="25"/>
  <c r="J6809" i="38" s="1"/>
  <c r="L603" i="25"/>
  <c r="I6809" i="38" s="1"/>
  <c r="I603" i="25"/>
  <c r="F6809" i="38" s="1"/>
  <c r="M602" i="25"/>
  <c r="J6808" i="38" s="1"/>
  <c r="L602" i="25"/>
  <c r="I6808" i="38" s="1"/>
  <c r="I602" i="25"/>
  <c r="F6808" i="38" s="1"/>
  <c r="M601" i="25"/>
  <c r="L601" i="25"/>
  <c r="I601" i="25"/>
  <c r="G595" i="25"/>
  <c r="M594" i="25"/>
  <c r="L594" i="25"/>
  <c r="I594" i="25"/>
  <c r="M593" i="25"/>
  <c r="L593" i="25"/>
  <c r="I593" i="25"/>
  <c r="M592" i="25"/>
  <c r="L592" i="25"/>
  <c r="I592" i="25"/>
  <c r="M591" i="25"/>
  <c r="L591" i="25"/>
  <c r="I591" i="25"/>
  <c r="M590" i="25"/>
  <c r="L590" i="25"/>
  <c r="I590" i="25"/>
  <c r="M589" i="25"/>
  <c r="L589" i="25"/>
  <c r="I589" i="25"/>
  <c r="M588" i="25"/>
  <c r="J6800" i="38" s="1"/>
  <c r="L588" i="25"/>
  <c r="I6800" i="38" s="1"/>
  <c r="I588" i="25"/>
  <c r="F6800" i="38" s="1"/>
  <c r="M587" i="25"/>
  <c r="J6799" i="38" s="1"/>
  <c r="L587" i="25"/>
  <c r="I6799" i="38" s="1"/>
  <c r="I587" i="25"/>
  <c r="F6799" i="38" s="1"/>
  <c r="M586" i="25"/>
  <c r="J6798" i="38" s="1"/>
  <c r="L586" i="25"/>
  <c r="I6798" i="38" s="1"/>
  <c r="I586" i="25"/>
  <c r="F6798" i="38" s="1"/>
  <c r="M585" i="25"/>
  <c r="L585" i="25"/>
  <c r="I585" i="25"/>
  <c r="G579" i="25"/>
  <c r="M578" i="25"/>
  <c r="L578" i="25"/>
  <c r="I578" i="25"/>
  <c r="M577" i="25"/>
  <c r="L577" i="25"/>
  <c r="I577" i="25"/>
  <c r="M576" i="25"/>
  <c r="L576" i="25"/>
  <c r="I576" i="25"/>
  <c r="M575" i="25"/>
  <c r="L575" i="25"/>
  <c r="I575" i="25"/>
  <c r="M574" i="25"/>
  <c r="L574" i="25"/>
  <c r="I574" i="25"/>
  <c r="M573" i="25"/>
  <c r="L573" i="25"/>
  <c r="I573" i="25"/>
  <c r="M572" i="25"/>
  <c r="J6790" i="38" s="1"/>
  <c r="L572" i="25"/>
  <c r="I6790" i="38" s="1"/>
  <c r="I572" i="25"/>
  <c r="F6790" i="38" s="1"/>
  <c r="M571" i="25"/>
  <c r="J6789" i="38" s="1"/>
  <c r="L571" i="25"/>
  <c r="I6789" i="38" s="1"/>
  <c r="I571" i="25"/>
  <c r="F6789" i="38" s="1"/>
  <c r="M570" i="25"/>
  <c r="J6788" i="38" s="1"/>
  <c r="L570" i="25"/>
  <c r="I6788" i="38" s="1"/>
  <c r="I570" i="25"/>
  <c r="F6788" i="38" s="1"/>
  <c r="M569" i="25"/>
  <c r="L569" i="25"/>
  <c r="I569" i="25"/>
  <c r="G563" i="25"/>
  <c r="M562" i="25"/>
  <c r="L562" i="25"/>
  <c r="I562" i="25"/>
  <c r="M561" i="25"/>
  <c r="L561" i="25"/>
  <c r="I561" i="25"/>
  <c r="M560" i="25"/>
  <c r="L560" i="25"/>
  <c r="I560" i="25"/>
  <c r="M559" i="25"/>
  <c r="L559" i="25"/>
  <c r="I559" i="25"/>
  <c r="M558" i="25"/>
  <c r="L558" i="25"/>
  <c r="I558" i="25"/>
  <c r="M557" i="25"/>
  <c r="L557" i="25"/>
  <c r="I557" i="25"/>
  <c r="M556" i="25"/>
  <c r="J6780" i="38" s="1"/>
  <c r="L556" i="25"/>
  <c r="I6780" i="38" s="1"/>
  <c r="I556" i="25"/>
  <c r="F6780" i="38" s="1"/>
  <c r="M555" i="25"/>
  <c r="J6779" i="38" s="1"/>
  <c r="L555" i="25"/>
  <c r="I6779" i="38" s="1"/>
  <c r="I555" i="25"/>
  <c r="F6779" i="38" s="1"/>
  <c r="M554" i="25"/>
  <c r="J6778" i="38" s="1"/>
  <c r="L554" i="25"/>
  <c r="I6778" i="38" s="1"/>
  <c r="I554" i="25"/>
  <c r="F6778" i="38" s="1"/>
  <c r="M553" i="25"/>
  <c r="L553" i="25"/>
  <c r="I553" i="25"/>
  <c r="G547" i="25"/>
  <c r="M546" i="25"/>
  <c r="L546" i="25"/>
  <c r="I546" i="25"/>
  <c r="M545" i="25"/>
  <c r="L545" i="25"/>
  <c r="I545" i="25"/>
  <c r="M544" i="25"/>
  <c r="L544" i="25"/>
  <c r="I544" i="25"/>
  <c r="M543" i="25"/>
  <c r="L543" i="25"/>
  <c r="I543" i="25"/>
  <c r="M542" i="25"/>
  <c r="L542" i="25"/>
  <c r="I542" i="25"/>
  <c r="M541" i="25"/>
  <c r="L541" i="25"/>
  <c r="I541" i="25"/>
  <c r="M540" i="25"/>
  <c r="J6770" i="38" s="1"/>
  <c r="L540" i="25"/>
  <c r="I6770" i="38" s="1"/>
  <c r="I540" i="25"/>
  <c r="F6770" i="38" s="1"/>
  <c r="M539" i="25"/>
  <c r="J6769" i="38" s="1"/>
  <c r="L539" i="25"/>
  <c r="I6769" i="38" s="1"/>
  <c r="I539" i="25"/>
  <c r="F6769" i="38" s="1"/>
  <c r="M538" i="25"/>
  <c r="J6768" i="38" s="1"/>
  <c r="L538" i="25"/>
  <c r="I6768" i="38" s="1"/>
  <c r="I538" i="25"/>
  <c r="F6768" i="38" s="1"/>
  <c r="M537" i="25"/>
  <c r="L537" i="25"/>
  <c r="I537" i="25"/>
  <c r="G531" i="25"/>
  <c r="M530" i="25"/>
  <c r="L530" i="25"/>
  <c r="I530" i="25"/>
  <c r="M529" i="25"/>
  <c r="L529" i="25"/>
  <c r="I529" i="25"/>
  <c r="M528" i="25"/>
  <c r="L528" i="25"/>
  <c r="I528" i="25"/>
  <c r="M527" i="25"/>
  <c r="L527" i="25"/>
  <c r="I527" i="25"/>
  <c r="M526" i="25"/>
  <c r="L526" i="25"/>
  <c r="I526" i="25"/>
  <c r="M525" i="25"/>
  <c r="L525" i="25"/>
  <c r="I525" i="25"/>
  <c r="M524" i="25"/>
  <c r="J6760" i="38" s="1"/>
  <c r="L524" i="25"/>
  <c r="I6760" i="38" s="1"/>
  <c r="I524" i="25"/>
  <c r="F6760" i="38" s="1"/>
  <c r="M523" i="25"/>
  <c r="J6759" i="38" s="1"/>
  <c r="L523" i="25"/>
  <c r="I6759" i="38" s="1"/>
  <c r="I523" i="25"/>
  <c r="F6759" i="38" s="1"/>
  <c r="M522" i="25"/>
  <c r="J6758" i="38" s="1"/>
  <c r="L522" i="25"/>
  <c r="I6758" i="38" s="1"/>
  <c r="I522" i="25"/>
  <c r="F6758" i="38" s="1"/>
  <c r="M521" i="25"/>
  <c r="L521" i="25"/>
  <c r="I521" i="25"/>
  <c r="G515" i="25"/>
  <c r="M514" i="25"/>
  <c r="L514" i="25"/>
  <c r="I514" i="25"/>
  <c r="M513" i="25"/>
  <c r="L513" i="25"/>
  <c r="I513" i="25"/>
  <c r="M512" i="25"/>
  <c r="L512" i="25"/>
  <c r="I512" i="25"/>
  <c r="M511" i="25"/>
  <c r="L511" i="25"/>
  <c r="I511" i="25"/>
  <c r="M510" i="25"/>
  <c r="L510" i="25"/>
  <c r="I510" i="25"/>
  <c r="M509" i="25"/>
  <c r="L509" i="25"/>
  <c r="I509" i="25"/>
  <c r="M508" i="25"/>
  <c r="J6750" i="38" s="1"/>
  <c r="L508" i="25"/>
  <c r="I6750" i="38" s="1"/>
  <c r="I508" i="25"/>
  <c r="F6750" i="38" s="1"/>
  <c r="M507" i="25"/>
  <c r="J6749" i="38" s="1"/>
  <c r="L507" i="25"/>
  <c r="I6749" i="38" s="1"/>
  <c r="I507" i="25"/>
  <c r="F6749" i="38" s="1"/>
  <c r="M506" i="25"/>
  <c r="J6748" i="38" s="1"/>
  <c r="L506" i="25"/>
  <c r="I6748" i="38" s="1"/>
  <c r="I506" i="25"/>
  <c r="F6748" i="38" s="1"/>
  <c r="M505" i="25"/>
  <c r="L505" i="25"/>
  <c r="I505" i="25"/>
  <c r="G499" i="25"/>
  <c r="M498" i="25"/>
  <c r="L498" i="25"/>
  <c r="I498" i="25"/>
  <c r="M497" i="25"/>
  <c r="L497" i="25"/>
  <c r="I497" i="25"/>
  <c r="M496" i="25"/>
  <c r="L496" i="25"/>
  <c r="I496" i="25"/>
  <c r="M495" i="25"/>
  <c r="L495" i="25"/>
  <c r="I495" i="25"/>
  <c r="M494" i="25"/>
  <c r="L494" i="25"/>
  <c r="I494" i="25"/>
  <c r="M493" i="25"/>
  <c r="L493" i="25"/>
  <c r="I493" i="25"/>
  <c r="M492" i="25"/>
  <c r="J6740" i="38" s="1"/>
  <c r="L492" i="25"/>
  <c r="I6740" i="38" s="1"/>
  <c r="I492" i="25"/>
  <c r="F6740" i="38" s="1"/>
  <c r="M491" i="25"/>
  <c r="J6739" i="38" s="1"/>
  <c r="L491" i="25"/>
  <c r="I6739" i="38" s="1"/>
  <c r="I491" i="25"/>
  <c r="F6739" i="38" s="1"/>
  <c r="M490" i="25"/>
  <c r="J6738" i="38" s="1"/>
  <c r="L490" i="25"/>
  <c r="I6738" i="38" s="1"/>
  <c r="I490" i="25"/>
  <c r="F6738" i="38" s="1"/>
  <c r="M489" i="25"/>
  <c r="L489" i="25"/>
  <c r="I489" i="25"/>
  <c r="G483" i="25"/>
  <c r="M482" i="25"/>
  <c r="L482" i="25"/>
  <c r="I482" i="25"/>
  <c r="M481" i="25"/>
  <c r="L481" i="25"/>
  <c r="I481" i="25"/>
  <c r="M480" i="25"/>
  <c r="L480" i="25"/>
  <c r="I480" i="25"/>
  <c r="M479" i="25"/>
  <c r="L479" i="25"/>
  <c r="I479" i="25"/>
  <c r="M478" i="25"/>
  <c r="L478" i="25"/>
  <c r="I478" i="25"/>
  <c r="M477" i="25"/>
  <c r="L477" i="25"/>
  <c r="I477" i="25"/>
  <c r="M476" i="25"/>
  <c r="J6730" i="38" s="1"/>
  <c r="L476" i="25"/>
  <c r="I6730" i="38" s="1"/>
  <c r="I476" i="25"/>
  <c r="F6730" i="38" s="1"/>
  <c r="M475" i="25"/>
  <c r="J6729" i="38" s="1"/>
  <c r="L475" i="25"/>
  <c r="I6729" i="38" s="1"/>
  <c r="I475" i="25"/>
  <c r="F6729" i="38" s="1"/>
  <c r="M474" i="25"/>
  <c r="J6728" i="38" s="1"/>
  <c r="L474" i="25"/>
  <c r="I6728" i="38" s="1"/>
  <c r="I474" i="25"/>
  <c r="F6728" i="38" s="1"/>
  <c r="M473" i="25"/>
  <c r="L473" i="25"/>
  <c r="I473" i="25"/>
  <c r="G467" i="25"/>
  <c r="M466" i="25"/>
  <c r="L466" i="25"/>
  <c r="I466" i="25"/>
  <c r="M465" i="25"/>
  <c r="L465" i="25"/>
  <c r="I465" i="25"/>
  <c r="M464" i="25"/>
  <c r="L464" i="25"/>
  <c r="I464" i="25"/>
  <c r="M463" i="25"/>
  <c r="L463" i="25"/>
  <c r="I463" i="25"/>
  <c r="M462" i="25"/>
  <c r="L462" i="25"/>
  <c r="I462" i="25"/>
  <c r="M461" i="25"/>
  <c r="L461" i="25"/>
  <c r="I461" i="25"/>
  <c r="M460" i="25"/>
  <c r="J6720" i="38" s="1"/>
  <c r="L460" i="25"/>
  <c r="I6720" i="38" s="1"/>
  <c r="I460" i="25"/>
  <c r="F6720" i="38" s="1"/>
  <c r="M459" i="25"/>
  <c r="J6719" i="38" s="1"/>
  <c r="L459" i="25"/>
  <c r="I6719" i="38" s="1"/>
  <c r="I459" i="25"/>
  <c r="F6719" i="38" s="1"/>
  <c r="M458" i="25"/>
  <c r="J6718" i="38" s="1"/>
  <c r="L458" i="25"/>
  <c r="I6718" i="38" s="1"/>
  <c r="I458" i="25"/>
  <c r="F6718" i="38" s="1"/>
  <c r="M457" i="25"/>
  <c r="L457" i="25"/>
  <c r="I457" i="25"/>
  <c r="G451" i="25"/>
  <c r="M450" i="25"/>
  <c r="L450" i="25"/>
  <c r="I450" i="25"/>
  <c r="M449" i="25"/>
  <c r="L449" i="25"/>
  <c r="I449" i="25"/>
  <c r="M448" i="25"/>
  <c r="L448" i="25"/>
  <c r="I448" i="25"/>
  <c r="M447" i="25"/>
  <c r="L447" i="25"/>
  <c r="I447" i="25"/>
  <c r="M446" i="25"/>
  <c r="L446" i="25"/>
  <c r="I446" i="25"/>
  <c r="M445" i="25"/>
  <c r="L445" i="25"/>
  <c r="I445" i="25"/>
  <c r="M444" i="25"/>
  <c r="J6710" i="38" s="1"/>
  <c r="L444" i="25"/>
  <c r="I6710" i="38" s="1"/>
  <c r="I444" i="25"/>
  <c r="F6710" i="38" s="1"/>
  <c r="M443" i="25"/>
  <c r="J6709" i="38" s="1"/>
  <c r="L443" i="25"/>
  <c r="I6709" i="38" s="1"/>
  <c r="I443" i="25"/>
  <c r="F6709" i="38" s="1"/>
  <c r="M442" i="25"/>
  <c r="J6708" i="38" s="1"/>
  <c r="L442" i="25"/>
  <c r="I6708" i="38" s="1"/>
  <c r="I442" i="25"/>
  <c r="F6708" i="38" s="1"/>
  <c r="M441" i="25"/>
  <c r="L441" i="25"/>
  <c r="I441" i="25"/>
  <c r="G435" i="25"/>
  <c r="M434" i="25"/>
  <c r="L434" i="25"/>
  <c r="I434" i="25"/>
  <c r="M433" i="25"/>
  <c r="L433" i="25"/>
  <c r="I433" i="25"/>
  <c r="M432" i="25"/>
  <c r="L432" i="25"/>
  <c r="I432" i="25"/>
  <c r="M431" i="25"/>
  <c r="L431" i="25"/>
  <c r="I431" i="25"/>
  <c r="M430" i="25"/>
  <c r="L430" i="25"/>
  <c r="I430" i="25"/>
  <c r="M429" i="25"/>
  <c r="L429" i="25"/>
  <c r="I429" i="25"/>
  <c r="M428" i="25"/>
  <c r="J6700" i="38" s="1"/>
  <c r="L428" i="25"/>
  <c r="I6700" i="38" s="1"/>
  <c r="I428" i="25"/>
  <c r="F6700" i="38" s="1"/>
  <c r="M427" i="25"/>
  <c r="J6699" i="38" s="1"/>
  <c r="L427" i="25"/>
  <c r="I6699" i="38" s="1"/>
  <c r="I427" i="25"/>
  <c r="F6699" i="38" s="1"/>
  <c r="M426" i="25"/>
  <c r="J6698" i="38" s="1"/>
  <c r="L426" i="25"/>
  <c r="I6698" i="38" s="1"/>
  <c r="I426" i="25"/>
  <c r="F6698" i="38" s="1"/>
  <c r="M425" i="25"/>
  <c r="L425" i="25"/>
  <c r="I425" i="25"/>
  <c r="G419" i="25"/>
  <c r="M418" i="25"/>
  <c r="L418" i="25"/>
  <c r="I418" i="25"/>
  <c r="M417" i="25"/>
  <c r="L417" i="25"/>
  <c r="I417" i="25"/>
  <c r="M416" i="25"/>
  <c r="L416" i="25"/>
  <c r="I416" i="25"/>
  <c r="M415" i="25"/>
  <c r="L415" i="25"/>
  <c r="I415" i="25"/>
  <c r="M414" i="25"/>
  <c r="L414" i="25"/>
  <c r="I414" i="25"/>
  <c r="M413" i="25"/>
  <c r="L413" i="25"/>
  <c r="I413" i="25"/>
  <c r="M412" i="25"/>
  <c r="J6690" i="38" s="1"/>
  <c r="L412" i="25"/>
  <c r="I6690" i="38" s="1"/>
  <c r="I412" i="25"/>
  <c r="F6690" i="38" s="1"/>
  <c r="M411" i="25"/>
  <c r="J6689" i="38" s="1"/>
  <c r="L411" i="25"/>
  <c r="I6689" i="38" s="1"/>
  <c r="I411" i="25"/>
  <c r="F6689" i="38" s="1"/>
  <c r="M410" i="25"/>
  <c r="J6688" i="38" s="1"/>
  <c r="L410" i="25"/>
  <c r="I6688" i="38" s="1"/>
  <c r="I410" i="25"/>
  <c r="F6688" i="38" s="1"/>
  <c r="M409" i="25"/>
  <c r="L409" i="25"/>
  <c r="I409" i="25"/>
  <c r="G403" i="25"/>
  <c r="M402" i="25"/>
  <c r="L402" i="25"/>
  <c r="I402" i="25"/>
  <c r="M401" i="25"/>
  <c r="L401" i="25"/>
  <c r="I401" i="25"/>
  <c r="M400" i="25"/>
  <c r="L400" i="25"/>
  <c r="I400" i="25"/>
  <c r="M399" i="25"/>
  <c r="L399" i="25"/>
  <c r="I399" i="25"/>
  <c r="M398" i="25"/>
  <c r="L398" i="25"/>
  <c r="I398" i="25"/>
  <c r="M397" i="25"/>
  <c r="L397" i="25"/>
  <c r="I397" i="25"/>
  <c r="M396" i="25"/>
  <c r="J6680" i="38" s="1"/>
  <c r="L396" i="25"/>
  <c r="I6680" i="38" s="1"/>
  <c r="I396" i="25"/>
  <c r="F6680" i="38" s="1"/>
  <c r="M395" i="25"/>
  <c r="J6679" i="38" s="1"/>
  <c r="L395" i="25"/>
  <c r="I6679" i="38" s="1"/>
  <c r="I395" i="25"/>
  <c r="F6679" i="38" s="1"/>
  <c r="M394" i="25"/>
  <c r="J6678" i="38" s="1"/>
  <c r="L394" i="25"/>
  <c r="I6678" i="38" s="1"/>
  <c r="I394" i="25"/>
  <c r="F6678" i="38" s="1"/>
  <c r="M393" i="25"/>
  <c r="L393" i="25"/>
  <c r="I393" i="25"/>
  <c r="G387" i="25"/>
  <c r="M386" i="25"/>
  <c r="L386" i="25"/>
  <c r="I386" i="25"/>
  <c r="M385" i="25"/>
  <c r="L385" i="25"/>
  <c r="I385" i="25"/>
  <c r="M384" i="25"/>
  <c r="L384" i="25"/>
  <c r="I384" i="25"/>
  <c r="M383" i="25"/>
  <c r="L383" i="25"/>
  <c r="I383" i="25"/>
  <c r="M382" i="25"/>
  <c r="L382" i="25"/>
  <c r="I382" i="25"/>
  <c r="M381" i="25"/>
  <c r="L381" i="25"/>
  <c r="I381" i="25"/>
  <c r="M380" i="25"/>
  <c r="J6670" i="38" s="1"/>
  <c r="L380" i="25"/>
  <c r="I6670" i="38" s="1"/>
  <c r="I380" i="25"/>
  <c r="F6670" i="38" s="1"/>
  <c r="M379" i="25"/>
  <c r="J6669" i="38" s="1"/>
  <c r="L379" i="25"/>
  <c r="I6669" i="38" s="1"/>
  <c r="I379" i="25"/>
  <c r="F6669" i="38" s="1"/>
  <c r="M378" i="25"/>
  <c r="J6668" i="38" s="1"/>
  <c r="L378" i="25"/>
  <c r="I6668" i="38" s="1"/>
  <c r="I378" i="25"/>
  <c r="F6668" i="38" s="1"/>
  <c r="M377" i="25"/>
  <c r="L377" i="25"/>
  <c r="I377" i="25"/>
  <c r="G371" i="25"/>
  <c r="M370" i="25"/>
  <c r="L370" i="25"/>
  <c r="I370" i="25"/>
  <c r="M369" i="25"/>
  <c r="L369" i="25"/>
  <c r="I369" i="25"/>
  <c r="M368" i="25"/>
  <c r="L368" i="25"/>
  <c r="I368" i="25"/>
  <c r="M367" i="25"/>
  <c r="L367" i="25"/>
  <c r="I367" i="25"/>
  <c r="M366" i="25"/>
  <c r="L366" i="25"/>
  <c r="I366" i="25"/>
  <c r="M365" i="25"/>
  <c r="L365" i="25"/>
  <c r="I365" i="25"/>
  <c r="M364" i="25"/>
  <c r="J6660" i="38" s="1"/>
  <c r="L364" i="25"/>
  <c r="I6660" i="38" s="1"/>
  <c r="I364" i="25"/>
  <c r="F6660" i="38" s="1"/>
  <c r="M363" i="25"/>
  <c r="J6659" i="38" s="1"/>
  <c r="L363" i="25"/>
  <c r="I6659" i="38" s="1"/>
  <c r="I363" i="25"/>
  <c r="F6659" i="38" s="1"/>
  <c r="M362" i="25"/>
  <c r="J6658" i="38" s="1"/>
  <c r="L362" i="25"/>
  <c r="I6658" i="38" s="1"/>
  <c r="I362" i="25"/>
  <c r="F6658" i="38" s="1"/>
  <c r="M361" i="25"/>
  <c r="L361" i="25"/>
  <c r="I361" i="25"/>
  <c r="G355" i="25"/>
  <c r="M354" i="25"/>
  <c r="L354" i="25"/>
  <c r="I354" i="25"/>
  <c r="M353" i="25"/>
  <c r="L353" i="25"/>
  <c r="I353" i="25"/>
  <c r="M352" i="25"/>
  <c r="L352" i="25"/>
  <c r="I352" i="25"/>
  <c r="M351" i="25"/>
  <c r="L351" i="25"/>
  <c r="I351" i="25"/>
  <c r="M350" i="25"/>
  <c r="L350" i="25"/>
  <c r="I350" i="25"/>
  <c r="M349" i="25"/>
  <c r="L349" i="25"/>
  <c r="I349" i="25"/>
  <c r="M348" i="25"/>
  <c r="L348" i="25"/>
  <c r="I348" i="25"/>
  <c r="M347" i="25"/>
  <c r="L347" i="25"/>
  <c r="I347" i="25"/>
  <c r="M346" i="25"/>
  <c r="L346" i="25"/>
  <c r="I346" i="25"/>
  <c r="M345" i="25"/>
  <c r="L345" i="25"/>
  <c r="I345" i="25"/>
  <c r="G339" i="25"/>
  <c r="M338" i="25"/>
  <c r="L338" i="25"/>
  <c r="I338" i="25"/>
  <c r="M337" i="25"/>
  <c r="L337" i="25"/>
  <c r="I337" i="25"/>
  <c r="M336" i="25"/>
  <c r="L336" i="25"/>
  <c r="I336" i="25"/>
  <c r="M335" i="25"/>
  <c r="L335" i="25"/>
  <c r="I335" i="25"/>
  <c r="M334" i="25"/>
  <c r="L334" i="25"/>
  <c r="I334" i="25"/>
  <c r="M333" i="25"/>
  <c r="L333" i="25"/>
  <c r="I333" i="25"/>
  <c r="M332" i="25"/>
  <c r="L332" i="25"/>
  <c r="I332" i="25"/>
  <c r="M331" i="25"/>
  <c r="L331" i="25"/>
  <c r="I331" i="25"/>
  <c r="M330" i="25"/>
  <c r="L330" i="25"/>
  <c r="I330" i="25"/>
  <c r="M329" i="25"/>
  <c r="L329" i="25"/>
  <c r="I329" i="25"/>
  <c r="K293" i="25"/>
  <c r="BH72" i="38" s="1"/>
  <c r="K281" i="25"/>
  <c r="BF72" i="38" s="1"/>
  <c r="K270" i="25"/>
  <c r="BD72" i="38" s="1"/>
  <c r="E269" i="25"/>
  <c r="C269" i="25"/>
  <c r="E268" i="25"/>
  <c r="C268" i="25"/>
  <c r="E267" i="25"/>
  <c r="C267" i="25"/>
  <c r="E266" i="25"/>
  <c r="C266" i="25"/>
  <c r="BC72" i="38"/>
  <c r="BB72" i="38"/>
  <c r="K203" i="25"/>
  <c r="AZ72" i="38" s="1"/>
  <c r="K193" i="25"/>
  <c r="AR72" i="38" s="1"/>
  <c r="Q192" i="25"/>
  <c r="O192" i="25"/>
  <c r="M192" i="25"/>
  <c r="K192" i="25"/>
  <c r="AN72" i="38"/>
  <c r="K142" i="25"/>
  <c r="AF72" i="38" s="1"/>
  <c r="AA72" i="38"/>
  <c r="S72" i="38"/>
  <c r="Q72" i="38"/>
  <c r="P72" i="38"/>
  <c r="O72" i="38"/>
  <c r="K84" i="25"/>
  <c r="N72" i="38" s="1"/>
  <c r="AD10" i="25"/>
  <c r="AA10" i="25"/>
  <c r="Z85" i="25"/>
  <c r="T6" i="25"/>
  <c r="T4" i="25"/>
  <c r="T2" i="25"/>
  <c r="E72" i="38" s="1"/>
  <c r="G611" i="26"/>
  <c r="M610" i="26"/>
  <c r="L610" i="26"/>
  <c r="I610" i="26"/>
  <c r="M609" i="26"/>
  <c r="L609" i="26"/>
  <c r="I609" i="26"/>
  <c r="M608" i="26"/>
  <c r="L608" i="26"/>
  <c r="I608" i="26"/>
  <c r="M607" i="26"/>
  <c r="L607" i="26"/>
  <c r="I607" i="26"/>
  <c r="M606" i="26"/>
  <c r="L606" i="26"/>
  <c r="I606" i="26"/>
  <c r="M605" i="26"/>
  <c r="L605" i="26"/>
  <c r="I605" i="26"/>
  <c r="M604" i="26"/>
  <c r="J6990" i="38" s="1"/>
  <c r="L604" i="26"/>
  <c r="I6990" i="38" s="1"/>
  <c r="I604" i="26"/>
  <c r="F6990" i="38" s="1"/>
  <c r="M603" i="26"/>
  <c r="J6989" i="38" s="1"/>
  <c r="L603" i="26"/>
  <c r="I6989" i="38" s="1"/>
  <c r="I603" i="26"/>
  <c r="F6989" i="38" s="1"/>
  <c r="M602" i="26"/>
  <c r="J6988" i="38" s="1"/>
  <c r="L602" i="26"/>
  <c r="I6988" i="38" s="1"/>
  <c r="I602" i="26"/>
  <c r="F6988" i="38" s="1"/>
  <c r="M601" i="26"/>
  <c r="L601" i="26"/>
  <c r="I601" i="26"/>
  <c r="G595" i="26"/>
  <c r="M594" i="26"/>
  <c r="L594" i="26"/>
  <c r="I594" i="26"/>
  <c r="M593" i="26"/>
  <c r="L593" i="26"/>
  <c r="I593" i="26"/>
  <c r="M592" i="26"/>
  <c r="L592" i="26"/>
  <c r="I592" i="26"/>
  <c r="M591" i="26"/>
  <c r="L591" i="26"/>
  <c r="I591" i="26"/>
  <c r="M590" i="26"/>
  <c r="L590" i="26"/>
  <c r="I590" i="26"/>
  <c r="M589" i="26"/>
  <c r="L589" i="26"/>
  <c r="I589" i="26"/>
  <c r="M588" i="26"/>
  <c r="J6980" i="38" s="1"/>
  <c r="L588" i="26"/>
  <c r="I6980" i="38" s="1"/>
  <c r="I588" i="26"/>
  <c r="F6980" i="38" s="1"/>
  <c r="M587" i="26"/>
  <c r="J6979" i="38" s="1"/>
  <c r="L587" i="26"/>
  <c r="I6979" i="38" s="1"/>
  <c r="I587" i="26"/>
  <c r="F6979" i="38" s="1"/>
  <c r="M586" i="26"/>
  <c r="J6978" i="38" s="1"/>
  <c r="L586" i="26"/>
  <c r="I6978" i="38" s="1"/>
  <c r="I586" i="26"/>
  <c r="F6978" i="38" s="1"/>
  <c r="M585" i="26"/>
  <c r="L585" i="26"/>
  <c r="I585" i="26"/>
  <c r="G579" i="26"/>
  <c r="M578" i="26"/>
  <c r="L578" i="26"/>
  <c r="I578" i="26"/>
  <c r="M577" i="26"/>
  <c r="L577" i="26"/>
  <c r="I577" i="26"/>
  <c r="M576" i="26"/>
  <c r="L576" i="26"/>
  <c r="I576" i="26"/>
  <c r="M575" i="26"/>
  <c r="L575" i="26"/>
  <c r="I575" i="26"/>
  <c r="M574" i="26"/>
  <c r="L574" i="26"/>
  <c r="I574" i="26"/>
  <c r="M573" i="26"/>
  <c r="L573" i="26"/>
  <c r="I573" i="26"/>
  <c r="M572" i="26"/>
  <c r="J6970" i="38" s="1"/>
  <c r="L572" i="26"/>
  <c r="I6970" i="38" s="1"/>
  <c r="I572" i="26"/>
  <c r="F6970" i="38" s="1"/>
  <c r="M571" i="26"/>
  <c r="J6969" i="38" s="1"/>
  <c r="L571" i="26"/>
  <c r="I6969" i="38" s="1"/>
  <c r="I571" i="26"/>
  <c r="F6969" i="38" s="1"/>
  <c r="M570" i="26"/>
  <c r="J6968" i="38" s="1"/>
  <c r="L570" i="26"/>
  <c r="I6968" i="38" s="1"/>
  <c r="I570" i="26"/>
  <c r="F6968" i="38" s="1"/>
  <c r="M569" i="26"/>
  <c r="L569" i="26"/>
  <c r="I569" i="26"/>
  <c r="G563" i="26"/>
  <c r="M562" i="26"/>
  <c r="L562" i="26"/>
  <c r="I562" i="26"/>
  <c r="M561" i="26"/>
  <c r="L561" i="26"/>
  <c r="I561" i="26"/>
  <c r="M560" i="26"/>
  <c r="L560" i="26"/>
  <c r="I560" i="26"/>
  <c r="M559" i="26"/>
  <c r="L559" i="26"/>
  <c r="I559" i="26"/>
  <c r="M558" i="26"/>
  <c r="L558" i="26"/>
  <c r="I558" i="26"/>
  <c r="M557" i="26"/>
  <c r="L557" i="26"/>
  <c r="I557" i="26"/>
  <c r="M556" i="26"/>
  <c r="J6960" i="38" s="1"/>
  <c r="L556" i="26"/>
  <c r="I6960" i="38" s="1"/>
  <c r="I556" i="26"/>
  <c r="F6960" i="38" s="1"/>
  <c r="M555" i="26"/>
  <c r="J6959" i="38" s="1"/>
  <c r="L555" i="26"/>
  <c r="I6959" i="38" s="1"/>
  <c r="I555" i="26"/>
  <c r="F6959" i="38" s="1"/>
  <c r="M554" i="26"/>
  <c r="J6958" i="38" s="1"/>
  <c r="L554" i="26"/>
  <c r="I6958" i="38" s="1"/>
  <c r="I554" i="26"/>
  <c r="F6958" i="38" s="1"/>
  <c r="M553" i="26"/>
  <c r="L553" i="26"/>
  <c r="I553" i="26"/>
  <c r="G547" i="26"/>
  <c r="M546" i="26"/>
  <c r="L546" i="26"/>
  <c r="I546" i="26"/>
  <c r="M545" i="26"/>
  <c r="L545" i="26"/>
  <c r="I545" i="26"/>
  <c r="M544" i="26"/>
  <c r="L544" i="26"/>
  <c r="I544" i="26"/>
  <c r="M543" i="26"/>
  <c r="L543" i="26"/>
  <c r="I543" i="26"/>
  <c r="M542" i="26"/>
  <c r="L542" i="26"/>
  <c r="I542" i="26"/>
  <c r="M541" i="26"/>
  <c r="L541" i="26"/>
  <c r="I541" i="26"/>
  <c r="M540" i="26"/>
  <c r="J6950" i="38" s="1"/>
  <c r="L540" i="26"/>
  <c r="I6950" i="38" s="1"/>
  <c r="I540" i="26"/>
  <c r="F6950" i="38" s="1"/>
  <c r="M539" i="26"/>
  <c r="J6949" i="38" s="1"/>
  <c r="L539" i="26"/>
  <c r="I6949" i="38" s="1"/>
  <c r="I539" i="26"/>
  <c r="F6949" i="38" s="1"/>
  <c r="M538" i="26"/>
  <c r="J6948" i="38" s="1"/>
  <c r="L538" i="26"/>
  <c r="I6948" i="38" s="1"/>
  <c r="I538" i="26"/>
  <c r="F6948" i="38" s="1"/>
  <c r="M537" i="26"/>
  <c r="L537" i="26"/>
  <c r="I537" i="26"/>
  <c r="G531" i="26"/>
  <c r="M530" i="26"/>
  <c r="L530" i="26"/>
  <c r="I530" i="26"/>
  <c r="M529" i="26"/>
  <c r="L529" i="26"/>
  <c r="I529" i="26"/>
  <c r="M528" i="26"/>
  <c r="L528" i="26"/>
  <c r="I528" i="26"/>
  <c r="M527" i="26"/>
  <c r="L527" i="26"/>
  <c r="I527" i="26"/>
  <c r="M526" i="26"/>
  <c r="L526" i="26"/>
  <c r="I526" i="26"/>
  <c r="M525" i="26"/>
  <c r="L525" i="26"/>
  <c r="I525" i="26"/>
  <c r="M524" i="26"/>
  <c r="J6940" i="38" s="1"/>
  <c r="L524" i="26"/>
  <c r="I6940" i="38" s="1"/>
  <c r="I524" i="26"/>
  <c r="F6940" i="38" s="1"/>
  <c r="M523" i="26"/>
  <c r="J6939" i="38" s="1"/>
  <c r="L523" i="26"/>
  <c r="I6939" i="38" s="1"/>
  <c r="I523" i="26"/>
  <c r="F6939" i="38" s="1"/>
  <c r="M522" i="26"/>
  <c r="J6938" i="38" s="1"/>
  <c r="L522" i="26"/>
  <c r="I6938" i="38" s="1"/>
  <c r="I522" i="26"/>
  <c r="F6938" i="38" s="1"/>
  <c r="M521" i="26"/>
  <c r="L521" i="26"/>
  <c r="I521" i="26"/>
  <c r="G515" i="26"/>
  <c r="M514" i="26"/>
  <c r="L514" i="26"/>
  <c r="I514" i="26"/>
  <c r="M513" i="26"/>
  <c r="L513" i="26"/>
  <c r="I513" i="26"/>
  <c r="M512" i="26"/>
  <c r="L512" i="26"/>
  <c r="I512" i="26"/>
  <c r="M511" i="26"/>
  <c r="L511" i="26"/>
  <c r="I511" i="26"/>
  <c r="M510" i="26"/>
  <c r="L510" i="26"/>
  <c r="I510" i="26"/>
  <c r="M509" i="26"/>
  <c r="L509" i="26"/>
  <c r="I509" i="26"/>
  <c r="M508" i="26"/>
  <c r="J6930" i="38" s="1"/>
  <c r="L508" i="26"/>
  <c r="I6930" i="38" s="1"/>
  <c r="I508" i="26"/>
  <c r="F6930" i="38" s="1"/>
  <c r="M507" i="26"/>
  <c r="J6929" i="38" s="1"/>
  <c r="L507" i="26"/>
  <c r="I6929" i="38" s="1"/>
  <c r="I507" i="26"/>
  <c r="F6929" i="38" s="1"/>
  <c r="M506" i="26"/>
  <c r="J6928" i="38" s="1"/>
  <c r="L506" i="26"/>
  <c r="I6928" i="38" s="1"/>
  <c r="I506" i="26"/>
  <c r="F6928" i="38" s="1"/>
  <c r="M505" i="26"/>
  <c r="L505" i="26"/>
  <c r="I505" i="26"/>
  <c r="G499" i="26"/>
  <c r="M498" i="26"/>
  <c r="L498" i="26"/>
  <c r="I498" i="26"/>
  <c r="M497" i="26"/>
  <c r="L497" i="26"/>
  <c r="I497" i="26"/>
  <c r="M496" i="26"/>
  <c r="L496" i="26"/>
  <c r="I496" i="26"/>
  <c r="M495" i="26"/>
  <c r="L495" i="26"/>
  <c r="I495" i="26"/>
  <c r="M494" i="26"/>
  <c r="L494" i="26"/>
  <c r="I494" i="26"/>
  <c r="M493" i="26"/>
  <c r="L493" i="26"/>
  <c r="I493" i="26"/>
  <c r="M492" i="26"/>
  <c r="J6920" i="38" s="1"/>
  <c r="L492" i="26"/>
  <c r="I6920" i="38" s="1"/>
  <c r="I492" i="26"/>
  <c r="F6920" i="38" s="1"/>
  <c r="M491" i="26"/>
  <c r="J6919" i="38" s="1"/>
  <c r="L491" i="26"/>
  <c r="I6919" i="38" s="1"/>
  <c r="I491" i="26"/>
  <c r="F6919" i="38" s="1"/>
  <c r="M490" i="26"/>
  <c r="J6918" i="38" s="1"/>
  <c r="L490" i="26"/>
  <c r="I6918" i="38" s="1"/>
  <c r="I490" i="26"/>
  <c r="F6918" i="38" s="1"/>
  <c r="M489" i="26"/>
  <c r="L489" i="26"/>
  <c r="I489" i="26"/>
  <c r="G483" i="26"/>
  <c r="M482" i="26"/>
  <c r="L482" i="26"/>
  <c r="I482" i="26"/>
  <c r="M481" i="26"/>
  <c r="L481" i="26"/>
  <c r="I481" i="26"/>
  <c r="M480" i="26"/>
  <c r="L480" i="26"/>
  <c r="I480" i="26"/>
  <c r="M479" i="26"/>
  <c r="L479" i="26"/>
  <c r="I479" i="26"/>
  <c r="M478" i="26"/>
  <c r="L478" i="26"/>
  <c r="I478" i="26"/>
  <c r="M477" i="26"/>
  <c r="L477" i="26"/>
  <c r="I477" i="26"/>
  <c r="M476" i="26"/>
  <c r="J6910" i="38" s="1"/>
  <c r="L476" i="26"/>
  <c r="I6910" i="38" s="1"/>
  <c r="I476" i="26"/>
  <c r="F6910" i="38" s="1"/>
  <c r="M475" i="26"/>
  <c r="J6909" i="38" s="1"/>
  <c r="L475" i="26"/>
  <c r="I6909" i="38" s="1"/>
  <c r="I475" i="26"/>
  <c r="F6909" i="38" s="1"/>
  <c r="M474" i="26"/>
  <c r="J6908" i="38" s="1"/>
  <c r="L474" i="26"/>
  <c r="I6908" i="38" s="1"/>
  <c r="I474" i="26"/>
  <c r="F6908" i="38" s="1"/>
  <c r="M473" i="26"/>
  <c r="L473" i="26"/>
  <c r="I473" i="26"/>
  <c r="G467" i="26"/>
  <c r="M466" i="26"/>
  <c r="L466" i="26"/>
  <c r="I466" i="26"/>
  <c r="M465" i="26"/>
  <c r="L465" i="26"/>
  <c r="I465" i="26"/>
  <c r="M464" i="26"/>
  <c r="L464" i="26"/>
  <c r="I464" i="26"/>
  <c r="M463" i="26"/>
  <c r="L463" i="26"/>
  <c r="I463" i="26"/>
  <c r="M462" i="26"/>
  <c r="L462" i="26"/>
  <c r="I462" i="26"/>
  <c r="M461" i="26"/>
  <c r="L461" i="26"/>
  <c r="I461" i="26"/>
  <c r="M460" i="26"/>
  <c r="J6900" i="38" s="1"/>
  <c r="L460" i="26"/>
  <c r="I6900" i="38" s="1"/>
  <c r="I460" i="26"/>
  <c r="F6900" i="38" s="1"/>
  <c r="M459" i="26"/>
  <c r="J6899" i="38" s="1"/>
  <c r="L459" i="26"/>
  <c r="I6899" i="38" s="1"/>
  <c r="I459" i="26"/>
  <c r="F6899" i="38" s="1"/>
  <c r="M458" i="26"/>
  <c r="J6898" i="38" s="1"/>
  <c r="L458" i="26"/>
  <c r="I6898" i="38" s="1"/>
  <c r="I458" i="26"/>
  <c r="F6898" i="38" s="1"/>
  <c r="M457" i="26"/>
  <c r="L457" i="26"/>
  <c r="I457" i="26"/>
  <c r="G451" i="26"/>
  <c r="M450" i="26"/>
  <c r="L450" i="26"/>
  <c r="I450" i="26"/>
  <c r="M449" i="26"/>
  <c r="L449" i="26"/>
  <c r="I449" i="26"/>
  <c r="M448" i="26"/>
  <c r="L448" i="26"/>
  <c r="I448" i="26"/>
  <c r="M447" i="26"/>
  <c r="L447" i="26"/>
  <c r="I447" i="26"/>
  <c r="M446" i="26"/>
  <c r="L446" i="26"/>
  <c r="I446" i="26"/>
  <c r="M445" i="26"/>
  <c r="L445" i="26"/>
  <c r="I445" i="26"/>
  <c r="M444" i="26"/>
  <c r="J6890" i="38" s="1"/>
  <c r="L444" i="26"/>
  <c r="I6890" i="38" s="1"/>
  <c r="I444" i="26"/>
  <c r="F6890" i="38" s="1"/>
  <c r="M443" i="26"/>
  <c r="J6889" i="38" s="1"/>
  <c r="L443" i="26"/>
  <c r="I6889" i="38" s="1"/>
  <c r="I443" i="26"/>
  <c r="F6889" i="38" s="1"/>
  <c r="M442" i="26"/>
  <c r="J6888" i="38" s="1"/>
  <c r="L442" i="26"/>
  <c r="I6888" i="38" s="1"/>
  <c r="I442" i="26"/>
  <c r="F6888" i="38" s="1"/>
  <c r="M441" i="26"/>
  <c r="L441" i="26"/>
  <c r="I441" i="26"/>
  <c r="G435" i="26"/>
  <c r="M434" i="26"/>
  <c r="L434" i="26"/>
  <c r="I434" i="26"/>
  <c r="M433" i="26"/>
  <c r="L433" i="26"/>
  <c r="I433" i="26"/>
  <c r="M432" i="26"/>
  <c r="L432" i="26"/>
  <c r="I432" i="26"/>
  <c r="M431" i="26"/>
  <c r="L431" i="26"/>
  <c r="I431" i="26"/>
  <c r="M430" i="26"/>
  <c r="L430" i="26"/>
  <c r="I430" i="26"/>
  <c r="M429" i="26"/>
  <c r="L429" i="26"/>
  <c r="I429" i="26"/>
  <c r="M428" i="26"/>
  <c r="J6880" i="38" s="1"/>
  <c r="L428" i="26"/>
  <c r="I6880" i="38" s="1"/>
  <c r="I428" i="26"/>
  <c r="F6880" i="38" s="1"/>
  <c r="M427" i="26"/>
  <c r="J6879" i="38" s="1"/>
  <c r="L427" i="26"/>
  <c r="I6879" i="38" s="1"/>
  <c r="I427" i="26"/>
  <c r="F6879" i="38" s="1"/>
  <c r="M426" i="26"/>
  <c r="J6878" i="38" s="1"/>
  <c r="L426" i="26"/>
  <c r="I6878" i="38" s="1"/>
  <c r="I426" i="26"/>
  <c r="F6878" i="38" s="1"/>
  <c r="M425" i="26"/>
  <c r="L425" i="26"/>
  <c r="I425" i="26"/>
  <c r="G419" i="26"/>
  <c r="M418" i="26"/>
  <c r="L418" i="26"/>
  <c r="I418" i="26"/>
  <c r="M417" i="26"/>
  <c r="L417" i="26"/>
  <c r="I417" i="26"/>
  <c r="M416" i="26"/>
  <c r="L416" i="26"/>
  <c r="I416" i="26"/>
  <c r="M415" i="26"/>
  <c r="L415" i="26"/>
  <c r="I415" i="26"/>
  <c r="M414" i="26"/>
  <c r="L414" i="26"/>
  <c r="I414" i="26"/>
  <c r="M413" i="26"/>
  <c r="L413" i="26"/>
  <c r="I413" i="26"/>
  <c r="M412" i="26"/>
  <c r="J6870" i="38" s="1"/>
  <c r="L412" i="26"/>
  <c r="I6870" i="38" s="1"/>
  <c r="I412" i="26"/>
  <c r="F6870" i="38" s="1"/>
  <c r="M411" i="26"/>
  <c r="J6869" i="38" s="1"/>
  <c r="L411" i="26"/>
  <c r="I6869" i="38" s="1"/>
  <c r="I411" i="26"/>
  <c r="F6869" i="38" s="1"/>
  <c r="M410" i="26"/>
  <c r="J6868" i="38" s="1"/>
  <c r="L410" i="26"/>
  <c r="I6868" i="38" s="1"/>
  <c r="I410" i="26"/>
  <c r="F6868" i="38" s="1"/>
  <c r="M409" i="26"/>
  <c r="L409" i="26"/>
  <c r="I409" i="26"/>
  <c r="G403" i="26"/>
  <c r="M402" i="26"/>
  <c r="L402" i="26"/>
  <c r="I402" i="26"/>
  <c r="M401" i="26"/>
  <c r="L401" i="26"/>
  <c r="I401" i="26"/>
  <c r="M400" i="26"/>
  <c r="L400" i="26"/>
  <c r="I400" i="26"/>
  <c r="M399" i="26"/>
  <c r="L399" i="26"/>
  <c r="I399" i="26"/>
  <c r="M398" i="26"/>
  <c r="L398" i="26"/>
  <c r="I398" i="26"/>
  <c r="M397" i="26"/>
  <c r="L397" i="26"/>
  <c r="I397" i="26"/>
  <c r="M396" i="26"/>
  <c r="J6860" i="38" s="1"/>
  <c r="L396" i="26"/>
  <c r="I6860" i="38" s="1"/>
  <c r="I396" i="26"/>
  <c r="F6860" i="38" s="1"/>
  <c r="M395" i="26"/>
  <c r="J6859" i="38" s="1"/>
  <c r="L395" i="26"/>
  <c r="I6859" i="38" s="1"/>
  <c r="I395" i="26"/>
  <c r="F6859" i="38" s="1"/>
  <c r="M394" i="26"/>
  <c r="J6858" i="38" s="1"/>
  <c r="L394" i="26"/>
  <c r="I6858" i="38" s="1"/>
  <c r="I394" i="26"/>
  <c r="F6858" i="38" s="1"/>
  <c r="M393" i="26"/>
  <c r="L393" i="26"/>
  <c r="I393" i="26"/>
  <c r="G387" i="26"/>
  <c r="M386" i="26"/>
  <c r="L386" i="26"/>
  <c r="I386" i="26"/>
  <c r="M385" i="26"/>
  <c r="L385" i="26"/>
  <c r="I385" i="26"/>
  <c r="M384" i="26"/>
  <c r="L384" i="26"/>
  <c r="I384" i="26"/>
  <c r="M383" i="26"/>
  <c r="L383" i="26"/>
  <c r="I383" i="26"/>
  <c r="M382" i="26"/>
  <c r="L382" i="26"/>
  <c r="I382" i="26"/>
  <c r="M381" i="26"/>
  <c r="L381" i="26"/>
  <c r="I381" i="26"/>
  <c r="M380" i="26"/>
  <c r="J6850" i="38" s="1"/>
  <c r="L380" i="26"/>
  <c r="I6850" i="38" s="1"/>
  <c r="I380" i="26"/>
  <c r="F6850" i="38" s="1"/>
  <c r="M379" i="26"/>
  <c r="J6849" i="38" s="1"/>
  <c r="L379" i="26"/>
  <c r="I6849" i="38" s="1"/>
  <c r="I379" i="26"/>
  <c r="F6849" i="38" s="1"/>
  <c r="M378" i="26"/>
  <c r="J6848" i="38" s="1"/>
  <c r="L378" i="26"/>
  <c r="I6848" i="38" s="1"/>
  <c r="I378" i="26"/>
  <c r="F6848" i="38" s="1"/>
  <c r="M377" i="26"/>
  <c r="L377" i="26"/>
  <c r="I377" i="26"/>
  <c r="G371" i="26"/>
  <c r="M370" i="26"/>
  <c r="L370" i="26"/>
  <c r="I370" i="26"/>
  <c r="M369" i="26"/>
  <c r="L369" i="26"/>
  <c r="I369" i="26"/>
  <c r="M368" i="26"/>
  <c r="L368" i="26"/>
  <c r="I368" i="26"/>
  <c r="M367" i="26"/>
  <c r="L367" i="26"/>
  <c r="I367" i="26"/>
  <c r="M366" i="26"/>
  <c r="L366" i="26"/>
  <c r="I366" i="26"/>
  <c r="M365" i="26"/>
  <c r="L365" i="26"/>
  <c r="I365" i="26"/>
  <c r="M364" i="26"/>
  <c r="J6840" i="38" s="1"/>
  <c r="L364" i="26"/>
  <c r="I6840" i="38" s="1"/>
  <c r="I364" i="26"/>
  <c r="F6840" i="38" s="1"/>
  <c r="M363" i="26"/>
  <c r="J6839" i="38" s="1"/>
  <c r="L363" i="26"/>
  <c r="I6839" i="38" s="1"/>
  <c r="I363" i="26"/>
  <c r="F6839" i="38" s="1"/>
  <c r="M362" i="26"/>
  <c r="J6838" i="38" s="1"/>
  <c r="L362" i="26"/>
  <c r="I6838" i="38" s="1"/>
  <c r="I362" i="26"/>
  <c r="F6838" i="38" s="1"/>
  <c r="M361" i="26"/>
  <c r="L361" i="26"/>
  <c r="I361" i="26"/>
  <c r="G355" i="26"/>
  <c r="M354" i="26"/>
  <c r="L354" i="26"/>
  <c r="I354" i="26"/>
  <c r="M353" i="26"/>
  <c r="L353" i="26"/>
  <c r="I353" i="26"/>
  <c r="M352" i="26"/>
  <c r="L352" i="26"/>
  <c r="I352" i="26"/>
  <c r="M351" i="26"/>
  <c r="L351" i="26"/>
  <c r="I351" i="26"/>
  <c r="M350" i="26"/>
  <c r="L350" i="26"/>
  <c r="I350" i="26"/>
  <c r="M349" i="26"/>
  <c r="L349" i="26"/>
  <c r="I349" i="26"/>
  <c r="M348" i="26"/>
  <c r="L348" i="26"/>
  <c r="I348" i="26"/>
  <c r="M347" i="26"/>
  <c r="L347" i="26"/>
  <c r="I347" i="26"/>
  <c r="M346" i="26"/>
  <c r="L346" i="26"/>
  <c r="I346" i="26"/>
  <c r="M345" i="26"/>
  <c r="L345" i="26"/>
  <c r="I345" i="26"/>
  <c r="G339" i="26"/>
  <c r="M338" i="26"/>
  <c r="L338" i="26"/>
  <c r="I338" i="26"/>
  <c r="M337" i="26"/>
  <c r="L337" i="26"/>
  <c r="I337" i="26"/>
  <c r="M336" i="26"/>
  <c r="L336" i="26"/>
  <c r="I336" i="26"/>
  <c r="M335" i="26"/>
  <c r="L335" i="26"/>
  <c r="I335" i="26"/>
  <c r="M334" i="26"/>
  <c r="L334" i="26"/>
  <c r="I334" i="26"/>
  <c r="M333" i="26"/>
  <c r="L333" i="26"/>
  <c r="I333" i="26"/>
  <c r="M332" i="26"/>
  <c r="L332" i="26"/>
  <c r="I332" i="26"/>
  <c r="M331" i="26"/>
  <c r="L331" i="26"/>
  <c r="I331" i="26"/>
  <c r="M330" i="26"/>
  <c r="L330" i="26"/>
  <c r="I330" i="26"/>
  <c r="M329" i="26"/>
  <c r="L329" i="26"/>
  <c r="I329" i="26"/>
  <c r="K293" i="26"/>
  <c r="BH73" i="38" s="1"/>
  <c r="K281" i="26"/>
  <c r="BF73" i="38" s="1"/>
  <c r="K270" i="26"/>
  <c r="BD73" i="38" s="1"/>
  <c r="E269" i="26"/>
  <c r="C269" i="26"/>
  <c r="E268" i="26"/>
  <c r="C268" i="26"/>
  <c r="E267" i="26"/>
  <c r="C267" i="26"/>
  <c r="E266" i="26"/>
  <c r="C266" i="26"/>
  <c r="BC73" i="38"/>
  <c r="BB73" i="38"/>
  <c r="K203" i="26"/>
  <c r="AZ73" i="38" s="1"/>
  <c r="K193" i="26"/>
  <c r="AR73" i="38" s="1"/>
  <c r="Q192" i="26"/>
  <c r="O192" i="26"/>
  <c r="M192" i="26"/>
  <c r="K192" i="26"/>
  <c r="AN73" i="38"/>
  <c r="K142" i="26"/>
  <c r="AF73" i="38" s="1"/>
  <c r="AA73" i="38"/>
  <c r="S73" i="38"/>
  <c r="Q73" i="38"/>
  <c r="P73" i="38"/>
  <c r="O73" i="38"/>
  <c r="K84" i="26"/>
  <c r="N73" i="38" s="1"/>
  <c r="AD10" i="26"/>
  <c r="AA10" i="26"/>
  <c r="Z85" i="26"/>
  <c r="T6" i="26"/>
  <c r="T4" i="26"/>
  <c r="T2" i="26"/>
  <c r="E73" i="38" s="1"/>
  <c r="G611" i="27"/>
  <c r="M610" i="27"/>
  <c r="L610" i="27"/>
  <c r="I610" i="27"/>
  <c r="M609" i="27"/>
  <c r="L609" i="27"/>
  <c r="I609" i="27"/>
  <c r="M608" i="27"/>
  <c r="L608" i="27"/>
  <c r="I608" i="27"/>
  <c r="M607" i="27"/>
  <c r="L607" i="27"/>
  <c r="I607" i="27"/>
  <c r="M606" i="27"/>
  <c r="L606" i="27"/>
  <c r="I606" i="27"/>
  <c r="M605" i="27"/>
  <c r="L605" i="27"/>
  <c r="I605" i="27"/>
  <c r="M604" i="27"/>
  <c r="J7170" i="38" s="1"/>
  <c r="L604" i="27"/>
  <c r="I7170" i="38" s="1"/>
  <c r="I604" i="27"/>
  <c r="F7170" i="38" s="1"/>
  <c r="M603" i="27"/>
  <c r="J7169" i="38" s="1"/>
  <c r="L603" i="27"/>
  <c r="I7169" i="38" s="1"/>
  <c r="I603" i="27"/>
  <c r="F7169" i="38" s="1"/>
  <c r="M602" i="27"/>
  <c r="J7168" i="38" s="1"/>
  <c r="L602" i="27"/>
  <c r="I7168" i="38" s="1"/>
  <c r="I602" i="27"/>
  <c r="F7168" i="38" s="1"/>
  <c r="M601" i="27"/>
  <c r="L601" i="27"/>
  <c r="I601" i="27"/>
  <c r="G595" i="27"/>
  <c r="M594" i="27"/>
  <c r="L594" i="27"/>
  <c r="I594" i="27"/>
  <c r="M593" i="27"/>
  <c r="L593" i="27"/>
  <c r="I593" i="27"/>
  <c r="M592" i="27"/>
  <c r="L592" i="27"/>
  <c r="I592" i="27"/>
  <c r="M591" i="27"/>
  <c r="L591" i="27"/>
  <c r="I591" i="27"/>
  <c r="M590" i="27"/>
  <c r="L590" i="27"/>
  <c r="I590" i="27"/>
  <c r="M589" i="27"/>
  <c r="L589" i="27"/>
  <c r="I589" i="27"/>
  <c r="M588" i="27"/>
  <c r="J7160" i="38" s="1"/>
  <c r="L588" i="27"/>
  <c r="I7160" i="38" s="1"/>
  <c r="I588" i="27"/>
  <c r="F7160" i="38" s="1"/>
  <c r="M587" i="27"/>
  <c r="J7159" i="38" s="1"/>
  <c r="L587" i="27"/>
  <c r="I7159" i="38" s="1"/>
  <c r="I587" i="27"/>
  <c r="F7159" i="38" s="1"/>
  <c r="M586" i="27"/>
  <c r="J7158" i="38" s="1"/>
  <c r="L586" i="27"/>
  <c r="I7158" i="38" s="1"/>
  <c r="I586" i="27"/>
  <c r="F7158" i="38" s="1"/>
  <c r="M585" i="27"/>
  <c r="L585" i="27"/>
  <c r="I585" i="27"/>
  <c r="G579" i="27"/>
  <c r="M578" i="27"/>
  <c r="L578" i="27"/>
  <c r="I578" i="27"/>
  <c r="M577" i="27"/>
  <c r="L577" i="27"/>
  <c r="I577" i="27"/>
  <c r="M576" i="27"/>
  <c r="L576" i="27"/>
  <c r="I576" i="27"/>
  <c r="M575" i="27"/>
  <c r="L575" i="27"/>
  <c r="I575" i="27"/>
  <c r="M574" i="27"/>
  <c r="L574" i="27"/>
  <c r="I574" i="27"/>
  <c r="M573" i="27"/>
  <c r="L573" i="27"/>
  <c r="I573" i="27"/>
  <c r="M572" i="27"/>
  <c r="J7150" i="38" s="1"/>
  <c r="L572" i="27"/>
  <c r="I7150" i="38" s="1"/>
  <c r="I572" i="27"/>
  <c r="F7150" i="38" s="1"/>
  <c r="M571" i="27"/>
  <c r="J7149" i="38" s="1"/>
  <c r="L571" i="27"/>
  <c r="I7149" i="38" s="1"/>
  <c r="I571" i="27"/>
  <c r="F7149" i="38" s="1"/>
  <c r="M570" i="27"/>
  <c r="J7148" i="38" s="1"/>
  <c r="L570" i="27"/>
  <c r="I7148" i="38" s="1"/>
  <c r="I570" i="27"/>
  <c r="F7148" i="38" s="1"/>
  <c r="M569" i="27"/>
  <c r="L569" i="27"/>
  <c r="I569" i="27"/>
  <c r="G563" i="27"/>
  <c r="M562" i="27"/>
  <c r="L562" i="27"/>
  <c r="I562" i="27"/>
  <c r="M561" i="27"/>
  <c r="L561" i="27"/>
  <c r="I561" i="27"/>
  <c r="M560" i="27"/>
  <c r="L560" i="27"/>
  <c r="I560" i="27"/>
  <c r="M559" i="27"/>
  <c r="L559" i="27"/>
  <c r="I559" i="27"/>
  <c r="M558" i="27"/>
  <c r="L558" i="27"/>
  <c r="I558" i="27"/>
  <c r="M557" i="27"/>
  <c r="L557" i="27"/>
  <c r="I557" i="27"/>
  <c r="M556" i="27"/>
  <c r="J7140" i="38" s="1"/>
  <c r="L556" i="27"/>
  <c r="I7140" i="38" s="1"/>
  <c r="I556" i="27"/>
  <c r="F7140" i="38" s="1"/>
  <c r="M555" i="27"/>
  <c r="J7139" i="38" s="1"/>
  <c r="L555" i="27"/>
  <c r="I7139" i="38" s="1"/>
  <c r="I555" i="27"/>
  <c r="F7139" i="38" s="1"/>
  <c r="M554" i="27"/>
  <c r="J7138" i="38" s="1"/>
  <c r="L554" i="27"/>
  <c r="I7138" i="38" s="1"/>
  <c r="I554" i="27"/>
  <c r="F7138" i="38" s="1"/>
  <c r="M553" i="27"/>
  <c r="L553" i="27"/>
  <c r="I553" i="27"/>
  <c r="G547" i="27"/>
  <c r="M546" i="27"/>
  <c r="L546" i="27"/>
  <c r="I546" i="27"/>
  <c r="M545" i="27"/>
  <c r="L545" i="27"/>
  <c r="I545" i="27"/>
  <c r="M544" i="27"/>
  <c r="L544" i="27"/>
  <c r="I544" i="27"/>
  <c r="M543" i="27"/>
  <c r="L543" i="27"/>
  <c r="I543" i="27"/>
  <c r="M542" i="27"/>
  <c r="L542" i="27"/>
  <c r="I542" i="27"/>
  <c r="M541" i="27"/>
  <c r="L541" i="27"/>
  <c r="I541" i="27"/>
  <c r="M540" i="27"/>
  <c r="J7130" i="38" s="1"/>
  <c r="L540" i="27"/>
  <c r="I7130" i="38" s="1"/>
  <c r="I540" i="27"/>
  <c r="F7130" i="38" s="1"/>
  <c r="M539" i="27"/>
  <c r="J7129" i="38" s="1"/>
  <c r="L539" i="27"/>
  <c r="I7129" i="38" s="1"/>
  <c r="I539" i="27"/>
  <c r="F7129" i="38" s="1"/>
  <c r="M538" i="27"/>
  <c r="J7128" i="38" s="1"/>
  <c r="L538" i="27"/>
  <c r="I7128" i="38" s="1"/>
  <c r="I538" i="27"/>
  <c r="F7128" i="38" s="1"/>
  <c r="M537" i="27"/>
  <c r="L537" i="27"/>
  <c r="I537" i="27"/>
  <c r="G531" i="27"/>
  <c r="M530" i="27"/>
  <c r="L530" i="27"/>
  <c r="I530" i="27"/>
  <c r="M529" i="27"/>
  <c r="L529" i="27"/>
  <c r="I529" i="27"/>
  <c r="M528" i="27"/>
  <c r="L528" i="27"/>
  <c r="I528" i="27"/>
  <c r="M527" i="27"/>
  <c r="L527" i="27"/>
  <c r="I527" i="27"/>
  <c r="M526" i="27"/>
  <c r="L526" i="27"/>
  <c r="I526" i="27"/>
  <c r="M525" i="27"/>
  <c r="L525" i="27"/>
  <c r="I525" i="27"/>
  <c r="M524" i="27"/>
  <c r="J7120" i="38" s="1"/>
  <c r="L524" i="27"/>
  <c r="I7120" i="38" s="1"/>
  <c r="I524" i="27"/>
  <c r="F7120" i="38" s="1"/>
  <c r="M523" i="27"/>
  <c r="J7119" i="38" s="1"/>
  <c r="L523" i="27"/>
  <c r="I7119" i="38" s="1"/>
  <c r="I523" i="27"/>
  <c r="F7119" i="38" s="1"/>
  <c r="M522" i="27"/>
  <c r="J7118" i="38" s="1"/>
  <c r="L522" i="27"/>
  <c r="I7118" i="38" s="1"/>
  <c r="I522" i="27"/>
  <c r="F7118" i="38" s="1"/>
  <c r="M521" i="27"/>
  <c r="L521" i="27"/>
  <c r="I521" i="27"/>
  <c r="G515" i="27"/>
  <c r="M514" i="27"/>
  <c r="L514" i="27"/>
  <c r="I514" i="27"/>
  <c r="M513" i="27"/>
  <c r="L513" i="27"/>
  <c r="I513" i="27"/>
  <c r="M512" i="27"/>
  <c r="L512" i="27"/>
  <c r="I512" i="27"/>
  <c r="M511" i="27"/>
  <c r="L511" i="27"/>
  <c r="I511" i="27"/>
  <c r="M510" i="27"/>
  <c r="L510" i="27"/>
  <c r="I510" i="27"/>
  <c r="M509" i="27"/>
  <c r="L509" i="27"/>
  <c r="I509" i="27"/>
  <c r="M508" i="27"/>
  <c r="J7110" i="38" s="1"/>
  <c r="L508" i="27"/>
  <c r="I7110" i="38" s="1"/>
  <c r="I508" i="27"/>
  <c r="F7110" i="38" s="1"/>
  <c r="M507" i="27"/>
  <c r="J7109" i="38" s="1"/>
  <c r="L507" i="27"/>
  <c r="I7109" i="38" s="1"/>
  <c r="I507" i="27"/>
  <c r="F7109" i="38" s="1"/>
  <c r="M506" i="27"/>
  <c r="J7108" i="38" s="1"/>
  <c r="L506" i="27"/>
  <c r="I7108" i="38" s="1"/>
  <c r="I506" i="27"/>
  <c r="F7108" i="38" s="1"/>
  <c r="M505" i="27"/>
  <c r="L505" i="27"/>
  <c r="I505" i="27"/>
  <c r="G499" i="27"/>
  <c r="M498" i="27"/>
  <c r="L498" i="27"/>
  <c r="I498" i="27"/>
  <c r="M497" i="27"/>
  <c r="L497" i="27"/>
  <c r="I497" i="27"/>
  <c r="M496" i="27"/>
  <c r="L496" i="27"/>
  <c r="I496" i="27"/>
  <c r="M495" i="27"/>
  <c r="L495" i="27"/>
  <c r="I495" i="27"/>
  <c r="M494" i="27"/>
  <c r="L494" i="27"/>
  <c r="I494" i="27"/>
  <c r="M493" i="27"/>
  <c r="L493" i="27"/>
  <c r="I493" i="27"/>
  <c r="M492" i="27"/>
  <c r="J7100" i="38" s="1"/>
  <c r="L492" i="27"/>
  <c r="I7100" i="38" s="1"/>
  <c r="I492" i="27"/>
  <c r="F7100" i="38" s="1"/>
  <c r="M491" i="27"/>
  <c r="J7099" i="38" s="1"/>
  <c r="L491" i="27"/>
  <c r="I7099" i="38" s="1"/>
  <c r="I491" i="27"/>
  <c r="F7099" i="38" s="1"/>
  <c r="M490" i="27"/>
  <c r="J7098" i="38" s="1"/>
  <c r="L490" i="27"/>
  <c r="I7098" i="38" s="1"/>
  <c r="I490" i="27"/>
  <c r="F7098" i="38" s="1"/>
  <c r="M489" i="27"/>
  <c r="L489" i="27"/>
  <c r="I489" i="27"/>
  <c r="G483" i="27"/>
  <c r="M482" i="27"/>
  <c r="L482" i="27"/>
  <c r="I482" i="27"/>
  <c r="M481" i="27"/>
  <c r="L481" i="27"/>
  <c r="I481" i="27"/>
  <c r="M480" i="27"/>
  <c r="L480" i="27"/>
  <c r="I480" i="27"/>
  <c r="M479" i="27"/>
  <c r="L479" i="27"/>
  <c r="I479" i="27"/>
  <c r="M478" i="27"/>
  <c r="L478" i="27"/>
  <c r="I478" i="27"/>
  <c r="M477" i="27"/>
  <c r="L477" i="27"/>
  <c r="I477" i="27"/>
  <c r="M476" i="27"/>
  <c r="J7090" i="38" s="1"/>
  <c r="L476" i="27"/>
  <c r="I7090" i="38" s="1"/>
  <c r="I476" i="27"/>
  <c r="F7090" i="38" s="1"/>
  <c r="M475" i="27"/>
  <c r="J7089" i="38" s="1"/>
  <c r="L475" i="27"/>
  <c r="I7089" i="38" s="1"/>
  <c r="I475" i="27"/>
  <c r="F7089" i="38" s="1"/>
  <c r="M474" i="27"/>
  <c r="J7088" i="38" s="1"/>
  <c r="L474" i="27"/>
  <c r="I7088" i="38" s="1"/>
  <c r="I474" i="27"/>
  <c r="F7088" i="38" s="1"/>
  <c r="M473" i="27"/>
  <c r="L473" i="27"/>
  <c r="I473" i="27"/>
  <c r="G467" i="27"/>
  <c r="M466" i="27"/>
  <c r="L466" i="27"/>
  <c r="I466" i="27"/>
  <c r="M465" i="27"/>
  <c r="L465" i="27"/>
  <c r="I465" i="27"/>
  <c r="M464" i="27"/>
  <c r="L464" i="27"/>
  <c r="I464" i="27"/>
  <c r="M463" i="27"/>
  <c r="L463" i="27"/>
  <c r="I463" i="27"/>
  <c r="M462" i="27"/>
  <c r="L462" i="27"/>
  <c r="I462" i="27"/>
  <c r="M461" i="27"/>
  <c r="L461" i="27"/>
  <c r="I461" i="27"/>
  <c r="M460" i="27"/>
  <c r="J7080" i="38" s="1"/>
  <c r="L460" i="27"/>
  <c r="I7080" i="38" s="1"/>
  <c r="I460" i="27"/>
  <c r="F7080" i="38" s="1"/>
  <c r="M459" i="27"/>
  <c r="J7079" i="38" s="1"/>
  <c r="L459" i="27"/>
  <c r="I7079" i="38" s="1"/>
  <c r="I459" i="27"/>
  <c r="F7079" i="38" s="1"/>
  <c r="M458" i="27"/>
  <c r="J7078" i="38" s="1"/>
  <c r="L458" i="27"/>
  <c r="I7078" i="38" s="1"/>
  <c r="I458" i="27"/>
  <c r="F7078" i="38" s="1"/>
  <c r="M457" i="27"/>
  <c r="L457" i="27"/>
  <c r="I457" i="27"/>
  <c r="G451" i="27"/>
  <c r="M450" i="27"/>
  <c r="L450" i="27"/>
  <c r="I450" i="27"/>
  <c r="M449" i="27"/>
  <c r="L449" i="27"/>
  <c r="I449" i="27"/>
  <c r="M448" i="27"/>
  <c r="L448" i="27"/>
  <c r="I448" i="27"/>
  <c r="M447" i="27"/>
  <c r="L447" i="27"/>
  <c r="I447" i="27"/>
  <c r="M446" i="27"/>
  <c r="L446" i="27"/>
  <c r="I446" i="27"/>
  <c r="M445" i="27"/>
  <c r="L445" i="27"/>
  <c r="I445" i="27"/>
  <c r="M444" i="27"/>
  <c r="J7070" i="38" s="1"/>
  <c r="L444" i="27"/>
  <c r="I7070" i="38" s="1"/>
  <c r="I444" i="27"/>
  <c r="F7070" i="38" s="1"/>
  <c r="M443" i="27"/>
  <c r="J7069" i="38" s="1"/>
  <c r="L443" i="27"/>
  <c r="I7069" i="38" s="1"/>
  <c r="I443" i="27"/>
  <c r="F7069" i="38" s="1"/>
  <c r="M442" i="27"/>
  <c r="J7068" i="38" s="1"/>
  <c r="L442" i="27"/>
  <c r="I7068" i="38" s="1"/>
  <c r="I442" i="27"/>
  <c r="F7068" i="38" s="1"/>
  <c r="M441" i="27"/>
  <c r="L441" i="27"/>
  <c r="I441" i="27"/>
  <c r="G435" i="27"/>
  <c r="M434" i="27"/>
  <c r="L434" i="27"/>
  <c r="I434" i="27"/>
  <c r="M433" i="27"/>
  <c r="L433" i="27"/>
  <c r="I433" i="27"/>
  <c r="M432" i="27"/>
  <c r="L432" i="27"/>
  <c r="I432" i="27"/>
  <c r="M431" i="27"/>
  <c r="L431" i="27"/>
  <c r="I431" i="27"/>
  <c r="M430" i="27"/>
  <c r="L430" i="27"/>
  <c r="I430" i="27"/>
  <c r="M429" i="27"/>
  <c r="L429" i="27"/>
  <c r="I429" i="27"/>
  <c r="M428" i="27"/>
  <c r="J7060" i="38" s="1"/>
  <c r="L428" i="27"/>
  <c r="I7060" i="38" s="1"/>
  <c r="I428" i="27"/>
  <c r="F7060" i="38" s="1"/>
  <c r="M427" i="27"/>
  <c r="J7059" i="38" s="1"/>
  <c r="L427" i="27"/>
  <c r="I7059" i="38" s="1"/>
  <c r="I427" i="27"/>
  <c r="F7059" i="38" s="1"/>
  <c r="M426" i="27"/>
  <c r="J7058" i="38" s="1"/>
  <c r="L426" i="27"/>
  <c r="I7058" i="38" s="1"/>
  <c r="I426" i="27"/>
  <c r="F7058" i="38" s="1"/>
  <c r="M425" i="27"/>
  <c r="L425" i="27"/>
  <c r="I425" i="27"/>
  <c r="G419" i="27"/>
  <c r="M418" i="27"/>
  <c r="L418" i="27"/>
  <c r="I418" i="27"/>
  <c r="M417" i="27"/>
  <c r="L417" i="27"/>
  <c r="I417" i="27"/>
  <c r="M416" i="27"/>
  <c r="L416" i="27"/>
  <c r="I416" i="27"/>
  <c r="M415" i="27"/>
  <c r="L415" i="27"/>
  <c r="I415" i="27"/>
  <c r="M414" i="27"/>
  <c r="L414" i="27"/>
  <c r="I414" i="27"/>
  <c r="M413" i="27"/>
  <c r="L413" i="27"/>
  <c r="I413" i="27"/>
  <c r="M412" i="27"/>
  <c r="J7050" i="38" s="1"/>
  <c r="L412" i="27"/>
  <c r="I7050" i="38" s="1"/>
  <c r="I412" i="27"/>
  <c r="F7050" i="38" s="1"/>
  <c r="M411" i="27"/>
  <c r="J7049" i="38" s="1"/>
  <c r="L411" i="27"/>
  <c r="I7049" i="38" s="1"/>
  <c r="I411" i="27"/>
  <c r="F7049" i="38" s="1"/>
  <c r="M410" i="27"/>
  <c r="J7048" i="38" s="1"/>
  <c r="L410" i="27"/>
  <c r="I7048" i="38" s="1"/>
  <c r="I410" i="27"/>
  <c r="F7048" i="38" s="1"/>
  <c r="M409" i="27"/>
  <c r="L409" i="27"/>
  <c r="I409" i="27"/>
  <c r="G403" i="27"/>
  <c r="M402" i="27"/>
  <c r="L402" i="27"/>
  <c r="I402" i="27"/>
  <c r="M401" i="27"/>
  <c r="L401" i="27"/>
  <c r="I401" i="27"/>
  <c r="M400" i="27"/>
  <c r="L400" i="27"/>
  <c r="I400" i="27"/>
  <c r="M399" i="27"/>
  <c r="L399" i="27"/>
  <c r="I399" i="27"/>
  <c r="M398" i="27"/>
  <c r="L398" i="27"/>
  <c r="I398" i="27"/>
  <c r="M397" i="27"/>
  <c r="L397" i="27"/>
  <c r="I397" i="27"/>
  <c r="M396" i="27"/>
  <c r="J7040" i="38" s="1"/>
  <c r="L396" i="27"/>
  <c r="I7040" i="38" s="1"/>
  <c r="I396" i="27"/>
  <c r="F7040" i="38" s="1"/>
  <c r="M395" i="27"/>
  <c r="J7039" i="38" s="1"/>
  <c r="L395" i="27"/>
  <c r="I7039" i="38" s="1"/>
  <c r="I395" i="27"/>
  <c r="F7039" i="38" s="1"/>
  <c r="M394" i="27"/>
  <c r="J7038" i="38" s="1"/>
  <c r="L394" i="27"/>
  <c r="I7038" i="38" s="1"/>
  <c r="I394" i="27"/>
  <c r="F7038" i="38" s="1"/>
  <c r="M393" i="27"/>
  <c r="L393" i="27"/>
  <c r="I393" i="27"/>
  <c r="G387" i="27"/>
  <c r="M386" i="27"/>
  <c r="L386" i="27"/>
  <c r="I386" i="27"/>
  <c r="M385" i="27"/>
  <c r="L385" i="27"/>
  <c r="I385" i="27"/>
  <c r="M384" i="27"/>
  <c r="L384" i="27"/>
  <c r="I384" i="27"/>
  <c r="M383" i="27"/>
  <c r="L383" i="27"/>
  <c r="I383" i="27"/>
  <c r="M382" i="27"/>
  <c r="L382" i="27"/>
  <c r="I382" i="27"/>
  <c r="M381" i="27"/>
  <c r="L381" i="27"/>
  <c r="I381" i="27"/>
  <c r="M380" i="27"/>
  <c r="J7030" i="38" s="1"/>
  <c r="L380" i="27"/>
  <c r="I7030" i="38" s="1"/>
  <c r="I380" i="27"/>
  <c r="F7030" i="38" s="1"/>
  <c r="M379" i="27"/>
  <c r="J7029" i="38" s="1"/>
  <c r="L379" i="27"/>
  <c r="I7029" i="38" s="1"/>
  <c r="I379" i="27"/>
  <c r="F7029" i="38" s="1"/>
  <c r="M378" i="27"/>
  <c r="J7028" i="38" s="1"/>
  <c r="L378" i="27"/>
  <c r="I7028" i="38" s="1"/>
  <c r="I378" i="27"/>
  <c r="F7028" i="38" s="1"/>
  <c r="M377" i="27"/>
  <c r="L377" i="27"/>
  <c r="I377" i="27"/>
  <c r="G371" i="27"/>
  <c r="M370" i="27"/>
  <c r="L370" i="27"/>
  <c r="I370" i="27"/>
  <c r="M369" i="27"/>
  <c r="L369" i="27"/>
  <c r="I369" i="27"/>
  <c r="M368" i="27"/>
  <c r="L368" i="27"/>
  <c r="I368" i="27"/>
  <c r="M367" i="27"/>
  <c r="L367" i="27"/>
  <c r="I367" i="27"/>
  <c r="M366" i="27"/>
  <c r="L366" i="27"/>
  <c r="I366" i="27"/>
  <c r="M365" i="27"/>
  <c r="L365" i="27"/>
  <c r="I365" i="27"/>
  <c r="M364" i="27"/>
  <c r="J7020" i="38" s="1"/>
  <c r="L364" i="27"/>
  <c r="I7020" i="38" s="1"/>
  <c r="I364" i="27"/>
  <c r="F7020" i="38" s="1"/>
  <c r="M363" i="27"/>
  <c r="J7019" i="38" s="1"/>
  <c r="L363" i="27"/>
  <c r="I7019" i="38" s="1"/>
  <c r="I363" i="27"/>
  <c r="F7019" i="38" s="1"/>
  <c r="M362" i="27"/>
  <c r="J7018" i="38" s="1"/>
  <c r="L362" i="27"/>
  <c r="I7018" i="38" s="1"/>
  <c r="I362" i="27"/>
  <c r="F7018" i="38" s="1"/>
  <c r="M361" i="27"/>
  <c r="L361" i="27"/>
  <c r="I361" i="27"/>
  <c r="G355" i="27"/>
  <c r="M354" i="27"/>
  <c r="L354" i="27"/>
  <c r="I354" i="27"/>
  <c r="M353" i="27"/>
  <c r="L353" i="27"/>
  <c r="I353" i="27"/>
  <c r="M352" i="27"/>
  <c r="L352" i="27"/>
  <c r="I352" i="27"/>
  <c r="M351" i="27"/>
  <c r="L351" i="27"/>
  <c r="I351" i="27"/>
  <c r="M350" i="27"/>
  <c r="L350" i="27"/>
  <c r="I350" i="27"/>
  <c r="M349" i="27"/>
  <c r="L349" i="27"/>
  <c r="I349" i="27"/>
  <c r="M348" i="27"/>
  <c r="L348" i="27"/>
  <c r="I348" i="27"/>
  <c r="M347" i="27"/>
  <c r="L347" i="27"/>
  <c r="I347" i="27"/>
  <c r="M346" i="27"/>
  <c r="L346" i="27"/>
  <c r="I346" i="27"/>
  <c r="M345" i="27"/>
  <c r="L345" i="27"/>
  <c r="I345" i="27"/>
  <c r="G339" i="27"/>
  <c r="M338" i="27"/>
  <c r="L338" i="27"/>
  <c r="I338" i="27"/>
  <c r="M337" i="27"/>
  <c r="L337" i="27"/>
  <c r="I337" i="27"/>
  <c r="M336" i="27"/>
  <c r="L336" i="27"/>
  <c r="I336" i="27"/>
  <c r="M335" i="27"/>
  <c r="L335" i="27"/>
  <c r="I335" i="27"/>
  <c r="M334" i="27"/>
  <c r="L334" i="27"/>
  <c r="I334" i="27"/>
  <c r="M333" i="27"/>
  <c r="L333" i="27"/>
  <c r="I333" i="27"/>
  <c r="M332" i="27"/>
  <c r="L332" i="27"/>
  <c r="I332" i="27"/>
  <c r="M331" i="27"/>
  <c r="L331" i="27"/>
  <c r="I331" i="27"/>
  <c r="M330" i="27"/>
  <c r="L330" i="27"/>
  <c r="I330" i="27"/>
  <c r="M329" i="27"/>
  <c r="L329" i="27"/>
  <c r="I329" i="27"/>
  <c r="K293" i="27"/>
  <c r="BH74" i="38" s="1"/>
  <c r="K281" i="27"/>
  <c r="BF74" i="38" s="1"/>
  <c r="K270" i="27"/>
  <c r="BD74" i="38" s="1"/>
  <c r="E269" i="27"/>
  <c r="C269" i="27"/>
  <c r="E268" i="27"/>
  <c r="C268" i="27"/>
  <c r="E267" i="27"/>
  <c r="C267" i="27"/>
  <c r="E266" i="27"/>
  <c r="C266" i="27"/>
  <c r="BC74" i="38"/>
  <c r="BB74" i="38"/>
  <c r="K203" i="27"/>
  <c r="AZ74" i="38" s="1"/>
  <c r="K193" i="27"/>
  <c r="AR74" i="38" s="1"/>
  <c r="Q192" i="27"/>
  <c r="O192" i="27"/>
  <c r="M192" i="27"/>
  <c r="K192" i="27"/>
  <c r="AN74" i="38"/>
  <c r="K142" i="27"/>
  <c r="AF74" i="38" s="1"/>
  <c r="S74" i="38"/>
  <c r="Q74" i="38"/>
  <c r="P74" i="38"/>
  <c r="O74" i="38"/>
  <c r="K84" i="27"/>
  <c r="N74" i="38" s="1"/>
  <c r="AD10" i="27"/>
  <c r="AA10" i="27"/>
  <c r="Z85" i="27"/>
  <c r="T6" i="27"/>
  <c r="T4" i="27"/>
  <c r="T2" i="27"/>
  <c r="E74" i="38" s="1"/>
  <c r="G611" i="28"/>
  <c r="M610" i="28"/>
  <c r="L610" i="28"/>
  <c r="I610" i="28"/>
  <c r="M609" i="28"/>
  <c r="L609" i="28"/>
  <c r="I609" i="28"/>
  <c r="M608" i="28"/>
  <c r="L608" i="28"/>
  <c r="I608" i="28"/>
  <c r="M607" i="28"/>
  <c r="L607" i="28"/>
  <c r="I607" i="28"/>
  <c r="M606" i="28"/>
  <c r="L606" i="28"/>
  <c r="I606" i="28"/>
  <c r="M605" i="28"/>
  <c r="L605" i="28"/>
  <c r="I605" i="28"/>
  <c r="M604" i="28"/>
  <c r="J7350" i="38" s="1"/>
  <c r="L604" i="28"/>
  <c r="I7350" i="38" s="1"/>
  <c r="I604" i="28"/>
  <c r="F7350" i="38" s="1"/>
  <c r="M603" i="28"/>
  <c r="J7349" i="38" s="1"/>
  <c r="L603" i="28"/>
  <c r="I7349" i="38" s="1"/>
  <c r="I603" i="28"/>
  <c r="F7349" i="38" s="1"/>
  <c r="M602" i="28"/>
  <c r="J7348" i="38" s="1"/>
  <c r="L602" i="28"/>
  <c r="I7348" i="38" s="1"/>
  <c r="I602" i="28"/>
  <c r="F7348" i="38" s="1"/>
  <c r="M601" i="28"/>
  <c r="L601" i="28"/>
  <c r="I601" i="28"/>
  <c r="G595" i="28"/>
  <c r="M594" i="28"/>
  <c r="L594" i="28"/>
  <c r="I594" i="28"/>
  <c r="M593" i="28"/>
  <c r="L593" i="28"/>
  <c r="I593" i="28"/>
  <c r="M592" i="28"/>
  <c r="L592" i="28"/>
  <c r="I592" i="28"/>
  <c r="M591" i="28"/>
  <c r="L591" i="28"/>
  <c r="I591" i="28"/>
  <c r="M590" i="28"/>
  <c r="L590" i="28"/>
  <c r="I590" i="28"/>
  <c r="M589" i="28"/>
  <c r="L589" i="28"/>
  <c r="I589" i="28"/>
  <c r="M588" i="28"/>
  <c r="J7340" i="38" s="1"/>
  <c r="L588" i="28"/>
  <c r="I7340" i="38" s="1"/>
  <c r="I588" i="28"/>
  <c r="F7340" i="38" s="1"/>
  <c r="M587" i="28"/>
  <c r="J7339" i="38" s="1"/>
  <c r="L587" i="28"/>
  <c r="I7339" i="38" s="1"/>
  <c r="I587" i="28"/>
  <c r="F7339" i="38" s="1"/>
  <c r="M586" i="28"/>
  <c r="J7338" i="38" s="1"/>
  <c r="L586" i="28"/>
  <c r="I7338" i="38" s="1"/>
  <c r="I586" i="28"/>
  <c r="F7338" i="38" s="1"/>
  <c r="M585" i="28"/>
  <c r="L585" i="28"/>
  <c r="I585" i="28"/>
  <c r="G579" i="28"/>
  <c r="M578" i="28"/>
  <c r="L578" i="28"/>
  <c r="I578" i="28"/>
  <c r="M577" i="28"/>
  <c r="L577" i="28"/>
  <c r="I577" i="28"/>
  <c r="M576" i="28"/>
  <c r="L576" i="28"/>
  <c r="I576" i="28"/>
  <c r="M575" i="28"/>
  <c r="L575" i="28"/>
  <c r="I575" i="28"/>
  <c r="M574" i="28"/>
  <c r="L574" i="28"/>
  <c r="I574" i="28"/>
  <c r="M573" i="28"/>
  <c r="L573" i="28"/>
  <c r="I573" i="28"/>
  <c r="M572" i="28"/>
  <c r="J7330" i="38" s="1"/>
  <c r="L572" i="28"/>
  <c r="I7330" i="38" s="1"/>
  <c r="I572" i="28"/>
  <c r="F7330" i="38" s="1"/>
  <c r="M571" i="28"/>
  <c r="J7329" i="38" s="1"/>
  <c r="L571" i="28"/>
  <c r="I7329" i="38" s="1"/>
  <c r="I571" i="28"/>
  <c r="F7329" i="38" s="1"/>
  <c r="M570" i="28"/>
  <c r="J7328" i="38" s="1"/>
  <c r="L570" i="28"/>
  <c r="I7328" i="38" s="1"/>
  <c r="I570" i="28"/>
  <c r="F7328" i="38" s="1"/>
  <c r="M569" i="28"/>
  <c r="L569" i="28"/>
  <c r="I569" i="28"/>
  <c r="G563" i="28"/>
  <c r="M562" i="28"/>
  <c r="L562" i="28"/>
  <c r="I562" i="28"/>
  <c r="M561" i="28"/>
  <c r="L561" i="28"/>
  <c r="I561" i="28"/>
  <c r="M560" i="28"/>
  <c r="L560" i="28"/>
  <c r="I560" i="28"/>
  <c r="M559" i="28"/>
  <c r="L559" i="28"/>
  <c r="I559" i="28"/>
  <c r="M558" i="28"/>
  <c r="L558" i="28"/>
  <c r="I558" i="28"/>
  <c r="M557" i="28"/>
  <c r="L557" i="28"/>
  <c r="I557" i="28"/>
  <c r="M556" i="28"/>
  <c r="J7320" i="38" s="1"/>
  <c r="L556" i="28"/>
  <c r="I7320" i="38" s="1"/>
  <c r="I556" i="28"/>
  <c r="F7320" i="38" s="1"/>
  <c r="M555" i="28"/>
  <c r="J7319" i="38" s="1"/>
  <c r="L555" i="28"/>
  <c r="I7319" i="38" s="1"/>
  <c r="I555" i="28"/>
  <c r="F7319" i="38" s="1"/>
  <c r="M554" i="28"/>
  <c r="J7318" i="38" s="1"/>
  <c r="L554" i="28"/>
  <c r="I7318" i="38" s="1"/>
  <c r="I554" i="28"/>
  <c r="F7318" i="38" s="1"/>
  <c r="M553" i="28"/>
  <c r="L553" i="28"/>
  <c r="I553" i="28"/>
  <c r="G547" i="28"/>
  <c r="M546" i="28"/>
  <c r="L546" i="28"/>
  <c r="I546" i="28"/>
  <c r="M545" i="28"/>
  <c r="L545" i="28"/>
  <c r="I545" i="28"/>
  <c r="M544" i="28"/>
  <c r="L544" i="28"/>
  <c r="I544" i="28"/>
  <c r="M543" i="28"/>
  <c r="L543" i="28"/>
  <c r="I543" i="28"/>
  <c r="M542" i="28"/>
  <c r="L542" i="28"/>
  <c r="I542" i="28"/>
  <c r="M541" i="28"/>
  <c r="L541" i="28"/>
  <c r="I541" i="28"/>
  <c r="M540" i="28"/>
  <c r="J7310" i="38" s="1"/>
  <c r="L540" i="28"/>
  <c r="I7310" i="38" s="1"/>
  <c r="I540" i="28"/>
  <c r="F7310" i="38" s="1"/>
  <c r="M539" i="28"/>
  <c r="J7309" i="38" s="1"/>
  <c r="L539" i="28"/>
  <c r="I7309" i="38" s="1"/>
  <c r="I539" i="28"/>
  <c r="F7309" i="38" s="1"/>
  <c r="M538" i="28"/>
  <c r="J7308" i="38" s="1"/>
  <c r="L538" i="28"/>
  <c r="I7308" i="38" s="1"/>
  <c r="I538" i="28"/>
  <c r="F7308" i="38" s="1"/>
  <c r="M537" i="28"/>
  <c r="L537" i="28"/>
  <c r="I537" i="28"/>
  <c r="G531" i="28"/>
  <c r="M530" i="28"/>
  <c r="L530" i="28"/>
  <c r="I530" i="28"/>
  <c r="M529" i="28"/>
  <c r="L529" i="28"/>
  <c r="I529" i="28"/>
  <c r="M528" i="28"/>
  <c r="L528" i="28"/>
  <c r="I528" i="28"/>
  <c r="M527" i="28"/>
  <c r="L527" i="28"/>
  <c r="I527" i="28"/>
  <c r="M526" i="28"/>
  <c r="L526" i="28"/>
  <c r="I526" i="28"/>
  <c r="M525" i="28"/>
  <c r="L525" i="28"/>
  <c r="I525" i="28"/>
  <c r="M524" i="28"/>
  <c r="J7300" i="38" s="1"/>
  <c r="L524" i="28"/>
  <c r="I7300" i="38" s="1"/>
  <c r="I524" i="28"/>
  <c r="F7300" i="38" s="1"/>
  <c r="M523" i="28"/>
  <c r="J7299" i="38" s="1"/>
  <c r="L523" i="28"/>
  <c r="I7299" i="38" s="1"/>
  <c r="I523" i="28"/>
  <c r="F7299" i="38" s="1"/>
  <c r="M522" i="28"/>
  <c r="J7298" i="38" s="1"/>
  <c r="L522" i="28"/>
  <c r="I7298" i="38" s="1"/>
  <c r="I522" i="28"/>
  <c r="F7298" i="38" s="1"/>
  <c r="M521" i="28"/>
  <c r="L521" i="28"/>
  <c r="I521" i="28"/>
  <c r="G515" i="28"/>
  <c r="M514" i="28"/>
  <c r="L514" i="28"/>
  <c r="I514" i="28"/>
  <c r="M513" i="28"/>
  <c r="L513" i="28"/>
  <c r="I513" i="28"/>
  <c r="M512" i="28"/>
  <c r="L512" i="28"/>
  <c r="I512" i="28"/>
  <c r="M511" i="28"/>
  <c r="L511" i="28"/>
  <c r="I511" i="28"/>
  <c r="M510" i="28"/>
  <c r="L510" i="28"/>
  <c r="I510" i="28"/>
  <c r="M509" i="28"/>
  <c r="L509" i="28"/>
  <c r="I509" i="28"/>
  <c r="M508" i="28"/>
  <c r="J7290" i="38" s="1"/>
  <c r="L508" i="28"/>
  <c r="I7290" i="38" s="1"/>
  <c r="I508" i="28"/>
  <c r="F7290" i="38" s="1"/>
  <c r="M507" i="28"/>
  <c r="J7289" i="38" s="1"/>
  <c r="L507" i="28"/>
  <c r="I7289" i="38" s="1"/>
  <c r="I507" i="28"/>
  <c r="F7289" i="38" s="1"/>
  <c r="M506" i="28"/>
  <c r="J7288" i="38" s="1"/>
  <c r="L506" i="28"/>
  <c r="I7288" i="38" s="1"/>
  <c r="I506" i="28"/>
  <c r="F7288" i="38" s="1"/>
  <c r="M505" i="28"/>
  <c r="L505" i="28"/>
  <c r="I505" i="28"/>
  <c r="G499" i="28"/>
  <c r="M498" i="28"/>
  <c r="L498" i="28"/>
  <c r="I498" i="28"/>
  <c r="M497" i="28"/>
  <c r="L497" i="28"/>
  <c r="I497" i="28"/>
  <c r="M496" i="28"/>
  <c r="L496" i="28"/>
  <c r="I496" i="28"/>
  <c r="M495" i="28"/>
  <c r="L495" i="28"/>
  <c r="I495" i="28"/>
  <c r="M494" i="28"/>
  <c r="L494" i="28"/>
  <c r="I494" i="28"/>
  <c r="M493" i="28"/>
  <c r="L493" i="28"/>
  <c r="I493" i="28"/>
  <c r="M492" i="28"/>
  <c r="J7280" i="38" s="1"/>
  <c r="L492" i="28"/>
  <c r="I7280" i="38" s="1"/>
  <c r="I492" i="28"/>
  <c r="F7280" i="38" s="1"/>
  <c r="M491" i="28"/>
  <c r="J7279" i="38" s="1"/>
  <c r="L491" i="28"/>
  <c r="I7279" i="38" s="1"/>
  <c r="I491" i="28"/>
  <c r="F7279" i="38" s="1"/>
  <c r="M490" i="28"/>
  <c r="J7278" i="38" s="1"/>
  <c r="L490" i="28"/>
  <c r="I7278" i="38" s="1"/>
  <c r="I490" i="28"/>
  <c r="F7278" i="38" s="1"/>
  <c r="M489" i="28"/>
  <c r="L489" i="28"/>
  <c r="I489" i="28"/>
  <c r="G483" i="28"/>
  <c r="M482" i="28"/>
  <c r="L482" i="28"/>
  <c r="I482" i="28"/>
  <c r="M481" i="28"/>
  <c r="L481" i="28"/>
  <c r="I481" i="28"/>
  <c r="M480" i="28"/>
  <c r="L480" i="28"/>
  <c r="I480" i="28"/>
  <c r="M479" i="28"/>
  <c r="L479" i="28"/>
  <c r="I479" i="28"/>
  <c r="M478" i="28"/>
  <c r="L478" i="28"/>
  <c r="I478" i="28"/>
  <c r="M477" i="28"/>
  <c r="L477" i="28"/>
  <c r="I477" i="28"/>
  <c r="M476" i="28"/>
  <c r="J7270" i="38" s="1"/>
  <c r="L476" i="28"/>
  <c r="I7270" i="38" s="1"/>
  <c r="I476" i="28"/>
  <c r="F7270" i="38" s="1"/>
  <c r="M475" i="28"/>
  <c r="J7269" i="38" s="1"/>
  <c r="L475" i="28"/>
  <c r="I7269" i="38" s="1"/>
  <c r="I475" i="28"/>
  <c r="F7269" i="38" s="1"/>
  <c r="M474" i="28"/>
  <c r="J7268" i="38" s="1"/>
  <c r="L474" i="28"/>
  <c r="I7268" i="38" s="1"/>
  <c r="I474" i="28"/>
  <c r="F7268" i="38" s="1"/>
  <c r="M473" i="28"/>
  <c r="L473" i="28"/>
  <c r="I473" i="28"/>
  <c r="G467" i="28"/>
  <c r="M466" i="28"/>
  <c r="L466" i="28"/>
  <c r="I466" i="28"/>
  <c r="M465" i="28"/>
  <c r="L465" i="28"/>
  <c r="I465" i="28"/>
  <c r="M464" i="28"/>
  <c r="L464" i="28"/>
  <c r="I464" i="28"/>
  <c r="M463" i="28"/>
  <c r="L463" i="28"/>
  <c r="I463" i="28"/>
  <c r="M462" i="28"/>
  <c r="L462" i="28"/>
  <c r="I462" i="28"/>
  <c r="M461" i="28"/>
  <c r="L461" i="28"/>
  <c r="I461" i="28"/>
  <c r="M460" i="28"/>
  <c r="J7260" i="38" s="1"/>
  <c r="L460" i="28"/>
  <c r="I7260" i="38" s="1"/>
  <c r="I460" i="28"/>
  <c r="F7260" i="38" s="1"/>
  <c r="M459" i="28"/>
  <c r="J7259" i="38" s="1"/>
  <c r="L459" i="28"/>
  <c r="I7259" i="38" s="1"/>
  <c r="I459" i="28"/>
  <c r="F7259" i="38" s="1"/>
  <c r="M458" i="28"/>
  <c r="J7258" i="38" s="1"/>
  <c r="L458" i="28"/>
  <c r="I7258" i="38" s="1"/>
  <c r="I458" i="28"/>
  <c r="F7258" i="38" s="1"/>
  <c r="M457" i="28"/>
  <c r="L457" i="28"/>
  <c r="I457" i="28"/>
  <c r="G451" i="28"/>
  <c r="M450" i="28"/>
  <c r="L450" i="28"/>
  <c r="I450" i="28"/>
  <c r="M449" i="28"/>
  <c r="L449" i="28"/>
  <c r="I449" i="28"/>
  <c r="M448" i="28"/>
  <c r="L448" i="28"/>
  <c r="I448" i="28"/>
  <c r="M447" i="28"/>
  <c r="L447" i="28"/>
  <c r="I447" i="28"/>
  <c r="M446" i="28"/>
  <c r="L446" i="28"/>
  <c r="I446" i="28"/>
  <c r="M445" i="28"/>
  <c r="L445" i="28"/>
  <c r="I445" i="28"/>
  <c r="M444" i="28"/>
  <c r="J7250" i="38" s="1"/>
  <c r="L444" i="28"/>
  <c r="I7250" i="38" s="1"/>
  <c r="I444" i="28"/>
  <c r="F7250" i="38" s="1"/>
  <c r="M443" i="28"/>
  <c r="J7249" i="38" s="1"/>
  <c r="L443" i="28"/>
  <c r="I7249" i="38" s="1"/>
  <c r="I443" i="28"/>
  <c r="F7249" i="38" s="1"/>
  <c r="M442" i="28"/>
  <c r="J7248" i="38" s="1"/>
  <c r="L442" i="28"/>
  <c r="I7248" i="38" s="1"/>
  <c r="I442" i="28"/>
  <c r="F7248" i="38" s="1"/>
  <c r="M441" i="28"/>
  <c r="L441" i="28"/>
  <c r="I441" i="28"/>
  <c r="G435" i="28"/>
  <c r="M434" i="28"/>
  <c r="L434" i="28"/>
  <c r="I434" i="28"/>
  <c r="M433" i="28"/>
  <c r="L433" i="28"/>
  <c r="I433" i="28"/>
  <c r="M432" i="28"/>
  <c r="L432" i="28"/>
  <c r="I432" i="28"/>
  <c r="M431" i="28"/>
  <c r="L431" i="28"/>
  <c r="I431" i="28"/>
  <c r="M430" i="28"/>
  <c r="L430" i="28"/>
  <c r="I430" i="28"/>
  <c r="M429" i="28"/>
  <c r="L429" i="28"/>
  <c r="I429" i="28"/>
  <c r="M428" i="28"/>
  <c r="J7240" i="38" s="1"/>
  <c r="L428" i="28"/>
  <c r="I7240" i="38" s="1"/>
  <c r="I428" i="28"/>
  <c r="F7240" i="38" s="1"/>
  <c r="M427" i="28"/>
  <c r="J7239" i="38" s="1"/>
  <c r="L427" i="28"/>
  <c r="I7239" i="38" s="1"/>
  <c r="I427" i="28"/>
  <c r="F7239" i="38" s="1"/>
  <c r="M426" i="28"/>
  <c r="J7238" i="38" s="1"/>
  <c r="L426" i="28"/>
  <c r="I7238" i="38" s="1"/>
  <c r="I426" i="28"/>
  <c r="F7238" i="38" s="1"/>
  <c r="M425" i="28"/>
  <c r="L425" i="28"/>
  <c r="I425" i="28"/>
  <c r="G419" i="28"/>
  <c r="M418" i="28"/>
  <c r="L418" i="28"/>
  <c r="I418" i="28"/>
  <c r="M417" i="28"/>
  <c r="L417" i="28"/>
  <c r="I417" i="28"/>
  <c r="M416" i="28"/>
  <c r="L416" i="28"/>
  <c r="I416" i="28"/>
  <c r="M415" i="28"/>
  <c r="L415" i="28"/>
  <c r="I415" i="28"/>
  <c r="M414" i="28"/>
  <c r="L414" i="28"/>
  <c r="I414" i="28"/>
  <c r="M413" i="28"/>
  <c r="L413" i="28"/>
  <c r="I413" i="28"/>
  <c r="M412" i="28"/>
  <c r="J7230" i="38" s="1"/>
  <c r="L412" i="28"/>
  <c r="I7230" i="38" s="1"/>
  <c r="I412" i="28"/>
  <c r="F7230" i="38" s="1"/>
  <c r="M411" i="28"/>
  <c r="J7229" i="38" s="1"/>
  <c r="L411" i="28"/>
  <c r="I7229" i="38" s="1"/>
  <c r="I411" i="28"/>
  <c r="F7229" i="38" s="1"/>
  <c r="M410" i="28"/>
  <c r="J7228" i="38" s="1"/>
  <c r="L410" i="28"/>
  <c r="I7228" i="38" s="1"/>
  <c r="I410" i="28"/>
  <c r="F7228" i="38" s="1"/>
  <c r="M409" i="28"/>
  <c r="L409" i="28"/>
  <c r="I409" i="28"/>
  <c r="G403" i="28"/>
  <c r="M402" i="28"/>
  <c r="L402" i="28"/>
  <c r="I402" i="28"/>
  <c r="M401" i="28"/>
  <c r="L401" i="28"/>
  <c r="I401" i="28"/>
  <c r="M400" i="28"/>
  <c r="L400" i="28"/>
  <c r="I400" i="28"/>
  <c r="M399" i="28"/>
  <c r="L399" i="28"/>
  <c r="I399" i="28"/>
  <c r="M398" i="28"/>
  <c r="L398" i="28"/>
  <c r="I398" i="28"/>
  <c r="M397" i="28"/>
  <c r="L397" i="28"/>
  <c r="I397" i="28"/>
  <c r="M396" i="28"/>
  <c r="J7220" i="38" s="1"/>
  <c r="L396" i="28"/>
  <c r="I7220" i="38" s="1"/>
  <c r="I396" i="28"/>
  <c r="F7220" i="38" s="1"/>
  <c r="M395" i="28"/>
  <c r="J7219" i="38" s="1"/>
  <c r="L395" i="28"/>
  <c r="I7219" i="38" s="1"/>
  <c r="I395" i="28"/>
  <c r="F7219" i="38" s="1"/>
  <c r="M394" i="28"/>
  <c r="J7218" i="38" s="1"/>
  <c r="L394" i="28"/>
  <c r="I7218" i="38" s="1"/>
  <c r="I394" i="28"/>
  <c r="F7218" i="38" s="1"/>
  <c r="M393" i="28"/>
  <c r="L393" i="28"/>
  <c r="I393" i="28"/>
  <c r="G387" i="28"/>
  <c r="M386" i="28"/>
  <c r="L386" i="28"/>
  <c r="I386" i="28"/>
  <c r="M385" i="28"/>
  <c r="L385" i="28"/>
  <c r="I385" i="28"/>
  <c r="M384" i="28"/>
  <c r="L384" i="28"/>
  <c r="I384" i="28"/>
  <c r="M383" i="28"/>
  <c r="L383" i="28"/>
  <c r="I383" i="28"/>
  <c r="M382" i="28"/>
  <c r="L382" i="28"/>
  <c r="I382" i="28"/>
  <c r="M381" i="28"/>
  <c r="L381" i="28"/>
  <c r="I381" i="28"/>
  <c r="M380" i="28"/>
  <c r="J7210" i="38" s="1"/>
  <c r="L380" i="28"/>
  <c r="I7210" i="38" s="1"/>
  <c r="I380" i="28"/>
  <c r="F7210" i="38" s="1"/>
  <c r="M379" i="28"/>
  <c r="J7209" i="38" s="1"/>
  <c r="L379" i="28"/>
  <c r="I7209" i="38" s="1"/>
  <c r="I379" i="28"/>
  <c r="F7209" i="38" s="1"/>
  <c r="M378" i="28"/>
  <c r="J7208" i="38" s="1"/>
  <c r="L378" i="28"/>
  <c r="I7208" i="38" s="1"/>
  <c r="I378" i="28"/>
  <c r="F7208" i="38" s="1"/>
  <c r="M377" i="28"/>
  <c r="L377" i="28"/>
  <c r="I377" i="28"/>
  <c r="G371" i="28"/>
  <c r="M370" i="28"/>
  <c r="L370" i="28"/>
  <c r="I370" i="28"/>
  <c r="M369" i="28"/>
  <c r="L369" i="28"/>
  <c r="I369" i="28"/>
  <c r="M368" i="28"/>
  <c r="L368" i="28"/>
  <c r="I368" i="28"/>
  <c r="M367" i="28"/>
  <c r="L367" i="28"/>
  <c r="I367" i="28"/>
  <c r="M366" i="28"/>
  <c r="L366" i="28"/>
  <c r="I366" i="28"/>
  <c r="M365" i="28"/>
  <c r="L365" i="28"/>
  <c r="I365" i="28"/>
  <c r="M364" i="28"/>
  <c r="J7200" i="38" s="1"/>
  <c r="L364" i="28"/>
  <c r="I7200" i="38" s="1"/>
  <c r="I364" i="28"/>
  <c r="F7200" i="38" s="1"/>
  <c r="M363" i="28"/>
  <c r="J7199" i="38" s="1"/>
  <c r="L363" i="28"/>
  <c r="I7199" i="38" s="1"/>
  <c r="I363" i="28"/>
  <c r="F7199" i="38" s="1"/>
  <c r="M362" i="28"/>
  <c r="J7198" i="38" s="1"/>
  <c r="L362" i="28"/>
  <c r="I7198" i="38" s="1"/>
  <c r="I362" i="28"/>
  <c r="F7198" i="38" s="1"/>
  <c r="M361" i="28"/>
  <c r="L361" i="28"/>
  <c r="I361" i="28"/>
  <c r="G355" i="28"/>
  <c r="M354" i="28"/>
  <c r="L354" i="28"/>
  <c r="I354" i="28"/>
  <c r="M353" i="28"/>
  <c r="L353" i="28"/>
  <c r="I353" i="28"/>
  <c r="M352" i="28"/>
  <c r="L352" i="28"/>
  <c r="I352" i="28"/>
  <c r="M351" i="28"/>
  <c r="L351" i="28"/>
  <c r="I351" i="28"/>
  <c r="M350" i="28"/>
  <c r="L350" i="28"/>
  <c r="I350" i="28"/>
  <c r="M349" i="28"/>
  <c r="L349" i="28"/>
  <c r="I349" i="28"/>
  <c r="M348" i="28"/>
  <c r="L348" i="28"/>
  <c r="I348" i="28"/>
  <c r="M347" i="28"/>
  <c r="L347" i="28"/>
  <c r="I347" i="28"/>
  <c r="M346" i="28"/>
  <c r="L346" i="28"/>
  <c r="I346" i="28"/>
  <c r="M345" i="28"/>
  <c r="L345" i="28"/>
  <c r="I345" i="28"/>
  <c r="G339" i="28"/>
  <c r="M338" i="28"/>
  <c r="L338" i="28"/>
  <c r="I338" i="28"/>
  <c r="M337" i="28"/>
  <c r="L337" i="28"/>
  <c r="I337" i="28"/>
  <c r="M336" i="28"/>
  <c r="L336" i="28"/>
  <c r="I336" i="28"/>
  <c r="M335" i="28"/>
  <c r="L335" i="28"/>
  <c r="I335" i="28"/>
  <c r="M334" i="28"/>
  <c r="L334" i="28"/>
  <c r="I334" i="28"/>
  <c r="M333" i="28"/>
  <c r="L333" i="28"/>
  <c r="I333" i="28"/>
  <c r="M332" i="28"/>
  <c r="L332" i="28"/>
  <c r="I332" i="28"/>
  <c r="M331" i="28"/>
  <c r="L331" i="28"/>
  <c r="I331" i="28"/>
  <c r="M330" i="28"/>
  <c r="L330" i="28"/>
  <c r="I330" i="28"/>
  <c r="M329" i="28"/>
  <c r="L329" i="28"/>
  <c r="I329" i="28"/>
  <c r="K293" i="28"/>
  <c r="BH75" i="38" s="1"/>
  <c r="K281" i="28"/>
  <c r="BF75" i="38" s="1"/>
  <c r="K270" i="28"/>
  <c r="BD75" i="38" s="1"/>
  <c r="E269" i="28"/>
  <c r="C269" i="28"/>
  <c r="E268" i="28"/>
  <c r="C268" i="28"/>
  <c r="E267" i="28"/>
  <c r="C267" i="28"/>
  <c r="E266" i="28"/>
  <c r="C266" i="28"/>
  <c r="BC75" i="38"/>
  <c r="BB75" i="38"/>
  <c r="K203" i="28"/>
  <c r="AZ75" i="38" s="1"/>
  <c r="K193" i="28"/>
  <c r="AR75" i="38" s="1"/>
  <c r="Q192" i="28"/>
  <c r="O192" i="28"/>
  <c r="M192" i="28"/>
  <c r="K192" i="28"/>
  <c r="AN75" i="38"/>
  <c r="K142" i="28"/>
  <c r="AF75" i="38" s="1"/>
  <c r="AA75" i="38"/>
  <c r="S75" i="38"/>
  <c r="Q75" i="38"/>
  <c r="P75" i="38"/>
  <c r="O75" i="38"/>
  <c r="K84" i="28"/>
  <c r="N75" i="38" s="1"/>
  <c r="AD10" i="28"/>
  <c r="AA10" i="28"/>
  <c r="Z85" i="28"/>
  <c r="T6" i="28"/>
  <c r="T4" i="28"/>
  <c r="T2" i="28"/>
  <c r="E75" i="38" s="1"/>
  <c r="G611" i="29"/>
  <c r="M610" i="29"/>
  <c r="L610" i="29"/>
  <c r="I610" i="29"/>
  <c r="M609" i="29"/>
  <c r="L609" i="29"/>
  <c r="I609" i="29"/>
  <c r="M608" i="29"/>
  <c r="L608" i="29"/>
  <c r="I608" i="29"/>
  <c r="M607" i="29"/>
  <c r="L607" i="29"/>
  <c r="I607" i="29"/>
  <c r="M606" i="29"/>
  <c r="L606" i="29"/>
  <c r="I606" i="29"/>
  <c r="M605" i="29"/>
  <c r="L605" i="29"/>
  <c r="I605" i="29"/>
  <c r="M604" i="29"/>
  <c r="J7530" i="38" s="1"/>
  <c r="L604" i="29"/>
  <c r="I7530" i="38" s="1"/>
  <c r="I604" i="29"/>
  <c r="F7530" i="38" s="1"/>
  <c r="M603" i="29"/>
  <c r="J7529" i="38" s="1"/>
  <c r="L603" i="29"/>
  <c r="I7529" i="38" s="1"/>
  <c r="I603" i="29"/>
  <c r="F7529" i="38" s="1"/>
  <c r="M602" i="29"/>
  <c r="J7528" i="38" s="1"/>
  <c r="L602" i="29"/>
  <c r="I7528" i="38" s="1"/>
  <c r="I602" i="29"/>
  <c r="F7528" i="38" s="1"/>
  <c r="M601" i="29"/>
  <c r="L601" i="29"/>
  <c r="I601" i="29"/>
  <c r="G595" i="29"/>
  <c r="M594" i="29"/>
  <c r="L594" i="29"/>
  <c r="I594" i="29"/>
  <c r="M593" i="29"/>
  <c r="L593" i="29"/>
  <c r="I593" i="29"/>
  <c r="M592" i="29"/>
  <c r="L592" i="29"/>
  <c r="I592" i="29"/>
  <c r="M591" i="29"/>
  <c r="L591" i="29"/>
  <c r="I591" i="29"/>
  <c r="M590" i="29"/>
  <c r="L590" i="29"/>
  <c r="I590" i="29"/>
  <c r="M589" i="29"/>
  <c r="L589" i="29"/>
  <c r="I589" i="29"/>
  <c r="M588" i="29"/>
  <c r="J7520" i="38" s="1"/>
  <c r="L588" i="29"/>
  <c r="I7520" i="38" s="1"/>
  <c r="I588" i="29"/>
  <c r="F7520" i="38" s="1"/>
  <c r="M587" i="29"/>
  <c r="J7519" i="38" s="1"/>
  <c r="L587" i="29"/>
  <c r="I7519" i="38" s="1"/>
  <c r="I587" i="29"/>
  <c r="F7519" i="38" s="1"/>
  <c r="M586" i="29"/>
  <c r="J7518" i="38" s="1"/>
  <c r="L586" i="29"/>
  <c r="I7518" i="38" s="1"/>
  <c r="I586" i="29"/>
  <c r="F7518" i="38" s="1"/>
  <c r="M585" i="29"/>
  <c r="L585" i="29"/>
  <c r="I585" i="29"/>
  <c r="G579" i="29"/>
  <c r="M578" i="29"/>
  <c r="L578" i="29"/>
  <c r="I578" i="29"/>
  <c r="M577" i="29"/>
  <c r="L577" i="29"/>
  <c r="I577" i="29"/>
  <c r="M576" i="29"/>
  <c r="L576" i="29"/>
  <c r="I576" i="29"/>
  <c r="M575" i="29"/>
  <c r="L575" i="29"/>
  <c r="I575" i="29"/>
  <c r="M574" i="29"/>
  <c r="L574" i="29"/>
  <c r="I574" i="29"/>
  <c r="M573" i="29"/>
  <c r="L573" i="29"/>
  <c r="I573" i="29"/>
  <c r="M572" i="29"/>
  <c r="J7510" i="38" s="1"/>
  <c r="L572" i="29"/>
  <c r="I7510" i="38" s="1"/>
  <c r="I572" i="29"/>
  <c r="F7510" i="38" s="1"/>
  <c r="M571" i="29"/>
  <c r="J7509" i="38" s="1"/>
  <c r="L571" i="29"/>
  <c r="I7509" i="38" s="1"/>
  <c r="I571" i="29"/>
  <c r="F7509" i="38" s="1"/>
  <c r="M570" i="29"/>
  <c r="J7508" i="38" s="1"/>
  <c r="L570" i="29"/>
  <c r="I7508" i="38" s="1"/>
  <c r="I570" i="29"/>
  <c r="F7508" i="38" s="1"/>
  <c r="M569" i="29"/>
  <c r="L569" i="29"/>
  <c r="I569" i="29"/>
  <c r="G563" i="29"/>
  <c r="M562" i="29"/>
  <c r="L562" i="29"/>
  <c r="I562" i="29"/>
  <c r="M561" i="29"/>
  <c r="L561" i="29"/>
  <c r="I561" i="29"/>
  <c r="M560" i="29"/>
  <c r="L560" i="29"/>
  <c r="I560" i="29"/>
  <c r="M559" i="29"/>
  <c r="L559" i="29"/>
  <c r="I559" i="29"/>
  <c r="M558" i="29"/>
  <c r="L558" i="29"/>
  <c r="I558" i="29"/>
  <c r="M557" i="29"/>
  <c r="L557" i="29"/>
  <c r="I557" i="29"/>
  <c r="M556" i="29"/>
  <c r="J7500" i="38" s="1"/>
  <c r="L556" i="29"/>
  <c r="I7500" i="38" s="1"/>
  <c r="I556" i="29"/>
  <c r="F7500" i="38" s="1"/>
  <c r="M555" i="29"/>
  <c r="J7499" i="38" s="1"/>
  <c r="L555" i="29"/>
  <c r="I7499" i="38" s="1"/>
  <c r="I555" i="29"/>
  <c r="F7499" i="38" s="1"/>
  <c r="M554" i="29"/>
  <c r="J7498" i="38" s="1"/>
  <c r="L554" i="29"/>
  <c r="I7498" i="38" s="1"/>
  <c r="I554" i="29"/>
  <c r="F7498" i="38" s="1"/>
  <c r="M553" i="29"/>
  <c r="L553" i="29"/>
  <c r="I553" i="29"/>
  <c r="G547" i="29"/>
  <c r="M546" i="29"/>
  <c r="L546" i="29"/>
  <c r="I546" i="29"/>
  <c r="M545" i="29"/>
  <c r="L545" i="29"/>
  <c r="I545" i="29"/>
  <c r="M544" i="29"/>
  <c r="L544" i="29"/>
  <c r="I544" i="29"/>
  <c r="M543" i="29"/>
  <c r="L543" i="29"/>
  <c r="I543" i="29"/>
  <c r="M542" i="29"/>
  <c r="L542" i="29"/>
  <c r="I542" i="29"/>
  <c r="M541" i="29"/>
  <c r="L541" i="29"/>
  <c r="I541" i="29"/>
  <c r="M540" i="29"/>
  <c r="J7490" i="38" s="1"/>
  <c r="L540" i="29"/>
  <c r="I7490" i="38" s="1"/>
  <c r="I540" i="29"/>
  <c r="F7490" i="38" s="1"/>
  <c r="M539" i="29"/>
  <c r="J7489" i="38" s="1"/>
  <c r="L539" i="29"/>
  <c r="I7489" i="38" s="1"/>
  <c r="I539" i="29"/>
  <c r="F7489" i="38" s="1"/>
  <c r="M538" i="29"/>
  <c r="J7488" i="38" s="1"/>
  <c r="L538" i="29"/>
  <c r="I7488" i="38" s="1"/>
  <c r="I538" i="29"/>
  <c r="F7488" i="38" s="1"/>
  <c r="M537" i="29"/>
  <c r="L537" i="29"/>
  <c r="I537" i="29"/>
  <c r="G531" i="29"/>
  <c r="M530" i="29"/>
  <c r="L530" i="29"/>
  <c r="I530" i="29"/>
  <c r="M529" i="29"/>
  <c r="L529" i="29"/>
  <c r="I529" i="29"/>
  <c r="M528" i="29"/>
  <c r="L528" i="29"/>
  <c r="I528" i="29"/>
  <c r="M527" i="29"/>
  <c r="L527" i="29"/>
  <c r="I527" i="29"/>
  <c r="M526" i="29"/>
  <c r="L526" i="29"/>
  <c r="I526" i="29"/>
  <c r="M525" i="29"/>
  <c r="L525" i="29"/>
  <c r="I525" i="29"/>
  <c r="M524" i="29"/>
  <c r="J7480" i="38" s="1"/>
  <c r="L524" i="29"/>
  <c r="I7480" i="38" s="1"/>
  <c r="I524" i="29"/>
  <c r="F7480" i="38" s="1"/>
  <c r="M523" i="29"/>
  <c r="J7479" i="38" s="1"/>
  <c r="L523" i="29"/>
  <c r="I7479" i="38" s="1"/>
  <c r="I523" i="29"/>
  <c r="F7479" i="38" s="1"/>
  <c r="M522" i="29"/>
  <c r="J7478" i="38" s="1"/>
  <c r="L522" i="29"/>
  <c r="I7478" i="38" s="1"/>
  <c r="I522" i="29"/>
  <c r="F7478" i="38" s="1"/>
  <c r="M521" i="29"/>
  <c r="L521" i="29"/>
  <c r="I521" i="29"/>
  <c r="G515" i="29"/>
  <c r="M514" i="29"/>
  <c r="L514" i="29"/>
  <c r="I514" i="29"/>
  <c r="M513" i="29"/>
  <c r="L513" i="29"/>
  <c r="I513" i="29"/>
  <c r="M512" i="29"/>
  <c r="L512" i="29"/>
  <c r="I512" i="29"/>
  <c r="M511" i="29"/>
  <c r="L511" i="29"/>
  <c r="I511" i="29"/>
  <c r="M510" i="29"/>
  <c r="L510" i="29"/>
  <c r="I510" i="29"/>
  <c r="M509" i="29"/>
  <c r="L509" i="29"/>
  <c r="I509" i="29"/>
  <c r="M508" i="29"/>
  <c r="J7470" i="38" s="1"/>
  <c r="L508" i="29"/>
  <c r="I7470" i="38" s="1"/>
  <c r="I508" i="29"/>
  <c r="F7470" i="38" s="1"/>
  <c r="M507" i="29"/>
  <c r="J7469" i="38" s="1"/>
  <c r="L507" i="29"/>
  <c r="I7469" i="38" s="1"/>
  <c r="I507" i="29"/>
  <c r="F7469" i="38" s="1"/>
  <c r="M506" i="29"/>
  <c r="J7468" i="38" s="1"/>
  <c r="L506" i="29"/>
  <c r="I7468" i="38" s="1"/>
  <c r="I506" i="29"/>
  <c r="F7468" i="38" s="1"/>
  <c r="M505" i="29"/>
  <c r="L505" i="29"/>
  <c r="I505" i="29"/>
  <c r="G499" i="29"/>
  <c r="M498" i="29"/>
  <c r="L498" i="29"/>
  <c r="I498" i="29"/>
  <c r="M497" i="29"/>
  <c r="L497" i="29"/>
  <c r="I497" i="29"/>
  <c r="M496" i="29"/>
  <c r="L496" i="29"/>
  <c r="I496" i="29"/>
  <c r="M495" i="29"/>
  <c r="L495" i="29"/>
  <c r="I495" i="29"/>
  <c r="M494" i="29"/>
  <c r="L494" i="29"/>
  <c r="I494" i="29"/>
  <c r="M493" i="29"/>
  <c r="L493" i="29"/>
  <c r="I493" i="29"/>
  <c r="M492" i="29"/>
  <c r="J7460" i="38" s="1"/>
  <c r="L492" i="29"/>
  <c r="I7460" i="38" s="1"/>
  <c r="I492" i="29"/>
  <c r="F7460" i="38" s="1"/>
  <c r="M491" i="29"/>
  <c r="J7459" i="38" s="1"/>
  <c r="L491" i="29"/>
  <c r="I7459" i="38" s="1"/>
  <c r="I491" i="29"/>
  <c r="F7459" i="38" s="1"/>
  <c r="M490" i="29"/>
  <c r="J7458" i="38" s="1"/>
  <c r="L490" i="29"/>
  <c r="I7458" i="38" s="1"/>
  <c r="I490" i="29"/>
  <c r="F7458" i="38" s="1"/>
  <c r="M489" i="29"/>
  <c r="L489" i="29"/>
  <c r="I489" i="29"/>
  <c r="G483" i="29"/>
  <c r="M482" i="29"/>
  <c r="L482" i="29"/>
  <c r="I482" i="29"/>
  <c r="M481" i="29"/>
  <c r="L481" i="29"/>
  <c r="I481" i="29"/>
  <c r="M480" i="29"/>
  <c r="L480" i="29"/>
  <c r="I480" i="29"/>
  <c r="M479" i="29"/>
  <c r="L479" i="29"/>
  <c r="I479" i="29"/>
  <c r="M478" i="29"/>
  <c r="L478" i="29"/>
  <c r="I478" i="29"/>
  <c r="M477" i="29"/>
  <c r="L477" i="29"/>
  <c r="I477" i="29"/>
  <c r="M476" i="29"/>
  <c r="J7450" i="38" s="1"/>
  <c r="L476" i="29"/>
  <c r="I7450" i="38" s="1"/>
  <c r="I476" i="29"/>
  <c r="F7450" i="38" s="1"/>
  <c r="M475" i="29"/>
  <c r="J7449" i="38" s="1"/>
  <c r="L475" i="29"/>
  <c r="I7449" i="38" s="1"/>
  <c r="I475" i="29"/>
  <c r="F7449" i="38" s="1"/>
  <c r="M474" i="29"/>
  <c r="J7448" i="38" s="1"/>
  <c r="L474" i="29"/>
  <c r="I7448" i="38" s="1"/>
  <c r="I474" i="29"/>
  <c r="F7448" i="38" s="1"/>
  <c r="M473" i="29"/>
  <c r="L473" i="29"/>
  <c r="I473" i="29"/>
  <c r="G467" i="29"/>
  <c r="M466" i="29"/>
  <c r="L466" i="29"/>
  <c r="I466" i="29"/>
  <c r="M465" i="29"/>
  <c r="L465" i="29"/>
  <c r="I465" i="29"/>
  <c r="M464" i="29"/>
  <c r="L464" i="29"/>
  <c r="I464" i="29"/>
  <c r="M463" i="29"/>
  <c r="L463" i="29"/>
  <c r="I463" i="29"/>
  <c r="M462" i="29"/>
  <c r="L462" i="29"/>
  <c r="I462" i="29"/>
  <c r="M461" i="29"/>
  <c r="L461" i="29"/>
  <c r="I461" i="29"/>
  <c r="M460" i="29"/>
  <c r="J7440" i="38" s="1"/>
  <c r="L460" i="29"/>
  <c r="I7440" i="38" s="1"/>
  <c r="I460" i="29"/>
  <c r="F7440" i="38" s="1"/>
  <c r="M459" i="29"/>
  <c r="J7439" i="38" s="1"/>
  <c r="L459" i="29"/>
  <c r="I7439" i="38" s="1"/>
  <c r="I459" i="29"/>
  <c r="F7439" i="38" s="1"/>
  <c r="M458" i="29"/>
  <c r="J7438" i="38" s="1"/>
  <c r="L458" i="29"/>
  <c r="I7438" i="38" s="1"/>
  <c r="I458" i="29"/>
  <c r="F7438" i="38" s="1"/>
  <c r="M457" i="29"/>
  <c r="L457" i="29"/>
  <c r="I457" i="29"/>
  <c r="G451" i="29"/>
  <c r="M450" i="29"/>
  <c r="L450" i="29"/>
  <c r="I450" i="29"/>
  <c r="M449" i="29"/>
  <c r="L449" i="29"/>
  <c r="I449" i="29"/>
  <c r="M448" i="29"/>
  <c r="L448" i="29"/>
  <c r="I448" i="29"/>
  <c r="M447" i="29"/>
  <c r="L447" i="29"/>
  <c r="I447" i="29"/>
  <c r="M446" i="29"/>
  <c r="L446" i="29"/>
  <c r="I446" i="29"/>
  <c r="M445" i="29"/>
  <c r="L445" i="29"/>
  <c r="I445" i="29"/>
  <c r="M444" i="29"/>
  <c r="J7430" i="38" s="1"/>
  <c r="L444" i="29"/>
  <c r="I7430" i="38" s="1"/>
  <c r="I444" i="29"/>
  <c r="F7430" i="38" s="1"/>
  <c r="M443" i="29"/>
  <c r="J7429" i="38" s="1"/>
  <c r="L443" i="29"/>
  <c r="I7429" i="38" s="1"/>
  <c r="I443" i="29"/>
  <c r="F7429" i="38" s="1"/>
  <c r="M442" i="29"/>
  <c r="J7428" i="38" s="1"/>
  <c r="L442" i="29"/>
  <c r="I7428" i="38" s="1"/>
  <c r="I442" i="29"/>
  <c r="F7428" i="38" s="1"/>
  <c r="M441" i="29"/>
  <c r="L441" i="29"/>
  <c r="I441" i="29"/>
  <c r="G435" i="29"/>
  <c r="M434" i="29"/>
  <c r="L434" i="29"/>
  <c r="I434" i="29"/>
  <c r="M433" i="29"/>
  <c r="L433" i="29"/>
  <c r="I433" i="29"/>
  <c r="M432" i="29"/>
  <c r="L432" i="29"/>
  <c r="I432" i="29"/>
  <c r="M431" i="29"/>
  <c r="L431" i="29"/>
  <c r="I431" i="29"/>
  <c r="M430" i="29"/>
  <c r="L430" i="29"/>
  <c r="I430" i="29"/>
  <c r="M429" i="29"/>
  <c r="L429" i="29"/>
  <c r="I429" i="29"/>
  <c r="M428" i="29"/>
  <c r="J7420" i="38" s="1"/>
  <c r="L428" i="29"/>
  <c r="I7420" i="38" s="1"/>
  <c r="I428" i="29"/>
  <c r="F7420" i="38" s="1"/>
  <c r="M427" i="29"/>
  <c r="J7419" i="38" s="1"/>
  <c r="L427" i="29"/>
  <c r="I7419" i="38" s="1"/>
  <c r="I427" i="29"/>
  <c r="F7419" i="38" s="1"/>
  <c r="M426" i="29"/>
  <c r="J7418" i="38" s="1"/>
  <c r="L426" i="29"/>
  <c r="I7418" i="38" s="1"/>
  <c r="I426" i="29"/>
  <c r="F7418" i="38" s="1"/>
  <c r="M425" i="29"/>
  <c r="L425" i="29"/>
  <c r="I425" i="29"/>
  <c r="G419" i="29"/>
  <c r="M418" i="29"/>
  <c r="L418" i="29"/>
  <c r="I418" i="29"/>
  <c r="M417" i="29"/>
  <c r="L417" i="29"/>
  <c r="I417" i="29"/>
  <c r="M416" i="29"/>
  <c r="L416" i="29"/>
  <c r="I416" i="29"/>
  <c r="M415" i="29"/>
  <c r="L415" i="29"/>
  <c r="I415" i="29"/>
  <c r="M414" i="29"/>
  <c r="L414" i="29"/>
  <c r="I414" i="29"/>
  <c r="M413" i="29"/>
  <c r="L413" i="29"/>
  <c r="I413" i="29"/>
  <c r="M412" i="29"/>
  <c r="J7410" i="38" s="1"/>
  <c r="L412" i="29"/>
  <c r="I7410" i="38" s="1"/>
  <c r="I412" i="29"/>
  <c r="F7410" i="38" s="1"/>
  <c r="M411" i="29"/>
  <c r="J7409" i="38" s="1"/>
  <c r="L411" i="29"/>
  <c r="I7409" i="38" s="1"/>
  <c r="I411" i="29"/>
  <c r="F7409" i="38" s="1"/>
  <c r="M410" i="29"/>
  <c r="J7408" i="38" s="1"/>
  <c r="L410" i="29"/>
  <c r="I7408" i="38" s="1"/>
  <c r="I410" i="29"/>
  <c r="F7408" i="38" s="1"/>
  <c r="M409" i="29"/>
  <c r="L409" i="29"/>
  <c r="I409" i="29"/>
  <c r="G403" i="29"/>
  <c r="M402" i="29"/>
  <c r="L402" i="29"/>
  <c r="I402" i="29"/>
  <c r="M401" i="29"/>
  <c r="L401" i="29"/>
  <c r="I401" i="29"/>
  <c r="M400" i="29"/>
  <c r="L400" i="29"/>
  <c r="I400" i="29"/>
  <c r="M399" i="29"/>
  <c r="L399" i="29"/>
  <c r="I399" i="29"/>
  <c r="M398" i="29"/>
  <c r="L398" i="29"/>
  <c r="I398" i="29"/>
  <c r="M397" i="29"/>
  <c r="L397" i="29"/>
  <c r="I397" i="29"/>
  <c r="M396" i="29"/>
  <c r="J7400" i="38" s="1"/>
  <c r="L396" i="29"/>
  <c r="I7400" i="38" s="1"/>
  <c r="I396" i="29"/>
  <c r="F7400" i="38" s="1"/>
  <c r="M395" i="29"/>
  <c r="J7399" i="38" s="1"/>
  <c r="L395" i="29"/>
  <c r="I7399" i="38" s="1"/>
  <c r="I395" i="29"/>
  <c r="F7399" i="38" s="1"/>
  <c r="M394" i="29"/>
  <c r="J7398" i="38" s="1"/>
  <c r="L394" i="29"/>
  <c r="I7398" i="38" s="1"/>
  <c r="I394" i="29"/>
  <c r="F7398" i="38" s="1"/>
  <c r="M393" i="29"/>
  <c r="L393" i="29"/>
  <c r="I393" i="29"/>
  <c r="G387" i="29"/>
  <c r="M386" i="29"/>
  <c r="L386" i="29"/>
  <c r="I386" i="29"/>
  <c r="M385" i="29"/>
  <c r="L385" i="29"/>
  <c r="I385" i="29"/>
  <c r="M384" i="29"/>
  <c r="L384" i="29"/>
  <c r="I384" i="29"/>
  <c r="M383" i="29"/>
  <c r="L383" i="29"/>
  <c r="I383" i="29"/>
  <c r="M382" i="29"/>
  <c r="L382" i="29"/>
  <c r="I382" i="29"/>
  <c r="M381" i="29"/>
  <c r="L381" i="29"/>
  <c r="I381" i="29"/>
  <c r="M380" i="29"/>
  <c r="J7390" i="38" s="1"/>
  <c r="L380" i="29"/>
  <c r="I7390" i="38" s="1"/>
  <c r="I380" i="29"/>
  <c r="F7390" i="38" s="1"/>
  <c r="M379" i="29"/>
  <c r="J7389" i="38" s="1"/>
  <c r="L379" i="29"/>
  <c r="I7389" i="38" s="1"/>
  <c r="I379" i="29"/>
  <c r="F7389" i="38" s="1"/>
  <c r="M378" i="29"/>
  <c r="J7388" i="38" s="1"/>
  <c r="L378" i="29"/>
  <c r="I7388" i="38" s="1"/>
  <c r="I378" i="29"/>
  <c r="F7388" i="38" s="1"/>
  <c r="M377" i="29"/>
  <c r="L377" i="29"/>
  <c r="I377" i="29"/>
  <c r="G371" i="29"/>
  <c r="M370" i="29"/>
  <c r="L370" i="29"/>
  <c r="I370" i="29"/>
  <c r="M369" i="29"/>
  <c r="L369" i="29"/>
  <c r="I369" i="29"/>
  <c r="M368" i="29"/>
  <c r="L368" i="29"/>
  <c r="I368" i="29"/>
  <c r="M367" i="29"/>
  <c r="L367" i="29"/>
  <c r="I367" i="29"/>
  <c r="M366" i="29"/>
  <c r="L366" i="29"/>
  <c r="I366" i="29"/>
  <c r="M365" i="29"/>
  <c r="L365" i="29"/>
  <c r="I365" i="29"/>
  <c r="M364" i="29"/>
  <c r="J7380" i="38" s="1"/>
  <c r="L364" i="29"/>
  <c r="I7380" i="38" s="1"/>
  <c r="I364" i="29"/>
  <c r="F7380" i="38" s="1"/>
  <c r="M363" i="29"/>
  <c r="J7379" i="38" s="1"/>
  <c r="L363" i="29"/>
  <c r="I7379" i="38" s="1"/>
  <c r="I363" i="29"/>
  <c r="F7379" i="38" s="1"/>
  <c r="M362" i="29"/>
  <c r="J7378" i="38" s="1"/>
  <c r="L362" i="29"/>
  <c r="I7378" i="38" s="1"/>
  <c r="I362" i="29"/>
  <c r="F7378" i="38" s="1"/>
  <c r="M361" i="29"/>
  <c r="L361" i="29"/>
  <c r="I361" i="29"/>
  <c r="G355" i="29"/>
  <c r="M354" i="29"/>
  <c r="L354" i="29"/>
  <c r="I354" i="29"/>
  <c r="M353" i="29"/>
  <c r="L353" i="29"/>
  <c r="I353" i="29"/>
  <c r="M352" i="29"/>
  <c r="L352" i="29"/>
  <c r="I352" i="29"/>
  <c r="M351" i="29"/>
  <c r="L351" i="29"/>
  <c r="I351" i="29"/>
  <c r="M350" i="29"/>
  <c r="L350" i="29"/>
  <c r="I350" i="29"/>
  <c r="M349" i="29"/>
  <c r="L349" i="29"/>
  <c r="I349" i="29"/>
  <c r="M348" i="29"/>
  <c r="L348" i="29"/>
  <c r="I348" i="29"/>
  <c r="M347" i="29"/>
  <c r="L347" i="29"/>
  <c r="I347" i="29"/>
  <c r="M346" i="29"/>
  <c r="L346" i="29"/>
  <c r="I346" i="29"/>
  <c r="M345" i="29"/>
  <c r="L345" i="29"/>
  <c r="I345" i="29"/>
  <c r="G339" i="29"/>
  <c r="M338" i="29"/>
  <c r="L338" i="29"/>
  <c r="I338" i="29"/>
  <c r="M337" i="29"/>
  <c r="L337" i="29"/>
  <c r="I337" i="29"/>
  <c r="M336" i="29"/>
  <c r="L336" i="29"/>
  <c r="I336" i="29"/>
  <c r="M335" i="29"/>
  <c r="L335" i="29"/>
  <c r="I335" i="29"/>
  <c r="M334" i="29"/>
  <c r="L334" i="29"/>
  <c r="I334" i="29"/>
  <c r="M333" i="29"/>
  <c r="L333" i="29"/>
  <c r="I333" i="29"/>
  <c r="M332" i="29"/>
  <c r="L332" i="29"/>
  <c r="I332" i="29"/>
  <c r="M331" i="29"/>
  <c r="L331" i="29"/>
  <c r="I331" i="29"/>
  <c r="M330" i="29"/>
  <c r="L330" i="29"/>
  <c r="I330" i="29"/>
  <c r="M329" i="29"/>
  <c r="L329" i="29"/>
  <c r="I329" i="29"/>
  <c r="K293" i="29"/>
  <c r="BH76" i="38" s="1"/>
  <c r="K281" i="29"/>
  <c r="BF76" i="38" s="1"/>
  <c r="K270" i="29"/>
  <c r="BD76" i="38" s="1"/>
  <c r="E269" i="29"/>
  <c r="C269" i="29"/>
  <c r="E268" i="29"/>
  <c r="C268" i="29"/>
  <c r="E267" i="29"/>
  <c r="C267" i="29"/>
  <c r="E266" i="29"/>
  <c r="C266" i="29"/>
  <c r="BC76" i="38"/>
  <c r="BB76" i="38"/>
  <c r="K203" i="29"/>
  <c r="AZ76" i="38" s="1"/>
  <c r="K193" i="29"/>
  <c r="AR76" i="38" s="1"/>
  <c r="Q192" i="29"/>
  <c r="O192" i="29"/>
  <c r="M192" i="29"/>
  <c r="K192" i="29"/>
  <c r="AN76" i="38"/>
  <c r="K142" i="29"/>
  <c r="AF76" i="38" s="1"/>
  <c r="AA76" i="38"/>
  <c r="S76" i="38"/>
  <c r="Q76" i="38"/>
  <c r="P76" i="38"/>
  <c r="O76" i="38"/>
  <c r="K84" i="29"/>
  <c r="N76" i="38" s="1"/>
  <c r="AD10" i="29"/>
  <c r="AA10" i="29"/>
  <c r="Z85" i="29"/>
  <c r="T6" i="29"/>
  <c r="T4" i="29"/>
  <c r="T2" i="29"/>
  <c r="E76" i="38" s="1"/>
  <c r="G611" i="30"/>
  <c r="M610" i="30"/>
  <c r="L610" i="30"/>
  <c r="I610" i="30"/>
  <c r="M609" i="30"/>
  <c r="L609" i="30"/>
  <c r="I609" i="30"/>
  <c r="M608" i="30"/>
  <c r="L608" i="30"/>
  <c r="I608" i="30"/>
  <c r="M607" i="30"/>
  <c r="L607" i="30"/>
  <c r="I607" i="30"/>
  <c r="M606" i="30"/>
  <c r="L606" i="30"/>
  <c r="I606" i="30"/>
  <c r="M605" i="30"/>
  <c r="L605" i="30"/>
  <c r="I605" i="30"/>
  <c r="M604" i="30"/>
  <c r="J7710" i="38" s="1"/>
  <c r="L604" i="30"/>
  <c r="I7710" i="38" s="1"/>
  <c r="I604" i="30"/>
  <c r="F7710" i="38" s="1"/>
  <c r="M603" i="30"/>
  <c r="J7709" i="38" s="1"/>
  <c r="L603" i="30"/>
  <c r="I7709" i="38" s="1"/>
  <c r="I603" i="30"/>
  <c r="F7709" i="38" s="1"/>
  <c r="M602" i="30"/>
  <c r="J7708" i="38" s="1"/>
  <c r="L602" i="30"/>
  <c r="I7708" i="38" s="1"/>
  <c r="I602" i="30"/>
  <c r="F7708" i="38" s="1"/>
  <c r="M601" i="30"/>
  <c r="L601" i="30"/>
  <c r="I601" i="30"/>
  <c r="G595" i="30"/>
  <c r="M594" i="30"/>
  <c r="L594" i="30"/>
  <c r="I594" i="30"/>
  <c r="M593" i="30"/>
  <c r="L593" i="30"/>
  <c r="I593" i="30"/>
  <c r="M592" i="30"/>
  <c r="L592" i="30"/>
  <c r="I592" i="30"/>
  <c r="M591" i="30"/>
  <c r="L591" i="30"/>
  <c r="I591" i="30"/>
  <c r="M590" i="30"/>
  <c r="L590" i="30"/>
  <c r="I590" i="30"/>
  <c r="M589" i="30"/>
  <c r="L589" i="30"/>
  <c r="I589" i="30"/>
  <c r="M588" i="30"/>
  <c r="J7700" i="38" s="1"/>
  <c r="L588" i="30"/>
  <c r="I7700" i="38" s="1"/>
  <c r="I588" i="30"/>
  <c r="F7700" i="38" s="1"/>
  <c r="M587" i="30"/>
  <c r="J7699" i="38" s="1"/>
  <c r="L587" i="30"/>
  <c r="I7699" i="38" s="1"/>
  <c r="I587" i="30"/>
  <c r="F7699" i="38" s="1"/>
  <c r="M586" i="30"/>
  <c r="J7698" i="38" s="1"/>
  <c r="L586" i="30"/>
  <c r="I7698" i="38" s="1"/>
  <c r="I586" i="30"/>
  <c r="F7698" i="38" s="1"/>
  <c r="M585" i="30"/>
  <c r="L585" i="30"/>
  <c r="I585" i="30"/>
  <c r="G579" i="30"/>
  <c r="M578" i="30"/>
  <c r="L578" i="30"/>
  <c r="I578" i="30"/>
  <c r="M577" i="30"/>
  <c r="L577" i="30"/>
  <c r="I577" i="30"/>
  <c r="M576" i="30"/>
  <c r="L576" i="30"/>
  <c r="I576" i="30"/>
  <c r="M575" i="30"/>
  <c r="L575" i="30"/>
  <c r="I575" i="30"/>
  <c r="M574" i="30"/>
  <c r="L574" i="30"/>
  <c r="I574" i="30"/>
  <c r="M573" i="30"/>
  <c r="L573" i="30"/>
  <c r="I573" i="30"/>
  <c r="M572" i="30"/>
  <c r="J7690" i="38" s="1"/>
  <c r="L572" i="30"/>
  <c r="I7690" i="38" s="1"/>
  <c r="I572" i="30"/>
  <c r="F7690" i="38" s="1"/>
  <c r="M571" i="30"/>
  <c r="J7689" i="38" s="1"/>
  <c r="L571" i="30"/>
  <c r="I7689" i="38" s="1"/>
  <c r="I571" i="30"/>
  <c r="F7689" i="38" s="1"/>
  <c r="M570" i="30"/>
  <c r="J7688" i="38" s="1"/>
  <c r="L570" i="30"/>
  <c r="I7688" i="38" s="1"/>
  <c r="I570" i="30"/>
  <c r="F7688" i="38" s="1"/>
  <c r="M569" i="30"/>
  <c r="L569" i="30"/>
  <c r="I569" i="30"/>
  <c r="G563" i="30"/>
  <c r="M562" i="30"/>
  <c r="L562" i="30"/>
  <c r="I562" i="30"/>
  <c r="M561" i="30"/>
  <c r="L561" i="30"/>
  <c r="I561" i="30"/>
  <c r="M560" i="30"/>
  <c r="L560" i="30"/>
  <c r="I560" i="30"/>
  <c r="M559" i="30"/>
  <c r="L559" i="30"/>
  <c r="I559" i="30"/>
  <c r="M558" i="30"/>
  <c r="L558" i="30"/>
  <c r="I558" i="30"/>
  <c r="M557" i="30"/>
  <c r="L557" i="30"/>
  <c r="I557" i="30"/>
  <c r="M556" i="30"/>
  <c r="J7680" i="38" s="1"/>
  <c r="L556" i="30"/>
  <c r="I7680" i="38" s="1"/>
  <c r="I556" i="30"/>
  <c r="F7680" i="38" s="1"/>
  <c r="M555" i="30"/>
  <c r="J7679" i="38" s="1"/>
  <c r="L555" i="30"/>
  <c r="I7679" i="38" s="1"/>
  <c r="I555" i="30"/>
  <c r="F7679" i="38" s="1"/>
  <c r="M554" i="30"/>
  <c r="J7678" i="38" s="1"/>
  <c r="L554" i="30"/>
  <c r="I7678" i="38" s="1"/>
  <c r="I554" i="30"/>
  <c r="F7678" i="38" s="1"/>
  <c r="M553" i="30"/>
  <c r="L553" i="30"/>
  <c r="I553" i="30"/>
  <c r="G547" i="30"/>
  <c r="M546" i="30"/>
  <c r="L546" i="30"/>
  <c r="I546" i="30"/>
  <c r="M545" i="30"/>
  <c r="L545" i="30"/>
  <c r="I545" i="30"/>
  <c r="M544" i="30"/>
  <c r="L544" i="30"/>
  <c r="I544" i="30"/>
  <c r="M543" i="30"/>
  <c r="L543" i="30"/>
  <c r="I543" i="30"/>
  <c r="M542" i="30"/>
  <c r="L542" i="30"/>
  <c r="I542" i="30"/>
  <c r="M541" i="30"/>
  <c r="L541" i="30"/>
  <c r="I541" i="30"/>
  <c r="M540" i="30"/>
  <c r="J7670" i="38" s="1"/>
  <c r="L540" i="30"/>
  <c r="I7670" i="38" s="1"/>
  <c r="I540" i="30"/>
  <c r="F7670" i="38" s="1"/>
  <c r="M539" i="30"/>
  <c r="J7669" i="38" s="1"/>
  <c r="L539" i="30"/>
  <c r="I7669" i="38" s="1"/>
  <c r="I539" i="30"/>
  <c r="F7669" i="38" s="1"/>
  <c r="M538" i="30"/>
  <c r="J7668" i="38" s="1"/>
  <c r="L538" i="30"/>
  <c r="I7668" i="38" s="1"/>
  <c r="I538" i="30"/>
  <c r="F7668" i="38" s="1"/>
  <c r="M537" i="30"/>
  <c r="L537" i="30"/>
  <c r="I537" i="30"/>
  <c r="G531" i="30"/>
  <c r="M530" i="30"/>
  <c r="L530" i="30"/>
  <c r="I530" i="30"/>
  <c r="M529" i="30"/>
  <c r="L529" i="30"/>
  <c r="I529" i="30"/>
  <c r="M528" i="30"/>
  <c r="L528" i="30"/>
  <c r="I528" i="30"/>
  <c r="M527" i="30"/>
  <c r="L527" i="30"/>
  <c r="I527" i="30"/>
  <c r="M526" i="30"/>
  <c r="L526" i="30"/>
  <c r="I526" i="30"/>
  <c r="M525" i="30"/>
  <c r="L525" i="30"/>
  <c r="I525" i="30"/>
  <c r="M524" i="30"/>
  <c r="J7660" i="38" s="1"/>
  <c r="L524" i="30"/>
  <c r="I7660" i="38" s="1"/>
  <c r="I524" i="30"/>
  <c r="F7660" i="38" s="1"/>
  <c r="M523" i="30"/>
  <c r="J7659" i="38" s="1"/>
  <c r="L523" i="30"/>
  <c r="I7659" i="38" s="1"/>
  <c r="I523" i="30"/>
  <c r="F7659" i="38" s="1"/>
  <c r="M522" i="30"/>
  <c r="J7658" i="38" s="1"/>
  <c r="L522" i="30"/>
  <c r="I7658" i="38" s="1"/>
  <c r="I522" i="30"/>
  <c r="F7658" i="38" s="1"/>
  <c r="M521" i="30"/>
  <c r="L521" i="30"/>
  <c r="I521" i="30"/>
  <c r="G515" i="30"/>
  <c r="M514" i="30"/>
  <c r="L514" i="30"/>
  <c r="I514" i="30"/>
  <c r="M513" i="30"/>
  <c r="L513" i="30"/>
  <c r="I513" i="30"/>
  <c r="M512" i="30"/>
  <c r="L512" i="30"/>
  <c r="I512" i="30"/>
  <c r="M511" i="30"/>
  <c r="L511" i="30"/>
  <c r="I511" i="30"/>
  <c r="M510" i="30"/>
  <c r="L510" i="30"/>
  <c r="I510" i="30"/>
  <c r="M509" i="30"/>
  <c r="L509" i="30"/>
  <c r="I509" i="30"/>
  <c r="M508" i="30"/>
  <c r="J7650" i="38" s="1"/>
  <c r="L508" i="30"/>
  <c r="I7650" i="38" s="1"/>
  <c r="I508" i="30"/>
  <c r="F7650" i="38" s="1"/>
  <c r="M507" i="30"/>
  <c r="J7649" i="38" s="1"/>
  <c r="L507" i="30"/>
  <c r="I7649" i="38" s="1"/>
  <c r="I507" i="30"/>
  <c r="F7649" i="38" s="1"/>
  <c r="M506" i="30"/>
  <c r="J7648" i="38" s="1"/>
  <c r="L506" i="30"/>
  <c r="I7648" i="38" s="1"/>
  <c r="I506" i="30"/>
  <c r="F7648" i="38" s="1"/>
  <c r="M505" i="30"/>
  <c r="L505" i="30"/>
  <c r="I505" i="30"/>
  <c r="G499" i="30"/>
  <c r="M498" i="30"/>
  <c r="L498" i="30"/>
  <c r="I498" i="30"/>
  <c r="M497" i="30"/>
  <c r="L497" i="30"/>
  <c r="I497" i="30"/>
  <c r="M496" i="30"/>
  <c r="L496" i="30"/>
  <c r="I496" i="30"/>
  <c r="M495" i="30"/>
  <c r="L495" i="30"/>
  <c r="I495" i="30"/>
  <c r="M494" i="30"/>
  <c r="L494" i="30"/>
  <c r="I494" i="30"/>
  <c r="M493" i="30"/>
  <c r="L493" i="30"/>
  <c r="I493" i="30"/>
  <c r="M492" i="30"/>
  <c r="J7640" i="38" s="1"/>
  <c r="L492" i="30"/>
  <c r="I7640" i="38" s="1"/>
  <c r="I492" i="30"/>
  <c r="F7640" i="38" s="1"/>
  <c r="M491" i="30"/>
  <c r="J7639" i="38" s="1"/>
  <c r="L491" i="30"/>
  <c r="I7639" i="38" s="1"/>
  <c r="I491" i="30"/>
  <c r="F7639" i="38" s="1"/>
  <c r="M490" i="30"/>
  <c r="J7638" i="38" s="1"/>
  <c r="L490" i="30"/>
  <c r="I7638" i="38" s="1"/>
  <c r="I490" i="30"/>
  <c r="F7638" i="38" s="1"/>
  <c r="M489" i="30"/>
  <c r="L489" i="30"/>
  <c r="I489" i="30"/>
  <c r="G483" i="30"/>
  <c r="M482" i="30"/>
  <c r="L482" i="30"/>
  <c r="I482" i="30"/>
  <c r="M481" i="30"/>
  <c r="L481" i="30"/>
  <c r="I481" i="30"/>
  <c r="M480" i="30"/>
  <c r="L480" i="30"/>
  <c r="I480" i="30"/>
  <c r="M479" i="30"/>
  <c r="L479" i="30"/>
  <c r="I479" i="30"/>
  <c r="M478" i="30"/>
  <c r="L478" i="30"/>
  <c r="I478" i="30"/>
  <c r="M477" i="30"/>
  <c r="L477" i="30"/>
  <c r="I477" i="30"/>
  <c r="M476" i="30"/>
  <c r="J7630" i="38" s="1"/>
  <c r="L476" i="30"/>
  <c r="I7630" i="38" s="1"/>
  <c r="I476" i="30"/>
  <c r="F7630" i="38" s="1"/>
  <c r="M475" i="30"/>
  <c r="J7629" i="38" s="1"/>
  <c r="L475" i="30"/>
  <c r="I7629" i="38" s="1"/>
  <c r="I475" i="30"/>
  <c r="F7629" i="38" s="1"/>
  <c r="M474" i="30"/>
  <c r="J7628" i="38" s="1"/>
  <c r="L474" i="30"/>
  <c r="I7628" i="38" s="1"/>
  <c r="I474" i="30"/>
  <c r="F7628" i="38" s="1"/>
  <c r="M473" i="30"/>
  <c r="L473" i="30"/>
  <c r="I473" i="30"/>
  <c r="G467" i="30"/>
  <c r="M466" i="30"/>
  <c r="L466" i="30"/>
  <c r="I466" i="30"/>
  <c r="M465" i="30"/>
  <c r="L465" i="30"/>
  <c r="I465" i="30"/>
  <c r="M464" i="30"/>
  <c r="L464" i="30"/>
  <c r="I464" i="30"/>
  <c r="M463" i="30"/>
  <c r="L463" i="30"/>
  <c r="I463" i="30"/>
  <c r="M462" i="30"/>
  <c r="L462" i="30"/>
  <c r="I462" i="30"/>
  <c r="M461" i="30"/>
  <c r="L461" i="30"/>
  <c r="I461" i="30"/>
  <c r="M460" i="30"/>
  <c r="J7620" i="38" s="1"/>
  <c r="L460" i="30"/>
  <c r="I7620" i="38" s="1"/>
  <c r="I460" i="30"/>
  <c r="F7620" i="38" s="1"/>
  <c r="M459" i="30"/>
  <c r="J7619" i="38" s="1"/>
  <c r="L459" i="30"/>
  <c r="I7619" i="38" s="1"/>
  <c r="I459" i="30"/>
  <c r="F7619" i="38" s="1"/>
  <c r="M458" i="30"/>
  <c r="J7618" i="38" s="1"/>
  <c r="L458" i="30"/>
  <c r="I7618" i="38" s="1"/>
  <c r="I458" i="30"/>
  <c r="F7618" i="38" s="1"/>
  <c r="M457" i="30"/>
  <c r="L457" i="30"/>
  <c r="I457" i="30"/>
  <c r="G451" i="30"/>
  <c r="M450" i="30"/>
  <c r="L450" i="30"/>
  <c r="I450" i="30"/>
  <c r="M449" i="30"/>
  <c r="L449" i="30"/>
  <c r="I449" i="30"/>
  <c r="M448" i="30"/>
  <c r="L448" i="30"/>
  <c r="I448" i="30"/>
  <c r="M447" i="30"/>
  <c r="L447" i="30"/>
  <c r="I447" i="30"/>
  <c r="M446" i="30"/>
  <c r="L446" i="30"/>
  <c r="I446" i="30"/>
  <c r="M445" i="30"/>
  <c r="L445" i="30"/>
  <c r="I445" i="30"/>
  <c r="M444" i="30"/>
  <c r="J7610" i="38" s="1"/>
  <c r="L444" i="30"/>
  <c r="I7610" i="38" s="1"/>
  <c r="I444" i="30"/>
  <c r="F7610" i="38" s="1"/>
  <c r="M443" i="30"/>
  <c r="J7609" i="38" s="1"/>
  <c r="L443" i="30"/>
  <c r="I7609" i="38" s="1"/>
  <c r="I443" i="30"/>
  <c r="F7609" i="38" s="1"/>
  <c r="M442" i="30"/>
  <c r="J7608" i="38" s="1"/>
  <c r="L442" i="30"/>
  <c r="I7608" i="38" s="1"/>
  <c r="I442" i="30"/>
  <c r="F7608" i="38" s="1"/>
  <c r="M441" i="30"/>
  <c r="L441" i="30"/>
  <c r="I441" i="30"/>
  <c r="G435" i="30"/>
  <c r="M434" i="30"/>
  <c r="L434" i="30"/>
  <c r="I434" i="30"/>
  <c r="M433" i="30"/>
  <c r="L433" i="30"/>
  <c r="I433" i="30"/>
  <c r="M432" i="30"/>
  <c r="L432" i="30"/>
  <c r="I432" i="30"/>
  <c r="M431" i="30"/>
  <c r="L431" i="30"/>
  <c r="I431" i="30"/>
  <c r="M430" i="30"/>
  <c r="L430" i="30"/>
  <c r="I430" i="30"/>
  <c r="M429" i="30"/>
  <c r="L429" i="30"/>
  <c r="I429" i="30"/>
  <c r="M428" i="30"/>
  <c r="J7600" i="38" s="1"/>
  <c r="L428" i="30"/>
  <c r="I7600" i="38" s="1"/>
  <c r="I428" i="30"/>
  <c r="F7600" i="38" s="1"/>
  <c r="M427" i="30"/>
  <c r="J7599" i="38" s="1"/>
  <c r="L427" i="30"/>
  <c r="I7599" i="38" s="1"/>
  <c r="I427" i="30"/>
  <c r="F7599" i="38" s="1"/>
  <c r="M426" i="30"/>
  <c r="J7598" i="38" s="1"/>
  <c r="L426" i="30"/>
  <c r="I7598" i="38" s="1"/>
  <c r="I426" i="30"/>
  <c r="F7598" i="38" s="1"/>
  <c r="M425" i="30"/>
  <c r="L425" i="30"/>
  <c r="I425" i="30"/>
  <c r="G419" i="30"/>
  <c r="M418" i="30"/>
  <c r="L418" i="30"/>
  <c r="I418" i="30"/>
  <c r="M417" i="30"/>
  <c r="L417" i="30"/>
  <c r="I417" i="30"/>
  <c r="M416" i="30"/>
  <c r="L416" i="30"/>
  <c r="I416" i="30"/>
  <c r="M415" i="30"/>
  <c r="L415" i="30"/>
  <c r="I415" i="30"/>
  <c r="M414" i="30"/>
  <c r="L414" i="30"/>
  <c r="I414" i="30"/>
  <c r="M413" i="30"/>
  <c r="L413" i="30"/>
  <c r="I413" i="30"/>
  <c r="M412" i="30"/>
  <c r="J7590" i="38" s="1"/>
  <c r="L412" i="30"/>
  <c r="I7590" i="38" s="1"/>
  <c r="I412" i="30"/>
  <c r="F7590" i="38" s="1"/>
  <c r="M411" i="30"/>
  <c r="J7589" i="38" s="1"/>
  <c r="L411" i="30"/>
  <c r="I7589" i="38" s="1"/>
  <c r="I411" i="30"/>
  <c r="F7589" i="38" s="1"/>
  <c r="M410" i="30"/>
  <c r="J7588" i="38" s="1"/>
  <c r="L410" i="30"/>
  <c r="I7588" i="38" s="1"/>
  <c r="I410" i="30"/>
  <c r="F7588" i="38" s="1"/>
  <c r="M409" i="30"/>
  <c r="L409" i="30"/>
  <c r="I409" i="30"/>
  <c r="G403" i="30"/>
  <c r="M402" i="30"/>
  <c r="L402" i="30"/>
  <c r="I402" i="30"/>
  <c r="M401" i="30"/>
  <c r="L401" i="30"/>
  <c r="I401" i="30"/>
  <c r="M400" i="30"/>
  <c r="L400" i="30"/>
  <c r="I400" i="30"/>
  <c r="M399" i="30"/>
  <c r="L399" i="30"/>
  <c r="I399" i="30"/>
  <c r="M398" i="30"/>
  <c r="L398" i="30"/>
  <c r="I398" i="30"/>
  <c r="M397" i="30"/>
  <c r="L397" i="30"/>
  <c r="I397" i="30"/>
  <c r="M396" i="30"/>
  <c r="J7580" i="38" s="1"/>
  <c r="L396" i="30"/>
  <c r="I7580" i="38" s="1"/>
  <c r="I396" i="30"/>
  <c r="F7580" i="38" s="1"/>
  <c r="M395" i="30"/>
  <c r="J7579" i="38" s="1"/>
  <c r="L395" i="30"/>
  <c r="I7579" i="38" s="1"/>
  <c r="I395" i="30"/>
  <c r="F7579" i="38" s="1"/>
  <c r="M394" i="30"/>
  <c r="J7578" i="38" s="1"/>
  <c r="L394" i="30"/>
  <c r="I7578" i="38" s="1"/>
  <c r="I394" i="30"/>
  <c r="F7578" i="38" s="1"/>
  <c r="M393" i="30"/>
  <c r="L393" i="30"/>
  <c r="I393" i="30"/>
  <c r="G387" i="30"/>
  <c r="M386" i="30"/>
  <c r="L386" i="30"/>
  <c r="I386" i="30"/>
  <c r="M385" i="30"/>
  <c r="L385" i="30"/>
  <c r="I385" i="30"/>
  <c r="M384" i="30"/>
  <c r="L384" i="30"/>
  <c r="I384" i="30"/>
  <c r="M383" i="30"/>
  <c r="L383" i="30"/>
  <c r="I383" i="30"/>
  <c r="M382" i="30"/>
  <c r="L382" i="30"/>
  <c r="I382" i="30"/>
  <c r="M381" i="30"/>
  <c r="L381" i="30"/>
  <c r="I381" i="30"/>
  <c r="M380" i="30"/>
  <c r="J7570" i="38" s="1"/>
  <c r="L380" i="30"/>
  <c r="I7570" i="38" s="1"/>
  <c r="I380" i="30"/>
  <c r="F7570" i="38" s="1"/>
  <c r="M379" i="30"/>
  <c r="J7569" i="38" s="1"/>
  <c r="L379" i="30"/>
  <c r="I7569" i="38" s="1"/>
  <c r="I379" i="30"/>
  <c r="F7569" i="38" s="1"/>
  <c r="M378" i="30"/>
  <c r="J7568" i="38" s="1"/>
  <c r="L378" i="30"/>
  <c r="I7568" i="38" s="1"/>
  <c r="I378" i="30"/>
  <c r="F7568" i="38" s="1"/>
  <c r="M377" i="30"/>
  <c r="L377" i="30"/>
  <c r="I377" i="30"/>
  <c r="G371" i="30"/>
  <c r="M370" i="30"/>
  <c r="L370" i="30"/>
  <c r="I370" i="30"/>
  <c r="M369" i="30"/>
  <c r="L369" i="30"/>
  <c r="I369" i="30"/>
  <c r="M368" i="30"/>
  <c r="L368" i="30"/>
  <c r="I368" i="30"/>
  <c r="M367" i="30"/>
  <c r="L367" i="30"/>
  <c r="I367" i="30"/>
  <c r="M366" i="30"/>
  <c r="L366" i="30"/>
  <c r="I366" i="30"/>
  <c r="M365" i="30"/>
  <c r="L365" i="30"/>
  <c r="I365" i="30"/>
  <c r="M364" i="30"/>
  <c r="J7560" i="38" s="1"/>
  <c r="L364" i="30"/>
  <c r="I7560" i="38" s="1"/>
  <c r="I364" i="30"/>
  <c r="F7560" i="38" s="1"/>
  <c r="M363" i="30"/>
  <c r="J7559" i="38" s="1"/>
  <c r="L363" i="30"/>
  <c r="I7559" i="38" s="1"/>
  <c r="I363" i="30"/>
  <c r="F7559" i="38" s="1"/>
  <c r="M362" i="30"/>
  <c r="J7558" i="38" s="1"/>
  <c r="L362" i="30"/>
  <c r="I7558" i="38" s="1"/>
  <c r="I362" i="30"/>
  <c r="F7558" i="38" s="1"/>
  <c r="M361" i="30"/>
  <c r="L361" i="30"/>
  <c r="I361" i="30"/>
  <c r="G355" i="30"/>
  <c r="M354" i="30"/>
  <c r="L354" i="30"/>
  <c r="I354" i="30"/>
  <c r="M353" i="30"/>
  <c r="L353" i="30"/>
  <c r="I353" i="30"/>
  <c r="M352" i="30"/>
  <c r="L352" i="30"/>
  <c r="I352" i="30"/>
  <c r="M351" i="30"/>
  <c r="L351" i="30"/>
  <c r="I351" i="30"/>
  <c r="M350" i="30"/>
  <c r="L350" i="30"/>
  <c r="I350" i="30"/>
  <c r="M349" i="30"/>
  <c r="L349" i="30"/>
  <c r="I349" i="30"/>
  <c r="M348" i="30"/>
  <c r="L348" i="30"/>
  <c r="I348" i="30"/>
  <c r="M347" i="30"/>
  <c r="L347" i="30"/>
  <c r="I347" i="30"/>
  <c r="M346" i="30"/>
  <c r="L346" i="30"/>
  <c r="I346" i="30"/>
  <c r="M345" i="30"/>
  <c r="L345" i="30"/>
  <c r="I345" i="30"/>
  <c r="G339" i="30"/>
  <c r="M338" i="30"/>
  <c r="L338" i="30"/>
  <c r="I338" i="30"/>
  <c r="M337" i="30"/>
  <c r="L337" i="30"/>
  <c r="I337" i="30"/>
  <c r="M336" i="30"/>
  <c r="L336" i="30"/>
  <c r="I336" i="30"/>
  <c r="M335" i="30"/>
  <c r="L335" i="30"/>
  <c r="I335" i="30"/>
  <c r="M334" i="30"/>
  <c r="L334" i="30"/>
  <c r="I334" i="30"/>
  <c r="M333" i="30"/>
  <c r="L333" i="30"/>
  <c r="I333" i="30"/>
  <c r="M332" i="30"/>
  <c r="L332" i="30"/>
  <c r="I332" i="30"/>
  <c r="M331" i="30"/>
  <c r="L331" i="30"/>
  <c r="I331" i="30"/>
  <c r="M330" i="30"/>
  <c r="L330" i="30"/>
  <c r="I330" i="30"/>
  <c r="M329" i="30"/>
  <c r="L329" i="30"/>
  <c r="I329" i="30"/>
  <c r="K293" i="30"/>
  <c r="BH77" i="38" s="1"/>
  <c r="K281" i="30"/>
  <c r="BF77" i="38" s="1"/>
  <c r="K270" i="30"/>
  <c r="BD77" i="38" s="1"/>
  <c r="E269" i="30"/>
  <c r="C269" i="30"/>
  <c r="E268" i="30"/>
  <c r="C268" i="30"/>
  <c r="E267" i="30"/>
  <c r="C267" i="30"/>
  <c r="E266" i="30"/>
  <c r="C266" i="30"/>
  <c r="BC77" i="38"/>
  <c r="BB77" i="38"/>
  <c r="K203" i="30"/>
  <c r="AZ77" i="38" s="1"/>
  <c r="K193" i="30"/>
  <c r="AR77" i="38" s="1"/>
  <c r="Q192" i="30"/>
  <c r="O192" i="30"/>
  <c r="M192" i="30"/>
  <c r="K192" i="30"/>
  <c r="AN77" i="38"/>
  <c r="K142" i="30"/>
  <c r="AF77" i="38" s="1"/>
  <c r="S77" i="38"/>
  <c r="Q77" i="38"/>
  <c r="P77" i="38"/>
  <c r="O77" i="38"/>
  <c r="K84" i="30"/>
  <c r="N77" i="38" s="1"/>
  <c r="AD10" i="30"/>
  <c r="AA10" i="30"/>
  <c r="Z85" i="30"/>
  <c r="T6" i="30"/>
  <c r="T4" i="30"/>
  <c r="T2" i="30"/>
  <c r="E77" i="38" s="1"/>
  <c r="G611" i="31"/>
  <c r="M610" i="31"/>
  <c r="L610" i="31"/>
  <c r="I610" i="31"/>
  <c r="M609" i="31"/>
  <c r="L609" i="31"/>
  <c r="I609" i="31"/>
  <c r="M608" i="31"/>
  <c r="L608" i="31"/>
  <c r="I608" i="31"/>
  <c r="M607" i="31"/>
  <c r="L607" i="31"/>
  <c r="I607" i="31"/>
  <c r="M606" i="31"/>
  <c r="L606" i="31"/>
  <c r="I606" i="31"/>
  <c r="M605" i="31"/>
  <c r="L605" i="31"/>
  <c r="I605" i="31"/>
  <c r="M604" i="31"/>
  <c r="J7890" i="38" s="1"/>
  <c r="L604" i="31"/>
  <c r="I7890" i="38" s="1"/>
  <c r="I604" i="31"/>
  <c r="F7890" i="38" s="1"/>
  <c r="M603" i="31"/>
  <c r="J7889" i="38" s="1"/>
  <c r="L603" i="31"/>
  <c r="I7889" i="38" s="1"/>
  <c r="I603" i="31"/>
  <c r="F7889" i="38" s="1"/>
  <c r="M602" i="31"/>
  <c r="J7888" i="38" s="1"/>
  <c r="L602" i="31"/>
  <c r="I7888" i="38" s="1"/>
  <c r="I602" i="31"/>
  <c r="F7888" i="38" s="1"/>
  <c r="M601" i="31"/>
  <c r="L601" i="31"/>
  <c r="I601" i="31"/>
  <c r="G595" i="31"/>
  <c r="M594" i="31"/>
  <c r="L594" i="31"/>
  <c r="I594" i="31"/>
  <c r="M593" i="31"/>
  <c r="L593" i="31"/>
  <c r="I593" i="31"/>
  <c r="M592" i="31"/>
  <c r="L592" i="31"/>
  <c r="I592" i="31"/>
  <c r="M591" i="31"/>
  <c r="L591" i="31"/>
  <c r="I591" i="31"/>
  <c r="M590" i="31"/>
  <c r="L590" i="31"/>
  <c r="I590" i="31"/>
  <c r="M589" i="31"/>
  <c r="L589" i="31"/>
  <c r="I589" i="31"/>
  <c r="M588" i="31"/>
  <c r="J7880" i="38" s="1"/>
  <c r="L588" i="31"/>
  <c r="I7880" i="38" s="1"/>
  <c r="I588" i="31"/>
  <c r="F7880" i="38" s="1"/>
  <c r="M587" i="31"/>
  <c r="J7879" i="38" s="1"/>
  <c r="L587" i="31"/>
  <c r="I7879" i="38" s="1"/>
  <c r="I587" i="31"/>
  <c r="F7879" i="38" s="1"/>
  <c r="M586" i="31"/>
  <c r="J7878" i="38" s="1"/>
  <c r="L586" i="31"/>
  <c r="I7878" i="38" s="1"/>
  <c r="I586" i="31"/>
  <c r="F7878" i="38" s="1"/>
  <c r="M585" i="31"/>
  <c r="L585" i="31"/>
  <c r="I585" i="31"/>
  <c r="G579" i="31"/>
  <c r="M578" i="31"/>
  <c r="L578" i="31"/>
  <c r="I578" i="31"/>
  <c r="M577" i="31"/>
  <c r="L577" i="31"/>
  <c r="I577" i="31"/>
  <c r="M576" i="31"/>
  <c r="L576" i="31"/>
  <c r="I576" i="31"/>
  <c r="M575" i="31"/>
  <c r="L575" i="31"/>
  <c r="I575" i="31"/>
  <c r="M574" i="31"/>
  <c r="L574" i="31"/>
  <c r="I574" i="31"/>
  <c r="M573" i="31"/>
  <c r="L573" i="31"/>
  <c r="I573" i="31"/>
  <c r="M572" i="31"/>
  <c r="J7870" i="38" s="1"/>
  <c r="L572" i="31"/>
  <c r="I7870" i="38" s="1"/>
  <c r="I572" i="31"/>
  <c r="F7870" i="38" s="1"/>
  <c r="M571" i="31"/>
  <c r="J7869" i="38" s="1"/>
  <c r="L571" i="31"/>
  <c r="I7869" i="38" s="1"/>
  <c r="I571" i="31"/>
  <c r="F7869" i="38" s="1"/>
  <c r="M570" i="31"/>
  <c r="J7868" i="38" s="1"/>
  <c r="L570" i="31"/>
  <c r="I7868" i="38" s="1"/>
  <c r="I570" i="31"/>
  <c r="F7868" i="38" s="1"/>
  <c r="M569" i="31"/>
  <c r="L569" i="31"/>
  <c r="I569" i="31"/>
  <c r="G563" i="31"/>
  <c r="M562" i="31"/>
  <c r="L562" i="31"/>
  <c r="I562" i="31"/>
  <c r="M561" i="31"/>
  <c r="L561" i="31"/>
  <c r="I561" i="31"/>
  <c r="M560" i="31"/>
  <c r="L560" i="31"/>
  <c r="I560" i="31"/>
  <c r="M559" i="31"/>
  <c r="L559" i="31"/>
  <c r="I559" i="31"/>
  <c r="M558" i="31"/>
  <c r="L558" i="31"/>
  <c r="I558" i="31"/>
  <c r="M557" i="31"/>
  <c r="L557" i="31"/>
  <c r="I557" i="31"/>
  <c r="M556" i="31"/>
  <c r="J7860" i="38" s="1"/>
  <c r="L556" i="31"/>
  <c r="I7860" i="38" s="1"/>
  <c r="I556" i="31"/>
  <c r="F7860" i="38" s="1"/>
  <c r="M555" i="31"/>
  <c r="J7859" i="38" s="1"/>
  <c r="L555" i="31"/>
  <c r="I7859" i="38" s="1"/>
  <c r="I555" i="31"/>
  <c r="F7859" i="38" s="1"/>
  <c r="M554" i="31"/>
  <c r="J7858" i="38" s="1"/>
  <c r="L554" i="31"/>
  <c r="I7858" i="38" s="1"/>
  <c r="I554" i="31"/>
  <c r="F7858" i="38" s="1"/>
  <c r="M553" i="31"/>
  <c r="L553" i="31"/>
  <c r="I553" i="31"/>
  <c r="G547" i="31"/>
  <c r="M546" i="31"/>
  <c r="L546" i="31"/>
  <c r="I546" i="31"/>
  <c r="M545" i="31"/>
  <c r="L545" i="31"/>
  <c r="I545" i="31"/>
  <c r="M544" i="31"/>
  <c r="L544" i="31"/>
  <c r="I544" i="31"/>
  <c r="M543" i="31"/>
  <c r="L543" i="31"/>
  <c r="I543" i="31"/>
  <c r="M542" i="31"/>
  <c r="L542" i="31"/>
  <c r="I542" i="31"/>
  <c r="M541" i="31"/>
  <c r="L541" i="31"/>
  <c r="I541" i="31"/>
  <c r="M540" i="31"/>
  <c r="J7850" i="38" s="1"/>
  <c r="L540" i="31"/>
  <c r="I7850" i="38" s="1"/>
  <c r="I540" i="31"/>
  <c r="F7850" i="38" s="1"/>
  <c r="M539" i="31"/>
  <c r="J7849" i="38" s="1"/>
  <c r="L539" i="31"/>
  <c r="I7849" i="38" s="1"/>
  <c r="I539" i="31"/>
  <c r="F7849" i="38" s="1"/>
  <c r="M538" i="31"/>
  <c r="J7848" i="38" s="1"/>
  <c r="L538" i="31"/>
  <c r="I7848" i="38" s="1"/>
  <c r="I538" i="31"/>
  <c r="F7848" i="38" s="1"/>
  <c r="M537" i="31"/>
  <c r="L537" i="31"/>
  <c r="I537" i="31"/>
  <c r="G531" i="31"/>
  <c r="M530" i="31"/>
  <c r="L530" i="31"/>
  <c r="I530" i="31"/>
  <c r="M529" i="31"/>
  <c r="L529" i="31"/>
  <c r="I529" i="31"/>
  <c r="M528" i="31"/>
  <c r="L528" i="31"/>
  <c r="I528" i="31"/>
  <c r="M527" i="31"/>
  <c r="L527" i="31"/>
  <c r="I527" i="31"/>
  <c r="M526" i="31"/>
  <c r="L526" i="31"/>
  <c r="I526" i="31"/>
  <c r="M525" i="31"/>
  <c r="L525" i="31"/>
  <c r="I525" i="31"/>
  <c r="M524" i="31"/>
  <c r="J7840" i="38" s="1"/>
  <c r="L524" i="31"/>
  <c r="I7840" i="38" s="1"/>
  <c r="I524" i="31"/>
  <c r="F7840" i="38" s="1"/>
  <c r="M523" i="31"/>
  <c r="J7839" i="38" s="1"/>
  <c r="L523" i="31"/>
  <c r="I7839" i="38" s="1"/>
  <c r="I523" i="31"/>
  <c r="F7839" i="38" s="1"/>
  <c r="M522" i="31"/>
  <c r="J7838" i="38" s="1"/>
  <c r="L522" i="31"/>
  <c r="I7838" i="38" s="1"/>
  <c r="I522" i="31"/>
  <c r="F7838" i="38" s="1"/>
  <c r="M521" i="31"/>
  <c r="L521" i="31"/>
  <c r="I521" i="31"/>
  <c r="G515" i="31"/>
  <c r="M514" i="31"/>
  <c r="L514" i="31"/>
  <c r="I514" i="31"/>
  <c r="M513" i="31"/>
  <c r="L513" i="31"/>
  <c r="I513" i="31"/>
  <c r="M512" i="31"/>
  <c r="L512" i="31"/>
  <c r="I512" i="31"/>
  <c r="M511" i="31"/>
  <c r="L511" i="31"/>
  <c r="I511" i="31"/>
  <c r="M510" i="31"/>
  <c r="L510" i="31"/>
  <c r="I510" i="31"/>
  <c r="M509" i="31"/>
  <c r="L509" i="31"/>
  <c r="I509" i="31"/>
  <c r="M508" i="31"/>
  <c r="J7830" i="38" s="1"/>
  <c r="L508" i="31"/>
  <c r="I7830" i="38" s="1"/>
  <c r="I508" i="31"/>
  <c r="F7830" i="38" s="1"/>
  <c r="M507" i="31"/>
  <c r="J7829" i="38" s="1"/>
  <c r="L507" i="31"/>
  <c r="I7829" i="38" s="1"/>
  <c r="I507" i="31"/>
  <c r="F7829" i="38" s="1"/>
  <c r="M506" i="31"/>
  <c r="J7828" i="38" s="1"/>
  <c r="L506" i="31"/>
  <c r="I7828" i="38" s="1"/>
  <c r="I506" i="31"/>
  <c r="F7828" i="38" s="1"/>
  <c r="M505" i="31"/>
  <c r="L505" i="31"/>
  <c r="I505" i="31"/>
  <c r="G499" i="31"/>
  <c r="M498" i="31"/>
  <c r="L498" i="31"/>
  <c r="I498" i="31"/>
  <c r="M497" i="31"/>
  <c r="L497" i="31"/>
  <c r="I497" i="31"/>
  <c r="M496" i="31"/>
  <c r="L496" i="31"/>
  <c r="I496" i="31"/>
  <c r="M495" i="31"/>
  <c r="L495" i="31"/>
  <c r="I495" i="31"/>
  <c r="M494" i="31"/>
  <c r="L494" i="31"/>
  <c r="I494" i="31"/>
  <c r="M493" i="31"/>
  <c r="L493" i="31"/>
  <c r="I493" i="31"/>
  <c r="M492" i="31"/>
  <c r="J7820" i="38" s="1"/>
  <c r="L492" i="31"/>
  <c r="I7820" i="38" s="1"/>
  <c r="I492" i="31"/>
  <c r="F7820" i="38" s="1"/>
  <c r="M491" i="31"/>
  <c r="J7819" i="38" s="1"/>
  <c r="L491" i="31"/>
  <c r="I7819" i="38" s="1"/>
  <c r="I491" i="31"/>
  <c r="F7819" i="38" s="1"/>
  <c r="M490" i="31"/>
  <c r="J7818" i="38" s="1"/>
  <c r="L490" i="31"/>
  <c r="I7818" i="38" s="1"/>
  <c r="I490" i="31"/>
  <c r="F7818" i="38" s="1"/>
  <c r="M489" i="31"/>
  <c r="L489" i="31"/>
  <c r="I489" i="31"/>
  <c r="G483" i="31"/>
  <c r="M482" i="31"/>
  <c r="L482" i="31"/>
  <c r="I482" i="31"/>
  <c r="M481" i="31"/>
  <c r="L481" i="31"/>
  <c r="I481" i="31"/>
  <c r="M480" i="31"/>
  <c r="L480" i="31"/>
  <c r="I480" i="31"/>
  <c r="M479" i="31"/>
  <c r="L479" i="31"/>
  <c r="I479" i="31"/>
  <c r="M478" i="31"/>
  <c r="L478" i="31"/>
  <c r="I478" i="31"/>
  <c r="M477" i="31"/>
  <c r="L477" i="31"/>
  <c r="I477" i="31"/>
  <c r="M476" i="31"/>
  <c r="J7810" i="38" s="1"/>
  <c r="L476" i="31"/>
  <c r="I7810" i="38" s="1"/>
  <c r="I476" i="31"/>
  <c r="F7810" i="38" s="1"/>
  <c r="M475" i="31"/>
  <c r="J7809" i="38" s="1"/>
  <c r="L475" i="31"/>
  <c r="I7809" i="38" s="1"/>
  <c r="I475" i="31"/>
  <c r="F7809" i="38" s="1"/>
  <c r="M474" i="31"/>
  <c r="J7808" i="38" s="1"/>
  <c r="L474" i="31"/>
  <c r="I7808" i="38" s="1"/>
  <c r="I474" i="31"/>
  <c r="F7808" i="38" s="1"/>
  <c r="M473" i="31"/>
  <c r="L473" i="31"/>
  <c r="I473" i="31"/>
  <c r="G467" i="31"/>
  <c r="M466" i="31"/>
  <c r="L466" i="31"/>
  <c r="I466" i="31"/>
  <c r="M465" i="31"/>
  <c r="L465" i="31"/>
  <c r="I465" i="31"/>
  <c r="M464" i="31"/>
  <c r="L464" i="31"/>
  <c r="I464" i="31"/>
  <c r="M463" i="31"/>
  <c r="L463" i="31"/>
  <c r="I463" i="31"/>
  <c r="M462" i="31"/>
  <c r="L462" i="31"/>
  <c r="I462" i="31"/>
  <c r="M461" i="31"/>
  <c r="L461" i="31"/>
  <c r="I461" i="31"/>
  <c r="M460" i="31"/>
  <c r="J7800" i="38" s="1"/>
  <c r="L460" i="31"/>
  <c r="I7800" i="38" s="1"/>
  <c r="I460" i="31"/>
  <c r="F7800" i="38" s="1"/>
  <c r="M459" i="31"/>
  <c r="J7799" i="38" s="1"/>
  <c r="L459" i="31"/>
  <c r="I7799" i="38" s="1"/>
  <c r="I459" i="31"/>
  <c r="F7799" i="38" s="1"/>
  <c r="M458" i="31"/>
  <c r="J7798" i="38" s="1"/>
  <c r="L458" i="31"/>
  <c r="I7798" i="38" s="1"/>
  <c r="I458" i="31"/>
  <c r="F7798" i="38" s="1"/>
  <c r="M457" i="31"/>
  <c r="L457" i="31"/>
  <c r="I457" i="31"/>
  <c r="G451" i="31"/>
  <c r="M450" i="31"/>
  <c r="L450" i="31"/>
  <c r="I450" i="31"/>
  <c r="M449" i="31"/>
  <c r="L449" i="31"/>
  <c r="I449" i="31"/>
  <c r="M448" i="31"/>
  <c r="L448" i="31"/>
  <c r="I448" i="31"/>
  <c r="M447" i="31"/>
  <c r="L447" i="31"/>
  <c r="I447" i="31"/>
  <c r="M446" i="31"/>
  <c r="L446" i="31"/>
  <c r="I446" i="31"/>
  <c r="M445" i="31"/>
  <c r="L445" i="31"/>
  <c r="I445" i="31"/>
  <c r="M444" i="31"/>
  <c r="J7790" i="38" s="1"/>
  <c r="L444" i="31"/>
  <c r="I7790" i="38" s="1"/>
  <c r="I444" i="31"/>
  <c r="F7790" i="38" s="1"/>
  <c r="M443" i="31"/>
  <c r="J7789" i="38" s="1"/>
  <c r="L443" i="31"/>
  <c r="I7789" i="38" s="1"/>
  <c r="I443" i="31"/>
  <c r="F7789" i="38" s="1"/>
  <c r="M442" i="31"/>
  <c r="J7788" i="38" s="1"/>
  <c r="L442" i="31"/>
  <c r="I7788" i="38" s="1"/>
  <c r="I442" i="31"/>
  <c r="F7788" i="38" s="1"/>
  <c r="M441" i="31"/>
  <c r="L441" i="31"/>
  <c r="I441" i="31"/>
  <c r="G435" i="31"/>
  <c r="M434" i="31"/>
  <c r="L434" i="31"/>
  <c r="I434" i="31"/>
  <c r="M433" i="31"/>
  <c r="L433" i="31"/>
  <c r="I433" i="31"/>
  <c r="M432" i="31"/>
  <c r="L432" i="31"/>
  <c r="I432" i="31"/>
  <c r="M431" i="31"/>
  <c r="L431" i="31"/>
  <c r="I431" i="31"/>
  <c r="M430" i="31"/>
  <c r="L430" i="31"/>
  <c r="I430" i="31"/>
  <c r="M429" i="31"/>
  <c r="L429" i="31"/>
  <c r="I429" i="31"/>
  <c r="M428" i="31"/>
  <c r="J7780" i="38" s="1"/>
  <c r="L428" i="31"/>
  <c r="I7780" i="38" s="1"/>
  <c r="I428" i="31"/>
  <c r="F7780" i="38" s="1"/>
  <c r="M427" i="31"/>
  <c r="J7779" i="38" s="1"/>
  <c r="L427" i="31"/>
  <c r="I7779" i="38" s="1"/>
  <c r="I427" i="31"/>
  <c r="F7779" i="38" s="1"/>
  <c r="M426" i="31"/>
  <c r="J7778" i="38" s="1"/>
  <c r="L426" i="31"/>
  <c r="I7778" i="38" s="1"/>
  <c r="I426" i="31"/>
  <c r="F7778" i="38" s="1"/>
  <c r="M425" i="31"/>
  <c r="L425" i="31"/>
  <c r="I425" i="31"/>
  <c r="G419" i="31"/>
  <c r="M418" i="31"/>
  <c r="L418" i="31"/>
  <c r="I418" i="31"/>
  <c r="M417" i="31"/>
  <c r="L417" i="31"/>
  <c r="I417" i="31"/>
  <c r="M416" i="31"/>
  <c r="L416" i="31"/>
  <c r="I416" i="31"/>
  <c r="M415" i="31"/>
  <c r="L415" i="31"/>
  <c r="I415" i="31"/>
  <c r="M414" i="31"/>
  <c r="L414" i="31"/>
  <c r="I414" i="31"/>
  <c r="M413" i="31"/>
  <c r="L413" i="31"/>
  <c r="I413" i="31"/>
  <c r="M412" i="31"/>
  <c r="J7770" i="38" s="1"/>
  <c r="L412" i="31"/>
  <c r="I7770" i="38" s="1"/>
  <c r="I412" i="31"/>
  <c r="F7770" i="38" s="1"/>
  <c r="M411" i="31"/>
  <c r="J7769" i="38" s="1"/>
  <c r="L411" i="31"/>
  <c r="I7769" i="38" s="1"/>
  <c r="I411" i="31"/>
  <c r="F7769" i="38" s="1"/>
  <c r="M410" i="31"/>
  <c r="J7768" i="38" s="1"/>
  <c r="L410" i="31"/>
  <c r="I7768" i="38" s="1"/>
  <c r="I410" i="31"/>
  <c r="F7768" i="38" s="1"/>
  <c r="M409" i="31"/>
  <c r="L409" i="31"/>
  <c r="I409" i="31"/>
  <c r="G403" i="31"/>
  <c r="M402" i="31"/>
  <c r="L402" i="31"/>
  <c r="I402" i="31"/>
  <c r="M401" i="31"/>
  <c r="L401" i="31"/>
  <c r="I401" i="31"/>
  <c r="M400" i="31"/>
  <c r="L400" i="31"/>
  <c r="I400" i="31"/>
  <c r="M399" i="31"/>
  <c r="L399" i="31"/>
  <c r="I399" i="31"/>
  <c r="M398" i="31"/>
  <c r="L398" i="31"/>
  <c r="I398" i="31"/>
  <c r="M397" i="31"/>
  <c r="L397" i="31"/>
  <c r="I397" i="31"/>
  <c r="M396" i="31"/>
  <c r="J7760" i="38" s="1"/>
  <c r="L396" i="31"/>
  <c r="I7760" i="38" s="1"/>
  <c r="I396" i="31"/>
  <c r="F7760" i="38" s="1"/>
  <c r="M395" i="31"/>
  <c r="J7759" i="38" s="1"/>
  <c r="L395" i="31"/>
  <c r="I7759" i="38" s="1"/>
  <c r="I395" i="31"/>
  <c r="F7759" i="38" s="1"/>
  <c r="M394" i="31"/>
  <c r="J7758" i="38" s="1"/>
  <c r="L394" i="31"/>
  <c r="I7758" i="38" s="1"/>
  <c r="I394" i="31"/>
  <c r="F7758" i="38" s="1"/>
  <c r="M393" i="31"/>
  <c r="L393" i="31"/>
  <c r="I393" i="31"/>
  <c r="G387" i="31"/>
  <c r="M386" i="31"/>
  <c r="L386" i="31"/>
  <c r="I386" i="31"/>
  <c r="M385" i="31"/>
  <c r="L385" i="31"/>
  <c r="I385" i="31"/>
  <c r="M384" i="31"/>
  <c r="L384" i="31"/>
  <c r="I384" i="31"/>
  <c r="M383" i="31"/>
  <c r="L383" i="31"/>
  <c r="I383" i="31"/>
  <c r="M382" i="31"/>
  <c r="L382" i="31"/>
  <c r="I382" i="31"/>
  <c r="M381" i="31"/>
  <c r="L381" i="31"/>
  <c r="I381" i="31"/>
  <c r="M380" i="31"/>
  <c r="J7750" i="38" s="1"/>
  <c r="L380" i="31"/>
  <c r="I7750" i="38" s="1"/>
  <c r="I380" i="31"/>
  <c r="F7750" i="38" s="1"/>
  <c r="M379" i="31"/>
  <c r="J7749" i="38" s="1"/>
  <c r="L379" i="31"/>
  <c r="I7749" i="38" s="1"/>
  <c r="I379" i="31"/>
  <c r="F7749" i="38" s="1"/>
  <c r="M378" i="31"/>
  <c r="J7748" i="38" s="1"/>
  <c r="L378" i="31"/>
  <c r="I7748" i="38" s="1"/>
  <c r="I378" i="31"/>
  <c r="F7748" i="38" s="1"/>
  <c r="M377" i="31"/>
  <c r="L377" i="31"/>
  <c r="I377" i="31"/>
  <c r="G371" i="31"/>
  <c r="M370" i="31"/>
  <c r="L370" i="31"/>
  <c r="I370" i="31"/>
  <c r="M369" i="31"/>
  <c r="L369" i="31"/>
  <c r="I369" i="31"/>
  <c r="M368" i="31"/>
  <c r="L368" i="31"/>
  <c r="I368" i="31"/>
  <c r="M367" i="31"/>
  <c r="L367" i="31"/>
  <c r="I367" i="31"/>
  <c r="M366" i="31"/>
  <c r="L366" i="31"/>
  <c r="I366" i="31"/>
  <c r="M365" i="31"/>
  <c r="L365" i="31"/>
  <c r="I365" i="31"/>
  <c r="M364" i="31"/>
  <c r="J7740" i="38" s="1"/>
  <c r="L364" i="31"/>
  <c r="I7740" i="38" s="1"/>
  <c r="I364" i="31"/>
  <c r="F7740" i="38" s="1"/>
  <c r="M363" i="31"/>
  <c r="J7739" i="38" s="1"/>
  <c r="L363" i="31"/>
  <c r="I7739" i="38" s="1"/>
  <c r="I363" i="31"/>
  <c r="F7739" i="38" s="1"/>
  <c r="M362" i="31"/>
  <c r="J7738" i="38" s="1"/>
  <c r="L362" i="31"/>
  <c r="I7738" i="38" s="1"/>
  <c r="I362" i="31"/>
  <c r="F7738" i="38" s="1"/>
  <c r="M361" i="31"/>
  <c r="L361" i="31"/>
  <c r="I361" i="31"/>
  <c r="G355" i="31"/>
  <c r="M354" i="31"/>
  <c r="L354" i="31"/>
  <c r="I354" i="31"/>
  <c r="M353" i="31"/>
  <c r="L353" i="31"/>
  <c r="I353" i="31"/>
  <c r="M352" i="31"/>
  <c r="L352" i="31"/>
  <c r="I352" i="31"/>
  <c r="M351" i="31"/>
  <c r="L351" i="31"/>
  <c r="I351" i="31"/>
  <c r="M350" i="31"/>
  <c r="L350" i="31"/>
  <c r="I350" i="31"/>
  <c r="M349" i="31"/>
  <c r="L349" i="31"/>
  <c r="I349" i="31"/>
  <c r="M348" i="31"/>
  <c r="L348" i="31"/>
  <c r="I348" i="31"/>
  <c r="M347" i="31"/>
  <c r="L347" i="31"/>
  <c r="I347" i="31"/>
  <c r="M346" i="31"/>
  <c r="L346" i="31"/>
  <c r="I346" i="31"/>
  <c r="M345" i="31"/>
  <c r="L345" i="31"/>
  <c r="I345" i="31"/>
  <c r="G339" i="31"/>
  <c r="M338" i="31"/>
  <c r="L338" i="31"/>
  <c r="I338" i="31"/>
  <c r="M337" i="31"/>
  <c r="L337" i="31"/>
  <c r="I337" i="31"/>
  <c r="M336" i="31"/>
  <c r="L336" i="31"/>
  <c r="I336" i="31"/>
  <c r="M335" i="31"/>
  <c r="L335" i="31"/>
  <c r="I335" i="31"/>
  <c r="M334" i="31"/>
  <c r="L334" i="31"/>
  <c r="I334" i="31"/>
  <c r="M333" i="31"/>
  <c r="L333" i="31"/>
  <c r="I333" i="31"/>
  <c r="M332" i="31"/>
  <c r="L332" i="31"/>
  <c r="I332" i="31"/>
  <c r="M331" i="31"/>
  <c r="L331" i="31"/>
  <c r="I331" i="31"/>
  <c r="M330" i="31"/>
  <c r="L330" i="31"/>
  <c r="I330" i="31"/>
  <c r="M329" i="31"/>
  <c r="L329" i="31"/>
  <c r="I329" i="31"/>
  <c r="K293" i="31"/>
  <c r="BH78" i="38" s="1"/>
  <c r="K281" i="31"/>
  <c r="BF78" i="38" s="1"/>
  <c r="K270" i="31"/>
  <c r="BD78" i="38" s="1"/>
  <c r="E269" i="31"/>
  <c r="C269" i="31"/>
  <c r="E268" i="31"/>
  <c r="C268" i="31"/>
  <c r="E267" i="31"/>
  <c r="C267" i="31"/>
  <c r="E266" i="31"/>
  <c r="C266" i="31"/>
  <c r="BC78" i="38"/>
  <c r="BB78" i="38"/>
  <c r="K203" i="31"/>
  <c r="AZ78" i="38" s="1"/>
  <c r="K193" i="31"/>
  <c r="AR78" i="38" s="1"/>
  <c r="Q192" i="31"/>
  <c r="O192" i="31"/>
  <c r="M192" i="31"/>
  <c r="K192" i="31"/>
  <c r="AN78" i="38"/>
  <c r="K142" i="31"/>
  <c r="AF78" i="38" s="1"/>
  <c r="AA78" i="38"/>
  <c r="S78" i="38"/>
  <c r="Q78" i="38"/>
  <c r="P78" i="38"/>
  <c r="O78" i="38"/>
  <c r="K84" i="31"/>
  <c r="N78" i="38" s="1"/>
  <c r="AD10" i="31"/>
  <c r="AA10" i="31"/>
  <c r="Z85" i="31"/>
  <c r="T6" i="31"/>
  <c r="T4" i="31"/>
  <c r="T2" i="31"/>
  <c r="E78" i="38" s="1"/>
  <c r="G611" i="32"/>
  <c r="M610" i="32"/>
  <c r="L610" i="32"/>
  <c r="I610" i="32"/>
  <c r="M609" i="32"/>
  <c r="L609" i="32"/>
  <c r="I609" i="32"/>
  <c r="M608" i="32"/>
  <c r="L608" i="32"/>
  <c r="I608" i="32"/>
  <c r="M607" i="32"/>
  <c r="L607" i="32"/>
  <c r="I607" i="32"/>
  <c r="M606" i="32"/>
  <c r="L606" i="32"/>
  <c r="I606" i="32"/>
  <c r="M605" i="32"/>
  <c r="L605" i="32"/>
  <c r="I605" i="32"/>
  <c r="M604" i="32"/>
  <c r="J8070" i="38" s="1"/>
  <c r="L604" i="32"/>
  <c r="I8070" i="38" s="1"/>
  <c r="I604" i="32"/>
  <c r="F8070" i="38" s="1"/>
  <c r="M603" i="32"/>
  <c r="J8069" i="38" s="1"/>
  <c r="L603" i="32"/>
  <c r="I8069" i="38" s="1"/>
  <c r="I603" i="32"/>
  <c r="F8069" i="38" s="1"/>
  <c r="M602" i="32"/>
  <c r="J8068" i="38" s="1"/>
  <c r="L602" i="32"/>
  <c r="I8068" i="38" s="1"/>
  <c r="I602" i="32"/>
  <c r="F8068" i="38" s="1"/>
  <c r="M601" i="32"/>
  <c r="L601" i="32"/>
  <c r="I601" i="32"/>
  <c r="G595" i="32"/>
  <c r="M594" i="32"/>
  <c r="L594" i="32"/>
  <c r="I594" i="32"/>
  <c r="M593" i="32"/>
  <c r="L593" i="32"/>
  <c r="I593" i="32"/>
  <c r="M592" i="32"/>
  <c r="L592" i="32"/>
  <c r="I592" i="32"/>
  <c r="M591" i="32"/>
  <c r="L591" i="32"/>
  <c r="I591" i="32"/>
  <c r="M590" i="32"/>
  <c r="L590" i="32"/>
  <c r="I590" i="32"/>
  <c r="M589" i="32"/>
  <c r="L589" i="32"/>
  <c r="I589" i="32"/>
  <c r="M588" i="32"/>
  <c r="J8060" i="38" s="1"/>
  <c r="L588" i="32"/>
  <c r="I8060" i="38" s="1"/>
  <c r="I588" i="32"/>
  <c r="F8060" i="38" s="1"/>
  <c r="M587" i="32"/>
  <c r="J8059" i="38" s="1"/>
  <c r="L587" i="32"/>
  <c r="I8059" i="38" s="1"/>
  <c r="I587" i="32"/>
  <c r="F8059" i="38" s="1"/>
  <c r="M586" i="32"/>
  <c r="J8058" i="38" s="1"/>
  <c r="L586" i="32"/>
  <c r="I8058" i="38" s="1"/>
  <c r="I586" i="32"/>
  <c r="F8058" i="38" s="1"/>
  <c r="M585" i="32"/>
  <c r="L585" i="32"/>
  <c r="I585" i="32"/>
  <c r="G579" i="32"/>
  <c r="M578" i="32"/>
  <c r="L578" i="32"/>
  <c r="I578" i="32"/>
  <c r="M577" i="32"/>
  <c r="L577" i="32"/>
  <c r="I577" i="32"/>
  <c r="M576" i="32"/>
  <c r="L576" i="32"/>
  <c r="I576" i="32"/>
  <c r="M575" i="32"/>
  <c r="L575" i="32"/>
  <c r="I575" i="32"/>
  <c r="M574" i="32"/>
  <c r="L574" i="32"/>
  <c r="I574" i="32"/>
  <c r="M573" i="32"/>
  <c r="L573" i="32"/>
  <c r="I573" i="32"/>
  <c r="M572" i="32"/>
  <c r="J8050" i="38" s="1"/>
  <c r="L572" i="32"/>
  <c r="I8050" i="38" s="1"/>
  <c r="I572" i="32"/>
  <c r="F8050" i="38" s="1"/>
  <c r="M571" i="32"/>
  <c r="J8049" i="38" s="1"/>
  <c r="L571" i="32"/>
  <c r="I8049" i="38" s="1"/>
  <c r="I571" i="32"/>
  <c r="F8049" i="38" s="1"/>
  <c r="M570" i="32"/>
  <c r="J8048" i="38" s="1"/>
  <c r="L570" i="32"/>
  <c r="I8048" i="38" s="1"/>
  <c r="I570" i="32"/>
  <c r="F8048" i="38" s="1"/>
  <c r="M569" i="32"/>
  <c r="L569" i="32"/>
  <c r="I569" i="32"/>
  <c r="G563" i="32"/>
  <c r="M562" i="32"/>
  <c r="L562" i="32"/>
  <c r="I562" i="32"/>
  <c r="M561" i="32"/>
  <c r="L561" i="32"/>
  <c r="I561" i="32"/>
  <c r="M560" i="32"/>
  <c r="L560" i="32"/>
  <c r="I560" i="32"/>
  <c r="M559" i="32"/>
  <c r="L559" i="32"/>
  <c r="I559" i="32"/>
  <c r="M558" i="32"/>
  <c r="L558" i="32"/>
  <c r="I558" i="32"/>
  <c r="M557" i="32"/>
  <c r="L557" i="32"/>
  <c r="I557" i="32"/>
  <c r="M556" i="32"/>
  <c r="J8040" i="38" s="1"/>
  <c r="L556" i="32"/>
  <c r="I8040" i="38" s="1"/>
  <c r="I556" i="32"/>
  <c r="F8040" i="38" s="1"/>
  <c r="M555" i="32"/>
  <c r="J8039" i="38" s="1"/>
  <c r="L555" i="32"/>
  <c r="I8039" i="38" s="1"/>
  <c r="I555" i="32"/>
  <c r="F8039" i="38" s="1"/>
  <c r="M554" i="32"/>
  <c r="J8038" i="38" s="1"/>
  <c r="L554" i="32"/>
  <c r="I8038" i="38" s="1"/>
  <c r="I554" i="32"/>
  <c r="F8038" i="38" s="1"/>
  <c r="M553" i="32"/>
  <c r="L553" i="32"/>
  <c r="I553" i="32"/>
  <c r="G547" i="32"/>
  <c r="M546" i="32"/>
  <c r="L546" i="32"/>
  <c r="I546" i="32"/>
  <c r="M545" i="32"/>
  <c r="L545" i="32"/>
  <c r="I545" i="32"/>
  <c r="M544" i="32"/>
  <c r="L544" i="32"/>
  <c r="I544" i="32"/>
  <c r="M543" i="32"/>
  <c r="L543" i="32"/>
  <c r="I543" i="32"/>
  <c r="M542" i="32"/>
  <c r="L542" i="32"/>
  <c r="I542" i="32"/>
  <c r="M541" i="32"/>
  <c r="L541" i="32"/>
  <c r="I541" i="32"/>
  <c r="M540" i="32"/>
  <c r="J8030" i="38" s="1"/>
  <c r="L540" i="32"/>
  <c r="I8030" i="38" s="1"/>
  <c r="I540" i="32"/>
  <c r="F8030" i="38" s="1"/>
  <c r="M539" i="32"/>
  <c r="J8029" i="38" s="1"/>
  <c r="L539" i="32"/>
  <c r="I8029" i="38" s="1"/>
  <c r="I539" i="32"/>
  <c r="F8029" i="38" s="1"/>
  <c r="M538" i="32"/>
  <c r="J8028" i="38" s="1"/>
  <c r="L538" i="32"/>
  <c r="I8028" i="38" s="1"/>
  <c r="I538" i="32"/>
  <c r="F8028" i="38" s="1"/>
  <c r="M537" i="32"/>
  <c r="L537" i="32"/>
  <c r="I537" i="32"/>
  <c r="G531" i="32"/>
  <c r="M530" i="32"/>
  <c r="L530" i="32"/>
  <c r="I530" i="32"/>
  <c r="M529" i="32"/>
  <c r="L529" i="32"/>
  <c r="I529" i="32"/>
  <c r="M528" i="32"/>
  <c r="L528" i="32"/>
  <c r="I528" i="32"/>
  <c r="M527" i="32"/>
  <c r="L527" i="32"/>
  <c r="I527" i="32"/>
  <c r="M526" i="32"/>
  <c r="L526" i="32"/>
  <c r="I526" i="32"/>
  <c r="M525" i="32"/>
  <c r="L525" i="32"/>
  <c r="I525" i="32"/>
  <c r="M524" i="32"/>
  <c r="J8020" i="38" s="1"/>
  <c r="L524" i="32"/>
  <c r="I8020" i="38" s="1"/>
  <c r="I524" i="32"/>
  <c r="F8020" i="38" s="1"/>
  <c r="M523" i="32"/>
  <c r="J8019" i="38" s="1"/>
  <c r="L523" i="32"/>
  <c r="I8019" i="38" s="1"/>
  <c r="I523" i="32"/>
  <c r="F8019" i="38" s="1"/>
  <c r="M522" i="32"/>
  <c r="J8018" i="38" s="1"/>
  <c r="L522" i="32"/>
  <c r="I8018" i="38" s="1"/>
  <c r="I522" i="32"/>
  <c r="F8018" i="38" s="1"/>
  <c r="M521" i="32"/>
  <c r="L521" i="32"/>
  <c r="I521" i="32"/>
  <c r="G515" i="32"/>
  <c r="M514" i="32"/>
  <c r="L514" i="32"/>
  <c r="I514" i="32"/>
  <c r="M513" i="32"/>
  <c r="L513" i="32"/>
  <c r="I513" i="32"/>
  <c r="M512" i="32"/>
  <c r="L512" i="32"/>
  <c r="I512" i="32"/>
  <c r="M511" i="32"/>
  <c r="L511" i="32"/>
  <c r="I511" i="32"/>
  <c r="M510" i="32"/>
  <c r="L510" i="32"/>
  <c r="I510" i="32"/>
  <c r="M509" i="32"/>
  <c r="L509" i="32"/>
  <c r="I509" i="32"/>
  <c r="M508" i="32"/>
  <c r="J8010" i="38" s="1"/>
  <c r="L508" i="32"/>
  <c r="I8010" i="38" s="1"/>
  <c r="I508" i="32"/>
  <c r="F8010" i="38" s="1"/>
  <c r="M507" i="32"/>
  <c r="J8009" i="38" s="1"/>
  <c r="L507" i="32"/>
  <c r="I8009" i="38" s="1"/>
  <c r="I507" i="32"/>
  <c r="F8009" i="38" s="1"/>
  <c r="M506" i="32"/>
  <c r="J8008" i="38" s="1"/>
  <c r="L506" i="32"/>
  <c r="I8008" i="38" s="1"/>
  <c r="I506" i="32"/>
  <c r="F8008" i="38" s="1"/>
  <c r="M505" i="32"/>
  <c r="L505" i="32"/>
  <c r="I505" i="32"/>
  <c r="G499" i="32"/>
  <c r="M498" i="32"/>
  <c r="L498" i="32"/>
  <c r="I498" i="32"/>
  <c r="M497" i="32"/>
  <c r="L497" i="32"/>
  <c r="I497" i="32"/>
  <c r="M496" i="32"/>
  <c r="L496" i="32"/>
  <c r="I496" i="32"/>
  <c r="M495" i="32"/>
  <c r="L495" i="32"/>
  <c r="I495" i="32"/>
  <c r="M494" i="32"/>
  <c r="L494" i="32"/>
  <c r="I494" i="32"/>
  <c r="M493" i="32"/>
  <c r="L493" i="32"/>
  <c r="I493" i="32"/>
  <c r="M492" i="32"/>
  <c r="J8000" i="38" s="1"/>
  <c r="L492" i="32"/>
  <c r="I8000" i="38" s="1"/>
  <c r="I492" i="32"/>
  <c r="F8000" i="38" s="1"/>
  <c r="M491" i="32"/>
  <c r="J7999" i="38" s="1"/>
  <c r="L491" i="32"/>
  <c r="I7999" i="38" s="1"/>
  <c r="I491" i="32"/>
  <c r="F7999" i="38" s="1"/>
  <c r="M490" i="32"/>
  <c r="J7998" i="38" s="1"/>
  <c r="L490" i="32"/>
  <c r="I7998" i="38" s="1"/>
  <c r="I490" i="32"/>
  <c r="F7998" i="38" s="1"/>
  <c r="M489" i="32"/>
  <c r="L489" i="32"/>
  <c r="I489" i="32"/>
  <c r="G483" i="32"/>
  <c r="M482" i="32"/>
  <c r="L482" i="32"/>
  <c r="I482" i="32"/>
  <c r="M481" i="32"/>
  <c r="L481" i="32"/>
  <c r="I481" i="32"/>
  <c r="M480" i="32"/>
  <c r="L480" i="32"/>
  <c r="I480" i="32"/>
  <c r="M479" i="32"/>
  <c r="L479" i="32"/>
  <c r="I479" i="32"/>
  <c r="M478" i="32"/>
  <c r="L478" i="32"/>
  <c r="I478" i="32"/>
  <c r="M477" i="32"/>
  <c r="L477" i="32"/>
  <c r="I477" i="32"/>
  <c r="M476" i="32"/>
  <c r="J7990" i="38" s="1"/>
  <c r="L476" i="32"/>
  <c r="I7990" i="38" s="1"/>
  <c r="I476" i="32"/>
  <c r="F7990" i="38" s="1"/>
  <c r="M475" i="32"/>
  <c r="J7989" i="38" s="1"/>
  <c r="L475" i="32"/>
  <c r="I7989" i="38" s="1"/>
  <c r="I475" i="32"/>
  <c r="F7989" i="38" s="1"/>
  <c r="M474" i="32"/>
  <c r="J7988" i="38" s="1"/>
  <c r="L474" i="32"/>
  <c r="I7988" i="38" s="1"/>
  <c r="I474" i="32"/>
  <c r="F7988" i="38" s="1"/>
  <c r="M473" i="32"/>
  <c r="L473" i="32"/>
  <c r="I473" i="32"/>
  <c r="G467" i="32"/>
  <c r="M466" i="32"/>
  <c r="L466" i="32"/>
  <c r="I466" i="32"/>
  <c r="M465" i="32"/>
  <c r="L465" i="32"/>
  <c r="I465" i="32"/>
  <c r="M464" i="32"/>
  <c r="L464" i="32"/>
  <c r="I464" i="32"/>
  <c r="M463" i="32"/>
  <c r="L463" i="32"/>
  <c r="I463" i="32"/>
  <c r="M462" i="32"/>
  <c r="L462" i="32"/>
  <c r="I462" i="32"/>
  <c r="M461" i="32"/>
  <c r="L461" i="32"/>
  <c r="I461" i="32"/>
  <c r="M460" i="32"/>
  <c r="J7980" i="38" s="1"/>
  <c r="L460" i="32"/>
  <c r="I7980" i="38" s="1"/>
  <c r="I460" i="32"/>
  <c r="F7980" i="38" s="1"/>
  <c r="M459" i="32"/>
  <c r="J7979" i="38" s="1"/>
  <c r="L459" i="32"/>
  <c r="I7979" i="38" s="1"/>
  <c r="I459" i="32"/>
  <c r="F7979" i="38" s="1"/>
  <c r="M458" i="32"/>
  <c r="J7978" i="38" s="1"/>
  <c r="L458" i="32"/>
  <c r="I7978" i="38" s="1"/>
  <c r="I458" i="32"/>
  <c r="F7978" i="38" s="1"/>
  <c r="M457" i="32"/>
  <c r="L457" i="32"/>
  <c r="I457" i="32"/>
  <c r="G451" i="32"/>
  <c r="M450" i="32"/>
  <c r="L450" i="32"/>
  <c r="I450" i="32"/>
  <c r="M449" i="32"/>
  <c r="L449" i="32"/>
  <c r="I449" i="32"/>
  <c r="M448" i="32"/>
  <c r="L448" i="32"/>
  <c r="I448" i="32"/>
  <c r="M447" i="32"/>
  <c r="L447" i="32"/>
  <c r="I447" i="32"/>
  <c r="M446" i="32"/>
  <c r="L446" i="32"/>
  <c r="I446" i="32"/>
  <c r="M445" i="32"/>
  <c r="L445" i="32"/>
  <c r="I445" i="32"/>
  <c r="M444" i="32"/>
  <c r="J7970" i="38" s="1"/>
  <c r="L444" i="32"/>
  <c r="I7970" i="38" s="1"/>
  <c r="I444" i="32"/>
  <c r="F7970" i="38" s="1"/>
  <c r="M443" i="32"/>
  <c r="J7969" i="38" s="1"/>
  <c r="L443" i="32"/>
  <c r="I7969" i="38" s="1"/>
  <c r="I443" i="32"/>
  <c r="F7969" i="38" s="1"/>
  <c r="M442" i="32"/>
  <c r="J7968" i="38" s="1"/>
  <c r="L442" i="32"/>
  <c r="I7968" i="38" s="1"/>
  <c r="I442" i="32"/>
  <c r="F7968" i="38" s="1"/>
  <c r="M441" i="32"/>
  <c r="L441" i="32"/>
  <c r="I441" i="32"/>
  <c r="G435" i="32"/>
  <c r="M434" i="32"/>
  <c r="L434" i="32"/>
  <c r="I434" i="32"/>
  <c r="M433" i="32"/>
  <c r="L433" i="32"/>
  <c r="I433" i="32"/>
  <c r="M432" i="32"/>
  <c r="L432" i="32"/>
  <c r="I432" i="32"/>
  <c r="M431" i="32"/>
  <c r="L431" i="32"/>
  <c r="I431" i="32"/>
  <c r="M430" i="32"/>
  <c r="L430" i="32"/>
  <c r="I430" i="32"/>
  <c r="M429" i="32"/>
  <c r="L429" i="32"/>
  <c r="I429" i="32"/>
  <c r="M428" i="32"/>
  <c r="J7960" i="38" s="1"/>
  <c r="L428" i="32"/>
  <c r="I7960" i="38" s="1"/>
  <c r="I428" i="32"/>
  <c r="F7960" i="38" s="1"/>
  <c r="M427" i="32"/>
  <c r="J7959" i="38" s="1"/>
  <c r="L427" i="32"/>
  <c r="I7959" i="38" s="1"/>
  <c r="I427" i="32"/>
  <c r="F7959" i="38" s="1"/>
  <c r="M426" i="32"/>
  <c r="J7958" i="38" s="1"/>
  <c r="L426" i="32"/>
  <c r="I7958" i="38" s="1"/>
  <c r="I426" i="32"/>
  <c r="F7958" i="38" s="1"/>
  <c r="M425" i="32"/>
  <c r="L425" i="32"/>
  <c r="I425" i="32"/>
  <c r="G419" i="32"/>
  <c r="M418" i="32"/>
  <c r="L418" i="32"/>
  <c r="I418" i="32"/>
  <c r="M417" i="32"/>
  <c r="L417" i="32"/>
  <c r="I417" i="32"/>
  <c r="M416" i="32"/>
  <c r="L416" i="32"/>
  <c r="I416" i="32"/>
  <c r="M415" i="32"/>
  <c r="L415" i="32"/>
  <c r="I415" i="32"/>
  <c r="M414" i="32"/>
  <c r="L414" i="32"/>
  <c r="I414" i="32"/>
  <c r="M413" i="32"/>
  <c r="L413" i="32"/>
  <c r="I413" i="32"/>
  <c r="M412" i="32"/>
  <c r="J7950" i="38" s="1"/>
  <c r="L412" i="32"/>
  <c r="I7950" i="38" s="1"/>
  <c r="I412" i="32"/>
  <c r="F7950" i="38" s="1"/>
  <c r="M411" i="32"/>
  <c r="J7949" i="38" s="1"/>
  <c r="L411" i="32"/>
  <c r="I7949" i="38" s="1"/>
  <c r="I411" i="32"/>
  <c r="F7949" i="38" s="1"/>
  <c r="M410" i="32"/>
  <c r="J7948" i="38" s="1"/>
  <c r="L410" i="32"/>
  <c r="I7948" i="38" s="1"/>
  <c r="I410" i="32"/>
  <c r="F7948" i="38" s="1"/>
  <c r="M409" i="32"/>
  <c r="L409" i="32"/>
  <c r="I409" i="32"/>
  <c r="G403" i="32"/>
  <c r="M402" i="32"/>
  <c r="L402" i="32"/>
  <c r="I402" i="32"/>
  <c r="M401" i="32"/>
  <c r="L401" i="32"/>
  <c r="I401" i="32"/>
  <c r="M400" i="32"/>
  <c r="L400" i="32"/>
  <c r="I400" i="32"/>
  <c r="M399" i="32"/>
  <c r="L399" i="32"/>
  <c r="I399" i="32"/>
  <c r="M398" i="32"/>
  <c r="L398" i="32"/>
  <c r="I398" i="32"/>
  <c r="M397" i="32"/>
  <c r="L397" i="32"/>
  <c r="I397" i="32"/>
  <c r="M396" i="32"/>
  <c r="J7940" i="38" s="1"/>
  <c r="L396" i="32"/>
  <c r="I7940" i="38" s="1"/>
  <c r="I396" i="32"/>
  <c r="F7940" i="38" s="1"/>
  <c r="M395" i="32"/>
  <c r="J7939" i="38" s="1"/>
  <c r="L395" i="32"/>
  <c r="I7939" i="38" s="1"/>
  <c r="I395" i="32"/>
  <c r="F7939" i="38" s="1"/>
  <c r="M394" i="32"/>
  <c r="J7938" i="38" s="1"/>
  <c r="L394" i="32"/>
  <c r="I7938" i="38" s="1"/>
  <c r="I394" i="32"/>
  <c r="F7938" i="38" s="1"/>
  <c r="M393" i="32"/>
  <c r="L393" i="32"/>
  <c r="I393" i="32"/>
  <c r="G387" i="32"/>
  <c r="M386" i="32"/>
  <c r="L386" i="32"/>
  <c r="I386" i="32"/>
  <c r="M385" i="32"/>
  <c r="L385" i="32"/>
  <c r="I385" i="32"/>
  <c r="M384" i="32"/>
  <c r="L384" i="32"/>
  <c r="I384" i="32"/>
  <c r="M383" i="32"/>
  <c r="L383" i="32"/>
  <c r="I383" i="32"/>
  <c r="M382" i="32"/>
  <c r="L382" i="32"/>
  <c r="I382" i="32"/>
  <c r="M381" i="32"/>
  <c r="L381" i="32"/>
  <c r="I381" i="32"/>
  <c r="M380" i="32"/>
  <c r="J7930" i="38" s="1"/>
  <c r="L380" i="32"/>
  <c r="I7930" i="38" s="1"/>
  <c r="I380" i="32"/>
  <c r="F7930" i="38" s="1"/>
  <c r="M379" i="32"/>
  <c r="J7929" i="38" s="1"/>
  <c r="L379" i="32"/>
  <c r="I7929" i="38" s="1"/>
  <c r="I379" i="32"/>
  <c r="F7929" i="38" s="1"/>
  <c r="M378" i="32"/>
  <c r="J7928" i="38" s="1"/>
  <c r="L378" i="32"/>
  <c r="I7928" i="38" s="1"/>
  <c r="I378" i="32"/>
  <c r="F7928" i="38" s="1"/>
  <c r="M377" i="32"/>
  <c r="L377" i="32"/>
  <c r="I377" i="32"/>
  <c r="G371" i="32"/>
  <c r="M370" i="32"/>
  <c r="L370" i="32"/>
  <c r="I370" i="32"/>
  <c r="M369" i="32"/>
  <c r="L369" i="32"/>
  <c r="I369" i="32"/>
  <c r="M368" i="32"/>
  <c r="L368" i="32"/>
  <c r="I368" i="32"/>
  <c r="M367" i="32"/>
  <c r="L367" i="32"/>
  <c r="I367" i="32"/>
  <c r="M366" i="32"/>
  <c r="L366" i="32"/>
  <c r="I366" i="32"/>
  <c r="M365" i="32"/>
  <c r="L365" i="32"/>
  <c r="I365" i="32"/>
  <c r="M364" i="32"/>
  <c r="J7920" i="38" s="1"/>
  <c r="L364" i="32"/>
  <c r="I7920" i="38" s="1"/>
  <c r="I364" i="32"/>
  <c r="F7920" i="38" s="1"/>
  <c r="M363" i="32"/>
  <c r="J7919" i="38" s="1"/>
  <c r="L363" i="32"/>
  <c r="I7919" i="38" s="1"/>
  <c r="I363" i="32"/>
  <c r="F7919" i="38" s="1"/>
  <c r="M362" i="32"/>
  <c r="J7918" i="38" s="1"/>
  <c r="L362" i="32"/>
  <c r="I7918" i="38" s="1"/>
  <c r="I362" i="32"/>
  <c r="F7918" i="38" s="1"/>
  <c r="M361" i="32"/>
  <c r="L361" i="32"/>
  <c r="I361" i="32"/>
  <c r="G355" i="32"/>
  <c r="M354" i="32"/>
  <c r="L354" i="32"/>
  <c r="I354" i="32"/>
  <c r="M353" i="32"/>
  <c r="L353" i="32"/>
  <c r="I353" i="32"/>
  <c r="M352" i="32"/>
  <c r="L352" i="32"/>
  <c r="I352" i="32"/>
  <c r="M351" i="32"/>
  <c r="L351" i="32"/>
  <c r="I351" i="32"/>
  <c r="M350" i="32"/>
  <c r="L350" i="32"/>
  <c r="I350" i="32"/>
  <c r="M349" i="32"/>
  <c r="L349" i="32"/>
  <c r="I349" i="32"/>
  <c r="M348" i="32"/>
  <c r="L348" i="32"/>
  <c r="I348" i="32"/>
  <c r="M347" i="32"/>
  <c r="L347" i="32"/>
  <c r="I347" i="32"/>
  <c r="M346" i="32"/>
  <c r="L346" i="32"/>
  <c r="I346" i="32"/>
  <c r="M345" i="32"/>
  <c r="L345" i="32"/>
  <c r="I345" i="32"/>
  <c r="G339" i="32"/>
  <c r="M338" i="32"/>
  <c r="L338" i="32"/>
  <c r="I338" i="32"/>
  <c r="M337" i="32"/>
  <c r="L337" i="32"/>
  <c r="I337" i="32"/>
  <c r="M336" i="32"/>
  <c r="L336" i="32"/>
  <c r="I336" i="32"/>
  <c r="M335" i="32"/>
  <c r="L335" i="32"/>
  <c r="I335" i="32"/>
  <c r="M334" i="32"/>
  <c r="L334" i="32"/>
  <c r="I334" i="32"/>
  <c r="M333" i="32"/>
  <c r="L333" i="32"/>
  <c r="I333" i="32"/>
  <c r="M332" i="32"/>
  <c r="L332" i="32"/>
  <c r="I332" i="32"/>
  <c r="M331" i="32"/>
  <c r="L331" i="32"/>
  <c r="I331" i="32"/>
  <c r="M330" i="32"/>
  <c r="L330" i="32"/>
  <c r="I330" i="32"/>
  <c r="M329" i="32"/>
  <c r="L329" i="32"/>
  <c r="I329" i="32"/>
  <c r="K293" i="32"/>
  <c r="BH79" i="38" s="1"/>
  <c r="K281" i="32"/>
  <c r="BF79" i="38" s="1"/>
  <c r="K270" i="32"/>
  <c r="BD79" i="38" s="1"/>
  <c r="E269" i="32"/>
  <c r="C269" i="32"/>
  <c r="E268" i="32"/>
  <c r="C268" i="32"/>
  <c r="E267" i="32"/>
  <c r="C267" i="32"/>
  <c r="E266" i="32"/>
  <c r="C266" i="32"/>
  <c r="BC79" i="38"/>
  <c r="BB79" i="38"/>
  <c r="K203" i="32"/>
  <c r="AZ79" i="38" s="1"/>
  <c r="K193" i="32"/>
  <c r="AR79" i="38" s="1"/>
  <c r="Q192" i="32"/>
  <c r="O192" i="32"/>
  <c r="M192" i="32"/>
  <c r="K192" i="32"/>
  <c r="AN79" i="38"/>
  <c r="K142" i="32"/>
  <c r="AF79" i="38" s="1"/>
  <c r="AA79" i="38"/>
  <c r="S79" i="38"/>
  <c r="Q79" i="38"/>
  <c r="P79" i="38"/>
  <c r="O79" i="38"/>
  <c r="K84" i="32"/>
  <c r="N79" i="38" s="1"/>
  <c r="AA10" i="32"/>
  <c r="T6" i="32"/>
  <c r="T4" i="32"/>
  <c r="T2" i="32"/>
  <c r="E79" i="38" s="1"/>
  <c r="K270" i="3"/>
  <c r="H2" i="25"/>
  <c r="H2" i="12"/>
  <c r="H2" i="15"/>
  <c r="H2" i="23"/>
  <c r="H2" i="29"/>
  <c r="H2" i="20"/>
  <c r="H2" i="26"/>
  <c r="H2" i="30"/>
  <c r="H2" i="32"/>
  <c r="H2" i="13"/>
  <c r="H2" i="14"/>
  <c r="H2" i="6"/>
  <c r="H2" i="28"/>
  <c r="H2" i="24"/>
  <c r="H2" i="17"/>
  <c r="H2" i="5"/>
  <c r="H2" i="10"/>
  <c r="H2" i="8"/>
  <c r="H2" i="4"/>
  <c r="H2" i="16"/>
  <c r="H2" i="18"/>
  <c r="H2" i="31"/>
  <c r="H2" i="22"/>
  <c r="H2" i="11"/>
  <c r="H2" i="27"/>
  <c r="H2" i="7"/>
  <c r="H2" i="9"/>
  <c r="H2" i="19"/>
  <c r="H2" i="21"/>
  <c r="L339" i="12" l="1"/>
  <c r="J2310" i="38" s="1"/>
  <c r="M355" i="12"/>
  <c r="J4311" i="38" s="1"/>
  <c r="L339" i="26"/>
  <c r="J2562" i="38" s="1"/>
  <c r="M355" i="26"/>
  <c r="L339" i="23"/>
  <c r="J2508" i="38" s="1"/>
  <c r="M355" i="23"/>
  <c r="I355" i="21"/>
  <c r="I339" i="20"/>
  <c r="I2454" i="38" s="1"/>
  <c r="L355" i="20"/>
  <c r="M339" i="17"/>
  <c r="K2400" i="38" s="1"/>
  <c r="I355" i="15"/>
  <c r="F4851" i="38" s="1"/>
  <c r="I339" i="14"/>
  <c r="I2346" i="38" s="1"/>
  <c r="L355" i="14"/>
  <c r="I4671" i="38" s="1"/>
  <c r="I339" i="11"/>
  <c r="I2292" i="38" s="1"/>
  <c r="L355" i="11"/>
  <c r="I4131" i="38" s="1"/>
  <c r="I339" i="10"/>
  <c r="I2274" i="38" s="1"/>
  <c r="L355" i="10"/>
  <c r="I3951" i="38" s="1"/>
  <c r="I355" i="9"/>
  <c r="F3771" i="38" s="1"/>
  <c r="I339" i="8"/>
  <c r="I2238" i="38" s="1"/>
  <c r="L355" i="8"/>
  <c r="I3591" i="38" s="1"/>
  <c r="M355" i="7"/>
  <c r="J3411" i="38" s="1"/>
  <c r="L339" i="7"/>
  <c r="J2220" i="38" s="1"/>
  <c r="L339" i="32"/>
  <c r="J2670" i="38" s="1"/>
  <c r="M355" i="32"/>
  <c r="M339" i="31"/>
  <c r="K2652" i="38" s="1"/>
  <c r="I339" i="30"/>
  <c r="I2634" i="38" s="1"/>
  <c r="L355" i="30"/>
  <c r="L339" i="29"/>
  <c r="J2616" i="38" s="1"/>
  <c r="M355" i="29"/>
  <c r="M339" i="28"/>
  <c r="K2598" i="38" s="1"/>
  <c r="I339" i="27"/>
  <c r="I2580" i="38" s="1"/>
  <c r="L355" i="27"/>
  <c r="M339" i="25"/>
  <c r="K2544" i="38" s="1"/>
  <c r="I355" i="24"/>
  <c r="M339" i="22"/>
  <c r="K2490" i="38" s="1"/>
  <c r="L339" i="19"/>
  <c r="J2436" i="38" s="1"/>
  <c r="M355" i="19"/>
  <c r="J5571" i="38" s="1"/>
  <c r="M355" i="18"/>
  <c r="J5391" i="38" s="1"/>
  <c r="M339" i="18"/>
  <c r="K2418" i="38" s="1"/>
  <c r="I355" i="18"/>
  <c r="F5391" i="38" s="1"/>
  <c r="I355" i="17"/>
  <c r="F5211" i="38" s="1"/>
  <c r="M355" i="17"/>
  <c r="J5211" i="38" s="1"/>
  <c r="L355" i="17"/>
  <c r="M355" i="16"/>
  <c r="J5031" i="38" s="1"/>
  <c r="M339" i="16"/>
  <c r="K2382" i="38" s="1"/>
  <c r="M339" i="15"/>
  <c r="K2364" i="38" s="1"/>
  <c r="I339" i="15"/>
  <c r="I2364" i="38" s="1"/>
  <c r="L355" i="15"/>
  <c r="I4851" i="38" s="1"/>
  <c r="I355" i="14"/>
  <c r="F4671" i="38" s="1"/>
  <c r="L339" i="14"/>
  <c r="J2346" i="38" s="1"/>
  <c r="M355" i="14"/>
  <c r="J4671" i="38" s="1"/>
  <c r="M339" i="12"/>
  <c r="K2310" i="38" s="1"/>
  <c r="I355" i="12"/>
  <c r="F4311" i="38" s="1"/>
  <c r="M355" i="11"/>
  <c r="J4131" i="38" s="1"/>
  <c r="I355" i="11"/>
  <c r="F4131" i="38" s="1"/>
  <c r="L339" i="11"/>
  <c r="J2292" i="38" s="1"/>
  <c r="L339" i="10"/>
  <c r="J2274" i="38" s="1"/>
  <c r="M355" i="10"/>
  <c r="J3951" i="38" s="1"/>
  <c r="M339" i="10"/>
  <c r="K2274" i="38" s="1"/>
  <c r="I355" i="10"/>
  <c r="F3951" i="38" s="1"/>
  <c r="I355" i="6"/>
  <c r="F3231" i="38" s="1"/>
  <c r="L339" i="5"/>
  <c r="J2184" i="38" s="1"/>
  <c r="M355" i="5"/>
  <c r="J3051" i="38" s="1"/>
  <c r="M339" i="4"/>
  <c r="K2166" i="38" s="1"/>
  <c r="G356" i="32"/>
  <c r="D7911" i="38"/>
  <c r="G2671" i="38"/>
  <c r="G420" i="32"/>
  <c r="D7951" i="38"/>
  <c r="G2675" i="38"/>
  <c r="M483" i="32"/>
  <c r="J7987" i="38"/>
  <c r="L531" i="32"/>
  <c r="I8017" i="38"/>
  <c r="G548" i="32"/>
  <c r="D8031" i="38"/>
  <c r="G2683" i="38"/>
  <c r="I579" i="32"/>
  <c r="F8047" i="38"/>
  <c r="M611" i="32"/>
  <c r="J8067" i="38"/>
  <c r="G340" i="31"/>
  <c r="H2652" i="38" s="1"/>
  <c r="G2652" i="38"/>
  <c r="G404" i="31"/>
  <c r="D7761" i="38"/>
  <c r="G2656" i="38"/>
  <c r="I435" i="31"/>
  <c r="F7777" i="38"/>
  <c r="G372" i="30"/>
  <c r="D7561" i="38"/>
  <c r="G2636" i="38"/>
  <c r="L483" i="30"/>
  <c r="I7627" i="38"/>
  <c r="I531" i="30"/>
  <c r="F7657" i="38"/>
  <c r="G564" i="30"/>
  <c r="D7681" i="38"/>
  <c r="G2648" i="38"/>
  <c r="L611" i="30"/>
  <c r="I7707" i="38"/>
  <c r="I387" i="29"/>
  <c r="F7387" i="38"/>
  <c r="L403" i="29"/>
  <c r="I7397" i="38"/>
  <c r="G420" i="29"/>
  <c r="D7411" i="38"/>
  <c r="G2621" i="38"/>
  <c r="I515" i="29"/>
  <c r="F7467" i="38"/>
  <c r="L595" i="29"/>
  <c r="I7517" i="38"/>
  <c r="M467" i="28"/>
  <c r="J7257" i="38"/>
  <c r="L515" i="28"/>
  <c r="I7287" i="38"/>
  <c r="I563" i="28"/>
  <c r="F7317" i="38"/>
  <c r="G436" i="27"/>
  <c r="D7061" i="38"/>
  <c r="G2586" i="38"/>
  <c r="I467" i="27"/>
  <c r="F7077" i="38"/>
  <c r="M499" i="27"/>
  <c r="J7097" i="38"/>
  <c r="G564" i="27"/>
  <c r="D7141" i="38"/>
  <c r="G2594" i="38"/>
  <c r="L611" i="27"/>
  <c r="I7167" i="38"/>
  <c r="G356" i="26"/>
  <c r="D6831" i="38"/>
  <c r="G2563" i="38"/>
  <c r="L595" i="26"/>
  <c r="I6977" i="38"/>
  <c r="L387" i="25"/>
  <c r="I6667" i="38"/>
  <c r="I435" i="25"/>
  <c r="F6697" i="38"/>
  <c r="L515" i="25"/>
  <c r="I6747" i="38"/>
  <c r="M531" i="25"/>
  <c r="J6757" i="38"/>
  <c r="M387" i="24"/>
  <c r="J6487" i="38"/>
  <c r="I419" i="24"/>
  <c r="F6507" i="38"/>
  <c r="L435" i="24"/>
  <c r="I6517" i="38"/>
  <c r="G452" i="24"/>
  <c r="D6531" i="38"/>
  <c r="G2533" i="38"/>
  <c r="M515" i="24"/>
  <c r="J6567" i="38"/>
  <c r="L563" i="24"/>
  <c r="I6597" i="38"/>
  <c r="J6291" i="38"/>
  <c r="K2509" i="38"/>
  <c r="M419" i="23"/>
  <c r="J6327" i="38"/>
  <c r="G420" i="23"/>
  <c r="D6331" i="38"/>
  <c r="G2513" i="38"/>
  <c r="G484" i="23"/>
  <c r="D6371" i="38"/>
  <c r="G2517" i="38"/>
  <c r="I515" i="23"/>
  <c r="F6387" i="38"/>
  <c r="G548" i="23"/>
  <c r="D6411" i="38"/>
  <c r="G2521" i="38"/>
  <c r="L595" i="23"/>
  <c r="I6437" i="38"/>
  <c r="G612" i="23"/>
  <c r="D6451" i="38"/>
  <c r="G2525" i="38"/>
  <c r="M595" i="22"/>
  <c r="J6257" i="38"/>
  <c r="M339" i="32"/>
  <c r="K2670" i="38" s="1"/>
  <c r="G340" i="32"/>
  <c r="H2670" i="38" s="1"/>
  <c r="G2670" i="38"/>
  <c r="I371" i="32"/>
  <c r="F7917" i="38"/>
  <c r="L387" i="32"/>
  <c r="I7927" i="38"/>
  <c r="M403" i="32"/>
  <c r="J7937" i="38"/>
  <c r="G404" i="32"/>
  <c r="D7941" i="38"/>
  <c r="G2674" i="38"/>
  <c r="I435" i="32"/>
  <c r="F7957" i="38"/>
  <c r="L451" i="32"/>
  <c r="I7967" i="38"/>
  <c r="M467" i="32"/>
  <c r="J7977" i="38"/>
  <c r="G468" i="32"/>
  <c r="D7981" i="38"/>
  <c r="G2678" i="38"/>
  <c r="I499" i="32"/>
  <c r="F7997" i="38"/>
  <c r="L515" i="32"/>
  <c r="I8007" i="38"/>
  <c r="M531" i="32"/>
  <c r="J8017" i="38"/>
  <c r="G532" i="32"/>
  <c r="D8021" i="38"/>
  <c r="G2682" i="38"/>
  <c r="I563" i="32"/>
  <c r="F8037" i="38"/>
  <c r="L579" i="32"/>
  <c r="I8047" i="38"/>
  <c r="M595" i="32"/>
  <c r="J8057" i="38"/>
  <c r="G596" i="32"/>
  <c r="D8061" i="38"/>
  <c r="G2686" i="38"/>
  <c r="I355" i="31"/>
  <c r="L371" i="31"/>
  <c r="I7737" i="38"/>
  <c r="M387" i="31"/>
  <c r="J7747" i="38"/>
  <c r="G388" i="31"/>
  <c r="D7751" i="38"/>
  <c r="G2655" i="38"/>
  <c r="I419" i="31"/>
  <c r="F7767" i="38"/>
  <c r="L435" i="31"/>
  <c r="I7777" i="38"/>
  <c r="M451" i="31"/>
  <c r="J7787" i="38"/>
  <c r="G452" i="31"/>
  <c r="D7791" i="38"/>
  <c r="G2659" i="38"/>
  <c r="I483" i="31"/>
  <c r="F7807" i="38"/>
  <c r="L499" i="31"/>
  <c r="I7817" i="38"/>
  <c r="M515" i="31"/>
  <c r="J7827" i="38"/>
  <c r="G516" i="31"/>
  <c r="D7831" i="38"/>
  <c r="G2663" i="38"/>
  <c r="I547" i="31"/>
  <c r="F7847" i="38"/>
  <c r="L563" i="31"/>
  <c r="I7857" i="38"/>
  <c r="M579" i="31"/>
  <c r="J7867" i="38"/>
  <c r="G580" i="31"/>
  <c r="D7871" i="38"/>
  <c r="G2667" i="38"/>
  <c r="I611" i="31"/>
  <c r="F7887" i="38"/>
  <c r="L339" i="30"/>
  <c r="J2634" i="38" s="1"/>
  <c r="M355" i="30"/>
  <c r="G356" i="30"/>
  <c r="D7551" i="38"/>
  <c r="G2635" i="38"/>
  <c r="I387" i="30"/>
  <c r="F7567" i="38"/>
  <c r="L403" i="30"/>
  <c r="I7577" i="38"/>
  <c r="M419" i="30"/>
  <c r="J7587" i="38"/>
  <c r="G420" i="30"/>
  <c r="D7591" i="38"/>
  <c r="G2639" i="38"/>
  <c r="I451" i="30"/>
  <c r="F7607" i="38"/>
  <c r="L467" i="30"/>
  <c r="I7617" i="38"/>
  <c r="M483" i="30"/>
  <c r="J7627" i="38"/>
  <c r="G484" i="30"/>
  <c r="D7631" i="38"/>
  <c r="G2643" i="38"/>
  <c r="I515" i="30"/>
  <c r="F7647" i="38"/>
  <c r="L531" i="30"/>
  <c r="I7657" i="38"/>
  <c r="M547" i="30"/>
  <c r="J7667" i="38"/>
  <c r="G548" i="30"/>
  <c r="D7671" i="38"/>
  <c r="G2647" i="38"/>
  <c r="I579" i="30"/>
  <c r="F7687" i="38"/>
  <c r="L595" i="30"/>
  <c r="I7697" i="38"/>
  <c r="M611" i="30"/>
  <c r="J7707" i="38"/>
  <c r="G612" i="30"/>
  <c r="D7711" i="38"/>
  <c r="G2651" i="38"/>
  <c r="M339" i="29"/>
  <c r="K2616" i="38" s="1"/>
  <c r="G340" i="29"/>
  <c r="H2616" i="38" s="1"/>
  <c r="G2616" i="38"/>
  <c r="I371" i="29"/>
  <c r="F7377" i="38"/>
  <c r="L387" i="29"/>
  <c r="I7387" i="38"/>
  <c r="M403" i="29"/>
  <c r="J7397" i="38"/>
  <c r="G404" i="29"/>
  <c r="D7401" i="38"/>
  <c r="G2620" i="38"/>
  <c r="I435" i="29"/>
  <c r="F7417" i="38"/>
  <c r="L451" i="29"/>
  <c r="I7427" i="38"/>
  <c r="M467" i="29"/>
  <c r="J7437" i="38"/>
  <c r="G468" i="29"/>
  <c r="D7441" i="38"/>
  <c r="G2624" i="38"/>
  <c r="I499" i="29"/>
  <c r="F7457" i="38"/>
  <c r="L515" i="29"/>
  <c r="I7467" i="38"/>
  <c r="M531" i="29"/>
  <c r="J7477" i="38"/>
  <c r="G532" i="29"/>
  <c r="D7481" i="38"/>
  <c r="G2628" i="38"/>
  <c r="I563" i="29"/>
  <c r="F7497" i="38"/>
  <c r="L579" i="29"/>
  <c r="I7507" i="38"/>
  <c r="M595" i="29"/>
  <c r="J7517" i="38"/>
  <c r="G596" i="29"/>
  <c r="D7521" i="38"/>
  <c r="G2632" i="38"/>
  <c r="I355" i="28"/>
  <c r="L371" i="28"/>
  <c r="I7197" i="38"/>
  <c r="M387" i="28"/>
  <c r="J7207" i="38"/>
  <c r="G388" i="28"/>
  <c r="D7211" i="38"/>
  <c r="G2601" i="38"/>
  <c r="I419" i="28"/>
  <c r="F7227" i="38"/>
  <c r="L435" i="28"/>
  <c r="I7237" i="38"/>
  <c r="M451" i="28"/>
  <c r="J7247" i="38"/>
  <c r="G452" i="28"/>
  <c r="D7251" i="38"/>
  <c r="G2605" i="38"/>
  <c r="I483" i="28"/>
  <c r="F7267" i="38"/>
  <c r="L499" i="28"/>
  <c r="I7277" i="38"/>
  <c r="M515" i="28"/>
  <c r="J7287" i="38"/>
  <c r="G516" i="28"/>
  <c r="D7291" i="38"/>
  <c r="G2609" i="38"/>
  <c r="I547" i="28"/>
  <c r="F7307" i="38"/>
  <c r="L563" i="28"/>
  <c r="I7317" i="38"/>
  <c r="M579" i="28"/>
  <c r="J7327" i="38"/>
  <c r="G580" i="28"/>
  <c r="D7331" i="38"/>
  <c r="G2613" i="38"/>
  <c r="I611" i="28"/>
  <c r="F7347" i="38"/>
  <c r="L339" i="27"/>
  <c r="J2580" i="38" s="1"/>
  <c r="M355" i="27"/>
  <c r="G356" i="27"/>
  <c r="D7011" i="38"/>
  <c r="G2581" i="38"/>
  <c r="I387" i="27"/>
  <c r="F7027" i="38"/>
  <c r="L403" i="27"/>
  <c r="I7037" i="38"/>
  <c r="M419" i="27"/>
  <c r="J7047" i="38"/>
  <c r="G420" i="27"/>
  <c r="D7051" i="38"/>
  <c r="G2585" i="38"/>
  <c r="I451" i="27"/>
  <c r="F7067" i="38"/>
  <c r="L467" i="27"/>
  <c r="I7077" i="38"/>
  <c r="M483" i="27"/>
  <c r="J7087" i="38"/>
  <c r="G484" i="27"/>
  <c r="I485" i="27" s="1"/>
  <c r="D7091" i="38"/>
  <c r="G2589" i="38"/>
  <c r="I515" i="27"/>
  <c r="F7107" i="38"/>
  <c r="L531" i="27"/>
  <c r="I7117" i="38"/>
  <c r="M547" i="27"/>
  <c r="J7127" i="38"/>
  <c r="G548" i="27"/>
  <c r="D7131" i="38"/>
  <c r="G2593" i="38"/>
  <c r="I579" i="27"/>
  <c r="F7147" i="38"/>
  <c r="L595" i="27"/>
  <c r="I7157" i="38"/>
  <c r="M611" i="27"/>
  <c r="J7167" i="38"/>
  <c r="G612" i="27"/>
  <c r="D7171" i="38"/>
  <c r="G2597" i="38"/>
  <c r="M339" i="26"/>
  <c r="K2562" i="38" s="1"/>
  <c r="G340" i="26"/>
  <c r="H2562" i="38" s="1"/>
  <c r="G2562" i="38"/>
  <c r="I371" i="26"/>
  <c r="F6837" i="38"/>
  <c r="L387" i="26"/>
  <c r="I6847" i="38"/>
  <c r="M403" i="26"/>
  <c r="J6857" i="38"/>
  <c r="G404" i="26"/>
  <c r="D6861" i="38"/>
  <c r="G2566" i="38"/>
  <c r="I435" i="26"/>
  <c r="F6877" i="38"/>
  <c r="L451" i="26"/>
  <c r="I6887" i="38"/>
  <c r="M467" i="26"/>
  <c r="J6897" i="38"/>
  <c r="G468" i="26"/>
  <c r="D6901" i="38"/>
  <c r="G2570" i="38"/>
  <c r="I499" i="26"/>
  <c r="F6917" i="38"/>
  <c r="L515" i="26"/>
  <c r="I6927" i="38"/>
  <c r="M531" i="26"/>
  <c r="J6937" i="38"/>
  <c r="G532" i="26"/>
  <c r="D6941" i="38"/>
  <c r="G2574" i="38"/>
  <c r="I563" i="26"/>
  <c r="F6957" i="38"/>
  <c r="L579" i="26"/>
  <c r="I6967" i="38"/>
  <c r="M595" i="26"/>
  <c r="J6977" i="38"/>
  <c r="G596" i="26"/>
  <c r="D6981" i="38"/>
  <c r="G2578" i="38"/>
  <c r="I355" i="25"/>
  <c r="L371" i="25"/>
  <c r="I6657" i="38"/>
  <c r="M387" i="25"/>
  <c r="J6667" i="38"/>
  <c r="G388" i="25"/>
  <c r="D6671" i="38"/>
  <c r="G2547" i="38"/>
  <c r="I419" i="25"/>
  <c r="F6687" i="38"/>
  <c r="L435" i="25"/>
  <c r="I6697" i="38"/>
  <c r="M451" i="25"/>
  <c r="J6707" i="38"/>
  <c r="G452" i="25"/>
  <c r="D6711" i="38"/>
  <c r="G2551" i="38"/>
  <c r="I483" i="25"/>
  <c r="I485" i="25" s="1"/>
  <c r="F6727" i="38"/>
  <c r="L499" i="25"/>
  <c r="I6737" i="38"/>
  <c r="M515" i="25"/>
  <c r="J6747" i="38"/>
  <c r="G516" i="25"/>
  <c r="D6751" i="38"/>
  <c r="G2555" i="38"/>
  <c r="I547" i="25"/>
  <c r="F6767" i="38"/>
  <c r="L563" i="25"/>
  <c r="I6777" i="38"/>
  <c r="M579" i="25"/>
  <c r="J6787" i="38"/>
  <c r="G580" i="25"/>
  <c r="D6791" i="38"/>
  <c r="G2559" i="38"/>
  <c r="I611" i="25"/>
  <c r="F6807" i="38"/>
  <c r="I339" i="24"/>
  <c r="I2526" i="38" s="1"/>
  <c r="L355" i="24"/>
  <c r="M371" i="24"/>
  <c r="J6477" i="38"/>
  <c r="G372" i="24"/>
  <c r="D6481" i="38"/>
  <c r="G2528" i="38"/>
  <c r="I403" i="24"/>
  <c r="F6497" i="38"/>
  <c r="L419" i="24"/>
  <c r="I6507" i="38"/>
  <c r="M435" i="24"/>
  <c r="J6517" i="38"/>
  <c r="G436" i="24"/>
  <c r="D6521" i="38"/>
  <c r="G2532" i="38"/>
  <c r="I467" i="24"/>
  <c r="F6537" i="38"/>
  <c r="L483" i="24"/>
  <c r="I6547" i="38"/>
  <c r="M499" i="24"/>
  <c r="J6557" i="38"/>
  <c r="G500" i="24"/>
  <c r="D6561" i="38"/>
  <c r="G2536" i="38"/>
  <c r="I531" i="24"/>
  <c r="F6577" i="38"/>
  <c r="L547" i="24"/>
  <c r="I6587" i="38"/>
  <c r="M563" i="24"/>
  <c r="J6597" i="38"/>
  <c r="G564" i="24"/>
  <c r="D6601" i="38"/>
  <c r="G2540" i="38"/>
  <c r="I595" i="24"/>
  <c r="F6617" i="38"/>
  <c r="L611" i="24"/>
  <c r="I6627" i="38"/>
  <c r="M339" i="23"/>
  <c r="K2508" i="38" s="1"/>
  <c r="G340" i="23"/>
  <c r="H2508" i="38" s="1"/>
  <c r="G2508" i="38"/>
  <c r="I371" i="23"/>
  <c r="F6297" i="38"/>
  <c r="L387" i="23"/>
  <c r="I6307" i="38"/>
  <c r="M403" i="23"/>
  <c r="J6317" i="38"/>
  <c r="G404" i="23"/>
  <c r="D6321" i="38"/>
  <c r="G2512" i="38"/>
  <c r="I435" i="23"/>
  <c r="F6337" i="38"/>
  <c r="L451" i="23"/>
  <c r="I6347" i="38"/>
  <c r="M467" i="23"/>
  <c r="J6357" i="38"/>
  <c r="G468" i="23"/>
  <c r="I469" i="23" s="1"/>
  <c r="D6361" i="38"/>
  <c r="G2516" i="38"/>
  <c r="I499" i="23"/>
  <c r="F6377" i="38"/>
  <c r="L515" i="23"/>
  <c r="I6387" i="38"/>
  <c r="M531" i="23"/>
  <c r="J6397" i="38"/>
  <c r="G532" i="23"/>
  <c r="D6401" i="38"/>
  <c r="G2520" i="38"/>
  <c r="I563" i="23"/>
  <c r="F6417" i="38"/>
  <c r="L579" i="23"/>
  <c r="I6427" i="38"/>
  <c r="M595" i="23"/>
  <c r="J6437" i="38"/>
  <c r="G596" i="23"/>
  <c r="D6441" i="38"/>
  <c r="G2524" i="38"/>
  <c r="I355" i="22"/>
  <c r="L371" i="22"/>
  <c r="I6117" i="38"/>
  <c r="M387" i="22"/>
  <c r="J6127" i="38"/>
  <c r="G388" i="22"/>
  <c r="D6131" i="38"/>
  <c r="G2493" i="38"/>
  <c r="I419" i="22"/>
  <c r="F6147" i="38"/>
  <c r="L435" i="22"/>
  <c r="I6157" i="38"/>
  <c r="M451" i="22"/>
  <c r="J6167" i="38"/>
  <c r="G452" i="22"/>
  <c r="D6171" i="38"/>
  <c r="G2497" i="38"/>
  <c r="I483" i="22"/>
  <c r="F6187" i="38"/>
  <c r="L499" i="22"/>
  <c r="I6197" i="38"/>
  <c r="M515" i="22"/>
  <c r="J6207" i="38"/>
  <c r="G516" i="22"/>
  <c r="D6211" i="38"/>
  <c r="G2501" i="38"/>
  <c r="I547" i="22"/>
  <c r="F6227" i="38"/>
  <c r="L563" i="22"/>
  <c r="I6237" i="38"/>
  <c r="M579" i="22"/>
  <c r="J6247" i="38"/>
  <c r="G580" i="22"/>
  <c r="D6251" i="38"/>
  <c r="G2505" i="38"/>
  <c r="I611" i="22"/>
  <c r="F6267" i="38"/>
  <c r="I339" i="21"/>
  <c r="I2472" i="38" s="1"/>
  <c r="L355" i="21"/>
  <c r="M371" i="21"/>
  <c r="J5937" i="38"/>
  <c r="G372" i="21"/>
  <c r="D5941" i="38"/>
  <c r="G2474" i="38"/>
  <c r="I403" i="21"/>
  <c r="F5957" i="38"/>
  <c r="L419" i="21"/>
  <c r="I5967" i="38"/>
  <c r="M435" i="21"/>
  <c r="J5977" i="38"/>
  <c r="G436" i="21"/>
  <c r="D5981" i="38"/>
  <c r="G2478" i="38"/>
  <c r="I467" i="21"/>
  <c r="F5997" i="38"/>
  <c r="L483" i="21"/>
  <c r="I6007" i="38"/>
  <c r="M499" i="21"/>
  <c r="J6017" i="38"/>
  <c r="G500" i="21"/>
  <c r="D6021" i="38"/>
  <c r="G2482" i="38"/>
  <c r="I531" i="21"/>
  <c r="F6037" i="38"/>
  <c r="L547" i="21"/>
  <c r="I6047" i="38"/>
  <c r="M563" i="21"/>
  <c r="J6057" i="38"/>
  <c r="G564" i="21"/>
  <c r="D6061" i="38"/>
  <c r="G2486" i="38"/>
  <c r="I595" i="21"/>
  <c r="F6077" i="38"/>
  <c r="L611" i="21"/>
  <c r="I6087" i="38"/>
  <c r="L339" i="20"/>
  <c r="J2454" i="38" s="1"/>
  <c r="M355" i="20"/>
  <c r="G356" i="20"/>
  <c r="D5751" i="38"/>
  <c r="G2455" i="38"/>
  <c r="I387" i="20"/>
  <c r="F5767" i="38"/>
  <c r="L403" i="20"/>
  <c r="I5777" i="38"/>
  <c r="M419" i="20"/>
  <c r="J5787" i="38"/>
  <c r="G420" i="20"/>
  <c r="D5791" i="38"/>
  <c r="G2459" i="38"/>
  <c r="I451" i="20"/>
  <c r="F5807" i="38"/>
  <c r="L467" i="20"/>
  <c r="I5817" i="38"/>
  <c r="M483" i="20"/>
  <c r="J5827" i="38"/>
  <c r="G484" i="20"/>
  <c r="D5831" i="38"/>
  <c r="G2463" i="38"/>
  <c r="I515" i="20"/>
  <c r="F5847" i="38"/>
  <c r="L531" i="20"/>
  <c r="I5857" i="38"/>
  <c r="M547" i="20"/>
  <c r="J5867" i="38"/>
  <c r="G548" i="20"/>
  <c r="D5871" i="38"/>
  <c r="G2467" i="38"/>
  <c r="I579" i="20"/>
  <c r="F5887" i="38"/>
  <c r="L595" i="20"/>
  <c r="I5897" i="38"/>
  <c r="M611" i="20"/>
  <c r="J5907" i="38"/>
  <c r="G612" i="20"/>
  <c r="D5911" i="38"/>
  <c r="G2471" i="38"/>
  <c r="M339" i="19"/>
  <c r="K2436" i="38" s="1"/>
  <c r="I371" i="19"/>
  <c r="F5577" i="38"/>
  <c r="L387" i="19"/>
  <c r="I5587" i="38"/>
  <c r="M403" i="19"/>
  <c r="J5597" i="38"/>
  <c r="G404" i="19"/>
  <c r="D5601" i="38"/>
  <c r="G2440" i="38"/>
  <c r="I435" i="19"/>
  <c r="F5617" i="38"/>
  <c r="L451" i="19"/>
  <c r="I5627" i="38"/>
  <c r="M467" i="19"/>
  <c r="J5637" i="38"/>
  <c r="G468" i="19"/>
  <c r="D5641" i="38"/>
  <c r="G2444" i="38"/>
  <c r="I499" i="19"/>
  <c r="F5657" i="38"/>
  <c r="L515" i="19"/>
  <c r="I5667" i="38"/>
  <c r="M531" i="19"/>
  <c r="J5677" i="38"/>
  <c r="G532" i="19"/>
  <c r="D5681" i="38"/>
  <c r="G2448" i="38"/>
  <c r="I563" i="19"/>
  <c r="F5697" i="38"/>
  <c r="L579" i="19"/>
  <c r="I5707" i="38"/>
  <c r="M595" i="19"/>
  <c r="J5717" i="38"/>
  <c r="G596" i="19"/>
  <c r="D5721" i="38"/>
  <c r="G2452" i="38"/>
  <c r="I339" i="18"/>
  <c r="I2418" i="38" s="1"/>
  <c r="L355" i="18"/>
  <c r="M371" i="18"/>
  <c r="J5397" i="38"/>
  <c r="G372" i="18"/>
  <c r="D5401" i="38"/>
  <c r="I403" i="18"/>
  <c r="F5417" i="38"/>
  <c r="L419" i="18"/>
  <c r="I5427" i="38"/>
  <c r="M435" i="18"/>
  <c r="J5437" i="38"/>
  <c r="G436" i="18"/>
  <c r="D5441" i="38"/>
  <c r="I467" i="18"/>
  <c r="F5457" i="38"/>
  <c r="L483" i="18"/>
  <c r="I5467" i="38"/>
  <c r="M499" i="18"/>
  <c r="J5477" i="38"/>
  <c r="G500" i="18"/>
  <c r="D5481" i="38"/>
  <c r="I531" i="18"/>
  <c r="F5497" i="38"/>
  <c r="L547" i="18"/>
  <c r="I5507" i="38"/>
  <c r="M563" i="18"/>
  <c r="J5517" i="38"/>
  <c r="G564" i="18"/>
  <c r="D5521" i="38"/>
  <c r="I595" i="18"/>
  <c r="F5537" i="38"/>
  <c r="L611" i="18"/>
  <c r="I5547" i="38"/>
  <c r="L339" i="17"/>
  <c r="J2400" i="38" s="1"/>
  <c r="G356" i="17"/>
  <c r="I357" i="17" s="1"/>
  <c r="D5211" i="38"/>
  <c r="I387" i="17"/>
  <c r="F5227" i="38"/>
  <c r="L403" i="17"/>
  <c r="I5237" i="38"/>
  <c r="M419" i="17"/>
  <c r="J5247" i="38"/>
  <c r="G420" i="17"/>
  <c r="D5251" i="38"/>
  <c r="I451" i="17"/>
  <c r="F5267" i="38"/>
  <c r="L467" i="17"/>
  <c r="I5277" i="38"/>
  <c r="M483" i="17"/>
  <c r="J5287" i="38"/>
  <c r="G484" i="17"/>
  <c r="D5291" i="38"/>
  <c r="I515" i="17"/>
  <c r="F5307" i="38"/>
  <c r="L531" i="17"/>
  <c r="I5317" i="38"/>
  <c r="M547" i="17"/>
  <c r="J5327" i="38"/>
  <c r="G548" i="17"/>
  <c r="D5331" i="38"/>
  <c r="I579" i="17"/>
  <c r="F5347" i="38"/>
  <c r="L595" i="17"/>
  <c r="I5357" i="38"/>
  <c r="M611" i="17"/>
  <c r="J5367" i="38"/>
  <c r="G612" i="17"/>
  <c r="D5371" i="38"/>
  <c r="I355" i="16"/>
  <c r="L371" i="16"/>
  <c r="I5037" i="38"/>
  <c r="M387" i="16"/>
  <c r="J5047" i="38"/>
  <c r="G388" i="16"/>
  <c r="D5051" i="38"/>
  <c r="I419" i="16"/>
  <c r="F5067" i="38"/>
  <c r="L435" i="16"/>
  <c r="I5077" i="38"/>
  <c r="M451" i="16"/>
  <c r="J5087" i="38"/>
  <c r="G452" i="16"/>
  <c r="D5091" i="38"/>
  <c r="I483" i="16"/>
  <c r="F5107" i="38"/>
  <c r="L499" i="16"/>
  <c r="I5117" i="38"/>
  <c r="M515" i="16"/>
  <c r="J5127" i="38"/>
  <c r="G516" i="16"/>
  <c r="D5131" i="38"/>
  <c r="I547" i="16"/>
  <c r="F5147" i="38"/>
  <c r="L563" i="16"/>
  <c r="I5157" i="38"/>
  <c r="M579" i="16"/>
  <c r="J5167" i="38"/>
  <c r="G580" i="16"/>
  <c r="D5171" i="38"/>
  <c r="I611" i="16"/>
  <c r="F5187" i="38"/>
  <c r="L339" i="15"/>
  <c r="J2364" i="38" s="1"/>
  <c r="M355" i="15"/>
  <c r="G356" i="15"/>
  <c r="D4851" i="38"/>
  <c r="I387" i="15"/>
  <c r="F4867" i="38"/>
  <c r="L403" i="15"/>
  <c r="I4877" i="38"/>
  <c r="M419" i="15"/>
  <c r="J4887" i="38"/>
  <c r="G420" i="15"/>
  <c r="D4891" i="38"/>
  <c r="I451" i="15"/>
  <c r="F4907" i="38"/>
  <c r="L467" i="15"/>
  <c r="I4917" i="38"/>
  <c r="M483" i="15"/>
  <c r="J4927" i="38"/>
  <c r="G484" i="15"/>
  <c r="D4931" i="38"/>
  <c r="I515" i="15"/>
  <c r="F4947" i="38"/>
  <c r="L531" i="15"/>
  <c r="I4957" i="38"/>
  <c r="M547" i="15"/>
  <c r="J4967" i="38"/>
  <c r="G548" i="15"/>
  <c r="D4971" i="38"/>
  <c r="I579" i="15"/>
  <c r="F4987" i="38"/>
  <c r="L595" i="15"/>
  <c r="I4997" i="38"/>
  <c r="M611" i="15"/>
  <c r="J5007" i="38"/>
  <c r="G612" i="15"/>
  <c r="D5011" i="38"/>
  <c r="M339" i="14"/>
  <c r="K2346" i="38" s="1"/>
  <c r="I371" i="14"/>
  <c r="F4677" i="38"/>
  <c r="L387" i="14"/>
  <c r="I4687" i="38"/>
  <c r="M403" i="14"/>
  <c r="J4697" i="38"/>
  <c r="G404" i="14"/>
  <c r="D4701" i="38"/>
  <c r="I435" i="14"/>
  <c r="F4717" i="38"/>
  <c r="L451" i="14"/>
  <c r="I4727" i="38"/>
  <c r="M467" i="14"/>
  <c r="J4737" i="38"/>
  <c r="G468" i="14"/>
  <c r="D4741" i="38"/>
  <c r="I499" i="14"/>
  <c r="F4757" i="38"/>
  <c r="L515" i="14"/>
  <c r="I4767" i="38"/>
  <c r="M531" i="14"/>
  <c r="J4777" i="38"/>
  <c r="G532" i="14"/>
  <c r="D4781" i="38"/>
  <c r="I563" i="14"/>
  <c r="F4797" i="38"/>
  <c r="L579" i="14"/>
  <c r="I4807" i="38"/>
  <c r="M595" i="14"/>
  <c r="J4817" i="38"/>
  <c r="G596" i="14"/>
  <c r="D4821" i="38"/>
  <c r="I339" i="12"/>
  <c r="I2310" i="38" s="1"/>
  <c r="L355" i="12"/>
  <c r="M371" i="12"/>
  <c r="J4317" i="38"/>
  <c r="G372" i="12"/>
  <c r="D4321" i="38"/>
  <c r="I403" i="12"/>
  <c r="F4337" i="38"/>
  <c r="L419" i="12"/>
  <c r="I4347" i="38"/>
  <c r="M435" i="12"/>
  <c r="J4357" i="38"/>
  <c r="G436" i="12"/>
  <c r="D4361" i="38"/>
  <c r="I467" i="12"/>
  <c r="F4377" i="38"/>
  <c r="L483" i="12"/>
  <c r="I4387" i="38"/>
  <c r="M499" i="12"/>
  <c r="J4397" i="38"/>
  <c r="G500" i="12"/>
  <c r="D4401" i="38"/>
  <c r="I531" i="12"/>
  <c r="F4417" i="38"/>
  <c r="L547" i="12"/>
  <c r="I4427" i="38"/>
  <c r="M563" i="12"/>
  <c r="J4437" i="38"/>
  <c r="G564" i="12"/>
  <c r="D4441" i="38"/>
  <c r="I595" i="12"/>
  <c r="F4457" i="38"/>
  <c r="L611" i="12"/>
  <c r="I4467" i="38"/>
  <c r="M339" i="11"/>
  <c r="K2292" i="38" s="1"/>
  <c r="I371" i="11"/>
  <c r="F4137" i="38"/>
  <c r="L387" i="11"/>
  <c r="I4147" i="38"/>
  <c r="M403" i="11"/>
  <c r="J4157" i="38"/>
  <c r="G404" i="11"/>
  <c r="D4161" i="38"/>
  <c r="I435" i="11"/>
  <c r="F4177" i="38"/>
  <c r="L451" i="11"/>
  <c r="I4187" i="38"/>
  <c r="M467" i="11"/>
  <c r="J4197" i="38"/>
  <c r="G468" i="11"/>
  <c r="D4201" i="38"/>
  <c r="I499" i="11"/>
  <c r="F4217" i="38"/>
  <c r="L515" i="11"/>
  <c r="I4227" i="38"/>
  <c r="M531" i="11"/>
  <c r="J4237" i="38"/>
  <c r="G532" i="11"/>
  <c r="D4241" i="38"/>
  <c r="I563" i="11"/>
  <c r="F4257" i="38"/>
  <c r="L579" i="11"/>
  <c r="I4267" i="38"/>
  <c r="M595" i="11"/>
  <c r="J4277" i="38"/>
  <c r="G596" i="11"/>
  <c r="D4281" i="38"/>
  <c r="M371" i="10"/>
  <c r="J3957" i="38"/>
  <c r="G372" i="10"/>
  <c r="D3961" i="38"/>
  <c r="I403" i="10"/>
  <c r="F3977" i="38"/>
  <c r="L419" i="10"/>
  <c r="I3987" i="38"/>
  <c r="M435" i="10"/>
  <c r="J3997" i="38"/>
  <c r="G436" i="10"/>
  <c r="D4001" i="38"/>
  <c r="I467" i="10"/>
  <c r="F4017" i="38"/>
  <c r="L483" i="10"/>
  <c r="I4027" i="38"/>
  <c r="M499" i="10"/>
  <c r="J4037" i="38"/>
  <c r="G500" i="10"/>
  <c r="D4041" i="38"/>
  <c r="I531" i="10"/>
  <c r="F4057" i="38"/>
  <c r="L547" i="10"/>
  <c r="I4067" i="38"/>
  <c r="M563" i="10"/>
  <c r="J4077" i="38"/>
  <c r="G564" i="10"/>
  <c r="D4081" i="38"/>
  <c r="I595" i="10"/>
  <c r="F4097" i="38"/>
  <c r="L611" i="10"/>
  <c r="I4107" i="38"/>
  <c r="L339" i="9"/>
  <c r="J2256" i="38" s="1"/>
  <c r="M355" i="9"/>
  <c r="G356" i="9"/>
  <c r="D3771" i="38"/>
  <c r="I387" i="9"/>
  <c r="F3787" i="38"/>
  <c r="L403" i="9"/>
  <c r="I3797" i="38"/>
  <c r="M419" i="9"/>
  <c r="J3807" i="38"/>
  <c r="G420" i="9"/>
  <c r="D3811" i="38"/>
  <c r="I451" i="9"/>
  <c r="F3827" i="38"/>
  <c r="L467" i="9"/>
  <c r="I3837" i="38"/>
  <c r="M483" i="9"/>
  <c r="J3847" i="38"/>
  <c r="G484" i="9"/>
  <c r="D3851" i="38"/>
  <c r="I515" i="9"/>
  <c r="F3867" i="38"/>
  <c r="L531" i="9"/>
  <c r="I3877" i="38"/>
  <c r="M547" i="9"/>
  <c r="J3887" i="38"/>
  <c r="G548" i="9"/>
  <c r="D3891" i="38"/>
  <c r="I579" i="9"/>
  <c r="F3907" i="38"/>
  <c r="L595" i="9"/>
  <c r="I3917" i="38"/>
  <c r="M611" i="9"/>
  <c r="J3927" i="38"/>
  <c r="G612" i="9"/>
  <c r="D3931" i="38"/>
  <c r="M339" i="8"/>
  <c r="K2238" i="38" s="1"/>
  <c r="I371" i="8"/>
  <c r="F3597" i="38"/>
  <c r="L387" i="8"/>
  <c r="I3607" i="38"/>
  <c r="M403" i="8"/>
  <c r="J3617" i="38"/>
  <c r="G404" i="8"/>
  <c r="D3621" i="38"/>
  <c r="I435" i="8"/>
  <c r="F3637" i="38"/>
  <c r="L451" i="8"/>
  <c r="I3647" i="38"/>
  <c r="M467" i="8"/>
  <c r="J3657" i="38"/>
  <c r="G468" i="8"/>
  <c r="D3661" i="38"/>
  <c r="I499" i="8"/>
  <c r="F3677" i="38"/>
  <c r="L515" i="8"/>
  <c r="I3687" i="38"/>
  <c r="M531" i="8"/>
  <c r="J3697" i="38"/>
  <c r="G532" i="8"/>
  <c r="D3701" i="38"/>
  <c r="I563" i="8"/>
  <c r="F3717" i="38"/>
  <c r="L579" i="8"/>
  <c r="I3727" i="38"/>
  <c r="M595" i="8"/>
  <c r="J3737" i="38"/>
  <c r="G596" i="8"/>
  <c r="D3741" i="38"/>
  <c r="I355" i="7"/>
  <c r="L371" i="7"/>
  <c r="I3417" i="38"/>
  <c r="M387" i="7"/>
  <c r="J3427" i="38"/>
  <c r="G388" i="7"/>
  <c r="D3431" i="38"/>
  <c r="I419" i="7"/>
  <c r="F3447" i="38"/>
  <c r="L435" i="7"/>
  <c r="I3457" i="38"/>
  <c r="M451" i="7"/>
  <c r="J3467" i="38"/>
  <c r="G452" i="7"/>
  <c r="D3471" i="38"/>
  <c r="I483" i="7"/>
  <c r="F3487" i="38"/>
  <c r="L499" i="7"/>
  <c r="I3497" i="38"/>
  <c r="M515" i="7"/>
  <c r="J3507" i="38"/>
  <c r="G516" i="7"/>
  <c r="D3511" i="38"/>
  <c r="I547" i="7"/>
  <c r="F3527" i="38"/>
  <c r="L563" i="7"/>
  <c r="I3537" i="38"/>
  <c r="M579" i="7"/>
  <c r="J3547" i="38"/>
  <c r="G580" i="7"/>
  <c r="D3551" i="38"/>
  <c r="I611" i="7"/>
  <c r="F3567" i="38"/>
  <c r="L339" i="6"/>
  <c r="J2202" i="38" s="1"/>
  <c r="M355" i="6"/>
  <c r="G356" i="6"/>
  <c r="D3231" i="38"/>
  <c r="I387" i="6"/>
  <c r="F3247" i="38"/>
  <c r="L403" i="6"/>
  <c r="I3257" i="38"/>
  <c r="M419" i="6"/>
  <c r="J3267" i="38"/>
  <c r="G420" i="6"/>
  <c r="D3271" i="38"/>
  <c r="I451" i="6"/>
  <c r="F3287" i="38"/>
  <c r="L467" i="6"/>
  <c r="I3297" i="38"/>
  <c r="M483" i="6"/>
  <c r="J3307" i="38"/>
  <c r="G484" i="6"/>
  <c r="D3311" i="38"/>
  <c r="I515" i="6"/>
  <c r="F3327" i="38"/>
  <c r="L531" i="6"/>
  <c r="I3337" i="38"/>
  <c r="M547" i="6"/>
  <c r="J3347" i="38"/>
  <c r="G548" i="6"/>
  <c r="D3351" i="38"/>
  <c r="I579" i="6"/>
  <c r="F3367" i="38"/>
  <c r="L595" i="6"/>
  <c r="I3377" i="38"/>
  <c r="M611" i="6"/>
  <c r="J3387" i="38"/>
  <c r="G612" i="6"/>
  <c r="D3391" i="38"/>
  <c r="I355" i="5"/>
  <c r="L371" i="5"/>
  <c r="I3057" i="38"/>
  <c r="M387" i="5"/>
  <c r="J3067" i="38"/>
  <c r="G388" i="5"/>
  <c r="D3071" i="38"/>
  <c r="I419" i="5"/>
  <c r="F3087" i="38"/>
  <c r="L435" i="5"/>
  <c r="I3097" i="38"/>
  <c r="M451" i="5"/>
  <c r="J3107" i="38"/>
  <c r="G452" i="5"/>
  <c r="D3111" i="38"/>
  <c r="I483" i="5"/>
  <c r="F3127" i="38"/>
  <c r="L499" i="5"/>
  <c r="I3137" i="38"/>
  <c r="M515" i="5"/>
  <c r="J3147" i="38"/>
  <c r="G516" i="5"/>
  <c r="D3151" i="38"/>
  <c r="I547" i="5"/>
  <c r="F3167" i="38"/>
  <c r="L563" i="5"/>
  <c r="I3177" i="38"/>
  <c r="M579" i="5"/>
  <c r="J3187" i="38"/>
  <c r="G580" i="5"/>
  <c r="D3191" i="38"/>
  <c r="I611" i="5"/>
  <c r="F3207" i="38"/>
  <c r="L339" i="4"/>
  <c r="J2166" i="38" s="1"/>
  <c r="M355" i="4"/>
  <c r="G356" i="4"/>
  <c r="D2871" i="38"/>
  <c r="I387" i="4"/>
  <c r="F2887" i="38"/>
  <c r="L403" i="4"/>
  <c r="I2897" i="38"/>
  <c r="M419" i="4"/>
  <c r="J2907" i="38"/>
  <c r="G420" i="4"/>
  <c r="D2911" i="38"/>
  <c r="I451" i="4"/>
  <c r="F2927" i="38"/>
  <c r="L467" i="4"/>
  <c r="I2937" i="38"/>
  <c r="M483" i="4"/>
  <c r="J2947" i="38"/>
  <c r="G484" i="4"/>
  <c r="D2951" i="38"/>
  <c r="I515" i="4"/>
  <c r="F2967" i="38"/>
  <c r="L531" i="4"/>
  <c r="I2977" i="38"/>
  <c r="M547" i="4"/>
  <c r="J2987" i="38"/>
  <c r="G548" i="4"/>
  <c r="D2991" i="38"/>
  <c r="I579" i="4"/>
  <c r="F3007" i="38"/>
  <c r="L595" i="4"/>
  <c r="I3017" i="38"/>
  <c r="M611" i="4"/>
  <c r="J3027" i="38"/>
  <c r="G612" i="4"/>
  <c r="D3031" i="38"/>
  <c r="K2401" i="38"/>
  <c r="I387" i="32"/>
  <c r="F7927" i="38"/>
  <c r="M419" i="32"/>
  <c r="J7947" i="38"/>
  <c r="I451" i="32"/>
  <c r="F7967" i="38"/>
  <c r="L467" i="32"/>
  <c r="I7977" i="38"/>
  <c r="L595" i="32"/>
  <c r="I8057" i="38"/>
  <c r="G612" i="32"/>
  <c r="D8071" i="38"/>
  <c r="G2687" i="38"/>
  <c r="I371" i="31"/>
  <c r="F7737" i="38"/>
  <c r="M403" i="31"/>
  <c r="J7757" i="38"/>
  <c r="M531" i="31"/>
  <c r="J7837" i="38"/>
  <c r="M595" i="31"/>
  <c r="J7877" i="38"/>
  <c r="I7551" i="38"/>
  <c r="J2635" i="38"/>
  <c r="I403" i="30"/>
  <c r="F7577" i="38"/>
  <c r="L419" i="30"/>
  <c r="I7587" i="38"/>
  <c r="M499" i="30"/>
  <c r="J7637" i="38"/>
  <c r="G500" i="30"/>
  <c r="D7641" i="38"/>
  <c r="G2644" i="38"/>
  <c r="M419" i="29"/>
  <c r="J7407" i="38"/>
  <c r="I451" i="29"/>
  <c r="F7427" i="38"/>
  <c r="M483" i="29"/>
  <c r="J7447" i="38"/>
  <c r="I371" i="28"/>
  <c r="F7197" i="38"/>
  <c r="G404" i="28"/>
  <c r="D7221" i="38"/>
  <c r="G2602" i="38"/>
  <c r="I435" i="28"/>
  <c r="F7237" i="38"/>
  <c r="L451" i="28"/>
  <c r="I7247" i="38"/>
  <c r="L579" i="28"/>
  <c r="I7327" i="38"/>
  <c r="M595" i="28"/>
  <c r="J7337" i="38"/>
  <c r="M371" i="27"/>
  <c r="J7017" i="38"/>
  <c r="L419" i="27"/>
  <c r="I7047" i="38"/>
  <c r="G500" i="27"/>
  <c r="I501" i="27" s="1"/>
  <c r="D7101" i="38"/>
  <c r="G2590" i="38"/>
  <c r="L547" i="27"/>
  <c r="I7127" i="38"/>
  <c r="J6831" i="38"/>
  <c r="K2563" i="38"/>
  <c r="I387" i="26"/>
  <c r="F6847" i="38"/>
  <c r="M547" i="26"/>
  <c r="J6947" i="38"/>
  <c r="G548" i="26"/>
  <c r="D6951" i="38"/>
  <c r="G2575" i="38"/>
  <c r="L451" i="25"/>
  <c r="I6707" i="38"/>
  <c r="G468" i="25"/>
  <c r="D6721" i="38"/>
  <c r="G2552" i="38"/>
  <c r="G532" i="25"/>
  <c r="D6761" i="38"/>
  <c r="G2556" i="38"/>
  <c r="G596" i="25"/>
  <c r="D6801" i="38"/>
  <c r="G2560" i="38"/>
  <c r="L499" i="24"/>
  <c r="I6557" i="38"/>
  <c r="I547" i="24"/>
  <c r="F6587" i="38"/>
  <c r="M579" i="24"/>
  <c r="J6607" i="38"/>
  <c r="I387" i="23"/>
  <c r="F6307" i="38"/>
  <c r="M547" i="23"/>
  <c r="J6407" i="38"/>
  <c r="I579" i="23"/>
  <c r="F6427" i="38"/>
  <c r="M611" i="23"/>
  <c r="J6447" i="38"/>
  <c r="G468" i="22"/>
  <c r="D6181" i="38"/>
  <c r="G2498" i="38"/>
  <c r="I355" i="32"/>
  <c r="L371" i="32"/>
  <c r="I7917" i="38"/>
  <c r="M387" i="32"/>
  <c r="J7927" i="38"/>
  <c r="G388" i="32"/>
  <c r="D7931" i="38"/>
  <c r="G2673" i="38"/>
  <c r="I419" i="32"/>
  <c r="F7947" i="38"/>
  <c r="L435" i="32"/>
  <c r="I7957" i="38"/>
  <c r="M451" i="32"/>
  <c r="J7967" i="38"/>
  <c r="G452" i="32"/>
  <c r="I453" i="32" s="1"/>
  <c r="D7971" i="38"/>
  <c r="G2677" i="38"/>
  <c r="I483" i="32"/>
  <c r="F7987" i="38"/>
  <c r="L499" i="32"/>
  <c r="I7997" i="38"/>
  <c r="M515" i="32"/>
  <c r="J8007" i="38"/>
  <c r="G516" i="32"/>
  <c r="D8011" i="38"/>
  <c r="G2681" i="38"/>
  <c r="I547" i="32"/>
  <c r="F8027" i="38"/>
  <c r="L563" i="32"/>
  <c r="I8037" i="38"/>
  <c r="M579" i="32"/>
  <c r="J8047" i="38"/>
  <c r="G580" i="32"/>
  <c r="D8051" i="38"/>
  <c r="G2685" i="38"/>
  <c r="I611" i="32"/>
  <c r="F8067" i="38"/>
  <c r="I339" i="31"/>
  <c r="I2652" i="38" s="1"/>
  <c r="L355" i="31"/>
  <c r="M371" i="31"/>
  <c r="J7737" i="38"/>
  <c r="G372" i="31"/>
  <c r="D7741" i="38"/>
  <c r="G2654" i="38"/>
  <c r="I403" i="31"/>
  <c r="F7757" i="38"/>
  <c r="L419" i="31"/>
  <c r="I7767" i="38"/>
  <c r="M435" i="31"/>
  <c r="J7777" i="38"/>
  <c r="G436" i="31"/>
  <c r="I437" i="31" s="1"/>
  <c r="D7781" i="38"/>
  <c r="G2658" i="38"/>
  <c r="I467" i="31"/>
  <c r="F7797" i="38"/>
  <c r="L483" i="31"/>
  <c r="I7807" i="38"/>
  <c r="M499" i="31"/>
  <c r="J7817" i="38"/>
  <c r="G500" i="31"/>
  <c r="D7821" i="38"/>
  <c r="G2662" i="38"/>
  <c r="I531" i="31"/>
  <c r="F7837" i="38"/>
  <c r="L547" i="31"/>
  <c r="I7847" i="38"/>
  <c r="M563" i="31"/>
  <c r="J7857" i="38"/>
  <c r="G564" i="31"/>
  <c r="D7861" i="38"/>
  <c r="G2666" i="38"/>
  <c r="I595" i="31"/>
  <c r="F7877" i="38"/>
  <c r="L611" i="31"/>
  <c r="I7887" i="38"/>
  <c r="M339" i="30"/>
  <c r="K2634" i="38" s="1"/>
  <c r="G340" i="30"/>
  <c r="H2634" i="38" s="1"/>
  <c r="G2634" i="38"/>
  <c r="I371" i="30"/>
  <c r="F7557" i="38"/>
  <c r="L387" i="30"/>
  <c r="I7567" i="38"/>
  <c r="M403" i="30"/>
  <c r="J7577" i="38"/>
  <c r="G404" i="30"/>
  <c r="D7581" i="38"/>
  <c r="G2638" i="38"/>
  <c r="I435" i="30"/>
  <c r="F7597" i="38"/>
  <c r="L451" i="30"/>
  <c r="I7607" i="38"/>
  <c r="M467" i="30"/>
  <c r="J7617" i="38"/>
  <c r="G468" i="30"/>
  <c r="D7621" i="38"/>
  <c r="G2642" i="38"/>
  <c r="I499" i="30"/>
  <c r="F7637" i="38"/>
  <c r="L515" i="30"/>
  <c r="I7647" i="38"/>
  <c r="M531" i="30"/>
  <c r="J7657" i="38"/>
  <c r="G532" i="30"/>
  <c r="D7661" i="38"/>
  <c r="G2646" i="38"/>
  <c r="I563" i="30"/>
  <c r="F7677" i="38"/>
  <c r="L579" i="30"/>
  <c r="I7687" i="38"/>
  <c r="M595" i="30"/>
  <c r="J7697" i="38"/>
  <c r="G596" i="30"/>
  <c r="D7701" i="38"/>
  <c r="G2650" i="38"/>
  <c r="I355" i="29"/>
  <c r="L371" i="29"/>
  <c r="I7377" i="38"/>
  <c r="M387" i="29"/>
  <c r="J7387" i="38"/>
  <c r="G388" i="29"/>
  <c r="D7391" i="38"/>
  <c r="G2619" i="38"/>
  <c r="I419" i="29"/>
  <c r="F7407" i="38"/>
  <c r="L435" i="29"/>
  <c r="I7417" i="38"/>
  <c r="M451" i="29"/>
  <c r="J7427" i="38"/>
  <c r="G452" i="29"/>
  <c r="D7431" i="38"/>
  <c r="G2623" i="38"/>
  <c r="I483" i="29"/>
  <c r="F7447" i="38"/>
  <c r="L499" i="29"/>
  <c r="I7457" i="38"/>
  <c r="M515" i="29"/>
  <c r="J7467" i="38"/>
  <c r="G516" i="29"/>
  <c r="D7471" i="38"/>
  <c r="G2627" i="38"/>
  <c r="I547" i="29"/>
  <c r="F7487" i="38"/>
  <c r="L563" i="29"/>
  <c r="I7497" i="38"/>
  <c r="M579" i="29"/>
  <c r="J7507" i="38"/>
  <c r="G580" i="29"/>
  <c r="D7511" i="38"/>
  <c r="G2631" i="38"/>
  <c r="I611" i="29"/>
  <c r="F7527" i="38"/>
  <c r="I339" i="28"/>
  <c r="I2598" i="38" s="1"/>
  <c r="L355" i="28"/>
  <c r="M371" i="28"/>
  <c r="J7197" i="38"/>
  <c r="G372" i="28"/>
  <c r="D7201" i="38"/>
  <c r="G2600" i="38"/>
  <c r="I403" i="28"/>
  <c r="F7217" i="38"/>
  <c r="L419" i="28"/>
  <c r="I7227" i="38"/>
  <c r="M435" i="28"/>
  <c r="J7237" i="38"/>
  <c r="G436" i="28"/>
  <c r="D7241" i="38"/>
  <c r="G2604" i="38"/>
  <c r="I467" i="28"/>
  <c r="F7257" i="38"/>
  <c r="L483" i="28"/>
  <c r="I7267" i="38"/>
  <c r="M499" i="28"/>
  <c r="J7277" i="38"/>
  <c r="G500" i="28"/>
  <c r="D7281" i="38"/>
  <c r="G2608" i="38"/>
  <c r="I531" i="28"/>
  <c r="F7297" i="38"/>
  <c r="L547" i="28"/>
  <c r="I7307" i="38"/>
  <c r="M563" i="28"/>
  <c r="J7317" i="38"/>
  <c r="G564" i="28"/>
  <c r="D7321" i="38"/>
  <c r="G2612" i="38"/>
  <c r="I595" i="28"/>
  <c r="F7337" i="38"/>
  <c r="L611" i="28"/>
  <c r="I7347" i="38"/>
  <c r="M339" i="27"/>
  <c r="K2580" i="38" s="1"/>
  <c r="G340" i="27"/>
  <c r="H2580" i="38" s="1"/>
  <c r="G2580" i="38"/>
  <c r="I371" i="27"/>
  <c r="F7017" i="38"/>
  <c r="L387" i="27"/>
  <c r="I7027" i="38"/>
  <c r="M403" i="27"/>
  <c r="J7037" i="38"/>
  <c r="G404" i="27"/>
  <c r="D7041" i="38"/>
  <c r="G2584" i="38"/>
  <c r="I435" i="27"/>
  <c r="F7057" i="38"/>
  <c r="L451" i="27"/>
  <c r="I7067" i="38"/>
  <c r="M467" i="27"/>
  <c r="J7077" i="38"/>
  <c r="G468" i="27"/>
  <c r="D7081" i="38"/>
  <c r="G2588" i="38"/>
  <c r="I499" i="27"/>
  <c r="F7097" i="38"/>
  <c r="L515" i="27"/>
  <c r="I7107" i="38"/>
  <c r="M531" i="27"/>
  <c r="J7117" i="38"/>
  <c r="G532" i="27"/>
  <c r="D7121" i="38"/>
  <c r="G2592" i="38"/>
  <c r="I563" i="27"/>
  <c r="F7137" i="38"/>
  <c r="L579" i="27"/>
  <c r="I7147" i="38"/>
  <c r="M595" i="27"/>
  <c r="J7157" i="38"/>
  <c r="G596" i="27"/>
  <c r="D7161" i="38"/>
  <c r="G2596" i="38"/>
  <c r="I355" i="26"/>
  <c r="L371" i="26"/>
  <c r="I6837" i="38"/>
  <c r="M387" i="26"/>
  <c r="J6847" i="38"/>
  <c r="G388" i="26"/>
  <c r="D6851" i="38"/>
  <c r="G2565" i="38"/>
  <c r="I419" i="26"/>
  <c r="F6867" i="38"/>
  <c r="L435" i="26"/>
  <c r="I6877" i="38"/>
  <c r="M451" i="26"/>
  <c r="J6887" i="38"/>
  <c r="G452" i="26"/>
  <c r="D6891" i="38"/>
  <c r="G2569" i="38"/>
  <c r="I483" i="26"/>
  <c r="F6907" i="38"/>
  <c r="L499" i="26"/>
  <c r="I6917" i="38"/>
  <c r="M515" i="26"/>
  <c r="J6927" i="38"/>
  <c r="G516" i="26"/>
  <c r="D6931" i="38"/>
  <c r="G2573" i="38"/>
  <c r="I547" i="26"/>
  <c r="F6947" i="38"/>
  <c r="L563" i="26"/>
  <c r="I6957" i="38"/>
  <c r="M579" i="26"/>
  <c r="J6967" i="38"/>
  <c r="G580" i="26"/>
  <c r="D6971" i="38"/>
  <c r="G2577" i="38"/>
  <c r="I611" i="26"/>
  <c r="F6987" i="38"/>
  <c r="I339" i="25"/>
  <c r="I2544" i="38" s="1"/>
  <c r="L355" i="25"/>
  <c r="M371" i="25"/>
  <c r="J6657" i="38"/>
  <c r="G372" i="25"/>
  <c r="D6661" i="38"/>
  <c r="G2546" i="38"/>
  <c r="I403" i="25"/>
  <c r="F6677" i="38"/>
  <c r="L419" i="25"/>
  <c r="I6687" i="38"/>
  <c r="M435" i="25"/>
  <c r="J6697" i="38"/>
  <c r="G436" i="25"/>
  <c r="D6701" i="38"/>
  <c r="G2550" i="38"/>
  <c r="I467" i="25"/>
  <c r="F6717" i="38"/>
  <c r="L483" i="25"/>
  <c r="I6727" i="38"/>
  <c r="M499" i="25"/>
  <c r="J6737" i="38"/>
  <c r="G500" i="25"/>
  <c r="I501" i="25" s="1"/>
  <c r="D6741" i="38"/>
  <c r="G2554" i="38"/>
  <c r="I531" i="25"/>
  <c r="F6757" i="38"/>
  <c r="L547" i="25"/>
  <c r="I6767" i="38"/>
  <c r="M563" i="25"/>
  <c r="J6777" i="38"/>
  <c r="G564" i="25"/>
  <c r="D6781" i="38"/>
  <c r="G2558" i="38"/>
  <c r="I595" i="25"/>
  <c r="I597" i="25" s="1"/>
  <c r="F6797" i="38"/>
  <c r="L611" i="25"/>
  <c r="I6807" i="38"/>
  <c r="L339" i="24"/>
  <c r="J2526" i="38" s="1"/>
  <c r="M355" i="24"/>
  <c r="G356" i="24"/>
  <c r="D6471" i="38"/>
  <c r="G2527" i="38"/>
  <c r="I387" i="24"/>
  <c r="F6487" i="38"/>
  <c r="L403" i="24"/>
  <c r="I6497" i="38"/>
  <c r="M419" i="24"/>
  <c r="J6507" i="38"/>
  <c r="G420" i="24"/>
  <c r="D6511" i="38"/>
  <c r="G2531" i="38"/>
  <c r="I451" i="24"/>
  <c r="F6527" i="38"/>
  <c r="L467" i="24"/>
  <c r="I6537" i="38"/>
  <c r="M483" i="24"/>
  <c r="J6547" i="38"/>
  <c r="G484" i="24"/>
  <c r="D6551" i="38"/>
  <c r="G2535" i="38"/>
  <c r="I515" i="24"/>
  <c r="F6567" i="38"/>
  <c r="L531" i="24"/>
  <c r="I6577" i="38"/>
  <c r="M547" i="24"/>
  <c r="J6587" i="38"/>
  <c r="G548" i="24"/>
  <c r="D6591" i="38"/>
  <c r="G2539" i="38"/>
  <c r="I579" i="24"/>
  <c r="F6607" i="38"/>
  <c r="L595" i="24"/>
  <c r="I6617" i="38"/>
  <c r="M611" i="24"/>
  <c r="J6627" i="38"/>
  <c r="G612" i="24"/>
  <c r="D6631" i="38"/>
  <c r="G2543" i="38"/>
  <c r="I355" i="23"/>
  <c r="L371" i="23"/>
  <c r="I6297" i="38"/>
  <c r="M387" i="23"/>
  <c r="J6307" i="38"/>
  <c r="G388" i="23"/>
  <c r="D6311" i="38"/>
  <c r="G2511" i="38"/>
  <c r="I419" i="23"/>
  <c r="F6327" i="38"/>
  <c r="L435" i="23"/>
  <c r="I6337" i="38"/>
  <c r="M451" i="23"/>
  <c r="J6347" i="38"/>
  <c r="G452" i="23"/>
  <c r="D6351" i="38"/>
  <c r="G2515" i="38"/>
  <c r="I483" i="23"/>
  <c r="F6367" i="38"/>
  <c r="L499" i="23"/>
  <c r="I6377" i="38"/>
  <c r="M515" i="23"/>
  <c r="J6387" i="38"/>
  <c r="G516" i="23"/>
  <c r="I517" i="23" s="1"/>
  <c r="D6391" i="38"/>
  <c r="G2519" i="38"/>
  <c r="I547" i="23"/>
  <c r="F6407" i="38"/>
  <c r="L563" i="23"/>
  <c r="I6417" i="38"/>
  <c r="M579" i="23"/>
  <c r="J6427" i="38"/>
  <c r="G580" i="23"/>
  <c r="D6431" i="38"/>
  <c r="G2523" i="38"/>
  <c r="I611" i="23"/>
  <c r="F6447" i="38"/>
  <c r="I339" i="22"/>
  <c r="I2490" i="38" s="1"/>
  <c r="L355" i="22"/>
  <c r="M371" i="22"/>
  <c r="J6117" i="38"/>
  <c r="G372" i="22"/>
  <c r="D6121" i="38"/>
  <c r="G2492" i="38"/>
  <c r="I403" i="22"/>
  <c r="F6137" i="38"/>
  <c r="L419" i="22"/>
  <c r="I6147" i="38"/>
  <c r="M435" i="22"/>
  <c r="J6157" i="38"/>
  <c r="G436" i="22"/>
  <c r="D6161" i="38"/>
  <c r="G2496" i="38"/>
  <c r="I467" i="22"/>
  <c r="I469" i="22" s="1"/>
  <c r="F6177" i="38"/>
  <c r="L483" i="22"/>
  <c r="I6187" i="38"/>
  <c r="M499" i="22"/>
  <c r="J6197" i="38"/>
  <c r="G500" i="22"/>
  <c r="D6201" i="38"/>
  <c r="G2500" i="38"/>
  <c r="I531" i="22"/>
  <c r="F6217" i="38"/>
  <c r="L547" i="22"/>
  <c r="I6227" i="38"/>
  <c r="M563" i="22"/>
  <c r="J6237" i="38"/>
  <c r="G564" i="22"/>
  <c r="D6241" i="38"/>
  <c r="G2504" i="38"/>
  <c r="I595" i="22"/>
  <c r="F6257" i="38"/>
  <c r="L611" i="22"/>
  <c r="I6267" i="38"/>
  <c r="L339" i="21"/>
  <c r="J2472" i="38" s="1"/>
  <c r="M355" i="21"/>
  <c r="G356" i="21"/>
  <c r="I357" i="21" s="1"/>
  <c r="D5931" i="38"/>
  <c r="G2473" i="38"/>
  <c r="I387" i="21"/>
  <c r="F5947" i="38"/>
  <c r="L403" i="21"/>
  <c r="I5957" i="38"/>
  <c r="M419" i="21"/>
  <c r="J5967" i="38"/>
  <c r="G420" i="21"/>
  <c r="D5971" i="38"/>
  <c r="G2477" i="38"/>
  <c r="I451" i="21"/>
  <c r="F5987" i="38"/>
  <c r="L467" i="21"/>
  <c r="I5997" i="38"/>
  <c r="M483" i="21"/>
  <c r="J6007" i="38"/>
  <c r="G484" i="21"/>
  <c r="D6011" i="38"/>
  <c r="G2481" i="38"/>
  <c r="I515" i="21"/>
  <c r="F6027" i="38"/>
  <c r="L531" i="21"/>
  <c r="I6037" i="38"/>
  <c r="M547" i="21"/>
  <c r="J6047" i="38"/>
  <c r="G548" i="21"/>
  <c r="D6051" i="38"/>
  <c r="G2485" i="38"/>
  <c r="I579" i="21"/>
  <c r="F6067" i="38"/>
  <c r="L595" i="21"/>
  <c r="I6077" i="38"/>
  <c r="M611" i="21"/>
  <c r="J6087" i="38"/>
  <c r="G612" i="21"/>
  <c r="D6091" i="38"/>
  <c r="G2489" i="38"/>
  <c r="M339" i="20"/>
  <c r="K2454" i="38" s="1"/>
  <c r="G340" i="20"/>
  <c r="H2454" i="38" s="1"/>
  <c r="G2454" i="38"/>
  <c r="I371" i="20"/>
  <c r="F5757" i="38"/>
  <c r="L387" i="20"/>
  <c r="I5767" i="38"/>
  <c r="M403" i="20"/>
  <c r="J5777" i="38"/>
  <c r="G404" i="20"/>
  <c r="D5781" i="38"/>
  <c r="G2458" i="38"/>
  <c r="I435" i="20"/>
  <c r="F5797" i="38"/>
  <c r="L451" i="20"/>
  <c r="I5807" i="38"/>
  <c r="M467" i="20"/>
  <c r="J5817" i="38"/>
  <c r="G468" i="20"/>
  <c r="D5821" i="38"/>
  <c r="G2462" i="38"/>
  <c r="I499" i="20"/>
  <c r="F5837" i="38"/>
  <c r="L515" i="20"/>
  <c r="I5847" i="38"/>
  <c r="M531" i="20"/>
  <c r="J5857" i="38"/>
  <c r="G532" i="20"/>
  <c r="D5861" i="38"/>
  <c r="G2466" i="38"/>
  <c r="I563" i="20"/>
  <c r="F5877" i="38"/>
  <c r="L579" i="20"/>
  <c r="I5887" i="38"/>
  <c r="M595" i="20"/>
  <c r="J5897" i="38"/>
  <c r="G596" i="20"/>
  <c r="D5901" i="38"/>
  <c r="G2470" i="38"/>
  <c r="I355" i="19"/>
  <c r="L371" i="19"/>
  <c r="I5577" i="38"/>
  <c r="M387" i="19"/>
  <c r="J5587" i="38"/>
  <c r="G388" i="19"/>
  <c r="I389" i="19" s="1"/>
  <c r="D5591" i="38"/>
  <c r="G2439" i="38"/>
  <c r="I419" i="19"/>
  <c r="F5607" i="38"/>
  <c r="L435" i="19"/>
  <c r="I5617" i="38"/>
  <c r="M451" i="19"/>
  <c r="J5627" i="38"/>
  <c r="G452" i="19"/>
  <c r="D5631" i="38"/>
  <c r="G2443" i="38"/>
  <c r="I483" i="19"/>
  <c r="I485" i="19" s="1"/>
  <c r="F5647" i="38"/>
  <c r="L499" i="19"/>
  <c r="I5657" i="38"/>
  <c r="M515" i="19"/>
  <c r="J5667" i="38"/>
  <c r="G516" i="19"/>
  <c r="D5671" i="38"/>
  <c r="G2447" i="38"/>
  <c r="I547" i="19"/>
  <c r="F5687" i="38"/>
  <c r="L563" i="19"/>
  <c r="I5697" i="38"/>
  <c r="M579" i="19"/>
  <c r="J5707" i="38"/>
  <c r="G580" i="19"/>
  <c r="D5711" i="38"/>
  <c r="G2451" i="38"/>
  <c r="I611" i="19"/>
  <c r="F5727" i="38"/>
  <c r="L339" i="18"/>
  <c r="J2418" i="38" s="1"/>
  <c r="G356" i="18"/>
  <c r="D5391" i="38"/>
  <c r="I387" i="18"/>
  <c r="F5407" i="38"/>
  <c r="L403" i="18"/>
  <c r="I5417" i="38"/>
  <c r="M419" i="18"/>
  <c r="J5427" i="38"/>
  <c r="G420" i="18"/>
  <c r="D5431" i="38"/>
  <c r="I451" i="18"/>
  <c r="F5447" i="38"/>
  <c r="L467" i="18"/>
  <c r="I5457" i="38"/>
  <c r="M483" i="18"/>
  <c r="J5467" i="38"/>
  <c r="G484" i="18"/>
  <c r="D5471" i="38"/>
  <c r="I515" i="18"/>
  <c r="F5487" i="38"/>
  <c r="L531" i="18"/>
  <c r="I5497" i="38"/>
  <c r="M547" i="18"/>
  <c r="J5507" i="38"/>
  <c r="G548" i="18"/>
  <c r="D5511" i="38"/>
  <c r="G2431" i="38"/>
  <c r="I579" i="18"/>
  <c r="F5527" i="38"/>
  <c r="L595" i="18"/>
  <c r="I5537" i="38"/>
  <c r="M611" i="18"/>
  <c r="J5547" i="38"/>
  <c r="G612" i="18"/>
  <c r="D5551" i="38"/>
  <c r="G2435" i="38"/>
  <c r="I371" i="17"/>
  <c r="F5217" i="38"/>
  <c r="L387" i="17"/>
  <c r="I5227" i="38"/>
  <c r="M403" i="17"/>
  <c r="J5237" i="38"/>
  <c r="G404" i="17"/>
  <c r="D5241" i="38"/>
  <c r="I435" i="17"/>
  <c r="F5257" i="38"/>
  <c r="L451" i="17"/>
  <c r="I5267" i="38"/>
  <c r="M467" i="17"/>
  <c r="J5277" i="38"/>
  <c r="G468" i="17"/>
  <c r="D5281" i="38"/>
  <c r="I499" i="17"/>
  <c r="F5297" i="38"/>
  <c r="L515" i="17"/>
  <c r="I5307" i="38"/>
  <c r="M531" i="17"/>
  <c r="J5317" i="38"/>
  <c r="G532" i="17"/>
  <c r="D5321" i="38"/>
  <c r="I563" i="17"/>
  <c r="F5337" i="38"/>
  <c r="L579" i="17"/>
  <c r="I5347" i="38"/>
  <c r="M595" i="17"/>
  <c r="J5357" i="38"/>
  <c r="G596" i="17"/>
  <c r="D5361" i="38"/>
  <c r="I339" i="16"/>
  <c r="I2382" i="38" s="1"/>
  <c r="L355" i="16"/>
  <c r="M371" i="16"/>
  <c r="J5037" i="38"/>
  <c r="G372" i="16"/>
  <c r="D5041" i="38"/>
  <c r="I403" i="16"/>
  <c r="F5057" i="38"/>
  <c r="L419" i="16"/>
  <c r="I5067" i="38"/>
  <c r="M435" i="16"/>
  <c r="J5077" i="38"/>
  <c r="G436" i="16"/>
  <c r="D5081" i="38"/>
  <c r="I467" i="16"/>
  <c r="F5097" i="38"/>
  <c r="L483" i="16"/>
  <c r="I5107" i="38"/>
  <c r="M499" i="16"/>
  <c r="J5117" i="38"/>
  <c r="G500" i="16"/>
  <c r="D5121" i="38"/>
  <c r="I531" i="16"/>
  <c r="F5137" i="38"/>
  <c r="L547" i="16"/>
  <c r="I5147" i="38"/>
  <c r="M563" i="16"/>
  <c r="J5157" i="38"/>
  <c r="G564" i="16"/>
  <c r="D5161" i="38"/>
  <c r="I595" i="16"/>
  <c r="F5177" i="38"/>
  <c r="L611" i="16"/>
  <c r="I5187" i="38"/>
  <c r="I371" i="15"/>
  <c r="F4857" i="38"/>
  <c r="L387" i="15"/>
  <c r="I4867" i="38"/>
  <c r="M403" i="15"/>
  <c r="J4877" i="38"/>
  <c r="G404" i="15"/>
  <c r="D4881" i="38"/>
  <c r="I435" i="15"/>
  <c r="F4897" i="38"/>
  <c r="L451" i="15"/>
  <c r="I4907" i="38"/>
  <c r="M467" i="15"/>
  <c r="J4917" i="38"/>
  <c r="G468" i="15"/>
  <c r="D4921" i="38"/>
  <c r="I499" i="15"/>
  <c r="F4937" i="38"/>
  <c r="L515" i="15"/>
  <c r="I4947" i="38"/>
  <c r="M531" i="15"/>
  <c r="J4957" i="38"/>
  <c r="G532" i="15"/>
  <c r="D4961" i="38"/>
  <c r="I563" i="15"/>
  <c r="F4977" i="38"/>
  <c r="L579" i="15"/>
  <c r="I4987" i="38"/>
  <c r="M595" i="15"/>
  <c r="J4997" i="38"/>
  <c r="G596" i="15"/>
  <c r="D5001" i="38"/>
  <c r="L371" i="14"/>
  <c r="I4677" i="38"/>
  <c r="M387" i="14"/>
  <c r="J4687" i="38"/>
  <c r="G388" i="14"/>
  <c r="D4691" i="38"/>
  <c r="I419" i="14"/>
  <c r="F4707" i="38"/>
  <c r="L435" i="14"/>
  <c r="I4717" i="38"/>
  <c r="M451" i="14"/>
  <c r="J4727" i="38"/>
  <c r="G452" i="14"/>
  <c r="D4731" i="38"/>
  <c r="I483" i="14"/>
  <c r="F4747" i="38"/>
  <c r="L499" i="14"/>
  <c r="I4757" i="38"/>
  <c r="M515" i="14"/>
  <c r="J4767" i="38"/>
  <c r="G516" i="14"/>
  <c r="D4771" i="38"/>
  <c r="I547" i="14"/>
  <c r="F4787" i="38"/>
  <c r="L563" i="14"/>
  <c r="I4797" i="38"/>
  <c r="M579" i="14"/>
  <c r="J4807" i="38"/>
  <c r="G580" i="14"/>
  <c r="D4811" i="38"/>
  <c r="I611" i="14"/>
  <c r="F4827" i="38"/>
  <c r="G356" i="12"/>
  <c r="D4311" i="38"/>
  <c r="I387" i="12"/>
  <c r="F4327" i="38"/>
  <c r="L403" i="12"/>
  <c r="I4337" i="38"/>
  <c r="M419" i="12"/>
  <c r="J4347" i="38"/>
  <c r="G420" i="12"/>
  <c r="D4351" i="38"/>
  <c r="I451" i="12"/>
  <c r="F4367" i="38"/>
  <c r="L467" i="12"/>
  <c r="I4377" i="38"/>
  <c r="M483" i="12"/>
  <c r="J4387" i="38"/>
  <c r="G484" i="12"/>
  <c r="D4391" i="38"/>
  <c r="I515" i="12"/>
  <c r="F4407" i="38"/>
  <c r="L531" i="12"/>
  <c r="I4417" i="38"/>
  <c r="M547" i="12"/>
  <c r="J4427" i="38"/>
  <c r="G548" i="12"/>
  <c r="D4431" i="38"/>
  <c r="I579" i="12"/>
  <c r="F4447" i="38"/>
  <c r="L595" i="12"/>
  <c r="I4457" i="38"/>
  <c r="M611" i="12"/>
  <c r="J4467" i="38"/>
  <c r="G612" i="12"/>
  <c r="D4471" i="38"/>
  <c r="L371" i="11"/>
  <c r="I4137" i="38"/>
  <c r="M387" i="11"/>
  <c r="J4147" i="38"/>
  <c r="G388" i="11"/>
  <c r="D4151" i="38"/>
  <c r="I419" i="11"/>
  <c r="F4167" i="38"/>
  <c r="L435" i="11"/>
  <c r="I4177" i="38"/>
  <c r="M451" i="11"/>
  <c r="J4187" i="38"/>
  <c r="G452" i="11"/>
  <c r="D4191" i="38"/>
  <c r="I483" i="11"/>
  <c r="F4207" i="38"/>
  <c r="L499" i="11"/>
  <c r="I4217" i="38"/>
  <c r="M515" i="11"/>
  <c r="J4227" i="38"/>
  <c r="G516" i="11"/>
  <c r="D4231" i="38"/>
  <c r="I547" i="11"/>
  <c r="F4247" i="38"/>
  <c r="L563" i="11"/>
  <c r="I4257" i="38"/>
  <c r="M579" i="11"/>
  <c r="J4267" i="38"/>
  <c r="G580" i="11"/>
  <c r="D4271" i="38"/>
  <c r="I611" i="11"/>
  <c r="F4287" i="38"/>
  <c r="G356" i="10"/>
  <c r="D3951" i="38"/>
  <c r="I387" i="10"/>
  <c r="F3967" i="38"/>
  <c r="L403" i="10"/>
  <c r="I3977" i="38"/>
  <c r="M419" i="10"/>
  <c r="J3987" i="38"/>
  <c r="G420" i="10"/>
  <c r="D3991" i="38"/>
  <c r="I451" i="10"/>
  <c r="F4007" i="38"/>
  <c r="L467" i="10"/>
  <c r="I4017" i="38"/>
  <c r="M483" i="10"/>
  <c r="J4027" i="38"/>
  <c r="G484" i="10"/>
  <c r="D4031" i="38"/>
  <c r="I515" i="10"/>
  <c r="F4047" i="38"/>
  <c r="L531" i="10"/>
  <c r="I4057" i="38"/>
  <c r="M547" i="10"/>
  <c r="J4067" i="38"/>
  <c r="G548" i="10"/>
  <c r="D4071" i="38"/>
  <c r="I579" i="10"/>
  <c r="F4087" i="38"/>
  <c r="L595" i="10"/>
  <c r="I4097" i="38"/>
  <c r="M611" i="10"/>
  <c r="J4107" i="38"/>
  <c r="G612" i="10"/>
  <c r="D4111" i="38"/>
  <c r="M339" i="9"/>
  <c r="K2256" i="38" s="1"/>
  <c r="I371" i="9"/>
  <c r="F3777" i="38"/>
  <c r="L387" i="9"/>
  <c r="I3787" i="38"/>
  <c r="M403" i="9"/>
  <c r="J3797" i="38"/>
  <c r="G404" i="9"/>
  <c r="D3801" i="38"/>
  <c r="I435" i="9"/>
  <c r="F3817" i="38"/>
  <c r="L451" i="9"/>
  <c r="I3827" i="38"/>
  <c r="M467" i="9"/>
  <c r="J3837" i="38"/>
  <c r="G468" i="9"/>
  <c r="D3841" i="38"/>
  <c r="I499" i="9"/>
  <c r="F3857" i="38"/>
  <c r="L515" i="9"/>
  <c r="I3867" i="38"/>
  <c r="M531" i="9"/>
  <c r="J3877" i="38"/>
  <c r="G532" i="9"/>
  <c r="D3881" i="38"/>
  <c r="I563" i="9"/>
  <c r="F3897" i="38"/>
  <c r="L579" i="9"/>
  <c r="I3907" i="38"/>
  <c r="M595" i="9"/>
  <c r="J3917" i="38"/>
  <c r="G596" i="9"/>
  <c r="D3921" i="38"/>
  <c r="I355" i="8"/>
  <c r="L371" i="8"/>
  <c r="I3597" i="38"/>
  <c r="M387" i="8"/>
  <c r="J3607" i="38"/>
  <c r="G388" i="8"/>
  <c r="D3611" i="38"/>
  <c r="I419" i="8"/>
  <c r="F3627" i="38"/>
  <c r="L435" i="8"/>
  <c r="I3637" i="38"/>
  <c r="M451" i="8"/>
  <c r="J3647" i="38"/>
  <c r="G452" i="8"/>
  <c r="D3651" i="38"/>
  <c r="I483" i="8"/>
  <c r="F3667" i="38"/>
  <c r="L499" i="8"/>
  <c r="I3677" i="38"/>
  <c r="M515" i="8"/>
  <c r="J3687" i="38"/>
  <c r="G516" i="8"/>
  <c r="D3691" i="38"/>
  <c r="I547" i="8"/>
  <c r="F3707" i="38"/>
  <c r="L563" i="8"/>
  <c r="I3717" i="38"/>
  <c r="M579" i="8"/>
  <c r="J3727" i="38"/>
  <c r="G580" i="8"/>
  <c r="D3731" i="38"/>
  <c r="I611" i="8"/>
  <c r="F3747" i="38"/>
  <c r="I339" i="7"/>
  <c r="I2220" i="38" s="1"/>
  <c r="L355" i="7"/>
  <c r="M371" i="7"/>
  <c r="J3417" i="38"/>
  <c r="G372" i="7"/>
  <c r="D3421" i="38"/>
  <c r="I403" i="7"/>
  <c r="F3437" i="38"/>
  <c r="L419" i="7"/>
  <c r="I3447" i="38"/>
  <c r="M435" i="7"/>
  <c r="J3457" i="38"/>
  <c r="G436" i="7"/>
  <c r="D3461" i="38"/>
  <c r="I467" i="7"/>
  <c r="F3477" i="38"/>
  <c r="L483" i="7"/>
  <c r="I3487" i="38"/>
  <c r="M499" i="7"/>
  <c r="J3497" i="38"/>
  <c r="G500" i="7"/>
  <c r="D3501" i="38"/>
  <c r="I531" i="7"/>
  <c r="F3517" i="38"/>
  <c r="L547" i="7"/>
  <c r="I3527" i="38"/>
  <c r="M563" i="7"/>
  <c r="J3537" i="38"/>
  <c r="G564" i="7"/>
  <c r="D3541" i="38"/>
  <c r="I595" i="7"/>
  <c r="F3557" i="38"/>
  <c r="L611" i="7"/>
  <c r="I3567" i="38"/>
  <c r="M339" i="6"/>
  <c r="K2202" i="38" s="1"/>
  <c r="I371" i="6"/>
  <c r="F3237" i="38"/>
  <c r="L387" i="6"/>
  <c r="I3247" i="38"/>
  <c r="M403" i="6"/>
  <c r="J3257" i="38"/>
  <c r="G404" i="6"/>
  <c r="D3261" i="38"/>
  <c r="I435" i="6"/>
  <c r="F3277" i="38"/>
  <c r="L451" i="6"/>
  <c r="I3287" i="38"/>
  <c r="M467" i="6"/>
  <c r="J3297" i="38"/>
  <c r="G468" i="6"/>
  <c r="D3301" i="38"/>
  <c r="I499" i="6"/>
  <c r="F3317" i="38"/>
  <c r="L515" i="6"/>
  <c r="I3327" i="38"/>
  <c r="M531" i="6"/>
  <c r="J3337" i="38"/>
  <c r="G532" i="6"/>
  <c r="D3341" i="38"/>
  <c r="I563" i="6"/>
  <c r="F3357" i="38"/>
  <c r="L579" i="6"/>
  <c r="I3367" i="38"/>
  <c r="M595" i="6"/>
  <c r="J3377" i="38"/>
  <c r="G596" i="6"/>
  <c r="D3381" i="38"/>
  <c r="I339" i="5"/>
  <c r="I2184" i="38" s="1"/>
  <c r="L355" i="5"/>
  <c r="M371" i="5"/>
  <c r="J3057" i="38"/>
  <c r="G372" i="5"/>
  <c r="D3061" i="38"/>
  <c r="I403" i="5"/>
  <c r="F3077" i="38"/>
  <c r="L419" i="5"/>
  <c r="I3087" i="38"/>
  <c r="M435" i="5"/>
  <c r="J3097" i="38"/>
  <c r="G436" i="5"/>
  <c r="D3101" i="38"/>
  <c r="I467" i="5"/>
  <c r="F3117" i="38"/>
  <c r="L483" i="5"/>
  <c r="I3127" i="38"/>
  <c r="M499" i="5"/>
  <c r="J3137" i="38"/>
  <c r="G500" i="5"/>
  <c r="D3141" i="38"/>
  <c r="I531" i="5"/>
  <c r="F3157" i="38"/>
  <c r="L547" i="5"/>
  <c r="I3167" i="38"/>
  <c r="M563" i="5"/>
  <c r="J3177" i="38"/>
  <c r="G564" i="5"/>
  <c r="D3181" i="38"/>
  <c r="I595" i="5"/>
  <c r="F3197" i="38"/>
  <c r="L611" i="5"/>
  <c r="I3207" i="38"/>
  <c r="I371" i="4"/>
  <c r="F2877" i="38"/>
  <c r="L387" i="4"/>
  <c r="I2887" i="38"/>
  <c r="M403" i="4"/>
  <c r="J2897" i="38"/>
  <c r="G404" i="4"/>
  <c r="D2901" i="38"/>
  <c r="I435" i="4"/>
  <c r="F2917" i="38"/>
  <c r="L451" i="4"/>
  <c r="I2927" i="38"/>
  <c r="M467" i="4"/>
  <c r="J2937" i="38"/>
  <c r="G468" i="4"/>
  <c r="D2941" i="38"/>
  <c r="I499" i="4"/>
  <c r="F2957" i="38"/>
  <c r="L515" i="4"/>
  <c r="I2967" i="38"/>
  <c r="M531" i="4"/>
  <c r="J2977" i="38"/>
  <c r="G532" i="4"/>
  <c r="D2981" i="38"/>
  <c r="I563" i="4"/>
  <c r="F2997" i="38"/>
  <c r="L579" i="4"/>
  <c r="I3007" i="38"/>
  <c r="M595" i="4"/>
  <c r="J3017" i="38"/>
  <c r="G596" i="4"/>
  <c r="D3021" i="38"/>
  <c r="G2166" i="38"/>
  <c r="G2170" i="38"/>
  <c r="G2174" i="38"/>
  <c r="G2178" i="38"/>
  <c r="G2182" i="38"/>
  <c r="G2184" i="38"/>
  <c r="G2186" i="38"/>
  <c r="G2190" i="38"/>
  <c r="G2194" i="38"/>
  <c r="G2198" i="38"/>
  <c r="G2202" i="38"/>
  <c r="I2203" i="38"/>
  <c r="G2206" i="38"/>
  <c r="G2210" i="38"/>
  <c r="G2214" i="38"/>
  <c r="G2218" i="38"/>
  <c r="G2220" i="38"/>
  <c r="G2222" i="38"/>
  <c r="G2226" i="38"/>
  <c r="G2230" i="38"/>
  <c r="G2234" i="38"/>
  <c r="G2238" i="38"/>
  <c r="G2242" i="38"/>
  <c r="G2246" i="38"/>
  <c r="G2250" i="38"/>
  <c r="G2254" i="38"/>
  <c r="G2256" i="38"/>
  <c r="I2257" i="38"/>
  <c r="G2260" i="38"/>
  <c r="G2264" i="38"/>
  <c r="G2268" i="38"/>
  <c r="G2272" i="38"/>
  <c r="G2274" i="38"/>
  <c r="I2275" i="38"/>
  <c r="G2276" i="38"/>
  <c r="G2280" i="38"/>
  <c r="G2284" i="38"/>
  <c r="G2288" i="38"/>
  <c r="G2292" i="38"/>
  <c r="I2293" i="38"/>
  <c r="G2296" i="38"/>
  <c r="G2300" i="38"/>
  <c r="G2304" i="38"/>
  <c r="G2308" i="38"/>
  <c r="G2310" i="38"/>
  <c r="G2312" i="38"/>
  <c r="G2316" i="38"/>
  <c r="G2320" i="38"/>
  <c r="G2324" i="38"/>
  <c r="G2346" i="38"/>
  <c r="I2347" i="38"/>
  <c r="G2350" i="38"/>
  <c r="G2354" i="38"/>
  <c r="G2358" i="38"/>
  <c r="G2362" i="38"/>
  <c r="G2364" i="38"/>
  <c r="I2365" i="38"/>
  <c r="G2382" i="38"/>
  <c r="G2418" i="38"/>
  <c r="G2432" i="38"/>
  <c r="J7911" i="38"/>
  <c r="K2671" i="38"/>
  <c r="L403" i="32"/>
  <c r="I7937" i="38"/>
  <c r="G484" i="32"/>
  <c r="D7991" i="38"/>
  <c r="G2679" i="38"/>
  <c r="I515" i="32"/>
  <c r="I517" i="32" s="1"/>
  <c r="F8007" i="38"/>
  <c r="L387" i="31"/>
  <c r="I7747" i="38"/>
  <c r="L451" i="31"/>
  <c r="I7787" i="38"/>
  <c r="G468" i="31"/>
  <c r="D7801" i="38"/>
  <c r="G2660" i="38"/>
  <c r="G532" i="31"/>
  <c r="I533" i="31" s="1"/>
  <c r="D7841" i="38"/>
  <c r="G2664" i="38"/>
  <c r="I563" i="31"/>
  <c r="F7857" i="38"/>
  <c r="L579" i="31"/>
  <c r="I7867" i="38"/>
  <c r="G596" i="31"/>
  <c r="D7881" i="38"/>
  <c r="G2668" i="38"/>
  <c r="M371" i="30"/>
  <c r="J7557" i="38"/>
  <c r="G436" i="30"/>
  <c r="D7601" i="38"/>
  <c r="G2640" i="38"/>
  <c r="M563" i="30"/>
  <c r="J7677" i="38"/>
  <c r="I595" i="30"/>
  <c r="F7697" i="38"/>
  <c r="J7371" i="38"/>
  <c r="K2617" i="38"/>
  <c r="G356" i="29"/>
  <c r="D7371" i="38"/>
  <c r="G2617" i="38"/>
  <c r="G484" i="29"/>
  <c r="D7451" i="38"/>
  <c r="G2625" i="38"/>
  <c r="L531" i="29"/>
  <c r="I7477" i="38"/>
  <c r="I579" i="29"/>
  <c r="F7507" i="38"/>
  <c r="M611" i="29"/>
  <c r="J7527" i="38"/>
  <c r="L387" i="28"/>
  <c r="I7207" i="38"/>
  <c r="M531" i="28"/>
  <c r="J7297" i="38"/>
  <c r="I7011" i="38"/>
  <c r="J2581" i="38"/>
  <c r="G372" i="27"/>
  <c r="D7021" i="38"/>
  <c r="G2582" i="38"/>
  <c r="M483" i="26"/>
  <c r="J6907" i="38"/>
  <c r="G484" i="26"/>
  <c r="D6911" i="38"/>
  <c r="G2571" i="38"/>
  <c r="I515" i="26"/>
  <c r="F6927" i="38"/>
  <c r="G612" i="26"/>
  <c r="D6991" i="38"/>
  <c r="G2579" i="38"/>
  <c r="G340" i="25"/>
  <c r="H2544" i="38" s="1"/>
  <c r="G2544" i="38"/>
  <c r="M403" i="25"/>
  <c r="J6677" i="38"/>
  <c r="M467" i="25"/>
  <c r="J6717" i="38"/>
  <c r="I499" i="25"/>
  <c r="F6737" i="38"/>
  <c r="I563" i="25"/>
  <c r="F6777" i="38"/>
  <c r="L579" i="25"/>
  <c r="I6787" i="38"/>
  <c r="M595" i="25"/>
  <c r="J6797" i="38"/>
  <c r="F6471" i="38"/>
  <c r="I2527" i="38"/>
  <c r="G516" i="24"/>
  <c r="D6571" i="38"/>
  <c r="G2537" i="38"/>
  <c r="G580" i="24"/>
  <c r="D6611" i="38"/>
  <c r="G2541" i="38"/>
  <c r="I611" i="24"/>
  <c r="F6627" i="38"/>
  <c r="G404" i="22"/>
  <c r="D6141" i="38"/>
  <c r="G2494" i="38"/>
  <c r="L451" i="22"/>
  <c r="I6167" i="38"/>
  <c r="M531" i="22"/>
  <c r="J6217" i="38"/>
  <c r="G596" i="22"/>
  <c r="I597" i="22" s="1"/>
  <c r="D6261" i="38"/>
  <c r="G2506" i="38"/>
  <c r="I339" i="32"/>
  <c r="I2670" i="38" s="1"/>
  <c r="L355" i="32"/>
  <c r="M371" i="32"/>
  <c r="J7917" i="38"/>
  <c r="G372" i="32"/>
  <c r="D7921" i="38"/>
  <c r="G2672" i="38"/>
  <c r="I403" i="32"/>
  <c r="F7937" i="38"/>
  <c r="L419" i="32"/>
  <c r="I7947" i="38"/>
  <c r="M435" i="32"/>
  <c r="J7957" i="38"/>
  <c r="G436" i="32"/>
  <c r="D7961" i="38"/>
  <c r="G2676" i="38"/>
  <c r="I467" i="32"/>
  <c r="F7977" i="38"/>
  <c r="L483" i="32"/>
  <c r="I7987" i="38"/>
  <c r="M499" i="32"/>
  <c r="J7997" i="38"/>
  <c r="G500" i="32"/>
  <c r="D8001" i="38"/>
  <c r="G2680" i="38"/>
  <c r="I531" i="32"/>
  <c r="I533" i="32" s="1"/>
  <c r="F8017" i="38"/>
  <c r="L547" i="32"/>
  <c r="I8027" i="38"/>
  <c r="M563" i="32"/>
  <c r="J8037" i="38"/>
  <c r="G564" i="32"/>
  <c r="D8041" i="38"/>
  <c r="G2684" i="38"/>
  <c r="I595" i="32"/>
  <c r="F8057" i="38"/>
  <c r="L611" i="32"/>
  <c r="I8067" i="38"/>
  <c r="L339" i="31"/>
  <c r="J2652" i="38" s="1"/>
  <c r="M355" i="31"/>
  <c r="G356" i="31"/>
  <c r="D7731" i="38"/>
  <c r="G2653" i="38"/>
  <c r="I387" i="31"/>
  <c r="F7747" i="38"/>
  <c r="L403" i="31"/>
  <c r="I7757" i="38"/>
  <c r="M419" i="31"/>
  <c r="J7767" i="38"/>
  <c r="G420" i="31"/>
  <c r="D7771" i="38"/>
  <c r="G2657" i="38"/>
  <c r="I451" i="31"/>
  <c r="F7787" i="38"/>
  <c r="L467" i="31"/>
  <c r="I7797" i="38"/>
  <c r="M483" i="31"/>
  <c r="J7807" i="38"/>
  <c r="G484" i="31"/>
  <c r="D7811" i="38"/>
  <c r="G2661" i="38"/>
  <c r="I515" i="31"/>
  <c r="F7827" i="38"/>
  <c r="L531" i="31"/>
  <c r="I7837" i="38"/>
  <c r="M547" i="31"/>
  <c r="J7847" i="38"/>
  <c r="G548" i="31"/>
  <c r="D7851" i="38"/>
  <c r="G2665" i="38"/>
  <c r="I579" i="31"/>
  <c r="I581" i="31" s="1"/>
  <c r="F7867" i="38"/>
  <c r="L595" i="31"/>
  <c r="I7877" i="38"/>
  <c r="M611" i="31"/>
  <c r="J7887" i="38"/>
  <c r="G612" i="31"/>
  <c r="D7891" i="38"/>
  <c r="G2669" i="38"/>
  <c r="I355" i="30"/>
  <c r="L371" i="30"/>
  <c r="I7557" i="38"/>
  <c r="M387" i="30"/>
  <c r="J7567" i="38"/>
  <c r="G388" i="30"/>
  <c r="D7571" i="38"/>
  <c r="G2637" i="38"/>
  <c r="I419" i="30"/>
  <c r="F7587" i="38"/>
  <c r="L435" i="30"/>
  <c r="I7597" i="38"/>
  <c r="M451" i="30"/>
  <c r="J7607" i="38"/>
  <c r="G452" i="30"/>
  <c r="I453" i="30" s="1"/>
  <c r="D7611" i="38"/>
  <c r="G2641" i="38"/>
  <c r="I483" i="30"/>
  <c r="F7627" i="38"/>
  <c r="L499" i="30"/>
  <c r="I7637" i="38"/>
  <c r="M515" i="30"/>
  <c r="J7647" i="38"/>
  <c r="G516" i="30"/>
  <c r="D7651" i="38"/>
  <c r="G2645" i="38"/>
  <c r="I547" i="30"/>
  <c r="I549" i="30" s="1"/>
  <c r="F7667" i="38"/>
  <c r="L563" i="30"/>
  <c r="I7677" i="38"/>
  <c r="M579" i="30"/>
  <c r="J7687" i="38"/>
  <c r="G580" i="30"/>
  <c r="D7691" i="38"/>
  <c r="G2649" i="38"/>
  <c r="I611" i="30"/>
  <c r="F7707" i="38"/>
  <c r="I339" i="29"/>
  <c r="I2616" i="38" s="1"/>
  <c r="L355" i="29"/>
  <c r="M371" i="29"/>
  <c r="J7377" i="38"/>
  <c r="G372" i="29"/>
  <c r="D7381" i="38"/>
  <c r="G2618" i="38"/>
  <c r="I403" i="29"/>
  <c r="F7397" i="38"/>
  <c r="L419" i="29"/>
  <c r="I7407" i="38"/>
  <c r="M435" i="29"/>
  <c r="J7417" i="38"/>
  <c r="G436" i="29"/>
  <c r="D7421" i="38"/>
  <c r="G2622" i="38"/>
  <c r="I467" i="29"/>
  <c r="F7437" i="38"/>
  <c r="L483" i="29"/>
  <c r="I7447" i="38"/>
  <c r="M499" i="29"/>
  <c r="J7457" i="38"/>
  <c r="G500" i="29"/>
  <c r="D7461" i="38"/>
  <c r="G2626" i="38"/>
  <c r="I531" i="29"/>
  <c r="F7477" i="38"/>
  <c r="L547" i="29"/>
  <c r="I7487" i="38"/>
  <c r="M563" i="29"/>
  <c r="J7497" i="38"/>
  <c r="G564" i="29"/>
  <c r="D7501" i="38"/>
  <c r="G2630" i="38"/>
  <c r="I595" i="29"/>
  <c r="F7517" i="38"/>
  <c r="L611" i="29"/>
  <c r="I7527" i="38"/>
  <c r="L339" i="28"/>
  <c r="J2598" i="38" s="1"/>
  <c r="M355" i="28"/>
  <c r="G356" i="28"/>
  <c r="I357" i="28" s="1"/>
  <c r="D7191" i="38"/>
  <c r="G2599" i="38"/>
  <c r="I387" i="28"/>
  <c r="F7207" i="38"/>
  <c r="L403" i="28"/>
  <c r="I7217" i="38"/>
  <c r="M419" i="28"/>
  <c r="J7227" i="38"/>
  <c r="G420" i="28"/>
  <c r="D7231" i="38"/>
  <c r="G2603" i="38"/>
  <c r="I451" i="28"/>
  <c r="F7247" i="38"/>
  <c r="L467" i="28"/>
  <c r="I7257" i="38"/>
  <c r="M483" i="28"/>
  <c r="J7267" i="38"/>
  <c r="G484" i="28"/>
  <c r="D7271" i="38"/>
  <c r="G2607" i="38"/>
  <c r="I515" i="28"/>
  <c r="F7287" i="38"/>
  <c r="L531" i="28"/>
  <c r="I7297" i="38"/>
  <c r="M547" i="28"/>
  <c r="J7307" i="38"/>
  <c r="G548" i="28"/>
  <c r="D7311" i="38"/>
  <c r="G2611" i="38"/>
  <c r="I579" i="28"/>
  <c r="F7327" i="38"/>
  <c r="L595" i="28"/>
  <c r="I7337" i="38"/>
  <c r="M611" i="28"/>
  <c r="J7347" i="38"/>
  <c r="G612" i="28"/>
  <c r="I613" i="28" s="1"/>
  <c r="D7351" i="38"/>
  <c r="G2615" i="38"/>
  <c r="I355" i="27"/>
  <c r="L371" i="27"/>
  <c r="I7017" i="38"/>
  <c r="M387" i="27"/>
  <c r="J7027" i="38"/>
  <c r="G388" i="27"/>
  <c r="D7031" i="38"/>
  <c r="G2583" i="38"/>
  <c r="I419" i="27"/>
  <c r="I421" i="27" s="1"/>
  <c r="F7047" i="38"/>
  <c r="L435" i="27"/>
  <c r="I7057" i="38"/>
  <c r="M451" i="27"/>
  <c r="J7067" i="38"/>
  <c r="G452" i="27"/>
  <c r="D7071" i="38"/>
  <c r="G2587" i="38"/>
  <c r="I483" i="27"/>
  <c r="F7087" i="38"/>
  <c r="L499" i="27"/>
  <c r="I7097" i="38"/>
  <c r="M515" i="27"/>
  <c r="J7107" i="38"/>
  <c r="G516" i="27"/>
  <c r="I517" i="27" s="1"/>
  <c r="D7111" i="38"/>
  <c r="G2591" i="38"/>
  <c r="I547" i="27"/>
  <c r="F7127" i="38"/>
  <c r="L563" i="27"/>
  <c r="I7137" i="38"/>
  <c r="M579" i="27"/>
  <c r="J7147" i="38"/>
  <c r="G580" i="27"/>
  <c r="D7151" i="38"/>
  <c r="G2595" i="38"/>
  <c r="I611" i="27"/>
  <c r="F7167" i="38"/>
  <c r="I339" i="26"/>
  <c r="I2562" i="38" s="1"/>
  <c r="L355" i="26"/>
  <c r="M371" i="26"/>
  <c r="J6837" i="38"/>
  <c r="G372" i="26"/>
  <c r="I373" i="26" s="1"/>
  <c r="D6841" i="38"/>
  <c r="G2564" i="38"/>
  <c r="I403" i="26"/>
  <c r="F6857" i="38"/>
  <c r="L419" i="26"/>
  <c r="I6867" i="38"/>
  <c r="M435" i="26"/>
  <c r="J6877" i="38"/>
  <c r="G436" i="26"/>
  <c r="D6881" i="38"/>
  <c r="G2568" i="38"/>
  <c r="I467" i="26"/>
  <c r="F6897" i="38"/>
  <c r="L483" i="26"/>
  <c r="I6907" i="38"/>
  <c r="M499" i="26"/>
  <c r="J6917" i="38"/>
  <c r="G500" i="26"/>
  <c r="D6921" i="38"/>
  <c r="G2572" i="38"/>
  <c r="I531" i="26"/>
  <c r="F6937" i="38"/>
  <c r="L547" i="26"/>
  <c r="I6947" i="38"/>
  <c r="M563" i="26"/>
  <c r="J6957" i="38"/>
  <c r="G564" i="26"/>
  <c r="D6961" i="38"/>
  <c r="G2576" i="38"/>
  <c r="I595" i="26"/>
  <c r="F6977" i="38"/>
  <c r="L611" i="26"/>
  <c r="I6987" i="38"/>
  <c r="L339" i="25"/>
  <c r="J2544" i="38" s="1"/>
  <c r="M355" i="25"/>
  <c r="G356" i="25"/>
  <c r="D6651" i="38"/>
  <c r="G2545" i="38"/>
  <c r="I387" i="25"/>
  <c r="F6667" i="38"/>
  <c r="L403" i="25"/>
  <c r="I6677" i="38"/>
  <c r="M419" i="25"/>
  <c r="J6687" i="38"/>
  <c r="G420" i="25"/>
  <c r="D6691" i="38"/>
  <c r="G2549" i="38"/>
  <c r="I451" i="25"/>
  <c r="F6707" i="38"/>
  <c r="L467" i="25"/>
  <c r="I6717" i="38"/>
  <c r="M483" i="25"/>
  <c r="J6727" i="38"/>
  <c r="G484" i="25"/>
  <c r="D6731" i="38"/>
  <c r="G2553" i="38"/>
  <c r="I515" i="25"/>
  <c r="F6747" i="38"/>
  <c r="L531" i="25"/>
  <c r="I6757" i="38"/>
  <c r="M547" i="25"/>
  <c r="J6767" i="38"/>
  <c r="G548" i="25"/>
  <c r="I549" i="25" s="1"/>
  <c r="D6771" i="38"/>
  <c r="G2557" i="38"/>
  <c r="I579" i="25"/>
  <c r="F6787" i="38"/>
  <c r="L595" i="25"/>
  <c r="I6797" i="38"/>
  <c r="M611" i="25"/>
  <c r="J6807" i="38"/>
  <c r="G612" i="25"/>
  <c r="D6811" i="38"/>
  <c r="G2561" i="38"/>
  <c r="M339" i="24"/>
  <c r="K2526" i="38" s="1"/>
  <c r="G340" i="24"/>
  <c r="H2526" i="38" s="1"/>
  <c r="G2526" i="38"/>
  <c r="I371" i="24"/>
  <c r="F6477" i="38"/>
  <c r="L387" i="24"/>
  <c r="I6487" i="38"/>
  <c r="M403" i="24"/>
  <c r="J6497" i="38"/>
  <c r="G404" i="24"/>
  <c r="D6501" i="38"/>
  <c r="G2530" i="38"/>
  <c r="I435" i="24"/>
  <c r="F6517" i="38"/>
  <c r="L451" i="24"/>
  <c r="I6527" i="38"/>
  <c r="M467" i="24"/>
  <c r="J6537" i="38"/>
  <c r="G468" i="24"/>
  <c r="D6541" i="38"/>
  <c r="G2534" i="38"/>
  <c r="I499" i="24"/>
  <c r="F6557" i="38"/>
  <c r="L515" i="24"/>
  <c r="I6567" i="38"/>
  <c r="M531" i="24"/>
  <c r="J6577" i="38"/>
  <c r="G532" i="24"/>
  <c r="D6581" i="38"/>
  <c r="G2538" i="38"/>
  <c r="I563" i="24"/>
  <c r="F6597" i="38"/>
  <c r="L579" i="24"/>
  <c r="I6607" i="38"/>
  <c r="M595" i="24"/>
  <c r="J6617" i="38"/>
  <c r="G596" i="24"/>
  <c r="D6621" i="38"/>
  <c r="G2542" i="38"/>
  <c r="I339" i="23"/>
  <c r="I2508" i="38" s="1"/>
  <c r="L355" i="23"/>
  <c r="M371" i="23"/>
  <c r="J6297" i="38"/>
  <c r="G372" i="23"/>
  <c r="D6301" i="38"/>
  <c r="G2510" i="38"/>
  <c r="I403" i="23"/>
  <c r="F6317" i="38"/>
  <c r="L419" i="23"/>
  <c r="I6327" i="38"/>
  <c r="M435" i="23"/>
  <c r="J6337" i="38"/>
  <c r="G436" i="23"/>
  <c r="D6341" i="38"/>
  <c r="G2514" i="38"/>
  <c r="I467" i="23"/>
  <c r="F6357" i="38"/>
  <c r="L483" i="23"/>
  <c r="I6367" i="38"/>
  <c r="M499" i="23"/>
  <c r="J6377" i="38"/>
  <c r="G500" i="23"/>
  <c r="D6381" i="38"/>
  <c r="G2518" i="38"/>
  <c r="I531" i="23"/>
  <c r="I533" i="23" s="1"/>
  <c r="F6397" i="38"/>
  <c r="L547" i="23"/>
  <c r="I6407" i="38"/>
  <c r="M563" i="23"/>
  <c r="J6417" i="38"/>
  <c r="G564" i="23"/>
  <c r="D6421" i="38"/>
  <c r="G2522" i="38"/>
  <c r="I595" i="23"/>
  <c r="F6437" i="38"/>
  <c r="L611" i="23"/>
  <c r="I6447" i="38"/>
  <c r="L339" i="22"/>
  <c r="J2490" i="38" s="1"/>
  <c r="M355" i="22"/>
  <c r="G356" i="22"/>
  <c r="D6111" i="38"/>
  <c r="G2491" i="38"/>
  <c r="I387" i="22"/>
  <c r="F6127" i="38"/>
  <c r="L403" i="22"/>
  <c r="I6137" i="38"/>
  <c r="M419" i="22"/>
  <c r="J6147" i="38"/>
  <c r="G420" i="22"/>
  <c r="D6151" i="38"/>
  <c r="G2495" i="38"/>
  <c r="I451" i="22"/>
  <c r="F6167" i="38"/>
  <c r="L467" i="22"/>
  <c r="I6177" i="38"/>
  <c r="M483" i="22"/>
  <c r="J6187" i="38"/>
  <c r="G484" i="22"/>
  <c r="D6191" i="38"/>
  <c r="G2499" i="38"/>
  <c r="I515" i="22"/>
  <c r="F6207" i="38"/>
  <c r="L531" i="22"/>
  <c r="I6217" i="38"/>
  <c r="M547" i="22"/>
  <c r="J6227" i="38"/>
  <c r="G548" i="22"/>
  <c r="I549" i="22" s="1"/>
  <c r="D6231" i="38"/>
  <c r="G2503" i="38"/>
  <c r="I579" i="22"/>
  <c r="F6247" i="38"/>
  <c r="L595" i="22"/>
  <c r="I6257" i="38"/>
  <c r="M611" i="22"/>
  <c r="J6267" i="38"/>
  <c r="G612" i="22"/>
  <c r="D6271" i="38"/>
  <c r="G2507" i="38"/>
  <c r="M339" i="21"/>
  <c r="K2472" i="38" s="1"/>
  <c r="G340" i="21"/>
  <c r="H2472" i="38" s="1"/>
  <c r="G2472" i="38"/>
  <c r="I371" i="21"/>
  <c r="F5937" i="38"/>
  <c r="L387" i="21"/>
  <c r="I5947" i="38"/>
  <c r="M403" i="21"/>
  <c r="J5957" i="38"/>
  <c r="G404" i="21"/>
  <c r="D5961" i="38"/>
  <c r="G2476" i="38"/>
  <c r="I435" i="21"/>
  <c r="F5977" i="38"/>
  <c r="L451" i="21"/>
  <c r="I5987" i="38"/>
  <c r="M467" i="21"/>
  <c r="J5997" i="38"/>
  <c r="G468" i="21"/>
  <c r="D6001" i="38"/>
  <c r="G2480" i="38"/>
  <c r="I499" i="21"/>
  <c r="F6017" i="38"/>
  <c r="L515" i="21"/>
  <c r="I6027" i="38"/>
  <c r="M531" i="21"/>
  <c r="J6037" i="38"/>
  <c r="G532" i="21"/>
  <c r="D6041" i="38"/>
  <c r="G2484" i="38"/>
  <c r="I563" i="21"/>
  <c r="F6057" i="38"/>
  <c r="L579" i="21"/>
  <c r="I6067" i="38"/>
  <c r="M595" i="21"/>
  <c r="J6077" i="38"/>
  <c r="G596" i="21"/>
  <c r="I597" i="21" s="1"/>
  <c r="D6081" i="38"/>
  <c r="G2488" i="38"/>
  <c r="I355" i="20"/>
  <c r="L371" i="20"/>
  <c r="I5757" i="38"/>
  <c r="M387" i="20"/>
  <c r="J5767" i="38"/>
  <c r="G388" i="20"/>
  <c r="D5771" i="38"/>
  <c r="G2457" i="38"/>
  <c r="I419" i="20"/>
  <c r="F5787" i="38"/>
  <c r="L435" i="20"/>
  <c r="I5797" i="38"/>
  <c r="M451" i="20"/>
  <c r="J5807" i="38"/>
  <c r="G452" i="20"/>
  <c r="I453" i="20" s="1"/>
  <c r="D5811" i="38"/>
  <c r="G2461" i="38"/>
  <c r="I483" i="20"/>
  <c r="F5827" i="38"/>
  <c r="L499" i="20"/>
  <c r="I5837" i="38"/>
  <c r="M515" i="20"/>
  <c r="J5847" i="38"/>
  <c r="G516" i="20"/>
  <c r="D5851" i="38"/>
  <c r="G2465" i="38"/>
  <c r="I547" i="20"/>
  <c r="I549" i="20" s="1"/>
  <c r="F5867" i="38"/>
  <c r="L563" i="20"/>
  <c r="I5877" i="38"/>
  <c r="M579" i="20"/>
  <c r="J5887" i="38"/>
  <c r="G580" i="20"/>
  <c r="D5891" i="38"/>
  <c r="G2469" i="38"/>
  <c r="I611" i="20"/>
  <c r="F5907" i="38"/>
  <c r="I339" i="19"/>
  <c r="I2436" i="38" s="1"/>
  <c r="L355" i="19"/>
  <c r="M371" i="19"/>
  <c r="J5577" i="38"/>
  <c r="G372" i="19"/>
  <c r="I373" i="19" s="1"/>
  <c r="D5581" i="38"/>
  <c r="G2438" i="38"/>
  <c r="I403" i="19"/>
  <c r="F5597" i="38"/>
  <c r="L419" i="19"/>
  <c r="I5607" i="38"/>
  <c r="M435" i="19"/>
  <c r="J5617" i="38"/>
  <c r="G436" i="19"/>
  <c r="D5621" i="38"/>
  <c r="G2442" i="38"/>
  <c r="I467" i="19"/>
  <c r="F5637" i="38"/>
  <c r="L483" i="19"/>
  <c r="I5647" i="38"/>
  <c r="M499" i="19"/>
  <c r="J5657" i="38"/>
  <c r="G500" i="19"/>
  <c r="I501" i="19" s="1"/>
  <c r="D5661" i="38"/>
  <c r="G2446" i="38"/>
  <c r="I531" i="19"/>
  <c r="F5677" i="38"/>
  <c r="L547" i="19"/>
  <c r="I5687" i="38"/>
  <c r="M563" i="19"/>
  <c r="J5697" i="38"/>
  <c r="G564" i="19"/>
  <c r="D5701" i="38"/>
  <c r="G2450" i="38"/>
  <c r="I595" i="19"/>
  <c r="I597" i="19" s="1"/>
  <c r="F5717" i="38"/>
  <c r="L611" i="19"/>
  <c r="I5727" i="38"/>
  <c r="I371" i="18"/>
  <c r="F5397" i="38"/>
  <c r="L387" i="18"/>
  <c r="I5407" i="38"/>
  <c r="M403" i="18"/>
  <c r="J5417" i="38"/>
  <c r="G404" i="18"/>
  <c r="D5421" i="38"/>
  <c r="I435" i="18"/>
  <c r="F5437" i="38"/>
  <c r="L451" i="18"/>
  <c r="I5447" i="38"/>
  <c r="M467" i="18"/>
  <c r="J5457" i="38"/>
  <c r="G468" i="18"/>
  <c r="D5461" i="38"/>
  <c r="I499" i="18"/>
  <c r="F5477" i="38"/>
  <c r="L515" i="18"/>
  <c r="I5487" i="38"/>
  <c r="M531" i="18"/>
  <c r="J5497" i="38"/>
  <c r="G532" i="18"/>
  <c r="D5501" i="38"/>
  <c r="I563" i="18"/>
  <c r="F5517" i="38"/>
  <c r="L579" i="18"/>
  <c r="I5527" i="38"/>
  <c r="M595" i="18"/>
  <c r="J5537" i="38"/>
  <c r="G596" i="18"/>
  <c r="D5541" i="38"/>
  <c r="L371" i="17"/>
  <c r="I5217" i="38"/>
  <c r="M387" i="17"/>
  <c r="J5227" i="38"/>
  <c r="G388" i="17"/>
  <c r="D5231" i="38"/>
  <c r="I419" i="17"/>
  <c r="F5247" i="38"/>
  <c r="L435" i="17"/>
  <c r="I5257" i="38"/>
  <c r="M451" i="17"/>
  <c r="J5267" i="38"/>
  <c r="G452" i="17"/>
  <c r="D5271" i="38"/>
  <c r="I483" i="17"/>
  <c r="F5287" i="38"/>
  <c r="L499" i="17"/>
  <c r="I5297" i="38"/>
  <c r="M515" i="17"/>
  <c r="J5307" i="38"/>
  <c r="G516" i="17"/>
  <c r="D5311" i="38"/>
  <c r="I547" i="17"/>
  <c r="F5327" i="38"/>
  <c r="L563" i="17"/>
  <c r="I5337" i="38"/>
  <c r="M579" i="17"/>
  <c r="J5347" i="38"/>
  <c r="G580" i="17"/>
  <c r="D5351" i="38"/>
  <c r="I611" i="17"/>
  <c r="F5367" i="38"/>
  <c r="L339" i="16"/>
  <c r="J2382" i="38" s="1"/>
  <c r="G356" i="16"/>
  <c r="I357" i="16" s="1"/>
  <c r="D5031" i="38"/>
  <c r="I387" i="16"/>
  <c r="F5047" i="38"/>
  <c r="L403" i="16"/>
  <c r="I5057" i="38"/>
  <c r="M419" i="16"/>
  <c r="J5067" i="38"/>
  <c r="G420" i="16"/>
  <c r="I421" i="16" s="1"/>
  <c r="D5071" i="38"/>
  <c r="I451" i="16"/>
  <c r="F5087" i="38"/>
  <c r="L467" i="16"/>
  <c r="I5097" i="38"/>
  <c r="M483" i="16"/>
  <c r="J5107" i="38"/>
  <c r="G484" i="16"/>
  <c r="I485" i="16" s="1"/>
  <c r="D5111" i="38"/>
  <c r="I515" i="16"/>
  <c r="F5127" i="38"/>
  <c r="L531" i="16"/>
  <c r="I5137" i="38"/>
  <c r="M547" i="16"/>
  <c r="J5147" i="38"/>
  <c r="G548" i="16"/>
  <c r="I549" i="16" s="1"/>
  <c r="D5151" i="38"/>
  <c r="I579" i="16"/>
  <c r="F5167" i="38"/>
  <c r="L595" i="16"/>
  <c r="I5177" i="38"/>
  <c r="M611" i="16"/>
  <c r="J5187" i="38"/>
  <c r="G612" i="16"/>
  <c r="I613" i="16" s="1"/>
  <c r="D5191" i="38"/>
  <c r="L371" i="15"/>
  <c r="I4857" i="38"/>
  <c r="M387" i="15"/>
  <c r="J4867" i="38"/>
  <c r="G388" i="15"/>
  <c r="I389" i="15" s="1"/>
  <c r="D4871" i="38"/>
  <c r="I419" i="15"/>
  <c r="F4887" i="38"/>
  <c r="L435" i="15"/>
  <c r="I4897" i="38"/>
  <c r="M451" i="15"/>
  <c r="J4907" i="38"/>
  <c r="G452" i="15"/>
  <c r="I453" i="15" s="1"/>
  <c r="D4911" i="38"/>
  <c r="I483" i="15"/>
  <c r="F4927" i="38"/>
  <c r="L499" i="15"/>
  <c r="I4937" i="38"/>
  <c r="M515" i="15"/>
  <c r="J4947" i="38"/>
  <c r="G516" i="15"/>
  <c r="I517" i="15" s="1"/>
  <c r="D4951" i="38"/>
  <c r="I547" i="15"/>
  <c r="F4967" i="38"/>
  <c r="L563" i="15"/>
  <c r="I4977" i="38"/>
  <c r="M579" i="15"/>
  <c r="J4987" i="38"/>
  <c r="G580" i="15"/>
  <c r="I581" i="15" s="1"/>
  <c r="D4991" i="38"/>
  <c r="I611" i="15"/>
  <c r="F5007" i="38"/>
  <c r="M371" i="14"/>
  <c r="J4677" i="38"/>
  <c r="G372" i="14"/>
  <c r="D4681" i="38"/>
  <c r="I403" i="14"/>
  <c r="F4697" i="38"/>
  <c r="L419" i="14"/>
  <c r="I4707" i="38"/>
  <c r="M435" i="14"/>
  <c r="J4717" i="38"/>
  <c r="G436" i="14"/>
  <c r="D4721" i="38"/>
  <c r="I467" i="14"/>
  <c r="F4737" i="38"/>
  <c r="L483" i="14"/>
  <c r="I4747" i="38"/>
  <c r="M499" i="14"/>
  <c r="J4757" i="38"/>
  <c r="G500" i="14"/>
  <c r="D4761" i="38"/>
  <c r="I531" i="14"/>
  <c r="F4777" i="38"/>
  <c r="L547" i="14"/>
  <c r="I4787" i="38"/>
  <c r="M563" i="14"/>
  <c r="J4797" i="38"/>
  <c r="G564" i="14"/>
  <c r="D4801" i="38"/>
  <c r="I595" i="14"/>
  <c r="F4817" i="38"/>
  <c r="L611" i="14"/>
  <c r="I4827" i="38"/>
  <c r="I371" i="12"/>
  <c r="F4317" i="38"/>
  <c r="L387" i="12"/>
  <c r="I4327" i="38"/>
  <c r="M403" i="12"/>
  <c r="J4337" i="38"/>
  <c r="G404" i="12"/>
  <c r="D4341" i="38"/>
  <c r="I435" i="12"/>
  <c r="F4357" i="38"/>
  <c r="L451" i="12"/>
  <c r="I4367" i="38"/>
  <c r="M467" i="12"/>
  <c r="J4377" i="38"/>
  <c r="G468" i="12"/>
  <c r="D4381" i="38"/>
  <c r="I499" i="12"/>
  <c r="F4397" i="38"/>
  <c r="L515" i="12"/>
  <c r="I4407" i="38"/>
  <c r="M531" i="12"/>
  <c r="J4417" i="38"/>
  <c r="G532" i="12"/>
  <c r="D4421" i="38"/>
  <c r="I563" i="12"/>
  <c r="F4437" i="38"/>
  <c r="L579" i="12"/>
  <c r="I4447" i="38"/>
  <c r="M595" i="12"/>
  <c r="J4457" i="38"/>
  <c r="G596" i="12"/>
  <c r="D4461" i="38"/>
  <c r="M371" i="11"/>
  <c r="J4137" i="38"/>
  <c r="G372" i="11"/>
  <c r="D4141" i="38"/>
  <c r="I403" i="11"/>
  <c r="I405" i="11" s="1"/>
  <c r="F4157" i="38"/>
  <c r="L419" i="11"/>
  <c r="I4167" i="38"/>
  <c r="M435" i="11"/>
  <c r="J4177" i="38"/>
  <c r="G436" i="11"/>
  <c r="D4181" i="38"/>
  <c r="I467" i="11"/>
  <c r="I469" i="11" s="1"/>
  <c r="F4197" i="38"/>
  <c r="L483" i="11"/>
  <c r="I4207" i="38"/>
  <c r="M499" i="11"/>
  <c r="J4217" i="38"/>
  <c r="G500" i="11"/>
  <c r="D4221" i="38"/>
  <c r="I531" i="11"/>
  <c r="I533" i="11" s="1"/>
  <c r="F4237" i="38"/>
  <c r="L547" i="11"/>
  <c r="I4247" i="38"/>
  <c r="M563" i="11"/>
  <c r="J4257" i="38"/>
  <c r="G564" i="11"/>
  <c r="D4261" i="38"/>
  <c r="I595" i="11"/>
  <c r="I597" i="11" s="1"/>
  <c r="F4277" i="38"/>
  <c r="L611" i="11"/>
  <c r="I4287" i="38"/>
  <c r="I371" i="10"/>
  <c r="F3957" i="38"/>
  <c r="L387" i="10"/>
  <c r="I3967" i="38"/>
  <c r="M403" i="10"/>
  <c r="J3977" i="38"/>
  <c r="G404" i="10"/>
  <c r="D3981" i="38"/>
  <c r="I435" i="10"/>
  <c r="F3997" i="38"/>
  <c r="L451" i="10"/>
  <c r="I4007" i="38"/>
  <c r="M467" i="10"/>
  <c r="J4017" i="38"/>
  <c r="G468" i="10"/>
  <c r="D4021" i="38"/>
  <c r="I499" i="10"/>
  <c r="F4037" i="38"/>
  <c r="L515" i="10"/>
  <c r="I4047" i="38"/>
  <c r="M531" i="10"/>
  <c r="J4057" i="38"/>
  <c r="G532" i="10"/>
  <c r="D4061" i="38"/>
  <c r="I563" i="10"/>
  <c r="F4077" i="38"/>
  <c r="L579" i="10"/>
  <c r="I4087" i="38"/>
  <c r="M595" i="10"/>
  <c r="J4097" i="38"/>
  <c r="G596" i="10"/>
  <c r="D4101" i="38"/>
  <c r="L371" i="9"/>
  <c r="I3777" i="38"/>
  <c r="M387" i="9"/>
  <c r="J3787" i="38"/>
  <c r="G388" i="9"/>
  <c r="D3791" i="38"/>
  <c r="I419" i="9"/>
  <c r="F3807" i="38"/>
  <c r="L435" i="9"/>
  <c r="I3817" i="38"/>
  <c r="M451" i="9"/>
  <c r="J3827" i="38"/>
  <c r="G452" i="9"/>
  <c r="D3831" i="38"/>
  <c r="I483" i="9"/>
  <c r="F3847" i="38"/>
  <c r="L499" i="9"/>
  <c r="I3857" i="38"/>
  <c r="M515" i="9"/>
  <c r="J3867" i="38"/>
  <c r="G516" i="9"/>
  <c r="D3871" i="38"/>
  <c r="I547" i="9"/>
  <c r="F3887" i="38"/>
  <c r="L563" i="9"/>
  <c r="I3897" i="38"/>
  <c r="M579" i="9"/>
  <c r="J3907" i="38"/>
  <c r="G580" i="9"/>
  <c r="D3911" i="38"/>
  <c r="I611" i="9"/>
  <c r="F3927" i="38"/>
  <c r="M371" i="8"/>
  <c r="J3597" i="38"/>
  <c r="G372" i="8"/>
  <c r="D3601" i="38"/>
  <c r="I403" i="8"/>
  <c r="I405" i="8" s="1"/>
  <c r="F3617" i="38"/>
  <c r="L419" i="8"/>
  <c r="I3627" i="38"/>
  <c r="M435" i="8"/>
  <c r="J3637" i="38"/>
  <c r="G436" i="8"/>
  <c r="D3641" i="38"/>
  <c r="I467" i="8"/>
  <c r="F3657" i="38"/>
  <c r="L483" i="8"/>
  <c r="I3667" i="38"/>
  <c r="M499" i="8"/>
  <c r="J3677" i="38"/>
  <c r="G500" i="8"/>
  <c r="D3681" i="38"/>
  <c r="I531" i="8"/>
  <c r="I533" i="8" s="1"/>
  <c r="F3697" i="38"/>
  <c r="L547" i="8"/>
  <c r="I3707" i="38"/>
  <c r="M563" i="8"/>
  <c r="J3717" i="38"/>
  <c r="G564" i="8"/>
  <c r="D3721" i="38"/>
  <c r="I595" i="8"/>
  <c r="I597" i="8" s="1"/>
  <c r="F3737" i="38"/>
  <c r="L611" i="8"/>
  <c r="I3747" i="38"/>
  <c r="G356" i="7"/>
  <c r="D3411" i="38"/>
  <c r="I387" i="7"/>
  <c r="F3427" i="38"/>
  <c r="L403" i="7"/>
  <c r="I3437" i="38"/>
  <c r="M419" i="7"/>
  <c r="J3447" i="38"/>
  <c r="G420" i="7"/>
  <c r="D3451" i="38"/>
  <c r="I451" i="7"/>
  <c r="F3467" i="38"/>
  <c r="L467" i="7"/>
  <c r="I3477" i="38"/>
  <c r="M483" i="7"/>
  <c r="J3487" i="38"/>
  <c r="G484" i="7"/>
  <c r="D3491" i="38"/>
  <c r="I515" i="7"/>
  <c r="F3507" i="38"/>
  <c r="L531" i="7"/>
  <c r="I3517" i="38"/>
  <c r="M547" i="7"/>
  <c r="J3527" i="38"/>
  <c r="G548" i="7"/>
  <c r="D3531" i="38"/>
  <c r="I579" i="7"/>
  <c r="F3547" i="38"/>
  <c r="L595" i="7"/>
  <c r="I3557" i="38"/>
  <c r="M611" i="7"/>
  <c r="J3567" i="38"/>
  <c r="G612" i="7"/>
  <c r="D3571" i="38"/>
  <c r="L371" i="6"/>
  <c r="I3237" i="38"/>
  <c r="M387" i="6"/>
  <c r="J3247" i="38"/>
  <c r="G388" i="6"/>
  <c r="D3251" i="38"/>
  <c r="I419" i="6"/>
  <c r="F3267" i="38"/>
  <c r="L435" i="6"/>
  <c r="I3277" i="38"/>
  <c r="M451" i="6"/>
  <c r="J3287" i="38"/>
  <c r="G452" i="6"/>
  <c r="D3291" i="38"/>
  <c r="I483" i="6"/>
  <c r="F3307" i="38"/>
  <c r="L499" i="6"/>
  <c r="I3317" i="38"/>
  <c r="M515" i="6"/>
  <c r="J3327" i="38"/>
  <c r="G516" i="6"/>
  <c r="D3331" i="38"/>
  <c r="I547" i="6"/>
  <c r="F3347" i="38"/>
  <c r="L563" i="6"/>
  <c r="I3357" i="38"/>
  <c r="M579" i="6"/>
  <c r="J3367" i="38"/>
  <c r="G580" i="6"/>
  <c r="D3371" i="38"/>
  <c r="I611" i="6"/>
  <c r="F3387" i="38"/>
  <c r="G356" i="5"/>
  <c r="D3051" i="38"/>
  <c r="I387" i="5"/>
  <c r="F3067" i="38"/>
  <c r="L403" i="5"/>
  <c r="I3077" i="38"/>
  <c r="M419" i="5"/>
  <c r="J3087" i="38"/>
  <c r="G420" i="5"/>
  <c r="D3091" i="38"/>
  <c r="I451" i="5"/>
  <c r="F3107" i="38"/>
  <c r="L467" i="5"/>
  <c r="I3117" i="38"/>
  <c r="M483" i="5"/>
  <c r="J3127" i="38"/>
  <c r="G484" i="5"/>
  <c r="D3131" i="38"/>
  <c r="I515" i="5"/>
  <c r="F3147" i="38"/>
  <c r="L531" i="5"/>
  <c r="I3157" i="38"/>
  <c r="M547" i="5"/>
  <c r="J3167" i="38"/>
  <c r="G548" i="5"/>
  <c r="D3171" i="38"/>
  <c r="I579" i="5"/>
  <c r="F3187" i="38"/>
  <c r="L595" i="5"/>
  <c r="I3197" i="38"/>
  <c r="M611" i="5"/>
  <c r="J3207" i="38"/>
  <c r="G612" i="5"/>
  <c r="D3211" i="38"/>
  <c r="I355" i="4"/>
  <c r="L371" i="4"/>
  <c r="I2877" i="38"/>
  <c r="M387" i="4"/>
  <c r="J2887" i="38"/>
  <c r="G388" i="4"/>
  <c r="D2891" i="38"/>
  <c r="I419" i="4"/>
  <c r="F2907" i="38"/>
  <c r="L435" i="4"/>
  <c r="I2917" i="38"/>
  <c r="M451" i="4"/>
  <c r="J2927" i="38"/>
  <c r="G452" i="4"/>
  <c r="D2931" i="38"/>
  <c r="I483" i="4"/>
  <c r="F2947" i="38"/>
  <c r="L499" i="4"/>
  <c r="I2957" i="38"/>
  <c r="M515" i="4"/>
  <c r="J2967" i="38"/>
  <c r="G516" i="4"/>
  <c r="D2971" i="38"/>
  <c r="I547" i="4"/>
  <c r="F2987" i="38"/>
  <c r="L563" i="4"/>
  <c r="I2997" i="38"/>
  <c r="M579" i="4"/>
  <c r="J3007" i="38"/>
  <c r="G580" i="4"/>
  <c r="D3011" i="38"/>
  <c r="I611" i="4"/>
  <c r="F3027" i="38"/>
  <c r="J2275" i="38"/>
  <c r="J2293" i="38"/>
  <c r="J2347" i="38"/>
  <c r="J2365" i="38"/>
  <c r="G2369" i="38"/>
  <c r="G2373" i="38"/>
  <c r="G2377" i="38"/>
  <c r="G2381" i="38"/>
  <c r="K2383" i="38"/>
  <c r="G2385" i="38"/>
  <c r="G2389" i="38"/>
  <c r="G2393" i="38"/>
  <c r="G2397" i="38"/>
  <c r="G2401" i="38"/>
  <c r="G2405" i="38"/>
  <c r="G2409" i="38"/>
  <c r="G2413" i="38"/>
  <c r="G2417" i="38"/>
  <c r="K2419" i="38"/>
  <c r="G2430" i="38"/>
  <c r="M547" i="32"/>
  <c r="J8027" i="38"/>
  <c r="M467" i="31"/>
  <c r="J7797" i="38"/>
  <c r="I499" i="31"/>
  <c r="F7817" i="38"/>
  <c r="L515" i="31"/>
  <c r="I7827" i="38"/>
  <c r="M435" i="30"/>
  <c r="J7597" i="38"/>
  <c r="I467" i="30"/>
  <c r="I469" i="30" s="1"/>
  <c r="F7617" i="38"/>
  <c r="L547" i="30"/>
  <c r="I7667" i="38"/>
  <c r="L467" i="29"/>
  <c r="I7437" i="38"/>
  <c r="M547" i="29"/>
  <c r="J7487" i="38"/>
  <c r="G548" i="29"/>
  <c r="D7491" i="38"/>
  <c r="G2629" i="38"/>
  <c r="G612" i="29"/>
  <c r="D7531" i="38"/>
  <c r="G2633" i="38"/>
  <c r="G340" i="28"/>
  <c r="H2598" i="38" s="1"/>
  <c r="G2598" i="38"/>
  <c r="M403" i="28"/>
  <c r="J7217" i="38"/>
  <c r="G468" i="28"/>
  <c r="I469" i="28" s="1"/>
  <c r="D7261" i="38"/>
  <c r="G2606" i="38"/>
  <c r="I499" i="28"/>
  <c r="F7277" i="38"/>
  <c r="G532" i="28"/>
  <c r="D7301" i="38"/>
  <c r="G2610" i="38"/>
  <c r="G596" i="28"/>
  <c r="I597" i="28" s="1"/>
  <c r="D7341" i="38"/>
  <c r="G2614" i="38"/>
  <c r="I403" i="27"/>
  <c r="I405" i="27" s="1"/>
  <c r="F7037" i="38"/>
  <c r="M435" i="27"/>
  <c r="J7057" i="38"/>
  <c r="L483" i="27"/>
  <c r="I7087" i="38"/>
  <c r="I531" i="27"/>
  <c r="F7117" i="38"/>
  <c r="M563" i="27"/>
  <c r="J7137" i="38"/>
  <c r="I595" i="27"/>
  <c r="F7157" i="38"/>
  <c r="L403" i="26"/>
  <c r="I6857" i="38"/>
  <c r="M419" i="26"/>
  <c r="J6867" i="38"/>
  <c r="G420" i="26"/>
  <c r="D6871" i="38"/>
  <c r="G2567" i="38"/>
  <c r="I451" i="26"/>
  <c r="F6887" i="38"/>
  <c r="L467" i="26"/>
  <c r="I6897" i="38"/>
  <c r="L531" i="26"/>
  <c r="I6937" i="38"/>
  <c r="I579" i="26"/>
  <c r="F6967" i="38"/>
  <c r="M611" i="26"/>
  <c r="J6987" i="38"/>
  <c r="I371" i="25"/>
  <c r="I373" i="25" s="1"/>
  <c r="F6657" i="38"/>
  <c r="G404" i="25"/>
  <c r="D6681" i="38"/>
  <c r="G2548" i="38"/>
  <c r="L371" i="24"/>
  <c r="I6477" i="38"/>
  <c r="G388" i="24"/>
  <c r="D6491" i="38"/>
  <c r="G2529" i="38"/>
  <c r="M451" i="24"/>
  <c r="J6527" i="38"/>
  <c r="I483" i="24"/>
  <c r="F6547" i="38"/>
  <c r="G356" i="23"/>
  <c r="D6291" i="38"/>
  <c r="G2509" i="38"/>
  <c r="L403" i="23"/>
  <c r="I6317" i="38"/>
  <c r="I451" i="23"/>
  <c r="F6347" i="38"/>
  <c r="L467" i="23"/>
  <c r="I6357" i="38"/>
  <c r="M483" i="23"/>
  <c r="J6367" i="38"/>
  <c r="L531" i="23"/>
  <c r="I6397" i="38"/>
  <c r="G340" i="22"/>
  <c r="H2490" i="38" s="1"/>
  <c r="G2490" i="38"/>
  <c r="I371" i="22"/>
  <c r="F6117" i="38"/>
  <c r="L387" i="22"/>
  <c r="I6127" i="38"/>
  <c r="M403" i="22"/>
  <c r="J6137" i="38"/>
  <c r="I435" i="22"/>
  <c r="F6157" i="38"/>
  <c r="M467" i="22"/>
  <c r="J6177" i="38"/>
  <c r="I499" i="22"/>
  <c r="F6197" i="38"/>
  <c r="L515" i="22"/>
  <c r="I6207" i="38"/>
  <c r="G532" i="22"/>
  <c r="D6221" i="38"/>
  <c r="G2502" i="38"/>
  <c r="I563" i="22"/>
  <c r="F6237" i="38"/>
  <c r="L579" i="22"/>
  <c r="I6247" i="38"/>
  <c r="F5931" i="38"/>
  <c r="I2473" i="38"/>
  <c r="L371" i="21"/>
  <c r="I5937" i="38"/>
  <c r="M387" i="21"/>
  <c r="J5947" i="38"/>
  <c r="G388" i="21"/>
  <c r="D5951" i="38"/>
  <c r="G2475" i="38"/>
  <c r="I419" i="21"/>
  <c r="F5967" i="38"/>
  <c r="L435" i="21"/>
  <c r="I5977" i="38"/>
  <c r="M451" i="21"/>
  <c r="J5987" i="38"/>
  <c r="G452" i="21"/>
  <c r="D5991" i="38"/>
  <c r="G2479" i="38"/>
  <c r="I483" i="21"/>
  <c r="F6007" i="38"/>
  <c r="L499" i="21"/>
  <c r="I6017" i="38"/>
  <c r="M515" i="21"/>
  <c r="J6027" i="38"/>
  <c r="G516" i="21"/>
  <c r="D6031" i="38"/>
  <c r="G2483" i="38"/>
  <c r="I547" i="21"/>
  <c r="I549" i="21" s="1"/>
  <c r="F6047" i="38"/>
  <c r="L563" i="21"/>
  <c r="I6057" i="38"/>
  <c r="M579" i="21"/>
  <c r="J6067" i="38"/>
  <c r="G580" i="21"/>
  <c r="D6071" i="38"/>
  <c r="G2487" i="38"/>
  <c r="I611" i="21"/>
  <c r="F6087" i="38"/>
  <c r="I5751" i="38"/>
  <c r="J2455" i="38"/>
  <c r="M371" i="20"/>
  <c r="J5757" i="38"/>
  <c r="G372" i="20"/>
  <c r="D5761" i="38"/>
  <c r="G2456" i="38"/>
  <c r="I403" i="20"/>
  <c r="I405" i="20" s="1"/>
  <c r="F5777" i="38"/>
  <c r="L419" i="20"/>
  <c r="I5787" i="38"/>
  <c r="M435" i="20"/>
  <c r="J5797" i="38"/>
  <c r="G436" i="20"/>
  <c r="I437" i="20" s="1"/>
  <c r="D5801" i="38"/>
  <c r="G2460" i="38"/>
  <c r="I467" i="20"/>
  <c r="F5817" i="38"/>
  <c r="L483" i="20"/>
  <c r="I5827" i="38"/>
  <c r="M499" i="20"/>
  <c r="J5837" i="38"/>
  <c r="G500" i="20"/>
  <c r="D5841" i="38"/>
  <c r="G2464" i="38"/>
  <c r="I531" i="20"/>
  <c r="I533" i="20" s="1"/>
  <c r="F5857" i="38"/>
  <c r="L547" i="20"/>
  <c r="I5867" i="38"/>
  <c r="M563" i="20"/>
  <c r="J5877" i="38"/>
  <c r="G564" i="20"/>
  <c r="I565" i="20" s="1"/>
  <c r="D5881" i="38"/>
  <c r="G2468" i="38"/>
  <c r="I595" i="20"/>
  <c r="F5897" i="38"/>
  <c r="L611" i="20"/>
  <c r="I5907" i="38"/>
  <c r="G356" i="19"/>
  <c r="I357" i="19" s="1"/>
  <c r="D5571" i="38"/>
  <c r="G2437" i="38"/>
  <c r="I387" i="19"/>
  <c r="F5587" i="38"/>
  <c r="L403" i="19"/>
  <c r="I5597" i="38"/>
  <c r="M419" i="19"/>
  <c r="J5607" i="38"/>
  <c r="G420" i="19"/>
  <c r="D5611" i="38"/>
  <c r="G2441" i="38"/>
  <c r="I451" i="19"/>
  <c r="F5627" i="38"/>
  <c r="L467" i="19"/>
  <c r="I5637" i="38"/>
  <c r="M483" i="19"/>
  <c r="J5647" i="38"/>
  <c r="G484" i="19"/>
  <c r="D5651" i="38"/>
  <c r="G2445" i="38"/>
  <c r="I515" i="19"/>
  <c r="F5667" i="38"/>
  <c r="L531" i="19"/>
  <c r="I5677" i="38"/>
  <c r="M547" i="19"/>
  <c r="J5687" i="38"/>
  <c r="G548" i="19"/>
  <c r="D5691" i="38"/>
  <c r="G2449" i="38"/>
  <c r="I579" i="19"/>
  <c r="F5707" i="38"/>
  <c r="L595" i="19"/>
  <c r="I5717" i="38"/>
  <c r="M611" i="19"/>
  <c r="J5727" i="38"/>
  <c r="G612" i="19"/>
  <c r="D5731" i="38"/>
  <c r="G2453" i="38"/>
  <c r="L371" i="18"/>
  <c r="I5397" i="38"/>
  <c r="M387" i="18"/>
  <c r="J5407" i="38"/>
  <c r="G388" i="18"/>
  <c r="D5411" i="38"/>
  <c r="I419" i="18"/>
  <c r="I421" i="18" s="1"/>
  <c r="F5427" i="38"/>
  <c r="L435" i="18"/>
  <c r="I5437" i="38"/>
  <c r="M451" i="18"/>
  <c r="J5447" i="38"/>
  <c r="G452" i="18"/>
  <c r="D5451" i="38"/>
  <c r="I483" i="18"/>
  <c r="I485" i="18" s="1"/>
  <c r="F5467" i="38"/>
  <c r="L499" i="18"/>
  <c r="I5477" i="38"/>
  <c r="M515" i="18"/>
  <c r="J5487" i="38"/>
  <c r="G516" i="18"/>
  <c r="D5491" i="38"/>
  <c r="G2429" i="38"/>
  <c r="I547" i="18"/>
  <c r="I549" i="18" s="1"/>
  <c r="F5507" i="38"/>
  <c r="L563" i="18"/>
  <c r="I5517" i="38"/>
  <c r="M579" i="18"/>
  <c r="J5527" i="38"/>
  <c r="G580" i="18"/>
  <c r="D5531" i="38"/>
  <c r="G2433" i="38"/>
  <c r="I611" i="18"/>
  <c r="F5547" i="38"/>
  <c r="I339" i="17"/>
  <c r="I2400" i="38" s="1"/>
  <c r="I5211" i="38"/>
  <c r="J2401" i="38"/>
  <c r="M371" i="17"/>
  <c r="J5217" i="38"/>
  <c r="G372" i="17"/>
  <c r="D5221" i="38"/>
  <c r="I403" i="17"/>
  <c r="F5237" i="38"/>
  <c r="L419" i="17"/>
  <c r="I5247" i="38"/>
  <c r="M435" i="17"/>
  <c r="J5257" i="38"/>
  <c r="G436" i="17"/>
  <c r="D5261" i="38"/>
  <c r="I467" i="17"/>
  <c r="F5277" i="38"/>
  <c r="L483" i="17"/>
  <c r="I5287" i="38"/>
  <c r="M499" i="17"/>
  <c r="J5297" i="38"/>
  <c r="G500" i="17"/>
  <c r="D5301" i="38"/>
  <c r="I531" i="17"/>
  <c r="F5317" i="38"/>
  <c r="L547" i="17"/>
  <c r="I5327" i="38"/>
  <c r="M563" i="17"/>
  <c r="J5337" i="38"/>
  <c r="G564" i="17"/>
  <c r="D5341" i="38"/>
  <c r="I595" i="17"/>
  <c r="F5357" i="38"/>
  <c r="L611" i="17"/>
  <c r="I5367" i="38"/>
  <c r="I371" i="16"/>
  <c r="F5037" i="38"/>
  <c r="L387" i="16"/>
  <c r="I5047" i="38"/>
  <c r="M403" i="16"/>
  <c r="J5057" i="38"/>
  <c r="G404" i="16"/>
  <c r="D5061" i="38"/>
  <c r="I435" i="16"/>
  <c r="F5077" i="38"/>
  <c r="L451" i="16"/>
  <c r="I5087" i="38"/>
  <c r="M467" i="16"/>
  <c r="J5097" i="38"/>
  <c r="G468" i="16"/>
  <c r="D5101" i="38"/>
  <c r="I499" i="16"/>
  <c r="F5117" i="38"/>
  <c r="L515" i="16"/>
  <c r="I5127" i="38"/>
  <c r="M531" i="16"/>
  <c r="J5137" i="38"/>
  <c r="G532" i="16"/>
  <c r="D5141" i="38"/>
  <c r="I563" i="16"/>
  <c r="F5157" i="38"/>
  <c r="L579" i="16"/>
  <c r="I5167" i="38"/>
  <c r="M595" i="16"/>
  <c r="J5177" i="38"/>
  <c r="G596" i="16"/>
  <c r="D5181" i="38"/>
  <c r="M371" i="15"/>
  <c r="J4857" i="38"/>
  <c r="G372" i="15"/>
  <c r="I373" i="15" s="1"/>
  <c r="D4861" i="38"/>
  <c r="I403" i="15"/>
  <c r="F4877" i="38"/>
  <c r="L419" i="15"/>
  <c r="I4887" i="38"/>
  <c r="M435" i="15"/>
  <c r="J4897" i="38"/>
  <c r="G436" i="15"/>
  <c r="I437" i="15" s="1"/>
  <c r="D4901" i="38"/>
  <c r="I467" i="15"/>
  <c r="F4917" i="38"/>
  <c r="L483" i="15"/>
  <c r="I4927" i="38"/>
  <c r="M499" i="15"/>
  <c r="J4937" i="38"/>
  <c r="G500" i="15"/>
  <c r="I501" i="15" s="1"/>
  <c r="D4941" i="38"/>
  <c r="I531" i="15"/>
  <c r="F4957" i="38"/>
  <c r="L547" i="15"/>
  <c r="I4967" i="38"/>
  <c r="M563" i="15"/>
  <c r="J4977" i="38"/>
  <c r="G564" i="15"/>
  <c r="I565" i="15" s="1"/>
  <c r="D4981" i="38"/>
  <c r="I595" i="15"/>
  <c r="F4997" i="38"/>
  <c r="L611" i="15"/>
  <c r="I5007" i="38"/>
  <c r="G356" i="14"/>
  <c r="D4671" i="38"/>
  <c r="I387" i="14"/>
  <c r="F4687" i="38"/>
  <c r="L403" i="14"/>
  <c r="I4697" i="38"/>
  <c r="M419" i="14"/>
  <c r="J4707" i="38"/>
  <c r="G420" i="14"/>
  <c r="D4711" i="38"/>
  <c r="I451" i="14"/>
  <c r="F4727" i="38"/>
  <c r="L467" i="14"/>
  <c r="I4737" i="38"/>
  <c r="M483" i="14"/>
  <c r="J4747" i="38"/>
  <c r="G484" i="14"/>
  <c r="D4751" i="38"/>
  <c r="I515" i="14"/>
  <c r="F4767" i="38"/>
  <c r="L531" i="14"/>
  <c r="I4777" i="38"/>
  <c r="M547" i="14"/>
  <c r="J4787" i="38"/>
  <c r="G548" i="14"/>
  <c r="D4791" i="38"/>
  <c r="I579" i="14"/>
  <c r="F4807" i="38"/>
  <c r="L595" i="14"/>
  <c r="I4817" i="38"/>
  <c r="M611" i="14"/>
  <c r="J4827" i="38"/>
  <c r="G612" i="14"/>
  <c r="D4831" i="38"/>
  <c r="L371" i="12"/>
  <c r="I4317" i="38"/>
  <c r="M387" i="12"/>
  <c r="J4327" i="38"/>
  <c r="G388" i="12"/>
  <c r="I389" i="12" s="1"/>
  <c r="D4331" i="38"/>
  <c r="I419" i="12"/>
  <c r="F4347" i="38"/>
  <c r="L435" i="12"/>
  <c r="I4357" i="38"/>
  <c r="M451" i="12"/>
  <c r="J4367" i="38"/>
  <c r="G452" i="12"/>
  <c r="D4371" i="38"/>
  <c r="I483" i="12"/>
  <c r="F4387" i="38"/>
  <c r="L499" i="12"/>
  <c r="I4397" i="38"/>
  <c r="M515" i="12"/>
  <c r="J4407" i="38"/>
  <c r="G516" i="12"/>
  <c r="I517" i="12" s="1"/>
  <c r="D4411" i="38"/>
  <c r="I547" i="12"/>
  <c r="F4427" i="38"/>
  <c r="L563" i="12"/>
  <c r="I4437" i="38"/>
  <c r="M579" i="12"/>
  <c r="J4447" i="38"/>
  <c r="G580" i="12"/>
  <c r="I581" i="12" s="1"/>
  <c r="D4451" i="38"/>
  <c r="I611" i="12"/>
  <c r="F4467" i="38"/>
  <c r="G356" i="11"/>
  <c r="D4131" i="38"/>
  <c r="I387" i="11"/>
  <c r="I389" i="11" s="1"/>
  <c r="F4147" i="38"/>
  <c r="L403" i="11"/>
  <c r="I4157" i="38"/>
  <c r="M419" i="11"/>
  <c r="J4167" i="38"/>
  <c r="G420" i="11"/>
  <c r="D4171" i="38"/>
  <c r="I451" i="11"/>
  <c r="F4187" i="38"/>
  <c r="L467" i="11"/>
  <c r="I4197" i="38"/>
  <c r="M483" i="11"/>
  <c r="J4207" i="38"/>
  <c r="G484" i="11"/>
  <c r="D4211" i="38"/>
  <c r="I515" i="11"/>
  <c r="I517" i="11" s="1"/>
  <c r="F4227" i="38"/>
  <c r="L531" i="11"/>
  <c r="I4237" i="38"/>
  <c r="M547" i="11"/>
  <c r="J4247" i="38"/>
  <c r="G548" i="11"/>
  <c r="D4251" i="38"/>
  <c r="I579" i="11"/>
  <c r="I581" i="11" s="1"/>
  <c r="F4267" i="38"/>
  <c r="L595" i="11"/>
  <c r="I4277" i="38"/>
  <c r="M611" i="11"/>
  <c r="J4287" i="38"/>
  <c r="G612" i="11"/>
  <c r="D4291" i="38"/>
  <c r="L371" i="10"/>
  <c r="I3957" i="38"/>
  <c r="M387" i="10"/>
  <c r="J3967" i="38"/>
  <c r="G388" i="10"/>
  <c r="D3971" i="38"/>
  <c r="I419" i="10"/>
  <c r="F3987" i="38"/>
  <c r="L435" i="10"/>
  <c r="I3997" i="38"/>
  <c r="M451" i="10"/>
  <c r="J4007" i="38"/>
  <c r="G452" i="10"/>
  <c r="D4011" i="38"/>
  <c r="I483" i="10"/>
  <c r="F4027" i="38"/>
  <c r="L499" i="10"/>
  <c r="I4037" i="38"/>
  <c r="M515" i="10"/>
  <c r="J4047" i="38"/>
  <c r="G516" i="10"/>
  <c r="D4051" i="38"/>
  <c r="I547" i="10"/>
  <c r="F4067" i="38"/>
  <c r="L563" i="10"/>
  <c r="I4077" i="38"/>
  <c r="M579" i="10"/>
  <c r="J4087" i="38"/>
  <c r="G580" i="10"/>
  <c r="D4091" i="38"/>
  <c r="I611" i="10"/>
  <c r="F4107" i="38"/>
  <c r="I339" i="9"/>
  <c r="I2256" i="38" s="1"/>
  <c r="L355" i="9"/>
  <c r="M371" i="9"/>
  <c r="J3777" i="38"/>
  <c r="G372" i="9"/>
  <c r="I373" i="9" s="1"/>
  <c r="D3781" i="38"/>
  <c r="I403" i="9"/>
  <c r="F3797" i="38"/>
  <c r="L419" i="9"/>
  <c r="I3807" i="38"/>
  <c r="M435" i="9"/>
  <c r="J3817" i="38"/>
  <c r="G436" i="9"/>
  <c r="I437" i="9" s="1"/>
  <c r="D3821" i="38"/>
  <c r="I467" i="9"/>
  <c r="F3837" i="38"/>
  <c r="L483" i="9"/>
  <c r="I3847" i="38"/>
  <c r="M499" i="9"/>
  <c r="J3857" i="38"/>
  <c r="G500" i="9"/>
  <c r="I501" i="9" s="1"/>
  <c r="D3861" i="38"/>
  <c r="I531" i="9"/>
  <c r="F3877" i="38"/>
  <c r="L547" i="9"/>
  <c r="I3887" i="38"/>
  <c r="M563" i="9"/>
  <c r="J3897" i="38"/>
  <c r="G564" i="9"/>
  <c r="I565" i="9" s="1"/>
  <c r="D3901" i="38"/>
  <c r="I595" i="9"/>
  <c r="F3917" i="38"/>
  <c r="L611" i="9"/>
  <c r="I3927" i="38"/>
  <c r="L339" i="8"/>
  <c r="J2238" i="38" s="1"/>
  <c r="M355" i="8"/>
  <c r="G356" i="8"/>
  <c r="D3591" i="38"/>
  <c r="I387" i="8"/>
  <c r="F3607" i="38"/>
  <c r="L403" i="8"/>
  <c r="I3617" i="38"/>
  <c r="M419" i="8"/>
  <c r="J3627" i="38"/>
  <c r="G420" i="8"/>
  <c r="D3631" i="38"/>
  <c r="I451" i="8"/>
  <c r="I453" i="8" s="1"/>
  <c r="F3647" i="38"/>
  <c r="L467" i="8"/>
  <c r="I3657" i="38"/>
  <c r="M483" i="8"/>
  <c r="J3667" i="38"/>
  <c r="G484" i="8"/>
  <c r="D3671" i="38"/>
  <c r="I515" i="8"/>
  <c r="I517" i="8" s="1"/>
  <c r="F3687" i="38"/>
  <c r="L531" i="8"/>
  <c r="I3697" i="38"/>
  <c r="M547" i="8"/>
  <c r="J3707" i="38"/>
  <c r="G548" i="8"/>
  <c r="D3711" i="38"/>
  <c r="I579" i="8"/>
  <c r="I581" i="8" s="1"/>
  <c r="F3727" i="38"/>
  <c r="L595" i="8"/>
  <c r="I3737" i="38"/>
  <c r="M611" i="8"/>
  <c r="J3747" i="38"/>
  <c r="G612" i="8"/>
  <c r="D3751" i="38"/>
  <c r="M339" i="7"/>
  <c r="K2220" i="38" s="1"/>
  <c r="I371" i="7"/>
  <c r="F3417" i="38"/>
  <c r="L387" i="7"/>
  <c r="I3427" i="38"/>
  <c r="M403" i="7"/>
  <c r="J3437" i="38"/>
  <c r="G404" i="7"/>
  <c r="I405" i="7" s="1"/>
  <c r="D3441" i="38"/>
  <c r="I435" i="7"/>
  <c r="F3457" i="38"/>
  <c r="L451" i="7"/>
  <c r="I3467" i="38"/>
  <c r="M467" i="7"/>
  <c r="J3477" i="38"/>
  <c r="G468" i="7"/>
  <c r="I469" i="7" s="1"/>
  <c r="D3481" i="38"/>
  <c r="I499" i="7"/>
  <c r="F3497" i="38"/>
  <c r="L515" i="7"/>
  <c r="I3507" i="38"/>
  <c r="M531" i="7"/>
  <c r="J3517" i="38"/>
  <c r="G532" i="7"/>
  <c r="I533" i="7" s="1"/>
  <c r="D3521" i="38"/>
  <c r="I563" i="7"/>
  <c r="F3537" i="38"/>
  <c r="L579" i="7"/>
  <c r="I3547" i="38"/>
  <c r="M595" i="7"/>
  <c r="J3557" i="38"/>
  <c r="G596" i="7"/>
  <c r="I597" i="7" s="1"/>
  <c r="D3561" i="38"/>
  <c r="I339" i="6"/>
  <c r="I2202" i="38" s="1"/>
  <c r="L355" i="6"/>
  <c r="M371" i="6"/>
  <c r="J3237" i="38"/>
  <c r="G372" i="6"/>
  <c r="D3241" i="38"/>
  <c r="I403" i="6"/>
  <c r="F3257" i="38"/>
  <c r="L419" i="6"/>
  <c r="I3267" i="38"/>
  <c r="M435" i="6"/>
  <c r="J3277" i="38"/>
  <c r="G436" i="6"/>
  <c r="D3281" i="38"/>
  <c r="I467" i="6"/>
  <c r="F3297" i="38"/>
  <c r="L483" i="6"/>
  <c r="I3307" i="38"/>
  <c r="M499" i="6"/>
  <c r="J3317" i="38"/>
  <c r="G500" i="6"/>
  <c r="D3321" i="38"/>
  <c r="I531" i="6"/>
  <c r="F3337" i="38"/>
  <c r="L547" i="6"/>
  <c r="I3347" i="38"/>
  <c r="M563" i="6"/>
  <c r="J3357" i="38"/>
  <c r="G564" i="6"/>
  <c r="D3361" i="38"/>
  <c r="I595" i="6"/>
  <c r="F3377" i="38"/>
  <c r="L611" i="6"/>
  <c r="I3387" i="38"/>
  <c r="M339" i="5"/>
  <c r="K2184" i="38" s="1"/>
  <c r="I371" i="5"/>
  <c r="F3057" i="38"/>
  <c r="L387" i="5"/>
  <c r="I3067" i="38"/>
  <c r="M403" i="5"/>
  <c r="J3077" i="38"/>
  <c r="G404" i="5"/>
  <c r="D3081" i="38"/>
  <c r="I435" i="5"/>
  <c r="F3097" i="38"/>
  <c r="L451" i="5"/>
  <c r="I3107" i="38"/>
  <c r="M467" i="5"/>
  <c r="J3117" i="38"/>
  <c r="G468" i="5"/>
  <c r="D3121" i="38"/>
  <c r="I499" i="5"/>
  <c r="F3137" i="38"/>
  <c r="L515" i="5"/>
  <c r="I3147" i="38"/>
  <c r="M531" i="5"/>
  <c r="J3157" i="38"/>
  <c r="G532" i="5"/>
  <c r="D3161" i="38"/>
  <c r="I563" i="5"/>
  <c r="F3177" i="38"/>
  <c r="L579" i="5"/>
  <c r="I3187" i="38"/>
  <c r="M595" i="5"/>
  <c r="J3197" i="38"/>
  <c r="G596" i="5"/>
  <c r="D3201" i="38"/>
  <c r="I339" i="4"/>
  <c r="I2166" i="38" s="1"/>
  <c r="L355" i="4"/>
  <c r="M371" i="4"/>
  <c r="J2877" i="38"/>
  <c r="G372" i="4"/>
  <c r="D2881" i="38"/>
  <c r="I403" i="4"/>
  <c r="F2897" i="38"/>
  <c r="L419" i="4"/>
  <c r="I2907" i="38"/>
  <c r="M435" i="4"/>
  <c r="J2917" i="38"/>
  <c r="G436" i="4"/>
  <c r="D2921" i="38"/>
  <c r="I467" i="4"/>
  <c r="F2937" i="38"/>
  <c r="L483" i="4"/>
  <c r="I2947" i="38"/>
  <c r="M499" i="4"/>
  <c r="J2957" i="38"/>
  <c r="G500" i="4"/>
  <c r="D2961" i="38"/>
  <c r="I531" i="4"/>
  <c r="F2977" i="38"/>
  <c r="L547" i="4"/>
  <c r="I2987" i="38"/>
  <c r="M563" i="4"/>
  <c r="J2997" i="38"/>
  <c r="G564" i="4"/>
  <c r="D3001" i="38"/>
  <c r="I595" i="4"/>
  <c r="F3017" i="38"/>
  <c r="L611" i="4"/>
  <c r="I3027" i="38"/>
  <c r="G2167" i="38"/>
  <c r="G2169" i="38"/>
  <c r="G2171" i="38"/>
  <c r="G2173" i="38"/>
  <c r="G2175" i="38"/>
  <c r="G2177" i="38"/>
  <c r="G2179" i="38"/>
  <c r="G2181" i="38"/>
  <c r="G2183" i="38"/>
  <c r="G2185" i="38"/>
  <c r="K2185" i="38"/>
  <c r="G2187" i="38"/>
  <c r="G2189" i="38"/>
  <c r="G2191" i="38"/>
  <c r="G2193" i="38"/>
  <c r="G2195" i="38"/>
  <c r="G2197" i="38"/>
  <c r="G2199" i="38"/>
  <c r="G2201" i="38"/>
  <c r="G2203" i="38"/>
  <c r="G2205" i="38"/>
  <c r="G2207" i="38"/>
  <c r="G2209" i="38"/>
  <c r="G2211" i="38"/>
  <c r="G2213" i="38"/>
  <c r="G2215" i="38"/>
  <c r="G2217" i="38"/>
  <c r="G2219" i="38"/>
  <c r="G2221" i="38"/>
  <c r="K2221" i="38"/>
  <c r="G2223" i="38"/>
  <c r="G2225" i="38"/>
  <c r="G2227" i="38"/>
  <c r="G2229" i="38"/>
  <c r="G2231" i="38"/>
  <c r="G2233" i="38"/>
  <c r="G2235" i="38"/>
  <c r="G2237" i="38"/>
  <c r="G2239" i="38"/>
  <c r="G2241" i="38"/>
  <c r="G2243" i="38"/>
  <c r="G2245" i="38"/>
  <c r="G2247" i="38"/>
  <c r="G2249" i="38"/>
  <c r="G2251" i="38"/>
  <c r="G2253" i="38"/>
  <c r="G2255" i="38"/>
  <c r="G2257" i="38"/>
  <c r="G2259" i="38"/>
  <c r="G2261" i="38"/>
  <c r="G2263" i="38"/>
  <c r="G2265" i="38"/>
  <c r="G2267" i="38"/>
  <c r="G2269" i="38"/>
  <c r="G2271" i="38"/>
  <c r="G2273" i="38"/>
  <c r="G2275" i="38"/>
  <c r="K2275" i="38"/>
  <c r="G2277" i="38"/>
  <c r="G2279" i="38"/>
  <c r="G2281" i="38"/>
  <c r="G2283" i="38"/>
  <c r="G2285" i="38"/>
  <c r="G2287" i="38"/>
  <c r="G2289" i="38"/>
  <c r="G2291" i="38"/>
  <c r="G2293" i="38"/>
  <c r="K2293" i="38"/>
  <c r="G2295" i="38"/>
  <c r="G2297" i="38"/>
  <c r="G2299" i="38"/>
  <c r="G2301" i="38"/>
  <c r="G2303" i="38"/>
  <c r="G2305" i="38"/>
  <c r="G2307" i="38"/>
  <c r="G2309" i="38"/>
  <c r="G2311" i="38"/>
  <c r="K2311" i="38"/>
  <c r="G2313" i="38"/>
  <c r="G2315" i="38"/>
  <c r="G2317" i="38"/>
  <c r="G2319" i="38"/>
  <c r="G2321" i="38"/>
  <c r="G2323" i="38"/>
  <c r="G2325" i="38"/>
  <c r="G2327" i="38"/>
  <c r="G2347" i="38"/>
  <c r="K2347" i="38"/>
  <c r="G2349" i="38"/>
  <c r="G2351" i="38"/>
  <c r="G2353" i="38"/>
  <c r="G2355" i="38"/>
  <c r="G2357" i="38"/>
  <c r="G2359" i="38"/>
  <c r="G2361" i="38"/>
  <c r="G2363" i="38"/>
  <c r="G2365" i="38"/>
  <c r="G2368" i="38"/>
  <c r="G2372" i="38"/>
  <c r="G2376" i="38"/>
  <c r="G2380" i="38"/>
  <c r="G2384" i="38"/>
  <c r="G2388" i="38"/>
  <c r="G2392" i="38"/>
  <c r="G2396" i="38"/>
  <c r="G2400" i="38"/>
  <c r="G2404" i="38"/>
  <c r="G2408" i="38"/>
  <c r="G2412" i="38"/>
  <c r="G2416" i="38"/>
  <c r="G2420" i="38"/>
  <c r="G2424" i="38"/>
  <c r="G2428" i="38"/>
  <c r="G2436" i="38"/>
  <c r="D4591" i="38"/>
  <c r="I339" i="13"/>
  <c r="I2328" i="38" s="1"/>
  <c r="L355" i="13"/>
  <c r="I4491" i="38" s="1"/>
  <c r="D4631" i="38"/>
  <c r="L419" i="13"/>
  <c r="I4527" i="38"/>
  <c r="G436" i="13"/>
  <c r="G2334" i="38"/>
  <c r="I467" i="13"/>
  <c r="F4557" i="38"/>
  <c r="L483" i="13"/>
  <c r="I4567" i="38"/>
  <c r="M499" i="13"/>
  <c r="J4577" i="38"/>
  <c r="G500" i="13"/>
  <c r="G2338" i="38"/>
  <c r="I531" i="13"/>
  <c r="F4597" i="38"/>
  <c r="L547" i="13"/>
  <c r="I4607" i="38"/>
  <c r="M563" i="13"/>
  <c r="J4617" i="38"/>
  <c r="G564" i="13"/>
  <c r="G2342" i="38"/>
  <c r="L611" i="13"/>
  <c r="I4647" i="38"/>
  <c r="L339" i="13"/>
  <c r="J2328" i="38" s="1"/>
  <c r="M355" i="13"/>
  <c r="G356" i="13"/>
  <c r="G2329" i="38"/>
  <c r="I387" i="13"/>
  <c r="F4507" i="38"/>
  <c r="L403" i="13"/>
  <c r="I4517" i="38"/>
  <c r="M419" i="13"/>
  <c r="J4527" i="38"/>
  <c r="G420" i="13"/>
  <c r="G2333" i="38"/>
  <c r="I451" i="13"/>
  <c r="F4547" i="38"/>
  <c r="L467" i="13"/>
  <c r="I4557" i="38"/>
  <c r="M483" i="13"/>
  <c r="J4567" i="38"/>
  <c r="G484" i="13"/>
  <c r="G2337" i="38"/>
  <c r="I515" i="13"/>
  <c r="I517" i="13" s="1"/>
  <c r="F4587" i="38"/>
  <c r="L531" i="13"/>
  <c r="I4597" i="38"/>
  <c r="M547" i="13"/>
  <c r="J4607" i="38"/>
  <c r="G548" i="13"/>
  <c r="G2341" i="38"/>
  <c r="I579" i="13"/>
  <c r="F4627" i="38"/>
  <c r="L595" i="13"/>
  <c r="I4637" i="38"/>
  <c r="M611" i="13"/>
  <c r="J4647" i="38"/>
  <c r="G612" i="13"/>
  <c r="G2345" i="38"/>
  <c r="D4491" i="38"/>
  <c r="D4531" i="38"/>
  <c r="D4541" i="38"/>
  <c r="D4571" i="38"/>
  <c r="D4581" i="38"/>
  <c r="D4621" i="38"/>
  <c r="D4651" i="38"/>
  <c r="M371" i="13"/>
  <c r="J4497" i="38"/>
  <c r="G372" i="13"/>
  <c r="G2330" i="38"/>
  <c r="I403" i="13"/>
  <c r="F4517" i="38"/>
  <c r="M435" i="13"/>
  <c r="J4537" i="38"/>
  <c r="I595" i="13"/>
  <c r="F4637" i="38"/>
  <c r="M339" i="13"/>
  <c r="K2328" i="38" s="1"/>
  <c r="G340" i="13"/>
  <c r="H2328" i="38" s="1"/>
  <c r="G2328" i="38"/>
  <c r="I371" i="13"/>
  <c r="F4497" i="38"/>
  <c r="L387" i="13"/>
  <c r="I4507" i="38"/>
  <c r="M403" i="13"/>
  <c r="J4517" i="38"/>
  <c r="G404" i="13"/>
  <c r="G2332" i="38"/>
  <c r="I435" i="13"/>
  <c r="F4537" i="38"/>
  <c r="L451" i="13"/>
  <c r="I4547" i="38"/>
  <c r="M467" i="13"/>
  <c r="J4557" i="38"/>
  <c r="G468" i="13"/>
  <c r="G2336" i="38"/>
  <c r="I499" i="13"/>
  <c r="F4577" i="38"/>
  <c r="L515" i="13"/>
  <c r="I4587" i="38"/>
  <c r="M531" i="13"/>
  <c r="J4597" i="38"/>
  <c r="G532" i="13"/>
  <c r="G2340" i="38"/>
  <c r="I563" i="13"/>
  <c r="F4617" i="38"/>
  <c r="L579" i="13"/>
  <c r="I4627" i="38"/>
  <c r="M595" i="13"/>
  <c r="J4637" i="38"/>
  <c r="G596" i="13"/>
  <c r="G2344" i="38"/>
  <c r="D4611" i="38"/>
  <c r="I355" i="13"/>
  <c r="I357" i="13" s="1"/>
  <c r="L371" i="13"/>
  <c r="I4497" i="38"/>
  <c r="M387" i="13"/>
  <c r="J4507" i="38"/>
  <c r="G388" i="13"/>
  <c r="G2331" i="38"/>
  <c r="I419" i="13"/>
  <c r="I421" i="13" s="1"/>
  <c r="F4527" i="38"/>
  <c r="L435" i="13"/>
  <c r="I4537" i="38"/>
  <c r="M451" i="13"/>
  <c r="J4547" i="38"/>
  <c r="G452" i="13"/>
  <c r="G2335" i="38"/>
  <c r="J2329" i="38"/>
  <c r="D4601" i="38"/>
  <c r="D4641" i="38"/>
  <c r="I483" i="13"/>
  <c r="I485" i="13" s="1"/>
  <c r="L499" i="13"/>
  <c r="M515" i="13"/>
  <c r="J4587" i="38"/>
  <c r="I547" i="13"/>
  <c r="I549" i="13" s="1"/>
  <c r="F4607" i="38"/>
  <c r="L563" i="13"/>
  <c r="I4617" i="38"/>
  <c r="M579" i="13"/>
  <c r="J4627" i="38"/>
  <c r="I611" i="13"/>
  <c r="I613" i="13" s="1"/>
  <c r="F4647" i="38"/>
  <c r="G2339" i="38"/>
  <c r="G2343" i="38"/>
  <c r="I4577" i="38"/>
  <c r="D4592" i="38"/>
  <c r="D4632" i="38"/>
  <c r="F4567" i="38"/>
  <c r="I341" i="4"/>
  <c r="L2166" i="38" s="1"/>
  <c r="AC82" i="4"/>
  <c r="Z82" i="4"/>
  <c r="Z83" i="4" s="1"/>
  <c r="AA82" i="4"/>
  <c r="AD82" i="4"/>
  <c r="AD7" i="4" s="1"/>
  <c r="AA83" i="4"/>
  <c r="AD83" i="4"/>
  <c r="Z7" i="4"/>
  <c r="Z8" i="4"/>
  <c r="AA8" i="4"/>
  <c r="AA86" i="4" s="1"/>
  <c r="Z9" i="4"/>
  <c r="AA9" i="4"/>
  <c r="AD9" i="4"/>
  <c r="Z84" i="4"/>
  <c r="I357" i="4"/>
  <c r="I373" i="4"/>
  <c r="I389" i="4"/>
  <c r="I405" i="4"/>
  <c r="I421" i="4"/>
  <c r="I437" i="4"/>
  <c r="I453" i="4"/>
  <c r="I469" i="4"/>
  <c r="I485" i="4"/>
  <c r="I501" i="4"/>
  <c r="I517" i="4"/>
  <c r="I533" i="4"/>
  <c r="I549" i="4"/>
  <c r="I565" i="4"/>
  <c r="I581" i="4"/>
  <c r="I597" i="4"/>
  <c r="I613" i="4"/>
  <c r="I341" i="5"/>
  <c r="L2184" i="38" s="1"/>
  <c r="Z82" i="5"/>
  <c r="Z83" i="5" s="1"/>
  <c r="AA82" i="5"/>
  <c r="AD82" i="5"/>
  <c r="AD7" i="5" s="1"/>
  <c r="AA83" i="5"/>
  <c r="AD83" i="5"/>
  <c r="Z7" i="5"/>
  <c r="Z8" i="5"/>
  <c r="AA8" i="5"/>
  <c r="AA86" i="5" s="1"/>
  <c r="Z9" i="5"/>
  <c r="AA9" i="5"/>
  <c r="AD9" i="5"/>
  <c r="Z84" i="5"/>
  <c r="I357" i="5"/>
  <c r="I373" i="5"/>
  <c r="I389" i="5"/>
  <c r="I405" i="5"/>
  <c r="I421" i="5"/>
  <c r="I437" i="5"/>
  <c r="I453" i="5"/>
  <c r="I469" i="5"/>
  <c r="I485" i="5"/>
  <c r="I501" i="5"/>
  <c r="I517" i="5"/>
  <c r="I533" i="5"/>
  <c r="I549" i="5"/>
  <c r="I565" i="5"/>
  <c r="I581" i="5"/>
  <c r="I597" i="5"/>
  <c r="I613" i="5"/>
  <c r="I341" i="6"/>
  <c r="L2202" i="38" s="1"/>
  <c r="AC82" i="6"/>
  <c r="Z82" i="6"/>
  <c r="Z83" i="6" s="1"/>
  <c r="AA82" i="6"/>
  <c r="AD82" i="6"/>
  <c r="AD7" i="6" s="1"/>
  <c r="AA83" i="6"/>
  <c r="AD83" i="6"/>
  <c r="Z7" i="6"/>
  <c r="Z8" i="6"/>
  <c r="AA8" i="6"/>
  <c r="AA86" i="6" s="1"/>
  <c r="Z9" i="6"/>
  <c r="AA9" i="6"/>
  <c r="AD9" i="6"/>
  <c r="Z84" i="6"/>
  <c r="I357" i="6"/>
  <c r="I373" i="6"/>
  <c r="I389" i="6"/>
  <c r="I405" i="6"/>
  <c r="I421" i="6"/>
  <c r="I437" i="6"/>
  <c r="I453" i="6"/>
  <c r="I469" i="6"/>
  <c r="I485" i="6"/>
  <c r="I501" i="6"/>
  <c r="I517" i="6"/>
  <c r="I533" i="6"/>
  <c r="I549" i="6"/>
  <c r="I565" i="6"/>
  <c r="I581" i="6"/>
  <c r="I597" i="6"/>
  <c r="I613" i="6"/>
  <c r="AC82" i="7"/>
  <c r="Z82" i="7"/>
  <c r="Z83" i="7" s="1"/>
  <c r="AA82" i="7"/>
  <c r="AD82" i="7"/>
  <c r="AA83" i="7"/>
  <c r="AD83" i="7"/>
  <c r="Z7" i="7"/>
  <c r="AD7" i="7"/>
  <c r="Z8" i="7"/>
  <c r="AA8" i="7"/>
  <c r="AA86" i="7" s="1"/>
  <c r="AD8" i="7"/>
  <c r="Z9" i="7"/>
  <c r="AA9" i="7"/>
  <c r="AD9" i="7"/>
  <c r="Z84" i="7"/>
  <c r="I357" i="7"/>
  <c r="I373" i="7"/>
  <c r="I501" i="7"/>
  <c r="I341" i="8"/>
  <c r="L2238" i="38" s="1"/>
  <c r="AC82" i="8"/>
  <c r="Z82" i="8"/>
  <c r="Z83" i="8" s="1"/>
  <c r="AA82" i="8"/>
  <c r="AD82" i="8"/>
  <c r="AD8" i="8" s="1"/>
  <c r="AA83" i="8"/>
  <c r="AD83" i="8"/>
  <c r="Z7" i="8"/>
  <c r="AD7" i="8"/>
  <c r="Z8" i="8"/>
  <c r="AA8" i="8"/>
  <c r="AA86" i="8" s="1"/>
  <c r="Z9" i="8"/>
  <c r="AA9" i="8"/>
  <c r="AD9" i="8"/>
  <c r="Z84" i="8"/>
  <c r="I357" i="8"/>
  <c r="I373" i="8"/>
  <c r="I389" i="8"/>
  <c r="I437" i="8"/>
  <c r="I469" i="8"/>
  <c r="I501" i="8"/>
  <c r="I565" i="8"/>
  <c r="AC82" i="9"/>
  <c r="Z82" i="9"/>
  <c r="Z83" i="9" s="1"/>
  <c r="AA82" i="9"/>
  <c r="AD82" i="9"/>
  <c r="AA83" i="9"/>
  <c r="AD83" i="9"/>
  <c r="Z7" i="9"/>
  <c r="AD7" i="9"/>
  <c r="Z8" i="9"/>
  <c r="AA8" i="9"/>
  <c r="AA86" i="9" s="1"/>
  <c r="AD8" i="9"/>
  <c r="Z9" i="9"/>
  <c r="AA9" i="9"/>
  <c r="AD9" i="9"/>
  <c r="Z84" i="9"/>
  <c r="I357" i="9"/>
  <c r="I389" i="9"/>
  <c r="I421" i="9"/>
  <c r="I453" i="9"/>
  <c r="I485" i="9"/>
  <c r="I517" i="9"/>
  <c r="I549" i="9"/>
  <c r="I581" i="9"/>
  <c r="I613" i="9"/>
  <c r="I341" i="10"/>
  <c r="L2274" i="38" s="1"/>
  <c r="AC82" i="10"/>
  <c r="Z82" i="10"/>
  <c r="Z83" i="10" s="1"/>
  <c r="AA82" i="10"/>
  <c r="AD82" i="10"/>
  <c r="AD7" i="10" s="1"/>
  <c r="AA83" i="10"/>
  <c r="AD83" i="10"/>
  <c r="Z7" i="10"/>
  <c r="Z8" i="10"/>
  <c r="AA8" i="10"/>
  <c r="AA86" i="10" s="1"/>
  <c r="AD8" i="10"/>
  <c r="Z9" i="10"/>
  <c r="AA9" i="10"/>
  <c r="AD9" i="10"/>
  <c r="Z84" i="10"/>
  <c r="I357" i="10"/>
  <c r="I373" i="10"/>
  <c r="I389" i="10"/>
  <c r="I405" i="10"/>
  <c r="I421" i="10"/>
  <c r="I437" i="10"/>
  <c r="I453" i="10"/>
  <c r="I469" i="10"/>
  <c r="I485" i="10"/>
  <c r="I501" i="10"/>
  <c r="I517" i="10"/>
  <c r="I533" i="10"/>
  <c r="I549" i="10"/>
  <c r="I565" i="10"/>
  <c r="I581" i="10"/>
  <c r="I597" i="10"/>
  <c r="I613" i="10"/>
  <c r="I341" i="11"/>
  <c r="L2292" i="38" s="1"/>
  <c r="AC82" i="11"/>
  <c r="Z82" i="11"/>
  <c r="Z83" i="11" s="1"/>
  <c r="AA82" i="11"/>
  <c r="AD82" i="11"/>
  <c r="AD8" i="11" s="1"/>
  <c r="AA83" i="11"/>
  <c r="AD83" i="11"/>
  <c r="Z7" i="11"/>
  <c r="AD7" i="11"/>
  <c r="Z8" i="11"/>
  <c r="AA8" i="11"/>
  <c r="AA86" i="11" s="1"/>
  <c r="Z9" i="11"/>
  <c r="AA9" i="11"/>
  <c r="AD9" i="11"/>
  <c r="Z84" i="11"/>
  <c r="I357" i="11"/>
  <c r="I373" i="11"/>
  <c r="I421" i="11"/>
  <c r="I437" i="11"/>
  <c r="I453" i="11"/>
  <c r="I485" i="11"/>
  <c r="I501" i="11"/>
  <c r="I549" i="11"/>
  <c r="I565" i="11"/>
  <c r="I613" i="11"/>
  <c r="I341" i="12"/>
  <c r="L2310" i="38" s="1"/>
  <c r="AC82" i="12"/>
  <c r="Z82" i="12"/>
  <c r="Z83" i="12" s="1"/>
  <c r="AA82" i="12"/>
  <c r="AD82" i="12"/>
  <c r="AD8" i="12" s="1"/>
  <c r="AA83" i="12"/>
  <c r="AD83" i="12"/>
  <c r="Z7" i="12"/>
  <c r="AD7" i="12"/>
  <c r="Z8" i="12"/>
  <c r="AA8" i="12"/>
  <c r="AA86" i="12" s="1"/>
  <c r="Z9" i="12"/>
  <c r="AA9" i="12"/>
  <c r="AD9" i="12"/>
  <c r="Z84" i="12"/>
  <c r="I373" i="12"/>
  <c r="I405" i="12"/>
  <c r="I437" i="12"/>
  <c r="I453" i="12"/>
  <c r="I469" i="12"/>
  <c r="I501" i="12"/>
  <c r="I533" i="12"/>
  <c r="I565" i="12"/>
  <c r="I597" i="12"/>
  <c r="AC82" i="13"/>
  <c r="Z82" i="13"/>
  <c r="Z83" i="13" s="1"/>
  <c r="AA82" i="13"/>
  <c r="AD82" i="13"/>
  <c r="AD8" i="13" s="1"/>
  <c r="AA83" i="13"/>
  <c r="AD83" i="13"/>
  <c r="Z7" i="13"/>
  <c r="AD7" i="13"/>
  <c r="Z8" i="13"/>
  <c r="AA8" i="13"/>
  <c r="AA86" i="13" s="1"/>
  <c r="Z9" i="13"/>
  <c r="AA9" i="13"/>
  <c r="AD9" i="13"/>
  <c r="Z84" i="13"/>
  <c r="I453" i="13"/>
  <c r="I469" i="13"/>
  <c r="I533" i="13"/>
  <c r="I581" i="13"/>
  <c r="I341" i="14"/>
  <c r="L2346" i="38" s="1"/>
  <c r="AC82" i="14"/>
  <c r="Z82" i="14"/>
  <c r="Z83" i="14" s="1"/>
  <c r="AA82" i="14"/>
  <c r="AD82" i="14"/>
  <c r="AD8" i="14" s="1"/>
  <c r="AA83" i="14"/>
  <c r="AD83" i="14"/>
  <c r="Z7" i="14"/>
  <c r="AD7" i="14"/>
  <c r="Z8" i="14"/>
  <c r="AA8" i="14"/>
  <c r="AA86" i="14" s="1"/>
  <c r="Z9" i="14"/>
  <c r="AA9" i="14"/>
  <c r="AD9" i="14"/>
  <c r="Z84" i="14"/>
  <c r="I357" i="14"/>
  <c r="I373" i="14"/>
  <c r="I405" i="14"/>
  <c r="I421" i="14"/>
  <c r="I437" i="14"/>
  <c r="I469" i="14"/>
  <c r="I485" i="14"/>
  <c r="I501" i="14"/>
  <c r="I533" i="14"/>
  <c r="I549" i="14"/>
  <c r="I565" i="14"/>
  <c r="I597" i="14"/>
  <c r="I613" i="14"/>
  <c r="AC82" i="15"/>
  <c r="Z82" i="15"/>
  <c r="Z83" i="15" s="1"/>
  <c r="AA82" i="15"/>
  <c r="AD82" i="15"/>
  <c r="AD7" i="15" s="1"/>
  <c r="AA83" i="15"/>
  <c r="AD83" i="15"/>
  <c r="Z7" i="15"/>
  <c r="Z8" i="15"/>
  <c r="AA8" i="15"/>
  <c r="AA86" i="15" s="1"/>
  <c r="Z9" i="15"/>
  <c r="AA9" i="15"/>
  <c r="AD9" i="15"/>
  <c r="Z84" i="15"/>
  <c r="I357" i="15"/>
  <c r="I405" i="15"/>
  <c r="I421" i="15"/>
  <c r="I469" i="15"/>
  <c r="I485" i="15"/>
  <c r="I533" i="15"/>
  <c r="I549" i="15"/>
  <c r="I597" i="15"/>
  <c r="I613" i="15"/>
  <c r="I341" i="16"/>
  <c r="L2382" i="38" s="1"/>
  <c r="AC82" i="16"/>
  <c r="Z82" i="16"/>
  <c r="Z83" i="16" s="1"/>
  <c r="AA82" i="16"/>
  <c r="AD82" i="16"/>
  <c r="AD7" i="16" s="1"/>
  <c r="AA83" i="16"/>
  <c r="AD83" i="16"/>
  <c r="Z7" i="16"/>
  <c r="Z8" i="16"/>
  <c r="AA8" i="16"/>
  <c r="AA86" i="16" s="1"/>
  <c r="Z9" i="16"/>
  <c r="AA9" i="16"/>
  <c r="AD9" i="16"/>
  <c r="Z84" i="16"/>
  <c r="I373" i="16"/>
  <c r="I389" i="16"/>
  <c r="I405" i="16"/>
  <c r="I437" i="16"/>
  <c r="I453" i="16"/>
  <c r="I469" i="16"/>
  <c r="I501" i="16"/>
  <c r="I517" i="16"/>
  <c r="I533" i="16"/>
  <c r="I565" i="16"/>
  <c r="I581" i="16"/>
  <c r="I597" i="16"/>
  <c r="I341" i="17"/>
  <c r="L2400" i="38" s="1"/>
  <c r="AC82" i="17"/>
  <c r="Z82" i="17"/>
  <c r="Z83" i="17" s="1"/>
  <c r="AA82" i="17"/>
  <c r="AD82" i="17"/>
  <c r="AD8" i="17" s="1"/>
  <c r="AA83" i="17"/>
  <c r="AD83" i="17"/>
  <c r="Z7" i="17"/>
  <c r="AD7" i="17"/>
  <c r="Z8" i="17"/>
  <c r="AA8" i="17"/>
  <c r="AA86" i="17" s="1"/>
  <c r="Z9" i="17"/>
  <c r="AA9" i="17"/>
  <c r="AD9" i="17"/>
  <c r="Z84" i="17"/>
  <c r="I373" i="17"/>
  <c r="I389" i="17"/>
  <c r="I405" i="17"/>
  <c r="I437" i="17"/>
  <c r="I453" i="17"/>
  <c r="I469" i="17"/>
  <c r="I501" i="17"/>
  <c r="I517" i="17"/>
  <c r="I533" i="17"/>
  <c r="I565" i="17"/>
  <c r="I581" i="17"/>
  <c r="I597" i="17"/>
  <c r="I341" i="18"/>
  <c r="L2418" i="38" s="1"/>
  <c r="AC82" i="18"/>
  <c r="Z82" i="18"/>
  <c r="Z83" i="18" s="1"/>
  <c r="AA82" i="18"/>
  <c r="AD82" i="18"/>
  <c r="AD8" i="18" s="1"/>
  <c r="AA83" i="18"/>
  <c r="AD83" i="18"/>
  <c r="Z7" i="18"/>
  <c r="AD7" i="18"/>
  <c r="Z8" i="18"/>
  <c r="AA8" i="18"/>
  <c r="AA86" i="18" s="1"/>
  <c r="Z9" i="18"/>
  <c r="AA9" i="18"/>
  <c r="AD9" i="18"/>
  <c r="Z84" i="18"/>
  <c r="I373" i="18"/>
  <c r="I389" i="18"/>
  <c r="I405" i="18"/>
  <c r="I437" i="18"/>
  <c r="I453" i="18"/>
  <c r="I469" i="18"/>
  <c r="I501" i="18"/>
  <c r="I517" i="18"/>
  <c r="I533" i="18"/>
  <c r="I565" i="18"/>
  <c r="I597" i="18"/>
  <c r="I613" i="18"/>
  <c r="AC82" i="19"/>
  <c r="Z82" i="19"/>
  <c r="Z83" i="19" s="1"/>
  <c r="AA82" i="19"/>
  <c r="AD82" i="19"/>
  <c r="AD8" i="19" s="1"/>
  <c r="AA83" i="19"/>
  <c r="AD83" i="19"/>
  <c r="Z7" i="19"/>
  <c r="Z8" i="19"/>
  <c r="AA8" i="19"/>
  <c r="AA86" i="19" s="1"/>
  <c r="Z9" i="19"/>
  <c r="AA9" i="19"/>
  <c r="AD9" i="19"/>
  <c r="Z84" i="19"/>
  <c r="I437" i="19"/>
  <c r="I453" i="19"/>
  <c r="I533" i="19"/>
  <c r="I549" i="19"/>
  <c r="I565" i="19"/>
  <c r="I613" i="19"/>
  <c r="I341" i="20"/>
  <c r="L2454" i="38" s="1"/>
  <c r="AC82" i="20"/>
  <c r="Z82" i="20"/>
  <c r="Z83" i="20" s="1"/>
  <c r="AA82" i="20"/>
  <c r="AD82" i="20"/>
  <c r="AD8" i="20" s="1"/>
  <c r="AA83" i="20"/>
  <c r="AD83" i="20"/>
  <c r="Z7" i="20"/>
  <c r="AD7" i="20"/>
  <c r="Z8" i="20"/>
  <c r="AA8" i="20"/>
  <c r="AA86" i="20" s="1"/>
  <c r="Z9" i="20"/>
  <c r="AA9" i="20"/>
  <c r="AD9" i="20"/>
  <c r="Z84" i="20"/>
  <c r="I357" i="20"/>
  <c r="I373" i="20"/>
  <c r="I389" i="20"/>
  <c r="I421" i="20"/>
  <c r="I485" i="20"/>
  <c r="I501" i="20"/>
  <c r="I581" i="20"/>
  <c r="I597" i="20"/>
  <c r="I613" i="20"/>
  <c r="AC82" i="21"/>
  <c r="Z82" i="21"/>
  <c r="Z83" i="21" s="1"/>
  <c r="AA82" i="21"/>
  <c r="AD82" i="21"/>
  <c r="AD8" i="21" s="1"/>
  <c r="AA83" i="21"/>
  <c r="AD83" i="21"/>
  <c r="Z7" i="21"/>
  <c r="AD7" i="21"/>
  <c r="Z8" i="21"/>
  <c r="AA8" i="21"/>
  <c r="AA86" i="21" s="1"/>
  <c r="Z9" i="21"/>
  <c r="AA9" i="21"/>
  <c r="AD9" i="21"/>
  <c r="Z84" i="21"/>
  <c r="I389" i="21"/>
  <c r="I405" i="21"/>
  <c r="I485" i="21"/>
  <c r="I501" i="21"/>
  <c r="I533" i="21"/>
  <c r="I565" i="21"/>
  <c r="I581" i="21"/>
  <c r="I613" i="21"/>
  <c r="I341" i="22"/>
  <c r="L2490" i="38" s="1"/>
  <c r="AC82" i="22"/>
  <c r="Z82" i="22"/>
  <c r="Z83" i="22" s="1"/>
  <c r="AA82" i="22"/>
  <c r="AD82" i="22"/>
  <c r="AD8" i="22" s="1"/>
  <c r="AA83" i="22"/>
  <c r="AD83" i="22"/>
  <c r="Z7" i="22"/>
  <c r="AD7" i="22"/>
  <c r="Z8" i="22"/>
  <c r="AA8" i="22"/>
  <c r="AA86" i="22" s="1"/>
  <c r="Z9" i="22"/>
  <c r="AA9" i="22"/>
  <c r="AD9" i="22"/>
  <c r="Z84" i="22"/>
  <c r="I357" i="22"/>
  <c r="I373" i="22"/>
  <c r="I389" i="22"/>
  <c r="I405" i="22"/>
  <c r="I421" i="22"/>
  <c r="I437" i="22"/>
  <c r="I453" i="22"/>
  <c r="I485" i="22"/>
  <c r="I501" i="22"/>
  <c r="I517" i="22"/>
  <c r="I533" i="22"/>
  <c r="I565" i="22"/>
  <c r="I581" i="22"/>
  <c r="I613" i="22"/>
  <c r="I341" i="23"/>
  <c r="L2508" i="38" s="1"/>
  <c r="AC82" i="23"/>
  <c r="Z82" i="23"/>
  <c r="Z83" i="23" s="1"/>
  <c r="AA82" i="23"/>
  <c r="AD82" i="23"/>
  <c r="AD8" i="23" s="1"/>
  <c r="AA83" i="23"/>
  <c r="AD83" i="23"/>
  <c r="Z7" i="23"/>
  <c r="AD7" i="23"/>
  <c r="Z8" i="23"/>
  <c r="AA8" i="23"/>
  <c r="AA86" i="23" s="1"/>
  <c r="Z9" i="23"/>
  <c r="AA9" i="23"/>
  <c r="AD9" i="23"/>
  <c r="Z84" i="23"/>
  <c r="I357" i="23"/>
  <c r="I373" i="23"/>
  <c r="I389" i="23"/>
  <c r="I405" i="23"/>
  <c r="I421" i="23"/>
  <c r="I437" i="23"/>
  <c r="I453" i="23"/>
  <c r="I485" i="23"/>
  <c r="I501" i="23"/>
  <c r="I549" i="23"/>
  <c r="I565" i="23"/>
  <c r="I581" i="23"/>
  <c r="I597" i="23"/>
  <c r="I613" i="23"/>
  <c r="I341" i="24"/>
  <c r="L2526" i="38" s="1"/>
  <c r="AC82" i="24"/>
  <c r="Z82" i="24"/>
  <c r="Z83" i="24" s="1"/>
  <c r="AA82" i="24"/>
  <c r="AD82" i="24"/>
  <c r="AD7" i="24" s="1"/>
  <c r="AA83" i="24"/>
  <c r="AD83" i="24"/>
  <c r="Z7" i="24"/>
  <c r="Z8" i="24"/>
  <c r="AA8" i="24"/>
  <c r="AA86" i="24" s="1"/>
  <c r="Z9" i="24"/>
  <c r="AA9" i="24"/>
  <c r="AD9" i="24"/>
  <c r="Z84" i="24"/>
  <c r="I357" i="24"/>
  <c r="I373" i="24"/>
  <c r="I389" i="24"/>
  <c r="I405" i="24"/>
  <c r="I421" i="24"/>
  <c r="I437" i="24"/>
  <c r="I453" i="24"/>
  <c r="I469" i="24"/>
  <c r="I485" i="24"/>
  <c r="I501" i="24"/>
  <c r="I517" i="24"/>
  <c r="I533" i="24"/>
  <c r="I549" i="24"/>
  <c r="I565" i="24"/>
  <c r="I581" i="24"/>
  <c r="I597" i="24"/>
  <c r="I613" i="24"/>
  <c r="I341" i="25"/>
  <c r="L2544" i="38" s="1"/>
  <c r="AC82" i="25"/>
  <c r="Z82" i="25"/>
  <c r="Z83" i="25" s="1"/>
  <c r="AA82" i="25"/>
  <c r="AD82" i="25"/>
  <c r="AD8" i="25" s="1"/>
  <c r="AA83" i="25"/>
  <c r="AD83" i="25"/>
  <c r="Z7" i="25"/>
  <c r="AD7" i="25"/>
  <c r="Z8" i="25"/>
  <c r="AA8" i="25"/>
  <c r="AA86" i="25" s="1"/>
  <c r="Z9" i="25"/>
  <c r="AA9" i="25"/>
  <c r="AD9" i="25"/>
  <c r="Z84" i="25"/>
  <c r="I357" i="25"/>
  <c r="I405" i="25"/>
  <c r="I421" i="25"/>
  <c r="I437" i="25"/>
  <c r="I453" i="25"/>
  <c r="I469" i="25"/>
  <c r="I517" i="25"/>
  <c r="I533" i="25"/>
  <c r="I565" i="25"/>
  <c r="I581" i="25"/>
  <c r="I613" i="25"/>
  <c r="I341" i="26"/>
  <c r="L2562" i="38" s="1"/>
  <c r="AC82" i="26"/>
  <c r="Z82" i="26"/>
  <c r="Z83" i="26" s="1"/>
  <c r="AA82" i="26"/>
  <c r="AD82" i="26"/>
  <c r="AD7" i="26" s="1"/>
  <c r="AA83" i="26"/>
  <c r="AD83" i="26"/>
  <c r="Z7" i="26"/>
  <c r="Z8" i="26"/>
  <c r="AA8" i="26"/>
  <c r="AA86" i="26" s="1"/>
  <c r="Z9" i="26"/>
  <c r="AA9" i="26"/>
  <c r="AD9" i="26"/>
  <c r="Z84" i="26"/>
  <c r="I389" i="26"/>
  <c r="I405" i="26"/>
  <c r="I421" i="26"/>
  <c r="I437" i="26"/>
  <c r="I453" i="26"/>
  <c r="I501" i="26"/>
  <c r="I517" i="26"/>
  <c r="I533" i="26"/>
  <c r="I581" i="26"/>
  <c r="I597" i="26"/>
  <c r="I613" i="26"/>
  <c r="AC82" i="27"/>
  <c r="Z82" i="27"/>
  <c r="Z83" i="27" s="1"/>
  <c r="AA82" i="27"/>
  <c r="AD82" i="27"/>
  <c r="AA83" i="27"/>
  <c r="AD83" i="27"/>
  <c r="Z7" i="27"/>
  <c r="AD7" i="27"/>
  <c r="Z8" i="27"/>
  <c r="AA8" i="27"/>
  <c r="AA86" i="27" s="1"/>
  <c r="AD8" i="27"/>
  <c r="Z9" i="27"/>
  <c r="AA9" i="27"/>
  <c r="AD9" i="27"/>
  <c r="Z84" i="27"/>
  <c r="I373" i="27"/>
  <c r="I389" i="27"/>
  <c r="I437" i="27"/>
  <c r="I549" i="27"/>
  <c r="I565" i="27"/>
  <c r="I597" i="27"/>
  <c r="AC82" i="28"/>
  <c r="Z82" i="28"/>
  <c r="Z83" i="28" s="1"/>
  <c r="AA82" i="28"/>
  <c r="AD82" i="28"/>
  <c r="AD8" i="28" s="1"/>
  <c r="AA83" i="28"/>
  <c r="AD83" i="28"/>
  <c r="Z7" i="28"/>
  <c r="AD7" i="28"/>
  <c r="Z8" i="28"/>
  <c r="AA8" i="28"/>
  <c r="AA86" i="28" s="1"/>
  <c r="Z9" i="28"/>
  <c r="AA9" i="28"/>
  <c r="AD9" i="28"/>
  <c r="Z84" i="28"/>
  <c r="I389" i="28"/>
  <c r="I405" i="28"/>
  <c r="I437" i="28"/>
  <c r="I453" i="28"/>
  <c r="I485" i="28"/>
  <c r="I517" i="28"/>
  <c r="I533" i="28"/>
  <c r="I549" i="28"/>
  <c r="I565" i="28"/>
  <c r="I581" i="28"/>
  <c r="I341" i="29"/>
  <c r="L2616" i="38" s="1"/>
  <c r="AC82" i="29"/>
  <c r="Z82" i="29"/>
  <c r="Z83" i="29" s="1"/>
  <c r="AA82" i="29"/>
  <c r="AD82" i="29"/>
  <c r="AD8" i="29" s="1"/>
  <c r="AA83" i="29"/>
  <c r="AD83" i="29"/>
  <c r="Z7" i="29"/>
  <c r="AD7" i="29"/>
  <c r="Z8" i="29"/>
  <c r="AA8" i="29"/>
  <c r="AA86" i="29" s="1"/>
  <c r="Z9" i="29"/>
  <c r="AA9" i="29"/>
  <c r="AD9" i="29"/>
  <c r="Z84" i="29"/>
  <c r="I357" i="29"/>
  <c r="I373" i="29"/>
  <c r="I389" i="29"/>
  <c r="I405" i="29"/>
  <c r="I421" i="29"/>
  <c r="I437" i="29"/>
  <c r="I453" i="29"/>
  <c r="I469" i="29"/>
  <c r="I485" i="29"/>
  <c r="I501" i="29"/>
  <c r="I517" i="29"/>
  <c r="I533" i="29"/>
  <c r="I549" i="29"/>
  <c r="I565" i="29"/>
  <c r="I581" i="29"/>
  <c r="I597" i="29"/>
  <c r="I613" i="29"/>
  <c r="I341" i="30"/>
  <c r="L2634" i="38" s="1"/>
  <c r="AC82" i="30"/>
  <c r="Z82" i="30"/>
  <c r="Z83" i="30" s="1"/>
  <c r="AA82" i="30"/>
  <c r="AD82" i="30"/>
  <c r="AD8" i="30" s="1"/>
  <c r="AA83" i="30"/>
  <c r="AD83" i="30"/>
  <c r="Z7" i="30"/>
  <c r="AD7" i="30"/>
  <c r="Z8" i="30"/>
  <c r="AA8" i="30"/>
  <c r="AA86" i="30" s="1"/>
  <c r="Z9" i="30"/>
  <c r="AA9" i="30"/>
  <c r="AD9" i="30"/>
  <c r="Z84" i="30"/>
  <c r="I357" i="30"/>
  <c r="I373" i="30"/>
  <c r="I389" i="30"/>
  <c r="I405" i="30"/>
  <c r="I421" i="30"/>
  <c r="I437" i="30"/>
  <c r="I485" i="30"/>
  <c r="I501" i="30"/>
  <c r="I517" i="30"/>
  <c r="I533" i="30"/>
  <c r="I565" i="30"/>
  <c r="I581" i="30"/>
  <c r="I597" i="30"/>
  <c r="I613" i="30"/>
  <c r="I341" i="31"/>
  <c r="L2652" i="38" s="1"/>
  <c r="AC82" i="31"/>
  <c r="Z82" i="31"/>
  <c r="AA82" i="31"/>
  <c r="AD82" i="31"/>
  <c r="AD7" i="31" s="1"/>
  <c r="Z83" i="31"/>
  <c r="AA83" i="31"/>
  <c r="AD83" i="31"/>
  <c r="Z7" i="31"/>
  <c r="Z8" i="31"/>
  <c r="AA8" i="31"/>
  <c r="AA86" i="31" s="1"/>
  <c r="Z9" i="31"/>
  <c r="AA9" i="31"/>
  <c r="AD9" i="31"/>
  <c r="Z84" i="31"/>
  <c r="I357" i="31"/>
  <c r="I373" i="31"/>
  <c r="I389" i="31"/>
  <c r="I405" i="31"/>
  <c r="I421" i="31"/>
  <c r="I469" i="31"/>
  <c r="I485" i="31"/>
  <c r="I501" i="31"/>
  <c r="I517" i="31"/>
  <c r="I549" i="31"/>
  <c r="I565" i="31"/>
  <c r="I597" i="31"/>
  <c r="I613" i="31"/>
  <c r="AA82" i="32"/>
  <c r="AA83" i="32"/>
  <c r="AA8" i="32"/>
  <c r="AA86" i="32" s="1"/>
  <c r="AA9" i="32"/>
  <c r="I357" i="32"/>
  <c r="I373" i="32"/>
  <c r="I389" i="32"/>
  <c r="I421" i="32"/>
  <c r="I437" i="32"/>
  <c r="I469" i="32"/>
  <c r="I485" i="32"/>
  <c r="I501" i="32"/>
  <c r="I565" i="32"/>
  <c r="I581" i="32"/>
  <c r="I597" i="32"/>
  <c r="I613" i="32"/>
  <c r="K203" i="3"/>
  <c r="B2" i="31"/>
  <c r="B2" i="25"/>
  <c r="B2" i="20"/>
  <c r="B2" i="21"/>
  <c r="B2" i="8"/>
  <c r="F2" i="24"/>
  <c r="F2" i="9"/>
  <c r="B2" i="26"/>
  <c r="F2" i="16"/>
  <c r="F2" i="21"/>
  <c r="F2" i="25"/>
  <c r="F2" i="13"/>
  <c r="F2" i="15"/>
  <c r="F2" i="31"/>
  <c r="B2" i="23"/>
  <c r="B2" i="18"/>
  <c r="F2" i="29"/>
  <c r="B2" i="10"/>
  <c r="F2" i="6"/>
  <c r="F2" i="30"/>
  <c r="F2" i="17"/>
  <c r="F2" i="27"/>
  <c r="F2" i="32"/>
  <c r="B2" i="16"/>
  <c r="B2" i="5"/>
  <c r="F2" i="11"/>
  <c r="B2" i="27"/>
  <c r="B2" i="22"/>
  <c r="F2" i="23"/>
  <c r="B2" i="14"/>
  <c r="F2" i="28"/>
  <c r="F2" i="14"/>
  <c r="B2" i="11"/>
  <c r="B2" i="17"/>
  <c r="F2" i="22"/>
  <c r="B2" i="30"/>
  <c r="B2" i="9"/>
  <c r="B2" i="19"/>
  <c r="B2" i="7"/>
  <c r="F2" i="19"/>
  <c r="F2" i="8"/>
  <c r="F2" i="26"/>
  <c r="F2" i="12"/>
  <c r="F2" i="5"/>
  <c r="B2" i="12"/>
  <c r="B2" i="32"/>
  <c r="B2" i="13"/>
  <c r="B2" i="4"/>
  <c r="B2" i="15"/>
  <c r="B2" i="6"/>
  <c r="B2" i="24"/>
  <c r="B2" i="29"/>
  <c r="F2" i="7"/>
  <c r="F2" i="18"/>
  <c r="F2" i="4"/>
  <c r="F2" i="20"/>
  <c r="F2" i="10"/>
  <c r="B2" i="28"/>
  <c r="J139" i="1" l="1"/>
  <c r="I139" i="1"/>
  <c r="H139" i="1"/>
  <c r="G139" i="1"/>
  <c r="F139" i="1"/>
  <c r="J137" i="1"/>
  <c r="I137" i="1"/>
  <c r="H137" i="1"/>
  <c r="G137" i="1"/>
  <c r="F137" i="1"/>
  <c r="J135" i="1"/>
  <c r="I135" i="1"/>
  <c r="H135" i="1"/>
  <c r="G135" i="1"/>
  <c r="F135" i="1"/>
  <c r="J133" i="1"/>
  <c r="I133" i="1"/>
  <c r="H133" i="1"/>
  <c r="G133" i="1"/>
  <c r="F133" i="1"/>
  <c r="J131" i="1"/>
  <c r="I131" i="1"/>
  <c r="H131" i="1"/>
  <c r="G131" i="1"/>
  <c r="F131" i="1"/>
  <c r="J129" i="1"/>
  <c r="I129" i="1"/>
  <c r="H129" i="1"/>
  <c r="G129" i="1"/>
  <c r="Z62" i="5"/>
  <c r="AD8" i="24"/>
  <c r="J221" i="1"/>
  <c r="I221" i="1"/>
  <c r="H221" i="1"/>
  <c r="G221" i="1"/>
  <c r="F221" i="1"/>
  <c r="J219" i="1"/>
  <c r="I219" i="1"/>
  <c r="H219" i="1"/>
  <c r="G219" i="1"/>
  <c r="F219" i="1"/>
  <c r="J217" i="1"/>
  <c r="I217" i="1"/>
  <c r="H217" i="1"/>
  <c r="G217" i="1"/>
  <c r="F217" i="1"/>
  <c r="J215" i="1"/>
  <c r="I215" i="1"/>
  <c r="H215" i="1"/>
  <c r="G215" i="1"/>
  <c r="F215" i="1"/>
  <c r="J213" i="1"/>
  <c r="I213" i="1"/>
  <c r="H213" i="1"/>
  <c r="G213" i="1"/>
  <c r="F213" i="1"/>
  <c r="J211" i="1"/>
  <c r="I211" i="1"/>
  <c r="H211" i="1"/>
  <c r="G211" i="1"/>
  <c r="I613" i="12"/>
  <c r="I549" i="12"/>
  <c r="I485" i="12"/>
  <c r="I421" i="12"/>
  <c r="I453" i="31"/>
  <c r="AD8" i="31"/>
  <c r="I373" i="28"/>
  <c r="I501" i="28"/>
  <c r="I421" i="28"/>
  <c r="I341" i="27"/>
  <c r="L2580" i="38" s="1"/>
  <c r="I581" i="27"/>
  <c r="I533" i="27"/>
  <c r="I613" i="27"/>
  <c r="I453" i="27"/>
  <c r="I357" i="27"/>
  <c r="I469" i="27"/>
  <c r="I485" i="26"/>
  <c r="I549" i="26"/>
  <c r="I565" i="26"/>
  <c r="I469" i="26"/>
  <c r="I357" i="26"/>
  <c r="I389" i="25"/>
  <c r="I469" i="21"/>
  <c r="I373" i="21"/>
  <c r="I453" i="21"/>
  <c r="I341" i="21"/>
  <c r="L2472" i="38" s="1"/>
  <c r="I517" i="21"/>
  <c r="I421" i="21"/>
  <c r="I437" i="21"/>
  <c r="I469" i="20"/>
  <c r="I517" i="20"/>
  <c r="I581" i="19"/>
  <c r="I421" i="19"/>
  <c r="I405" i="19"/>
  <c r="K2437" i="38"/>
  <c r="I469" i="19"/>
  <c r="I517" i="19"/>
  <c r="I581" i="18"/>
  <c r="I613" i="17"/>
  <c r="I549" i="17"/>
  <c r="I485" i="17"/>
  <c r="I421" i="17"/>
  <c r="I2401" i="38"/>
  <c r="I341" i="15"/>
  <c r="L2364" i="38" s="1"/>
  <c r="I581" i="14"/>
  <c r="I517" i="14"/>
  <c r="I453" i="14"/>
  <c r="I389" i="14"/>
  <c r="L2349" i="38" s="1"/>
  <c r="I597" i="13"/>
  <c r="I405" i="13"/>
  <c r="I357" i="12"/>
  <c r="I2311" i="38"/>
  <c r="I341" i="9"/>
  <c r="L2256" i="38" s="1"/>
  <c r="I597" i="9"/>
  <c r="I533" i="9"/>
  <c r="I469" i="9"/>
  <c r="I405" i="9"/>
  <c r="J2239" i="38"/>
  <c r="I613" i="8"/>
  <c r="I549" i="8"/>
  <c r="I485" i="8"/>
  <c r="I421" i="8"/>
  <c r="I565" i="7"/>
  <c r="I437" i="7"/>
  <c r="I581" i="7"/>
  <c r="I517" i="7"/>
  <c r="I453" i="7"/>
  <c r="I389" i="7"/>
  <c r="I613" i="7"/>
  <c r="I549" i="7"/>
  <c r="I485" i="7"/>
  <c r="I421" i="7"/>
  <c r="I341" i="7"/>
  <c r="L2220" i="38" s="1"/>
  <c r="AD8" i="6"/>
  <c r="AD8" i="5"/>
  <c r="J233" i="1"/>
  <c r="I231" i="1"/>
  <c r="J225" i="1"/>
  <c r="H233" i="1"/>
  <c r="F231" i="1"/>
  <c r="G231" i="1"/>
  <c r="F235" i="1"/>
  <c r="G235" i="1"/>
  <c r="F229" i="1"/>
  <c r="I233" i="1"/>
  <c r="F233" i="1"/>
  <c r="H235" i="1"/>
  <c r="J227" i="1"/>
  <c r="F227" i="1"/>
  <c r="H231" i="1"/>
  <c r="G233" i="1"/>
  <c r="J231" i="1"/>
  <c r="H229" i="1"/>
  <c r="I225" i="1"/>
  <c r="I229" i="1"/>
  <c r="J235" i="1"/>
  <c r="G225" i="1"/>
  <c r="J229" i="1"/>
  <c r="G227" i="1"/>
  <c r="H227" i="1"/>
  <c r="I235" i="1"/>
  <c r="G229" i="1"/>
  <c r="H225" i="1"/>
  <c r="I227" i="1"/>
  <c r="I405" i="32"/>
  <c r="I549" i="32"/>
  <c r="I341" i="32"/>
  <c r="L2670" i="38" s="1"/>
  <c r="I341" i="28"/>
  <c r="L2598" i="38" s="1"/>
  <c r="I341" i="19"/>
  <c r="L2436" i="38" s="1"/>
  <c r="I2419" i="38"/>
  <c r="I357" i="18"/>
  <c r="Z62" i="32"/>
  <c r="AD8" i="26"/>
  <c r="AD7" i="19"/>
  <c r="AD8" i="16"/>
  <c r="AD8" i="15"/>
  <c r="AD8" i="4"/>
  <c r="F8053" i="38"/>
  <c r="L2685" i="38"/>
  <c r="F8013" i="38"/>
  <c r="L2681" i="38"/>
  <c r="F7973" i="38"/>
  <c r="L2677" i="38"/>
  <c r="F7933" i="38"/>
  <c r="L2673" i="38"/>
  <c r="F7893" i="38"/>
  <c r="L2669" i="38"/>
  <c r="F7853" i="38"/>
  <c r="L2665" i="38"/>
  <c r="F7813" i="38"/>
  <c r="L2661" i="38"/>
  <c r="F7773" i="38"/>
  <c r="L2657" i="38"/>
  <c r="F7733" i="38"/>
  <c r="L2653" i="38"/>
  <c r="F7693" i="38"/>
  <c r="L2649" i="38"/>
  <c r="F7653" i="38"/>
  <c r="L2645" i="38"/>
  <c r="F7613" i="38"/>
  <c r="L2641" i="38"/>
  <c r="F7573" i="38"/>
  <c r="L2637" i="38"/>
  <c r="F7523" i="38"/>
  <c r="L2632" i="38"/>
  <c r="F7483" i="38"/>
  <c r="L2628" i="38"/>
  <c r="F7443" i="38"/>
  <c r="L2624" i="38"/>
  <c r="F7403" i="38"/>
  <c r="L2620" i="38"/>
  <c r="F7353" i="38"/>
  <c r="L2615" i="38"/>
  <c r="F7313" i="38"/>
  <c r="L2611" i="38"/>
  <c r="F7273" i="38"/>
  <c r="L2607" i="38"/>
  <c r="F7233" i="38"/>
  <c r="L2603" i="38"/>
  <c r="F7193" i="38"/>
  <c r="L2599" i="38"/>
  <c r="F7153" i="38"/>
  <c r="L2595" i="38"/>
  <c r="F7113" i="38"/>
  <c r="L2591" i="38"/>
  <c r="F7073" i="38"/>
  <c r="L2587" i="38"/>
  <c r="F7033" i="38"/>
  <c r="L2583" i="38"/>
  <c r="F6993" i="38"/>
  <c r="L2579" i="38"/>
  <c r="F6953" i="38"/>
  <c r="L2575" i="38"/>
  <c r="F6913" i="38"/>
  <c r="L2571" i="38"/>
  <c r="F6873" i="38"/>
  <c r="L2567" i="38"/>
  <c r="F6833" i="38"/>
  <c r="L2563" i="38"/>
  <c r="F6783" i="38"/>
  <c r="L2558" i="38"/>
  <c r="F6743" i="38"/>
  <c r="L2554" i="38"/>
  <c r="F6703" i="38"/>
  <c r="L2550" i="38"/>
  <c r="F6663" i="38"/>
  <c r="L2546" i="38"/>
  <c r="F6613" i="38"/>
  <c r="L2541" i="38"/>
  <c r="F6573" i="38"/>
  <c r="L2537" i="38"/>
  <c r="F6533" i="38"/>
  <c r="L2533" i="38"/>
  <c r="F6493" i="38"/>
  <c r="L2529" i="38"/>
  <c r="F6453" i="38"/>
  <c r="L2525" i="38"/>
  <c r="F6413" i="38"/>
  <c r="L2521" i="38"/>
  <c r="F6373" i="38"/>
  <c r="L2517" i="38"/>
  <c r="F6333" i="38"/>
  <c r="L2513" i="38"/>
  <c r="F6293" i="38"/>
  <c r="L2509" i="38"/>
  <c r="F6253" i="38"/>
  <c r="L2505" i="38"/>
  <c r="F6213" i="38"/>
  <c r="L2501" i="38"/>
  <c r="F6173" i="38"/>
  <c r="L2497" i="38"/>
  <c r="F6133" i="38"/>
  <c r="L2493" i="38"/>
  <c r="F6083" i="38"/>
  <c r="L2488" i="38"/>
  <c r="F6043" i="38"/>
  <c r="L2484" i="38"/>
  <c r="F6003" i="38"/>
  <c r="L2480" i="38"/>
  <c r="F5963" i="38"/>
  <c r="L2476" i="38"/>
  <c r="F5913" i="38"/>
  <c r="L2471" i="38"/>
  <c r="F5873" i="38"/>
  <c r="L2467" i="38"/>
  <c r="F5833" i="38"/>
  <c r="L2463" i="38"/>
  <c r="F5793" i="38"/>
  <c r="L2459" i="38"/>
  <c r="F5753" i="38"/>
  <c r="L2455" i="38"/>
  <c r="F5713" i="38"/>
  <c r="L2451" i="38"/>
  <c r="F5673" i="38"/>
  <c r="L2447" i="38"/>
  <c r="F5633" i="38"/>
  <c r="L2443" i="38"/>
  <c r="F5593" i="38"/>
  <c r="L2439" i="38"/>
  <c r="F5543" i="38"/>
  <c r="L2434" i="38"/>
  <c r="F5503" i="38"/>
  <c r="L2430" i="38"/>
  <c r="F5463" i="38"/>
  <c r="L2426" i="38"/>
  <c r="F5423" i="38"/>
  <c r="L2422" i="38"/>
  <c r="F5343" i="38"/>
  <c r="L2414" i="38"/>
  <c r="F5303" i="38"/>
  <c r="L2410" i="38"/>
  <c r="F5263" i="38"/>
  <c r="L2406" i="38"/>
  <c r="F5223" i="38"/>
  <c r="L2402" i="38"/>
  <c r="F5183" i="38"/>
  <c r="L2398" i="38"/>
  <c r="F5143" i="38"/>
  <c r="L2394" i="38"/>
  <c r="F5103" i="38"/>
  <c r="L2390" i="38"/>
  <c r="F5063" i="38"/>
  <c r="L2386" i="38"/>
  <c r="F5013" i="38"/>
  <c r="L2381" i="38"/>
  <c r="F4973" i="38"/>
  <c r="L2377" i="38"/>
  <c r="F4933" i="38"/>
  <c r="L2373" i="38"/>
  <c r="F4893" i="38"/>
  <c r="L2369" i="38"/>
  <c r="F4853" i="38"/>
  <c r="L2365" i="38"/>
  <c r="F4813" i="38"/>
  <c r="L2361" i="38"/>
  <c r="F4773" i="38"/>
  <c r="L2357" i="38"/>
  <c r="F4733" i="38"/>
  <c r="L2353" i="38"/>
  <c r="F4693" i="38"/>
  <c r="F4473" i="38"/>
  <c r="L2327" i="38"/>
  <c r="F4433" i="38"/>
  <c r="L2323" i="38"/>
  <c r="F4393" i="38"/>
  <c r="L2319" i="38"/>
  <c r="F4353" i="38"/>
  <c r="L2315" i="38"/>
  <c r="F4313" i="38"/>
  <c r="L2311" i="38"/>
  <c r="F4273" i="38"/>
  <c r="L2307" i="38"/>
  <c r="F4233" i="38"/>
  <c r="L2303" i="38"/>
  <c r="F4193" i="38"/>
  <c r="L2299" i="38"/>
  <c r="F4153" i="38"/>
  <c r="L2295" i="38"/>
  <c r="F4113" i="38"/>
  <c r="L2291" i="38"/>
  <c r="F4073" i="38"/>
  <c r="L2287" i="38"/>
  <c r="F4033" i="38"/>
  <c r="L2283" i="38"/>
  <c r="F3993" i="38"/>
  <c r="L2279" i="38"/>
  <c r="F3953" i="38"/>
  <c r="L2275" i="38"/>
  <c r="F3913" i="38"/>
  <c r="L2271" i="38"/>
  <c r="F3873" i="38"/>
  <c r="L2267" i="38"/>
  <c r="F3833" i="38"/>
  <c r="L2263" i="38"/>
  <c r="F3793" i="38"/>
  <c r="L2259" i="38"/>
  <c r="F3753" i="38"/>
  <c r="L2255" i="38"/>
  <c r="F3713" i="38"/>
  <c r="L2251" i="38"/>
  <c r="F3673" i="38"/>
  <c r="L2247" i="38"/>
  <c r="F3633" i="38"/>
  <c r="L2243" i="38"/>
  <c r="F3593" i="38"/>
  <c r="L2239" i="38"/>
  <c r="F3553" i="38"/>
  <c r="L2235" i="38"/>
  <c r="F3513" i="38"/>
  <c r="L2231" i="38"/>
  <c r="F3473" i="38"/>
  <c r="L2227" i="38"/>
  <c r="F3433" i="38"/>
  <c r="L2223" i="38"/>
  <c r="F3393" i="38"/>
  <c r="L2219" i="38"/>
  <c r="F3353" i="38"/>
  <c r="L2215" i="38"/>
  <c r="F3313" i="38"/>
  <c r="L2211" i="38"/>
  <c r="F3273" i="38"/>
  <c r="L2207" i="38"/>
  <c r="F3233" i="38"/>
  <c r="L2203" i="38"/>
  <c r="F3183" i="38"/>
  <c r="L2198" i="38"/>
  <c r="F3143" i="38"/>
  <c r="L2194" i="38"/>
  <c r="F3103" i="38"/>
  <c r="L2190" i="38"/>
  <c r="F3063" i="38"/>
  <c r="L2186" i="38"/>
  <c r="F3013" i="38"/>
  <c r="L2181" i="38"/>
  <c r="F2973" i="38"/>
  <c r="L2177" i="38"/>
  <c r="F2933" i="38"/>
  <c r="L2173" i="38"/>
  <c r="F2893" i="38"/>
  <c r="L2169" i="38"/>
  <c r="I389" i="13"/>
  <c r="I565" i="13"/>
  <c r="F4623" i="38" s="1"/>
  <c r="I501" i="13"/>
  <c r="I437" i="13"/>
  <c r="F3381" i="38"/>
  <c r="I2218" i="38"/>
  <c r="J3361" i="38"/>
  <c r="K2216" i="38"/>
  <c r="F3341" i="38"/>
  <c r="I2214" i="38"/>
  <c r="J3321" i="38"/>
  <c r="K2212" i="38"/>
  <c r="F3301" i="38"/>
  <c r="I2210" i="38"/>
  <c r="J3281" i="38"/>
  <c r="K2208" i="38"/>
  <c r="F3261" i="38"/>
  <c r="I2206" i="38"/>
  <c r="J3241" i="38"/>
  <c r="K2204" i="38"/>
  <c r="D3562" i="38"/>
  <c r="H2236" i="38"/>
  <c r="I3551" i="38"/>
  <c r="J2235" i="38"/>
  <c r="D3522" i="38"/>
  <c r="H2232" i="38"/>
  <c r="I3511" i="38"/>
  <c r="J2231" i="38"/>
  <c r="D3482" i="38"/>
  <c r="H2228" i="38"/>
  <c r="I3471" i="38"/>
  <c r="J2227" i="38"/>
  <c r="D3442" i="38"/>
  <c r="H2224" i="38"/>
  <c r="I3431" i="38"/>
  <c r="J2223" i="38"/>
  <c r="I3771" i="38"/>
  <c r="J2257" i="38"/>
  <c r="J5491" i="38"/>
  <c r="K2429" i="38"/>
  <c r="F5471" i="38"/>
  <c r="I2427" i="38"/>
  <c r="J5451" i="38"/>
  <c r="K2425" i="38"/>
  <c r="F5431" i="38"/>
  <c r="I2423" i="38"/>
  <c r="J5411" i="38"/>
  <c r="K2421" i="38"/>
  <c r="J5691" i="38"/>
  <c r="K2449" i="38"/>
  <c r="F5671" i="38"/>
  <c r="I2447" i="38"/>
  <c r="D5612" i="38"/>
  <c r="H2441" i="38"/>
  <c r="I5601" i="38"/>
  <c r="J2440" i="38"/>
  <c r="J5881" i="38"/>
  <c r="K2468" i="38"/>
  <c r="F5861" i="38"/>
  <c r="I2466" i="38"/>
  <c r="D5802" i="38"/>
  <c r="H2460" i="38"/>
  <c r="I5791" i="38"/>
  <c r="J2459" i="38"/>
  <c r="J6071" i="38"/>
  <c r="K2487" i="38"/>
  <c r="F6051" i="38"/>
  <c r="I2485" i="38"/>
  <c r="D5992" i="38"/>
  <c r="H2479" i="38"/>
  <c r="I5981" i="38"/>
  <c r="J2478" i="38"/>
  <c r="I6211" i="38"/>
  <c r="J2501" i="38"/>
  <c r="J6181" i="38"/>
  <c r="K2498" i="38"/>
  <c r="J6141" i="38"/>
  <c r="K2494" i="38"/>
  <c r="F6121" i="38"/>
  <c r="I2492" i="38"/>
  <c r="I6401" i="38"/>
  <c r="J2520" i="38"/>
  <c r="I6361" i="38"/>
  <c r="J2516" i="38"/>
  <c r="I6321" i="38"/>
  <c r="J2512" i="38"/>
  <c r="I6481" i="38"/>
  <c r="J2528" i="38"/>
  <c r="J6871" i="38"/>
  <c r="K2567" i="38"/>
  <c r="F7161" i="38"/>
  <c r="I2596" i="38"/>
  <c r="F7121" i="38"/>
  <c r="I2592" i="38"/>
  <c r="J7061" i="38"/>
  <c r="K2586" i="38"/>
  <c r="D7302" i="38"/>
  <c r="H2610" i="38"/>
  <c r="D7532" i="38"/>
  <c r="H2633" i="38"/>
  <c r="F3031" i="38"/>
  <c r="I2183" i="38"/>
  <c r="J3011" i="38"/>
  <c r="K2181" i="38"/>
  <c r="F2991" i="38"/>
  <c r="I2179" i="38"/>
  <c r="J2971" i="38"/>
  <c r="K2177" i="38"/>
  <c r="F2951" i="38"/>
  <c r="I2175" i="38"/>
  <c r="J2931" i="38"/>
  <c r="K2173" i="38"/>
  <c r="F2911" i="38"/>
  <c r="I2171" i="38"/>
  <c r="J2891" i="38"/>
  <c r="K2169" i="38"/>
  <c r="F5371" i="38"/>
  <c r="I2417" i="38"/>
  <c r="J5351" i="38"/>
  <c r="K2415" i="38"/>
  <c r="F5331" i="38"/>
  <c r="I2413" i="38"/>
  <c r="J5311" i="38"/>
  <c r="K2411" i="38"/>
  <c r="F5291" i="38"/>
  <c r="I2409" i="38"/>
  <c r="J5271" i="38"/>
  <c r="K2407" i="38"/>
  <c r="F5251" i="38"/>
  <c r="I2405" i="38"/>
  <c r="J5231" i="38"/>
  <c r="K2403" i="38"/>
  <c r="D5542" i="38"/>
  <c r="H2434" i="38"/>
  <c r="I5531" i="38"/>
  <c r="J2433" i="38"/>
  <c r="D5502" i="38"/>
  <c r="H2430" i="38"/>
  <c r="I5491" i="38"/>
  <c r="J2429" i="38"/>
  <c r="D5462" i="38"/>
  <c r="H2426" i="38"/>
  <c r="I5451" i="38"/>
  <c r="J2425" i="38"/>
  <c r="D5422" i="38"/>
  <c r="H2422" i="38"/>
  <c r="I5411" i="38"/>
  <c r="J2421" i="38"/>
  <c r="I5731" i="38"/>
  <c r="J2453" i="38"/>
  <c r="J5661" i="38"/>
  <c r="K2446" i="38"/>
  <c r="F5641" i="38"/>
  <c r="I2444" i="38"/>
  <c r="D5582" i="38"/>
  <c r="H2438" i="38"/>
  <c r="J5851" i="38"/>
  <c r="K2465" i="38"/>
  <c r="F5831" i="38"/>
  <c r="I2463" i="38"/>
  <c r="D5772" i="38"/>
  <c r="H2457" i="38"/>
  <c r="I5761" i="38"/>
  <c r="J2456" i="38"/>
  <c r="D6082" i="38"/>
  <c r="H2488" i="38"/>
  <c r="I6071" i="38"/>
  <c r="J2487" i="38"/>
  <c r="J6001" i="38"/>
  <c r="K2480" i="38"/>
  <c r="F5981" i="38"/>
  <c r="I2478" i="38"/>
  <c r="D6232" i="38"/>
  <c r="H2503" i="38"/>
  <c r="I6221" i="38"/>
  <c r="J2502" i="38"/>
  <c r="J6151" i="38"/>
  <c r="K2495" i="38"/>
  <c r="F6131" i="38"/>
  <c r="I2493" i="38"/>
  <c r="J6111" i="38"/>
  <c r="K2491" i="38"/>
  <c r="D6422" i="38"/>
  <c r="H2522" i="38"/>
  <c r="I6411" i="38"/>
  <c r="J2521" i="38"/>
  <c r="J6341" i="38"/>
  <c r="K2514" i="38"/>
  <c r="F6321" i="38"/>
  <c r="I2512" i="38"/>
  <c r="J6621" i="38"/>
  <c r="K2542" i="38"/>
  <c r="F6601" i="38"/>
  <c r="I2540" i="38"/>
  <c r="D6542" i="38"/>
  <c r="H2534" i="38"/>
  <c r="I6531" i="38"/>
  <c r="J2533" i="38"/>
  <c r="J6771" i="38"/>
  <c r="K2557" i="38"/>
  <c r="F6751" i="38"/>
  <c r="I2555" i="38"/>
  <c r="D6692" i="38"/>
  <c r="H2549" i="38"/>
  <c r="I6681" i="38"/>
  <c r="J2548" i="38"/>
  <c r="J6961" i="38"/>
  <c r="K2576" i="38"/>
  <c r="F6941" i="38"/>
  <c r="I2574" i="38"/>
  <c r="D6882" i="38"/>
  <c r="H2568" i="38"/>
  <c r="I6871" i="38"/>
  <c r="J2567" i="38"/>
  <c r="I6831" i="38"/>
  <c r="J2563" i="38"/>
  <c r="J7151" i="38"/>
  <c r="K2595" i="38"/>
  <c r="F7131" i="38"/>
  <c r="I2593" i="38"/>
  <c r="D7072" i="38"/>
  <c r="H2587" i="38"/>
  <c r="I7061" i="38"/>
  <c r="J2586" i="38"/>
  <c r="J7311" i="38"/>
  <c r="K2611" i="38"/>
  <c r="F7291" i="38"/>
  <c r="I2609" i="38"/>
  <c r="D7232" i="38"/>
  <c r="H2603" i="38"/>
  <c r="I7221" i="38"/>
  <c r="J2602" i="38"/>
  <c r="J7501" i="38"/>
  <c r="K2630" i="38"/>
  <c r="F7481" i="38"/>
  <c r="I2628" i="38"/>
  <c r="D7422" i="38"/>
  <c r="H2622" i="38"/>
  <c r="I7411" i="38"/>
  <c r="J2621" i="38"/>
  <c r="I7371" i="38"/>
  <c r="J2617" i="38"/>
  <c r="J7691" i="38"/>
  <c r="K2649" i="38"/>
  <c r="F7671" i="38"/>
  <c r="I2647" i="38"/>
  <c r="D7612" i="38"/>
  <c r="H2641" i="38"/>
  <c r="I7601" i="38"/>
  <c r="J2640" i="38"/>
  <c r="J7851" i="38"/>
  <c r="K2665" i="38"/>
  <c r="F7831" i="38"/>
  <c r="I2663" i="38"/>
  <c r="D7772" i="38"/>
  <c r="H2657" i="38"/>
  <c r="I7761" i="38"/>
  <c r="J2656" i="38"/>
  <c r="J8041" i="38"/>
  <c r="K2684" i="38"/>
  <c r="F8021" i="38"/>
  <c r="I2682" i="38"/>
  <c r="D7962" i="38"/>
  <c r="H2676" i="38"/>
  <c r="I7951" i="38"/>
  <c r="J2675" i="38"/>
  <c r="I7911" i="38"/>
  <c r="J2671" i="38"/>
  <c r="D6262" i="38"/>
  <c r="H2506" i="38"/>
  <c r="I6171" i="38"/>
  <c r="J2497" i="38"/>
  <c r="D6612" i="38"/>
  <c r="H2541" i="38"/>
  <c r="F6931" i="38"/>
  <c r="I2573" i="38"/>
  <c r="D7022" i="38"/>
  <c r="H2582" i="38"/>
  <c r="J7301" i="38"/>
  <c r="K2610" i="38"/>
  <c r="J7531" i="38"/>
  <c r="K2633" i="38"/>
  <c r="I7481" i="38"/>
  <c r="J2628" i="38"/>
  <c r="J7681" i="38"/>
  <c r="K2648" i="38"/>
  <c r="D7882" i="38"/>
  <c r="H2668" i="38"/>
  <c r="F7861" i="38"/>
  <c r="I2666" i="38"/>
  <c r="I7791" i="38"/>
  <c r="J2659" i="38"/>
  <c r="F8011" i="38"/>
  <c r="I2681" i="38"/>
  <c r="F3561" i="38"/>
  <c r="I2236" i="38"/>
  <c r="J3541" i="38"/>
  <c r="K2234" i="38"/>
  <c r="F3521" i="38"/>
  <c r="I2232" i="38"/>
  <c r="J3501" i="38"/>
  <c r="K2230" i="38"/>
  <c r="F3481" i="38"/>
  <c r="I2228" i="38"/>
  <c r="J3461" i="38"/>
  <c r="K2226" i="38"/>
  <c r="F3441" i="38"/>
  <c r="I2224" i="38"/>
  <c r="J3421" i="38"/>
  <c r="K2222" i="38"/>
  <c r="F3751" i="38"/>
  <c r="I2255" i="38"/>
  <c r="J3731" i="38"/>
  <c r="K2253" i="38"/>
  <c r="F3711" i="38"/>
  <c r="I2251" i="38"/>
  <c r="J3691" i="38"/>
  <c r="K2249" i="38"/>
  <c r="F3671" i="38"/>
  <c r="I2247" i="38"/>
  <c r="J3651" i="38"/>
  <c r="K2245" i="38"/>
  <c r="F3631" i="38"/>
  <c r="I2243" i="38"/>
  <c r="J3611" i="38"/>
  <c r="K2241" i="38"/>
  <c r="J4111" i="38"/>
  <c r="K2291" i="38"/>
  <c r="F4091" i="38"/>
  <c r="I2289" i="38"/>
  <c r="J4071" i="38"/>
  <c r="K2287" i="38"/>
  <c r="F4051" i="38"/>
  <c r="I2285" i="38"/>
  <c r="J4031" i="38"/>
  <c r="K2283" i="38"/>
  <c r="F4011" i="38"/>
  <c r="I2281" i="38"/>
  <c r="J3991" i="38"/>
  <c r="K2279" i="38"/>
  <c r="F3971" i="38"/>
  <c r="I2277" i="38"/>
  <c r="F4291" i="38"/>
  <c r="I2309" i="38"/>
  <c r="J4271" i="38"/>
  <c r="K2307" i="38"/>
  <c r="F4251" i="38"/>
  <c r="I2305" i="38"/>
  <c r="J4231" i="38"/>
  <c r="K2303" i="38"/>
  <c r="F4211" i="38"/>
  <c r="I2301" i="38"/>
  <c r="J4191" i="38"/>
  <c r="K2299" i="38"/>
  <c r="F4171" i="38"/>
  <c r="I2297" i="38"/>
  <c r="J4151" i="38"/>
  <c r="K2295" i="38"/>
  <c r="D4472" i="38"/>
  <c r="H2327" i="38"/>
  <c r="I4461" i="38"/>
  <c r="J2326" i="38"/>
  <c r="D4432" i="38"/>
  <c r="H2323" i="38"/>
  <c r="I4421" i="38"/>
  <c r="J2322" i="38"/>
  <c r="D4392" i="38"/>
  <c r="H2319" i="38"/>
  <c r="I4381" i="38"/>
  <c r="J2318" i="38"/>
  <c r="D4352" i="38"/>
  <c r="H2315" i="38"/>
  <c r="I4341" i="38"/>
  <c r="J2314" i="38"/>
  <c r="D4312" i="38"/>
  <c r="H2311" i="38"/>
  <c r="D4812" i="38"/>
  <c r="H2361" i="38"/>
  <c r="I4801" i="38"/>
  <c r="J2360" i="38"/>
  <c r="D4772" i="38"/>
  <c r="H2357" i="38"/>
  <c r="I4761" i="38"/>
  <c r="J2356" i="38"/>
  <c r="D4732" i="38"/>
  <c r="H2353" i="38"/>
  <c r="I4721" i="38"/>
  <c r="J2352" i="38"/>
  <c r="D4692" i="38"/>
  <c r="H2349" i="38"/>
  <c r="I4681" i="38"/>
  <c r="J2348" i="38"/>
  <c r="J5001" i="38"/>
  <c r="K2380" i="38"/>
  <c r="F4981" i="38"/>
  <c r="I2378" i="38"/>
  <c r="J4961" i="38"/>
  <c r="K2376" i="38"/>
  <c r="F4941" i="38"/>
  <c r="I2374" i="38"/>
  <c r="J4921" i="38"/>
  <c r="K2372" i="38"/>
  <c r="F4901" i="38"/>
  <c r="I2370" i="38"/>
  <c r="J4881" i="38"/>
  <c r="K2368" i="38"/>
  <c r="F4861" i="38"/>
  <c r="I2366" i="38"/>
  <c r="F5181" i="38"/>
  <c r="I2398" i="38"/>
  <c r="J5161" i="38"/>
  <c r="K2396" i="38"/>
  <c r="F5141" i="38"/>
  <c r="I2394" i="38"/>
  <c r="J5121" i="38"/>
  <c r="K2392" i="38"/>
  <c r="F5101" i="38"/>
  <c r="I2390" i="38"/>
  <c r="J5081" i="38"/>
  <c r="K2388" i="38"/>
  <c r="F5061" i="38"/>
  <c r="I2386" i="38"/>
  <c r="J5041" i="38"/>
  <c r="K2384" i="38"/>
  <c r="D5362" i="38"/>
  <c r="H2416" i="38"/>
  <c r="I5351" i="38"/>
  <c r="J2415" i="38"/>
  <c r="D5322" i="38"/>
  <c r="H2412" i="38"/>
  <c r="I5311" i="38"/>
  <c r="J2411" i="38"/>
  <c r="D5282" i="38"/>
  <c r="H2408" i="38"/>
  <c r="I5271" i="38"/>
  <c r="J2407" i="38"/>
  <c r="D5242" i="38"/>
  <c r="H2404" i="38"/>
  <c r="I5231" i="38"/>
  <c r="J2403" i="38"/>
  <c r="J5511" i="38"/>
  <c r="K2431" i="38"/>
  <c r="F5491" i="38"/>
  <c r="I2429" i="38"/>
  <c r="J5471" i="38"/>
  <c r="K2427" i="38"/>
  <c r="F5451" i="38"/>
  <c r="I2425" i="38"/>
  <c r="J5431" i="38"/>
  <c r="K2423" i="38"/>
  <c r="F5411" i="38"/>
  <c r="I2421" i="38"/>
  <c r="D5712" i="38"/>
  <c r="H2451" i="38"/>
  <c r="I5701" i="38"/>
  <c r="J2450" i="38"/>
  <c r="J5631" i="38"/>
  <c r="K2443" i="38"/>
  <c r="F5611" i="38"/>
  <c r="I2441" i="38"/>
  <c r="F5571" i="38"/>
  <c r="I2437" i="38"/>
  <c r="D5862" i="38"/>
  <c r="H2466" i="38"/>
  <c r="I5851" i="38"/>
  <c r="J2465" i="38"/>
  <c r="J5781" i="38"/>
  <c r="K2458" i="38"/>
  <c r="F5761" i="38"/>
  <c r="I2456" i="38"/>
  <c r="J6091" i="38"/>
  <c r="K2489" i="38"/>
  <c r="F6071" i="38"/>
  <c r="I2487" i="38"/>
  <c r="D6012" i="38"/>
  <c r="H2481" i="38"/>
  <c r="I6001" i="38"/>
  <c r="J2480" i="38"/>
  <c r="F6261" i="38"/>
  <c r="I2506" i="38"/>
  <c r="D6202" i="38"/>
  <c r="H2500" i="38"/>
  <c r="I6191" i="38"/>
  <c r="J2499" i="38"/>
  <c r="J6121" i="38"/>
  <c r="K2492" i="38"/>
  <c r="F6451" i="38"/>
  <c r="I2525" i="38"/>
  <c r="D6392" i="38"/>
  <c r="H2519" i="38"/>
  <c r="I6381" i="38"/>
  <c r="J2518" i="38"/>
  <c r="J6311" i="38"/>
  <c r="K2511" i="38"/>
  <c r="J6631" i="38"/>
  <c r="K2543" i="38"/>
  <c r="F6611" i="38"/>
  <c r="I2541" i="38"/>
  <c r="D6552" i="38"/>
  <c r="H2535" i="38"/>
  <c r="I6541" i="38"/>
  <c r="J2534" i="38"/>
  <c r="F6801" i="38"/>
  <c r="I2560" i="38"/>
  <c r="D6742" i="38"/>
  <c r="H2554" i="38"/>
  <c r="I6731" i="38"/>
  <c r="J2553" i="38"/>
  <c r="J6661" i="38"/>
  <c r="K2546" i="38"/>
  <c r="F6991" i="38"/>
  <c r="I2579" i="38"/>
  <c r="D6932" i="38"/>
  <c r="H2573" i="38"/>
  <c r="I6921" i="38"/>
  <c r="J2572" i="38"/>
  <c r="J6851" i="38"/>
  <c r="K2565" i="38"/>
  <c r="J7161" i="38"/>
  <c r="K2596" i="38"/>
  <c r="F7141" i="38"/>
  <c r="I2594" i="38"/>
  <c r="D7082" i="38"/>
  <c r="H2588" i="38"/>
  <c r="I7071" i="38"/>
  <c r="J2587" i="38"/>
  <c r="I7351" i="38"/>
  <c r="J2615" i="38"/>
  <c r="J7281" i="38"/>
  <c r="K2608" i="38"/>
  <c r="F7261" i="38"/>
  <c r="I2606" i="38"/>
  <c r="D7202" i="38"/>
  <c r="H2600" i="38"/>
  <c r="J7471" i="38"/>
  <c r="K2627" i="38"/>
  <c r="F7451" i="38"/>
  <c r="I2625" i="38"/>
  <c r="D7392" i="38"/>
  <c r="H2619" i="38"/>
  <c r="I7381" i="38"/>
  <c r="J2618" i="38"/>
  <c r="D7702" i="38"/>
  <c r="H2650" i="38"/>
  <c r="I7691" i="38"/>
  <c r="J2649" i="38"/>
  <c r="J7621" i="38"/>
  <c r="K2642" i="38"/>
  <c r="F7601" i="38"/>
  <c r="I2640" i="38"/>
  <c r="F7881" i="38"/>
  <c r="I2668" i="38"/>
  <c r="D7822" i="38"/>
  <c r="H2662" i="38"/>
  <c r="I7811" i="38"/>
  <c r="J2661" i="38"/>
  <c r="J7741" i="38"/>
  <c r="K2654" i="38"/>
  <c r="F8071" i="38"/>
  <c r="I2687" i="38"/>
  <c r="D8012" i="38"/>
  <c r="H2681" i="38"/>
  <c r="I8001" i="38"/>
  <c r="J2680" i="38"/>
  <c r="J7931" i="38"/>
  <c r="K2673" i="38"/>
  <c r="J6451" i="38"/>
  <c r="K2525" i="38"/>
  <c r="J6411" i="38"/>
  <c r="K2521" i="38"/>
  <c r="J6611" i="38"/>
  <c r="K2541" i="38"/>
  <c r="I6561" i="38"/>
  <c r="J2536" i="38"/>
  <c r="J6951" i="38"/>
  <c r="K2575" i="38"/>
  <c r="D7222" i="38"/>
  <c r="H2602" i="38"/>
  <c r="J7451" i="38"/>
  <c r="K2625" i="38"/>
  <c r="J7411" i="38"/>
  <c r="K2621" i="38"/>
  <c r="I8061" i="38"/>
  <c r="J2686" i="38"/>
  <c r="F7971" i="38"/>
  <c r="I2677" i="38"/>
  <c r="F7931" i="38"/>
  <c r="I2673" i="38"/>
  <c r="J2871" i="38"/>
  <c r="K2167" i="38"/>
  <c r="D3392" i="38"/>
  <c r="H2219" i="38"/>
  <c r="I3381" i="38"/>
  <c r="J2218" i="38"/>
  <c r="D3352" i="38"/>
  <c r="H2215" i="38"/>
  <c r="I3341" i="38"/>
  <c r="J2214" i="38"/>
  <c r="D3312" i="38"/>
  <c r="H2211" i="38"/>
  <c r="I3301" i="38"/>
  <c r="J2210" i="38"/>
  <c r="D3272" i="38"/>
  <c r="H2207" i="38"/>
  <c r="I3261" i="38"/>
  <c r="J2206" i="38"/>
  <c r="D3232" i="38"/>
  <c r="H2203" i="38"/>
  <c r="F3571" i="38"/>
  <c r="I2237" i="38"/>
  <c r="J3551" i="38"/>
  <c r="K2235" i="38"/>
  <c r="F3531" i="38"/>
  <c r="I2233" i="38"/>
  <c r="J3511" i="38"/>
  <c r="K2231" i="38"/>
  <c r="F3491" i="38"/>
  <c r="I2229" i="38"/>
  <c r="J3471" i="38"/>
  <c r="K2227" i="38"/>
  <c r="F3451" i="38"/>
  <c r="I2225" i="38"/>
  <c r="J3431" i="38"/>
  <c r="K2223" i="38"/>
  <c r="J3931" i="38"/>
  <c r="K2273" i="38"/>
  <c r="F3911" i="38"/>
  <c r="I2271" i="38"/>
  <c r="J3891" i="38"/>
  <c r="K2269" i="38"/>
  <c r="F3871" i="38"/>
  <c r="I2267" i="38"/>
  <c r="J3851" i="38"/>
  <c r="K2265" i="38"/>
  <c r="F3831" i="38"/>
  <c r="I2263" i="38"/>
  <c r="J3811" i="38"/>
  <c r="K2261" i="38"/>
  <c r="F3791" i="38"/>
  <c r="I2259" i="38"/>
  <c r="F4101" i="38"/>
  <c r="I2290" i="38"/>
  <c r="J4081" i="38"/>
  <c r="K2288" i="38"/>
  <c r="F4061" i="38"/>
  <c r="I2286" i="38"/>
  <c r="J4041" i="38"/>
  <c r="K2284" i="38"/>
  <c r="F4021" i="38"/>
  <c r="I2282" i="38"/>
  <c r="J4001" i="38"/>
  <c r="K2280" i="38"/>
  <c r="F3981" i="38"/>
  <c r="I2278" i="38"/>
  <c r="J3961" i="38"/>
  <c r="K2276" i="38"/>
  <c r="J4281" i="38"/>
  <c r="K2308" i="38"/>
  <c r="F4261" i="38"/>
  <c r="I2306" i="38"/>
  <c r="J4241" i="38"/>
  <c r="K2304" i="38"/>
  <c r="F4221" i="38"/>
  <c r="I2302" i="38"/>
  <c r="J4201" i="38"/>
  <c r="K2300" i="38"/>
  <c r="F4181" i="38"/>
  <c r="I2298" i="38"/>
  <c r="J4161" i="38"/>
  <c r="K2296" i="38"/>
  <c r="F4141" i="38"/>
  <c r="I2294" i="38"/>
  <c r="J5011" i="38"/>
  <c r="K2381" i="38"/>
  <c r="F4991" i="38"/>
  <c r="I2379" i="38"/>
  <c r="J4971" i="38"/>
  <c r="K2377" i="38"/>
  <c r="F4951" i="38"/>
  <c r="I2375" i="38"/>
  <c r="J4931" i="38"/>
  <c r="K2373" i="38"/>
  <c r="F4911" i="38"/>
  <c r="I2371" i="38"/>
  <c r="J4891" i="38"/>
  <c r="K2369" i="38"/>
  <c r="F4871" i="38"/>
  <c r="I2367" i="38"/>
  <c r="D5172" i="38"/>
  <c r="H2397" i="38"/>
  <c r="I5161" i="38"/>
  <c r="J2396" i="38"/>
  <c r="D5132" i="38"/>
  <c r="H2393" i="38"/>
  <c r="I5121" i="38"/>
  <c r="J2392" i="38"/>
  <c r="D5092" i="38"/>
  <c r="H2389" i="38"/>
  <c r="I5081" i="38"/>
  <c r="J2388" i="38"/>
  <c r="D5052" i="38"/>
  <c r="H2385" i="38"/>
  <c r="I5041" i="38"/>
  <c r="J2384" i="38"/>
  <c r="F5541" i="38"/>
  <c r="I2434" i="38"/>
  <c r="J5521" i="38"/>
  <c r="K2432" i="38"/>
  <c r="F5501" i="38"/>
  <c r="I2430" i="38"/>
  <c r="J5481" i="38"/>
  <c r="K2428" i="38"/>
  <c r="F5461" i="38"/>
  <c r="I2426" i="38"/>
  <c r="J5441" i="38"/>
  <c r="K2424" i="38"/>
  <c r="F5421" i="38"/>
  <c r="I2422" i="38"/>
  <c r="J5401" i="38"/>
  <c r="K2420" i="38"/>
  <c r="J5681" i="38"/>
  <c r="K2448" i="38"/>
  <c r="F5661" i="38"/>
  <c r="I2446" i="38"/>
  <c r="D5602" i="38"/>
  <c r="H2440" i="38"/>
  <c r="I5591" i="38"/>
  <c r="J2439" i="38"/>
  <c r="J5911" i="38"/>
  <c r="K2471" i="38"/>
  <c r="F5891" i="38"/>
  <c r="I2469" i="38"/>
  <c r="D5832" i="38"/>
  <c r="H2463" i="38"/>
  <c r="I5821" i="38"/>
  <c r="J2462" i="38"/>
  <c r="F6081" i="38"/>
  <c r="I2488" i="38"/>
  <c r="D6022" i="38"/>
  <c r="H2482" i="38"/>
  <c r="I6011" i="38"/>
  <c r="J2481" i="38"/>
  <c r="J5941" i="38"/>
  <c r="K2474" i="38"/>
  <c r="F6271" i="38"/>
  <c r="I2507" i="38"/>
  <c r="D6212" i="38"/>
  <c r="H2501" i="38"/>
  <c r="I6201" i="38"/>
  <c r="J2500" i="38"/>
  <c r="J6131" i="38"/>
  <c r="K2493" i="38"/>
  <c r="J6441" i="38"/>
  <c r="K2524" i="38"/>
  <c r="F6421" i="38"/>
  <c r="I2522" i="38"/>
  <c r="D6362" i="38"/>
  <c r="H2516" i="38"/>
  <c r="I6351" i="38"/>
  <c r="J2515" i="38"/>
  <c r="I6631" i="38"/>
  <c r="J2543" i="38"/>
  <c r="J6561" i="38"/>
  <c r="K2536" i="38"/>
  <c r="F6541" i="38"/>
  <c r="I2534" i="38"/>
  <c r="D6482" i="38"/>
  <c r="H2528" i="38"/>
  <c r="J6751" i="38"/>
  <c r="K2555" i="38"/>
  <c r="F6731" i="38"/>
  <c r="I2553" i="38"/>
  <c r="D6672" i="38"/>
  <c r="H2547" i="38"/>
  <c r="I6661" i="38"/>
  <c r="J2546" i="38"/>
  <c r="D6982" i="38"/>
  <c r="H2578" i="38"/>
  <c r="I6971" i="38"/>
  <c r="J2577" i="38"/>
  <c r="J6901" i="38"/>
  <c r="K2570" i="38"/>
  <c r="F6881" i="38"/>
  <c r="I2568" i="38"/>
  <c r="D7132" i="38"/>
  <c r="H2593" i="38"/>
  <c r="I7121" i="38"/>
  <c r="J2592" i="38"/>
  <c r="J7051" i="38"/>
  <c r="K2585" i="38"/>
  <c r="F7031" i="38"/>
  <c r="I2583" i="38"/>
  <c r="J7011" i="38"/>
  <c r="K2581" i="38"/>
  <c r="J7331" i="38"/>
  <c r="K2613" i="38"/>
  <c r="F7311" i="38"/>
  <c r="I2611" i="38"/>
  <c r="D7252" i="38"/>
  <c r="H2605" i="38"/>
  <c r="I7241" i="38"/>
  <c r="J2604" i="38"/>
  <c r="J7481" i="38"/>
  <c r="K2628" i="38"/>
  <c r="F7461" i="38"/>
  <c r="I2626" i="38"/>
  <c r="D7402" i="38"/>
  <c r="H2620" i="38"/>
  <c r="I7391" i="38"/>
  <c r="J2619" i="38"/>
  <c r="D7712" i="38"/>
  <c r="H2651" i="38"/>
  <c r="I7701" i="38"/>
  <c r="J2650" i="38"/>
  <c r="J7631" i="38"/>
  <c r="K2643" i="38"/>
  <c r="F7611" i="38"/>
  <c r="I2641" i="38"/>
  <c r="D7552" i="38"/>
  <c r="H2635" i="38"/>
  <c r="F7891" i="38"/>
  <c r="I2669" i="38"/>
  <c r="D7832" i="38"/>
  <c r="H2663" i="38"/>
  <c r="I7821" i="38"/>
  <c r="J2662" i="38"/>
  <c r="J7751" i="38"/>
  <c r="K2655" i="38"/>
  <c r="J8061" i="38"/>
  <c r="K2686" i="38"/>
  <c r="F8041" i="38"/>
  <c r="I2684" i="38"/>
  <c r="D7982" i="38"/>
  <c r="H2678" i="38"/>
  <c r="I7971" i="38"/>
  <c r="J2677" i="38"/>
  <c r="J6261" i="38"/>
  <c r="K2506" i="38"/>
  <c r="D6412" i="38"/>
  <c r="H2521" i="38"/>
  <c r="D6332" i="38"/>
  <c r="H2513" i="38"/>
  <c r="J6571" i="38"/>
  <c r="K2537" i="38"/>
  <c r="I7171" i="38"/>
  <c r="J2597" i="38"/>
  <c r="F7321" i="38"/>
  <c r="I2612" i="38"/>
  <c r="J7261" i="38"/>
  <c r="K2606" i="38"/>
  <c r="F7471" i="38"/>
  <c r="I2627" i="38"/>
  <c r="D7682" i="38"/>
  <c r="H2648" i="38"/>
  <c r="I7631" i="38"/>
  <c r="J2643" i="38"/>
  <c r="D7762" i="38"/>
  <c r="H2656" i="38"/>
  <c r="J8071" i="38"/>
  <c r="K2687" i="38"/>
  <c r="D7952" i="38"/>
  <c r="H2675" i="38"/>
  <c r="F8043" i="38"/>
  <c r="L2684" i="38"/>
  <c r="F8003" i="38"/>
  <c r="L2680" i="38"/>
  <c r="F7963" i="38"/>
  <c r="L2676" i="38"/>
  <c r="F7923" i="38"/>
  <c r="L2672" i="38"/>
  <c r="F7883" i="38"/>
  <c r="L2668" i="38"/>
  <c r="F7843" i="38"/>
  <c r="L2664" i="38"/>
  <c r="F7803" i="38"/>
  <c r="L2660" i="38"/>
  <c r="F7763" i="38"/>
  <c r="L2656" i="38"/>
  <c r="F7683" i="38"/>
  <c r="L2648" i="38"/>
  <c r="F7643" i="38"/>
  <c r="L2644" i="38"/>
  <c r="F7603" i="38"/>
  <c r="L2640" i="38"/>
  <c r="F7563" i="38"/>
  <c r="L2636" i="38"/>
  <c r="F7513" i="38"/>
  <c r="L2631" i="38"/>
  <c r="F7473" i="38"/>
  <c r="L2627" i="38"/>
  <c r="F7433" i="38"/>
  <c r="L2623" i="38"/>
  <c r="F7393" i="38"/>
  <c r="L2619" i="38"/>
  <c r="F7343" i="38"/>
  <c r="L2614" i="38"/>
  <c r="F7303" i="38"/>
  <c r="L2610" i="38"/>
  <c r="F7263" i="38"/>
  <c r="L2606" i="38"/>
  <c r="F7223" i="38"/>
  <c r="L2602" i="38"/>
  <c r="F7143" i="38"/>
  <c r="L2594" i="38"/>
  <c r="F7103" i="38"/>
  <c r="L2590" i="38"/>
  <c r="F7063" i="38"/>
  <c r="L2586" i="38"/>
  <c r="F7023" i="38"/>
  <c r="L2582" i="38"/>
  <c r="F6983" i="38"/>
  <c r="L2578" i="38"/>
  <c r="F6943" i="38"/>
  <c r="L2574" i="38"/>
  <c r="F6903" i="38"/>
  <c r="L2570" i="38"/>
  <c r="F6863" i="38"/>
  <c r="L2566" i="38"/>
  <c r="F6813" i="38"/>
  <c r="L2561" i="38"/>
  <c r="F6773" i="38"/>
  <c r="L2557" i="38"/>
  <c r="F6733" i="38"/>
  <c r="L2553" i="38"/>
  <c r="F6693" i="38"/>
  <c r="L2549" i="38"/>
  <c r="F6653" i="38"/>
  <c r="L2545" i="38"/>
  <c r="F6603" i="38"/>
  <c r="L2540" i="38"/>
  <c r="F6563" i="38"/>
  <c r="L2536" i="38"/>
  <c r="F6523" i="38"/>
  <c r="L2532" i="38"/>
  <c r="F6483" i="38"/>
  <c r="L2528" i="38"/>
  <c r="F6443" i="38"/>
  <c r="L2524" i="38"/>
  <c r="F6403" i="38"/>
  <c r="L2520" i="38"/>
  <c r="F6363" i="38"/>
  <c r="L2516" i="38"/>
  <c r="F6323" i="38"/>
  <c r="L2512" i="38"/>
  <c r="F6243" i="38"/>
  <c r="L2504" i="38"/>
  <c r="F6203" i="38"/>
  <c r="L2500" i="38"/>
  <c r="F6163" i="38"/>
  <c r="L2496" i="38"/>
  <c r="F6123" i="38"/>
  <c r="L2492" i="38"/>
  <c r="F6073" i="38"/>
  <c r="L2487" i="38"/>
  <c r="F6033" i="38"/>
  <c r="L2483" i="38"/>
  <c r="F5993" i="38"/>
  <c r="L2479" i="38"/>
  <c r="F5953" i="38"/>
  <c r="L2475" i="38"/>
  <c r="F5903" i="38"/>
  <c r="L2470" i="38"/>
  <c r="F5863" i="38"/>
  <c r="L2466" i="38"/>
  <c r="F5823" i="38"/>
  <c r="L2462" i="38"/>
  <c r="F5783" i="38"/>
  <c r="L2458" i="38"/>
  <c r="F5703" i="38"/>
  <c r="L2450" i="38"/>
  <c r="F5663" i="38"/>
  <c r="L2446" i="38"/>
  <c r="F5623" i="38"/>
  <c r="L2442" i="38"/>
  <c r="F5583" i="38"/>
  <c r="L2438" i="38"/>
  <c r="F5533" i="38"/>
  <c r="L2433" i="38"/>
  <c r="F5493" i="38"/>
  <c r="L2429" i="38"/>
  <c r="F5453" i="38"/>
  <c r="L2425" i="38"/>
  <c r="F5413" i="38"/>
  <c r="L2421" i="38"/>
  <c r="F5373" i="38"/>
  <c r="L2417" i="38"/>
  <c r="F5333" i="38"/>
  <c r="L2413" i="38"/>
  <c r="F5293" i="38"/>
  <c r="L2409" i="38"/>
  <c r="F5253" i="38"/>
  <c r="L2405" i="38"/>
  <c r="F5213" i="38"/>
  <c r="L2401" i="38"/>
  <c r="F5173" i="38"/>
  <c r="L2397" i="38"/>
  <c r="F5133" i="38"/>
  <c r="L2393" i="38"/>
  <c r="F5093" i="38"/>
  <c r="L2389" i="38"/>
  <c r="F5053" i="38"/>
  <c r="L2385" i="38"/>
  <c r="F5003" i="38"/>
  <c r="L2380" i="38"/>
  <c r="F4963" i="38"/>
  <c r="L2376" i="38"/>
  <c r="F4923" i="38"/>
  <c r="L2372" i="38"/>
  <c r="F4883" i="38"/>
  <c r="L2368" i="38"/>
  <c r="F4803" i="38"/>
  <c r="L2360" i="38"/>
  <c r="F4763" i="38"/>
  <c r="L2356" i="38"/>
  <c r="F4723" i="38"/>
  <c r="L2352" i="38"/>
  <c r="F4683" i="38"/>
  <c r="L2348" i="38"/>
  <c r="F4463" i="38"/>
  <c r="L2326" i="38"/>
  <c r="F4423" i="38"/>
  <c r="L2322" i="38"/>
  <c r="F4383" i="38"/>
  <c r="L2318" i="38"/>
  <c r="F4343" i="38"/>
  <c r="L2314" i="38"/>
  <c r="F4263" i="38"/>
  <c r="L2306" i="38"/>
  <c r="F4223" i="38"/>
  <c r="L2302" i="38"/>
  <c r="F4183" i="38"/>
  <c r="L2298" i="38"/>
  <c r="F4143" i="38"/>
  <c r="L2294" i="38"/>
  <c r="F4103" i="38"/>
  <c r="L2290" i="38"/>
  <c r="F4063" i="38"/>
  <c r="L2286" i="38"/>
  <c r="F4023" i="38"/>
  <c r="L2282" i="38"/>
  <c r="F3983" i="38"/>
  <c r="L2278" i="38"/>
  <c r="F3903" i="38"/>
  <c r="L2270" i="38"/>
  <c r="F3863" i="38"/>
  <c r="L2266" i="38"/>
  <c r="F3823" i="38"/>
  <c r="L2262" i="38"/>
  <c r="F3783" i="38"/>
  <c r="L2258" i="38"/>
  <c r="F3743" i="38"/>
  <c r="L2254" i="38"/>
  <c r="F3703" i="38"/>
  <c r="L2250" i="38"/>
  <c r="F3663" i="38"/>
  <c r="L2246" i="38"/>
  <c r="F3623" i="38"/>
  <c r="L2242" i="38"/>
  <c r="F3543" i="38"/>
  <c r="L2234" i="38"/>
  <c r="F3503" i="38"/>
  <c r="L2230" i="38"/>
  <c r="F3463" i="38"/>
  <c r="L2226" i="38"/>
  <c r="F3423" i="38"/>
  <c r="L2222" i="38"/>
  <c r="F3383" i="38"/>
  <c r="L2218" i="38"/>
  <c r="F3343" i="38"/>
  <c r="L2214" i="38"/>
  <c r="F3303" i="38"/>
  <c r="L2210" i="38"/>
  <c r="F3263" i="38"/>
  <c r="L2206" i="38"/>
  <c r="F3213" i="38"/>
  <c r="L2201" i="38"/>
  <c r="F3173" i="38"/>
  <c r="L2197" i="38"/>
  <c r="F3133" i="38"/>
  <c r="L2193" i="38"/>
  <c r="F3093" i="38"/>
  <c r="L2189" i="38"/>
  <c r="F3053" i="38"/>
  <c r="L2185" i="38"/>
  <c r="F3003" i="38"/>
  <c r="L2180" i="38"/>
  <c r="F2963" i="38"/>
  <c r="L2176" i="38"/>
  <c r="F2923" i="38"/>
  <c r="L2172" i="38"/>
  <c r="F2883" i="38"/>
  <c r="L2168" i="38"/>
  <c r="F3021" i="38"/>
  <c r="I2182" i="38"/>
  <c r="J3001" i="38"/>
  <c r="K2180" i="38"/>
  <c r="F2981" i="38"/>
  <c r="I2178" i="38"/>
  <c r="J2961" i="38"/>
  <c r="K2176" i="38"/>
  <c r="F2941" i="38"/>
  <c r="I2174" i="38"/>
  <c r="J2921" i="38"/>
  <c r="K2172" i="38"/>
  <c r="F2901" i="38"/>
  <c r="I2170" i="38"/>
  <c r="J2881" i="38"/>
  <c r="K2168" i="38"/>
  <c r="D3202" i="38"/>
  <c r="H2200" i="38"/>
  <c r="I3191" i="38"/>
  <c r="J2199" i="38"/>
  <c r="D3162" i="38"/>
  <c r="H2196" i="38"/>
  <c r="I3151" i="38"/>
  <c r="J2195" i="38"/>
  <c r="D3122" i="38"/>
  <c r="H2192" i="38"/>
  <c r="I3111" i="38"/>
  <c r="J2191" i="38"/>
  <c r="D3082" i="38"/>
  <c r="H2188" i="38"/>
  <c r="I3071" i="38"/>
  <c r="J2187" i="38"/>
  <c r="I3231" i="38"/>
  <c r="J2203" i="38"/>
  <c r="D3752" i="38"/>
  <c r="H2255" i="38"/>
  <c r="I3741" i="38"/>
  <c r="J2254" i="38"/>
  <c r="D3712" i="38"/>
  <c r="H2251" i="38"/>
  <c r="I3701" i="38"/>
  <c r="J2250" i="38"/>
  <c r="D3672" i="38"/>
  <c r="H2247" i="38"/>
  <c r="I3661" i="38"/>
  <c r="J2246" i="38"/>
  <c r="D3632" i="38"/>
  <c r="H2243" i="38"/>
  <c r="I3621" i="38"/>
  <c r="J2242" i="38"/>
  <c r="D3592" i="38"/>
  <c r="H2239" i="38"/>
  <c r="I3931" i="38"/>
  <c r="J2273" i="38"/>
  <c r="D3902" i="38"/>
  <c r="H2270" i="38"/>
  <c r="I3891" i="38"/>
  <c r="J2269" i="38"/>
  <c r="D3862" i="38"/>
  <c r="H2266" i="38"/>
  <c r="I3851" i="38"/>
  <c r="J2265" i="38"/>
  <c r="D3822" i="38"/>
  <c r="H2262" i="38"/>
  <c r="I3811" i="38"/>
  <c r="J2261" i="38"/>
  <c r="D3782" i="38"/>
  <c r="H2258" i="38"/>
  <c r="D4092" i="38"/>
  <c r="H2289" i="38"/>
  <c r="I4081" i="38"/>
  <c r="J2288" i="38"/>
  <c r="D4052" i="38"/>
  <c r="H2285" i="38"/>
  <c r="I4041" i="38"/>
  <c r="J2284" i="38"/>
  <c r="D4012" i="38"/>
  <c r="H2281" i="38"/>
  <c r="I4001" i="38"/>
  <c r="J2280" i="38"/>
  <c r="D3972" i="38"/>
  <c r="H2277" i="38"/>
  <c r="I3961" i="38"/>
  <c r="J2276" i="38"/>
  <c r="J4291" i="38"/>
  <c r="K2309" i="38"/>
  <c r="F4271" i="38"/>
  <c r="I2307" i="38"/>
  <c r="J4251" i="38"/>
  <c r="K2305" i="38"/>
  <c r="F4231" i="38"/>
  <c r="I2303" i="38"/>
  <c r="J4211" i="38"/>
  <c r="K2301" i="38"/>
  <c r="F4191" i="38"/>
  <c r="I2299" i="38"/>
  <c r="J4171" i="38"/>
  <c r="K2297" i="38"/>
  <c r="F4151" i="38"/>
  <c r="I2295" i="38"/>
  <c r="F4471" i="38"/>
  <c r="I2327" i="38"/>
  <c r="J4451" i="38"/>
  <c r="K2325" i="38"/>
  <c r="F4431" i="38"/>
  <c r="I2323" i="38"/>
  <c r="J4411" i="38"/>
  <c r="K2321" i="38"/>
  <c r="F4391" i="38"/>
  <c r="I2319" i="38"/>
  <c r="J4371" i="38"/>
  <c r="K2317" i="38"/>
  <c r="F4351" i="38"/>
  <c r="I2315" i="38"/>
  <c r="J4331" i="38"/>
  <c r="K2313" i="38"/>
  <c r="D4832" i="38"/>
  <c r="H2363" i="38"/>
  <c r="I4821" i="38"/>
  <c r="J2362" i="38"/>
  <c r="D4792" i="38"/>
  <c r="H2359" i="38"/>
  <c r="I4781" i="38"/>
  <c r="J2358" i="38"/>
  <c r="D4752" i="38"/>
  <c r="H2355" i="38"/>
  <c r="I4741" i="38"/>
  <c r="J2354" i="38"/>
  <c r="D4712" i="38"/>
  <c r="H2351" i="38"/>
  <c r="I4701" i="38"/>
  <c r="J2350" i="38"/>
  <c r="D4672" i="38"/>
  <c r="H2347" i="38"/>
  <c r="F5001" i="38"/>
  <c r="I2380" i="38"/>
  <c r="J4981" i="38"/>
  <c r="K2378" i="38"/>
  <c r="F4961" i="38"/>
  <c r="I2376" i="38"/>
  <c r="J4941" i="38"/>
  <c r="K2374" i="38"/>
  <c r="F4921" i="38"/>
  <c r="I2372" i="38"/>
  <c r="J4901" i="38"/>
  <c r="K2370" i="38"/>
  <c r="F4881" i="38"/>
  <c r="I2368" i="38"/>
  <c r="J4861" i="38"/>
  <c r="K2366" i="38"/>
  <c r="J5181" i="38"/>
  <c r="K2398" i="38"/>
  <c r="F5161" i="38"/>
  <c r="I2396" i="38"/>
  <c r="J5141" i="38"/>
  <c r="K2394" i="38"/>
  <c r="F5121" i="38"/>
  <c r="I2392" i="38"/>
  <c r="J5101" i="38"/>
  <c r="K2390" i="38"/>
  <c r="F5081" i="38"/>
  <c r="I2388" i="38"/>
  <c r="J5061" i="38"/>
  <c r="K2386" i="38"/>
  <c r="F5041" i="38"/>
  <c r="I2384" i="38"/>
  <c r="F5361" i="38"/>
  <c r="I2416" i="38"/>
  <c r="J5341" i="38"/>
  <c r="K2414" i="38"/>
  <c r="F5321" i="38"/>
  <c r="I2412" i="38"/>
  <c r="J5301" i="38"/>
  <c r="K2410" i="38"/>
  <c r="F5281" i="38"/>
  <c r="I2408" i="38"/>
  <c r="J5261" i="38"/>
  <c r="K2406" i="38"/>
  <c r="F5241" i="38"/>
  <c r="I2404" i="38"/>
  <c r="J5221" i="38"/>
  <c r="K2402" i="38"/>
  <c r="D5532" i="38"/>
  <c r="H2433" i="38"/>
  <c r="I5521" i="38"/>
  <c r="J2432" i="38"/>
  <c r="D5732" i="38"/>
  <c r="H2453" i="38"/>
  <c r="I5721" i="38"/>
  <c r="J2452" i="38"/>
  <c r="J5651" i="38"/>
  <c r="K2445" i="38"/>
  <c r="F5631" i="38"/>
  <c r="I2443" i="38"/>
  <c r="D5572" i="38"/>
  <c r="H2437" i="38"/>
  <c r="I5911" i="38"/>
  <c r="J2471" i="38"/>
  <c r="J5841" i="38"/>
  <c r="K2464" i="38"/>
  <c r="F5821" i="38"/>
  <c r="I2462" i="38"/>
  <c r="D5762" i="38"/>
  <c r="H2456" i="38"/>
  <c r="J6031" i="38"/>
  <c r="K2483" i="38"/>
  <c r="F6011" i="38"/>
  <c r="I2481" i="38"/>
  <c r="D5952" i="38"/>
  <c r="H2475" i="38"/>
  <c r="I5941" i="38"/>
  <c r="J2474" i="38"/>
  <c r="I6251" i="38"/>
  <c r="J2505" i="38"/>
  <c r="F6551" i="38"/>
  <c r="I2535" i="38"/>
  <c r="F6661" i="38"/>
  <c r="I2546" i="38"/>
  <c r="F6971" i="38"/>
  <c r="I2577" i="38"/>
  <c r="I6901" i="38"/>
  <c r="J2570" i="38"/>
  <c r="D7342" i="38"/>
  <c r="H2614" i="38"/>
  <c r="D7262" i="38"/>
  <c r="H2606" i="38"/>
  <c r="J7491" i="38"/>
  <c r="K2629" i="38"/>
  <c r="I7671" i="38"/>
  <c r="J2647" i="38"/>
  <c r="J7601" i="38"/>
  <c r="K2640" i="38"/>
  <c r="F7821" i="38"/>
  <c r="I2662" i="38"/>
  <c r="J8031" i="38"/>
  <c r="K2683" i="38"/>
  <c r="D3212" i="38"/>
  <c r="H2201" i="38"/>
  <c r="I3201" i="38"/>
  <c r="J2200" i="38"/>
  <c r="D3172" i="38"/>
  <c r="H2197" i="38"/>
  <c r="I3161" i="38"/>
  <c r="J2196" i="38"/>
  <c r="D3132" i="38"/>
  <c r="H2193" i="38"/>
  <c r="I3121" i="38"/>
  <c r="J2192" i="38"/>
  <c r="D3092" i="38"/>
  <c r="H2189" i="38"/>
  <c r="I3081" i="38"/>
  <c r="J2188" i="38"/>
  <c r="D3052" i="38"/>
  <c r="H2185" i="38"/>
  <c r="D3372" i="38"/>
  <c r="H2217" i="38"/>
  <c r="I3361" i="38"/>
  <c r="J2216" i="38"/>
  <c r="D3332" i="38"/>
  <c r="H2213" i="38"/>
  <c r="I3321" i="38"/>
  <c r="J2212" i="38"/>
  <c r="D3292" i="38"/>
  <c r="H2209" i="38"/>
  <c r="I3281" i="38"/>
  <c r="J2208" i="38"/>
  <c r="D3252" i="38"/>
  <c r="H2205" i="38"/>
  <c r="I3241" i="38"/>
  <c r="J2204" i="38"/>
  <c r="J3571" i="38"/>
  <c r="K2237" i="38"/>
  <c r="F3551" i="38"/>
  <c r="I2235" i="38"/>
  <c r="J3531" i="38"/>
  <c r="K2233" i="38"/>
  <c r="F3511" i="38"/>
  <c r="I2231" i="38"/>
  <c r="J3491" i="38"/>
  <c r="K2229" i="38"/>
  <c r="F3471" i="38"/>
  <c r="I2227" i="38"/>
  <c r="J3451" i="38"/>
  <c r="K2225" i="38"/>
  <c r="F3431" i="38"/>
  <c r="I2223" i="38"/>
  <c r="I3751" i="38"/>
  <c r="J2255" i="38"/>
  <c r="D3722" i="38"/>
  <c r="H2252" i="38"/>
  <c r="I3711" i="38"/>
  <c r="J2251" i="38"/>
  <c r="D3682" i="38"/>
  <c r="H2248" i="38"/>
  <c r="I3671" i="38"/>
  <c r="J2247" i="38"/>
  <c r="D3642" i="38"/>
  <c r="H2244" i="38"/>
  <c r="I3631" i="38"/>
  <c r="J2243" i="38"/>
  <c r="D3602" i="38"/>
  <c r="H2240" i="38"/>
  <c r="F3931" i="38"/>
  <c r="I2273" i="38"/>
  <c r="J3911" i="38"/>
  <c r="K2271" i="38"/>
  <c r="F3891" i="38"/>
  <c r="I2269" i="38"/>
  <c r="J3871" i="38"/>
  <c r="K2267" i="38"/>
  <c r="F3851" i="38"/>
  <c r="I2265" i="38"/>
  <c r="J3831" i="38"/>
  <c r="K2263" i="38"/>
  <c r="F3811" i="38"/>
  <c r="I2261" i="38"/>
  <c r="J3791" i="38"/>
  <c r="K2259" i="38"/>
  <c r="D4102" i="38"/>
  <c r="H2290" i="38"/>
  <c r="I4091" i="38"/>
  <c r="J2289" i="38"/>
  <c r="D4062" i="38"/>
  <c r="H2286" i="38"/>
  <c r="I4051" i="38"/>
  <c r="J2285" i="38"/>
  <c r="D4022" i="38"/>
  <c r="H2282" i="38"/>
  <c r="I4011" i="38"/>
  <c r="J2281" i="38"/>
  <c r="D3982" i="38"/>
  <c r="H2278" i="38"/>
  <c r="I3971" i="38"/>
  <c r="J2277" i="38"/>
  <c r="I4291" i="38"/>
  <c r="J2309" i="38"/>
  <c r="D4262" i="38"/>
  <c r="H2306" i="38"/>
  <c r="I4251" i="38"/>
  <c r="J2305" i="38"/>
  <c r="D4222" i="38"/>
  <c r="H2302" i="38"/>
  <c r="I4211" i="38"/>
  <c r="J2301" i="38"/>
  <c r="D4182" i="38"/>
  <c r="H2298" i="38"/>
  <c r="I4171" i="38"/>
  <c r="J2297" i="38"/>
  <c r="D4142" i="38"/>
  <c r="H2294" i="38"/>
  <c r="D4462" i="38"/>
  <c r="H2326" i="38"/>
  <c r="I4451" i="38"/>
  <c r="J2325" i="38"/>
  <c r="D4422" i="38"/>
  <c r="H2322" i="38"/>
  <c r="I4411" i="38"/>
  <c r="J2321" i="38"/>
  <c r="D4382" i="38"/>
  <c r="H2318" i="38"/>
  <c r="I4371" i="38"/>
  <c r="J2317" i="38"/>
  <c r="D4342" i="38"/>
  <c r="H2314" i="38"/>
  <c r="I4331" i="38"/>
  <c r="J2313" i="38"/>
  <c r="I4831" i="38"/>
  <c r="J2363" i="38"/>
  <c r="D4802" i="38"/>
  <c r="H2360" i="38"/>
  <c r="I4791" i="38"/>
  <c r="J2359" i="38"/>
  <c r="D4762" i="38"/>
  <c r="H2356" i="38"/>
  <c r="I4751" i="38"/>
  <c r="J2355" i="38"/>
  <c r="D4722" i="38"/>
  <c r="H2352" i="38"/>
  <c r="I4711" i="38"/>
  <c r="J2351" i="38"/>
  <c r="D4682" i="38"/>
  <c r="H2348" i="38"/>
  <c r="F5011" i="38"/>
  <c r="I2381" i="38"/>
  <c r="J4991" i="38"/>
  <c r="K2379" i="38"/>
  <c r="F4971" i="38"/>
  <c r="I2377" i="38"/>
  <c r="J4951" i="38"/>
  <c r="K2375" i="38"/>
  <c r="F4931" i="38"/>
  <c r="I2373" i="38"/>
  <c r="J4911" i="38"/>
  <c r="K2371" i="38"/>
  <c r="F4891" i="38"/>
  <c r="I2369" i="38"/>
  <c r="J4871" i="38"/>
  <c r="K2367" i="38"/>
  <c r="D5192" i="38"/>
  <c r="H2399" i="38"/>
  <c r="I5181" i="38"/>
  <c r="J2398" i="38"/>
  <c r="D5152" i="38"/>
  <c r="H2395" i="38"/>
  <c r="I5141" i="38"/>
  <c r="J2394" i="38"/>
  <c r="D5112" i="38"/>
  <c r="H2391" i="38"/>
  <c r="I5101" i="38"/>
  <c r="J2390" i="38"/>
  <c r="D5072" i="38"/>
  <c r="H2387" i="38"/>
  <c r="I5061" i="38"/>
  <c r="J2386" i="38"/>
  <c r="D5032" i="38"/>
  <c r="H2383" i="38"/>
  <c r="D5702" i="38"/>
  <c r="H2450" i="38"/>
  <c r="I5691" i="38"/>
  <c r="J2449" i="38"/>
  <c r="J5621" i="38"/>
  <c r="K2442" i="38"/>
  <c r="F5601" i="38"/>
  <c r="I2440" i="38"/>
  <c r="D5892" i="38"/>
  <c r="H2469" i="38"/>
  <c r="I5881" i="38"/>
  <c r="J2468" i="38"/>
  <c r="J5811" i="38"/>
  <c r="K2461" i="38"/>
  <c r="F5791" i="38"/>
  <c r="I2459" i="38"/>
  <c r="F5751" i="38"/>
  <c r="I2455" i="38"/>
  <c r="D6042" i="38"/>
  <c r="H2484" i="38"/>
  <c r="I6031" i="38"/>
  <c r="J2483" i="38"/>
  <c r="J5961" i="38"/>
  <c r="K2476" i="38"/>
  <c r="F5941" i="38"/>
  <c r="I2474" i="38"/>
  <c r="J6271" i="38"/>
  <c r="K2507" i="38"/>
  <c r="F6251" i="38"/>
  <c r="I2505" i="38"/>
  <c r="D6192" i="38"/>
  <c r="H2499" i="38"/>
  <c r="I6181" i="38"/>
  <c r="J2498" i="38"/>
  <c r="F6441" i="38"/>
  <c r="I2524" i="38"/>
  <c r="D6382" i="38"/>
  <c r="H2518" i="38"/>
  <c r="I6371" i="38"/>
  <c r="J2517" i="38"/>
  <c r="J6301" i="38"/>
  <c r="K2510" i="38"/>
  <c r="J6581" i="38"/>
  <c r="K2538" i="38"/>
  <c r="F6561" i="38"/>
  <c r="I2536" i="38"/>
  <c r="D6502" i="38"/>
  <c r="H2530" i="38"/>
  <c r="I6491" i="38"/>
  <c r="J2529" i="38"/>
  <c r="D6812" i="38"/>
  <c r="H2561" i="38"/>
  <c r="I6801" i="38"/>
  <c r="J2560" i="38"/>
  <c r="J6731" i="38"/>
  <c r="K2553" i="38"/>
  <c r="F6711" i="38"/>
  <c r="I2551" i="38"/>
  <c r="D6652" i="38"/>
  <c r="H2545" i="38"/>
  <c r="I6991" i="38"/>
  <c r="J2579" i="38"/>
  <c r="J6921" i="38"/>
  <c r="K2572" i="38"/>
  <c r="F6901" i="38"/>
  <c r="I2570" i="38"/>
  <c r="D6842" i="38"/>
  <c r="H2564" i="38"/>
  <c r="J7111" i="38"/>
  <c r="K2591" i="38"/>
  <c r="F7091" i="38"/>
  <c r="I2589" i="38"/>
  <c r="D7032" i="38"/>
  <c r="H2583" i="38"/>
  <c r="I7021" i="38"/>
  <c r="J2582" i="38"/>
  <c r="D7352" i="38"/>
  <c r="H2615" i="38"/>
  <c r="I7341" i="38"/>
  <c r="J2614" i="38"/>
  <c r="J7271" i="38"/>
  <c r="K2607" i="38"/>
  <c r="F7251" i="38"/>
  <c r="I2605" i="38"/>
  <c r="D7192" i="38"/>
  <c r="H2599" i="38"/>
  <c r="I7531" i="38"/>
  <c r="J2633" i="38"/>
  <c r="J7461" i="38"/>
  <c r="K2626" i="38"/>
  <c r="F7441" i="38"/>
  <c r="I2624" i="38"/>
  <c r="D7382" i="38"/>
  <c r="H2618" i="38"/>
  <c r="J7651" i="38"/>
  <c r="K2645" i="38"/>
  <c r="F7631" i="38"/>
  <c r="I2643" i="38"/>
  <c r="D7572" i="38"/>
  <c r="H2637" i="38"/>
  <c r="I7561" i="38"/>
  <c r="J2636" i="38"/>
  <c r="D7892" i="38"/>
  <c r="H2669" i="38"/>
  <c r="I7881" i="38"/>
  <c r="J2668" i="38"/>
  <c r="J7811" i="38"/>
  <c r="K2661" i="38"/>
  <c r="F7791" i="38"/>
  <c r="I2659" i="38"/>
  <c r="D7732" i="38"/>
  <c r="H2653" i="38"/>
  <c r="I8071" i="38"/>
  <c r="J2687" i="38"/>
  <c r="J8001" i="38"/>
  <c r="K2680" i="38"/>
  <c r="F7981" i="38"/>
  <c r="I2678" i="38"/>
  <c r="D7922" i="38"/>
  <c r="H2672" i="38"/>
  <c r="F6631" i="38"/>
  <c r="I2543" i="38"/>
  <c r="I6791" i="38"/>
  <c r="J2559" i="38"/>
  <c r="F6741" i="38"/>
  <c r="I2554" i="38"/>
  <c r="J6681" i="38"/>
  <c r="K2548" i="38"/>
  <c r="J6911" i="38"/>
  <c r="K2571" i="38"/>
  <c r="J7561" i="38"/>
  <c r="K2636" i="38"/>
  <c r="I7941" i="38"/>
  <c r="J2674" i="38"/>
  <c r="J3021" i="38"/>
  <c r="K2182" i="38"/>
  <c r="F3001" i="38"/>
  <c r="I2180" i="38"/>
  <c r="J2981" i="38"/>
  <c r="K2178" i="38"/>
  <c r="F2961" i="38"/>
  <c r="I2176" i="38"/>
  <c r="J2941" i="38"/>
  <c r="K2174" i="38"/>
  <c r="F2921" i="38"/>
  <c r="I2172" i="38"/>
  <c r="J2901" i="38"/>
  <c r="K2170" i="38"/>
  <c r="F2881" i="38"/>
  <c r="I2168" i="38"/>
  <c r="F3201" i="38"/>
  <c r="I2200" i="38"/>
  <c r="J3181" i="38"/>
  <c r="K2198" i="38"/>
  <c r="F3161" i="38"/>
  <c r="I2196" i="38"/>
  <c r="J3141" i="38"/>
  <c r="K2194" i="38"/>
  <c r="F3121" i="38"/>
  <c r="I2192" i="38"/>
  <c r="J3101" i="38"/>
  <c r="K2190" i="38"/>
  <c r="F3081" i="38"/>
  <c r="I2188" i="38"/>
  <c r="J3061" i="38"/>
  <c r="K2186" i="38"/>
  <c r="D3382" i="38"/>
  <c r="H2218" i="38"/>
  <c r="I3371" i="38"/>
  <c r="J2217" i="38"/>
  <c r="D3342" i="38"/>
  <c r="H2214" i="38"/>
  <c r="I3331" i="38"/>
  <c r="J2213" i="38"/>
  <c r="D3302" i="38"/>
  <c r="H2210" i="38"/>
  <c r="I3291" i="38"/>
  <c r="J2209" i="38"/>
  <c r="D3262" i="38"/>
  <c r="H2206" i="38"/>
  <c r="I3251" i="38"/>
  <c r="J2205" i="38"/>
  <c r="I3411" i="38"/>
  <c r="J2221" i="38"/>
  <c r="D3922" i="38"/>
  <c r="H2272" i="38"/>
  <c r="I3911" i="38"/>
  <c r="J2271" i="38"/>
  <c r="D3882" i="38"/>
  <c r="H2268" i="38"/>
  <c r="I3871" i="38"/>
  <c r="J2267" i="38"/>
  <c r="D3842" i="38"/>
  <c r="H2264" i="38"/>
  <c r="I3831" i="38"/>
  <c r="J2263" i="38"/>
  <c r="D3802" i="38"/>
  <c r="H2260" i="38"/>
  <c r="I3791" i="38"/>
  <c r="J2259" i="38"/>
  <c r="I5031" i="38"/>
  <c r="J2383" i="38"/>
  <c r="D5552" i="38"/>
  <c r="H2435" i="38"/>
  <c r="I5541" i="38"/>
  <c r="J2434" i="38"/>
  <c r="F5731" i="38"/>
  <c r="I2453" i="38"/>
  <c r="D5672" i="38"/>
  <c r="H2447" i="38"/>
  <c r="I5661" i="38"/>
  <c r="J2446" i="38"/>
  <c r="J5591" i="38"/>
  <c r="K2439" i="38"/>
  <c r="J5901" i="38"/>
  <c r="K2470" i="38"/>
  <c r="F5881" i="38"/>
  <c r="I2468" i="38"/>
  <c r="D5822" i="38"/>
  <c r="H2462" i="38"/>
  <c r="I5811" i="38"/>
  <c r="J2461" i="38"/>
  <c r="J6051" i="38"/>
  <c r="K2485" i="38"/>
  <c r="F6031" i="38"/>
  <c r="I2483" i="38"/>
  <c r="D5972" i="38"/>
  <c r="H2477" i="38"/>
  <c r="I5961" i="38"/>
  <c r="J2476" i="38"/>
  <c r="J6241" i="38"/>
  <c r="K2504" i="38"/>
  <c r="F6221" i="38"/>
  <c r="I2502" i="38"/>
  <c r="D6162" i="38"/>
  <c r="H2496" i="38"/>
  <c r="I6151" i="38"/>
  <c r="J2495" i="38"/>
  <c r="I6111" i="38"/>
  <c r="J2491" i="38"/>
  <c r="J6431" i="38"/>
  <c r="K2523" i="38"/>
  <c r="F6411" i="38"/>
  <c r="I2521" i="38"/>
  <c r="D6352" i="38"/>
  <c r="H2515" i="38"/>
  <c r="I6341" i="38"/>
  <c r="J2514" i="38"/>
  <c r="J6591" i="38"/>
  <c r="K2539" i="38"/>
  <c r="F6571" i="38"/>
  <c r="I2537" i="38"/>
  <c r="D6512" i="38"/>
  <c r="H2531" i="38"/>
  <c r="I6501" i="38"/>
  <c r="J2530" i="38"/>
  <c r="J6781" i="38"/>
  <c r="K2558" i="38"/>
  <c r="F6761" i="38"/>
  <c r="I2556" i="38"/>
  <c r="D6702" i="38"/>
  <c r="H2550" i="38"/>
  <c r="I6691" i="38"/>
  <c r="J2549" i="38"/>
  <c r="I6651" i="38"/>
  <c r="J2545" i="38"/>
  <c r="J6971" i="38"/>
  <c r="K2577" i="38"/>
  <c r="F6951" i="38"/>
  <c r="I2575" i="38"/>
  <c r="D6892" i="38"/>
  <c r="H2569" i="38"/>
  <c r="I6881" i="38"/>
  <c r="J2568" i="38"/>
  <c r="J7121" i="38"/>
  <c r="K2592" i="38"/>
  <c r="F7101" i="38"/>
  <c r="I2590" i="38"/>
  <c r="D7042" i="38"/>
  <c r="H2584" i="38"/>
  <c r="I7031" i="38"/>
  <c r="J2583" i="38"/>
  <c r="D7322" i="38"/>
  <c r="H2612" i="38"/>
  <c r="I7311" i="38"/>
  <c r="J2611" i="38"/>
  <c r="J7241" i="38"/>
  <c r="K2604" i="38"/>
  <c r="F7221" i="38"/>
  <c r="I2602" i="38"/>
  <c r="D7512" i="38"/>
  <c r="H2631" i="38"/>
  <c r="I7501" i="38"/>
  <c r="J2630" i="38"/>
  <c r="J7431" i="38"/>
  <c r="K2623" i="38"/>
  <c r="F7411" i="38"/>
  <c r="I2621" i="38"/>
  <c r="F7371" i="38"/>
  <c r="I2617" i="38"/>
  <c r="D7662" i="38"/>
  <c r="H2646" i="38"/>
  <c r="I7651" i="38"/>
  <c r="J2645" i="38"/>
  <c r="J7581" i="38"/>
  <c r="K2638" i="38"/>
  <c r="F7561" i="38"/>
  <c r="I2636" i="38"/>
  <c r="J7861" i="38"/>
  <c r="K2666" i="38"/>
  <c r="F7841" i="38"/>
  <c r="I2664" i="38"/>
  <c r="D7782" i="38"/>
  <c r="H2658" i="38"/>
  <c r="I7771" i="38"/>
  <c r="J2657" i="38"/>
  <c r="I7731" i="38"/>
  <c r="J2653" i="38"/>
  <c r="J8051" i="38"/>
  <c r="K2685" i="38"/>
  <c r="F8031" i="38"/>
  <c r="I2683" i="38"/>
  <c r="D7972" i="38"/>
  <c r="H2677" i="38"/>
  <c r="I7961" i="38"/>
  <c r="J2676" i="38"/>
  <c r="D6722" i="38"/>
  <c r="H2552" i="38"/>
  <c r="D7102" i="38"/>
  <c r="H2590" i="38"/>
  <c r="J7021" i="38"/>
  <c r="K2582" i="38"/>
  <c r="I7331" i="38"/>
  <c r="J2613" i="38"/>
  <c r="F7241" i="38"/>
  <c r="I2604" i="38"/>
  <c r="J7641" i="38"/>
  <c r="K2644" i="38"/>
  <c r="F7581" i="38"/>
  <c r="I2638" i="38"/>
  <c r="J7881" i="38"/>
  <c r="K2668" i="38"/>
  <c r="J7761" i="38"/>
  <c r="K2656" i="38"/>
  <c r="J3031" i="38"/>
  <c r="K2183" i="38"/>
  <c r="F3011" i="38"/>
  <c r="I2181" i="38"/>
  <c r="J2991" i="38"/>
  <c r="K2179" i="38"/>
  <c r="F2971" i="38"/>
  <c r="I2177" i="38"/>
  <c r="J2951" i="38"/>
  <c r="K2175" i="38"/>
  <c r="F2931" i="38"/>
  <c r="I2173" i="38"/>
  <c r="J2911" i="38"/>
  <c r="K2171" i="38"/>
  <c r="F2891" i="38"/>
  <c r="I2169" i="38"/>
  <c r="D3192" i="38"/>
  <c r="H2199" i="38"/>
  <c r="I3181" i="38"/>
  <c r="J2198" i="38"/>
  <c r="D3152" i="38"/>
  <c r="H2195" i="38"/>
  <c r="I3141" i="38"/>
  <c r="J2194" i="38"/>
  <c r="D3112" i="38"/>
  <c r="H2191" i="38"/>
  <c r="I3101" i="38"/>
  <c r="J2190" i="38"/>
  <c r="D3072" i="38"/>
  <c r="H2187" i="38"/>
  <c r="I3061" i="38"/>
  <c r="J2186" i="38"/>
  <c r="J3231" i="38"/>
  <c r="K2203" i="38"/>
  <c r="D3742" i="38"/>
  <c r="H2254" i="38"/>
  <c r="I3731" i="38"/>
  <c r="J2253" i="38"/>
  <c r="D3702" i="38"/>
  <c r="H2250" i="38"/>
  <c r="I3691" i="38"/>
  <c r="J2249" i="38"/>
  <c r="D3662" i="38"/>
  <c r="H2246" i="38"/>
  <c r="I3651" i="38"/>
  <c r="J2245" i="38"/>
  <c r="D3622" i="38"/>
  <c r="H2242" i="38"/>
  <c r="I3611" i="38"/>
  <c r="J2241" i="38"/>
  <c r="F4461" i="38"/>
  <c r="I2326" i="38"/>
  <c r="J4441" i="38"/>
  <c r="K2324" i="38"/>
  <c r="F4421" i="38"/>
  <c r="I2322" i="38"/>
  <c r="J4401" i="38"/>
  <c r="K2320" i="38"/>
  <c r="F4381" i="38"/>
  <c r="I2318" i="38"/>
  <c r="J4361" i="38"/>
  <c r="K2316" i="38"/>
  <c r="F4341" i="38"/>
  <c r="I2314" i="38"/>
  <c r="J4321" i="38"/>
  <c r="K2312" i="38"/>
  <c r="D4822" i="38"/>
  <c r="H2362" i="38"/>
  <c r="I4811" i="38"/>
  <c r="J2361" i="38"/>
  <c r="D4782" i="38"/>
  <c r="H2358" i="38"/>
  <c r="I4771" i="38"/>
  <c r="J2357" i="38"/>
  <c r="D4742" i="38"/>
  <c r="H2354" i="38"/>
  <c r="I4731" i="38"/>
  <c r="J2353" i="38"/>
  <c r="D4702" i="38"/>
  <c r="H2350" i="38"/>
  <c r="I4691" i="38"/>
  <c r="J2349" i="38"/>
  <c r="F5031" i="38"/>
  <c r="I2383" i="38"/>
  <c r="J5371" i="38"/>
  <c r="K2417" i="38"/>
  <c r="F5351" i="38"/>
  <c r="I2415" i="38"/>
  <c r="J5331" i="38"/>
  <c r="K2413" i="38"/>
  <c r="F5311" i="38"/>
  <c r="I2411" i="38"/>
  <c r="J5291" i="38"/>
  <c r="K2409" i="38"/>
  <c r="F5271" i="38"/>
  <c r="I2407" i="38"/>
  <c r="J5251" i="38"/>
  <c r="K2405" i="38"/>
  <c r="F5231" i="38"/>
  <c r="I2403" i="38"/>
  <c r="I5391" i="38"/>
  <c r="J2419" i="38"/>
  <c r="D5722" i="38"/>
  <c r="H2452" i="38"/>
  <c r="I5711" i="38"/>
  <c r="J2451" i="38"/>
  <c r="J5641" i="38"/>
  <c r="K2444" i="38"/>
  <c r="F5621" i="38"/>
  <c r="I2442" i="38"/>
  <c r="J5871" i="38"/>
  <c r="K2467" i="38"/>
  <c r="F5851" i="38"/>
  <c r="I2465" i="38"/>
  <c r="D5792" i="38"/>
  <c r="H2459" i="38"/>
  <c r="I5781" i="38"/>
  <c r="J2458" i="38"/>
  <c r="J6061" i="38"/>
  <c r="K2486" i="38"/>
  <c r="F6041" i="38"/>
  <c r="I2484" i="38"/>
  <c r="D5982" i="38"/>
  <c r="H2478" i="38"/>
  <c r="I5971" i="38"/>
  <c r="J2477" i="38"/>
  <c r="I5931" i="38"/>
  <c r="J2473" i="38"/>
  <c r="J6251" i="38"/>
  <c r="K2505" i="38"/>
  <c r="F6231" i="38"/>
  <c r="I2503" i="38"/>
  <c r="D6172" i="38"/>
  <c r="H2497" i="38"/>
  <c r="I6161" i="38"/>
  <c r="J2496" i="38"/>
  <c r="J6401" i="38"/>
  <c r="K2520" i="38"/>
  <c r="F6381" i="38"/>
  <c r="I2518" i="38"/>
  <c r="D6322" i="38"/>
  <c r="H2512" i="38"/>
  <c r="I6311" i="38"/>
  <c r="J2511" i="38"/>
  <c r="D6602" i="38"/>
  <c r="H2540" i="38"/>
  <c r="I6591" i="38"/>
  <c r="J2539" i="38"/>
  <c r="J6521" i="38"/>
  <c r="K2532" i="38"/>
  <c r="F6501" i="38"/>
  <c r="I2530" i="38"/>
  <c r="D6792" i="38"/>
  <c r="H2559" i="38"/>
  <c r="I6781" i="38"/>
  <c r="J2558" i="38"/>
  <c r="J6711" i="38"/>
  <c r="K2551" i="38"/>
  <c r="F6691" i="38"/>
  <c r="I2549" i="38"/>
  <c r="F6651" i="38"/>
  <c r="I2545" i="38"/>
  <c r="D6942" i="38"/>
  <c r="H2574" i="38"/>
  <c r="I6931" i="38"/>
  <c r="J2573" i="38"/>
  <c r="J6861" i="38"/>
  <c r="K2566" i="38"/>
  <c r="F6841" i="38"/>
  <c r="I2564" i="38"/>
  <c r="J7171" i="38"/>
  <c r="K2597" i="38"/>
  <c r="F7151" i="38"/>
  <c r="I2595" i="38"/>
  <c r="D7092" i="38"/>
  <c r="H2589" i="38"/>
  <c r="I7081" i="38"/>
  <c r="J2588" i="38"/>
  <c r="J7291" i="38"/>
  <c r="K2609" i="38"/>
  <c r="F7271" i="38"/>
  <c r="I2607" i="38"/>
  <c r="D7212" i="38"/>
  <c r="H2601" i="38"/>
  <c r="I7201" i="38"/>
  <c r="J2600" i="38"/>
  <c r="D7522" i="38"/>
  <c r="H2632" i="38"/>
  <c r="I7511" i="38"/>
  <c r="J2631" i="38"/>
  <c r="J7441" i="38"/>
  <c r="K2624" i="38"/>
  <c r="F7421" i="38"/>
  <c r="I2622" i="38"/>
  <c r="D7672" i="38"/>
  <c r="H2647" i="38"/>
  <c r="I7661" i="38"/>
  <c r="J2646" i="38"/>
  <c r="J7591" i="38"/>
  <c r="K2639" i="38"/>
  <c r="F7571" i="38"/>
  <c r="I2637" i="38"/>
  <c r="J7551" i="38"/>
  <c r="K2635" i="38"/>
  <c r="J7871" i="38"/>
  <c r="K2667" i="38"/>
  <c r="F7851" i="38"/>
  <c r="I2665" i="38"/>
  <c r="D7792" i="38"/>
  <c r="H2659" i="38"/>
  <c r="I7781" i="38"/>
  <c r="J2658" i="38"/>
  <c r="J8021" i="38"/>
  <c r="K2682" i="38"/>
  <c r="F8001" i="38"/>
  <c r="I2680" i="38"/>
  <c r="D7942" i="38"/>
  <c r="H2674" i="38"/>
  <c r="I7931" i="38"/>
  <c r="J2673" i="38"/>
  <c r="I6441" i="38"/>
  <c r="J2524" i="38"/>
  <c r="D6372" i="38"/>
  <c r="H2517" i="38"/>
  <c r="I6521" i="38"/>
  <c r="J2532" i="38"/>
  <c r="J6491" i="38"/>
  <c r="K2529" i="38"/>
  <c r="I6751" i="38"/>
  <c r="J2555" i="38"/>
  <c r="I6671" i="38"/>
  <c r="J2547" i="38"/>
  <c r="J7101" i="38"/>
  <c r="K2590" i="38"/>
  <c r="I7401" i="38"/>
  <c r="J2620" i="38"/>
  <c r="I7711" i="38"/>
  <c r="J2651" i="38"/>
  <c r="F7781" i="38"/>
  <c r="I2658" i="38"/>
  <c r="D8032" i="38"/>
  <c r="H2683" i="38"/>
  <c r="J7991" i="38"/>
  <c r="K2679" i="38"/>
  <c r="F8073" i="38"/>
  <c r="L2687" i="38"/>
  <c r="F8033" i="38"/>
  <c r="L2683" i="38"/>
  <c r="F7993" i="38"/>
  <c r="L2679" i="38"/>
  <c r="F7953" i="38"/>
  <c r="L2675" i="38"/>
  <c r="F7913" i="38"/>
  <c r="L2671" i="38"/>
  <c r="F7873" i="38"/>
  <c r="L2667" i="38"/>
  <c r="F7833" i="38"/>
  <c r="L2663" i="38"/>
  <c r="F7793" i="38"/>
  <c r="L2659" i="38"/>
  <c r="F7753" i="38"/>
  <c r="L2655" i="38"/>
  <c r="F7713" i="38"/>
  <c r="L2651" i="38"/>
  <c r="F7673" i="38"/>
  <c r="L2647" i="38"/>
  <c r="F7633" i="38"/>
  <c r="L2643" i="38"/>
  <c r="F7593" i="38"/>
  <c r="L2639" i="38"/>
  <c r="F7553" i="38"/>
  <c r="L2635" i="38"/>
  <c r="F7503" i="38"/>
  <c r="L2630" i="38"/>
  <c r="F7463" i="38"/>
  <c r="L2626" i="38"/>
  <c r="F7423" i="38"/>
  <c r="L2622" i="38"/>
  <c r="F7383" i="38"/>
  <c r="L2618" i="38"/>
  <c r="F7333" i="38"/>
  <c r="L2613" i="38"/>
  <c r="F7293" i="38"/>
  <c r="L2609" i="38"/>
  <c r="F7253" i="38"/>
  <c r="L2605" i="38"/>
  <c r="F7213" i="38"/>
  <c r="L2601" i="38"/>
  <c r="F7173" i="38"/>
  <c r="L2597" i="38"/>
  <c r="F7133" i="38"/>
  <c r="L2593" i="38"/>
  <c r="F7093" i="38"/>
  <c r="L2589" i="38"/>
  <c r="F7053" i="38"/>
  <c r="L2585" i="38"/>
  <c r="F7013" i="38"/>
  <c r="L2581" i="38"/>
  <c r="F6973" i="38"/>
  <c r="L2577" i="38"/>
  <c r="F6933" i="38"/>
  <c r="L2573" i="38"/>
  <c r="F6893" i="38"/>
  <c r="L2569" i="38"/>
  <c r="F6853" i="38"/>
  <c r="L2565" i="38"/>
  <c r="F6803" i="38"/>
  <c r="L2560" i="38"/>
  <c r="F6763" i="38"/>
  <c r="L2556" i="38"/>
  <c r="F6723" i="38"/>
  <c r="L2552" i="38"/>
  <c r="F6683" i="38"/>
  <c r="L2548" i="38"/>
  <c r="F6633" i="38"/>
  <c r="L2543" i="38"/>
  <c r="F6593" i="38"/>
  <c r="L2539" i="38"/>
  <c r="F6553" i="38"/>
  <c r="L2535" i="38"/>
  <c r="F6513" i="38"/>
  <c r="L2531" i="38"/>
  <c r="F6473" i="38"/>
  <c r="L2527" i="38"/>
  <c r="F6433" i="38"/>
  <c r="L2523" i="38"/>
  <c r="F6393" i="38"/>
  <c r="L2519" i="38"/>
  <c r="F6353" i="38"/>
  <c r="L2515" i="38"/>
  <c r="F6313" i="38"/>
  <c r="L2511" i="38"/>
  <c r="F6273" i="38"/>
  <c r="L2507" i="38"/>
  <c r="F6233" i="38"/>
  <c r="L2503" i="38"/>
  <c r="F6193" i="38"/>
  <c r="L2499" i="38"/>
  <c r="F6153" i="38"/>
  <c r="L2495" i="38"/>
  <c r="F6113" i="38"/>
  <c r="L2491" i="38"/>
  <c r="F6063" i="38"/>
  <c r="L2486" i="38"/>
  <c r="F6023" i="38"/>
  <c r="L2482" i="38"/>
  <c r="F5983" i="38"/>
  <c r="L2478" i="38"/>
  <c r="F5943" i="38"/>
  <c r="L2474" i="38"/>
  <c r="F5893" i="38"/>
  <c r="L2469" i="38"/>
  <c r="F5853" i="38"/>
  <c r="L2465" i="38"/>
  <c r="F5813" i="38"/>
  <c r="L2461" i="38"/>
  <c r="F5773" i="38"/>
  <c r="L2457" i="38"/>
  <c r="F5733" i="38"/>
  <c r="L2453" i="38"/>
  <c r="F5693" i="38"/>
  <c r="L2449" i="38"/>
  <c r="F5653" i="38"/>
  <c r="L2445" i="38"/>
  <c r="F5613" i="38"/>
  <c r="L2441" i="38"/>
  <c r="F5573" i="38"/>
  <c r="L2437" i="38"/>
  <c r="F5523" i="38"/>
  <c r="L2432" i="38"/>
  <c r="F5483" i="38"/>
  <c r="L2428" i="38"/>
  <c r="F5443" i="38"/>
  <c r="L2424" i="38"/>
  <c r="F5403" i="38"/>
  <c r="L2420" i="38"/>
  <c r="F5363" i="38"/>
  <c r="L2416" i="38"/>
  <c r="F5323" i="38"/>
  <c r="L2412" i="38"/>
  <c r="F5283" i="38"/>
  <c r="L2408" i="38"/>
  <c r="F5243" i="38"/>
  <c r="L2404" i="38"/>
  <c r="F5163" i="38"/>
  <c r="L2396" i="38"/>
  <c r="F5123" i="38"/>
  <c r="L2392" i="38"/>
  <c r="F5083" i="38"/>
  <c r="L2388" i="38"/>
  <c r="F5043" i="38"/>
  <c r="L2384" i="38"/>
  <c r="F4993" i="38"/>
  <c r="L2379" i="38"/>
  <c r="F4953" i="38"/>
  <c r="L2375" i="38"/>
  <c r="F4913" i="38"/>
  <c r="L2371" i="38"/>
  <c r="F4873" i="38"/>
  <c r="L2367" i="38"/>
  <c r="F4833" i="38"/>
  <c r="L2363" i="38"/>
  <c r="F4793" i="38"/>
  <c r="L2359" i="38"/>
  <c r="F4753" i="38"/>
  <c r="L2355" i="38"/>
  <c r="F4713" i="38"/>
  <c r="L2351" i="38"/>
  <c r="F4673" i="38"/>
  <c r="L2347" i="38"/>
  <c r="F4453" i="38"/>
  <c r="L2325" i="38"/>
  <c r="F4413" i="38"/>
  <c r="L2321" i="38"/>
  <c r="F4373" i="38"/>
  <c r="L2317" i="38"/>
  <c r="F4333" i="38"/>
  <c r="L2313" i="38"/>
  <c r="F4293" i="38"/>
  <c r="L2309" i="38"/>
  <c r="F4253" i="38"/>
  <c r="L2305" i="38"/>
  <c r="F4213" i="38"/>
  <c r="L2301" i="38"/>
  <c r="F4173" i="38"/>
  <c r="L2297" i="38"/>
  <c r="F4133" i="38"/>
  <c r="L2293" i="38"/>
  <c r="F4093" i="38"/>
  <c r="L2289" i="38"/>
  <c r="F4053" i="38"/>
  <c r="L2285" i="38"/>
  <c r="F4013" i="38"/>
  <c r="L2281" i="38"/>
  <c r="F3973" i="38"/>
  <c r="L2277" i="38"/>
  <c r="F3933" i="38"/>
  <c r="L2273" i="38"/>
  <c r="F3893" i="38"/>
  <c r="L2269" i="38"/>
  <c r="F3853" i="38"/>
  <c r="L2265" i="38"/>
  <c r="F3813" i="38"/>
  <c r="L2261" i="38"/>
  <c r="F3773" i="38"/>
  <c r="L2257" i="38"/>
  <c r="F3733" i="38"/>
  <c r="L2253" i="38"/>
  <c r="F3693" i="38"/>
  <c r="L2249" i="38"/>
  <c r="F3653" i="38"/>
  <c r="L2245" i="38"/>
  <c r="F3613" i="38"/>
  <c r="L2241" i="38"/>
  <c r="F3573" i="38"/>
  <c r="L2237" i="38"/>
  <c r="F3533" i="38"/>
  <c r="L2233" i="38"/>
  <c r="F3493" i="38"/>
  <c r="L2229" i="38"/>
  <c r="F3453" i="38"/>
  <c r="L2225" i="38"/>
  <c r="F3413" i="38"/>
  <c r="L2221" i="38"/>
  <c r="F3373" i="38"/>
  <c r="L2217" i="38"/>
  <c r="F3333" i="38"/>
  <c r="L2213" i="38"/>
  <c r="F3293" i="38"/>
  <c r="L2209" i="38"/>
  <c r="F3253" i="38"/>
  <c r="L2205" i="38"/>
  <c r="F3203" i="38"/>
  <c r="L2200" i="38"/>
  <c r="F3163" i="38"/>
  <c r="L2196" i="38"/>
  <c r="F3123" i="38"/>
  <c r="L2192" i="38"/>
  <c r="F3083" i="38"/>
  <c r="L2188" i="38"/>
  <c r="F3033" i="38"/>
  <c r="L2183" i="38"/>
  <c r="F2993" i="38"/>
  <c r="L2179" i="38"/>
  <c r="F2953" i="38"/>
  <c r="L2175" i="38"/>
  <c r="F2913" i="38"/>
  <c r="L2171" i="38"/>
  <c r="F2873" i="38"/>
  <c r="L2167" i="38"/>
  <c r="I2871" i="38"/>
  <c r="J2167" i="38"/>
  <c r="I3391" i="38"/>
  <c r="J2219" i="38"/>
  <c r="D3362" i="38"/>
  <c r="H2216" i="38"/>
  <c r="I3351" i="38"/>
  <c r="J2215" i="38"/>
  <c r="D3322" i="38"/>
  <c r="H2212" i="38"/>
  <c r="I3311" i="38"/>
  <c r="J2211" i="38"/>
  <c r="D3282" i="38"/>
  <c r="H2208" i="38"/>
  <c r="I3271" i="38"/>
  <c r="J2207" i="38"/>
  <c r="D3242" i="38"/>
  <c r="H2204" i="38"/>
  <c r="J3561" i="38"/>
  <c r="K2236" i="38"/>
  <c r="F3541" i="38"/>
  <c r="I2234" i="38"/>
  <c r="J3521" i="38"/>
  <c r="K2232" i="38"/>
  <c r="F3501" i="38"/>
  <c r="I2230" i="38"/>
  <c r="J3481" i="38"/>
  <c r="K2228" i="38"/>
  <c r="F3461" i="38"/>
  <c r="I2226" i="38"/>
  <c r="J3441" i="38"/>
  <c r="K2224" i="38"/>
  <c r="F3421" i="38"/>
  <c r="I2222" i="38"/>
  <c r="J3591" i="38"/>
  <c r="K2239" i="38"/>
  <c r="F5551" i="38"/>
  <c r="I2435" i="38"/>
  <c r="D5492" i="38"/>
  <c r="H2429" i="38"/>
  <c r="I5481" i="38"/>
  <c r="J2428" i="38"/>
  <c r="D5452" i="38"/>
  <c r="H2425" i="38"/>
  <c r="I5441" i="38"/>
  <c r="J2424" i="38"/>
  <c r="D5412" i="38"/>
  <c r="H2421" i="38"/>
  <c r="I5401" i="38"/>
  <c r="J2420" i="38"/>
  <c r="D5692" i="38"/>
  <c r="H2449" i="38"/>
  <c r="I5681" i="38"/>
  <c r="J2448" i="38"/>
  <c r="J5611" i="38"/>
  <c r="K2441" i="38"/>
  <c r="F5591" i="38"/>
  <c r="I2439" i="38"/>
  <c r="D5882" i="38"/>
  <c r="H2468" i="38"/>
  <c r="I5871" i="38"/>
  <c r="J2467" i="38"/>
  <c r="J5801" i="38"/>
  <c r="K2460" i="38"/>
  <c r="F5781" i="38"/>
  <c r="I2458" i="38"/>
  <c r="D6072" i="38"/>
  <c r="H2487" i="38"/>
  <c r="I6061" i="38"/>
  <c r="J2486" i="38"/>
  <c r="J5991" i="38"/>
  <c r="K2479" i="38"/>
  <c r="F5971" i="38"/>
  <c r="I2477" i="38"/>
  <c r="D6222" i="38"/>
  <c r="H2502" i="38"/>
  <c r="F6201" i="38"/>
  <c r="I2500" i="38"/>
  <c r="F6161" i="38"/>
  <c r="I2496" i="38"/>
  <c r="I6131" i="38"/>
  <c r="J2493" i="38"/>
  <c r="J6371" i="38"/>
  <c r="K2517" i="38"/>
  <c r="F6351" i="38"/>
  <c r="I2515" i="38"/>
  <c r="D6492" i="38"/>
  <c r="H2529" i="38"/>
  <c r="D6872" i="38"/>
  <c r="H2567" i="38"/>
  <c r="I6861" i="38"/>
  <c r="J2566" i="38"/>
  <c r="J7141" i="38"/>
  <c r="K2594" i="38"/>
  <c r="I7091" i="38"/>
  <c r="J2589" i="38"/>
  <c r="F7041" i="38"/>
  <c r="I2584" i="38"/>
  <c r="F7281" i="38"/>
  <c r="I2608" i="38"/>
  <c r="D3012" i="38"/>
  <c r="H2181" i="38"/>
  <c r="I3001" i="38"/>
  <c r="J2180" i="38"/>
  <c r="D2972" i="38"/>
  <c r="H2177" i="38"/>
  <c r="I2961" i="38"/>
  <c r="J2176" i="38"/>
  <c r="D2932" i="38"/>
  <c r="H2173" i="38"/>
  <c r="I2921" i="38"/>
  <c r="J2172" i="38"/>
  <c r="D2892" i="38"/>
  <c r="H2169" i="38"/>
  <c r="I2881" i="38"/>
  <c r="J2168" i="38"/>
  <c r="D5352" i="38"/>
  <c r="H2415" i="38"/>
  <c r="I5341" i="38"/>
  <c r="J2414" i="38"/>
  <c r="D5312" i="38"/>
  <c r="H2411" i="38"/>
  <c r="I5301" i="38"/>
  <c r="J2410" i="38"/>
  <c r="D5272" i="38"/>
  <c r="H2407" i="38"/>
  <c r="I5261" i="38"/>
  <c r="J2406" i="38"/>
  <c r="D5232" i="38"/>
  <c r="H2403" i="38"/>
  <c r="I5221" i="38"/>
  <c r="J2402" i="38"/>
  <c r="J5541" i="38"/>
  <c r="K2434" i="38"/>
  <c r="F5521" i="38"/>
  <c r="I2432" i="38"/>
  <c r="J5501" i="38"/>
  <c r="K2430" i="38"/>
  <c r="F5481" i="38"/>
  <c r="I2428" i="38"/>
  <c r="J5461" i="38"/>
  <c r="K2426" i="38"/>
  <c r="F5441" i="38"/>
  <c r="I2424" i="38"/>
  <c r="J5421" i="38"/>
  <c r="K2422" i="38"/>
  <c r="F5401" i="38"/>
  <c r="I2420" i="38"/>
  <c r="F5721" i="38"/>
  <c r="I2452" i="38"/>
  <c r="D5662" i="38"/>
  <c r="H2446" i="38"/>
  <c r="I5651" i="38"/>
  <c r="J2445" i="38"/>
  <c r="J5581" i="38"/>
  <c r="K2438" i="38"/>
  <c r="F5911" i="38"/>
  <c r="I2471" i="38"/>
  <c r="D5852" i="38"/>
  <c r="H2465" i="38"/>
  <c r="I5841" i="38"/>
  <c r="J2464" i="38"/>
  <c r="J5771" i="38"/>
  <c r="K2457" i="38"/>
  <c r="J6081" i="38"/>
  <c r="K2488" i="38"/>
  <c r="F6061" i="38"/>
  <c r="I2486" i="38"/>
  <c r="D6002" i="38"/>
  <c r="H2480" i="38"/>
  <c r="I5991" i="38"/>
  <c r="J2479" i="38"/>
  <c r="J6231" i="38"/>
  <c r="K2503" i="38"/>
  <c r="F6211" i="38"/>
  <c r="I2501" i="38"/>
  <c r="D6152" i="38"/>
  <c r="H2495" i="38"/>
  <c r="I6141" i="38"/>
  <c r="J2494" i="38"/>
  <c r="J6421" i="38"/>
  <c r="K2522" i="38"/>
  <c r="F6401" i="38"/>
  <c r="I2520" i="38"/>
  <c r="D6342" i="38"/>
  <c r="H2514" i="38"/>
  <c r="I6331" i="38"/>
  <c r="J2513" i="38"/>
  <c r="I6291" i="38"/>
  <c r="J2509" i="38"/>
  <c r="D6622" i="38"/>
  <c r="H2542" i="38"/>
  <c r="I6611" i="38"/>
  <c r="J2541" i="38"/>
  <c r="J6541" i="38"/>
  <c r="K2534" i="38"/>
  <c r="F6521" i="38"/>
  <c r="I2532" i="38"/>
  <c r="D6772" i="38"/>
  <c r="H2557" i="38"/>
  <c r="I6761" i="38"/>
  <c r="J2556" i="38"/>
  <c r="J6691" i="38"/>
  <c r="K2549" i="38"/>
  <c r="F6671" i="38"/>
  <c r="I2547" i="38"/>
  <c r="J6651" i="38"/>
  <c r="K2545" i="38"/>
  <c r="D6962" i="38"/>
  <c r="H2576" i="38"/>
  <c r="I6951" i="38"/>
  <c r="J2575" i="38"/>
  <c r="J6881" i="38"/>
  <c r="K2568" i="38"/>
  <c r="F6861" i="38"/>
  <c r="I2566" i="38"/>
  <c r="D7152" i="38"/>
  <c r="H2595" i="38"/>
  <c r="I7141" i="38"/>
  <c r="J2594" i="38"/>
  <c r="J7071" i="38"/>
  <c r="K2587" i="38"/>
  <c r="F7051" i="38"/>
  <c r="I2585" i="38"/>
  <c r="F7011" i="38"/>
  <c r="I2581" i="38"/>
  <c r="D7312" i="38"/>
  <c r="H2611" i="38"/>
  <c r="I7301" i="38"/>
  <c r="J2610" i="38"/>
  <c r="J7231" i="38"/>
  <c r="K2603" i="38"/>
  <c r="F7211" i="38"/>
  <c r="I2601" i="38"/>
  <c r="J7191" i="38"/>
  <c r="K2599" i="38"/>
  <c r="D7502" i="38"/>
  <c r="H2630" i="38"/>
  <c r="I7491" i="38"/>
  <c r="J2629" i="38"/>
  <c r="J7421" i="38"/>
  <c r="K2622" i="38"/>
  <c r="F7401" i="38"/>
  <c r="I2620" i="38"/>
  <c r="D7692" i="38"/>
  <c r="H2649" i="38"/>
  <c r="I7681" i="38"/>
  <c r="J2648" i="38"/>
  <c r="J7611" i="38"/>
  <c r="K2641" i="38"/>
  <c r="F7591" i="38"/>
  <c r="I2639" i="38"/>
  <c r="F7551" i="38"/>
  <c r="I2635" i="38"/>
  <c r="D7852" i="38"/>
  <c r="H2665" i="38"/>
  <c r="I7841" i="38"/>
  <c r="J2664" i="38"/>
  <c r="J7771" i="38"/>
  <c r="K2657" i="38"/>
  <c r="F7751" i="38"/>
  <c r="I2655" i="38"/>
  <c r="J7731" i="38"/>
  <c r="K2653" i="38"/>
  <c r="D8042" i="38"/>
  <c r="H2684" i="38"/>
  <c r="I8031" i="38"/>
  <c r="J2683" i="38"/>
  <c r="J7961" i="38"/>
  <c r="K2676" i="38"/>
  <c r="F7941" i="38"/>
  <c r="I2674" i="38"/>
  <c r="J6221" i="38"/>
  <c r="K2502" i="38"/>
  <c r="D6992" i="38"/>
  <c r="H2579" i="38"/>
  <c r="I7211" i="38"/>
  <c r="J2601" i="38"/>
  <c r="F7511" i="38"/>
  <c r="I2631" i="38"/>
  <c r="D7372" i="38"/>
  <c r="H2617" i="38"/>
  <c r="F7701" i="38"/>
  <c r="I2650" i="38"/>
  <c r="I7871" i="38"/>
  <c r="J2667" i="38"/>
  <c r="D7802" i="38"/>
  <c r="H2660" i="38"/>
  <c r="I7751" i="38"/>
  <c r="J2655" i="38"/>
  <c r="I3051" i="38"/>
  <c r="J2185" i="38"/>
  <c r="I3571" i="38"/>
  <c r="J2237" i="38"/>
  <c r="D3542" i="38"/>
  <c r="H2234" i="38"/>
  <c r="I3531" i="38"/>
  <c r="J2233" i="38"/>
  <c r="D3502" i="38"/>
  <c r="H2230" i="38"/>
  <c r="I3491" i="38"/>
  <c r="J2229" i="38"/>
  <c r="D3462" i="38"/>
  <c r="H2226" i="38"/>
  <c r="I3451" i="38"/>
  <c r="J2225" i="38"/>
  <c r="D3422" i="38"/>
  <c r="H2222" i="38"/>
  <c r="D3732" i="38"/>
  <c r="H2253" i="38"/>
  <c r="I3721" i="38"/>
  <c r="J2252" i="38"/>
  <c r="D3692" i="38"/>
  <c r="H2249" i="38"/>
  <c r="I3681" i="38"/>
  <c r="J2248" i="38"/>
  <c r="D3652" i="38"/>
  <c r="H2245" i="38"/>
  <c r="I3641" i="38"/>
  <c r="J2244" i="38"/>
  <c r="D3612" i="38"/>
  <c r="H2241" i="38"/>
  <c r="I3601" i="38"/>
  <c r="J2240" i="38"/>
  <c r="D4112" i="38"/>
  <c r="H2291" i="38"/>
  <c r="I4101" i="38"/>
  <c r="J2290" i="38"/>
  <c r="D4072" i="38"/>
  <c r="H2287" i="38"/>
  <c r="I4061" i="38"/>
  <c r="J2286" i="38"/>
  <c r="D4032" i="38"/>
  <c r="H2283" i="38"/>
  <c r="I4021" i="38"/>
  <c r="J2282" i="38"/>
  <c r="D3992" i="38"/>
  <c r="H2279" i="38"/>
  <c r="I3981" i="38"/>
  <c r="J2278" i="38"/>
  <c r="D3952" i="38"/>
  <c r="H2275" i="38"/>
  <c r="D4272" i="38"/>
  <c r="H2307" i="38"/>
  <c r="I4261" i="38"/>
  <c r="J2306" i="38"/>
  <c r="D4232" i="38"/>
  <c r="H2303" i="38"/>
  <c r="I4221" i="38"/>
  <c r="J2302" i="38"/>
  <c r="D4192" i="38"/>
  <c r="H2299" i="38"/>
  <c r="I4181" i="38"/>
  <c r="J2298" i="38"/>
  <c r="D4152" i="38"/>
  <c r="H2295" i="38"/>
  <c r="I4141" i="38"/>
  <c r="J2294" i="38"/>
  <c r="J4471" i="38"/>
  <c r="K2327" i="38"/>
  <c r="F4451" i="38"/>
  <c r="I2325" i="38"/>
  <c r="J4431" i="38"/>
  <c r="K2323" i="38"/>
  <c r="F4411" i="38"/>
  <c r="I2321" i="38"/>
  <c r="J4391" i="38"/>
  <c r="K2319" i="38"/>
  <c r="F4371" i="38"/>
  <c r="I2317" i="38"/>
  <c r="J4351" i="38"/>
  <c r="K2315" i="38"/>
  <c r="F4331" i="38"/>
  <c r="I2313" i="38"/>
  <c r="F4831" i="38"/>
  <c r="I2363" i="38"/>
  <c r="J4811" i="38"/>
  <c r="K2361" i="38"/>
  <c r="F4791" i="38"/>
  <c r="I2359" i="38"/>
  <c r="J4771" i="38"/>
  <c r="K2357" i="38"/>
  <c r="F4751" i="38"/>
  <c r="I2355" i="38"/>
  <c r="J4731" i="38"/>
  <c r="K2353" i="38"/>
  <c r="F4711" i="38"/>
  <c r="I2351" i="38"/>
  <c r="J4691" i="38"/>
  <c r="K2349" i="38"/>
  <c r="D5002" i="38"/>
  <c r="H2380" i="38"/>
  <c r="I4991" i="38"/>
  <c r="J2379" i="38"/>
  <c r="D4962" i="38"/>
  <c r="H2376" i="38"/>
  <c r="I4951" i="38"/>
  <c r="J2375" i="38"/>
  <c r="D4922" i="38"/>
  <c r="H2372" i="38"/>
  <c r="I4911" i="38"/>
  <c r="J2371" i="38"/>
  <c r="D4882" i="38"/>
  <c r="H2368" i="38"/>
  <c r="I4871" i="38"/>
  <c r="J2367" i="38"/>
  <c r="I5191" i="38"/>
  <c r="J2399" i="38"/>
  <c r="D5162" i="38"/>
  <c r="H2396" i="38"/>
  <c r="I5151" i="38"/>
  <c r="J2395" i="38"/>
  <c r="D5122" i="38"/>
  <c r="H2392" i="38"/>
  <c r="I5111" i="38"/>
  <c r="J2391" i="38"/>
  <c r="D5082" i="38"/>
  <c r="H2388" i="38"/>
  <c r="I5071" i="38"/>
  <c r="J2387" i="38"/>
  <c r="D5042" i="38"/>
  <c r="H2384" i="38"/>
  <c r="J5361" i="38"/>
  <c r="K2416" i="38"/>
  <c r="F5341" i="38"/>
  <c r="I2414" i="38"/>
  <c r="J5321" i="38"/>
  <c r="K2412" i="38"/>
  <c r="F5301" i="38"/>
  <c r="I2410" i="38"/>
  <c r="J5281" i="38"/>
  <c r="K2408" i="38"/>
  <c r="F5261" i="38"/>
  <c r="I2406" i="38"/>
  <c r="J5241" i="38"/>
  <c r="K2404" i="38"/>
  <c r="F5221" i="38"/>
  <c r="I2402" i="38"/>
  <c r="D5512" i="38"/>
  <c r="H2431" i="38"/>
  <c r="I5501" i="38"/>
  <c r="J2430" i="38"/>
  <c r="D5472" i="38"/>
  <c r="H2427" i="38"/>
  <c r="I5461" i="38"/>
  <c r="J2426" i="38"/>
  <c r="D5432" i="38"/>
  <c r="H2423" i="38"/>
  <c r="I5421" i="38"/>
  <c r="J2422" i="38"/>
  <c r="D5392" i="38"/>
  <c r="H2419" i="38"/>
  <c r="J5711" i="38"/>
  <c r="K2451" i="38"/>
  <c r="F5691" i="38"/>
  <c r="I2449" i="38"/>
  <c r="D5632" i="38"/>
  <c r="H2443" i="38"/>
  <c r="I5621" i="38"/>
  <c r="J2442" i="38"/>
  <c r="J5861" i="38"/>
  <c r="K2466" i="38"/>
  <c r="F5841" i="38"/>
  <c r="I2464" i="38"/>
  <c r="D5782" i="38"/>
  <c r="H2458" i="38"/>
  <c r="I5771" i="38"/>
  <c r="J2457" i="38"/>
  <c r="D6092" i="38"/>
  <c r="H2489" i="38"/>
  <c r="I6081" i="38"/>
  <c r="J2488" i="38"/>
  <c r="J6011" i="38"/>
  <c r="K2481" i="38"/>
  <c r="F5991" i="38"/>
  <c r="I2479" i="38"/>
  <c r="D5932" i="38"/>
  <c r="H2473" i="38"/>
  <c r="I6271" i="38"/>
  <c r="J2507" i="38"/>
  <c r="J6201" i="38"/>
  <c r="K2500" i="38"/>
  <c r="F6181" i="38"/>
  <c r="I2498" i="38"/>
  <c r="D6122" i="38"/>
  <c r="H2492" i="38"/>
  <c r="J6391" i="38"/>
  <c r="K2519" i="38"/>
  <c r="F6371" i="38"/>
  <c r="I2517" i="38"/>
  <c r="D6312" i="38"/>
  <c r="H2511" i="38"/>
  <c r="I6301" i="38"/>
  <c r="J2510" i="38"/>
  <c r="D6632" i="38"/>
  <c r="H2543" i="38"/>
  <c r="I6621" i="38"/>
  <c r="J2542" i="38"/>
  <c r="J6551" i="38"/>
  <c r="K2535" i="38"/>
  <c r="F6531" i="38"/>
  <c r="I2533" i="38"/>
  <c r="D6472" i="38"/>
  <c r="H2527" i="38"/>
  <c r="I6811" i="38"/>
  <c r="J2561" i="38"/>
  <c r="J6741" i="38"/>
  <c r="K2554" i="38"/>
  <c r="F6721" i="38"/>
  <c r="I2552" i="38"/>
  <c r="D6662" i="38"/>
  <c r="H2546" i="38"/>
  <c r="J6931" i="38"/>
  <c r="K2573" i="38"/>
  <c r="F6911" i="38"/>
  <c r="I2571" i="38"/>
  <c r="D6852" i="38"/>
  <c r="H2565" i="38"/>
  <c r="I6841" i="38"/>
  <c r="J2564" i="38"/>
  <c r="D7162" i="38"/>
  <c r="H2596" i="38"/>
  <c r="I7151" i="38"/>
  <c r="J2595" i="38"/>
  <c r="J7081" i="38"/>
  <c r="K2588" i="38"/>
  <c r="F7061" i="38"/>
  <c r="I2586" i="38"/>
  <c r="F7341" i="38"/>
  <c r="I2614" i="38"/>
  <c r="D7282" i="38"/>
  <c r="H2608" i="38"/>
  <c r="I7271" i="38"/>
  <c r="J2607" i="38"/>
  <c r="J7201" i="38"/>
  <c r="K2600" i="38"/>
  <c r="F7531" i="38"/>
  <c r="I2633" i="38"/>
  <c r="D7472" i="38"/>
  <c r="H2627" i="38"/>
  <c r="I7461" i="38"/>
  <c r="J2626" i="38"/>
  <c r="J7391" i="38"/>
  <c r="K2619" i="38"/>
  <c r="J7701" i="38"/>
  <c r="K2650" i="38"/>
  <c r="F7681" i="38"/>
  <c r="I2648" i="38"/>
  <c r="D7622" i="38"/>
  <c r="H2642" i="38"/>
  <c r="I7611" i="38"/>
  <c r="J2641" i="38"/>
  <c r="I7891" i="38"/>
  <c r="J2669" i="38"/>
  <c r="J7821" i="38"/>
  <c r="K2662" i="38"/>
  <c r="F7801" i="38"/>
  <c r="I2660" i="38"/>
  <c r="D7742" i="38"/>
  <c r="H2654" i="38"/>
  <c r="J8011" i="38"/>
  <c r="K2681" i="38"/>
  <c r="F7991" i="38"/>
  <c r="I2679" i="38"/>
  <c r="D7932" i="38"/>
  <c r="H2673" i="38"/>
  <c r="I7921" i="38"/>
  <c r="J2672" i="38"/>
  <c r="D6182" i="38"/>
  <c r="H2498" i="38"/>
  <c r="F6431" i="38"/>
  <c r="I2523" i="38"/>
  <c r="F6311" i="38"/>
  <c r="I2511" i="38"/>
  <c r="F6591" i="38"/>
  <c r="I2539" i="38"/>
  <c r="D6762" i="38"/>
  <c r="H2556" i="38"/>
  <c r="D6952" i="38"/>
  <c r="H2575" i="38"/>
  <c r="F6851" i="38"/>
  <c r="I2565" i="38"/>
  <c r="I7131" i="38"/>
  <c r="J2593" i="38"/>
  <c r="F7201" i="38"/>
  <c r="I2600" i="38"/>
  <c r="F7431" i="38"/>
  <c r="I2623" i="38"/>
  <c r="D8072" i="38"/>
  <c r="H2687" i="38"/>
  <c r="I7981" i="38"/>
  <c r="J2678" i="38"/>
  <c r="J7951" i="38"/>
  <c r="K2675" i="38"/>
  <c r="F3051" i="38"/>
  <c r="I2185" i="38"/>
  <c r="J3391" i="38"/>
  <c r="K2219" i="38"/>
  <c r="F3371" i="38"/>
  <c r="I2217" i="38"/>
  <c r="J3351" i="38"/>
  <c r="K2215" i="38"/>
  <c r="F3331" i="38"/>
  <c r="I2213" i="38"/>
  <c r="J3311" i="38"/>
  <c r="K2211" i="38"/>
  <c r="F3291" i="38"/>
  <c r="I2209" i="38"/>
  <c r="J3271" i="38"/>
  <c r="K2207" i="38"/>
  <c r="F3251" i="38"/>
  <c r="I2205" i="38"/>
  <c r="D3552" i="38"/>
  <c r="H2235" i="38"/>
  <c r="I3541" i="38"/>
  <c r="J2234" i="38"/>
  <c r="D3512" i="38"/>
  <c r="H2231" i="38"/>
  <c r="I3501" i="38"/>
  <c r="J2230" i="38"/>
  <c r="D3472" i="38"/>
  <c r="H2227" i="38"/>
  <c r="I3461" i="38"/>
  <c r="J2226" i="38"/>
  <c r="D3432" i="38"/>
  <c r="H2223" i="38"/>
  <c r="I3421" i="38"/>
  <c r="J2222" i="38"/>
  <c r="D3932" i="38"/>
  <c r="H2273" i="38"/>
  <c r="I3921" i="38"/>
  <c r="J2272" i="38"/>
  <c r="D3892" i="38"/>
  <c r="H2269" i="38"/>
  <c r="I3881" i="38"/>
  <c r="J2268" i="38"/>
  <c r="D3852" i="38"/>
  <c r="H2265" i="38"/>
  <c r="I3841" i="38"/>
  <c r="J2264" i="38"/>
  <c r="D3812" i="38"/>
  <c r="H2261" i="38"/>
  <c r="I3801" i="38"/>
  <c r="J2260" i="38"/>
  <c r="D3772" i="38"/>
  <c r="H2257" i="38"/>
  <c r="I4111" i="38"/>
  <c r="J2291" i="38"/>
  <c r="D4082" i="38"/>
  <c r="H2288" i="38"/>
  <c r="I4071" i="38"/>
  <c r="J2287" i="38"/>
  <c r="D4042" i="38"/>
  <c r="H2284" i="38"/>
  <c r="I4031" i="38"/>
  <c r="J2283" i="38"/>
  <c r="D4002" i="38"/>
  <c r="H2280" i="38"/>
  <c r="I3991" i="38"/>
  <c r="J2279" i="38"/>
  <c r="D3962" i="38"/>
  <c r="H2276" i="38"/>
  <c r="D4282" i="38"/>
  <c r="H2308" i="38"/>
  <c r="I4271" i="38"/>
  <c r="J2307" i="38"/>
  <c r="D4242" i="38"/>
  <c r="H2304" i="38"/>
  <c r="I4231" i="38"/>
  <c r="J2303" i="38"/>
  <c r="D4202" i="38"/>
  <c r="H2300" i="38"/>
  <c r="I4191" i="38"/>
  <c r="J2299" i="38"/>
  <c r="D4162" i="38"/>
  <c r="H2296" i="38"/>
  <c r="I4151" i="38"/>
  <c r="J2295" i="38"/>
  <c r="I4311" i="38"/>
  <c r="J2311" i="38"/>
  <c r="D5012" i="38"/>
  <c r="H2381" i="38"/>
  <c r="I5001" i="38"/>
  <c r="J2380" i="38"/>
  <c r="D4972" i="38"/>
  <c r="H2377" i="38"/>
  <c r="I4961" i="38"/>
  <c r="J2376" i="38"/>
  <c r="D4932" i="38"/>
  <c r="H2373" i="38"/>
  <c r="I4921" i="38"/>
  <c r="J2372" i="38"/>
  <c r="D4892" i="38"/>
  <c r="H2369" i="38"/>
  <c r="I4881" i="38"/>
  <c r="J2368" i="38"/>
  <c r="D4852" i="38"/>
  <c r="H2365" i="38"/>
  <c r="F5191" i="38"/>
  <c r="I2399" i="38"/>
  <c r="J5171" i="38"/>
  <c r="K2397" i="38"/>
  <c r="F5151" i="38"/>
  <c r="I2395" i="38"/>
  <c r="J5131" i="38"/>
  <c r="K2393" i="38"/>
  <c r="F5111" i="38"/>
  <c r="I2391" i="38"/>
  <c r="J5091" i="38"/>
  <c r="K2389" i="38"/>
  <c r="F5071" i="38"/>
  <c r="I2387" i="38"/>
  <c r="J5051" i="38"/>
  <c r="K2385" i="38"/>
  <c r="I5551" i="38"/>
  <c r="J2435" i="38"/>
  <c r="D5522" i="38"/>
  <c r="H2432" i="38"/>
  <c r="I5511" i="38"/>
  <c r="J2431" i="38"/>
  <c r="D5482" i="38"/>
  <c r="H2428" i="38"/>
  <c r="I5471" i="38"/>
  <c r="J2427" i="38"/>
  <c r="D5442" i="38"/>
  <c r="H2424" i="38"/>
  <c r="I5431" i="38"/>
  <c r="J2423" i="38"/>
  <c r="D5402" i="38"/>
  <c r="H2420" i="38"/>
  <c r="D5682" i="38"/>
  <c r="H2448" i="38"/>
  <c r="I5671" i="38"/>
  <c r="J2447" i="38"/>
  <c r="J5601" i="38"/>
  <c r="K2440" i="38"/>
  <c r="F5581" i="38"/>
  <c r="I2438" i="38"/>
  <c r="D5912" i="38"/>
  <c r="H2471" i="38"/>
  <c r="I5901" i="38"/>
  <c r="J2470" i="38"/>
  <c r="J5831" i="38"/>
  <c r="K2463" i="38"/>
  <c r="F5811" i="38"/>
  <c r="I2461" i="38"/>
  <c r="D5752" i="38"/>
  <c r="H2455" i="38"/>
  <c r="I6091" i="38"/>
  <c r="J2489" i="38"/>
  <c r="J6021" i="38"/>
  <c r="K2482" i="38"/>
  <c r="F6001" i="38"/>
  <c r="I2480" i="38"/>
  <c r="D5942" i="38"/>
  <c r="H2474" i="38"/>
  <c r="J6211" i="38"/>
  <c r="K2501" i="38"/>
  <c r="F6191" i="38"/>
  <c r="I2499" i="38"/>
  <c r="D6132" i="38"/>
  <c r="H2493" i="38"/>
  <c r="I6121" i="38"/>
  <c r="J2492" i="38"/>
  <c r="D6442" i="38"/>
  <c r="H2524" i="38"/>
  <c r="I6431" i="38"/>
  <c r="J2523" i="38"/>
  <c r="J6361" i="38"/>
  <c r="K2516" i="38"/>
  <c r="F6341" i="38"/>
  <c r="I2514" i="38"/>
  <c r="F6621" i="38"/>
  <c r="I2542" i="38"/>
  <c r="D6562" i="38"/>
  <c r="H2536" i="38"/>
  <c r="I6551" i="38"/>
  <c r="J2535" i="38"/>
  <c r="J6481" i="38"/>
  <c r="K2528" i="38"/>
  <c r="F6811" i="38"/>
  <c r="I2561" i="38"/>
  <c r="D6752" i="38"/>
  <c r="H2555" i="38"/>
  <c r="I6741" i="38"/>
  <c r="J2554" i="38"/>
  <c r="J6671" i="38"/>
  <c r="K2547" i="38"/>
  <c r="J6981" i="38"/>
  <c r="K2578" i="38"/>
  <c r="F6961" i="38"/>
  <c r="I2576" i="38"/>
  <c r="D6902" i="38"/>
  <c r="H2570" i="38"/>
  <c r="I6891" i="38"/>
  <c r="J2569" i="38"/>
  <c r="J7131" i="38"/>
  <c r="K2593" i="38"/>
  <c r="F7111" i="38"/>
  <c r="I2591" i="38"/>
  <c r="D7052" i="38"/>
  <c r="H2585" i="38"/>
  <c r="I7041" i="38"/>
  <c r="J2584" i="38"/>
  <c r="D7332" i="38"/>
  <c r="H2613" i="38"/>
  <c r="I7321" i="38"/>
  <c r="J2612" i="38"/>
  <c r="J7251" i="38"/>
  <c r="K2605" i="38"/>
  <c r="F7231" i="38"/>
  <c r="I2603" i="38"/>
  <c r="F7191" i="38"/>
  <c r="I2599" i="38"/>
  <c r="D7482" i="38"/>
  <c r="H2628" i="38"/>
  <c r="I7471" i="38"/>
  <c r="J2627" i="38"/>
  <c r="J7401" i="38"/>
  <c r="K2620" i="38"/>
  <c r="F7381" i="38"/>
  <c r="I2618" i="38"/>
  <c r="J7711" i="38"/>
  <c r="K2651" i="38"/>
  <c r="F7691" i="38"/>
  <c r="I2649" i="38"/>
  <c r="D7632" i="38"/>
  <c r="H2643" i="38"/>
  <c r="I7621" i="38"/>
  <c r="J2642" i="38"/>
  <c r="J7831" i="38"/>
  <c r="K2663" i="38"/>
  <c r="F7811" i="38"/>
  <c r="I2661" i="38"/>
  <c r="D7752" i="38"/>
  <c r="H2655" i="38"/>
  <c r="I7741" i="38"/>
  <c r="J2654" i="38"/>
  <c r="D8062" i="38"/>
  <c r="H2686" i="38"/>
  <c r="I8051" i="38"/>
  <c r="J2685" i="38"/>
  <c r="J7981" i="38"/>
  <c r="K2678" i="38"/>
  <c r="F7961" i="38"/>
  <c r="I2676" i="38"/>
  <c r="F6391" i="38"/>
  <c r="I2519" i="38"/>
  <c r="J6331" i="38"/>
  <c r="K2513" i="38"/>
  <c r="I6601" i="38"/>
  <c r="J2540" i="38"/>
  <c r="D6832" i="38"/>
  <c r="H2563" i="38"/>
  <c r="D7062" i="38"/>
  <c r="H2586" i="38"/>
  <c r="I7291" i="38"/>
  <c r="J2609" i="38"/>
  <c r="I7521" i="38"/>
  <c r="J2632" i="38"/>
  <c r="F7661" i="38"/>
  <c r="I2646" i="38"/>
  <c r="F8051" i="38"/>
  <c r="I2685" i="38"/>
  <c r="F8063" i="38"/>
  <c r="L2686" i="38"/>
  <c r="F8023" i="38"/>
  <c r="L2682" i="38"/>
  <c r="F7983" i="38"/>
  <c r="L2678" i="38"/>
  <c r="F7943" i="38"/>
  <c r="L2674" i="38"/>
  <c r="F7863" i="38"/>
  <c r="L2666" i="38"/>
  <c r="F7823" i="38"/>
  <c r="L2662" i="38"/>
  <c r="F7783" i="38"/>
  <c r="L2658" i="38"/>
  <c r="F7743" i="38"/>
  <c r="L2654" i="38"/>
  <c r="F7703" i="38"/>
  <c r="L2650" i="38"/>
  <c r="F7663" i="38"/>
  <c r="L2646" i="38"/>
  <c r="F7623" i="38"/>
  <c r="L2642" i="38"/>
  <c r="F7583" i="38"/>
  <c r="L2638" i="38"/>
  <c r="F7533" i="38"/>
  <c r="L2633" i="38"/>
  <c r="F7493" i="38"/>
  <c r="L2629" i="38"/>
  <c r="F7453" i="38"/>
  <c r="L2625" i="38"/>
  <c r="F7413" i="38"/>
  <c r="L2621" i="38"/>
  <c r="F7373" i="38"/>
  <c r="L2617" i="38"/>
  <c r="F7323" i="38"/>
  <c r="L2612" i="38"/>
  <c r="F7283" i="38"/>
  <c r="L2608" i="38"/>
  <c r="F7243" i="38"/>
  <c r="L2604" i="38"/>
  <c r="F7203" i="38"/>
  <c r="L2600" i="38"/>
  <c r="F7163" i="38"/>
  <c r="L2596" i="38"/>
  <c r="F7123" i="38"/>
  <c r="L2592" i="38"/>
  <c r="F7083" i="38"/>
  <c r="L2588" i="38"/>
  <c r="F7043" i="38"/>
  <c r="L2584" i="38"/>
  <c r="F6963" i="38"/>
  <c r="L2576" i="38"/>
  <c r="F6923" i="38"/>
  <c r="L2572" i="38"/>
  <c r="F6883" i="38"/>
  <c r="L2568" i="38"/>
  <c r="F6843" i="38"/>
  <c r="L2564" i="38"/>
  <c r="F6793" i="38"/>
  <c r="L2559" i="38"/>
  <c r="F6753" i="38"/>
  <c r="L2555" i="38"/>
  <c r="F6713" i="38"/>
  <c r="L2551" i="38"/>
  <c r="F6673" i="38"/>
  <c r="L2547" i="38"/>
  <c r="F6623" i="38"/>
  <c r="L2542" i="38"/>
  <c r="F6583" i="38"/>
  <c r="L2538" i="38"/>
  <c r="F6543" i="38"/>
  <c r="L2534" i="38"/>
  <c r="F6503" i="38"/>
  <c r="L2530" i="38"/>
  <c r="F6423" i="38"/>
  <c r="L2522" i="38"/>
  <c r="F6383" i="38"/>
  <c r="L2518" i="38"/>
  <c r="F6343" i="38"/>
  <c r="L2514" i="38"/>
  <c r="F6303" i="38"/>
  <c r="L2510" i="38"/>
  <c r="F6263" i="38"/>
  <c r="L2506" i="38"/>
  <c r="F6223" i="38"/>
  <c r="L2502" i="38"/>
  <c r="F6183" i="38"/>
  <c r="L2498" i="38"/>
  <c r="F6143" i="38"/>
  <c r="L2494" i="38"/>
  <c r="F6093" i="38"/>
  <c r="L2489" i="38"/>
  <c r="F6053" i="38"/>
  <c r="L2485" i="38"/>
  <c r="F6013" i="38"/>
  <c r="L2481" i="38"/>
  <c r="F5973" i="38"/>
  <c r="L2477" i="38"/>
  <c r="F5933" i="38"/>
  <c r="L2473" i="38"/>
  <c r="F5883" i="38"/>
  <c r="L2468" i="38"/>
  <c r="F5843" i="38"/>
  <c r="L2464" i="38"/>
  <c r="F5803" i="38"/>
  <c r="L2460" i="38"/>
  <c r="F5763" i="38"/>
  <c r="L2456" i="38"/>
  <c r="F5723" i="38"/>
  <c r="L2452" i="38"/>
  <c r="F5683" i="38"/>
  <c r="L2448" i="38"/>
  <c r="F5643" i="38"/>
  <c r="L2444" i="38"/>
  <c r="F5603" i="38"/>
  <c r="L2440" i="38"/>
  <c r="F5553" i="38"/>
  <c r="L2435" i="38"/>
  <c r="F5513" i="38"/>
  <c r="L2431" i="38"/>
  <c r="F5473" i="38"/>
  <c r="L2427" i="38"/>
  <c r="F5433" i="38"/>
  <c r="L2423" i="38"/>
  <c r="F5393" i="38"/>
  <c r="L2419" i="38"/>
  <c r="F5353" i="38"/>
  <c r="L2415" i="38"/>
  <c r="F5313" i="38"/>
  <c r="L2411" i="38"/>
  <c r="F5273" i="38"/>
  <c r="L2407" i="38"/>
  <c r="F5233" i="38"/>
  <c r="L2403" i="38"/>
  <c r="F5193" i="38"/>
  <c r="L2399" i="38"/>
  <c r="F5153" i="38"/>
  <c r="L2395" i="38"/>
  <c r="F5113" i="38"/>
  <c r="L2391" i="38"/>
  <c r="F5073" i="38"/>
  <c r="L2387" i="38"/>
  <c r="F5033" i="38"/>
  <c r="L2383" i="38"/>
  <c r="F4983" i="38"/>
  <c r="L2378" i="38"/>
  <c r="F4943" i="38"/>
  <c r="L2374" i="38"/>
  <c r="F4903" i="38"/>
  <c r="L2370" i="38"/>
  <c r="F4863" i="38"/>
  <c r="L2366" i="38"/>
  <c r="F4823" i="38"/>
  <c r="L2362" i="38"/>
  <c r="F4783" i="38"/>
  <c r="L2358" i="38"/>
  <c r="F4743" i="38"/>
  <c r="L2354" i="38"/>
  <c r="F4703" i="38"/>
  <c r="L2350" i="38"/>
  <c r="F4443" i="38"/>
  <c r="L2324" i="38"/>
  <c r="F4403" i="38"/>
  <c r="L2320" i="38"/>
  <c r="F4363" i="38"/>
  <c r="L2316" i="38"/>
  <c r="F4323" i="38"/>
  <c r="L2312" i="38"/>
  <c r="F4283" i="38"/>
  <c r="L2308" i="38"/>
  <c r="F4243" i="38"/>
  <c r="L2304" i="38"/>
  <c r="F4203" i="38"/>
  <c r="L2300" i="38"/>
  <c r="F4163" i="38"/>
  <c r="L2296" i="38"/>
  <c r="F4083" i="38"/>
  <c r="L2288" i="38"/>
  <c r="F4043" i="38"/>
  <c r="L2284" i="38"/>
  <c r="F4003" i="38"/>
  <c r="L2280" i="38"/>
  <c r="F3963" i="38"/>
  <c r="L2276" i="38"/>
  <c r="F3923" i="38"/>
  <c r="L2272" i="38"/>
  <c r="F3883" i="38"/>
  <c r="L2268" i="38"/>
  <c r="F3843" i="38"/>
  <c r="L2264" i="38"/>
  <c r="F3803" i="38"/>
  <c r="L2260" i="38"/>
  <c r="F3723" i="38"/>
  <c r="L2252" i="38"/>
  <c r="F3683" i="38"/>
  <c r="L2248" i="38"/>
  <c r="F3643" i="38"/>
  <c r="L2244" i="38"/>
  <c r="F3603" i="38"/>
  <c r="L2240" i="38"/>
  <c r="F3563" i="38"/>
  <c r="L2236" i="38"/>
  <c r="F3523" i="38"/>
  <c r="L2232" i="38"/>
  <c r="F3483" i="38"/>
  <c r="L2228" i="38"/>
  <c r="F3443" i="38"/>
  <c r="L2224" i="38"/>
  <c r="F3363" i="38"/>
  <c r="L2216" i="38"/>
  <c r="F3323" i="38"/>
  <c r="L2212" i="38"/>
  <c r="F3283" i="38"/>
  <c r="L2208" i="38"/>
  <c r="F3243" i="38"/>
  <c r="L2204" i="38"/>
  <c r="F3193" i="38"/>
  <c r="L2199" i="38"/>
  <c r="F3153" i="38"/>
  <c r="L2195" i="38"/>
  <c r="F3113" i="38"/>
  <c r="L2191" i="38"/>
  <c r="F3073" i="38"/>
  <c r="L2187" i="38"/>
  <c r="F3023" i="38"/>
  <c r="L2182" i="38"/>
  <c r="F2983" i="38"/>
  <c r="L2178" i="38"/>
  <c r="F2943" i="38"/>
  <c r="L2174" i="38"/>
  <c r="F2903" i="38"/>
  <c r="L2170" i="38"/>
  <c r="I3031" i="38"/>
  <c r="J2183" i="38"/>
  <c r="D3002" i="38"/>
  <c r="H2180" i="38"/>
  <c r="I2991" i="38"/>
  <c r="J2179" i="38"/>
  <c r="D2962" i="38"/>
  <c r="H2176" i="38"/>
  <c r="I2951" i="38"/>
  <c r="J2175" i="38"/>
  <c r="D2922" i="38"/>
  <c r="H2172" i="38"/>
  <c r="I2911" i="38"/>
  <c r="J2171" i="38"/>
  <c r="D2882" i="38"/>
  <c r="H2168" i="38"/>
  <c r="J3201" i="38"/>
  <c r="K2200" i="38"/>
  <c r="F3181" i="38"/>
  <c r="I2198" i="38"/>
  <c r="J3161" i="38"/>
  <c r="K2196" i="38"/>
  <c r="F3141" i="38"/>
  <c r="I2194" i="38"/>
  <c r="J3121" i="38"/>
  <c r="K2192" i="38"/>
  <c r="F3101" i="38"/>
  <c r="I2190" i="38"/>
  <c r="J3081" i="38"/>
  <c r="K2188" i="38"/>
  <c r="F3061" i="38"/>
  <c r="I2186" i="38"/>
  <c r="J3751" i="38"/>
  <c r="K2255" i="38"/>
  <c r="F3731" i="38"/>
  <c r="I2253" i="38"/>
  <c r="J3711" i="38"/>
  <c r="K2251" i="38"/>
  <c r="F3691" i="38"/>
  <c r="I2249" i="38"/>
  <c r="J3671" i="38"/>
  <c r="K2247" i="38"/>
  <c r="F3651" i="38"/>
  <c r="I2245" i="38"/>
  <c r="J3631" i="38"/>
  <c r="K2243" i="38"/>
  <c r="F3611" i="38"/>
  <c r="I2241" i="38"/>
  <c r="F3921" i="38"/>
  <c r="I2272" i="38"/>
  <c r="J3901" i="38"/>
  <c r="K2270" i="38"/>
  <c r="F3881" i="38"/>
  <c r="I2268" i="38"/>
  <c r="J3861" i="38"/>
  <c r="K2266" i="38"/>
  <c r="F3841" i="38"/>
  <c r="I2264" i="38"/>
  <c r="J3821" i="38"/>
  <c r="K2262" i="38"/>
  <c r="F3801" i="38"/>
  <c r="I2260" i="38"/>
  <c r="J3781" i="38"/>
  <c r="K2258" i="38"/>
  <c r="F4111" i="38"/>
  <c r="I2291" i="38"/>
  <c r="J4091" i="38"/>
  <c r="K2289" i="38"/>
  <c r="F4071" i="38"/>
  <c r="I2287" i="38"/>
  <c r="J4051" i="38"/>
  <c r="K2285" i="38"/>
  <c r="F4031" i="38"/>
  <c r="I2283" i="38"/>
  <c r="J4011" i="38"/>
  <c r="K2281" i="38"/>
  <c r="F3991" i="38"/>
  <c r="I2279" i="38"/>
  <c r="J3971" i="38"/>
  <c r="K2277" i="38"/>
  <c r="D4292" i="38"/>
  <c r="H2309" i="38"/>
  <c r="I4281" i="38"/>
  <c r="J2308" i="38"/>
  <c r="D4252" i="38"/>
  <c r="H2305" i="38"/>
  <c r="I4241" i="38"/>
  <c r="J2304" i="38"/>
  <c r="D4212" i="38"/>
  <c r="H2301" i="38"/>
  <c r="I4201" i="38"/>
  <c r="J2300" i="38"/>
  <c r="D4172" i="38"/>
  <c r="H2297" i="38"/>
  <c r="I4161" i="38"/>
  <c r="J2296" i="38"/>
  <c r="D4132" i="38"/>
  <c r="H2293" i="38"/>
  <c r="D4452" i="38"/>
  <c r="H2325" i="38"/>
  <c r="I4441" i="38"/>
  <c r="J2324" i="38"/>
  <c r="D4412" i="38"/>
  <c r="H2321" i="38"/>
  <c r="I4401" i="38"/>
  <c r="J2320" i="38"/>
  <c r="D4372" i="38"/>
  <c r="H2317" i="38"/>
  <c r="I4361" i="38"/>
  <c r="J2316" i="38"/>
  <c r="D4332" i="38"/>
  <c r="H2313" i="38"/>
  <c r="I4321" i="38"/>
  <c r="J2312" i="38"/>
  <c r="J4831" i="38"/>
  <c r="K2363" i="38"/>
  <c r="F4811" i="38"/>
  <c r="I2361" i="38"/>
  <c r="J4791" i="38"/>
  <c r="K2359" i="38"/>
  <c r="F4771" i="38"/>
  <c r="I2357" i="38"/>
  <c r="J4751" i="38"/>
  <c r="K2355" i="38"/>
  <c r="F4731" i="38"/>
  <c r="I2353" i="38"/>
  <c r="J4711" i="38"/>
  <c r="K2351" i="38"/>
  <c r="F4691" i="38"/>
  <c r="I2349" i="38"/>
  <c r="I5011" i="38"/>
  <c r="J2381" i="38"/>
  <c r="D4982" i="38"/>
  <c r="H2378" i="38"/>
  <c r="I4971" i="38"/>
  <c r="J2377" i="38"/>
  <c r="D4942" i="38"/>
  <c r="H2374" i="38"/>
  <c r="I4931" i="38"/>
  <c r="J2373" i="38"/>
  <c r="D4902" i="38"/>
  <c r="H2370" i="38"/>
  <c r="I4891" i="38"/>
  <c r="J2369" i="38"/>
  <c r="D4862" i="38"/>
  <c r="H2366" i="38"/>
  <c r="D5182" i="38"/>
  <c r="H2398" i="38"/>
  <c r="I5171" i="38"/>
  <c r="J2397" i="38"/>
  <c r="D5142" i="38"/>
  <c r="H2394" i="38"/>
  <c r="I5131" i="38"/>
  <c r="J2393" i="38"/>
  <c r="D5102" i="38"/>
  <c r="H2390" i="38"/>
  <c r="I5091" i="38"/>
  <c r="J2389" i="38"/>
  <c r="D5062" i="38"/>
  <c r="H2386" i="38"/>
  <c r="I5051" i="38"/>
  <c r="J2385" i="38"/>
  <c r="I5371" i="38"/>
  <c r="J2417" i="38"/>
  <c r="D5342" i="38"/>
  <c r="H2414" i="38"/>
  <c r="I5331" i="38"/>
  <c r="J2413" i="38"/>
  <c r="D5302" i="38"/>
  <c r="H2410" i="38"/>
  <c r="I5291" i="38"/>
  <c r="J2409" i="38"/>
  <c r="D5262" i="38"/>
  <c r="H2406" i="38"/>
  <c r="I5251" i="38"/>
  <c r="J2405" i="38"/>
  <c r="D5222" i="38"/>
  <c r="H2402" i="38"/>
  <c r="J5531" i="38"/>
  <c r="K2433" i="38"/>
  <c r="F5511" i="38"/>
  <c r="I2431" i="38"/>
  <c r="J5731" i="38"/>
  <c r="K2453" i="38"/>
  <c r="F5711" i="38"/>
  <c r="I2451" i="38"/>
  <c r="D5652" i="38"/>
  <c r="H2445" i="38"/>
  <c r="I5641" i="38"/>
  <c r="J2444" i="38"/>
  <c r="F5901" i="38"/>
  <c r="I2470" i="38"/>
  <c r="D5842" i="38"/>
  <c r="H2464" i="38"/>
  <c r="I5831" i="38"/>
  <c r="J2463" i="38"/>
  <c r="J5761" i="38"/>
  <c r="K2456" i="38"/>
  <c r="F6091" i="38"/>
  <c r="I2489" i="38"/>
  <c r="D6032" i="38"/>
  <c r="H2483" i="38"/>
  <c r="I6021" i="38"/>
  <c r="J2482" i="38"/>
  <c r="J5951" i="38"/>
  <c r="K2475" i="38"/>
  <c r="F6241" i="38"/>
  <c r="I2504" i="38"/>
  <c r="D6292" i="38"/>
  <c r="H2509" i="38"/>
  <c r="J6531" i="38"/>
  <c r="K2533" i="38"/>
  <c r="D6682" i="38"/>
  <c r="H2548" i="38"/>
  <c r="J6991" i="38"/>
  <c r="K2579" i="38"/>
  <c r="I6941" i="38"/>
  <c r="J2574" i="38"/>
  <c r="F6891" i="38"/>
  <c r="I2569" i="38"/>
  <c r="J7221" i="38"/>
  <c r="K2602" i="38"/>
  <c r="D7492" i="38"/>
  <c r="H2629" i="38"/>
  <c r="I7441" i="38"/>
  <c r="J2624" i="38"/>
  <c r="F7621" i="38"/>
  <c r="I2642" i="38"/>
  <c r="I7831" i="38"/>
  <c r="J2663" i="38"/>
  <c r="J7801" i="38"/>
  <c r="K2660" i="38"/>
  <c r="F2871" i="38"/>
  <c r="I2167" i="38"/>
  <c r="J3211" i="38"/>
  <c r="K2201" i="38"/>
  <c r="F3191" i="38"/>
  <c r="I2199" i="38"/>
  <c r="J3171" i="38"/>
  <c r="K2197" i="38"/>
  <c r="F3151" i="38"/>
  <c r="I2195" i="38"/>
  <c r="J3131" i="38"/>
  <c r="K2193" i="38"/>
  <c r="F3111" i="38"/>
  <c r="I2191" i="38"/>
  <c r="J3091" i="38"/>
  <c r="K2189" i="38"/>
  <c r="F3071" i="38"/>
  <c r="I2187" i="38"/>
  <c r="F3391" i="38"/>
  <c r="I2219" i="38"/>
  <c r="J3371" i="38"/>
  <c r="K2217" i="38"/>
  <c r="F3351" i="38"/>
  <c r="I2215" i="38"/>
  <c r="J3331" i="38"/>
  <c r="K2213" i="38"/>
  <c r="F3311" i="38"/>
  <c r="I2211" i="38"/>
  <c r="J3291" i="38"/>
  <c r="K2209" i="38"/>
  <c r="F3271" i="38"/>
  <c r="I2207" i="38"/>
  <c r="J3251" i="38"/>
  <c r="K2205" i="38"/>
  <c r="D3572" i="38"/>
  <c r="H2237" i="38"/>
  <c r="I3561" i="38"/>
  <c r="J2236" i="38"/>
  <c r="D3532" i="38"/>
  <c r="H2233" i="38"/>
  <c r="I3521" i="38"/>
  <c r="J2232" i="38"/>
  <c r="D3492" i="38"/>
  <c r="H2229" i="38"/>
  <c r="I3481" i="38"/>
  <c r="J2228" i="38"/>
  <c r="D3452" i="38"/>
  <c r="H2225" i="38"/>
  <c r="I3441" i="38"/>
  <c r="J2224" i="38"/>
  <c r="D3412" i="38"/>
  <c r="H2221" i="38"/>
  <c r="F3741" i="38"/>
  <c r="I2254" i="38"/>
  <c r="J3721" i="38"/>
  <c r="K2252" i="38"/>
  <c r="F3701" i="38"/>
  <c r="I2250" i="38"/>
  <c r="J3681" i="38"/>
  <c r="K2248" i="38"/>
  <c r="F3661" i="38"/>
  <c r="I2246" i="38"/>
  <c r="J3641" i="38"/>
  <c r="K2244" i="38"/>
  <c r="F3621" i="38"/>
  <c r="I2242" i="38"/>
  <c r="J3601" i="38"/>
  <c r="K2240" i="38"/>
  <c r="D3912" i="38"/>
  <c r="H2271" i="38"/>
  <c r="I3901" i="38"/>
  <c r="J2270" i="38"/>
  <c r="D3872" i="38"/>
  <c r="H2267" i="38"/>
  <c r="I3861" i="38"/>
  <c r="J2266" i="38"/>
  <c r="D3832" i="38"/>
  <c r="H2263" i="38"/>
  <c r="I3821" i="38"/>
  <c r="J2262" i="38"/>
  <c r="D3792" i="38"/>
  <c r="H2259" i="38"/>
  <c r="I3781" i="38"/>
  <c r="J2258" i="38"/>
  <c r="J4101" i="38"/>
  <c r="K2290" i="38"/>
  <c r="F4081" i="38"/>
  <c r="I2288" i="38"/>
  <c r="J4061" i="38"/>
  <c r="K2286" i="38"/>
  <c r="F4041" i="38"/>
  <c r="I2284" i="38"/>
  <c r="J4021" i="38"/>
  <c r="K2282" i="38"/>
  <c r="F4001" i="38"/>
  <c r="I2280" i="38"/>
  <c r="J3981" i="38"/>
  <c r="K2278" i="38"/>
  <c r="F3961" i="38"/>
  <c r="I2276" i="38"/>
  <c r="F4281" i="38"/>
  <c r="I2308" i="38"/>
  <c r="J4261" i="38"/>
  <c r="K2306" i="38"/>
  <c r="F4241" i="38"/>
  <c r="I2304" i="38"/>
  <c r="J4221" i="38"/>
  <c r="K2302" i="38"/>
  <c r="F4201" i="38"/>
  <c r="I2300" i="38"/>
  <c r="J4181" i="38"/>
  <c r="K2298" i="38"/>
  <c r="F4161" i="38"/>
  <c r="I2296" i="38"/>
  <c r="J4141" i="38"/>
  <c r="K2294" i="38"/>
  <c r="J4461" i="38"/>
  <c r="K2326" i="38"/>
  <c r="F4441" i="38"/>
  <c r="I2324" i="38"/>
  <c r="J4421" i="38"/>
  <c r="K2322" i="38"/>
  <c r="F4401" i="38"/>
  <c r="I2320" i="38"/>
  <c r="J4381" i="38"/>
  <c r="K2318" i="38"/>
  <c r="F4361" i="38"/>
  <c r="I2316" i="38"/>
  <c r="J4341" i="38"/>
  <c r="K2314" i="38"/>
  <c r="F4321" i="38"/>
  <c r="I2312" i="38"/>
  <c r="F4821" i="38"/>
  <c r="I2362" i="38"/>
  <c r="J4801" i="38"/>
  <c r="K2360" i="38"/>
  <c r="F4781" i="38"/>
  <c r="I2358" i="38"/>
  <c r="J4761" i="38"/>
  <c r="K2356" i="38"/>
  <c r="F4741" i="38"/>
  <c r="I2354" i="38"/>
  <c r="J4721" i="38"/>
  <c r="K2352" i="38"/>
  <c r="F4701" i="38"/>
  <c r="I2350" i="38"/>
  <c r="J4681" i="38"/>
  <c r="K2348" i="38"/>
  <c r="D4992" i="38"/>
  <c r="H2379" i="38"/>
  <c r="I4981" i="38"/>
  <c r="J2378" i="38"/>
  <c r="D4952" i="38"/>
  <c r="H2375" i="38"/>
  <c r="I4941" i="38"/>
  <c r="J2374" i="38"/>
  <c r="D4912" i="38"/>
  <c r="H2371" i="38"/>
  <c r="I4901" i="38"/>
  <c r="J2370" i="38"/>
  <c r="D4872" i="38"/>
  <c r="H2367" i="38"/>
  <c r="I4861" i="38"/>
  <c r="J2366" i="38"/>
  <c r="J5191" i="38"/>
  <c r="K2399" i="38"/>
  <c r="F5171" i="38"/>
  <c r="I2397" i="38"/>
  <c r="J5151" i="38"/>
  <c r="K2395" i="38"/>
  <c r="F5131" i="38"/>
  <c r="I2393" i="38"/>
  <c r="J5111" i="38"/>
  <c r="K2391" i="38"/>
  <c r="F5091" i="38"/>
  <c r="I2389" i="38"/>
  <c r="J5071" i="38"/>
  <c r="K2387" i="38"/>
  <c r="F5051" i="38"/>
  <c r="I2385" i="38"/>
  <c r="J5701" i="38"/>
  <c r="K2450" i="38"/>
  <c r="F5681" i="38"/>
  <c r="I2448" i="38"/>
  <c r="D5622" i="38"/>
  <c r="H2442" i="38"/>
  <c r="I5611" i="38"/>
  <c r="J2441" i="38"/>
  <c r="I5571" i="38"/>
  <c r="J2437" i="38"/>
  <c r="J5891" i="38"/>
  <c r="K2469" i="38"/>
  <c r="F5871" i="38"/>
  <c r="I2467" i="38"/>
  <c r="D5812" i="38"/>
  <c r="H2461" i="38"/>
  <c r="I5801" i="38"/>
  <c r="J2460" i="38"/>
  <c r="J6041" i="38"/>
  <c r="K2484" i="38"/>
  <c r="F6021" i="38"/>
  <c r="I2482" i="38"/>
  <c r="D5962" i="38"/>
  <c r="H2476" i="38"/>
  <c r="I5951" i="38"/>
  <c r="J2475" i="38"/>
  <c r="D6272" i="38"/>
  <c r="H2507" i="38"/>
  <c r="I6261" i="38"/>
  <c r="J2506" i="38"/>
  <c r="J6191" i="38"/>
  <c r="K2499" i="38"/>
  <c r="F6171" i="38"/>
  <c r="I2497" i="38"/>
  <c r="D6112" i="38"/>
  <c r="H2491" i="38"/>
  <c r="I6451" i="38"/>
  <c r="J2525" i="38"/>
  <c r="J6381" i="38"/>
  <c r="K2518" i="38"/>
  <c r="F6361" i="38"/>
  <c r="I2516" i="38"/>
  <c r="D6302" i="38"/>
  <c r="H2510" i="38"/>
  <c r="D6582" i="38"/>
  <c r="H2538" i="38"/>
  <c r="I6571" i="38"/>
  <c r="J2537" i="38"/>
  <c r="J6501" i="38"/>
  <c r="K2530" i="38"/>
  <c r="F6481" i="38"/>
  <c r="I2528" i="38"/>
  <c r="J6811" i="38"/>
  <c r="K2561" i="38"/>
  <c r="F6791" i="38"/>
  <c r="I2559" i="38"/>
  <c r="D6732" i="38"/>
  <c r="H2553" i="38"/>
  <c r="I6721" i="38"/>
  <c r="J2552" i="38"/>
  <c r="F6981" i="38"/>
  <c r="I2578" i="38"/>
  <c r="D6922" i="38"/>
  <c r="H2572" i="38"/>
  <c r="I6911" i="38"/>
  <c r="J2571" i="38"/>
  <c r="J6841" i="38"/>
  <c r="K2564" i="38"/>
  <c r="F7171" i="38"/>
  <c r="I2597" i="38"/>
  <c r="D7112" i="38"/>
  <c r="H2591" i="38"/>
  <c r="I7101" i="38"/>
  <c r="J2590" i="38"/>
  <c r="J7031" i="38"/>
  <c r="K2583" i="38"/>
  <c r="J7351" i="38"/>
  <c r="K2615" i="38"/>
  <c r="F7331" i="38"/>
  <c r="I2613" i="38"/>
  <c r="D7272" i="38"/>
  <c r="H2607" i="38"/>
  <c r="I7261" i="38"/>
  <c r="J2606" i="38"/>
  <c r="F7521" i="38"/>
  <c r="I2632" i="38"/>
  <c r="D7462" i="38"/>
  <c r="H2626" i="38"/>
  <c r="I7451" i="38"/>
  <c r="J2625" i="38"/>
  <c r="J7381" i="38"/>
  <c r="K2618" i="38"/>
  <c r="F7711" i="38"/>
  <c r="I2651" i="38"/>
  <c r="D7652" i="38"/>
  <c r="H2645" i="38"/>
  <c r="I7641" i="38"/>
  <c r="J2644" i="38"/>
  <c r="J7571" i="38"/>
  <c r="K2637" i="38"/>
  <c r="J7891" i="38"/>
  <c r="K2669" i="38"/>
  <c r="F7871" i="38"/>
  <c r="I2667" i="38"/>
  <c r="D7812" i="38"/>
  <c r="H2661" i="38"/>
  <c r="I7801" i="38"/>
  <c r="J2660" i="38"/>
  <c r="F8061" i="38"/>
  <c r="I2686" i="38"/>
  <c r="D8002" i="38"/>
  <c r="H2680" i="38"/>
  <c r="I7991" i="38"/>
  <c r="J2679" i="38"/>
  <c r="J7921" i="38"/>
  <c r="K2672" i="38"/>
  <c r="D6142" i="38"/>
  <c r="H2494" i="38"/>
  <c r="D6572" i="38"/>
  <c r="H2537" i="38"/>
  <c r="J6801" i="38"/>
  <c r="K2560" i="38"/>
  <c r="F6781" i="38"/>
  <c r="I2558" i="38"/>
  <c r="J6721" i="38"/>
  <c r="K2552" i="38"/>
  <c r="D6912" i="38"/>
  <c r="H2571" i="38"/>
  <c r="D7452" i="38"/>
  <c r="H2625" i="38"/>
  <c r="D7602" i="38"/>
  <c r="H2640" i="38"/>
  <c r="D7842" i="38"/>
  <c r="H2664" i="38"/>
  <c r="D7992" i="38"/>
  <c r="H2679" i="38"/>
  <c r="D3022" i="38"/>
  <c r="H2182" i="38"/>
  <c r="I3011" i="38"/>
  <c r="J2181" i="38"/>
  <c r="D2982" i="38"/>
  <c r="H2178" i="38"/>
  <c r="I2971" i="38"/>
  <c r="J2177" i="38"/>
  <c r="D2942" i="38"/>
  <c r="H2174" i="38"/>
  <c r="I2931" i="38"/>
  <c r="J2173" i="38"/>
  <c r="D2902" i="38"/>
  <c r="H2170" i="38"/>
  <c r="I2891" i="38"/>
  <c r="J2169" i="38"/>
  <c r="I3211" i="38"/>
  <c r="J2201" i="38"/>
  <c r="D3182" i="38"/>
  <c r="H2198" i="38"/>
  <c r="I3171" i="38"/>
  <c r="J2197" i="38"/>
  <c r="D3142" i="38"/>
  <c r="H2194" i="38"/>
  <c r="I3131" i="38"/>
  <c r="J2193" i="38"/>
  <c r="D3102" i="38"/>
  <c r="H2190" i="38"/>
  <c r="I3091" i="38"/>
  <c r="J2189" i="38"/>
  <c r="D3062" i="38"/>
  <c r="H2186" i="38"/>
  <c r="J3381" i="38"/>
  <c r="K2218" i="38"/>
  <c r="F3361" i="38"/>
  <c r="I2216" i="38"/>
  <c r="J3341" i="38"/>
  <c r="K2214" i="38"/>
  <c r="F3321" i="38"/>
  <c r="I2212" i="38"/>
  <c r="J3301" i="38"/>
  <c r="K2210" i="38"/>
  <c r="F3281" i="38"/>
  <c r="I2208" i="38"/>
  <c r="J3261" i="38"/>
  <c r="K2206" i="38"/>
  <c r="F3241" i="38"/>
  <c r="I2204" i="38"/>
  <c r="F3591" i="38"/>
  <c r="I2239" i="38"/>
  <c r="J3921" i="38"/>
  <c r="K2272" i="38"/>
  <c r="F3901" i="38"/>
  <c r="I2270" i="38"/>
  <c r="J3881" i="38"/>
  <c r="K2268" i="38"/>
  <c r="F3861" i="38"/>
  <c r="I2266" i="38"/>
  <c r="J3841" i="38"/>
  <c r="K2264" i="38"/>
  <c r="F3821" i="38"/>
  <c r="I2262" i="38"/>
  <c r="J3801" i="38"/>
  <c r="K2260" i="38"/>
  <c r="F3781" i="38"/>
  <c r="I2258" i="38"/>
  <c r="J5551" i="38"/>
  <c r="K2435" i="38"/>
  <c r="F5531" i="38"/>
  <c r="I2433" i="38"/>
  <c r="J5671" i="38"/>
  <c r="K2447" i="38"/>
  <c r="F5651" i="38"/>
  <c r="I2445" i="38"/>
  <c r="D5592" i="38"/>
  <c r="H2439" i="38"/>
  <c r="I5581" i="38"/>
  <c r="J2438" i="38"/>
  <c r="D5902" i="38"/>
  <c r="H2470" i="38"/>
  <c r="I5891" i="38"/>
  <c r="J2469" i="38"/>
  <c r="J5821" i="38"/>
  <c r="K2462" i="38"/>
  <c r="F5801" i="38"/>
  <c r="I2460" i="38"/>
  <c r="D6052" i="38"/>
  <c r="H2485" i="38"/>
  <c r="I6041" i="38"/>
  <c r="J2484" i="38"/>
  <c r="J5971" i="38"/>
  <c r="K2477" i="38"/>
  <c r="F5951" i="38"/>
  <c r="I2475" i="38"/>
  <c r="J5931" i="38"/>
  <c r="K2473" i="38"/>
  <c r="D6242" i="38"/>
  <c r="H2504" i="38"/>
  <c r="I6231" i="38"/>
  <c r="J2503" i="38"/>
  <c r="J6161" i="38"/>
  <c r="K2496" i="38"/>
  <c r="F6141" i="38"/>
  <c r="I2494" i="38"/>
  <c r="D6432" i="38"/>
  <c r="H2523" i="38"/>
  <c r="I6421" i="38"/>
  <c r="J2522" i="38"/>
  <c r="J6351" i="38"/>
  <c r="K2515" i="38"/>
  <c r="F6331" i="38"/>
  <c r="I2513" i="38"/>
  <c r="F6291" i="38"/>
  <c r="I2509" i="38"/>
  <c r="D6592" i="38"/>
  <c r="H2539" i="38"/>
  <c r="I6581" i="38"/>
  <c r="J2538" i="38"/>
  <c r="J6511" i="38"/>
  <c r="K2531" i="38"/>
  <c r="F6491" i="38"/>
  <c r="I2529" i="38"/>
  <c r="J6471" i="38"/>
  <c r="K2527" i="38"/>
  <c r="D6782" i="38"/>
  <c r="H2558" i="38"/>
  <c r="I6771" i="38"/>
  <c r="J2557" i="38"/>
  <c r="J6701" i="38"/>
  <c r="K2550" i="38"/>
  <c r="F6681" i="38"/>
  <c r="I2548" i="38"/>
  <c r="D6972" i="38"/>
  <c r="H2577" i="38"/>
  <c r="I6961" i="38"/>
  <c r="J2576" i="38"/>
  <c r="J6891" i="38"/>
  <c r="K2569" i="38"/>
  <c r="F6871" i="38"/>
  <c r="I2567" i="38"/>
  <c r="F6831" i="38"/>
  <c r="I2563" i="38"/>
  <c r="D7122" i="38"/>
  <c r="H2592" i="38"/>
  <c r="I7111" i="38"/>
  <c r="J2591" i="38"/>
  <c r="J7041" i="38"/>
  <c r="K2584" i="38"/>
  <c r="F7021" i="38"/>
  <c r="I2582" i="38"/>
  <c r="J7321" i="38"/>
  <c r="K2612" i="38"/>
  <c r="F7301" i="38"/>
  <c r="I2610" i="38"/>
  <c r="D7242" i="38"/>
  <c r="H2604" i="38"/>
  <c r="I7231" i="38"/>
  <c r="J2603" i="38"/>
  <c r="I7191" i="38"/>
  <c r="J2599" i="38"/>
  <c r="J7511" i="38"/>
  <c r="K2631" i="38"/>
  <c r="F7491" i="38"/>
  <c r="I2629" i="38"/>
  <c r="D7432" i="38"/>
  <c r="H2623" i="38"/>
  <c r="I7421" i="38"/>
  <c r="J2622" i="38"/>
  <c r="J7661" i="38"/>
  <c r="K2646" i="38"/>
  <c r="F7641" i="38"/>
  <c r="I2644" i="38"/>
  <c r="D7582" i="38"/>
  <c r="H2638" i="38"/>
  <c r="I7571" i="38"/>
  <c r="J2637" i="38"/>
  <c r="D7862" i="38"/>
  <c r="H2666" i="38"/>
  <c r="I7851" i="38"/>
  <c r="J2665" i="38"/>
  <c r="J7781" i="38"/>
  <c r="K2658" i="38"/>
  <c r="F7761" i="38"/>
  <c r="I2656" i="38"/>
  <c r="D8052" i="38"/>
  <c r="H2685" i="38"/>
  <c r="I8041" i="38"/>
  <c r="J2684" i="38"/>
  <c r="J7971" i="38"/>
  <c r="K2677" i="38"/>
  <c r="F7951" i="38"/>
  <c r="I2675" i="38"/>
  <c r="F7911" i="38"/>
  <c r="I2671" i="38"/>
  <c r="D6802" i="38"/>
  <c r="H2560" i="38"/>
  <c r="I6711" i="38"/>
  <c r="J2551" i="38"/>
  <c r="I7051" i="38"/>
  <c r="J2585" i="38"/>
  <c r="J7341" i="38"/>
  <c r="K2614" i="38"/>
  <c r="I7251" i="38"/>
  <c r="J2605" i="38"/>
  <c r="D7642" i="38"/>
  <c r="H2644" i="38"/>
  <c r="I7591" i="38"/>
  <c r="J2639" i="38"/>
  <c r="J7841" i="38"/>
  <c r="K2664" i="38"/>
  <c r="F7741" i="38"/>
  <c r="I2654" i="38"/>
  <c r="D3032" i="38"/>
  <c r="H2183" i="38"/>
  <c r="I3021" i="38"/>
  <c r="J2182" i="38"/>
  <c r="D2992" i="38"/>
  <c r="H2179" i="38"/>
  <c r="I2981" i="38"/>
  <c r="J2178" i="38"/>
  <c r="D2952" i="38"/>
  <c r="H2175" i="38"/>
  <c r="I2941" i="38"/>
  <c r="J2174" i="38"/>
  <c r="D2912" i="38"/>
  <c r="H2171" i="38"/>
  <c r="I2901" i="38"/>
  <c r="J2170" i="38"/>
  <c r="D2872" i="38"/>
  <c r="H2167" i="38"/>
  <c r="F3211" i="38"/>
  <c r="I2201" i="38"/>
  <c r="J3191" i="38"/>
  <c r="K2199" i="38"/>
  <c r="F3171" i="38"/>
  <c r="I2197" i="38"/>
  <c r="J3151" i="38"/>
  <c r="K2195" i="38"/>
  <c r="F3131" i="38"/>
  <c r="I2193" i="38"/>
  <c r="J3111" i="38"/>
  <c r="K2191" i="38"/>
  <c r="F3091" i="38"/>
  <c r="I2189" i="38"/>
  <c r="J3071" i="38"/>
  <c r="K2187" i="38"/>
  <c r="F3411" i="38"/>
  <c r="I2221" i="38"/>
  <c r="J3741" i="38"/>
  <c r="K2254" i="38"/>
  <c r="F3721" i="38"/>
  <c r="I2252" i="38"/>
  <c r="J3701" i="38"/>
  <c r="K2250" i="38"/>
  <c r="F3681" i="38"/>
  <c r="I2248" i="38"/>
  <c r="J3661" i="38"/>
  <c r="K2246" i="38"/>
  <c r="F3641" i="38"/>
  <c r="I2244" i="38"/>
  <c r="J3621" i="38"/>
  <c r="K2242" i="38"/>
  <c r="F3601" i="38"/>
  <c r="I2240" i="38"/>
  <c r="J3771" i="38"/>
  <c r="K2257" i="38"/>
  <c r="I4471" i="38"/>
  <c r="J2327" i="38"/>
  <c r="D4442" i="38"/>
  <c r="H2324" i="38"/>
  <c r="I4431" i="38"/>
  <c r="J2323" i="38"/>
  <c r="D4402" i="38"/>
  <c r="H2320" i="38"/>
  <c r="I4391" i="38"/>
  <c r="J2319" i="38"/>
  <c r="D4362" i="38"/>
  <c r="H2316" i="38"/>
  <c r="I4351" i="38"/>
  <c r="J2315" i="38"/>
  <c r="D4322" i="38"/>
  <c r="H2312" i="38"/>
  <c r="J4821" i="38"/>
  <c r="K2362" i="38"/>
  <c r="F4801" i="38"/>
  <c r="I2360" i="38"/>
  <c r="J4781" i="38"/>
  <c r="K2358" i="38"/>
  <c r="F4761" i="38"/>
  <c r="I2356" i="38"/>
  <c r="J4741" i="38"/>
  <c r="K2354" i="38"/>
  <c r="F4721" i="38"/>
  <c r="I2352" i="38"/>
  <c r="J4701" i="38"/>
  <c r="K2350" i="38"/>
  <c r="F4681" i="38"/>
  <c r="I2348" i="38"/>
  <c r="J4851" i="38"/>
  <c r="K2365" i="38"/>
  <c r="D5372" i="38"/>
  <c r="H2417" i="38"/>
  <c r="I5361" i="38"/>
  <c r="J2416" i="38"/>
  <c r="D5332" i="38"/>
  <c r="H2413" i="38"/>
  <c r="I5321" i="38"/>
  <c r="J2412" i="38"/>
  <c r="D5292" i="38"/>
  <c r="H2409" i="38"/>
  <c r="I5281" i="38"/>
  <c r="J2408" i="38"/>
  <c r="D5252" i="38"/>
  <c r="H2405" i="38"/>
  <c r="I5241" i="38"/>
  <c r="J2404" i="38"/>
  <c r="D5212" i="38"/>
  <c r="H2401" i="38"/>
  <c r="J5721" i="38"/>
  <c r="K2452" i="38"/>
  <c r="F5701" i="38"/>
  <c r="I2450" i="38"/>
  <c r="D5642" i="38"/>
  <c r="H2444" i="38"/>
  <c r="I5631" i="38"/>
  <c r="J2443" i="38"/>
  <c r="D5872" i="38"/>
  <c r="H2467" i="38"/>
  <c r="I5861" i="38"/>
  <c r="J2466" i="38"/>
  <c r="J5791" i="38"/>
  <c r="K2459" i="38"/>
  <c r="F5771" i="38"/>
  <c r="I2457" i="38"/>
  <c r="J5751" i="38"/>
  <c r="K2455" i="38"/>
  <c r="D6062" i="38"/>
  <c r="H2486" i="38"/>
  <c r="I6051" i="38"/>
  <c r="J2485" i="38"/>
  <c r="J5981" i="38"/>
  <c r="K2478" i="38"/>
  <c r="F5961" i="38"/>
  <c r="I2476" i="38"/>
  <c r="D6252" i="38"/>
  <c r="H2505" i="38"/>
  <c r="I6241" i="38"/>
  <c r="J2504" i="38"/>
  <c r="J6171" i="38"/>
  <c r="K2497" i="38"/>
  <c r="F6151" i="38"/>
  <c r="I2495" i="38"/>
  <c r="F6111" i="38"/>
  <c r="I2491" i="38"/>
  <c r="D6402" i="38"/>
  <c r="H2520" i="38"/>
  <c r="I6391" i="38"/>
  <c r="J2519" i="38"/>
  <c r="J6321" i="38"/>
  <c r="K2512" i="38"/>
  <c r="F6301" i="38"/>
  <c r="I2510" i="38"/>
  <c r="J6601" i="38"/>
  <c r="K2540" i="38"/>
  <c r="F6581" i="38"/>
  <c r="I2538" i="38"/>
  <c r="D6522" i="38"/>
  <c r="H2532" i="38"/>
  <c r="I6511" i="38"/>
  <c r="J2531" i="38"/>
  <c r="I6471" i="38"/>
  <c r="J2527" i="38"/>
  <c r="J6791" i="38"/>
  <c r="K2559" i="38"/>
  <c r="F6771" i="38"/>
  <c r="I2557" i="38"/>
  <c r="D6712" i="38"/>
  <c r="H2551" i="38"/>
  <c r="I6701" i="38"/>
  <c r="J2550" i="38"/>
  <c r="J6941" i="38"/>
  <c r="K2574" i="38"/>
  <c r="F6921" i="38"/>
  <c r="I2572" i="38"/>
  <c r="D6862" i="38"/>
  <c r="H2566" i="38"/>
  <c r="I6851" i="38"/>
  <c r="J2565" i="38"/>
  <c r="D7172" i="38"/>
  <c r="H2597" i="38"/>
  <c r="I7161" i="38"/>
  <c r="J2596" i="38"/>
  <c r="J7091" i="38"/>
  <c r="K2589" i="38"/>
  <c r="F7071" i="38"/>
  <c r="I2587" i="38"/>
  <c r="D7012" i="38"/>
  <c r="H2581" i="38"/>
  <c r="F7351" i="38"/>
  <c r="I2615" i="38"/>
  <c r="D7292" i="38"/>
  <c r="H2609" i="38"/>
  <c r="I7281" i="38"/>
  <c r="J2608" i="38"/>
  <c r="J7211" i="38"/>
  <c r="K2601" i="38"/>
  <c r="J7521" i="38"/>
  <c r="K2632" i="38"/>
  <c r="F7501" i="38"/>
  <c r="I2630" i="38"/>
  <c r="D7442" i="38"/>
  <c r="H2624" i="38"/>
  <c r="I7431" i="38"/>
  <c r="J2623" i="38"/>
  <c r="J7671" i="38"/>
  <c r="K2647" i="38"/>
  <c r="F7651" i="38"/>
  <c r="I2645" i="38"/>
  <c r="D7592" i="38"/>
  <c r="H2639" i="38"/>
  <c r="I7581" i="38"/>
  <c r="J2638" i="38"/>
  <c r="D7872" i="38"/>
  <c r="H2667" i="38"/>
  <c r="I7861" i="38"/>
  <c r="J2666" i="38"/>
  <c r="J7791" i="38"/>
  <c r="K2659" i="38"/>
  <c r="F7771" i="38"/>
  <c r="I2657" i="38"/>
  <c r="F7731" i="38"/>
  <c r="I2653" i="38"/>
  <c r="D8022" i="38"/>
  <c r="H2682" i="38"/>
  <c r="I8011" i="38"/>
  <c r="J2681" i="38"/>
  <c r="J7941" i="38"/>
  <c r="K2674" i="38"/>
  <c r="F7921" i="38"/>
  <c r="I2672" i="38"/>
  <c r="D6452" i="38"/>
  <c r="H2525" i="38"/>
  <c r="D6532" i="38"/>
  <c r="H2533" i="38"/>
  <c r="F6511" i="38"/>
  <c r="I2531" i="38"/>
  <c r="J6761" i="38"/>
  <c r="K2556" i="38"/>
  <c r="F6701" i="38"/>
  <c r="I2550" i="38"/>
  <c r="I6981" i="38"/>
  <c r="J2578" i="38"/>
  <c r="D7142" i="38"/>
  <c r="H2594" i="38"/>
  <c r="F7081" i="38"/>
  <c r="I2588" i="38"/>
  <c r="D7412" i="38"/>
  <c r="H2621" i="38"/>
  <c r="F7391" i="38"/>
  <c r="I2619" i="38"/>
  <c r="D7562" i="38"/>
  <c r="H2636" i="38"/>
  <c r="I8021" i="38"/>
  <c r="J2682" i="38"/>
  <c r="D7912" i="38"/>
  <c r="H2671" i="38"/>
  <c r="I341" i="13"/>
  <c r="L2328" i="38" s="1"/>
  <c r="F4643" i="38"/>
  <c r="L2344" i="38"/>
  <c r="F4523" i="38"/>
  <c r="L2332" i="38"/>
  <c r="F4633" i="38"/>
  <c r="L2343" i="38"/>
  <c r="F4653" i="38"/>
  <c r="L2345" i="38"/>
  <c r="F4613" i="38"/>
  <c r="L2341" i="38"/>
  <c r="F4573" i="38"/>
  <c r="L2337" i="38"/>
  <c r="F4533" i="38"/>
  <c r="L2333" i="38"/>
  <c r="F4493" i="38"/>
  <c r="L2329" i="38"/>
  <c r="F4651" i="38"/>
  <c r="I2345" i="38"/>
  <c r="I4621" i="38"/>
  <c r="J2342" i="38"/>
  <c r="J4591" i="38"/>
  <c r="K2339" i="38"/>
  <c r="F4491" i="38"/>
  <c r="I2329" i="38"/>
  <c r="J4541" i="38"/>
  <c r="K2334" i="38"/>
  <c r="D4502" i="38"/>
  <c r="H2330" i="38"/>
  <c r="J4491" i="38"/>
  <c r="K2329" i="38"/>
  <c r="F4603" i="38"/>
  <c r="L2340" i="38"/>
  <c r="F4563" i="38"/>
  <c r="L2336" i="38"/>
  <c r="I4581" i="38"/>
  <c r="J2338" i="38"/>
  <c r="J4551" i="38"/>
  <c r="K2335" i="38"/>
  <c r="F4531" i="38"/>
  <c r="I2333" i="38"/>
  <c r="J4511" i="38"/>
  <c r="K2331" i="38"/>
  <c r="J4641" i="38"/>
  <c r="K2344" i="38"/>
  <c r="F4621" i="38"/>
  <c r="I2342" i="38"/>
  <c r="J4601" i="38"/>
  <c r="K2340" i="38"/>
  <c r="F4581" i="38"/>
  <c r="I2338" i="38"/>
  <c r="J4561" i="38"/>
  <c r="K2336" i="38"/>
  <c r="F4541" i="38"/>
  <c r="I2334" i="38"/>
  <c r="J4521" i="38"/>
  <c r="K2332" i="38"/>
  <c r="F4501" i="38"/>
  <c r="I2330" i="38"/>
  <c r="J4651" i="38"/>
  <c r="K2345" i="38"/>
  <c r="F4631" i="38"/>
  <c r="I2343" i="38"/>
  <c r="J4611" i="38"/>
  <c r="K2341" i="38"/>
  <c r="F4591" i="38"/>
  <c r="I2339" i="38"/>
  <c r="J4571" i="38"/>
  <c r="K2337" i="38"/>
  <c r="F4551" i="38"/>
  <c r="I2335" i="38"/>
  <c r="J4531" i="38"/>
  <c r="K2333" i="38"/>
  <c r="F4511" i="38"/>
  <c r="I2331" i="38"/>
  <c r="D4622" i="38"/>
  <c r="H2342" i="38"/>
  <c r="I4611" i="38"/>
  <c r="J2341" i="38"/>
  <c r="D4582" i="38"/>
  <c r="H2338" i="38"/>
  <c r="I4571" i="38"/>
  <c r="J2337" i="38"/>
  <c r="D4542" i="38"/>
  <c r="H2334" i="38"/>
  <c r="F4593" i="38"/>
  <c r="L2339" i="38"/>
  <c r="F4553" i="38"/>
  <c r="L2335" i="38"/>
  <c r="F4513" i="38"/>
  <c r="L2331" i="38"/>
  <c r="J4631" i="38"/>
  <c r="K2343" i="38"/>
  <c r="F4611" i="38"/>
  <c r="I2341" i="38"/>
  <c r="F4571" i="38"/>
  <c r="I2337" i="38"/>
  <c r="F4641" i="38"/>
  <c r="I2344" i="38"/>
  <c r="F4521" i="38"/>
  <c r="I2332" i="38"/>
  <c r="J4501" i="38"/>
  <c r="K2330" i="38"/>
  <c r="F4583" i="38"/>
  <c r="L2338" i="38"/>
  <c r="F4543" i="38"/>
  <c r="L2334" i="38"/>
  <c r="I373" i="13"/>
  <c r="H2335" i="38"/>
  <c r="D4552" i="38"/>
  <c r="J2334" i="38"/>
  <c r="I4541" i="38"/>
  <c r="H2331" i="38"/>
  <c r="D4512" i="38"/>
  <c r="J2330" i="38"/>
  <c r="I4501" i="38"/>
  <c r="D4642" i="38"/>
  <c r="H2344" i="38"/>
  <c r="I4631" i="38"/>
  <c r="J2343" i="38"/>
  <c r="D4602" i="38"/>
  <c r="H2340" i="38"/>
  <c r="I4591" i="38"/>
  <c r="J2339" i="38"/>
  <c r="D4562" i="38"/>
  <c r="H2336" i="38"/>
  <c r="I4551" i="38"/>
  <c r="J2335" i="38"/>
  <c r="H2332" i="38"/>
  <c r="D4522" i="38"/>
  <c r="I4511" i="38"/>
  <c r="J2331" i="38"/>
  <c r="H2345" i="38"/>
  <c r="D4652" i="38"/>
  <c r="I4641" i="38"/>
  <c r="J2344" i="38"/>
  <c r="H2341" i="38"/>
  <c r="D4612" i="38"/>
  <c r="I4601" i="38"/>
  <c r="J2340" i="38"/>
  <c r="H2337" i="38"/>
  <c r="D4572" i="38"/>
  <c r="J2336" i="38"/>
  <c r="I4561" i="38"/>
  <c r="H2333" i="38"/>
  <c r="D4532" i="38"/>
  <c r="J2332" i="38"/>
  <c r="I4521" i="38"/>
  <c r="H2329" i="38"/>
  <c r="D4492" i="38"/>
  <c r="I4651" i="38"/>
  <c r="J2345" i="38"/>
  <c r="J4621" i="38"/>
  <c r="K2342" i="38"/>
  <c r="F4601" i="38"/>
  <c r="I2340" i="38"/>
  <c r="J4581" i="38"/>
  <c r="K2338" i="38"/>
  <c r="F4561" i="38"/>
  <c r="I2336" i="38"/>
  <c r="I4531" i="38"/>
  <c r="J2333" i="38"/>
  <c r="Y79" i="32"/>
  <c r="Y75" i="32"/>
  <c r="Y71" i="32"/>
  <c r="Y67" i="32"/>
  <c r="Y63" i="32"/>
  <c r="Y66" i="32"/>
  <c r="Y73" i="32"/>
  <c r="Y69" i="32"/>
  <c r="Y65" i="32"/>
  <c r="Y80" i="32"/>
  <c r="Y76" i="32"/>
  <c r="Y72" i="32"/>
  <c r="Y68" i="32"/>
  <c r="Y64" i="32"/>
  <c r="Y78" i="32"/>
  <c r="Y74" i="32"/>
  <c r="Y70" i="32"/>
  <c r="Y62" i="32"/>
  <c r="Y81" i="32"/>
  <c r="Y77" i="32"/>
  <c r="Y79" i="31"/>
  <c r="Y75" i="31"/>
  <c r="Y71" i="31"/>
  <c r="Y67" i="31"/>
  <c r="Y63" i="31"/>
  <c r="Y78" i="31"/>
  <c r="Y74" i="31"/>
  <c r="Y70" i="31"/>
  <c r="Y66" i="31"/>
  <c r="Y62" i="31"/>
  <c r="Y81" i="31"/>
  <c r="Y77" i="31"/>
  <c r="Y73" i="31"/>
  <c r="Y69" i="31"/>
  <c r="Y65" i="31"/>
  <c r="Y80" i="31"/>
  <c r="Y76" i="31"/>
  <c r="Y72" i="31"/>
  <c r="Y68" i="31"/>
  <c r="Y64" i="31"/>
  <c r="Y79" i="30"/>
  <c r="Y75" i="30"/>
  <c r="Y71" i="30"/>
  <c r="Y67" i="30"/>
  <c r="Y63" i="30"/>
  <c r="Y81" i="30"/>
  <c r="Y78" i="30"/>
  <c r="Y74" i="30"/>
  <c r="Y70" i="30"/>
  <c r="Y66" i="30"/>
  <c r="Y62" i="30"/>
  <c r="Y77" i="30"/>
  <c r="Y69" i="30"/>
  <c r="Y80" i="30"/>
  <c r="Y76" i="30"/>
  <c r="Y72" i="30"/>
  <c r="Y68" i="30"/>
  <c r="Y64" i="30"/>
  <c r="Y73" i="30"/>
  <c r="Y65" i="30"/>
  <c r="Y79" i="29"/>
  <c r="Y75" i="29"/>
  <c r="Y71" i="29"/>
  <c r="Y67" i="29"/>
  <c r="Y63" i="29"/>
  <c r="Y81" i="29"/>
  <c r="Y69" i="29"/>
  <c r="Y65" i="29"/>
  <c r="Y80" i="29"/>
  <c r="Y68" i="29"/>
  <c r="Y64" i="29"/>
  <c r="Y78" i="29"/>
  <c r="Y74" i="29"/>
  <c r="Y70" i="29"/>
  <c r="Y66" i="29"/>
  <c r="Y62" i="29"/>
  <c r="Y77" i="29"/>
  <c r="Y73" i="29"/>
  <c r="Y76" i="29"/>
  <c r="Y72" i="29"/>
  <c r="Y79" i="28"/>
  <c r="Y75" i="28"/>
  <c r="Y71" i="28"/>
  <c r="Y67" i="28"/>
  <c r="Y63" i="28"/>
  <c r="Y81" i="28"/>
  <c r="Y77" i="28"/>
  <c r="Y73" i="28"/>
  <c r="Y69" i="28"/>
  <c r="Y80" i="28"/>
  <c r="Y76" i="28"/>
  <c r="Y68" i="28"/>
  <c r="Y78" i="28"/>
  <c r="Y74" i="28"/>
  <c r="Y70" i="28"/>
  <c r="Y66" i="28"/>
  <c r="Y62" i="28"/>
  <c r="Y65" i="28"/>
  <c r="Y72" i="28"/>
  <c r="Y64" i="28"/>
  <c r="Y79" i="27"/>
  <c r="Y75" i="27"/>
  <c r="Y71" i="27"/>
  <c r="Y67" i="27"/>
  <c r="Y63" i="27"/>
  <c r="Y81" i="27"/>
  <c r="Y77" i="27"/>
  <c r="Y78" i="27"/>
  <c r="Y74" i="27"/>
  <c r="Y70" i="27"/>
  <c r="Y66" i="27"/>
  <c r="Y62" i="27"/>
  <c r="Y73" i="27"/>
  <c r="Y69" i="27"/>
  <c r="Y65" i="27"/>
  <c r="Y80" i="27"/>
  <c r="Y76" i="27"/>
  <c r="Y72" i="27"/>
  <c r="Y68" i="27"/>
  <c r="Y64" i="27"/>
  <c r="Y79" i="26"/>
  <c r="Y75" i="26"/>
  <c r="Y71" i="26"/>
  <c r="Y67" i="26"/>
  <c r="Y63" i="26"/>
  <c r="Y81" i="26"/>
  <c r="Y72" i="26"/>
  <c r="Y68" i="26"/>
  <c r="Y64" i="26"/>
  <c r="Y78" i="26"/>
  <c r="Y74" i="26"/>
  <c r="Y70" i="26"/>
  <c r="Y66" i="26"/>
  <c r="Y62" i="26"/>
  <c r="Y77" i="26"/>
  <c r="Y73" i="26"/>
  <c r="Y69" i="26"/>
  <c r="Y65" i="26"/>
  <c r="Y80" i="26"/>
  <c r="Y76" i="26"/>
  <c r="Y79" i="25"/>
  <c r="Y75" i="25"/>
  <c r="Y71" i="25"/>
  <c r="Y67" i="25"/>
  <c r="Y63" i="25"/>
  <c r="Y78" i="25"/>
  <c r="Y74" i="25"/>
  <c r="Y70" i="25"/>
  <c r="Y66" i="25"/>
  <c r="Y62" i="25"/>
  <c r="Y81" i="25"/>
  <c r="Y77" i="25"/>
  <c r="Y73" i="25"/>
  <c r="Y69" i="25"/>
  <c r="Y65" i="25"/>
  <c r="Y80" i="25"/>
  <c r="Y76" i="25"/>
  <c r="Y72" i="25"/>
  <c r="Y68" i="25"/>
  <c r="Y64" i="25"/>
  <c r="Y79" i="24"/>
  <c r="Y75" i="24"/>
  <c r="Y71" i="24"/>
  <c r="Y67" i="24"/>
  <c r="Y63" i="24"/>
  <c r="Y80" i="24"/>
  <c r="Y78" i="24"/>
  <c r="Y74" i="24"/>
  <c r="Y70" i="24"/>
  <c r="Y66" i="24"/>
  <c r="Y62" i="24"/>
  <c r="Y76" i="24"/>
  <c r="Y64" i="24"/>
  <c r="Y81" i="24"/>
  <c r="Y77" i="24"/>
  <c r="Y73" i="24"/>
  <c r="Y69" i="24"/>
  <c r="Y65" i="24"/>
  <c r="Y72" i="24"/>
  <c r="Y68" i="24"/>
  <c r="Y79" i="23"/>
  <c r="Y75" i="23"/>
  <c r="Y71" i="23"/>
  <c r="Y67" i="23"/>
  <c r="Y63" i="23"/>
  <c r="Y80" i="23"/>
  <c r="Y68" i="23"/>
  <c r="Y78" i="23"/>
  <c r="Y74" i="23"/>
  <c r="Y70" i="23"/>
  <c r="Y66" i="23"/>
  <c r="Y62" i="23"/>
  <c r="Y72" i="23"/>
  <c r="Y64" i="23"/>
  <c r="Y81" i="23"/>
  <c r="Y77" i="23"/>
  <c r="Y73" i="23"/>
  <c r="Y69" i="23"/>
  <c r="Y65" i="23"/>
  <c r="Y76" i="23"/>
  <c r="Y79" i="22"/>
  <c r="Y75" i="22"/>
  <c r="Y71" i="22"/>
  <c r="Y67" i="22"/>
  <c r="Y63" i="22"/>
  <c r="Y77" i="22"/>
  <c r="Y73" i="22"/>
  <c r="Y76" i="22"/>
  <c r="Y64" i="22"/>
  <c r="Y78" i="22"/>
  <c r="Y74" i="22"/>
  <c r="Y70" i="22"/>
  <c r="Y66" i="22"/>
  <c r="Y62" i="22"/>
  <c r="Y81" i="22"/>
  <c r="Y69" i="22"/>
  <c r="Y65" i="22"/>
  <c r="Y80" i="22"/>
  <c r="Y72" i="22"/>
  <c r="Y68" i="22"/>
  <c r="Y79" i="21"/>
  <c r="Y75" i="21"/>
  <c r="Y71" i="21"/>
  <c r="Y67" i="21"/>
  <c r="Y63" i="21"/>
  <c r="Y78" i="21"/>
  <c r="Y74" i="21"/>
  <c r="Y70" i="21"/>
  <c r="Y66" i="21"/>
  <c r="Y62" i="21"/>
  <c r="Y81" i="21"/>
  <c r="Y77" i="21"/>
  <c r="Y73" i="21"/>
  <c r="Y69" i="21"/>
  <c r="Y65" i="21"/>
  <c r="Y80" i="21"/>
  <c r="Y76" i="21"/>
  <c r="Y72" i="21"/>
  <c r="Y68" i="21"/>
  <c r="Y64" i="21"/>
  <c r="Y79" i="20"/>
  <c r="Y75" i="20"/>
  <c r="Y71" i="20"/>
  <c r="Y67" i="20"/>
  <c r="Y63" i="20"/>
  <c r="Y78" i="20"/>
  <c r="Y74" i="20"/>
  <c r="Y70" i="20"/>
  <c r="Y66" i="20"/>
  <c r="Y62" i="20"/>
  <c r="Y81" i="20"/>
  <c r="Y77" i="20"/>
  <c r="Y73" i="20"/>
  <c r="Y69" i="20"/>
  <c r="Y65" i="20"/>
  <c r="Y80" i="20"/>
  <c r="Y76" i="20"/>
  <c r="Y68" i="20"/>
  <c r="Y64" i="20"/>
  <c r="Y72" i="20"/>
  <c r="Y79" i="19"/>
  <c r="Y75" i="19"/>
  <c r="Y71" i="19"/>
  <c r="Y67" i="19"/>
  <c r="Y63" i="19"/>
  <c r="Y81" i="19"/>
  <c r="Y69" i="19"/>
  <c r="Y80" i="19"/>
  <c r="Y76" i="19"/>
  <c r="Y68" i="19"/>
  <c r="Y64" i="19"/>
  <c r="Y78" i="19"/>
  <c r="Y74" i="19"/>
  <c r="Y70" i="19"/>
  <c r="Y66" i="19"/>
  <c r="Y62" i="19"/>
  <c r="Y77" i="19"/>
  <c r="Y73" i="19"/>
  <c r="Y65" i="19"/>
  <c r="Y72" i="19"/>
  <c r="Y79" i="18"/>
  <c r="Y75" i="18"/>
  <c r="Y71" i="18"/>
  <c r="Y67" i="18"/>
  <c r="Y63" i="18"/>
  <c r="Y65" i="18"/>
  <c r="Y80" i="18"/>
  <c r="Y68" i="18"/>
  <c r="Y64" i="18"/>
  <c r="Y78" i="18"/>
  <c r="Y74" i="18"/>
  <c r="Y70" i="18"/>
  <c r="Y66" i="18"/>
  <c r="Y62" i="18"/>
  <c r="Y81" i="18"/>
  <c r="Y77" i="18"/>
  <c r="Y73" i="18"/>
  <c r="Y69" i="18"/>
  <c r="Y76" i="18"/>
  <c r="Y72" i="18"/>
  <c r="Y79" i="17"/>
  <c r="Y75" i="17"/>
  <c r="Y71" i="17"/>
  <c r="Y67" i="17"/>
  <c r="Y63" i="17"/>
  <c r="Y70" i="17"/>
  <c r="Y66" i="17"/>
  <c r="Y69" i="17"/>
  <c r="Y80" i="17"/>
  <c r="Y76" i="17"/>
  <c r="Y72" i="17"/>
  <c r="Y68" i="17"/>
  <c r="Y64" i="17"/>
  <c r="Y78" i="17"/>
  <c r="Y74" i="17"/>
  <c r="Y62" i="17"/>
  <c r="Y81" i="17"/>
  <c r="Y77" i="17"/>
  <c r="Y73" i="17"/>
  <c r="Y65" i="17"/>
  <c r="Y79" i="16"/>
  <c r="Y75" i="16"/>
  <c r="Y71" i="16"/>
  <c r="Y67" i="16"/>
  <c r="Y63" i="16"/>
  <c r="Y74" i="16"/>
  <c r="Y62" i="16"/>
  <c r="Y81" i="16"/>
  <c r="Y77" i="16"/>
  <c r="Y73" i="16"/>
  <c r="Y69" i="16"/>
  <c r="Y65" i="16"/>
  <c r="Y80" i="16"/>
  <c r="Y76" i="16"/>
  <c r="Y72" i="16"/>
  <c r="Y68" i="16"/>
  <c r="Y64" i="16"/>
  <c r="Y78" i="16"/>
  <c r="Y70" i="16"/>
  <c r="Y66" i="16"/>
  <c r="Y79" i="15"/>
  <c r="Y75" i="15"/>
  <c r="Y71" i="15"/>
  <c r="Y67" i="15"/>
  <c r="Y63" i="15"/>
  <c r="Y73" i="15"/>
  <c r="Y69" i="15"/>
  <c r="Y80" i="15"/>
  <c r="Y68" i="15"/>
  <c r="Y64" i="15"/>
  <c r="Y78" i="15"/>
  <c r="Y74" i="15"/>
  <c r="Y70" i="15"/>
  <c r="Y66" i="15"/>
  <c r="Y62" i="15"/>
  <c r="Y81" i="15"/>
  <c r="Y77" i="15"/>
  <c r="Y65" i="15"/>
  <c r="Y76" i="15"/>
  <c r="Y72" i="15"/>
  <c r="Y79" i="14"/>
  <c r="Y75" i="14"/>
  <c r="Y71" i="14"/>
  <c r="Y67" i="14"/>
  <c r="Y63" i="14"/>
  <c r="Y78" i="14"/>
  <c r="Y74" i="14"/>
  <c r="Y70" i="14"/>
  <c r="Y66" i="14"/>
  <c r="Y62" i="14"/>
  <c r="Y81" i="14"/>
  <c r="Y77" i="14"/>
  <c r="Y73" i="14"/>
  <c r="Y69" i="14"/>
  <c r="Y65" i="14"/>
  <c r="Y80" i="14"/>
  <c r="Y76" i="14"/>
  <c r="Y72" i="14"/>
  <c r="Y68" i="14"/>
  <c r="Y64" i="14"/>
  <c r="Y79" i="13"/>
  <c r="Y75" i="13"/>
  <c r="Y71" i="13"/>
  <c r="Y67" i="13"/>
  <c r="Y63" i="13"/>
  <c r="Y78" i="13"/>
  <c r="Y74" i="13"/>
  <c r="Y70" i="13"/>
  <c r="Y66" i="13"/>
  <c r="Y62" i="13"/>
  <c r="Y81" i="13"/>
  <c r="Y77" i="13"/>
  <c r="Y73" i="13"/>
  <c r="Y69" i="13"/>
  <c r="Y65" i="13"/>
  <c r="Y80" i="13"/>
  <c r="Y76" i="13"/>
  <c r="Y72" i="13"/>
  <c r="Y68" i="13"/>
  <c r="Y64" i="13"/>
  <c r="Y79" i="12"/>
  <c r="Y75" i="12"/>
  <c r="Y71" i="12"/>
  <c r="Y67" i="12"/>
  <c r="Y63" i="12"/>
  <c r="Y81" i="12"/>
  <c r="Y77" i="12"/>
  <c r="Y65" i="12"/>
  <c r="Y72" i="12"/>
  <c r="Y68" i="12"/>
  <c r="Y78" i="12"/>
  <c r="Y74" i="12"/>
  <c r="Y70" i="12"/>
  <c r="Y66" i="12"/>
  <c r="Y62" i="12"/>
  <c r="Y73" i="12"/>
  <c r="Y69" i="12"/>
  <c r="Y80" i="12"/>
  <c r="Y76" i="12"/>
  <c r="Y64" i="12"/>
  <c r="Y79" i="11"/>
  <c r="Y75" i="11"/>
  <c r="Y71" i="11"/>
  <c r="Y67" i="11"/>
  <c r="Y63" i="11"/>
  <c r="Y70" i="11"/>
  <c r="Y66" i="11"/>
  <c r="Y62" i="11"/>
  <c r="Y81" i="11"/>
  <c r="Y77" i="11"/>
  <c r="Y73" i="11"/>
  <c r="Y69" i="11"/>
  <c r="Y80" i="11"/>
  <c r="Y78" i="11"/>
  <c r="Y74" i="11"/>
  <c r="Y65" i="11"/>
  <c r="Y76" i="11"/>
  <c r="Y72" i="11"/>
  <c r="Y68" i="11"/>
  <c r="Y64" i="11"/>
  <c r="Y79" i="10"/>
  <c r="Y75" i="10"/>
  <c r="Y71" i="10"/>
  <c r="Y67" i="10"/>
  <c r="Y63" i="10"/>
  <c r="Y70" i="10"/>
  <c r="Y81" i="10"/>
  <c r="Y77" i="10"/>
  <c r="Y69" i="10"/>
  <c r="Y80" i="10"/>
  <c r="Y76" i="10"/>
  <c r="Y72" i="10"/>
  <c r="Y68" i="10"/>
  <c r="Y64" i="10"/>
  <c r="Y78" i="10"/>
  <c r="Y74" i="10"/>
  <c r="Y66" i="10"/>
  <c r="Y62" i="10"/>
  <c r="Y73" i="10"/>
  <c r="Y65" i="10"/>
  <c r="Y79" i="9"/>
  <c r="Y75" i="9"/>
  <c r="Y71" i="9"/>
  <c r="Y67" i="9"/>
  <c r="Y63" i="9"/>
  <c r="Y77" i="9"/>
  <c r="Y80" i="9"/>
  <c r="Y68" i="9"/>
  <c r="Y64" i="9"/>
  <c r="Y78" i="9"/>
  <c r="Y74" i="9"/>
  <c r="Y70" i="9"/>
  <c r="Y66" i="9"/>
  <c r="Y62" i="9"/>
  <c r="Y81" i="9"/>
  <c r="Y73" i="9"/>
  <c r="Y69" i="9"/>
  <c r="Y65" i="9"/>
  <c r="Y76" i="9"/>
  <c r="Y72" i="9"/>
  <c r="Y79" i="8"/>
  <c r="Y75" i="8"/>
  <c r="Y71" i="8"/>
  <c r="Y67" i="8"/>
  <c r="Y63" i="8"/>
  <c r="Y78" i="8"/>
  <c r="Y74" i="8"/>
  <c r="Y70" i="8"/>
  <c r="Y66" i="8"/>
  <c r="Y62" i="8"/>
  <c r="Y73" i="8"/>
  <c r="Y80" i="8"/>
  <c r="Y76" i="8"/>
  <c r="Y72" i="8"/>
  <c r="Y68" i="8"/>
  <c r="Y64" i="8"/>
  <c r="Y81" i="8"/>
  <c r="Y77" i="8"/>
  <c r="Y69" i="8"/>
  <c r="Y65" i="8"/>
  <c r="Y79" i="7"/>
  <c r="Y75" i="7"/>
  <c r="Y71" i="7"/>
  <c r="Y67" i="7"/>
  <c r="Y63" i="7"/>
  <c r="Y81" i="7"/>
  <c r="Y77" i="7"/>
  <c r="Y76" i="7"/>
  <c r="Y72" i="7"/>
  <c r="Y68" i="7"/>
  <c r="Y78" i="7"/>
  <c r="Y74" i="7"/>
  <c r="Y70" i="7"/>
  <c r="Y66" i="7"/>
  <c r="Y62" i="7"/>
  <c r="Y73" i="7"/>
  <c r="Y69" i="7"/>
  <c r="Y65" i="7"/>
  <c r="Y80" i="7"/>
  <c r="Y64" i="7"/>
  <c r="Y79" i="6"/>
  <c r="Y75" i="6"/>
  <c r="Y71" i="6"/>
  <c r="Y67" i="6"/>
  <c r="Y63" i="6"/>
  <c r="Y81" i="6"/>
  <c r="Y69" i="6"/>
  <c r="Y65" i="6"/>
  <c r="Y76" i="6"/>
  <c r="Y78" i="6"/>
  <c r="Y74" i="6"/>
  <c r="Y70" i="6"/>
  <c r="Y66" i="6"/>
  <c r="Y62" i="6"/>
  <c r="Y77" i="6"/>
  <c r="Y73" i="6"/>
  <c r="Y80" i="6"/>
  <c r="Y72" i="6"/>
  <c r="Y68" i="6"/>
  <c r="Y64" i="6"/>
  <c r="Y79" i="5"/>
  <c r="Y75" i="5"/>
  <c r="Y71" i="5"/>
  <c r="Y67" i="5"/>
  <c r="Y63" i="5"/>
  <c r="Y78" i="5"/>
  <c r="Y74" i="5"/>
  <c r="Y70" i="5"/>
  <c r="Y66" i="5"/>
  <c r="Y62" i="5"/>
  <c r="Y81" i="5"/>
  <c r="Y77" i="5"/>
  <c r="Y73" i="5"/>
  <c r="Y69" i="5"/>
  <c r="Y65" i="5"/>
  <c r="Y80" i="5"/>
  <c r="Y76" i="5"/>
  <c r="Y72" i="5"/>
  <c r="Y68" i="5"/>
  <c r="Y64" i="5"/>
  <c r="Y79" i="4"/>
  <c r="Y75" i="4"/>
  <c r="Y71" i="4"/>
  <c r="Y67" i="4"/>
  <c r="Y63" i="4"/>
  <c r="Y81" i="4"/>
  <c r="Y73" i="4"/>
  <c r="Y69" i="4"/>
  <c r="Y80" i="4"/>
  <c r="Y76" i="4"/>
  <c r="Y68" i="4"/>
  <c r="Y78" i="4"/>
  <c r="Y74" i="4"/>
  <c r="Y70" i="4"/>
  <c r="Y66" i="4"/>
  <c r="Y62" i="4"/>
  <c r="Y77" i="4"/>
  <c r="Y65" i="4"/>
  <c r="Y72" i="4"/>
  <c r="Y64" i="4"/>
  <c r="H79" i="38"/>
  <c r="H78" i="38"/>
  <c r="H77" i="38"/>
  <c r="H76" i="38"/>
  <c r="H75" i="38"/>
  <c r="H74" i="38"/>
  <c r="H73" i="38"/>
  <c r="H72" i="38"/>
  <c r="H71" i="38"/>
  <c r="H70" i="38"/>
  <c r="H69" i="38"/>
  <c r="H68" i="38"/>
  <c r="H67" i="38"/>
  <c r="H66" i="38"/>
  <c r="H65" i="38"/>
  <c r="H64" i="38"/>
  <c r="H63" i="38"/>
  <c r="H62" i="38"/>
  <c r="H61" i="38"/>
  <c r="H60" i="38"/>
  <c r="H59" i="38"/>
  <c r="H58" i="38"/>
  <c r="H57" i="38"/>
  <c r="H56" i="38"/>
  <c r="H55" i="38"/>
  <c r="H54" i="38"/>
  <c r="H53" i="38"/>
  <c r="H52" i="38"/>
  <c r="H51" i="38"/>
  <c r="J299" i="1"/>
  <c r="J281" i="1"/>
  <c r="J267" i="1"/>
  <c r="J253" i="1"/>
  <c r="J203" i="1"/>
  <c r="J189" i="1"/>
  <c r="J171" i="1"/>
  <c r="J157" i="1"/>
  <c r="J125" i="1"/>
  <c r="J107" i="1"/>
  <c r="J93" i="1"/>
  <c r="J79" i="1"/>
  <c r="J65" i="1"/>
  <c r="I299" i="1"/>
  <c r="I281" i="1"/>
  <c r="I267" i="1"/>
  <c r="I253" i="1"/>
  <c r="I203" i="1"/>
  <c r="I189" i="1"/>
  <c r="I171" i="1"/>
  <c r="I157" i="1"/>
  <c r="I125" i="1"/>
  <c r="I107" i="1"/>
  <c r="I93" i="1"/>
  <c r="I79" i="1"/>
  <c r="I65" i="1"/>
  <c r="H299" i="1"/>
  <c r="H281" i="1"/>
  <c r="H267" i="1"/>
  <c r="H253" i="1"/>
  <c r="H203" i="1"/>
  <c r="H189" i="1"/>
  <c r="H171" i="1"/>
  <c r="H157" i="1"/>
  <c r="H125" i="1"/>
  <c r="H107" i="1"/>
  <c r="H93" i="1"/>
  <c r="H79" i="1"/>
  <c r="H65" i="1"/>
  <c r="G299" i="1"/>
  <c r="G281" i="1"/>
  <c r="G267" i="1"/>
  <c r="G253" i="1"/>
  <c r="G203" i="1"/>
  <c r="G189" i="1"/>
  <c r="G171" i="1"/>
  <c r="G157" i="1"/>
  <c r="G125" i="1"/>
  <c r="G107" i="1"/>
  <c r="G93" i="1"/>
  <c r="G79" i="1"/>
  <c r="G65" i="1"/>
  <c r="F299" i="1"/>
  <c r="F281" i="1"/>
  <c r="F267" i="1"/>
  <c r="F253" i="1"/>
  <c r="F203" i="1"/>
  <c r="F189" i="1"/>
  <c r="F171" i="1"/>
  <c r="F157" i="1"/>
  <c r="F125" i="1"/>
  <c r="F107" i="1"/>
  <c r="F93" i="1"/>
  <c r="F79" i="1"/>
  <c r="F65" i="1"/>
  <c r="J297" i="1"/>
  <c r="J279" i="1"/>
  <c r="J265" i="1"/>
  <c r="J251" i="1"/>
  <c r="J201" i="1"/>
  <c r="J187" i="1"/>
  <c r="J169" i="1"/>
  <c r="J155" i="1"/>
  <c r="J123" i="1"/>
  <c r="J105" i="1"/>
  <c r="J91" i="1"/>
  <c r="J77" i="1"/>
  <c r="J63" i="1"/>
  <c r="I297" i="1"/>
  <c r="I279" i="1"/>
  <c r="I265" i="1"/>
  <c r="I251" i="1"/>
  <c r="I201" i="1"/>
  <c r="I187" i="1"/>
  <c r="I169" i="1"/>
  <c r="I155" i="1"/>
  <c r="I123" i="1"/>
  <c r="I105" i="1"/>
  <c r="I91" i="1"/>
  <c r="I77" i="1"/>
  <c r="I63" i="1"/>
  <c r="H297" i="1"/>
  <c r="H279" i="1"/>
  <c r="H265" i="1"/>
  <c r="H251" i="1"/>
  <c r="H201" i="1"/>
  <c r="H187" i="1"/>
  <c r="H169" i="1"/>
  <c r="H155" i="1"/>
  <c r="H123" i="1"/>
  <c r="H105" i="1"/>
  <c r="H91" i="1"/>
  <c r="H77" i="1"/>
  <c r="H63" i="1"/>
  <c r="G297" i="1"/>
  <c r="G279" i="1"/>
  <c r="G265" i="1"/>
  <c r="G251" i="1"/>
  <c r="G201" i="1"/>
  <c r="G187" i="1"/>
  <c r="G169" i="1"/>
  <c r="G155" i="1"/>
  <c r="G123" i="1"/>
  <c r="G105" i="1"/>
  <c r="G91" i="1"/>
  <c r="G77" i="1"/>
  <c r="G63" i="1"/>
  <c r="F297" i="1"/>
  <c r="F279" i="1"/>
  <c r="F265" i="1"/>
  <c r="F251" i="1"/>
  <c r="F201" i="1"/>
  <c r="F187" i="1"/>
  <c r="F169" i="1"/>
  <c r="F155" i="1"/>
  <c r="F123" i="1"/>
  <c r="F105" i="1"/>
  <c r="F91" i="1"/>
  <c r="F77" i="1"/>
  <c r="F63" i="1"/>
  <c r="J295" i="1"/>
  <c r="J277" i="1"/>
  <c r="J263" i="1"/>
  <c r="J249" i="1"/>
  <c r="J199" i="1"/>
  <c r="J185" i="1"/>
  <c r="J167" i="1"/>
  <c r="J153" i="1"/>
  <c r="J121" i="1"/>
  <c r="J103" i="1"/>
  <c r="J89" i="1"/>
  <c r="J75" i="1"/>
  <c r="J61" i="1"/>
  <c r="I295" i="1"/>
  <c r="I277" i="1"/>
  <c r="I263" i="1"/>
  <c r="I249" i="1"/>
  <c r="I199" i="1"/>
  <c r="I185" i="1"/>
  <c r="I167" i="1"/>
  <c r="I153" i="1"/>
  <c r="I121" i="1"/>
  <c r="I103" i="1"/>
  <c r="I89" i="1"/>
  <c r="I75" i="1"/>
  <c r="I61" i="1"/>
  <c r="H295" i="1"/>
  <c r="H277" i="1"/>
  <c r="H263" i="1"/>
  <c r="H249" i="1"/>
  <c r="H199" i="1"/>
  <c r="H185" i="1"/>
  <c r="H167" i="1"/>
  <c r="H153" i="1"/>
  <c r="H121" i="1"/>
  <c r="H103" i="1"/>
  <c r="H89" i="1"/>
  <c r="H75" i="1"/>
  <c r="H61" i="1"/>
  <c r="G295" i="1"/>
  <c r="G277" i="1"/>
  <c r="G263" i="1"/>
  <c r="G249" i="1"/>
  <c r="G199" i="1"/>
  <c r="G185" i="1"/>
  <c r="G167" i="1"/>
  <c r="G153" i="1"/>
  <c r="G121" i="1"/>
  <c r="G103" i="1"/>
  <c r="G89" i="1"/>
  <c r="G75" i="1"/>
  <c r="G61" i="1"/>
  <c r="F295" i="1"/>
  <c r="F277" i="1"/>
  <c r="F263" i="1"/>
  <c r="F249" i="1"/>
  <c r="F199" i="1"/>
  <c r="F185" i="1"/>
  <c r="F167" i="1"/>
  <c r="F153" i="1"/>
  <c r="F121" i="1"/>
  <c r="F103" i="1"/>
  <c r="F89" i="1"/>
  <c r="F75" i="1"/>
  <c r="F61" i="1"/>
  <c r="J293" i="1"/>
  <c r="J275" i="1"/>
  <c r="J261" i="1"/>
  <c r="J247" i="1"/>
  <c r="J197" i="1"/>
  <c r="J183" i="1"/>
  <c r="J165" i="1"/>
  <c r="J151" i="1"/>
  <c r="J119" i="1"/>
  <c r="J101" i="1"/>
  <c r="J87" i="1"/>
  <c r="J73" i="1"/>
  <c r="J59" i="1"/>
  <c r="I293" i="1"/>
  <c r="I275" i="1"/>
  <c r="I261" i="1"/>
  <c r="I247" i="1"/>
  <c r="I197" i="1"/>
  <c r="I183" i="1"/>
  <c r="I165" i="1"/>
  <c r="I151" i="1"/>
  <c r="I119" i="1"/>
  <c r="I101" i="1"/>
  <c r="I87" i="1"/>
  <c r="I73" i="1"/>
  <c r="I59" i="1"/>
  <c r="H293" i="1"/>
  <c r="H275" i="1"/>
  <c r="H261" i="1"/>
  <c r="H247" i="1"/>
  <c r="H197" i="1"/>
  <c r="H183" i="1"/>
  <c r="H165" i="1"/>
  <c r="H151" i="1"/>
  <c r="H119" i="1"/>
  <c r="H101" i="1"/>
  <c r="H87" i="1"/>
  <c r="H73" i="1"/>
  <c r="H59" i="1"/>
  <c r="G293" i="1"/>
  <c r="G275" i="1"/>
  <c r="G261" i="1"/>
  <c r="G247" i="1"/>
  <c r="G197" i="1"/>
  <c r="G183" i="1"/>
  <c r="G165" i="1"/>
  <c r="G151" i="1"/>
  <c r="G119" i="1"/>
  <c r="G101" i="1"/>
  <c r="G87" i="1"/>
  <c r="G73" i="1"/>
  <c r="G59" i="1"/>
  <c r="F293" i="1"/>
  <c r="F275" i="1"/>
  <c r="F261" i="1"/>
  <c r="F247" i="1"/>
  <c r="F197" i="1"/>
  <c r="F183" i="1"/>
  <c r="F165" i="1"/>
  <c r="F151" i="1"/>
  <c r="F119" i="1"/>
  <c r="F101" i="1"/>
  <c r="F87" i="1"/>
  <c r="F73" i="1"/>
  <c r="F59" i="1"/>
  <c r="J291" i="1"/>
  <c r="J273" i="1"/>
  <c r="J259" i="1"/>
  <c r="J245" i="1"/>
  <c r="J195" i="1"/>
  <c r="J181" i="1"/>
  <c r="J163" i="1"/>
  <c r="J149" i="1"/>
  <c r="J117" i="1"/>
  <c r="J99" i="1"/>
  <c r="J85" i="1"/>
  <c r="J71" i="1"/>
  <c r="J57" i="1"/>
  <c r="I291" i="1"/>
  <c r="I273" i="1"/>
  <c r="I259" i="1"/>
  <c r="I245" i="1"/>
  <c r="I195" i="1"/>
  <c r="I181" i="1"/>
  <c r="I163" i="1"/>
  <c r="I149" i="1"/>
  <c r="I117" i="1"/>
  <c r="I99" i="1"/>
  <c r="I85" i="1"/>
  <c r="I71" i="1"/>
  <c r="I57" i="1"/>
  <c r="H291" i="1"/>
  <c r="H273" i="1"/>
  <c r="H259" i="1"/>
  <c r="H245" i="1"/>
  <c r="H195" i="1"/>
  <c r="H181" i="1"/>
  <c r="H163" i="1"/>
  <c r="H149" i="1"/>
  <c r="H117" i="1"/>
  <c r="H99" i="1"/>
  <c r="H85" i="1"/>
  <c r="H71" i="1"/>
  <c r="H57" i="1"/>
  <c r="G291" i="1"/>
  <c r="G273" i="1"/>
  <c r="G259" i="1"/>
  <c r="G245" i="1"/>
  <c r="G195" i="1"/>
  <c r="G181" i="1"/>
  <c r="G163" i="1"/>
  <c r="G149" i="1"/>
  <c r="G117" i="1"/>
  <c r="G99" i="1"/>
  <c r="G85" i="1"/>
  <c r="G71" i="1"/>
  <c r="G57" i="1"/>
  <c r="F291" i="1"/>
  <c r="F273" i="1"/>
  <c r="F259" i="1"/>
  <c r="F245" i="1"/>
  <c r="F195" i="1"/>
  <c r="F181" i="1"/>
  <c r="F163" i="1"/>
  <c r="F149" i="1"/>
  <c r="F117" i="1"/>
  <c r="F99" i="1"/>
  <c r="F85" i="1"/>
  <c r="F71" i="1"/>
  <c r="F57" i="1"/>
  <c r="J289" i="1"/>
  <c r="J271" i="1"/>
  <c r="J257" i="1"/>
  <c r="J243" i="1"/>
  <c r="J193" i="1"/>
  <c r="J179" i="1"/>
  <c r="J161" i="1"/>
  <c r="J147" i="1"/>
  <c r="J115" i="1"/>
  <c r="J97" i="1"/>
  <c r="J83" i="1"/>
  <c r="J69" i="1"/>
  <c r="J55" i="1"/>
  <c r="I289" i="1"/>
  <c r="I271" i="1"/>
  <c r="I257" i="1"/>
  <c r="I243" i="1"/>
  <c r="I193" i="1"/>
  <c r="I179" i="1"/>
  <c r="I161" i="1"/>
  <c r="I147" i="1"/>
  <c r="I115" i="1"/>
  <c r="I97" i="1"/>
  <c r="I83" i="1"/>
  <c r="I69" i="1"/>
  <c r="I55" i="1"/>
  <c r="H289" i="1"/>
  <c r="H271" i="1"/>
  <c r="H257" i="1"/>
  <c r="H243" i="1"/>
  <c r="H193" i="1"/>
  <c r="H179" i="1"/>
  <c r="H161" i="1"/>
  <c r="H147" i="1"/>
  <c r="H115" i="1"/>
  <c r="H97" i="1"/>
  <c r="H83" i="1"/>
  <c r="H69" i="1"/>
  <c r="G289" i="1"/>
  <c r="G271" i="1"/>
  <c r="G257" i="1"/>
  <c r="G243" i="1"/>
  <c r="G193" i="1"/>
  <c r="G179" i="1"/>
  <c r="G161" i="1"/>
  <c r="G147" i="1"/>
  <c r="G115" i="1"/>
  <c r="G97" i="1"/>
  <c r="G83" i="1"/>
  <c r="G69" i="1"/>
  <c r="G55" i="1"/>
  <c r="Z10" i="4"/>
  <c r="AA84" i="4"/>
  <c r="AA7" i="4"/>
  <c r="AA85" i="4" s="1"/>
  <c r="Z10" i="5"/>
  <c r="AA84" i="5"/>
  <c r="AA7" i="5"/>
  <c r="AA85" i="5" s="1"/>
  <c r="Z10" i="6"/>
  <c r="AA84" i="6"/>
  <c r="AA7" i="6"/>
  <c r="AA85" i="6" s="1"/>
  <c r="Z10" i="7"/>
  <c r="AA84" i="7"/>
  <c r="AA7" i="7"/>
  <c r="AA85" i="7" s="1"/>
  <c r="Z10" i="8"/>
  <c r="AA84" i="8"/>
  <c r="AA7" i="8"/>
  <c r="AA85" i="8" s="1"/>
  <c r="Z10" i="9"/>
  <c r="AA84" i="9"/>
  <c r="AA7" i="9"/>
  <c r="AA85" i="9" s="1"/>
  <c r="Z10" i="10"/>
  <c r="AA84" i="10"/>
  <c r="AA7" i="10"/>
  <c r="AA85" i="10" s="1"/>
  <c r="Z10" i="11"/>
  <c r="AA84" i="11"/>
  <c r="AA7" i="11"/>
  <c r="AA85" i="11" s="1"/>
  <c r="Z10" i="12"/>
  <c r="AA84" i="12"/>
  <c r="AA7" i="12"/>
  <c r="AA85" i="12" s="1"/>
  <c r="Z10" i="13"/>
  <c r="AA84" i="13"/>
  <c r="AA7" i="13"/>
  <c r="AA85" i="13" s="1"/>
  <c r="Z10" i="14"/>
  <c r="AA84" i="14"/>
  <c r="AA7" i="14"/>
  <c r="AA85" i="14" s="1"/>
  <c r="Z10" i="15"/>
  <c r="AA84" i="15"/>
  <c r="AA7" i="15"/>
  <c r="AA85" i="15" s="1"/>
  <c r="Z10" i="16"/>
  <c r="AA84" i="16"/>
  <c r="AA7" i="16"/>
  <c r="AA85" i="16" s="1"/>
  <c r="Z10" i="17"/>
  <c r="AA84" i="17"/>
  <c r="AA7" i="17"/>
  <c r="AA85" i="17" s="1"/>
  <c r="Z10" i="18"/>
  <c r="AA84" i="18"/>
  <c r="AA7" i="18"/>
  <c r="AA85" i="18" s="1"/>
  <c r="Z10" i="19"/>
  <c r="AA84" i="19"/>
  <c r="AA7" i="19"/>
  <c r="AA85" i="19" s="1"/>
  <c r="Z10" i="20"/>
  <c r="AA84" i="20"/>
  <c r="AA7" i="20"/>
  <c r="AA85" i="20" s="1"/>
  <c r="Z10" i="21"/>
  <c r="AA84" i="21"/>
  <c r="AA7" i="21"/>
  <c r="AA85" i="21" s="1"/>
  <c r="Z10" i="22"/>
  <c r="AA84" i="22"/>
  <c r="AA7" i="22"/>
  <c r="AA85" i="22" s="1"/>
  <c r="Z10" i="23"/>
  <c r="AA84" i="23"/>
  <c r="AA7" i="23"/>
  <c r="AA85" i="23" s="1"/>
  <c r="Z10" i="24"/>
  <c r="AA84" i="24"/>
  <c r="AA7" i="24"/>
  <c r="AA85" i="24" s="1"/>
  <c r="Z10" i="25"/>
  <c r="AA84" i="25"/>
  <c r="AA7" i="25"/>
  <c r="AA85" i="25" s="1"/>
  <c r="Z10" i="26"/>
  <c r="AA84" i="26"/>
  <c r="AA7" i="26"/>
  <c r="AA85" i="26" s="1"/>
  <c r="Z10" i="27"/>
  <c r="AA84" i="27"/>
  <c r="AA7" i="27"/>
  <c r="AA85" i="27" s="1"/>
  <c r="Z10" i="28"/>
  <c r="AA84" i="28"/>
  <c r="AA7" i="28"/>
  <c r="AA85" i="28" s="1"/>
  <c r="Z10" i="29"/>
  <c r="AA84" i="29"/>
  <c r="AA7" i="29"/>
  <c r="AA85" i="29" s="1"/>
  <c r="Z10" i="30"/>
  <c r="AA84" i="30"/>
  <c r="AA7" i="30"/>
  <c r="AA85" i="30" s="1"/>
  <c r="Z10" i="31"/>
  <c r="AA84" i="31"/>
  <c r="AA7" i="31"/>
  <c r="AA85" i="31" s="1"/>
  <c r="AA84" i="32"/>
  <c r="AA7" i="32"/>
  <c r="AA85" i="32" s="1"/>
  <c r="X62" i="5" l="1"/>
  <c r="X82" i="5" s="1"/>
  <c r="AC62" i="5"/>
  <c r="AC82" i="5" s="1"/>
  <c r="T62" i="5"/>
  <c r="R62" i="5"/>
  <c r="V62" i="5"/>
  <c r="S62" i="5"/>
  <c r="L2342" i="38"/>
  <c r="T62" i="32"/>
  <c r="X62" i="32"/>
  <c r="X83" i="32" s="1"/>
  <c r="R62" i="32"/>
  <c r="AC62" i="32"/>
  <c r="AC82" i="32" s="1"/>
  <c r="Z85" i="32"/>
  <c r="V62" i="32"/>
  <c r="S62" i="32"/>
  <c r="Z8" i="32"/>
  <c r="Z82" i="32"/>
  <c r="Z83" i="32" s="1"/>
  <c r="Z9" i="32"/>
  <c r="Z84" i="32"/>
  <c r="Z7" i="32"/>
  <c r="F4503" i="38"/>
  <c r="L2330" i="38"/>
  <c r="Y82" i="32"/>
  <c r="Y82" i="31"/>
  <c r="Y82" i="30"/>
  <c r="Y82" i="29"/>
  <c r="Y82" i="28"/>
  <c r="Y82" i="27"/>
  <c r="Y82" i="26"/>
  <c r="Y82" i="25"/>
  <c r="Y82" i="19"/>
  <c r="Y82" i="24"/>
  <c r="Y82" i="23"/>
  <c r="Y82" i="22"/>
  <c r="Y82" i="21"/>
  <c r="Y82" i="20"/>
  <c r="Y82" i="18"/>
  <c r="Y82" i="17"/>
  <c r="Y82" i="16"/>
  <c r="Y82" i="15"/>
  <c r="Y82" i="14"/>
  <c r="Y82" i="13"/>
  <c r="Y82" i="12"/>
  <c r="Y82" i="11"/>
  <c r="Y82" i="10"/>
  <c r="Y82" i="9"/>
  <c r="Y82" i="8"/>
  <c r="Y82" i="7"/>
  <c r="Y82" i="6"/>
  <c r="Y82" i="4"/>
  <c r="Y82" i="5"/>
  <c r="K84" i="5" s="1"/>
  <c r="X83" i="4"/>
  <c r="X82" i="4"/>
  <c r="X83" i="5"/>
  <c r="X83" i="6"/>
  <c r="X82" i="6"/>
  <c r="X83" i="7"/>
  <c r="X82" i="7"/>
  <c r="X83" i="8"/>
  <c r="X82" i="8"/>
  <c r="X83" i="9"/>
  <c r="X82" i="9"/>
  <c r="X83" i="10"/>
  <c r="X82" i="10"/>
  <c r="X83" i="11"/>
  <c r="X82" i="11"/>
  <c r="X83" i="12"/>
  <c r="X82" i="12"/>
  <c r="X83" i="13"/>
  <c r="X82" i="13"/>
  <c r="X83" i="14"/>
  <c r="X82" i="14"/>
  <c r="X83" i="15"/>
  <c r="X82" i="15"/>
  <c r="X83" i="16"/>
  <c r="X82" i="16"/>
  <c r="X83" i="17"/>
  <c r="X82" i="17"/>
  <c r="X83" i="18"/>
  <c r="X82" i="18"/>
  <c r="X83" i="19"/>
  <c r="X82" i="19"/>
  <c r="X83" i="20"/>
  <c r="X82" i="20"/>
  <c r="X83" i="21"/>
  <c r="X82" i="21"/>
  <c r="X83" i="22"/>
  <c r="X82" i="22"/>
  <c r="X83" i="23"/>
  <c r="X82" i="23"/>
  <c r="X83" i="24"/>
  <c r="X82" i="24"/>
  <c r="X83" i="25"/>
  <c r="X82" i="25"/>
  <c r="X83" i="26"/>
  <c r="X82" i="26"/>
  <c r="X83" i="27"/>
  <c r="X82" i="27"/>
  <c r="X83" i="28"/>
  <c r="X82" i="28"/>
  <c r="X83" i="29"/>
  <c r="X82" i="29"/>
  <c r="X83" i="30"/>
  <c r="X82" i="30"/>
  <c r="X83" i="31"/>
  <c r="X82" i="31"/>
  <c r="AE63" i="3"/>
  <c r="AE64" i="3"/>
  <c r="AE65" i="3"/>
  <c r="AE66" i="3"/>
  <c r="AE67" i="3"/>
  <c r="AE68" i="3"/>
  <c r="AE69" i="3"/>
  <c r="AE70" i="3"/>
  <c r="AE71" i="3"/>
  <c r="AE72" i="3"/>
  <c r="AE73" i="3"/>
  <c r="AE74" i="3"/>
  <c r="AE75" i="3"/>
  <c r="AE76" i="3"/>
  <c r="AE77" i="3"/>
  <c r="AE78" i="3"/>
  <c r="AE79" i="3"/>
  <c r="AE80" i="3"/>
  <c r="AE81" i="3"/>
  <c r="AE62" i="3"/>
  <c r="N52" i="38" l="1"/>
  <c r="H55" i="1"/>
  <c r="AA82" i="3"/>
  <c r="Z85" i="3"/>
  <c r="X82" i="32"/>
  <c r="X7" i="32" s="1"/>
  <c r="Z10" i="32"/>
  <c r="AD10" i="32"/>
  <c r="AD82" i="32"/>
  <c r="AD7" i="32" s="1"/>
  <c r="AD9" i="32"/>
  <c r="AD83" i="32"/>
  <c r="AA9" i="3"/>
  <c r="AA83" i="3"/>
  <c r="AA7" i="3" s="1"/>
  <c r="AA8" i="3"/>
  <c r="AA86" i="3" s="1"/>
  <c r="X7" i="31"/>
  <c r="X7" i="29"/>
  <c r="X7" i="27"/>
  <c r="X7" i="25"/>
  <c r="X7" i="23"/>
  <c r="X7" i="21"/>
  <c r="X7" i="19"/>
  <c r="X7" i="17"/>
  <c r="X7" i="15"/>
  <c r="X7" i="13"/>
  <c r="X7" i="11"/>
  <c r="X7" i="9"/>
  <c r="X7" i="7"/>
  <c r="X7" i="5"/>
  <c r="X7" i="30"/>
  <c r="X7" i="28"/>
  <c r="X7" i="26"/>
  <c r="X7" i="24"/>
  <c r="X7" i="22"/>
  <c r="X7" i="20"/>
  <c r="X7" i="18"/>
  <c r="X7" i="16"/>
  <c r="X7" i="14"/>
  <c r="X7" i="12"/>
  <c r="X7" i="10"/>
  <c r="X7" i="8"/>
  <c r="X7" i="6"/>
  <c r="X7" i="4"/>
  <c r="AA10" i="3"/>
  <c r="Z82" i="3"/>
  <c r="Z83" i="3" s="1"/>
  <c r="Z7" i="3"/>
  <c r="Z8" i="3"/>
  <c r="Z9" i="3"/>
  <c r="Z84" i="3"/>
  <c r="AD8" i="32" l="1"/>
  <c r="AA85" i="3"/>
  <c r="AA84" i="3"/>
  <c r="Z10" i="3"/>
  <c r="Z80" i="3"/>
  <c r="Z81" i="3"/>
  <c r="AC65" i="3"/>
  <c r="AC66" i="3"/>
  <c r="AC67" i="3"/>
  <c r="AC68" i="3"/>
  <c r="AC69" i="3"/>
  <c r="AC70" i="3"/>
  <c r="AC71" i="3"/>
  <c r="AC72" i="3"/>
  <c r="AC73" i="3"/>
  <c r="AC74" i="3"/>
  <c r="AC75" i="3"/>
  <c r="AC76" i="3"/>
  <c r="AC77" i="3"/>
  <c r="AC78" i="3"/>
  <c r="AC79" i="3"/>
  <c r="AC80" i="3"/>
  <c r="AC81" i="3"/>
  <c r="X65" i="3"/>
  <c r="X66" i="3"/>
  <c r="X67" i="3"/>
  <c r="X68" i="3"/>
  <c r="X69" i="3"/>
  <c r="X70" i="3"/>
  <c r="X71" i="3"/>
  <c r="X72" i="3"/>
  <c r="X73" i="3"/>
  <c r="X74" i="3"/>
  <c r="X75" i="3"/>
  <c r="X76" i="3"/>
  <c r="X77" i="3"/>
  <c r="X78" i="3"/>
  <c r="X79" i="3"/>
  <c r="X80" i="3"/>
  <c r="X81" i="3"/>
  <c r="V65" i="3"/>
  <c r="V66" i="3"/>
  <c r="V67" i="3"/>
  <c r="V68" i="3"/>
  <c r="V69" i="3"/>
  <c r="V70" i="3"/>
  <c r="V71" i="3"/>
  <c r="V72" i="3"/>
  <c r="V73" i="3"/>
  <c r="V74" i="3"/>
  <c r="V75" i="3"/>
  <c r="V76" i="3"/>
  <c r="V77" i="3"/>
  <c r="V78" i="3"/>
  <c r="V79" i="3"/>
  <c r="V80" i="3"/>
  <c r="V81" i="3"/>
  <c r="T65" i="3"/>
  <c r="T66" i="3"/>
  <c r="T67" i="3"/>
  <c r="T68" i="3"/>
  <c r="T69" i="3"/>
  <c r="T70" i="3"/>
  <c r="T71" i="3"/>
  <c r="T72" i="3"/>
  <c r="T73" i="3"/>
  <c r="T74" i="3"/>
  <c r="T75" i="3"/>
  <c r="T76" i="3"/>
  <c r="T77" i="3"/>
  <c r="T78" i="3"/>
  <c r="T79" i="3"/>
  <c r="T80" i="3"/>
  <c r="T81" i="3"/>
  <c r="S65" i="3"/>
  <c r="S66" i="3"/>
  <c r="S67" i="3"/>
  <c r="S68" i="3"/>
  <c r="S69" i="3"/>
  <c r="S70" i="3"/>
  <c r="S71" i="3"/>
  <c r="S72" i="3"/>
  <c r="S73" i="3"/>
  <c r="S74" i="3"/>
  <c r="S75" i="3"/>
  <c r="S76" i="3"/>
  <c r="S77" i="3"/>
  <c r="S78" i="3"/>
  <c r="S79" i="3"/>
  <c r="S80" i="3"/>
  <c r="S81" i="3"/>
  <c r="R65" i="3"/>
  <c r="R66" i="3"/>
  <c r="R67" i="3"/>
  <c r="R68" i="3"/>
  <c r="R69" i="3"/>
  <c r="R70" i="3"/>
  <c r="R71" i="3"/>
  <c r="R72" i="3"/>
  <c r="R73" i="3"/>
  <c r="R74" i="3"/>
  <c r="R75" i="3"/>
  <c r="R76" i="3"/>
  <c r="R77" i="3"/>
  <c r="R78" i="3"/>
  <c r="R79" i="3"/>
  <c r="R80" i="3"/>
  <c r="R81" i="3"/>
  <c r="U81" i="3"/>
  <c r="U80" i="3"/>
  <c r="U79" i="3"/>
  <c r="U78" i="3"/>
  <c r="U77" i="3"/>
  <c r="U76" i="3"/>
  <c r="U75" i="3"/>
  <c r="U74" i="3"/>
  <c r="U73" i="3"/>
  <c r="U72" i="3"/>
  <c r="U71" i="3"/>
  <c r="U70" i="3"/>
  <c r="U69" i="3"/>
  <c r="U68" i="3"/>
  <c r="U67" i="3"/>
  <c r="U66" i="3"/>
  <c r="U65" i="3"/>
  <c r="U64" i="3"/>
  <c r="U63" i="3"/>
  <c r="U62" i="3"/>
  <c r="K2" i="1" l="1"/>
  <c r="A8128" i="38" l="1"/>
  <c r="A8127" i="38"/>
  <c r="A8126" i="38"/>
  <c r="A8125" i="38"/>
  <c r="A8124" i="38"/>
  <c r="A8123" i="38"/>
  <c r="A8122" i="38"/>
  <c r="A8121" i="38"/>
  <c r="A8120" i="38"/>
  <c r="A8119" i="38"/>
  <c r="A8118" i="38"/>
  <c r="A8117" i="38"/>
  <c r="A8116" i="38"/>
  <c r="A8115" i="38"/>
  <c r="A8114" i="38"/>
  <c r="A8113" i="38"/>
  <c r="A8112" i="38"/>
  <c r="A8111" i="38"/>
  <c r="A8110" i="38"/>
  <c r="A8109" i="38"/>
  <c r="A8108" i="38"/>
  <c r="A8107" i="38"/>
  <c r="A8106" i="38"/>
  <c r="A8105" i="38"/>
  <c r="A8104" i="38"/>
  <c r="A8103" i="38"/>
  <c r="A8102" i="38"/>
  <c r="A8101" i="38"/>
  <c r="A8100" i="38"/>
  <c r="A8099" i="38"/>
  <c r="C8128" i="38" l="1"/>
  <c r="B8128" i="38"/>
  <c r="C8127" i="38"/>
  <c r="B8127" i="38"/>
  <c r="C8126" i="38"/>
  <c r="B8126" i="38"/>
  <c r="C8125" i="38"/>
  <c r="B8125" i="38"/>
  <c r="C8124" i="38"/>
  <c r="B8124" i="38"/>
  <c r="C8123" i="38"/>
  <c r="B8123" i="38"/>
  <c r="C8122" i="38"/>
  <c r="B8122" i="38"/>
  <c r="C8121" i="38"/>
  <c r="B8121" i="38"/>
  <c r="C8120" i="38"/>
  <c r="B8120" i="38"/>
  <c r="C8119" i="38"/>
  <c r="B8119" i="38"/>
  <c r="C8118" i="38"/>
  <c r="B8118" i="38"/>
  <c r="C8117" i="38"/>
  <c r="B8117" i="38"/>
  <c r="C8116" i="38"/>
  <c r="B8116" i="38"/>
  <c r="C8115" i="38"/>
  <c r="B8115" i="38"/>
  <c r="C8114" i="38"/>
  <c r="B8114" i="38"/>
  <c r="C8113" i="38"/>
  <c r="B8113" i="38"/>
  <c r="C8112" i="38"/>
  <c r="B8112" i="38"/>
  <c r="C8111" i="38"/>
  <c r="B8111" i="38"/>
  <c r="C8110" i="38"/>
  <c r="B8110" i="38"/>
  <c r="C8109" i="38"/>
  <c r="B8109" i="38"/>
  <c r="C8108" i="38"/>
  <c r="B8108" i="38"/>
  <c r="C8107" i="38"/>
  <c r="B8107" i="38"/>
  <c r="C8106" i="38"/>
  <c r="B8106" i="38"/>
  <c r="C8105" i="38"/>
  <c r="B8105" i="38"/>
  <c r="C8104" i="38"/>
  <c r="B8104" i="38"/>
  <c r="C8103" i="38"/>
  <c r="B8103" i="38"/>
  <c r="C8102" i="38"/>
  <c r="B8102" i="38"/>
  <c r="C8101" i="38"/>
  <c r="B8101" i="38"/>
  <c r="C8100" i="38"/>
  <c r="B8100" i="38"/>
  <c r="C8099" i="38"/>
  <c r="B8099" i="38"/>
  <c r="I60" i="2"/>
  <c r="J60" i="2"/>
  <c r="H60" i="2"/>
  <c r="F60" i="2"/>
  <c r="E60" i="2"/>
  <c r="D60" i="2"/>
  <c r="B8095" i="38"/>
  <c r="A8095" i="38"/>
  <c r="H8095" i="38"/>
  <c r="G8095" i="38"/>
  <c r="F8095" i="38"/>
  <c r="E8095" i="38"/>
  <c r="D8095" i="38"/>
  <c r="C8095" i="38"/>
  <c r="K5" i="2"/>
  <c r="H5" i="2"/>
  <c r="F5" i="2"/>
  <c r="D5" i="2"/>
  <c r="B5" i="2"/>
  <c r="K4" i="2"/>
  <c r="B4" i="2"/>
  <c r="H2" i="2"/>
  <c r="E2" i="2"/>
  <c r="A2" i="2"/>
  <c r="K5" i="37" l="1"/>
  <c r="H5" i="37"/>
  <c r="F5" i="37"/>
  <c r="D5" i="37"/>
  <c r="B5" i="37"/>
  <c r="K4" i="37"/>
  <c r="B4" i="37"/>
  <c r="J2" i="37"/>
  <c r="G2" i="37"/>
  <c r="A2" i="37"/>
  <c r="DA17" i="38" l="1"/>
  <c r="C79" i="38" l="1"/>
  <c r="B79" i="38"/>
  <c r="C78" i="38"/>
  <c r="B78" i="38"/>
  <c r="C77" i="38"/>
  <c r="B77" i="38"/>
  <c r="C76" i="38"/>
  <c r="B76" i="38"/>
  <c r="C75" i="38"/>
  <c r="B75" i="38"/>
  <c r="C74" i="38"/>
  <c r="B74" i="38"/>
  <c r="C73" i="38"/>
  <c r="B73" i="38"/>
  <c r="C72" i="38"/>
  <c r="B72" i="38"/>
  <c r="C71" i="38"/>
  <c r="B71" i="38"/>
  <c r="C70" i="38"/>
  <c r="B70" i="38"/>
  <c r="C69" i="38"/>
  <c r="B69" i="38"/>
  <c r="C68" i="38"/>
  <c r="B68" i="38"/>
  <c r="C67" i="38"/>
  <c r="B67" i="38"/>
  <c r="C66" i="38"/>
  <c r="B66" i="38"/>
  <c r="C65" i="38"/>
  <c r="B65" i="38"/>
  <c r="C64" i="38"/>
  <c r="B64" i="38"/>
  <c r="C63" i="38"/>
  <c r="B63" i="38"/>
  <c r="C62" i="38"/>
  <c r="B62" i="38"/>
  <c r="C61" i="38"/>
  <c r="B61" i="38"/>
  <c r="C60" i="38"/>
  <c r="B60" i="38"/>
  <c r="C59" i="38"/>
  <c r="B59" i="38"/>
  <c r="C58" i="38"/>
  <c r="B58" i="38"/>
  <c r="C57" i="38"/>
  <c r="B57" i="38"/>
  <c r="C56" i="38"/>
  <c r="B56" i="38"/>
  <c r="C55" i="38"/>
  <c r="B55" i="38"/>
  <c r="C54" i="38"/>
  <c r="B54" i="38"/>
  <c r="C53" i="38"/>
  <c r="B53" i="38"/>
  <c r="C52" i="38"/>
  <c r="B52" i="38"/>
  <c r="C51" i="38"/>
  <c r="B51" i="38"/>
  <c r="C50" i="38"/>
  <c r="B50" i="38"/>
  <c r="DB17" i="38" l="1"/>
  <c r="G5" i="35" l="1"/>
  <c r="H6" i="34"/>
  <c r="G5" i="33"/>
  <c r="M102" i="38" l="1"/>
  <c r="L102" i="38"/>
  <c r="K102" i="38"/>
  <c r="J102" i="38"/>
  <c r="I102" i="38"/>
  <c r="H102" i="38"/>
  <c r="G102" i="38"/>
  <c r="F102" i="38"/>
  <c r="E102" i="38"/>
  <c r="D102" i="38"/>
  <c r="C102" i="38"/>
  <c r="B102" i="38"/>
  <c r="M101" i="38"/>
  <c r="L101" i="38"/>
  <c r="K101" i="38"/>
  <c r="J101" i="38"/>
  <c r="I101" i="38"/>
  <c r="H101" i="38"/>
  <c r="G101" i="38"/>
  <c r="F101" i="38"/>
  <c r="E101" i="38"/>
  <c r="D101" i="38"/>
  <c r="C101" i="38"/>
  <c r="B101" i="38"/>
  <c r="M100" i="38"/>
  <c r="L100" i="38"/>
  <c r="K100" i="38"/>
  <c r="J100" i="38"/>
  <c r="I100" i="38"/>
  <c r="H100" i="38"/>
  <c r="G100" i="38"/>
  <c r="F100" i="38"/>
  <c r="E100" i="38"/>
  <c r="D100" i="38"/>
  <c r="C100" i="38"/>
  <c r="B100" i="38"/>
  <c r="M99" i="38"/>
  <c r="L99" i="38"/>
  <c r="K99" i="38"/>
  <c r="J99" i="38"/>
  <c r="I99" i="38"/>
  <c r="H99" i="38"/>
  <c r="G99" i="38"/>
  <c r="F99" i="38"/>
  <c r="E99" i="38"/>
  <c r="D99" i="38"/>
  <c r="C99" i="38"/>
  <c r="B99" i="38"/>
  <c r="M98" i="38"/>
  <c r="L98" i="38"/>
  <c r="K98" i="38"/>
  <c r="J98" i="38"/>
  <c r="I98" i="38"/>
  <c r="H98" i="38"/>
  <c r="G98" i="38"/>
  <c r="F98" i="38"/>
  <c r="E98" i="38"/>
  <c r="D98" i="38"/>
  <c r="C98" i="38"/>
  <c r="B98" i="38"/>
  <c r="M97" i="38"/>
  <c r="L97" i="38"/>
  <c r="K97" i="38"/>
  <c r="J97" i="38"/>
  <c r="I97" i="38"/>
  <c r="H97" i="38"/>
  <c r="G97" i="38"/>
  <c r="F97" i="38"/>
  <c r="E97" i="38"/>
  <c r="D97" i="38"/>
  <c r="C97" i="38"/>
  <c r="B97" i="38"/>
  <c r="M96" i="38"/>
  <c r="L96" i="38"/>
  <c r="K96" i="38"/>
  <c r="J96" i="38"/>
  <c r="I96" i="38"/>
  <c r="H96" i="38"/>
  <c r="G96" i="38"/>
  <c r="F96" i="38"/>
  <c r="E96" i="38"/>
  <c r="D96" i="38"/>
  <c r="C96" i="38"/>
  <c r="B96" i="38"/>
  <c r="M95" i="38"/>
  <c r="L95" i="38"/>
  <c r="K95" i="38"/>
  <c r="J95" i="38"/>
  <c r="I95" i="38"/>
  <c r="H95" i="38"/>
  <c r="G95" i="38"/>
  <c r="F95" i="38"/>
  <c r="E95" i="38"/>
  <c r="D95" i="38"/>
  <c r="C95" i="38"/>
  <c r="B95" i="38"/>
  <c r="M94" i="38"/>
  <c r="L94" i="38"/>
  <c r="K94" i="38"/>
  <c r="J94" i="38"/>
  <c r="I94" i="38"/>
  <c r="H94" i="38"/>
  <c r="G94" i="38"/>
  <c r="F94" i="38"/>
  <c r="E94" i="38"/>
  <c r="D94" i="38"/>
  <c r="C94" i="38"/>
  <c r="B94" i="38"/>
  <c r="M93" i="38"/>
  <c r="L93" i="38"/>
  <c r="K93" i="38"/>
  <c r="J93" i="38"/>
  <c r="I93" i="38"/>
  <c r="H93" i="38"/>
  <c r="G93" i="38"/>
  <c r="F93" i="38"/>
  <c r="E93" i="38"/>
  <c r="D93" i="38"/>
  <c r="C93" i="38"/>
  <c r="B93" i="38"/>
  <c r="M92" i="38"/>
  <c r="L92" i="38"/>
  <c r="K92" i="38"/>
  <c r="J92" i="38"/>
  <c r="I92" i="38"/>
  <c r="H92" i="38"/>
  <c r="G92" i="38"/>
  <c r="F92" i="38"/>
  <c r="E92" i="38"/>
  <c r="D92" i="38"/>
  <c r="C92" i="38"/>
  <c r="B92" i="38"/>
  <c r="M91" i="38"/>
  <c r="L91" i="38"/>
  <c r="K91" i="38"/>
  <c r="J91" i="38"/>
  <c r="I91" i="38"/>
  <c r="H91" i="38"/>
  <c r="G91" i="38"/>
  <c r="F91" i="38"/>
  <c r="E91" i="38"/>
  <c r="D91" i="38"/>
  <c r="C91" i="38"/>
  <c r="B91" i="38"/>
  <c r="M90" i="38"/>
  <c r="L90" i="38"/>
  <c r="K90" i="38"/>
  <c r="J90" i="38"/>
  <c r="I90" i="38"/>
  <c r="H90" i="38"/>
  <c r="G90" i="38"/>
  <c r="F90" i="38"/>
  <c r="E90" i="38"/>
  <c r="D90" i="38"/>
  <c r="C90" i="38"/>
  <c r="B90" i="38"/>
  <c r="M89" i="38"/>
  <c r="L89" i="38"/>
  <c r="K89" i="38"/>
  <c r="J89" i="38"/>
  <c r="I89" i="38"/>
  <c r="H89" i="38"/>
  <c r="G89" i="38"/>
  <c r="F89" i="38"/>
  <c r="E89" i="38"/>
  <c r="D89" i="38"/>
  <c r="C89" i="38"/>
  <c r="B89" i="38"/>
  <c r="M88" i="38"/>
  <c r="L88" i="38"/>
  <c r="K88" i="38"/>
  <c r="J88" i="38"/>
  <c r="I88" i="38"/>
  <c r="H88" i="38"/>
  <c r="G88" i="38"/>
  <c r="F88" i="38"/>
  <c r="E88" i="38"/>
  <c r="D88" i="38"/>
  <c r="C88" i="38"/>
  <c r="B88" i="38"/>
  <c r="M87" i="38"/>
  <c r="L87" i="38"/>
  <c r="K87" i="38"/>
  <c r="J87" i="38"/>
  <c r="I87" i="38"/>
  <c r="H87" i="38"/>
  <c r="G87" i="38"/>
  <c r="F87" i="38"/>
  <c r="E87" i="38"/>
  <c r="D87" i="38"/>
  <c r="C87" i="38"/>
  <c r="B87" i="38"/>
  <c r="M86" i="38"/>
  <c r="L86" i="38"/>
  <c r="K86" i="38"/>
  <c r="J86" i="38"/>
  <c r="I86" i="38"/>
  <c r="H86" i="38"/>
  <c r="G86" i="38"/>
  <c r="F86" i="38"/>
  <c r="E86" i="38"/>
  <c r="D86" i="38"/>
  <c r="C86" i="38"/>
  <c r="B86" i="38"/>
  <c r="M85" i="38"/>
  <c r="L85" i="38"/>
  <c r="K85" i="38"/>
  <c r="J85" i="38"/>
  <c r="I85" i="38"/>
  <c r="H85" i="38"/>
  <c r="G85" i="38"/>
  <c r="F85" i="38"/>
  <c r="E85" i="38"/>
  <c r="D85" i="38"/>
  <c r="C85" i="38"/>
  <c r="B85" i="38"/>
  <c r="M84" i="38"/>
  <c r="L84" i="38"/>
  <c r="K84" i="38"/>
  <c r="J84" i="38"/>
  <c r="I84" i="38"/>
  <c r="H84" i="38"/>
  <c r="G84" i="38"/>
  <c r="F84" i="38"/>
  <c r="E84" i="38"/>
  <c r="D84" i="38"/>
  <c r="C84" i="38"/>
  <c r="B84" i="38"/>
  <c r="M83" i="38"/>
  <c r="L83" i="38"/>
  <c r="K83" i="38"/>
  <c r="J83" i="38"/>
  <c r="I83" i="38"/>
  <c r="H83" i="38"/>
  <c r="G83" i="38"/>
  <c r="F83" i="38"/>
  <c r="E83" i="38"/>
  <c r="D83" i="38"/>
  <c r="C83" i="38"/>
  <c r="B83" i="38"/>
  <c r="I17" i="38" l="1"/>
  <c r="H17" i="38"/>
  <c r="B5" i="33"/>
  <c r="B4" i="33"/>
  <c r="H2" i="33"/>
  <c r="F2" i="33"/>
  <c r="A2" i="33"/>
  <c r="J5" i="33"/>
  <c r="J4" i="33"/>
  <c r="I3" i="34"/>
  <c r="F3" i="34"/>
  <c r="A3" i="34"/>
  <c r="K6" i="34"/>
  <c r="K5" i="34"/>
  <c r="H10" i="35"/>
  <c r="H9" i="35"/>
  <c r="H8" i="35"/>
  <c r="H7" i="35"/>
  <c r="C10" i="35"/>
  <c r="C9" i="35"/>
  <c r="H2" i="35"/>
  <c r="F2" i="35"/>
  <c r="A2" i="35"/>
  <c r="J5" i="35"/>
  <c r="J4" i="35"/>
  <c r="J5" i="1"/>
  <c r="J4" i="1"/>
  <c r="H2870" i="38" l="1"/>
  <c r="G2870" i="38"/>
  <c r="E2870" i="38"/>
  <c r="D2870" i="38"/>
  <c r="C2870" i="38"/>
  <c r="H2869" i="38"/>
  <c r="G2869" i="38"/>
  <c r="E2869" i="38"/>
  <c r="D2869" i="38"/>
  <c r="C2869" i="38"/>
  <c r="H2868" i="38"/>
  <c r="G2868" i="38"/>
  <c r="E2868" i="38"/>
  <c r="D2868" i="38"/>
  <c r="C2868" i="38"/>
  <c r="H2867" i="38"/>
  <c r="G2867" i="38"/>
  <c r="E2867" i="38"/>
  <c r="D2867" i="38"/>
  <c r="C2867" i="38"/>
  <c r="H2866" i="38"/>
  <c r="G2866" i="38"/>
  <c r="E2866" i="38"/>
  <c r="D2866" i="38"/>
  <c r="C2866" i="38"/>
  <c r="H2865" i="38"/>
  <c r="G2865" i="38"/>
  <c r="E2865" i="38"/>
  <c r="D2865" i="38"/>
  <c r="C2865" i="38"/>
  <c r="H2864" i="38"/>
  <c r="G2864" i="38"/>
  <c r="E2864" i="38"/>
  <c r="D2864" i="38"/>
  <c r="C2864" i="38"/>
  <c r="H2863" i="38"/>
  <c r="G2863" i="38"/>
  <c r="E2863" i="38"/>
  <c r="D2863" i="38"/>
  <c r="C2863" i="38"/>
  <c r="H2862" i="38"/>
  <c r="G2862" i="38"/>
  <c r="E2862" i="38"/>
  <c r="D2862" i="38"/>
  <c r="C2862" i="38"/>
  <c r="H2861" i="38"/>
  <c r="G2861" i="38"/>
  <c r="E2861" i="38"/>
  <c r="D2861" i="38"/>
  <c r="C2861" i="38"/>
  <c r="H2860" i="38"/>
  <c r="G2860" i="38"/>
  <c r="E2860" i="38"/>
  <c r="D2860" i="38"/>
  <c r="C2860" i="38"/>
  <c r="H2859" i="38"/>
  <c r="G2859" i="38"/>
  <c r="E2859" i="38"/>
  <c r="D2859" i="38"/>
  <c r="C2859" i="38"/>
  <c r="H2858" i="38"/>
  <c r="G2858" i="38"/>
  <c r="E2858" i="38"/>
  <c r="D2858" i="38"/>
  <c r="C2858" i="38"/>
  <c r="H2857" i="38"/>
  <c r="G2857" i="38"/>
  <c r="E2857" i="38"/>
  <c r="D2857" i="38"/>
  <c r="C2857" i="38"/>
  <c r="H2856" i="38"/>
  <c r="G2856" i="38"/>
  <c r="E2856" i="38"/>
  <c r="D2856" i="38"/>
  <c r="C2856" i="38"/>
  <c r="H2855" i="38"/>
  <c r="G2855" i="38"/>
  <c r="E2855" i="38"/>
  <c r="D2855" i="38"/>
  <c r="C2855" i="38"/>
  <c r="H2854" i="38"/>
  <c r="G2854" i="38"/>
  <c r="E2854" i="38"/>
  <c r="D2854" i="38"/>
  <c r="C2854" i="38"/>
  <c r="H2853" i="38"/>
  <c r="G2853" i="38"/>
  <c r="E2853" i="38"/>
  <c r="D2853" i="38"/>
  <c r="C2853" i="38"/>
  <c r="H2852" i="38"/>
  <c r="G2852" i="38"/>
  <c r="E2852" i="38"/>
  <c r="D2852" i="38"/>
  <c r="C2852" i="38"/>
  <c r="H2851" i="38"/>
  <c r="G2851" i="38"/>
  <c r="E2851" i="38"/>
  <c r="D2851" i="38"/>
  <c r="C2851" i="38"/>
  <c r="H2850" i="38"/>
  <c r="G2850" i="38"/>
  <c r="E2850" i="38"/>
  <c r="D2850" i="38"/>
  <c r="C2850" i="38"/>
  <c r="H2849" i="38"/>
  <c r="G2849" i="38"/>
  <c r="E2849" i="38"/>
  <c r="D2849" i="38"/>
  <c r="C2849" i="38"/>
  <c r="H2848" i="38"/>
  <c r="G2848" i="38"/>
  <c r="E2848" i="38"/>
  <c r="D2848" i="38"/>
  <c r="C2848" i="38"/>
  <c r="H2847" i="38"/>
  <c r="G2847" i="38"/>
  <c r="E2847" i="38"/>
  <c r="D2847" i="38"/>
  <c r="C2847" i="38"/>
  <c r="H2846" i="38"/>
  <c r="G2846" i="38"/>
  <c r="E2846" i="38"/>
  <c r="D2846" i="38"/>
  <c r="C2846" i="38"/>
  <c r="H2845" i="38"/>
  <c r="G2845" i="38"/>
  <c r="E2845" i="38"/>
  <c r="D2845" i="38"/>
  <c r="C2845" i="38"/>
  <c r="H2844" i="38"/>
  <c r="G2844" i="38"/>
  <c r="E2844" i="38"/>
  <c r="D2844" i="38"/>
  <c r="C2844" i="38"/>
  <c r="H2843" i="38"/>
  <c r="G2843" i="38"/>
  <c r="E2843" i="38"/>
  <c r="D2843" i="38"/>
  <c r="C2843" i="38"/>
  <c r="H2842" i="38"/>
  <c r="G2842" i="38"/>
  <c r="E2842" i="38"/>
  <c r="D2842" i="38"/>
  <c r="C2842" i="38"/>
  <c r="H2841" i="38"/>
  <c r="G2841" i="38"/>
  <c r="E2841" i="38"/>
  <c r="D2841" i="38"/>
  <c r="C2841" i="38"/>
  <c r="H2840" i="38"/>
  <c r="G2840" i="38"/>
  <c r="E2840" i="38"/>
  <c r="D2840" i="38"/>
  <c r="C2840" i="38"/>
  <c r="H2839" i="38"/>
  <c r="G2839" i="38"/>
  <c r="E2839" i="38"/>
  <c r="D2839" i="38"/>
  <c r="C2839" i="38"/>
  <c r="H2838" i="38"/>
  <c r="G2838" i="38"/>
  <c r="E2838" i="38"/>
  <c r="D2838" i="38"/>
  <c r="C2838" i="38"/>
  <c r="H2837" i="38"/>
  <c r="G2837" i="38"/>
  <c r="E2837" i="38"/>
  <c r="D2837" i="38"/>
  <c r="C2837" i="38"/>
  <c r="H2836" i="38"/>
  <c r="G2836" i="38"/>
  <c r="E2836" i="38"/>
  <c r="D2836" i="38"/>
  <c r="C2836" i="38"/>
  <c r="H2835" i="38"/>
  <c r="G2835" i="38"/>
  <c r="E2835" i="38"/>
  <c r="D2835" i="38"/>
  <c r="C2835" i="38"/>
  <c r="H2834" i="38"/>
  <c r="G2834" i="38"/>
  <c r="E2834" i="38"/>
  <c r="D2834" i="38"/>
  <c r="C2834" i="38"/>
  <c r="H2833" i="38"/>
  <c r="G2833" i="38"/>
  <c r="E2833" i="38"/>
  <c r="D2833" i="38"/>
  <c r="C2833" i="38"/>
  <c r="H2832" i="38"/>
  <c r="G2832" i="38"/>
  <c r="E2832" i="38"/>
  <c r="D2832" i="38"/>
  <c r="C2832" i="38"/>
  <c r="H2831" i="38"/>
  <c r="G2831" i="38"/>
  <c r="E2831" i="38"/>
  <c r="D2831" i="38"/>
  <c r="C2831" i="38"/>
  <c r="H2830" i="38"/>
  <c r="G2830" i="38"/>
  <c r="E2830" i="38"/>
  <c r="D2830" i="38"/>
  <c r="C2830" i="38"/>
  <c r="H2829" i="38"/>
  <c r="G2829" i="38"/>
  <c r="E2829" i="38"/>
  <c r="D2829" i="38"/>
  <c r="C2829" i="38"/>
  <c r="H2828" i="38"/>
  <c r="G2828" i="38"/>
  <c r="E2828" i="38"/>
  <c r="D2828" i="38"/>
  <c r="C2828" i="38"/>
  <c r="H2827" i="38"/>
  <c r="G2827" i="38"/>
  <c r="E2827" i="38"/>
  <c r="D2827" i="38"/>
  <c r="C2827" i="38"/>
  <c r="H2826" i="38"/>
  <c r="G2826" i="38"/>
  <c r="E2826" i="38"/>
  <c r="D2826" i="38"/>
  <c r="C2826" i="38"/>
  <c r="H2825" i="38"/>
  <c r="G2825" i="38"/>
  <c r="E2825" i="38"/>
  <c r="D2825" i="38"/>
  <c r="C2825" i="38"/>
  <c r="H2824" i="38"/>
  <c r="G2824" i="38"/>
  <c r="E2824" i="38"/>
  <c r="D2824" i="38"/>
  <c r="C2824" i="38"/>
  <c r="H2823" i="38"/>
  <c r="G2823" i="38"/>
  <c r="E2823" i="38"/>
  <c r="D2823" i="38"/>
  <c r="C2823" i="38"/>
  <c r="H2822" i="38"/>
  <c r="G2822" i="38"/>
  <c r="E2822" i="38"/>
  <c r="D2822" i="38"/>
  <c r="C2822" i="38"/>
  <c r="H2821" i="38"/>
  <c r="G2821" i="38"/>
  <c r="E2821" i="38"/>
  <c r="D2821" i="38"/>
  <c r="C2821" i="38"/>
  <c r="H2820" i="38"/>
  <c r="G2820" i="38"/>
  <c r="E2820" i="38"/>
  <c r="D2820" i="38"/>
  <c r="C2820" i="38"/>
  <c r="H2819" i="38"/>
  <c r="G2819" i="38"/>
  <c r="E2819" i="38"/>
  <c r="D2819" i="38"/>
  <c r="C2819" i="38"/>
  <c r="H2818" i="38"/>
  <c r="G2818" i="38"/>
  <c r="E2818" i="38"/>
  <c r="D2818" i="38"/>
  <c r="C2818" i="38"/>
  <c r="H2817" i="38"/>
  <c r="G2817" i="38"/>
  <c r="E2817" i="38"/>
  <c r="D2817" i="38"/>
  <c r="C2817" i="38"/>
  <c r="H2816" i="38"/>
  <c r="G2816" i="38"/>
  <c r="E2816" i="38"/>
  <c r="D2816" i="38"/>
  <c r="C2816" i="38"/>
  <c r="H2815" i="38"/>
  <c r="G2815" i="38"/>
  <c r="E2815" i="38"/>
  <c r="D2815" i="38"/>
  <c r="C2815" i="38"/>
  <c r="H2814" i="38"/>
  <c r="G2814" i="38"/>
  <c r="E2814" i="38"/>
  <c r="D2814" i="38"/>
  <c r="C2814" i="38"/>
  <c r="H2813" i="38"/>
  <c r="G2813" i="38"/>
  <c r="E2813" i="38"/>
  <c r="D2813" i="38"/>
  <c r="C2813" i="38"/>
  <c r="H2812" i="38"/>
  <c r="G2812" i="38"/>
  <c r="E2812" i="38"/>
  <c r="D2812" i="38"/>
  <c r="C2812" i="38"/>
  <c r="H2811" i="38"/>
  <c r="G2811" i="38"/>
  <c r="E2811" i="38"/>
  <c r="D2811" i="38"/>
  <c r="C2811" i="38"/>
  <c r="H2810" i="38"/>
  <c r="G2810" i="38"/>
  <c r="E2810" i="38"/>
  <c r="D2810" i="38"/>
  <c r="C2810" i="38"/>
  <c r="H2809" i="38"/>
  <c r="G2809" i="38"/>
  <c r="E2809" i="38"/>
  <c r="D2809" i="38"/>
  <c r="C2809" i="38"/>
  <c r="H2808" i="38"/>
  <c r="G2808" i="38"/>
  <c r="E2808" i="38"/>
  <c r="D2808" i="38"/>
  <c r="C2808" i="38"/>
  <c r="H2807" i="38"/>
  <c r="G2807" i="38"/>
  <c r="E2807" i="38"/>
  <c r="D2807" i="38"/>
  <c r="C2807" i="38"/>
  <c r="H2806" i="38"/>
  <c r="G2806" i="38"/>
  <c r="E2806" i="38"/>
  <c r="D2806" i="38"/>
  <c r="C2806" i="38"/>
  <c r="H2805" i="38"/>
  <c r="G2805" i="38"/>
  <c r="E2805" i="38"/>
  <c r="D2805" i="38"/>
  <c r="C2805" i="38"/>
  <c r="H2804" i="38"/>
  <c r="G2804" i="38"/>
  <c r="E2804" i="38"/>
  <c r="D2804" i="38"/>
  <c r="C2804" i="38"/>
  <c r="H2803" i="38"/>
  <c r="G2803" i="38"/>
  <c r="E2803" i="38"/>
  <c r="D2803" i="38"/>
  <c r="C2803" i="38"/>
  <c r="H2802" i="38"/>
  <c r="G2802" i="38"/>
  <c r="E2802" i="38"/>
  <c r="D2802" i="38"/>
  <c r="C2802" i="38"/>
  <c r="H2801" i="38"/>
  <c r="G2801" i="38"/>
  <c r="E2801" i="38"/>
  <c r="D2801" i="38"/>
  <c r="C2801" i="38"/>
  <c r="H2800" i="38"/>
  <c r="G2800" i="38"/>
  <c r="E2800" i="38"/>
  <c r="D2800" i="38"/>
  <c r="C2800" i="38"/>
  <c r="H2799" i="38"/>
  <c r="G2799" i="38"/>
  <c r="E2799" i="38"/>
  <c r="D2799" i="38"/>
  <c r="C2799" i="38"/>
  <c r="H2798" i="38"/>
  <c r="G2798" i="38"/>
  <c r="E2798" i="38"/>
  <c r="D2798" i="38"/>
  <c r="C2798" i="38"/>
  <c r="H2797" i="38"/>
  <c r="G2797" i="38"/>
  <c r="E2797" i="38"/>
  <c r="D2797" i="38"/>
  <c r="C2797" i="38"/>
  <c r="H2796" i="38"/>
  <c r="G2796" i="38"/>
  <c r="E2796" i="38"/>
  <c r="D2796" i="38"/>
  <c r="C2796" i="38"/>
  <c r="H2795" i="38"/>
  <c r="G2795" i="38"/>
  <c r="E2795" i="38"/>
  <c r="D2795" i="38"/>
  <c r="C2795" i="38"/>
  <c r="H2794" i="38"/>
  <c r="G2794" i="38"/>
  <c r="E2794" i="38"/>
  <c r="D2794" i="38"/>
  <c r="C2794" i="38"/>
  <c r="H2793" i="38"/>
  <c r="G2793" i="38"/>
  <c r="E2793" i="38"/>
  <c r="D2793" i="38"/>
  <c r="C2793" i="38"/>
  <c r="H2792" i="38"/>
  <c r="G2792" i="38"/>
  <c r="E2792" i="38"/>
  <c r="D2792" i="38"/>
  <c r="C2792" i="38"/>
  <c r="H2791" i="38"/>
  <c r="G2791" i="38"/>
  <c r="E2791" i="38"/>
  <c r="D2791" i="38"/>
  <c r="C2791" i="38"/>
  <c r="H2790" i="38"/>
  <c r="G2790" i="38"/>
  <c r="E2790" i="38"/>
  <c r="D2790" i="38"/>
  <c r="C2790" i="38"/>
  <c r="H2789" i="38"/>
  <c r="G2789" i="38"/>
  <c r="E2789" i="38"/>
  <c r="D2789" i="38"/>
  <c r="C2789" i="38"/>
  <c r="H2788" i="38"/>
  <c r="G2788" i="38"/>
  <c r="E2788" i="38"/>
  <c r="D2788" i="38"/>
  <c r="C2788" i="38"/>
  <c r="H2787" i="38"/>
  <c r="G2787" i="38"/>
  <c r="E2787" i="38"/>
  <c r="D2787" i="38"/>
  <c r="C2787" i="38"/>
  <c r="H2786" i="38"/>
  <c r="G2786" i="38"/>
  <c r="E2786" i="38"/>
  <c r="D2786" i="38"/>
  <c r="C2786" i="38"/>
  <c r="H2785" i="38"/>
  <c r="G2785" i="38"/>
  <c r="E2785" i="38"/>
  <c r="D2785" i="38"/>
  <c r="C2785" i="38"/>
  <c r="H2784" i="38"/>
  <c r="G2784" i="38"/>
  <c r="E2784" i="38"/>
  <c r="D2784" i="38"/>
  <c r="C2784" i="38"/>
  <c r="H2783" i="38"/>
  <c r="G2783" i="38"/>
  <c r="E2783" i="38"/>
  <c r="D2783" i="38"/>
  <c r="C2783" i="38"/>
  <c r="H2782" i="38"/>
  <c r="G2782" i="38"/>
  <c r="E2782" i="38"/>
  <c r="D2782" i="38"/>
  <c r="C2782" i="38"/>
  <c r="H2781" i="38"/>
  <c r="G2781" i="38"/>
  <c r="E2781" i="38"/>
  <c r="D2781" i="38"/>
  <c r="C2781" i="38"/>
  <c r="H2780" i="38"/>
  <c r="G2780" i="38"/>
  <c r="E2780" i="38"/>
  <c r="D2780" i="38"/>
  <c r="C2780" i="38"/>
  <c r="H2779" i="38"/>
  <c r="G2779" i="38"/>
  <c r="E2779" i="38"/>
  <c r="D2779" i="38"/>
  <c r="C2779" i="38"/>
  <c r="H2778" i="38"/>
  <c r="G2778" i="38"/>
  <c r="E2778" i="38"/>
  <c r="D2778" i="38"/>
  <c r="C2778" i="38"/>
  <c r="H2777" i="38"/>
  <c r="G2777" i="38"/>
  <c r="E2777" i="38"/>
  <c r="D2777" i="38"/>
  <c r="C2777" i="38"/>
  <c r="H2776" i="38"/>
  <c r="G2776" i="38"/>
  <c r="E2776" i="38"/>
  <c r="D2776" i="38"/>
  <c r="C2776" i="38"/>
  <c r="H2775" i="38"/>
  <c r="G2775" i="38"/>
  <c r="E2775" i="38"/>
  <c r="D2775" i="38"/>
  <c r="C2775" i="38"/>
  <c r="H2774" i="38"/>
  <c r="G2774" i="38"/>
  <c r="E2774" i="38"/>
  <c r="D2774" i="38"/>
  <c r="C2774" i="38"/>
  <c r="H2773" i="38"/>
  <c r="G2773" i="38"/>
  <c r="E2773" i="38"/>
  <c r="D2773" i="38"/>
  <c r="C2773" i="38"/>
  <c r="H2772" i="38"/>
  <c r="G2772" i="38"/>
  <c r="E2772" i="38"/>
  <c r="D2772" i="38"/>
  <c r="C2772" i="38"/>
  <c r="H2771" i="38"/>
  <c r="G2771" i="38"/>
  <c r="E2771" i="38"/>
  <c r="D2771" i="38"/>
  <c r="C2771" i="38"/>
  <c r="H2770" i="38"/>
  <c r="G2770" i="38"/>
  <c r="E2770" i="38"/>
  <c r="D2770" i="38"/>
  <c r="C2770" i="38"/>
  <c r="H2769" i="38"/>
  <c r="G2769" i="38"/>
  <c r="E2769" i="38"/>
  <c r="D2769" i="38"/>
  <c r="C2769" i="38"/>
  <c r="H2768" i="38"/>
  <c r="G2768" i="38"/>
  <c r="E2768" i="38"/>
  <c r="D2768" i="38"/>
  <c r="C2768" i="38"/>
  <c r="H2767" i="38"/>
  <c r="G2767" i="38"/>
  <c r="E2767" i="38"/>
  <c r="D2767" i="38"/>
  <c r="C2767" i="38"/>
  <c r="H2766" i="38"/>
  <c r="G2766" i="38"/>
  <c r="E2766" i="38"/>
  <c r="D2766" i="38"/>
  <c r="C2766" i="38"/>
  <c r="H2765" i="38"/>
  <c r="G2765" i="38"/>
  <c r="E2765" i="38"/>
  <c r="D2765" i="38"/>
  <c r="C2765" i="38"/>
  <c r="H2764" i="38"/>
  <c r="G2764" i="38"/>
  <c r="E2764" i="38"/>
  <c r="D2764" i="38"/>
  <c r="C2764" i="38"/>
  <c r="H2763" i="38"/>
  <c r="G2763" i="38"/>
  <c r="E2763" i="38"/>
  <c r="D2763" i="38"/>
  <c r="C2763" i="38"/>
  <c r="H2762" i="38"/>
  <c r="G2762" i="38"/>
  <c r="E2762" i="38"/>
  <c r="D2762" i="38"/>
  <c r="C2762" i="38"/>
  <c r="H2761" i="38"/>
  <c r="G2761" i="38"/>
  <c r="E2761" i="38"/>
  <c r="D2761" i="38"/>
  <c r="C2761" i="38"/>
  <c r="H2760" i="38"/>
  <c r="G2760" i="38"/>
  <c r="E2760" i="38"/>
  <c r="D2760" i="38"/>
  <c r="C2760" i="38"/>
  <c r="H2759" i="38"/>
  <c r="G2759" i="38"/>
  <c r="E2759" i="38"/>
  <c r="D2759" i="38"/>
  <c r="C2759" i="38"/>
  <c r="H2758" i="38"/>
  <c r="G2758" i="38"/>
  <c r="E2758" i="38"/>
  <c r="D2758" i="38"/>
  <c r="C2758" i="38"/>
  <c r="H2757" i="38"/>
  <c r="G2757" i="38"/>
  <c r="E2757" i="38"/>
  <c r="D2757" i="38"/>
  <c r="C2757" i="38"/>
  <c r="H2756" i="38"/>
  <c r="G2756" i="38"/>
  <c r="E2756" i="38"/>
  <c r="D2756" i="38"/>
  <c r="C2756" i="38"/>
  <c r="H2755" i="38"/>
  <c r="G2755" i="38"/>
  <c r="E2755" i="38"/>
  <c r="D2755" i="38"/>
  <c r="C2755" i="38"/>
  <c r="H2754" i="38"/>
  <c r="G2754" i="38"/>
  <c r="E2754" i="38"/>
  <c r="D2754" i="38"/>
  <c r="C2754" i="38"/>
  <c r="H2753" i="38"/>
  <c r="G2753" i="38"/>
  <c r="E2753" i="38"/>
  <c r="D2753" i="38"/>
  <c r="C2753" i="38"/>
  <c r="H2752" i="38"/>
  <c r="G2752" i="38"/>
  <c r="E2752" i="38"/>
  <c r="D2752" i="38"/>
  <c r="C2752" i="38"/>
  <c r="H2751" i="38"/>
  <c r="G2751" i="38"/>
  <c r="E2751" i="38"/>
  <c r="D2751" i="38"/>
  <c r="C2751" i="38"/>
  <c r="H2750" i="38"/>
  <c r="G2750" i="38"/>
  <c r="E2750" i="38"/>
  <c r="D2750" i="38"/>
  <c r="C2750" i="38"/>
  <c r="H2749" i="38"/>
  <c r="G2749" i="38"/>
  <c r="E2749" i="38"/>
  <c r="D2749" i="38"/>
  <c r="C2749" i="38"/>
  <c r="H2748" i="38"/>
  <c r="G2748" i="38"/>
  <c r="E2748" i="38"/>
  <c r="D2748" i="38"/>
  <c r="C2748" i="38"/>
  <c r="H2747" i="38"/>
  <c r="G2747" i="38"/>
  <c r="E2747" i="38"/>
  <c r="D2747" i="38"/>
  <c r="C2747" i="38"/>
  <c r="H2746" i="38"/>
  <c r="G2746" i="38"/>
  <c r="E2746" i="38"/>
  <c r="D2746" i="38"/>
  <c r="C2746" i="38"/>
  <c r="H2745" i="38"/>
  <c r="G2745" i="38"/>
  <c r="E2745" i="38"/>
  <c r="D2745" i="38"/>
  <c r="C2745" i="38"/>
  <c r="H2744" i="38"/>
  <c r="G2744" i="38"/>
  <c r="E2744" i="38"/>
  <c r="D2744" i="38"/>
  <c r="C2744" i="38"/>
  <c r="H2743" i="38"/>
  <c r="G2743" i="38"/>
  <c r="E2743" i="38"/>
  <c r="D2743" i="38"/>
  <c r="C2743" i="38"/>
  <c r="H2742" i="38"/>
  <c r="G2742" i="38"/>
  <c r="E2742" i="38"/>
  <c r="D2742" i="38"/>
  <c r="C2742" i="38"/>
  <c r="H2741" i="38"/>
  <c r="G2741" i="38"/>
  <c r="E2741" i="38"/>
  <c r="D2741" i="38"/>
  <c r="C2741" i="38"/>
  <c r="H2740" i="38"/>
  <c r="G2740" i="38"/>
  <c r="E2740" i="38"/>
  <c r="D2740" i="38"/>
  <c r="C2740" i="38"/>
  <c r="H2739" i="38"/>
  <c r="G2739" i="38"/>
  <c r="E2739" i="38"/>
  <c r="D2739" i="38"/>
  <c r="C2739" i="38"/>
  <c r="H2738" i="38"/>
  <c r="G2738" i="38"/>
  <c r="E2738" i="38"/>
  <c r="D2738" i="38"/>
  <c r="C2738" i="38"/>
  <c r="H2737" i="38"/>
  <c r="G2737" i="38"/>
  <c r="E2737" i="38"/>
  <c r="D2737" i="38"/>
  <c r="C2737" i="38"/>
  <c r="H2736" i="38"/>
  <c r="G2736" i="38"/>
  <c r="E2736" i="38"/>
  <c r="D2736" i="38"/>
  <c r="C2736" i="38"/>
  <c r="H2735" i="38"/>
  <c r="G2735" i="38"/>
  <c r="E2735" i="38"/>
  <c r="D2735" i="38"/>
  <c r="C2735" i="38"/>
  <c r="H2734" i="38"/>
  <c r="G2734" i="38"/>
  <c r="E2734" i="38"/>
  <c r="D2734" i="38"/>
  <c r="C2734" i="38"/>
  <c r="H2733" i="38"/>
  <c r="G2733" i="38"/>
  <c r="E2733" i="38"/>
  <c r="D2733" i="38"/>
  <c r="C2733" i="38"/>
  <c r="H2732" i="38"/>
  <c r="G2732" i="38"/>
  <c r="E2732" i="38"/>
  <c r="D2732" i="38"/>
  <c r="C2732" i="38"/>
  <c r="H2731" i="38"/>
  <c r="G2731" i="38"/>
  <c r="E2731" i="38"/>
  <c r="D2731" i="38"/>
  <c r="C2731" i="38"/>
  <c r="H2730" i="38"/>
  <c r="G2730" i="38"/>
  <c r="E2730" i="38"/>
  <c r="D2730" i="38"/>
  <c r="C2730" i="38"/>
  <c r="H2729" i="38"/>
  <c r="G2729" i="38"/>
  <c r="E2729" i="38"/>
  <c r="D2729" i="38"/>
  <c r="C2729" i="38"/>
  <c r="H2728" i="38"/>
  <c r="G2728" i="38"/>
  <c r="E2728" i="38"/>
  <c r="D2728" i="38"/>
  <c r="C2728" i="38"/>
  <c r="H2727" i="38"/>
  <c r="G2727" i="38"/>
  <c r="E2727" i="38"/>
  <c r="D2727" i="38"/>
  <c r="C2727" i="38"/>
  <c r="H2726" i="38"/>
  <c r="G2726" i="38"/>
  <c r="E2726" i="38"/>
  <c r="D2726" i="38"/>
  <c r="C2726" i="38"/>
  <c r="H2725" i="38"/>
  <c r="G2725" i="38"/>
  <c r="E2725" i="38"/>
  <c r="D2725" i="38"/>
  <c r="C2725" i="38"/>
  <c r="H2724" i="38"/>
  <c r="G2724" i="38"/>
  <c r="E2724" i="38"/>
  <c r="D2724" i="38"/>
  <c r="C2724" i="38"/>
  <c r="H2723" i="38"/>
  <c r="G2723" i="38"/>
  <c r="E2723" i="38"/>
  <c r="D2723" i="38"/>
  <c r="C2723" i="38"/>
  <c r="H2722" i="38"/>
  <c r="G2722" i="38"/>
  <c r="E2722" i="38"/>
  <c r="D2722" i="38"/>
  <c r="C2722" i="38"/>
  <c r="H2721" i="38"/>
  <c r="G2721" i="38"/>
  <c r="E2721" i="38"/>
  <c r="D2721" i="38"/>
  <c r="C2721" i="38"/>
  <c r="H2720" i="38"/>
  <c r="G2720" i="38"/>
  <c r="E2720" i="38"/>
  <c r="D2720" i="38"/>
  <c r="C2720" i="38"/>
  <c r="H2719" i="38"/>
  <c r="G2719" i="38"/>
  <c r="E2719" i="38"/>
  <c r="D2719" i="38"/>
  <c r="C2719" i="38"/>
  <c r="H2718" i="38"/>
  <c r="G2718" i="38"/>
  <c r="E2718" i="38"/>
  <c r="D2718" i="38"/>
  <c r="C2718" i="38"/>
  <c r="H2717" i="38"/>
  <c r="G2717" i="38"/>
  <c r="E2717" i="38"/>
  <c r="D2717" i="38"/>
  <c r="C2717" i="38"/>
  <c r="H2716" i="38"/>
  <c r="G2716" i="38"/>
  <c r="E2716" i="38"/>
  <c r="D2716" i="38"/>
  <c r="C2716" i="38"/>
  <c r="H2715" i="38"/>
  <c r="G2715" i="38"/>
  <c r="E2715" i="38"/>
  <c r="D2715" i="38"/>
  <c r="C2715" i="38"/>
  <c r="H2714" i="38"/>
  <c r="G2714" i="38"/>
  <c r="E2714" i="38"/>
  <c r="D2714" i="38"/>
  <c r="C2714" i="38"/>
  <c r="H2713" i="38"/>
  <c r="G2713" i="38"/>
  <c r="E2713" i="38"/>
  <c r="D2713" i="38"/>
  <c r="C2713" i="38"/>
  <c r="H2712" i="38"/>
  <c r="G2712" i="38"/>
  <c r="E2712" i="38"/>
  <c r="D2712" i="38"/>
  <c r="C2712" i="38"/>
  <c r="H2711" i="38"/>
  <c r="G2711" i="38"/>
  <c r="E2711" i="38"/>
  <c r="D2711" i="38"/>
  <c r="C2711" i="38"/>
  <c r="H2710" i="38"/>
  <c r="G2710" i="38"/>
  <c r="E2710" i="38"/>
  <c r="D2710" i="38"/>
  <c r="C2710" i="38"/>
  <c r="H2709" i="38"/>
  <c r="G2709" i="38"/>
  <c r="E2709" i="38"/>
  <c r="D2709" i="38"/>
  <c r="C2709" i="38"/>
  <c r="H2708" i="38"/>
  <c r="G2708" i="38"/>
  <c r="E2708" i="38"/>
  <c r="D2708" i="38"/>
  <c r="C2708" i="38"/>
  <c r="H2707" i="38"/>
  <c r="G2707" i="38"/>
  <c r="E2707" i="38"/>
  <c r="D2707" i="38"/>
  <c r="C2707" i="38"/>
  <c r="H2706" i="38"/>
  <c r="G2706" i="38"/>
  <c r="E2706" i="38"/>
  <c r="D2706" i="38"/>
  <c r="C2706" i="38"/>
  <c r="H2705" i="38"/>
  <c r="G2705" i="38"/>
  <c r="E2705" i="38"/>
  <c r="D2705" i="38"/>
  <c r="C2705" i="38"/>
  <c r="H2704" i="38"/>
  <c r="G2704" i="38"/>
  <c r="E2704" i="38"/>
  <c r="D2704" i="38"/>
  <c r="C2704" i="38"/>
  <c r="H2703" i="38"/>
  <c r="G2703" i="38"/>
  <c r="E2703" i="38"/>
  <c r="D2703" i="38"/>
  <c r="C2703" i="38"/>
  <c r="H2702" i="38"/>
  <c r="G2702" i="38"/>
  <c r="E2702" i="38"/>
  <c r="D2702" i="38"/>
  <c r="C2702" i="38"/>
  <c r="H2701" i="38"/>
  <c r="G2701" i="38"/>
  <c r="E2701" i="38"/>
  <c r="D2701" i="38"/>
  <c r="C2701" i="38"/>
  <c r="H2700" i="38"/>
  <c r="G2700" i="38"/>
  <c r="E2700" i="38"/>
  <c r="D2700" i="38"/>
  <c r="C2700" i="38"/>
  <c r="H2699" i="38"/>
  <c r="G2699" i="38"/>
  <c r="E2699" i="38"/>
  <c r="D2699" i="38"/>
  <c r="C2699" i="38"/>
  <c r="H2698" i="38"/>
  <c r="G2698" i="38"/>
  <c r="E2698" i="38"/>
  <c r="D2698" i="38"/>
  <c r="C2698" i="38"/>
  <c r="H2697" i="38"/>
  <c r="G2697" i="38"/>
  <c r="E2697" i="38"/>
  <c r="D2697" i="38"/>
  <c r="C2697" i="38"/>
  <c r="H2696" i="38"/>
  <c r="G2696" i="38"/>
  <c r="E2696" i="38"/>
  <c r="D2696" i="38"/>
  <c r="C2696" i="38"/>
  <c r="H2695" i="38"/>
  <c r="G2695" i="38"/>
  <c r="E2695" i="38"/>
  <c r="D2695" i="38"/>
  <c r="C2695" i="38"/>
  <c r="H2694" i="38"/>
  <c r="G2694" i="38"/>
  <c r="E2694" i="38"/>
  <c r="D2694" i="38"/>
  <c r="C2694" i="38"/>
  <c r="H2693" i="38"/>
  <c r="G2693" i="38"/>
  <c r="E2693" i="38"/>
  <c r="D2693" i="38"/>
  <c r="C2693" i="38"/>
  <c r="H2692" i="38"/>
  <c r="G2692" i="38"/>
  <c r="E2692" i="38"/>
  <c r="D2692" i="38"/>
  <c r="C2692" i="38"/>
  <c r="H2691" i="38"/>
  <c r="G2691" i="38"/>
  <c r="E2691" i="38"/>
  <c r="D2691" i="38"/>
  <c r="C2691" i="38"/>
  <c r="M610" i="3"/>
  <c r="J2870" i="38" s="1"/>
  <c r="L610" i="3"/>
  <c r="I2870" i="38" s="1"/>
  <c r="M609" i="3"/>
  <c r="J2869" i="38" s="1"/>
  <c r="L609" i="3"/>
  <c r="I2869" i="38" s="1"/>
  <c r="M608" i="3"/>
  <c r="J2868" i="38" s="1"/>
  <c r="L608" i="3"/>
  <c r="I2868" i="38" s="1"/>
  <c r="M607" i="3"/>
  <c r="J2867" i="38" s="1"/>
  <c r="L607" i="3"/>
  <c r="I2867" i="38" s="1"/>
  <c r="M606" i="3"/>
  <c r="J2866" i="38" s="1"/>
  <c r="L606" i="3"/>
  <c r="I2866" i="38" s="1"/>
  <c r="M605" i="3"/>
  <c r="J2865" i="38" s="1"/>
  <c r="L605" i="3"/>
  <c r="I2865" i="38" s="1"/>
  <c r="M604" i="3"/>
  <c r="J2864" i="38" s="1"/>
  <c r="L604" i="3"/>
  <c r="I2864" i="38" s="1"/>
  <c r="M603" i="3"/>
  <c r="J2863" i="38" s="1"/>
  <c r="L603" i="3"/>
  <c r="I2863" i="38" s="1"/>
  <c r="M602" i="3"/>
  <c r="J2862" i="38" s="1"/>
  <c r="L602" i="3"/>
  <c r="I2862" i="38" s="1"/>
  <c r="M601" i="3"/>
  <c r="J2861" i="38" s="1"/>
  <c r="L601" i="3"/>
  <c r="I2861" i="38" s="1"/>
  <c r="M594" i="3"/>
  <c r="J2860" i="38" s="1"/>
  <c r="L594" i="3"/>
  <c r="I2860" i="38" s="1"/>
  <c r="M593" i="3"/>
  <c r="J2859" i="38" s="1"/>
  <c r="L593" i="3"/>
  <c r="I2859" i="38" s="1"/>
  <c r="M592" i="3"/>
  <c r="J2858" i="38" s="1"/>
  <c r="L592" i="3"/>
  <c r="I2858" i="38" s="1"/>
  <c r="M591" i="3"/>
  <c r="J2857" i="38" s="1"/>
  <c r="L591" i="3"/>
  <c r="I2857" i="38" s="1"/>
  <c r="M590" i="3"/>
  <c r="J2856" i="38" s="1"/>
  <c r="L590" i="3"/>
  <c r="I2856" i="38" s="1"/>
  <c r="M589" i="3"/>
  <c r="J2855" i="38" s="1"/>
  <c r="L589" i="3"/>
  <c r="I2855" i="38" s="1"/>
  <c r="M588" i="3"/>
  <c r="J2854" i="38" s="1"/>
  <c r="L588" i="3"/>
  <c r="I2854" i="38" s="1"/>
  <c r="M587" i="3"/>
  <c r="J2853" i="38" s="1"/>
  <c r="L587" i="3"/>
  <c r="I2853" i="38" s="1"/>
  <c r="M586" i="3"/>
  <c r="J2852" i="38" s="1"/>
  <c r="L586" i="3"/>
  <c r="I2852" i="38" s="1"/>
  <c r="M585" i="3"/>
  <c r="J2851" i="38" s="1"/>
  <c r="L585" i="3"/>
  <c r="I2851" i="38" s="1"/>
  <c r="M578" i="3"/>
  <c r="J2850" i="38" s="1"/>
  <c r="L578" i="3"/>
  <c r="I2850" i="38" s="1"/>
  <c r="M577" i="3"/>
  <c r="J2849" i="38" s="1"/>
  <c r="L577" i="3"/>
  <c r="I2849" i="38" s="1"/>
  <c r="M576" i="3"/>
  <c r="J2848" i="38" s="1"/>
  <c r="L576" i="3"/>
  <c r="I2848" i="38" s="1"/>
  <c r="M575" i="3"/>
  <c r="J2847" i="38" s="1"/>
  <c r="L575" i="3"/>
  <c r="I2847" i="38" s="1"/>
  <c r="M574" i="3"/>
  <c r="J2846" i="38" s="1"/>
  <c r="L574" i="3"/>
  <c r="I2846" i="38" s="1"/>
  <c r="M573" i="3"/>
  <c r="J2845" i="38" s="1"/>
  <c r="L573" i="3"/>
  <c r="I2845" i="38" s="1"/>
  <c r="M572" i="3"/>
  <c r="J2844" i="38" s="1"/>
  <c r="L572" i="3"/>
  <c r="I2844" i="38" s="1"/>
  <c r="M571" i="3"/>
  <c r="J2843" i="38" s="1"/>
  <c r="L571" i="3"/>
  <c r="I2843" i="38" s="1"/>
  <c r="M570" i="3"/>
  <c r="J2842" i="38" s="1"/>
  <c r="L570" i="3"/>
  <c r="I2842" i="38" s="1"/>
  <c r="M569" i="3"/>
  <c r="J2841" i="38" s="1"/>
  <c r="L569" i="3"/>
  <c r="I2841" i="38" s="1"/>
  <c r="M562" i="3"/>
  <c r="J2840" i="38" s="1"/>
  <c r="L562" i="3"/>
  <c r="I2840" i="38" s="1"/>
  <c r="M561" i="3"/>
  <c r="J2839" i="38" s="1"/>
  <c r="L561" i="3"/>
  <c r="I2839" i="38" s="1"/>
  <c r="M560" i="3"/>
  <c r="J2838" i="38" s="1"/>
  <c r="L560" i="3"/>
  <c r="I2838" i="38" s="1"/>
  <c r="M559" i="3"/>
  <c r="J2837" i="38" s="1"/>
  <c r="L559" i="3"/>
  <c r="I2837" i="38" s="1"/>
  <c r="M558" i="3"/>
  <c r="J2836" i="38" s="1"/>
  <c r="L558" i="3"/>
  <c r="I2836" i="38" s="1"/>
  <c r="M557" i="3"/>
  <c r="J2835" i="38" s="1"/>
  <c r="L557" i="3"/>
  <c r="I2835" i="38" s="1"/>
  <c r="M556" i="3"/>
  <c r="J2834" i="38" s="1"/>
  <c r="L556" i="3"/>
  <c r="I2834" i="38" s="1"/>
  <c r="M555" i="3"/>
  <c r="J2833" i="38" s="1"/>
  <c r="L555" i="3"/>
  <c r="I2833" i="38" s="1"/>
  <c r="M554" i="3"/>
  <c r="J2832" i="38" s="1"/>
  <c r="L554" i="3"/>
  <c r="I2832" i="38" s="1"/>
  <c r="M553" i="3"/>
  <c r="J2831" i="38" s="1"/>
  <c r="L553" i="3"/>
  <c r="I2831" i="38" s="1"/>
  <c r="M546" i="3"/>
  <c r="J2830" i="38" s="1"/>
  <c r="L546" i="3"/>
  <c r="I2830" i="38" s="1"/>
  <c r="M545" i="3"/>
  <c r="J2829" i="38" s="1"/>
  <c r="L545" i="3"/>
  <c r="I2829" i="38" s="1"/>
  <c r="M544" i="3"/>
  <c r="J2828" i="38" s="1"/>
  <c r="L544" i="3"/>
  <c r="I2828" i="38" s="1"/>
  <c r="M543" i="3"/>
  <c r="J2827" i="38" s="1"/>
  <c r="L543" i="3"/>
  <c r="I2827" i="38" s="1"/>
  <c r="M542" i="3"/>
  <c r="J2826" i="38" s="1"/>
  <c r="L542" i="3"/>
  <c r="I2826" i="38" s="1"/>
  <c r="M541" i="3"/>
  <c r="J2825" i="38" s="1"/>
  <c r="L541" i="3"/>
  <c r="I2825" i="38" s="1"/>
  <c r="M540" i="3"/>
  <c r="J2824" i="38" s="1"/>
  <c r="L540" i="3"/>
  <c r="I2824" i="38" s="1"/>
  <c r="M539" i="3"/>
  <c r="J2823" i="38" s="1"/>
  <c r="L539" i="3"/>
  <c r="I2823" i="38" s="1"/>
  <c r="M538" i="3"/>
  <c r="J2822" i="38" s="1"/>
  <c r="L538" i="3"/>
  <c r="I2822" i="38" s="1"/>
  <c r="M537" i="3"/>
  <c r="J2821" i="38" s="1"/>
  <c r="L537" i="3"/>
  <c r="I2821" i="38" s="1"/>
  <c r="M530" i="3"/>
  <c r="J2820" i="38" s="1"/>
  <c r="L530" i="3"/>
  <c r="I2820" i="38" s="1"/>
  <c r="M529" i="3"/>
  <c r="J2819" i="38" s="1"/>
  <c r="L529" i="3"/>
  <c r="I2819" i="38" s="1"/>
  <c r="M528" i="3"/>
  <c r="J2818" i="38" s="1"/>
  <c r="L528" i="3"/>
  <c r="I2818" i="38" s="1"/>
  <c r="M527" i="3"/>
  <c r="J2817" i="38" s="1"/>
  <c r="L527" i="3"/>
  <c r="I2817" i="38" s="1"/>
  <c r="M526" i="3"/>
  <c r="J2816" i="38" s="1"/>
  <c r="L526" i="3"/>
  <c r="I2816" i="38" s="1"/>
  <c r="M525" i="3"/>
  <c r="J2815" i="38" s="1"/>
  <c r="L525" i="3"/>
  <c r="I2815" i="38" s="1"/>
  <c r="M524" i="3"/>
  <c r="J2814" i="38" s="1"/>
  <c r="L524" i="3"/>
  <c r="I2814" i="38" s="1"/>
  <c r="M523" i="3"/>
  <c r="J2813" i="38" s="1"/>
  <c r="L523" i="3"/>
  <c r="I2813" i="38" s="1"/>
  <c r="M522" i="3"/>
  <c r="J2812" i="38" s="1"/>
  <c r="L522" i="3"/>
  <c r="I2812" i="38" s="1"/>
  <c r="M521" i="3"/>
  <c r="J2811" i="38" s="1"/>
  <c r="L521" i="3"/>
  <c r="I2811" i="38" s="1"/>
  <c r="M514" i="3"/>
  <c r="J2810" i="38" s="1"/>
  <c r="L514" i="3"/>
  <c r="I2810" i="38" s="1"/>
  <c r="M513" i="3"/>
  <c r="J2809" i="38" s="1"/>
  <c r="L513" i="3"/>
  <c r="I2809" i="38" s="1"/>
  <c r="M512" i="3"/>
  <c r="J2808" i="38" s="1"/>
  <c r="L512" i="3"/>
  <c r="I2808" i="38" s="1"/>
  <c r="M511" i="3"/>
  <c r="J2807" i="38" s="1"/>
  <c r="L511" i="3"/>
  <c r="I2807" i="38" s="1"/>
  <c r="M510" i="3"/>
  <c r="J2806" i="38" s="1"/>
  <c r="L510" i="3"/>
  <c r="I2806" i="38" s="1"/>
  <c r="M509" i="3"/>
  <c r="J2805" i="38" s="1"/>
  <c r="L509" i="3"/>
  <c r="I2805" i="38" s="1"/>
  <c r="M508" i="3"/>
  <c r="J2804" i="38" s="1"/>
  <c r="L508" i="3"/>
  <c r="I2804" i="38" s="1"/>
  <c r="M507" i="3"/>
  <c r="J2803" i="38" s="1"/>
  <c r="L507" i="3"/>
  <c r="I2803" i="38" s="1"/>
  <c r="M506" i="3"/>
  <c r="J2802" i="38" s="1"/>
  <c r="L506" i="3"/>
  <c r="I2802" i="38" s="1"/>
  <c r="M505" i="3"/>
  <c r="J2801" i="38" s="1"/>
  <c r="L505" i="3"/>
  <c r="I2801" i="38" s="1"/>
  <c r="M498" i="3"/>
  <c r="J2800" i="38" s="1"/>
  <c r="L498" i="3"/>
  <c r="I2800" i="38" s="1"/>
  <c r="M497" i="3"/>
  <c r="J2799" i="38" s="1"/>
  <c r="L497" i="3"/>
  <c r="I2799" i="38" s="1"/>
  <c r="M496" i="3"/>
  <c r="J2798" i="38" s="1"/>
  <c r="L496" i="3"/>
  <c r="I2798" i="38" s="1"/>
  <c r="M495" i="3"/>
  <c r="J2797" i="38" s="1"/>
  <c r="L495" i="3"/>
  <c r="I2797" i="38" s="1"/>
  <c r="M494" i="3"/>
  <c r="J2796" i="38" s="1"/>
  <c r="L494" i="3"/>
  <c r="I2796" i="38" s="1"/>
  <c r="M493" i="3"/>
  <c r="J2795" i="38" s="1"/>
  <c r="L493" i="3"/>
  <c r="I2795" i="38" s="1"/>
  <c r="M492" i="3"/>
  <c r="J2794" i="38" s="1"/>
  <c r="L492" i="3"/>
  <c r="I2794" i="38" s="1"/>
  <c r="M491" i="3"/>
  <c r="J2793" i="38" s="1"/>
  <c r="L491" i="3"/>
  <c r="I2793" i="38" s="1"/>
  <c r="M490" i="3"/>
  <c r="J2792" i="38" s="1"/>
  <c r="L490" i="3"/>
  <c r="I2792" i="38" s="1"/>
  <c r="M489" i="3"/>
  <c r="J2791" i="38" s="1"/>
  <c r="L489" i="3"/>
  <c r="I2791" i="38" s="1"/>
  <c r="M482" i="3"/>
  <c r="J2790" i="38" s="1"/>
  <c r="L482" i="3"/>
  <c r="I2790" i="38" s="1"/>
  <c r="M481" i="3"/>
  <c r="J2789" i="38" s="1"/>
  <c r="L481" i="3"/>
  <c r="I2789" i="38" s="1"/>
  <c r="M480" i="3"/>
  <c r="J2788" i="38" s="1"/>
  <c r="L480" i="3"/>
  <c r="I2788" i="38" s="1"/>
  <c r="M479" i="3"/>
  <c r="J2787" i="38" s="1"/>
  <c r="L479" i="3"/>
  <c r="I2787" i="38" s="1"/>
  <c r="M478" i="3"/>
  <c r="J2786" i="38" s="1"/>
  <c r="L478" i="3"/>
  <c r="I2786" i="38" s="1"/>
  <c r="M477" i="3"/>
  <c r="J2785" i="38" s="1"/>
  <c r="L477" i="3"/>
  <c r="I2785" i="38" s="1"/>
  <c r="M476" i="3"/>
  <c r="J2784" i="38" s="1"/>
  <c r="L476" i="3"/>
  <c r="I2784" i="38" s="1"/>
  <c r="M475" i="3"/>
  <c r="J2783" i="38" s="1"/>
  <c r="L475" i="3"/>
  <c r="I2783" i="38" s="1"/>
  <c r="M474" i="3"/>
  <c r="J2782" i="38" s="1"/>
  <c r="L474" i="3"/>
  <c r="I2782" i="38" s="1"/>
  <c r="M473" i="3"/>
  <c r="J2781" i="38" s="1"/>
  <c r="L473" i="3"/>
  <c r="I2781" i="38" s="1"/>
  <c r="M466" i="3"/>
  <c r="J2780" i="38" s="1"/>
  <c r="L466" i="3"/>
  <c r="I2780" i="38" s="1"/>
  <c r="M465" i="3"/>
  <c r="J2779" i="38" s="1"/>
  <c r="L465" i="3"/>
  <c r="I2779" i="38" s="1"/>
  <c r="M464" i="3"/>
  <c r="J2778" i="38" s="1"/>
  <c r="L464" i="3"/>
  <c r="I2778" i="38" s="1"/>
  <c r="M463" i="3"/>
  <c r="J2777" i="38" s="1"/>
  <c r="L463" i="3"/>
  <c r="I2777" i="38" s="1"/>
  <c r="M462" i="3"/>
  <c r="J2776" i="38" s="1"/>
  <c r="L462" i="3"/>
  <c r="I2776" i="38" s="1"/>
  <c r="M461" i="3"/>
  <c r="J2775" i="38" s="1"/>
  <c r="L461" i="3"/>
  <c r="I2775" i="38" s="1"/>
  <c r="M460" i="3"/>
  <c r="J2774" i="38" s="1"/>
  <c r="L460" i="3"/>
  <c r="I2774" i="38" s="1"/>
  <c r="M459" i="3"/>
  <c r="J2773" i="38" s="1"/>
  <c r="L459" i="3"/>
  <c r="I2773" i="38" s="1"/>
  <c r="M458" i="3"/>
  <c r="J2772" i="38" s="1"/>
  <c r="L458" i="3"/>
  <c r="I2772" i="38" s="1"/>
  <c r="M457" i="3"/>
  <c r="J2771" i="38" s="1"/>
  <c r="L457" i="3"/>
  <c r="I2771" i="38" s="1"/>
  <c r="M450" i="3"/>
  <c r="J2770" i="38" s="1"/>
  <c r="L450" i="3"/>
  <c r="I2770" i="38" s="1"/>
  <c r="M449" i="3"/>
  <c r="J2769" i="38" s="1"/>
  <c r="L449" i="3"/>
  <c r="I2769" i="38" s="1"/>
  <c r="M448" i="3"/>
  <c r="J2768" i="38" s="1"/>
  <c r="L448" i="3"/>
  <c r="I2768" i="38" s="1"/>
  <c r="M447" i="3"/>
  <c r="J2767" i="38" s="1"/>
  <c r="L447" i="3"/>
  <c r="I2767" i="38" s="1"/>
  <c r="M446" i="3"/>
  <c r="J2766" i="38" s="1"/>
  <c r="L446" i="3"/>
  <c r="I2766" i="38" s="1"/>
  <c r="M445" i="3"/>
  <c r="J2765" i="38" s="1"/>
  <c r="L445" i="3"/>
  <c r="I2765" i="38" s="1"/>
  <c r="M444" i="3"/>
  <c r="J2764" i="38" s="1"/>
  <c r="L444" i="3"/>
  <c r="I2764" i="38" s="1"/>
  <c r="M443" i="3"/>
  <c r="J2763" i="38" s="1"/>
  <c r="L443" i="3"/>
  <c r="I2763" i="38" s="1"/>
  <c r="M442" i="3"/>
  <c r="J2762" i="38" s="1"/>
  <c r="L442" i="3"/>
  <c r="I2762" i="38" s="1"/>
  <c r="M441" i="3"/>
  <c r="J2761" i="38" s="1"/>
  <c r="L441" i="3"/>
  <c r="I2761" i="38" s="1"/>
  <c r="M434" i="3"/>
  <c r="J2760" i="38" s="1"/>
  <c r="L434" i="3"/>
  <c r="I2760" i="38" s="1"/>
  <c r="M433" i="3"/>
  <c r="J2759" i="38" s="1"/>
  <c r="L433" i="3"/>
  <c r="I2759" i="38" s="1"/>
  <c r="M432" i="3"/>
  <c r="J2758" i="38" s="1"/>
  <c r="L432" i="3"/>
  <c r="I2758" i="38" s="1"/>
  <c r="M431" i="3"/>
  <c r="J2757" i="38" s="1"/>
  <c r="L431" i="3"/>
  <c r="I2757" i="38" s="1"/>
  <c r="M430" i="3"/>
  <c r="J2756" i="38" s="1"/>
  <c r="L430" i="3"/>
  <c r="I2756" i="38" s="1"/>
  <c r="M429" i="3"/>
  <c r="J2755" i="38" s="1"/>
  <c r="L429" i="3"/>
  <c r="I2755" i="38" s="1"/>
  <c r="M428" i="3"/>
  <c r="J2754" i="38" s="1"/>
  <c r="L428" i="3"/>
  <c r="I2754" i="38" s="1"/>
  <c r="M427" i="3"/>
  <c r="J2753" i="38" s="1"/>
  <c r="L427" i="3"/>
  <c r="I2753" i="38" s="1"/>
  <c r="M426" i="3"/>
  <c r="J2752" i="38" s="1"/>
  <c r="L426" i="3"/>
  <c r="I2752" i="38" s="1"/>
  <c r="M425" i="3"/>
  <c r="J2751" i="38" s="1"/>
  <c r="L425" i="3"/>
  <c r="I2751" i="38" s="1"/>
  <c r="M418" i="3"/>
  <c r="J2750" i="38" s="1"/>
  <c r="L418" i="3"/>
  <c r="I2750" i="38" s="1"/>
  <c r="M417" i="3"/>
  <c r="J2749" i="38" s="1"/>
  <c r="L417" i="3"/>
  <c r="I2749" i="38" s="1"/>
  <c r="M416" i="3"/>
  <c r="J2748" i="38" s="1"/>
  <c r="L416" i="3"/>
  <c r="I2748" i="38" s="1"/>
  <c r="M415" i="3"/>
  <c r="J2747" i="38" s="1"/>
  <c r="L415" i="3"/>
  <c r="I2747" i="38" s="1"/>
  <c r="M414" i="3"/>
  <c r="J2746" i="38" s="1"/>
  <c r="L414" i="3"/>
  <c r="I2746" i="38" s="1"/>
  <c r="M413" i="3"/>
  <c r="J2745" i="38" s="1"/>
  <c r="L413" i="3"/>
  <c r="I2745" i="38" s="1"/>
  <c r="M412" i="3"/>
  <c r="J2744" i="38" s="1"/>
  <c r="L412" i="3"/>
  <c r="I2744" i="38" s="1"/>
  <c r="M411" i="3"/>
  <c r="J2743" i="38" s="1"/>
  <c r="L411" i="3"/>
  <c r="I2743" i="38" s="1"/>
  <c r="M410" i="3"/>
  <c r="J2742" i="38" s="1"/>
  <c r="L410" i="3"/>
  <c r="I2742" i="38" s="1"/>
  <c r="M409" i="3"/>
  <c r="J2741" i="38" s="1"/>
  <c r="L409" i="3"/>
  <c r="I2741" i="38" s="1"/>
  <c r="M402" i="3"/>
  <c r="J2740" i="38" s="1"/>
  <c r="L402" i="3"/>
  <c r="I2740" i="38" s="1"/>
  <c r="M401" i="3"/>
  <c r="J2739" i="38" s="1"/>
  <c r="L401" i="3"/>
  <c r="I2739" i="38" s="1"/>
  <c r="M400" i="3"/>
  <c r="J2738" i="38" s="1"/>
  <c r="L400" i="3"/>
  <c r="I2738" i="38" s="1"/>
  <c r="M399" i="3"/>
  <c r="J2737" i="38" s="1"/>
  <c r="L399" i="3"/>
  <c r="I2737" i="38" s="1"/>
  <c r="M398" i="3"/>
  <c r="J2736" i="38" s="1"/>
  <c r="L398" i="3"/>
  <c r="I2736" i="38" s="1"/>
  <c r="M397" i="3"/>
  <c r="J2735" i="38" s="1"/>
  <c r="L397" i="3"/>
  <c r="I2735" i="38" s="1"/>
  <c r="M396" i="3"/>
  <c r="J2734" i="38" s="1"/>
  <c r="L396" i="3"/>
  <c r="I2734" i="38" s="1"/>
  <c r="M395" i="3"/>
  <c r="J2733" i="38" s="1"/>
  <c r="L395" i="3"/>
  <c r="I2733" i="38" s="1"/>
  <c r="M394" i="3"/>
  <c r="J2732" i="38" s="1"/>
  <c r="L394" i="3"/>
  <c r="I2732" i="38" s="1"/>
  <c r="M393" i="3"/>
  <c r="J2731" i="38" s="1"/>
  <c r="L393" i="3"/>
  <c r="I2731" i="38" s="1"/>
  <c r="M386" i="3"/>
  <c r="J2730" i="38" s="1"/>
  <c r="L386" i="3"/>
  <c r="I2730" i="38" s="1"/>
  <c r="M385" i="3"/>
  <c r="J2729" i="38" s="1"/>
  <c r="L385" i="3"/>
  <c r="I2729" i="38" s="1"/>
  <c r="M384" i="3"/>
  <c r="J2728" i="38" s="1"/>
  <c r="L384" i="3"/>
  <c r="I2728" i="38" s="1"/>
  <c r="M383" i="3"/>
  <c r="J2727" i="38" s="1"/>
  <c r="L383" i="3"/>
  <c r="I2727" i="38" s="1"/>
  <c r="M382" i="3"/>
  <c r="J2726" i="38" s="1"/>
  <c r="L382" i="3"/>
  <c r="I2726" i="38" s="1"/>
  <c r="M381" i="3"/>
  <c r="J2725" i="38" s="1"/>
  <c r="L381" i="3"/>
  <c r="I2725" i="38" s="1"/>
  <c r="M380" i="3"/>
  <c r="J2724" i="38" s="1"/>
  <c r="L380" i="3"/>
  <c r="I2724" i="38" s="1"/>
  <c r="M379" i="3"/>
  <c r="J2723" i="38" s="1"/>
  <c r="L379" i="3"/>
  <c r="I2723" i="38" s="1"/>
  <c r="M378" i="3"/>
  <c r="J2722" i="38" s="1"/>
  <c r="L378" i="3"/>
  <c r="I2722" i="38" s="1"/>
  <c r="M377" i="3"/>
  <c r="J2721" i="38" s="1"/>
  <c r="L377" i="3"/>
  <c r="I2721" i="38" s="1"/>
  <c r="M370" i="3"/>
  <c r="J2720" i="38" s="1"/>
  <c r="L370" i="3"/>
  <c r="I2720" i="38" s="1"/>
  <c r="M369" i="3"/>
  <c r="J2719" i="38" s="1"/>
  <c r="L369" i="3"/>
  <c r="I2719" i="38" s="1"/>
  <c r="M368" i="3"/>
  <c r="J2718" i="38" s="1"/>
  <c r="L368" i="3"/>
  <c r="I2718" i="38" s="1"/>
  <c r="M367" i="3"/>
  <c r="J2717" i="38" s="1"/>
  <c r="L367" i="3"/>
  <c r="I2717" i="38" s="1"/>
  <c r="M366" i="3"/>
  <c r="J2716" i="38" s="1"/>
  <c r="L366" i="3"/>
  <c r="I2716" i="38" s="1"/>
  <c r="M365" i="3"/>
  <c r="J2715" i="38" s="1"/>
  <c r="L365" i="3"/>
  <c r="I2715" i="38" s="1"/>
  <c r="M364" i="3"/>
  <c r="J2714" i="38" s="1"/>
  <c r="L364" i="3"/>
  <c r="I2714" i="38" s="1"/>
  <c r="M363" i="3"/>
  <c r="J2713" i="38" s="1"/>
  <c r="L363" i="3"/>
  <c r="I2713" i="38" s="1"/>
  <c r="M362" i="3"/>
  <c r="J2712" i="38" s="1"/>
  <c r="L362" i="3"/>
  <c r="I2712" i="38" s="1"/>
  <c r="M361" i="3"/>
  <c r="J2711" i="38" s="1"/>
  <c r="L361" i="3"/>
  <c r="I2711" i="38" s="1"/>
  <c r="M354" i="3"/>
  <c r="J2710" i="38" s="1"/>
  <c r="L354" i="3"/>
  <c r="I2710" i="38" s="1"/>
  <c r="M353" i="3"/>
  <c r="J2709" i="38" s="1"/>
  <c r="L353" i="3"/>
  <c r="I2709" i="38" s="1"/>
  <c r="M352" i="3"/>
  <c r="J2708" i="38" s="1"/>
  <c r="L352" i="3"/>
  <c r="I2708" i="38" s="1"/>
  <c r="M351" i="3"/>
  <c r="J2707" i="38" s="1"/>
  <c r="L351" i="3"/>
  <c r="I2707" i="38" s="1"/>
  <c r="M350" i="3"/>
  <c r="J2706" i="38" s="1"/>
  <c r="L350" i="3"/>
  <c r="I2706" i="38" s="1"/>
  <c r="M349" i="3"/>
  <c r="J2705" i="38" s="1"/>
  <c r="L349" i="3"/>
  <c r="I2705" i="38" s="1"/>
  <c r="M348" i="3"/>
  <c r="J2704" i="38" s="1"/>
  <c r="L348" i="3"/>
  <c r="I2704" i="38" s="1"/>
  <c r="M347" i="3"/>
  <c r="J2703" i="38" s="1"/>
  <c r="L347" i="3"/>
  <c r="I2703" i="38" s="1"/>
  <c r="M346" i="3"/>
  <c r="J2702" i="38" s="1"/>
  <c r="L346" i="3"/>
  <c r="I2702" i="38" s="1"/>
  <c r="M345" i="3"/>
  <c r="J2701" i="38" s="1"/>
  <c r="L345" i="3"/>
  <c r="I2701" i="38" s="1"/>
  <c r="L329" i="3"/>
  <c r="I2691" i="38" s="1"/>
  <c r="M338" i="3"/>
  <c r="J2700" i="38" s="1"/>
  <c r="L338" i="3"/>
  <c r="I2700" i="38" s="1"/>
  <c r="M337" i="3"/>
  <c r="J2699" i="38" s="1"/>
  <c r="L337" i="3"/>
  <c r="I2699" i="38" s="1"/>
  <c r="M336" i="3"/>
  <c r="J2698" i="38" s="1"/>
  <c r="L336" i="3"/>
  <c r="I2698" i="38" s="1"/>
  <c r="M335" i="3"/>
  <c r="J2697" i="38" s="1"/>
  <c r="L335" i="3"/>
  <c r="I2697" i="38" s="1"/>
  <c r="M334" i="3"/>
  <c r="J2696" i="38" s="1"/>
  <c r="L334" i="3"/>
  <c r="I2696" i="38" s="1"/>
  <c r="M333" i="3"/>
  <c r="J2695" i="38" s="1"/>
  <c r="L333" i="3"/>
  <c r="I2695" i="38" s="1"/>
  <c r="M332" i="3"/>
  <c r="J2694" i="38" s="1"/>
  <c r="L332" i="3"/>
  <c r="I2694" i="38" s="1"/>
  <c r="M331" i="3"/>
  <c r="J2693" i="38" s="1"/>
  <c r="L331" i="3"/>
  <c r="I2693" i="38" s="1"/>
  <c r="M330" i="3"/>
  <c r="J2692" i="38" s="1"/>
  <c r="L330" i="3"/>
  <c r="I2692" i="38" s="1"/>
  <c r="M329" i="3"/>
  <c r="J2691" i="38" s="1"/>
  <c r="F2165" i="38" l="1"/>
  <c r="E2165" i="38"/>
  <c r="D2165" i="38"/>
  <c r="C2165" i="38"/>
  <c r="F2164" i="38"/>
  <c r="E2164" i="38"/>
  <c r="D2164" i="38"/>
  <c r="C2164" i="38"/>
  <c r="F2163" i="38"/>
  <c r="E2163" i="38"/>
  <c r="D2163" i="38"/>
  <c r="C2163" i="38"/>
  <c r="F2162" i="38"/>
  <c r="E2162" i="38"/>
  <c r="D2162" i="38"/>
  <c r="C2162" i="38"/>
  <c r="F2161" i="38"/>
  <c r="E2161" i="38"/>
  <c r="D2161" i="38"/>
  <c r="C2161" i="38"/>
  <c r="F2160" i="38"/>
  <c r="E2160" i="38"/>
  <c r="D2160" i="38"/>
  <c r="C2160" i="38"/>
  <c r="F2159" i="38"/>
  <c r="E2159" i="38"/>
  <c r="D2159" i="38"/>
  <c r="C2159" i="38"/>
  <c r="F2158" i="38"/>
  <c r="E2158" i="38"/>
  <c r="D2158" i="38"/>
  <c r="C2158" i="38"/>
  <c r="F2157" i="38"/>
  <c r="E2157" i="38"/>
  <c r="D2157" i="38"/>
  <c r="C2157" i="38"/>
  <c r="F2156" i="38"/>
  <c r="E2156" i="38"/>
  <c r="D2156" i="38"/>
  <c r="C2156" i="38"/>
  <c r="F2155" i="38"/>
  <c r="E2155" i="38"/>
  <c r="D2155" i="38"/>
  <c r="C2155" i="38"/>
  <c r="F2154" i="38"/>
  <c r="E2154" i="38"/>
  <c r="D2154" i="38"/>
  <c r="C2154" i="38"/>
  <c r="F2153" i="38"/>
  <c r="E2153" i="38"/>
  <c r="D2153" i="38"/>
  <c r="C2153" i="38"/>
  <c r="F2152" i="38"/>
  <c r="E2152" i="38"/>
  <c r="D2152" i="38"/>
  <c r="C2152" i="38"/>
  <c r="F2151" i="38"/>
  <c r="E2151" i="38"/>
  <c r="D2151" i="38"/>
  <c r="C2151" i="38"/>
  <c r="F2150" i="38"/>
  <c r="E2150" i="38"/>
  <c r="D2150" i="38"/>
  <c r="C2150" i="38"/>
  <c r="F2149" i="38"/>
  <c r="E2149" i="38"/>
  <c r="D2149" i="38"/>
  <c r="C2149" i="38"/>
  <c r="F2148" i="38"/>
  <c r="E2148" i="38"/>
  <c r="D2148" i="38"/>
  <c r="C2148" i="38"/>
  <c r="E1968" i="38"/>
  <c r="D1968" i="38"/>
  <c r="C1968" i="38"/>
  <c r="E1967" i="38"/>
  <c r="D1967" i="38"/>
  <c r="C1967" i="38"/>
  <c r="E1966" i="38"/>
  <c r="D1966" i="38"/>
  <c r="C1966" i="38"/>
  <c r="E1965" i="38"/>
  <c r="D1965" i="38"/>
  <c r="C1965" i="38"/>
  <c r="E1964" i="38"/>
  <c r="D1964" i="38"/>
  <c r="C1964" i="38"/>
  <c r="E1963" i="38"/>
  <c r="D1963" i="38"/>
  <c r="C1963" i="38"/>
  <c r="G1843" i="38"/>
  <c r="F1843" i="38"/>
  <c r="E1843" i="38"/>
  <c r="D1843" i="38"/>
  <c r="C1843" i="38"/>
  <c r="G1842" i="38"/>
  <c r="F1842" i="38"/>
  <c r="E1842" i="38"/>
  <c r="D1842" i="38"/>
  <c r="C1842" i="38"/>
  <c r="G1841" i="38"/>
  <c r="F1841" i="38"/>
  <c r="E1841" i="38"/>
  <c r="D1841" i="38"/>
  <c r="C1841" i="38"/>
  <c r="G1840" i="38"/>
  <c r="F1840" i="38"/>
  <c r="E1840" i="38"/>
  <c r="D1840" i="38"/>
  <c r="C1840" i="38"/>
  <c r="D1720" i="38"/>
  <c r="C1720" i="38"/>
  <c r="D1719" i="38"/>
  <c r="C1719" i="38"/>
  <c r="D1718" i="38"/>
  <c r="C1718" i="38"/>
  <c r="D1717" i="38"/>
  <c r="C1717" i="38"/>
  <c r="I1249" i="38"/>
  <c r="H1249" i="38"/>
  <c r="G1249" i="38"/>
  <c r="F1249" i="38"/>
  <c r="E1249" i="38"/>
  <c r="B1249" i="38"/>
  <c r="I1248" i="38"/>
  <c r="H1248" i="38"/>
  <c r="G1248" i="38"/>
  <c r="F1248" i="38"/>
  <c r="E1248" i="38"/>
  <c r="B1248" i="38"/>
  <c r="I1247" i="38"/>
  <c r="H1247" i="38"/>
  <c r="G1247" i="38"/>
  <c r="F1247" i="38"/>
  <c r="E1247" i="38"/>
  <c r="B1247" i="38"/>
  <c r="I1246" i="38"/>
  <c r="H1246" i="38"/>
  <c r="G1246" i="38"/>
  <c r="F1246" i="38"/>
  <c r="E1246" i="38"/>
  <c r="D1246" i="38"/>
  <c r="C1246" i="38"/>
  <c r="B1246" i="38"/>
  <c r="I1245" i="38"/>
  <c r="H1245" i="38"/>
  <c r="G1245" i="38"/>
  <c r="F1245" i="38"/>
  <c r="E1245" i="38"/>
  <c r="D1245" i="38"/>
  <c r="C1245" i="38"/>
  <c r="B1245" i="38"/>
  <c r="I1244" i="38"/>
  <c r="H1244" i="38"/>
  <c r="G1244" i="38"/>
  <c r="F1244" i="38"/>
  <c r="E1244" i="38"/>
  <c r="D1244" i="38"/>
  <c r="C1244" i="38"/>
  <c r="B1244" i="38"/>
  <c r="I1243" i="38"/>
  <c r="H1243" i="38"/>
  <c r="G1243" i="38"/>
  <c r="F1243" i="38"/>
  <c r="E1243" i="38"/>
  <c r="D1243" i="38"/>
  <c r="C1243" i="38"/>
  <c r="B1243" i="38"/>
  <c r="I1242" i="38"/>
  <c r="H1242" i="38"/>
  <c r="G1242" i="38"/>
  <c r="F1242" i="38"/>
  <c r="E1242" i="38"/>
  <c r="D1242" i="38"/>
  <c r="C1242" i="38"/>
  <c r="B1242" i="38"/>
  <c r="I1241" i="38"/>
  <c r="H1241" i="38"/>
  <c r="G1241" i="38"/>
  <c r="F1241" i="38"/>
  <c r="E1241" i="38"/>
  <c r="D1241" i="38"/>
  <c r="C1241" i="38"/>
  <c r="B1241" i="38"/>
  <c r="I1240" i="38"/>
  <c r="H1240" i="38"/>
  <c r="G1240" i="38"/>
  <c r="F1240" i="38"/>
  <c r="E1240" i="38"/>
  <c r="D1240" i="38"/>
  <c r="C1240" i="38"/>
  <c r="B1240" i="38"/>
  <c r="I1239" i="38"/>
  <c r="H1239" i="38"/>
  <c r="G1239" i="38"/>
  <c r="F1239" i="38"/>
  <c r="E1239" i="38"/>
  <c r="D1239" i="38"/>
  <c r="C1239" i="38"/>
  <c r="B1239" i="38"/>
  <c r="I1238" i="38"/>
  <c r="H1238" i="38"/>
  <c r="G1238" i="38"/>
  <c r="F1238" i="38"/>
  <c r="E1238" i="38"/>
  <c r="D1238" i="38"/>
  <c r="C1238" i="38"/>
  <c r="B1238" i="38"/>
  <c r="I1237" i="38"/>
  <c r="H1237" i="38"/>
  <c r="G1237" i="38"/>
  <c r="F1237" i="38"/>
  <c r="E1237" i="38"/>
  <c r="D1237" i="38"/>
  <c r="C1237" i="38"/>
  <c r="B1237" i="38"/>
  <c r="I1236" i="38"/>
  <c r="H1236" i="38"/>
  <c r="G1236" i="38"/>
  <c r="F1236" i="38"/>
  <c r="E1236" i="38"/>
  <c r="D1236" i="38"/>
  <c r="C1236" i="38"/>
  <c r="B1236" i="38"/>
  <c r="I1235" i="38"/>
  <c r="H1235" i="38"/>
  <c r="G1235" i="38"/>
  <c r="F1235" i="38"/>
  <c r="E1235" i="38"/>
  <c r="D1235" i="38"/>
  <c r="C1235" i="38"/>
  <c r="B1235" i="38"/>
  <c r="I1234" i="38"/>
  <c r="H1234" i="38"/>
  <c r="G1234" i="38"/>
  <c r="F1234" i="38"/>
  <c r="E1234" i="38"/>
  <c r="D1234" i="38"/>
  <c r="C1234" i="38"/>
  <c r="B1234" i="38"/>
  <c r="M1113" i="38"/>
  <c r="L1113" i="38"/>
  <c r="K1113" i="38"/>
  <c r="J1113" i="38"/>
  <c r="I1113" i="38"/>
  <c r="H1113" i="38"/>
  <c r="G1113" i="38"/>
  <c r="F1113" i="38"/>
  <c r="E1113" i="38"/>
  <c r="D1113" i="38"/>
  <c r="C1113" i="38"/>
  <c r="M1112" i="38"/>
  <c r="L1112" i="38"/>
  <c r="K1112" i="38"/>
  <c r="J1112" i="38"/>
  <c r="I1112" i="38"/>
  <c r="H1112" i="38"/>
  <c r="G1112" i="38"/>
  <c r="F1112" i="38"/>
  <c r="E1112" i="38"/>
  <c r="D1112" i="38"/>
  <c r="C1112" i="38"/>
  <c r="M1111" i="38"/>
  <c r="L1111" i="38"/>
  <c r="K1111" i="38"/>
  <c r="J1111" i="38"/>
  <c r="I1111" i="38"/>
  <c r="H1111" i="38"/>
  <c r="G1111" i="38"/>
  <c r="F1111" i="38"/>
  <c r="E1111" i="38"/>
  <c r="D1111" i="38"/>
  <c r="C1111" i="38"/>
  <c r="M1110" i="38"/>
  <c r="L1110" i="38"/>
  <c r="K1110" i="38"/>
  <c r="J1110" i="38"/>
  <c r="G1110" i="38"/>
  <c r="F1110" i="38"/>
  <c r="E1110" i="38"/>
  <c r="D1110" i="38"/>
  <c r="G700" i="38"/>
  <c r="F700" i="38"/>
  <c r="E700" i="38"/>
  <c r="D700" i="38"/>
  <c r="C700" i="38"/>
  <c r="B700" i="38"/>
  <c r="G699" i="38"/>
  <c r="F699" i="38"/>
  <c r="E699" i="38"/>
  <c r="D699" i="38"/>
  <c r="C699" i="38"/>
  <c r="B699" i="38"/>
  <c r="G698" i="38"/>
  <c r="F698" i="38"/>
  <c r="E698" i="38"/>
  <c r="D698" i="38"/>
  <c r="C698" i="38"/>
  <c r="B698" i="38"/>
  <c r="G697" i="38"/>
  <c r="F697" i="38"/>
  <c r="E697" i="38"/>
  <c r="D697" i="38"/>
  <c r="C697" i="38"/>
  <c r="B697" i="38"/>
  <c r="G696" i="38"/>
  <c r="F696" i="38"/>
  <c r="E696" i="38"/>
  <c r="D696" i="38"/>
  <c r="C696" i="38"/>
  <c r="B696" i="38"/>
  <c r="G695" i="38"/>
  <c r="F695" i="38"/>
  <c r="E695" i="38"/>
  <c r="D695" i="38"/>
  <c r="C695" i="38"/>
  <c r="B695" i="38"/>
  <c r="G694" i="38"/>
  <c r="F694" i="38"/>
  <c r="E694" i="38"/>
  <c r="D694" i="38"/>
  <c r="C694" i="38"/>
  <c r="B694" i="38"/>
  <c r="G693" i="38"/>
  <c r="F693" i="38"/>
  <c r="E693" i="38"/>
  <c r="D693" i="38"/>
  <c r="C693" i="38"/>
  <c r="B693" i="38"/>
  <c r="G692" i="38"/>
  <c r="F692" i="38"/>
  <c r="E692" i="38"/>
  <c r="D692" i="38"/>
  <c r="C692" i="38"/>
  <c r="B692" i="38"/>
  <c r="G691" i="38"/>
  <c r="F691" i="38"/>
  <c r="E691" i="38"/>
  <c r="D691" i="38"/>
  <c r="C691" i="38"/>
  <c r="B691" i="38"/>
  <c r="G690" i="38"/>
  <c r="F690" i="38"/>
  <c r="E690" i="38"/>
  <c r="D690" i="38"/>
  <c r="C690" i="38"/>
  <c r="B690" i="38"/>
  <c r="G689" i="38"/>
  <c r="F689" i="38"/>
  <c r="E689" i="38"/>
  <c r="D689" i="38"/>
  <c r="C689" i="38"/>
  <c r="B689" i="38"/>
  <c r="G688" i="38"/>
  <c r="F688" i="38"/>
  <c r="E688" i="38"/>
  <c r="D688" i="38"/>
  <c r="C688" i="38"/>
  <c r="B688" i="38"/>
  <c r="G687" i="38"/>
  <c r="F687" i="38"/>
  <c r="E687" i="38"/>
  <c r="D687" i="38"/>
  <c r="C687" i="38"/>
  <c r="B687" i="38"/>
  <c r="BK50" i="38" l="1"/>
  <c r="BJ50" i="38"/>
  <c r="BI50" i="38"/>
  <c r="BG50" i="38"/>
  <c r="BE50" i="38"/>
  <c r="BA50" i="38"/>
  <c r="AY50" i="38"/>
  <c r="AX50" i="38"/>
  <c r="AW50" i="38"/>
  <c r="AV50" i="38"/>
  <c r="AU50" i="38"/>
  <c r="AT50" i="38"/>
  <c r="AS50" i="38"/>
  <c r="AQ50" i="38"/>
  <c r="AP50" i="38"/>
  <c r="AM50" i="38"/>
  <c r="AL50" i="38"/>
  <c r="AK50" i="38"/>
  <c r="AJ50" i="38"/>
  <c r="AI50" i="38"/>
  <c r="AH50" i="38"/>
  <c r="AG50" i="38"/>
  <c r="AE50" i="38"/>
  <c r="AD50" i="38"/>
  <c r="AC50" i="38"/>
  <c r="AB50" i="38"/>
  <c r="Z50" i="38"/>
  <c r="Y50" i="38"/>
  <c r="X50" i="38"/>
  <c r="W50" i="38"/>
  <c r="V50" i="38"/>
  <c r="U50" i="38"/>
  <c r="T50" i="38"/>
  <c r="R50" i="38"/>
  <c r="M50" i="38"/>
  <c r="L50" i="38"/>
  <c r="K50" i="38"/>
  <c r="J50" i="38"/>
  <c r="I50" i="38"/>
  <c r="E45" i="38" l="1"/>
  <c r="D45" i="38"/>
  <c r="C45" i="38"/>
  <c r="B45" i="38"/>
  <c r="A45" i="38"/>
  <c r="E44" i="38"/>
  <c r="D44" i="38"/>
  <c r="C44" i="38"/>
  <c r="B44" i="38"/>
  <c r="A44" i="38"/>
  <c r="E43" i="38"/>
  <c r="D43" i="38"/>
  <c r="C43" i="38"/>
  <c r="B43" i="38"/>
  <c r="A43" i="38"/>
  <c r="E42" i="38"/>
  <c r="D42" i="38"/>
  <c r="C42" i="38"/>
  <c r="B42" i="38"/>
  <c r="A42" i="38"/>
  <c r="E41" i="38"/>
  <c r="D41" i="38"/>
  <c r="C41" i="38"/>
  <c r="B41" i="38"/>
  <c r="A41" i="38"/>
  <c r="E40" i="38"/>
  <c r="D40" i="38"/>
  <c r="C40" i="38"/>
  <c r="B40" i="38"/>
  <c r="A40" i="38"/>
  <c r="E39" i="38"/>
  <c r="D39" i="38"/>
  <c r="C39" i="38"/>
  <c r="B39" i="38"/>
  <c r="A39" i="38"/>
  <c r="E38" i="38"/>
  <c r="D38" i="38"/>
  <c r="C38" i="38"/>
  <c r="B38" i="38"/>
  <c r="A38" i="38"/>
  <c r="F34" i="38"/>
  <c r="E34" i="38"/>
  <c r="D34" i="38"/>
  <c r="C34" i="38"/>
  <c r="B34" i="38"/>
  <c r="A34" i="38"/>
  <c r="F33" i="38"/>
  <c r="E33" i="38"/>
  <c r="D33" i="38"/>
  <c r="C33" i="38"/>
  <c r="B33" i="38"/>
  <c r="A33" i="38"/>
  <c r="F32" i="38"/>
  <c r="E32" i="38"/>
  <c r="D32" i="38"/>
  <c r="C32" i="38"/>
  <c r="B32" i="38"/>
  <c r="A32" i="38"/>
  <c r="F31" i="38"/>
  <c r="E31" i="38"/>
  <c r="D31" i="38"/>
  <c r="C31" i="38"/>
  <c r="B31" i="38"/>
  <c r="A31" i="38"/>
  <c r="F30" i="38"/>
  <c r="E30" i="38"/>
  <c r="D30" i="38"/>
  <c r="C30" i="38"/>
  <c r="B30" i="38"/>
  <c r="A30" i="38"/>
  <c r="F29" i="38"/>
  <c r="E29" i="38"/>
  <c r="D29" i="38"/>
  <c r="C29" i="38"/>
  <c r="B29" i="38"/>
  <c r="A29" i="38"/>
  <c r="F28" i="38"/>
  <c r="E28" i="38"/>
  <c r="D28" i="38"/>
  <c r="C28" i="38"/>
  <c r="B28" i="38"/>
  <c r="A28" i="38"/>
  <c r="F27" i="38"/>
  <c r="E27" i="38"/>
  <c r="D27" i="38"/>
  <c r="C27" i="38"/>
  <c r="B27" i="38"/>
  <c r="A27" i="38"/>
  <c r="G51" i="1" l="1"/>
  <c r="I22" i="33" s="1"/>
  <c r="I51" i="1"/>
  <c r="CV17" i="38"/>
  <c r="CS17" i="38"/>
  <c r="CP17" i="38"/>
  <c r="CK17" i="38"/>
  <c r="CH17" i="38"/>
  <c r="CE17" i="38"/>
  <c r="BZ17" i="38"/>
  <c r="BW17" i="38"/>
  <c r="BR17" i="38"/>
  <c r="BO17" i="38"/>
  <c r="BL17" i="38"/>
  <c r="BG17" i="38"/>
  <c r="BA17" i="38"/>
  <c r="AX17" i="38"/>
  <c r="AS17" i="38"/>
  <c r="AP17" i="38"/>
  <c r="AM17" i="38"/>
  <c r="AG17" i="38"/>
  <c r="AF17" i="38"/>
  <c r="AD17" i="38"/>
  <c r="AC17" i="38"/>
  <c r="AB17" i="38"/>
  <c r="AA17" i="38"/>
  <c r="Z17" i="38"/>
  <c r="Y17" i="38"/>
  <c r="V17" i="38"/>
  <c r="U17" i="38"/>
  <c r="R17" i="38"/>
  <c r="Q17" i="38"/>
  <c r="P17" i="38"/>
  <c r="O17" i="38"/>
  <c r="M17" i="38"/>
  <c r="L17" i="38"/>
  <c r="J17" i="38"/>
  <c r="E17" i="38"/>
  <c r="D17" i="38"/>
  <c r="C17" i="38"/>
  <c r="B17" i="38"/>
  <c r="A17" i="38"/>
  <c r="B13" i="38"/>
  <c r="B12" i="38"/>
  <c r="B11" i="38"/>
  <c r="B10" i="38"/>
  <c r="B9" i="38"/>
  <c r="B8" i="38"/>
  <c r="B7" i="38"/>
  <c r="Z21" i="38" l="1"/>
  <c r="H23" i="34"/>
  <c r="H39" i="33" l="1"/>
  <c r="S21" i="38"/>
  <c r="G37" i="33"/>
  <c r="E5" i="35" l="1"/>
  <c r="C5" i="35"/>
  <c r="H26" i="34"/>
  <c r="H25" i="34"/>
  <c r="H24" i="34"/>
  <c r="C24" i="34"/>
  <c r="C25" i="34"/>
  <c r="N21" i="38" l="1"/>
  <c r="C42" i="33"/>
  <c r="R21" i="38"/>
  <c r="C40" i="33"/>
  <c r="P21" i="38"/>
  <c r="H41" i="33"/>
  <c r="U21" i="38"/>
  <c r="C41" i="33"/>
  <c r="Q21" i="38"/>
  <c r="H40" i="33"/>
  <c r="T21" i="38"/>
  <c r="H42" i="33"/>
  <c r="V21" i="38"/>
  <c r="F6" i="34"/>
  <c r="D6" i="34"/>
  <c r="G611" i="3" l="1"/>
  <c r="G612" i="3" s="1"/>
  <c r="I610" i="3"/>
  <c r="F2870" i="38" s="1"/>
  <c r="I609" i="3"/>
  <c r="F2869" i="38" s="1"/>
  <c r="I608" i="3"/>
  <c r="F2868" i="38" s="1"/>
  <c r="I607" i="3"/>
  <c r="F2867" i="38" s="1"/>
  <c r="I606" i="3"/>
  <c r="F2866" i="38" s="1"/>
  <c r="I605" i="3"/>
  <c r="F2865" i="38" s="1"/>
  <c r="I604" i="3"/>
  <c r="F2864" i="38" s="1"/>
  <c r="I603" i="3"/>
  <c r="F2863" i="38" s="1"/>
  <c r="I602" i="3"/>
  <c r="F2862" i="38" s="1"/>
  <c r="I601" i="3"/>
  <c r="F2861" i="38" s="1"/>
  <c r="G595" i="3"/>
  <c r="G596" i="3" s="1"/>
  <c r="I594" i="3"/>
  <c r="F2860" i="38" s="1"/>
  <c r="I593" i="3"/>
  <c r="F2859" i="38" s="1"/>
  <c r="I592" i="3"/>
  <c r="F2858" i="38" s="1"/>
  <c r="I591" i="3"/>
  <c r="F2857" i="38" s="1"/>
  <c r="I590" i="3"/>
  <c r="F2856" i="38" s="1"/>
  <c r="I589" i="3"/>
  <c r="F2855" i="38" s="1"/>
  <c r="I588" i="3"/>
  <c r="F2854" i="38" s="1"/>
  <c r="I587" i="3"/>
  <c r="F2853" i="38" s="1"/>
  <c r="I586" i="3"/>
  <c r="F2852" i="38" s="1"/>
  <c r="I585" i="3"/>
  <c r="F2851" i="38" s="1"/>
  <c r="G579" i="3"/>
  <c r="G580" i="3" s="1"/>
  <c r="I578" i="3"/>
  <c r="F2850" i="38" s="1"/>
  <c r="I577" i="3"/>
  <c r="F2849" i="38" s="1"/>
  <c r="I576" i="3"/>
  <c r="F2848" i="38" s="1"/>
  <c r="I575" i="3"/>
  <c r="F2847" i="38" s="1"/>
  <c r="I574" i="3"/>
  <c r="F2846" i="38" s="1"/>
  <c r="I573" i="3"/>
  <c r="F2845" i="38" s="1"/>
  <c r="I572" i="3"/>
  <c r="F2844" i="38" s="1"/>
  <c r="I571" i="3"/>
  <c r="F2843" i="38" s="1"/>
  <c r="I570" i="3"/>
  <c r="F2842" i="38" s="1"/>
  <c r="I569" i="3"/>
  <c r="F2841" i="38" s="1"/>
  <c r="G563" i="3"/>
  <c r="G564" i="3" s="1"/>
  <c r="I562" i="3"/>
  <c r="F2840" i="38" s="1"/>
  <c r="I561" i="3"/>
  <c r="F2839" i="38" s="1"/>
  <c r="I560" i="3"/>
  <c r="F2838" i="38" s="1"/>
  <c r="I559" i="3"/>
  <c r="F2837" i="38" s="1"/>
  <c r="I558" i="3"/>
  <c r="F2836" i="38" s="1"/>
  <c r="I557" i="3"/>
  <c r="F2835" i="38" s="1"/>
  <c r="I556" i="3"/>
  <c r="F2834" i="38" s="1"/>
  <c r="I555" i="3"/>
  <c r="F2833" i="38" s="1"/>
  <c r="I554" i="3"/>
  <c r="F2832" i="38" s="1"/>
  <c r="I553" i="3"/>
  <c r="F2831" i="38" s="1"/>
  <c r="G547" i="3"/>
  <c r="G548" i="3" s="1"/>
  <c r="I546" i="3"/>
  <c r="F2830" i="38" s="1"/>
  <c r="I545" i="3"/>
  <c r="F2829" i="38" s="1"/>
  <c r="I544" i="3"/>
  <c r="F2828" i="38" s="1"/>
  <c r="I543" i="3"/>
  <c r="F2827" i="38" s="1"/>
  <c r="I542" i="3"/>
  <c r="F2826" i="38" s="1"/>
  <c r="I541" i="3"/>
  <c r="F2825" i="38" s="1"/>
  <c r="I540" i="3"/>
  <c r="F2824" i="38" s="1"/>
  <c r="I539" i="3"/>
  <c r="F2823" i="38" s="1"/>
  <c r="I538" i="3"/>
  <c r="F2822" i="38" s="1"/>
  <c r="I537" i="3"/>
  <c r="F2821" i="38" s="1"/>
  <c r="G531" i="3"/>
  <c r="G532" i="3" s="1"/>
  <c r="I530" i="3"/>
  <c r="F2820" i="38" s="1"/>
  <c r="I529" i="3"/>
  <c r="F2819" i="38" s="1"/>
  <c r="I528" i="3"/>
  <c r="F2818" i="38" s="1"/>
  <c r="I527" i="3"/>
  <c r="F2817" i="38" s="1"/>
  <c r="I526" i="3"/>
  <c r="F2816" i="38" s="1"/>
  <c r="I525" i="3"/>
  <c r="F2815" i="38" s="1"/>
  <c r="I524" i="3"/>
  <c r="F2814" i="38" s="1"/>
  <c r="I523" i="3"/>
  <c r="F2813" i="38" s="1"/>
  <c r="I522" i="3"/>
  <c r="F2812" i="38" s="1"/>
  <c r="I521" i="3"/>
  <c r="F2811" i="38" s="1"/>
  <c r="G515" i="3"/>
  <c r="G516" i="3" s="1"/>
  <c r="I514" i="3"/>
  <c r="F2810" i="38" s="1"/>
  <c r="I513" i="3"/>
  <c r="F2809" i="38" s="1"/>
  <c r="I512" i="3"/>
  <c r="F2808" i="38" s="1"/>
  <c r="I511" i="3"/>
  <c r="F2807" i="38" s="1"/>
  <c r="I510" i="3"/>
  <c r="F2806" i="38" s="1"/>
  <c r="I509" i="3"/>
  <c r="F2805" i="38" s="1"/>
  <c r="I508" i="3"/>
  <c r="F2804" i="38" s="1"/>
  <c r="I507" i="3"/>
  <c r="F2803" i="38" s="1"/>
  <c r="I506" i="3"/>
  <c r="F2802" i="38" s="1"/>
  <c r="I505" i="3"/>
  <c r="F2801" i="38" s="1"/>
  <c r="G499" i="3"/>
  <c r="G500" i="3" s="1"/>
  <c r="I498" i="3"/>
  <c r="F2800" i="38" s="1"/>
  <c r="I497" i="3"/>
  <c r="F2799" i="38" s="1"/>
  <c r="I496" i="3"/>
  <c r="F2798" i="38" s="1"/>
  <c r="I495" i="3"/>
  <c r="F2797" i="38" s="1"/>
  <c r="I494" i="3"/>
  <c r="F2796" i="38" s="1"/>
  <c r="I493" i="3"/>
  <c r="F2795" i="38" s="1"/>
  <c r="I492" i="3"/>
  <c r="F2794" i="38" s="1"/>
  <c r="I491" i="3"/>
  <c r="F2793" i="38" s="1"/>
  <c r="I490" i="3"/>
  <c r="F2792" i="38" s="1"/>
  <c r="I489" i="3"/>
  <c r="F2791" i="38" s="1"/>
  <c r="G483" i="3"/>
  <c r="G484" i="3" s="1"/>
  <c r="I482" i="3"/>
  <c r="F2790" i="38" s="1"/>
  <c r="I481" i="3"/>
  <c r="F2789" i="38" s="1"/>
  <c r="I480" i="3"/>
  <c r="F2788" i="38" s="1"/>
  <c r="I479" i="3"/>
  <c r="F2787" i="38" s="1"/>
  <c r="I478" i="3"/>
  <c r="F2786" i="38" s="1"/>
  <c r="I477" i="3"/>
  <c r="F2785" i="38" s="1"/>
  <c r="I476" i="3"/>
  <c r="F2784" i="38" s="1"/>
  <c r="I475" i="3"/>
  <c r="F2783" i="38" s="1"/>
  <c r="I474" i="3"/>
  <c r="F2782" i="38" s="1"/>
  <c r="I473" i="3"/>
  <c r="F2781" i="38" s="1"/>
  <c r="G467" i="3"/>
  <c r="G468" i="3" s="1"/>
  <c r="I466" i="3"/>
  <c r="F2780" i="38" s="1"/>
  <c r="I465" i="3"/>
  <c r="F2779" i="38" s="1"/>
  <c r="I464" i="3"/>
  <c r="F2778" i="38" s="1"/>
  <c r="I463" i="3"/>
  <c r="F2777" i="38" s="1"/>
  <c r="I462" i="3"/>
  <c r="F2776" i="38" s="1"/>
  <c r="I461" i="3"/>
  <c r="F2775" i="38" s="1"/>
  <c r="I460" i="3"/>
  <c r="F2774" i="38" s="1"/>
  <c r="I459" i="3"/>
  <c r="F2773" i="38" s="1"/>
  <c r="I458" i="3"/>
  <c r="F2772" i="38" s="1"/>
  <c r="I457" i="3"/>
  <c r="F2771" i="38" s="1"/>
  <c r="G451" i="3"/>
  <c r="G452" i="3" s="1"/>
  <c r="I450" i="3"/>
  <c r="F2770" i="38" s="1"/>
  <c r="I449" i="3"/>
  <c r="F2769" i="38" s="1"/>
  <c r="I448" i="3"/>
  <c r="F2768" i="38" s="1"/>
  <c r="I447" i="3"/>
  <c r="F2767" i="38" s="1"/>
  <c r="I446" i="3"/>
  <c r="F2766" i="38" s="1"/>
  <c r="I445" i="3"/>
  <c r="F2765" i="38" s="1"/>
  <c r="I444" i="3"/>
  <c r="F2764" i="38" s="1"/>
  <c r="I443" i="3"/>
  <c r="F2763" i="38" s="1"/>
  <c r="I442" i="3"/>
  <c r="F2762" i="38" s="1"/>
  <c r="I441" i="3"/>
  <c r="F2761" i="38" s="1"/>
  <c r="G435" i="3"/>
  <c r="G436" i="3" s="1"/>
  <c r="I434" i="3"/>
  <c r="F2760" i="38" s="1"/>
  <c r="I433" i="3"/>
  <c r="F2759" i="38" s="1"/>
  <c r="I432" i="3"/>
  <c r="F2758" i="38" s="1"/>
  <c r="I431" i="3"/>
  <c r="F2757" i="38" s="1"/>
  <c r="I430" i="3"/>
  <c r="F2756" i="38" s="1"/>
  <c r="I429" i="3"/>
  <c r="F2755" i="38" s="1"/>
  <c r="I428" i="3"/>
  <c r="F2754" i="38" s="1"/>
  <c r="I427" i="3"/>
  <c r="F2753" i="38" s="1"/>
  <c r="I426" i="3"/>
  <c r="F2752" i="38" s="1"/>
  <c r="I425" i="3"/>
  <c r="F2751" i="38" s="1"/>
  <c r="G419" i="3"/>
  <c r="G420" i="3" s="1"/>
  <c r="I418" i="3"/>
  <c r="F2750" i="38" s="1"/>
  <c r="I417" i="3"/>
  <c r="F2749" i="38" s="1"/>
  <c r="I416" i="3"/>
  <c r="F2748" i="38" s="1"/>
  <c r="I415" i="3"/>
  <c r="F2747" i="38" s="1"/>
  <c r="I414" i="3"/>
  <c r="F2746" i="38" s="1"/>
  <c r="I413" i="3"/>
  <c r="F2745" i="38" s="1"/>
  <c r="I412" i="3"/>
  <c r="F2744" i="38" s="1"/>
  <c r="I411" i="3"/>
  <c r="F2743" i="38" s="1"/>
  <c r="I410" i="3"/>
  <c r="F2742" i="38" s="1"/>
  <c r="I409" i="3"/>
  <c r="F2741" i="38" s="1"/>
  <c r="G403" i="3"/>
  <c r="G404" i="3" s="1"/>
  <c r="I402" i="3"/>
  <c r="F2740" i="38" s="1"/>
  <c r="I401" i="3"/>
  <c r="F2739" i="38" s="1"/>
  <c r="I400" i="3"/>
  <c r="F2738" i="38" s="1"/>
  <c r="I399" i="3"/>
  <c r="F2737" i="38" s="1"/>
  <c r="I398" i="3"/>
  <c r="F2736" i="38" s="1"/>
  <c r="I397" i="3"/>
  <c r="F2735" i="38" s="1"/>
  <c r="I396" i="3"/>
  <c r="F2734" i="38" s="1"/>
  <c r="I395" i="3"/>
  <c r="F2733" i="38" s="1"/>
  <c r="I394" i="3"/>
  <c r="F2732" i="38" s="1"/>
  <c r="I393" i="3"/>
  <c r="F2731" i="38" s="1"/>
  <c r="G387" i="3"/>
  <c r="G388" i="3" s="1"/>
  <c r="I386" i="3"/>
  <c r="F2730" i="38" s="1"/>
  <c r="I385" i="3"/>
  <c r="F2729" i="38" s="1"/>
  <c r="I384" i="3"/>
  <c r="F2728" i="38" s="1"/>
  <c r="I383" i="3"/>
  <c r="F2727" i="38" s="1"/>
  <c r="I382" i="3"/>
  <c r="F2726" i="38" s="1"/>
  <c r="I381" i="3"/>
  <c r="F2725" i="38" s="1"/>
  <c r="I380" i="3"/>
  <c r="F2724" i="38" s="1"/>
  <c r="I379" i="3"/>
  <c r="F2723" i="38" s="1"/>
  <c r="I378" i="3"/>
  <c r="F2722" i="38" s="1"/>
  <c r="I377" i="3"/>
  <c r="F2721" i="38" s="1"/>
  <c r="G371" i="3"/>
  <c r="G372" i="3" s="1"/>
  <c r="I370" i="3"/>
  <c r="F2720" i="38" s="1"/>
  <c r="I369" i="3"/>
  <c r="F2719" i="38" s="1"/>
  <c r="I368" i="3"/>
  <c r="F2718" i="38" s="1"/>
  <c r="I367" i="3"/>
  <c r="F2717" i="38" s="1"/>
  <c r="I366" i="3"/>
  <c r="F2716" i="38" s="1"/>
  <c r="I365" i="3"/>
  <c r="F2715" i="38" s="1"/>
  <c r="I364" i="3"/>
  <c r="F2714" i="38" s="1"/>
  <c r="I363" i="3"/>
  <c r="F2713" i="38" s="1"/>
  <c r="I362" i="3"/>
  <c r="F2712" i="38" s="1"/>
  <c r="I361" i="3"/>
  <c r="F2711" i="38" s="1"/>
  <c r="G355" i="3"/>
  <c r="G356" i="3" s="1"/>
  <c r="I354" i="3"/>
  <c r="F2710" i="38" s="1"/>
  <c r="I353" i="3"/>
  <c r="F2709" i="38" s="1"/>
  <c r="I352" i="3"/>
  <c r="F2708" i="38" s="1"/>
  <c r="I351" i="3"/>
  <c r="F2707" i="38" s="1"/>
  <c r="I350" i="3"/>
  <c r="F2706" i="38" s="1"/>
  <c r="I349" i="3"/>
  <c r="F2705" i="38" s="1"/>
  <c r="I348" i="3"/>
  <c r="F2704" i="38" s="1"/>
  <c r="I347" i="3"/>
  <c r="F2703" i="38" s="1"/>
  <c r="I346" i="3"/>
  <c r="F2702" i="38" s="1"/>
  <c r="I345" i="3"/>
  <c r="F2701" i="38" s="1"/>
  <c r="H2165" i="38" l="1"/>
  <c r="G2165" i="38"/>
  <c r="I595" i="3"/>
  <c r="I2164" i="38" s="1"/>
  <c r="H2164" i="38"/>
  <c r="G2164" i="38"/>
  <c r="H2163" i="38"/>
  <c r="G2163" i="38"/>
  <c r="I563" i="3"/>
  <c r="I2162" i="38" s="1"/>
  <c r="H2162" i="38"/>
  <c r="G2162" i="38"/>
  <c r="H2161" i="38"/>
  <c r="G2161" i="38"/>
  <c r="H2160" i="38"/>
  <c r="G2160" i="38"/>
  <c r="H2159" i="38"/>
  <c r="G2159" i="38"/>
  <c r="H2158" i="38"/>
  <c r="G2158" i="38"/>
  <c r="H2157" i="38"/>
  <c r="G2157" i="38"/>
  <c r="H2156" i="38"/>
  <c r="G2156" i="38"/>
  <c r="H2155" i="38"/>
  <c r="G2155" i="38"/>
  <c r="H2154" i="38"/>
  <c r="G2154" i="38"/>
  <c r="H2153" i="38"/>
  <c r="G2153" i="38"/>
  <c r="H2152" i="38"/>
  <c r="G2152" i="38"/>
  <c r="H2151" i="38"/>
  <c r="G2151" i="38"/>
  <c r="H2150" i="38"/>
  <c r="G2150" i="38"/>
  <c r="H2149" i="38"/>
  <c r="G2149" i="38"/>
  <c r="I547" i="3"/>
  <c r="I2161" i="38" s="1"/>
  <c r="I579" i="3"/>
  <c r="I2163" i="38" s="1"/>
  <c r="I483" i="3"/>
  <c r="I2157" i="38" s="1"/>
  <c r="I515" i="3"/>
  <c r="I2159" i="38" s="1"/>
  <c r="I611" i="3"/>
  <c r="I2165" i="38" s="1"/>
  <c r="M563" i="3"/>
  <c r="K2162" i="38" s="1"/>
  <c r="L579" i="3"/>
  <c r="J2163" i="38" s="1"/>
  <c r="M595" i="3"/>
  <c r="K2164" i="38" s="1"/>
  <c r="L611" i="3"/>
  <c r="J2165" i="38" s="1"/>
  <c r="I355" i="3"/>
  <c r="I2149" i="38" s="1"/>
  <c r="M355" i="3"/>
  <c r="K2149" i="38" s="1"/>
  <c r="L371" i="3"/>
  <c r="J2150" i="38" s="1"/>
  <c r="I387" i="3"/>
  <c r="I2151" i="38" s="1"/>
  <c r="M387" i="3"/>
  <c r="K2151" i="38" s="1"/>
  <c r="L403" i="3"/>
  <c r="J2152" i="38" s="1"/>
  <c r="I419" i="3"/>
  <c r="I2153" i="38" s="1"/>
  <c r="M419" i="3"/>
  <c r="K2153" i="38" s="1"/>
  <c r="L435" i="3"/>
  <c r="J2154" i="38" s="1"/>
  <c r="I451" i="3"/>
  <c r="I2155" i="38" s="1"/>
  <c r="M451" i="3"/>
  <c r="K2155" i="38" s="1"/>
  <c r="L467" i="3"/>
  <c r="J2156" i="38" s="1"/>
  <c r="M483" i="3"/>
  <c r="K2157" i="38" s="1"/>
  <c r="L499" i="3"/>
  <c r="J2158" i="38" s="1"/>
  <c r="M515" i="3"/>
  <c r="K2159" i="38" s="1"/>
  <c r="L531" i="3"/>
  <c r="J2160" i="38" s="1"/>
  <c r="M547" i="3"/>
  <c r="K2161" i="38" s="1"/>
  <c r="L563" i="3"/>
  <c r="J2162" i="38" s="1"/>
  <c r="M579" i="3"/>
  <c r="K2163" i="38" s="1"/>
  <c r="L595" i="3"/>
  <c r="J2164" i="38" s="1"/>
  <c r="M611" i="3"/>
  <c r="K2165" i="38" s="1"/>
  <c r="L355" i="3"/>
  <c r="J2149" i="38" s="1"/>
  <c r="I371" i="3"/>
  <c r="I2150" i="38" s="1"/>
  <c r="M371" i="3"/>
  <c r="K2150" i="38" s="1"/>
  <c r="L387" i="3"/>
  <c r="J2151" i="38" s="1"/>
  <c r="I403" i="3"/>
  <c r="I2152" i="38" s="1"/>
  <c r="M403" i="3"/>
  <c r="K2152" i="38" s="1"/>
  <c r="L419" i="3"/>
  <c r="J2153" i="38" s="1"/>
  <c r="I435" i="3"/>
  <c r="I2154" i="38" s="1"/>
  <c r="M435" i="3"/>
  <c r="K2154" i="38" s="1"/>
  <c r="L451" i="3"/>
  <c r="J2155" i="38" s="1"/>
  <c r="I467" i="3"/>
  <c r="I2156" i="38" s="1"/>
  <c r="M467" i="3"/>
  <c r="K2156" i="38" s="1"/>
  <c r="L483" i="3"/>
  <c r="J2157" i="38" s="1"/>
  <c r="I499" i="3"/>
  <c r="I2158" i="38" s="1"/>
  <c r="M499" i="3"/>
  <c r="K2158" i="38" s="1"/>
  <c r="L515" i="3"/>
  <c r="J2159" i="38" s="1"/>
  <c r="I531" i="3"/>
  <c r="I2160" i="38" s="1"/>
  <c r="M531" i="3"/>
  <c r="K2160" i="38" s="1"/>
  <c r="L547" i="3"/>
  <c r="J2161" i="38" s="1"/>
  <c r="I581" i="3" l="1"/>
  <c r="L2163" i="38" s="1"/>
  <c r="I517" i="3"/>
  <c r="L2159" i="38" s="1"/>
  <c r="I453" i="3"/>
  <c r="L2155" i="38" s="1"/>
  <c r="I389" i="3"/>
  <c r="L2151" i="38" s="1"/>
  <c r="I597" i="3"/>
  <c r="L2164" i="38" s="1"/>
  <c r="I533" i="3"/>
  <c r="L2160" i="38" s="1"/>
  <c r="I469" i="3"/>
  <c r="L2156" i="38" s="1"/>
  <c r="I405" i="3"/>
  <c r="L2152" i="38" s="1"/>
  <c r="I613" i="3"/>
  <c r="L2165" i="38" s="1"/>
  <c r="I549" i="3"/>
  <c r="L2161" i="38" s="1"/>
  <c r="I485" i="3"/>
  <c r="L2157" i="38" s="1"/>
  <c r="I421" i="3"/>
  <c r="L2153" i="38" s="1"/>
  <c r="I357" i="3"/>
  <c r="L2149" i="38" s="1"/>
  <c r="I565" i="3"/>
  <c r="L2162" i="38" s="1"/>
  <c r="I501" i="3"/>
  <c r="L2158" i="38" s="1"/>
  <c r="I437" i="3"/>
  <c r="L2154" i="38" s="1"/>
  <c r="I373" i="3"/>
  <c r="L2150" i="38" s="1"/>
  <c r="C22" i="35"/>
  <c r="X21" i="38" s="1"/>
  <c r="C33" i="35"/>
  <c r="Y21" i="38" s="1"/>
  <c r="G17" i="38"/>
  <c r="F17" i="38"/>
  <c r="C3" i="38"/>
  <c r="E5" i="33" l="1"/>
  <c r="C5" i="33"/>
  <c r="G43" i="33" l="1"/>
  <c r="G45" i="33"/>
  <c r="K293" i="3" l="1"/>
  <c r="BH50" i="38" s="1"/>
  <c r="K281" i="3"/>
  <c r="BF50" i="38" s="1"/>
  <c r="BC50" i="38"/>
  <c r="BB50" i="38"/>
  <c r="Q192" i="3"/>
  <c r="O192" i="3"/>
  <c r="M192" i="3"/>
  <c r="K192" i="3"/>
  <c r="C1110" i="38" s="1"/>
  <c r="AN50" i="38"/>
  <c r="AF50" i="38"/>
  <c r="AA50" i="38"/>
  <c r="K193" i="3" l="1"/>
  <c r="I1110" i="38" s="1"/>
  <c r="H1110" i="38"/>
  <c r="AZ50" i="38"/>
  <c r="I330" i="3"/>
  <c r="F2692" i="38" s="1"/>
  <c r="I331" i="3"/>
  <c r="F2693" i="38" s="1"/>
  <c r="I332" i="3"/>
  <c r="F2694" i="38" s="1"/>
  <c r="I333" i="3"/>
  <c r="F2695" i="38" s="1"/>
  <c r="I334" i="3"/>
  <c r="F2696" i="38" s="1"/>
  <c r="I335" i="3"/>
  <c r="F2697" i="38" s="1"/>
  <c r="I336" i="3"/>
  <c r="F2698" i="38" s="1"/>
  <c r="I337" i="3"/>
  <c r="F2699" i="38" s="1"/>
  <c r="I338" i="3"/>
  <c r="F2700" i="38" s="1"/>
  <c r="I329" i="3"/>
  <c r="F2691" i="38" s="1"/>
  <c r="E269" i="3"/>
  <c r="E268" i="3"/>
  <c r="D1249" i="38" s="1"/>
  <c r="E267" i="3"/>
  <c r="D1248" i="38" s="1"/>
  <c r="C269" i="3"/>
  <c r="C268" i="3"/>
  <c r="C1249" i="38" s="1"/>
  <c r="C267" i="3"/>
  <c r="C1248" i="38" s="1"/>
  <c r="E266" i="3"/>
  <c r="D1247" i="38" s="1"/>
  <c r="C266" i="3"/>
  <c r="C1247" i="38" s="1"/>
  <c r="AR50" i="38" l="1"/>
  <c r="BD50" i="38"/>
  <c r="T6" i="3"/>
  <c r="T4" i="3"/>
  <c r="T2" i="3"/>
  <c r="E50" i="38" s="1"/>
  <c r="G339" i="3"/>
  <c r="AE17" i="38"/>
  <c r="G2148" i="38" l="1"/>
  <c r="G340" i="3"/>
  <c r="H2148" i="38"/>
  <c r="L339" i="3"/>
  <c r="J2148" i="38" s="1"/>
  <c r="M339" i="3"/>
  <c r="K2148" i="38" s="1"/>
  <c r="I339" i="3"/>
  <c r="I2148" i="38" s="1"/>
  <c r="AH17" i="38"/>
  <c r="I341" i="3" l="1"/>
  <c r="L2148" i="38" s="1"/>
  <c r="H22" i="33"/>
  <c r="AI17" i="38"/>
  <c r="G22" i="33"/>
  <c r="A2" i="3"/>
  <c r="F2" i="3"/>
  <c r="B2" i="3"/>
  <c r="H2" i="3"/>
  <c r="F129" i="1" l="1"/>
  <c r="Z63" i="3"/>
  <c r="Z64" i="3"/>
  <c r="F211" i="1"/>
  <c r="F225" i="1"/>
  <c r="Y62" i="3"/>
  <c r="Y63" i="3"/>
  <c r="Y64" i="3"/>
  <c r="Y65" i="3"/>
  <c r="Y66" i="3"/>
  <c r="Y67" i="3"/>
  <c r="Y68" i="3"/>
  <c r="Y69" i="3"/>
  <c r="Y70" i="3"/>
  <c r="Y71" i="3"/>
  <c r="Y72" i="3"/>
  <c r="Y73" i="3"/>
  <c r="Y74" i="3"/>
  <c r="Y75" i="3"/>
  <c r="Y76" i="3"/>
  <c r="Y77" i="3"/>
  <c r="Y78" i="3"/>
  <c r="Y79" i="3"/>
  <c r="Y80" i="3"/>
  <c r="Y81" i="3"/>
  <c r="F289" i="1"/>
  <c r="F271" i="1"/>
  <c r="F257" i="1"/>
  <c r="F243" i="1"/>
  <c r="F193" i="1"/>
  <c r="F179" i="1"/>
  <c r="F161" i="1"/>
  <c r="F147" i="1"/>
  <c r="F115" i="1"/>
  <c r="F97" i="1"/>
  <c r="F83" i="1"/>
  <c r="F69" i="1"/>
  <c r="H50" i="38"/>
  <c r="D50" i="38"/>
  <c r="J22" i="33"/>
  <c r="A21" i="38" s="1"/>
  <c r="AD82" i="3" l="1"/>
  <c r="AD8" i="3" s="1"/>
  <c r="X64" i="3"/>
  <c r="R64" i="3"/>
  <c r="T64" i="3"/>
  <c r="V64" i="3"/>
  <c r="S64" i="3"/>
  <c r="AC64" i="3"/>
  <c r="I237" i="1"/>
  <c r="G237" i="1"/>
  <c r="I141" i="1"/>
  <c r="G141" i="1"/>
  <c r="X82" i="3"/>
  <c r="X83" i="3"/>
  <c r="AC63" i="3"/>
  <c r="X63" i="3"/>
  <c r="V63" i="3"/>
  <c r="T63" i="3"/>
  <c r="S63" i="3"/>
  <c r="R63" i="3"/>
  <c r="Y82" i="3"/>
  <c r="AC62" i="3"/>
  <c r="S62" i="3" s="1"/>
  <c r="X62" i="3"/>
  <c r="V62" i="3"/>
  <c r="T62" i="3"/>
  <c r="R62" i="3"/>
  <c r="I127" i="1"/>
  <c r="G127" i="1"/>
  <c r="I205" i="1"/>
  <c r="BT17" i="38" s="1"/>
  <c r="G205" i="1"/>
  <c r="BS17" i="38" s="1"/>
  <c r="I223" i="1"/>
  <c r="G223" i="1"/>
  <c r="I269" i="1"/>
  <c r="G269" i="1"/>
  <c r="I301" i="1"/>
  <c r="G301" i="1"/>
  <c r="I159" i="1"/>
  <c r="G159" i="1"/>
  <c r="I173" i="1"/>
  <c r="G173" i="1"/>
  <c r="I191" i="1"/>
  <c r="G191" i="1"/>
  <c r="I255" i="1"/>
  <c r="G255" i="1"/>
  <c r="I283" i="1"/>
  <c r="G283" i="1"/>
  <c r="AC82" i="3" l="1"/>
  <c r="K84" i="3"/>
  <c r="AD9" i="3"/>
  <c r="AD10" i="3"/>
  <c r="AD83" i="3"/>
  <c r="AD7" i="3"/>
  <c r="G239" i="1"/>
  <c r="I239" i="1"/>
  <c r="G143" i="1"/>
  <c r="I143" i="1"/>
  <c r="X7" i="3"/>
  <c r="I175" i="1"/>
  <c r="G175" i="1"/>
  <c r="I285" i="1"/>
  <c r="G285" i="1"/>
  <c r="G207" i="1"/>
  <c r="I207" i="1"/>
  <c r="CX17" i="38"/>
  <c r="CR17" i="38"/>
  <c r="CJ17" i="38"/>
  <c r="BY17" i="38"/>
  <c r="I26" i="33" l="1"/>
  <c r="N50" i="38"/>
  <c r="F55" i="1"/>
  <c r="I67" i="1" s="1"/>
  <c r="P50" i="38"/>
  <c r="I32" i="33"/>
  <c r="I30" i="33"/>
  <c r="I28" i="33"/>
  <c r="I34" i="33"/>
  <c r="O50" i="38"/>
  <c r="Q50" i="38"/>
  <c r="BN17" i="38"/>
  <c r="H26" i="33"/>
  <c r="AZ17" i="38"/>
  <c r="AY17" i="38"/>
  <c r="BC17" i="38"/>
  <c r="BI17" i="38"/>
  <c r="BM17" i="38"/>
  <c r="BQ17" i="38"/>
  <c r="BX17" i="38"/>
  <c r="CB17" i="38"/>
  <c r="CG17" i="38"/>
  <c r="CI17" i="38"/>
  <c r="CM17" i="38"/>
  <c r="CQ17" i="38"/>
  <c r="CW17" i="38"/>
  <c r="BB17" i="38"/>
  <c r="BH17" i="38"/>
  <c r="CA17" i="38"/>
  <c r="CF17" i="38"/>
  <c r="CL17" i="38"/>
  <c r="CT17" i="38"/>
  <c r="G67" i="1" l="1"/>
  <c r="I81" i="1"/>
  <c r="AO17" i="38" s="1"/>
  <c r="G81" i="1"/>
  <c r="AN17" i="38" s="1"/>
  <c r="G109" i="1"/>
  <c r="I109" i="1"/>
  <c r="I95" i="1"/>
  <c r="AR17" i="38" s="1"/>
  <c r="G95" i="1"/>
  <c r="AQ17" i="38" s="1"/>
  <c r="CU17" i="38"/>
  <c r="BU17" i="38"/>
  <c r="BP17" i="38"/>
  <c r="G26" i="33"/>
  <c r="CC17" i="38"/>
  <c r="BJ17" i="38"/>
  <c r="CY17" i="38"/>
  <c r="CN17" i="38"/>
  <c r="I111" i="1" l="1"/>
  <c r="H24" i="33" s="1"/>
  <c r="AT17" i="38"/>
  <c r="G111" i="1"/>
  <c r="AU17" i="38"/>
  <c r="E21" i="38"/>
  <c r="G30" i="33"/>
  <c r="H28" i="33"/>
  <c r="BK17" i="38"/>
  <c r="CZ17" i="38"/>
  <c r="H32" i="33"/>
  <c r="CD17" i="38"/>
  <c r="H30" i="33"/>
  <c r="BV17" i="38"/>
  <c r="H34" i="33"/>
  <c r="CO17" i="38"/>
  <c r="J26" i="33"/>
  <c r="C21" i="38" s="1"/>
  <c r="G32" i="33"/>
  <c r="G34" i="33"/>
  <c r="G28" i="33"/>
  <c r="AV17" i="38" l="1"/>
  <c r="I24" i="33"/>
  <c r="J30" i="33"/>
  <c r="F21" i="38" s="1"/>
  <c r="J32" i="33"/>
  <c r="G21" i="38" s="1"/>
  <c r="I21" i="38"/>
  <c r="G24" i="33"/>
  <c r="H36" i="33"/>
  <c r="K21" i="38" s="1"/>
  <c r="AW17" i="38"/>
  <c r="J28" i="33"/>
  <c r="D21" i="38" s="1"/>
  <c r="J34" i="33"/>
  <c r="H21" i="38" s="1"/>
  <c r="G36" i="33" l="1"/>
  <c r="J21" i="38" s="1"/>
  <c r="I36" i="33"/>
  <c r="L21" i="38" s="1"/>
  <c r="J36" i="33"/>
  <c r="M21" i="38" s="1"/>
  <c r="S50" i="38"/>
  <c r="J24" i="33" l="1"/>
  <c r="B21" i="38" s="1"/>
</calcChain>
</file>

<file path=xl/sharedStrings.xml><?xml version="1.0" encoding="utf-8"?>
<sst xmlns="http://schemas.openxmlformats.org/spreadsheetml/2006/main" count="35506" uniqueCount="868">
  <si>
    <t xml:space="preserve">Name of Legal Entity </t>
  </si>
  <si>
    <t>Review Level:</t>
  </si>
  <si>
    <t>Review Type:</t>
  </si>
  <si>
    <t>Completed By</t>
  </si>
  <si>
    <t>Date of Entrance</t>
  </si>
  <si>
    <t>Date of Exit</t>
  </si>
  <si>
    <t>Dates of Review Period</t>
  </si>
  <si>
    <t>Last Name:</t>
  </si>
  <si>
    <t>(First day on-site)</t>
  </si>
  <si>
    <t>(Last day on-site)</t>
  </si>
  <si>
    <t>Begin:</t>
  </si>
  <si>
    <t>First Name:</t>
  </si>
  <si>
    <t>End:</t>
  </si>
  <si>
    <t>Contract Type:</t>
  </si>
  <si>
    <t>STANDARD I. POLICIES AND PROCEDURES</t>
  </si>
  <si>
    <t>Answer</t>
  </si>
  <si>
    <t>Comments:</t>
  </si>
  <si>
    <t>Total Yes</t>
  </si>
  <si>
    <t>Total No</t>
  </si>
  <si>
    <t>Number Yes</t>
  </si>
  <si>
    <t>Number No</t>
  </si>
  <si>
    <t xml:space="preserve">Comments: </t>
  </si>
  <si>
    <t>Standard</t>
  </si>
  <si>
    <t>A.</t>
  </si>
  <si>
    <t>B.</t>
  </si>
  <si>
    <t>C.</t>
  </si>
  <si>
    <t>D.</t>
  </si>
  <si>
    <t xml:space="preserve">Total </t>
  </si>
  <si>
    <t>Score</t>
  </si>
  <si>
    <t>(A + B)</t>
  </si>
  <si>
    <t>(A/C x 100)</t>
  </si>
  <si>
    <t>Standard I</t>
  </si>
  <si>
    <t>Standard II</t>
  </si>
  <si>
    <t>Standard III</t>
  </si>
  <si>
    <t>Standard IV</t>
  </si>
  <si>
    <t>Standard VI</t>
  </si>
  <si>
    <t>Standard VII</t>
  </si>
  <si>
    <t>Standard VIII</t>
  </si>
  <si>
    <t>Overall Total</t>
  </si>
  <si>
    <t>Sample No.</t>
  </si>
  <si>
    <t>Contract ID</t>
  </si>
  <si>
    <t>Last Name</t>
  </si>
  <si>
    <t>First Name</t>
  </si>
  <si>
    <t>Sample Number</t>
  </si>
  <si>
    <t>Contract Number</t>
  </si>
  <si>
    <t>Last:</t>
  </si>
  <si>
    <t xml:space="preserve">Date Completed </t>
  </si>
  <si>
    <t>First:</t>
  </si>
  <si>
    <t>E.</t>
  </si>
  <si>
    <t>F.</t>
  </si>
  <si>
    <t>IV.2.</t>
  </si>
  <si>
    <t>VIII.1</t>
  </si>
  <si>
    <t>G.</t>
  </si>
  <si>
    <t>H.</t>
  </si>
  <si>
    <t>I.</t>
  </si>
  <si>
    <t>4.  Were all employees and/or DRs eligible to be hired/authorized?</t>
  </si>
  <si>
    <t>STANDARD IV. ORIENTATION AND SERVICE INITIATION</t>
  </si>
  <si>
    <t>1.  Was the employer provided with a copy of the approved/valid CDS budget workbook(s)?</t>
  </si>
  <si>
    <t>2.  Were the employer and case manager/service coordinator provided with CDS budget reports at least every three months (quarterly)?</t>
  </si>
  <si>
    <t>3.  Was the case manager/service coordinator notified of issues or concerns related to the individual’s participation in the CDS option through submittal of a completed Corrective Action Plan (Form 1741) or a completed Case Information Form (Form 2067)?</t>
  </si>
  <si>
    <t>REQUIRED BACKGROUND CHECKS</t>
  </si>
  <si>
    <t>PROFESSIONAL LICENSES</t>
  </si>
  <si>
    <t>ORIENTATION &amp; SERVICE INITIATION</t>
  </si>
  <si>
    <t>BUDGET</t>
  </si>
  <si>
    <t>PAYROLL</t>
  </si>
  <si>
    <t>REPORTING REQUIREMENTS</t>
  </si>
  <si>
    <t>CDS PHC/FC/CAS</t>
  </si>
  <si>
    <t>CDS CBA</t>
  </si>
  <si>
    <t>CDS MDCP</t>
  </si>
  <si>
    <t>CDS CMPAS</t>
  </si>
  <si>
    <t>CDS DBMD</t>
  </si>
  <si>
    <t>CDS CLASS</t>
  </si>
  <si>
    <t>CDS HCS</t>
  </si>
  <si>
    <t>CDS TxHml</t>
  </si>
  <si>
    <t>Prior to the Entrance Conference:</t>
  </si>
  <si>
    <t>• prior to hiring or contracting and on a monthly basis;</t>
  </si>
  <si>
    <t>• that includes a search of the federal HHS Office of Inspector General (HHS-OIG) List of Excluded Individuals/Entities (LEIE) website and the Texas HHSC Office of the Inspector General List of Excluded Individuals/Entities (LEIE) website;</t>
  </si>
  <si>
    <t>• prohibits payment for any items or services furnished, ordered, or prescribed by an excluded individual or entity; and</t>
  </si>
  <si>
    <t>Contract No.</t>
  </si>
  <si>
    <t>STANDARD II. REQUIRED BACKGROUND CHECKS &amp; EMPLOYMENT ELIGIBILITY</t>
  </si>
  <si>
    <t>II. REQUIRED BACKGROUND CHECKS AND EMPLOYMENT ELIGIBILITY</t>
  </si>
  <si>
    <r>
      <rPr>
        <b/>
        <sz val="8"/>
        <color theme="1"/>
        <rFont val="Arial"/>
        <family val="2"/>
      </rPr>
      <t>Reference:</t>
    </r>
    <r>
      <rPr>
        <sz val="8"/>
        <color theme="1"/>
        <rFont val="Arial"/>
        <family val="2"/>
      </rPr>
      <t xml:space="preserve"> 40 TAC §41.309 Financial Management Services and Employer-Agent Responsibilities</t>
    </r>
  </si>
  <si>
    <t>STANDARD III. PROFESSIONAL LICENSES</t>
  </si>
  <si>
    <t>STANDARD VI. BUDGET</t>
  </si>
  <si>
    <t>(See Individual Work Papers for items VI. 1-2</t>
  </si>
  <si>
    <r>
      <rPr>
        <b/>
        <sz val="8"/>
        <color theme="1"/>
        <rFont val="Arial"/>
        <family val="2"/>
      </rPr>
      <t>Reference:</t>
    </r>
    <r>
      <rPr>
        <sz val="8"/>
        <color theme="1"/>
        <rFont val="Arial"/>
        <family val="2"/>
      </rPr>
      <t xml:space="preserve"> 40 TAC §41.403, Transfer Process</t>
    </r>
  </si>
  <si>
    <r>
      <rPr>
        <b/>
        <sz val="8"/>
        <color theme="1"/>
        <rFont val="Arial"/>
        <family val="2"/>
      </rPr>
      <t>Reference:</t>
    </r>
    <r>
      <rPr>
        <sz val="8"/>
        <color theme="1"/>
        <rFont val="Arial"/>
        <family val="2"/>
      </rPr>
      <t xml:space="preserve"> 40 TAC §41.239 Documentation of Services Delivered; Documentation of Services Delivered Form, Instructions and Attachments; § 40 TAC 41.309, Financial Management Services and Employer-Agent Responsibilities</t>
    </r>
  </si>
  <si>
    <t xml:space="preserve">STANDARD VIII. REPORTING REQUIREMENTS </t>
  </si>
  <si>
    <r>
      <rPr>
        <b/>
        <sz val="8"/>
        <color theme="1"/>
        <rFont val="Arial"/>
        <family val="2"/>
      </rPr>
      <t>Reference:</t>
    </r>
    <r>
      <rPr>
        <sz val="8"/>
        <color theme="1"/>
        <rFont val="Arial"/>
        <family val="2"/>
      </rPr>
      <t xml:space="preserve">  40 TAC §41.313, Individual Service Planning Process</t>
    </r>
  </si>
  <si>
    <t xml:space="preserve">STANDARD IX. BILLING         </t>
  </si>
  <si>
    <r>
      <rPr>
        <b/>
        <sz val="8"/>
        <color theme="1"/>
        <rFont val="Arial"/>
        <family val="2"/>
      </rPr>
      <t>Reference:</t>
    </r>
    <r>
      <rPr>
        <sz val="8"/>
        <color theme="1"/>
        <rFont val="Arial"/>
        <family val="2"/>
      </rPr>
      <t xml:space="preserve"> 40 TAC §41.337, Payment of Services</t>
    </r>
  </si>
  <si>
    <t>• Designated Representative - Review Form 1720, Appointment of a Designated Representative.</t>
  </si>
  <si>
    <t>• Select “NA” if the employer indicated that s/he would obtain the criminal history and registry checks.</t>
  </si>
  <si>
    <t>• Select “N” to indicate the applicant is NOT eligible for hire, to be retained for service delivery or appointed as a “DR” and/or F1725 was completed after delivery of services.</t>
  </si>
  <si>
    <t>Background Checks Table</t>
  </si>
  <si>
    <t>Name and Job Title</t>
  </si>
  <si>
    <t>Title</t>
  </si>
  <si>
    <t>• A: Attendant</t>
  </si>
  <si>
    <t>• LVN: Licensed Vocational Nurse</t>
  </si>
  <si>
    <t>• RN: Registered Nurse</t>
  </si>
  <si>
    <t>Date</t>
  </si>
  <si>
    <t xml:space="preserve">• First Date of Work or   • Effective Date of  Designation
</t>
  </si>
  <si>
    <t>If yes, enter date of request.</t>
  </si>
  <si>
    <t>• Effective Date of Designation?</t>
  </si>
  <si>
    <t>Does Form 1729 certify the applicant meets the qualifications for employment and date completed was prior to first date of work?</t>
  </si>
  <si>
    <t>Does Form 1734 certify the applicant meets the qualifications for employment and date completed was prior to first date of work?</t>
  </si>
  <si>
    <t>RECOUPMENT INSTRUCTION:</t>
  </si>
  <si>
    <t>II.4. Were all employees and Designated Representative eligible to be hired/authorized?</t>
  </si>
  <si>
    <r>
      <rPr>
        <b/>
        <sz val="10"/>
        <color theme="1"/>
        <rFont val="Arial"/>
        <family val="2"/>
      </rPr>
      <t>Column B:</t>
    </r>
    <r>
      <rPr>
        <sz val="10"/>
        <color theme="1"/>
        <rFont val="Arial"/>
        <family val="2"/>
      </rPr>
      <t xml:space="preserve"> Enter the name of the licensed service provider.</t>
    </r>
  </si>
  <si>
    <r>
      <rPr>
        <b/>
        <sz val="10"/>
        <color theme="1"/>
        <rFont val="Arial"/>
        <family val="2"/>
      </rPr>
      <t>Column C:</t>
    </r>
    <r>
      <rPr>
        <sz val="10"/>
        <color theme="1"/>
        <rFont val="Arial"/>
        <family val="2"/>
      </rPr>
      <t xml:space="preserve"> Enter the licensed service provider’s license number.</t>
    </r>
  </si>
  <si>
    <r>
      <rPr>
        <b/>
        <sz val="10"/>
        <color theme="1"/>
        <rFont val="Arial"/>
        <family val="2"/>
      </rPr>
      <t>Column D:</t>
    </r>
    <r>
      <rPr>
        <sz val="10"/>
        <color theme="1"/>
        <rFont val="Arial"/>
        <family val="2"/>
      </rPr>
      <t xml:space="preserve"> Enter the begin date of the licensed service provider’s license.</t>
    </r>
  </si>
  <si>
    <r>
      <rPr>
        <b/>
        <sz val="10"/>
        <color theme="1"/>
        <rFont val="Arial"/>
        <family val="2"/>
      </rPr>
      <t>Column E:</t>
    </r>
    <r>
      <rPr>
        <sz val="10"/>
        <color theme="1"/>
        <rFont val="Arial"/>
        <family val="2"/>
      </rPr>
      <t xml:space="preserve"> Enter the expiration date of the licensed service provider’s license.</t>
    </r>
  </si>
  <si>
    <t>Licensed Service</t>
  </si>
  <si>
    <t>License Number</t>
  </si>
  <si>
    <t>License Begin Date</t>
  </si>
  <si>
    <t xml:space="preserve">STANDARD IV.  ORIENTATION AND SERVICE INITIATION     </t>
  </si>
  <si>
    <t>IV.1</t>
  </si>
  <si>
    <t>See the forms below to verify completion (as per form instructions) prior to initiation of services</t>
  </si>
  <si>
    <t>a. IRS Form SS-4 - Application for Employer Identification Number (EIN) OR from on line application (EIN Individual Request-On line Application)</t>
  </si>
  <si>
    <t>b. IRS Form 2678 - Employer/Payer Appointment of Agent</t>
  </si>
  <si>
    <t>c. TWC Form C-1 Employer’s Registration Form - Status Report</t>
  </si>
  <si>
    <t>d. TWC Form C-42 Employer Appointment of Agent (this form must be acknowledged before a Notary Public)</t>
  </si>
  <si>
    <t>Date of transfer:</t>
  </si>
  <si>
    <t>a. IRS- Form SS-4 – Application for Employer Identification Number</t>
  </si>
  <si>
    <t>b. IRS Form 2678 – Employer/Payer Appointment of Agent</t>
  </si>
  <si>
    <t>c. TWC Form C-1 Employer’s Registration Form – Status Report</t>
  </si>
  <si>
    <t>e. Form 1735, Employer and Consumer Directed Services Agency Service Agreement</t>
  </si>
  <si>
    <t>STANDARD VI.  BUDGET</t>
  </si>
  <si>
    <t>VI. 1-2</t>
  </si>
  <si>
    <t>• See the applicable authorization form.</t>
  </si>
  <si>
    <t>Self Directed Services by Program Table</t>
  </si>
  <si>
    <t>Program</t>
  </si>
  <si>
    <t>Service Authorization Form</t>
  </si>
  <si>
    <t>CDS Services</t>
  </si>
  <si>
    <t>Community Living Assistance &amp; Support Services (CLASS)</t>
  </si>
  <si>
    <t>Form 3621 Individual Service Plan</t>
  </si>
  <si>
    <t>Form 3671-B Therapy Service Authorization</t>
  </si>
  <si>
    <t>Form 3671-C Nursing Service Plan</t>
  </si>
  <si>
    <t>Form 2101 Authorization for Community Care Services</t>
  </si>
  <si>
    <t>Personal Assistance Services</t>
  </si>
  <si>
    <t>Deaf Blind with Multiple Disabilities (DBMD)</t>
  </si>
  <si>
    <t>Form 6500 Individual Service Plan</t>
  </si>
  <si>
    <t>Form 3608 Individual Plan of Care</t>
  </si>
  <si>
    <t>Integrated Care Management (ICM)</t>
  </si>
  <si>
    <t>Occupational Therapy, Physical Therapy and Speech Therapy</t>
  </si>
  <si>
    <t>Nursing services (RN or LVN)</t>
  </si>
  <si>
    <t>Medically Dependent Children Program (MDCP)</t>
  </si>
  <si>
    <t>Form 2402 CDS Respite/Adjunct Service Authorization</t>
  </si>
  <si>
    <t>Texas Home Living (TxHmL)</t>
  </si>
  <si>
    <t>Form 8582 Individual Plan of Care</t>
  </si>
  <si>
    <t xml:space="preserve">Audiology,  Adaptive Aids, Behavior Support, Community Support, Day Hab., Dental, Dietary, Employment Assistance, Nursing, Minor Home Modifications, OT, PT, Respite (daily), Respite (hourly), Speech/Language Pathology, and Supported Employment.                   </t>
  </si>
  <si>
    <t>VI.1</t>
  </si>
  <si>
    <t xml:space="preserve">BUDGET WORKBOOK(S) TABLE  </t>
  </si>
  <si>
    <t>Budget #4</t>
  </si>
  <si>
    <t>Budget #1</t>
  </si>
  <si>
    <t>Budget #2</t>
  </si>
  <si>
    <t>Budget #3</t>
  </si>
  <si>
    <t>Begin</t>
  </si>
  <si>
    <t>End</t>
  </si>
  <si>
    <t>a. Applicable program specific or State Office approved budget workbook was used. http://www.dads.state.tx.us/providers/CDS/handbook.html</t>
  </si>
  <si>
    <t>b. The services included in the budget workbook are allowable as identified in the Self Directed Services by Program Table above.</t>
  </si>
  <si>
    <t>c. Annual authorized units/amounts in the budget workbook for each service does not exceed the authorized program service units/amounts on the service authorization form.</t>
  </si>
  <si>
    <t>d. The rate(s) used in the development of the budget workbook for each CDS service does not exceed the program service rate and spending limits established for the service by the Health and Human Services Commission (HHSC).         http://www.hhsc.state.tx.us/medicaid/programs/rad/LtcSvs.html</t>
  </si>
  <si>
    <t>e. Wage listed on Form 1730, Wages and Benefit Plan, does not exceed the rate listed on the workbook(s).</t>
  </si>
  <si>
    <t>f. Benefits listed on Form 1730, Wages and Benefit Plan, match those listed on the workbook(s).</t>
  </si>
  <si>
    <t>g. The word “VALID” is displayed on the workbook in the Budget Calculation Section.</t>
  </si>
  <si>
    <t>VI.2</t>
  </si>
  <si>
    <t>Date of notification of transfer:</t>
  </si>
  <si>
    <t>a. Determine the amount of funds remaining in the service plan and budget through the date of transfer</t>
  </si>
  <si>
    <t>d. Determine and submit any billing adjustments to DADS, and</t>
  </si>
  <si>
    <r>
      <rPr>
        <b/>
        <sz val="10"/>
        <color theme="1"/>
        <rFont val="Arial"/>
        <family val="2"/>
      </rPr>
      <t>NOTE:</t>
    </r>
    <r>
      <rPr>
        <sz val="10"/>
        <color theme="1"/>
        <rFont val="Arial"/>
        <family val="2"/>
      </rPr>
      <t xml:space="preserve"> If no Federal Income Tax or FICA withholdings are deducted, seek confirmation from the administrator that no tax was due per tax tables/ no longer employed.</t>
    </r>
  </si>
  <si>
    <t>• Select “Y” to indicate if tax was due, the contractor deducted withholdings.</t>
  </si>
  <si>
    <t>• Select “Y” to indicate if the payroll register reflects the wages, optional benefits, garnishments, voluntary withholdings, etc.  information identified on F1730.</t>
  </si>
  <si>
    <t>• Select “N” if the payroll register does not reflect the wages, optional benefits, garnishments, voluntary withholdings, etc.  information identified on F1730.</t>
  </si>
  <si>
    <t>• Select “Y” to indicate the identified form was completed within the required timeframe</t>
  </si>
  <si>
    <t>• Select “N” to indicate the identified form was not completed within the required timeframe</t>
  </si>
  <si>
    <t>Employee Name</t>
  </si>
  <si>
    <t>STANDARD VIII. REPORTING REQUIREMENTS</t>
  </si>
  <si>
    <t>• Complete the table below to answer item VIII.1.</t>
  </si>
  <si>
    <t>(See Standard VI – Budget Workbook(s) Table)</t>
  </si>
  <si>
    <t>From:</t>
  </si>
  <si>
    <t>To:</t>
  </si>
  <si>
    <t>Copy sent to employer?</t>
  </si>
  <si>
    <t>Documentation Viewed</t>
  </si>
  <si>
    <t>(F2067-Case Information, fax confirmation, signed budget, etc.)</t>
  </si>
  <si>
    <t>VIII.1. Was the employer provided a copy of the approved/valid CDS budget workbook(s)?</t>
  </si>
  <si>
    <t>VIII.2</t>
  </si>
  <si>
    <t>Quarter #1</t>
  </si>
  <si>
    <t>Quarter #2</t>
  </si>
  <si>
    <t>Quarter #3</t>
  </si>
  <si>
    <t>Quarter #4</t>
  </si>
  <si>
    <t>Copy sent to case manager/service coordinator?</t>
  </si>
  <si>
    <t>VIII.2. Were the employer and case manager/service coordinator provided with CDS budget reports at least every three months (quarterly)?</t>
  </si>
  <si>
    <t>VIII.3</t>
  </si>
  <si>
    <t>Issue/Concern</t>
  </si>
  <si>
    <t>a. allegations of abuse, neglect, exploitation, or fraud</t>
  </si>
  <si>
    <t>b. concerns about the individual’s health, safety, or welfare</t>
  </si>
  <si>
    <t>c. non-delivery or extended breaks in services</t>
  </si>
  <si>
    <t>d. noncompliance with employer responsibilities</t>
  </si>
  <si>
    <t>e. noncompliance with service back-up plans</t>
  </si>
  <si>
    <t>f. over/under utilization of services/funds allocated in the service plan and in accordance with program requirements</t>
  </si>
  <si>
    <t>Did the event occur</t>
  </si>
  <si>
    <t>Date of Event</t>
  </si>
  <si>
    <t>Case Manager /Service Coordinator Notified (F1741/F2067)</t>
  </si>
  <si>
    <t>VIII.3. Was the case manager/service coordinator notified of issues or concerns related to the individual’s participation in the CDS option through submittal of a completed Corrective Action Plan (Form 1741) or a completed Case Information Form (Form 2067)?</t>
  </si>
  <si>
    <t>IX. 1-3</t>
  </si>
  <si>
    <t>• Do not include service code 63V.</t>
  </si>
  <si>
    <t>Pre-field (Optional):</t>
  </si>
  <si>
    <t>On-site:</t>
  </si>
  <si>
    <r>
      <rPr>
        <b/>
        <sz val="10"/>
        <color theme="1"/>
        <rFont val="Arial"/>
        <family val="2"/>
      </rPr>
      <t>Column D-</t>
    </r>
    <r>
      <rPr>
        <sz val="10"/>
        <color theme="1"/>
        <rFont val="Arial"/>
        <family val="2"/>
      </rPr>
      <t xml:space="preserve"> Item/Service Related to the Billing Period:</t>
    </r>
  </si>
  <si>
    <t>• Enter description and amount of each item/service related to the expenditure paid by DADS for the Billing Period.</t>
  </si>
  <si>
    <r>
      <rPr>
        <b/>
        <sz val="10"/>
        <color theme="1"/>
        <rFont val="Arial"/>
        <family val="2"/>
      </rPr>
      <t>Column E- Item/Service Verified Amounts:</t>
    </r>
    <r>
      <rPr>
        <sz val="10"/>
        <color theme="1"/>
        <rFont val="Arial"/>
        <family val="2"/>
      </rPr>
      <t xml:space="preserve"> Enter the documented/verified amount of the item/service.</t>
    </r>
  </si>
  <si>
    <t>• Enter “0” for non-billable services. Refer to Standard VI. Budget, Self Directed Services by Program Table to determine allowable self-directed services for each program e.g. a CLASS employer can only self-direct habilitation, in-home &amp; out-of-home respite; he/she cannot self-direct Occupational Therapy.</t>
  </si>
  <si>
    <t>• Enter “0” for missing timesheet and/or there is no invoice/receipt.</t>
  </si>
  <si>
    <t>• Do not include any finance/interest charges or assessed late fees.</t>
  </si>
  <si>
    <t>• Unverified/Undocumented Units- $0.00. is pre-populated as unverified/undocumented units cannot be verified .</t>
  </si>
  <si>
    <t>• If the amount is a positive value (under-billed) enter “0”.</t>
  </si>
  <si>
    <t>• If the amount is a positive value (over-paid) enter “0”.</t>
  </si>
  <si>
    <t>• If the amount is a negative value (under-paid). Complete the CDS Monitoring Workbook- Demand for Payment Notice Table.</t>
  </si>
  <si>
    <r>
      <rPr>
        <b/>
        <sz val="10"/>
        <color theme="1"/>
        <rFont val="Arial"/>
        <family val="2"/>
      </rPr>
      <t>Column F- Amount Due to DADS:</t>
    </r>
    <r>
      <rPr>
        <sz val="10"/>
        <color theme="1"/>
        <rFont val="Arial"/>
        <family val="2"/>
      </rPr>
      <t xml:space="preserve"> Column E. minus Column D.</t>
    </r>
  </si>
  <si>
    <r>
      <rPr>
        <b/>
        <sz val="10"/>
        <color theme="1"/>
        <rFont val="Arial"/>
        <family val="2"/>
      </rPr>
      <t>Column H- Amount Due to Employee(s):</t>
    </r>
    <r>
      <rPr>
        <sz val="10"/>
        <color theme="1"/>
        <rFont val="Arial"/>
        <family val="2"/>
      </rPr>
      <t xml:space="preserve"> Column G. minus Column E.</t>
    </r>
  </si>
  <si>
    <t>• If the amount is a negative value (over-billed). Complete the CDS Monitoring Workbook- Demand for Payment Notice Table.</t>
  </si>
  <si>
    <t>Service Code</t>
  </si>
  <si>
    <t>Billing Period</t>
  </si>
  <si>
    <t xml:space="preserve">Items/Services Related to Billing Period </t>
  </si>
  <si>
    <t>Item/Service</t>
  </si>
  <si>
    <t>Itemized Amount Paid by DADS</t>
  </si>
  <si>
    <t xml:space="preserve">Item/
Service Verified Amounts
</t>
  </si>
  <si>
    <t>Amount Due to Employer (G. - E.)</t>
  </si>
  <si>
    <t>Amount Due to Employee(s) (G. - E.)</t>
  </si>
  <si>
    <t>Amount Due to DADS (E. - D.)</t>
  </si>
  <si>
    <t>Subtotal column D.</t>
  </si>
  <si>
    <t>IX.</t>
  </si>
  <si>
    <t>o If any amount in Column F. is a negative value for any item/service in column D.:</t>
  </si>
  <si>
    <t>STANDARD IX. BILLING</t>
  </si>
  <si>
    <t>o If there is a negative amount in Column H for any employees’ expense:</t>
  </si>
  <si>
    <t>IX.3. Is there evidence that the administrative expenses billed to and paid by DADS were reimbursed to the employer?</t>
  </si>
  <si>
    <t>ClientID</t>
  </si>
  <si>
    <t>AMOUNT DUE TO DADS</t>
  </si>
  <si>
    <t>AMOUNT DUE TO EMPLOYEE(S)</t>
  </si>
  <si>
    <t>(Units of Service Table, Column H.)</t>
  </si>
  <si>
    <t>Description</t>
  </si>
  <si>
    <t>Amount Due</t>
  </si>
  <si>
    <t>AMOUNT DUE TO EMPLOYER</t>
  </si>
  <si>
    <t>(Units of Service Table, Column J.)</t>
  </si>
  <si>
    <t>TOTAL</t>
  </si>
  <si>
    <t>To offset the amount(s) due to employee(s) and/or employer the contractor must submit documentation to support reimbursement (by employee/employer) as indicated above within 60 calendar days from the date of exit.</t>
  </si>
  <si>
    <t>From IWP - Units of Service Tables</t>
  </si>
  <si>
    <t>Applies to Svc Code 63V</t>
  </si>
  <si>
    <t>A</t>
  </si>
  <si>
    <t>B</t>
  </si>
  <si>
    <t>C</t>
  </si>
  <si>
    <t>D</t>
  </si>
  <si>
    <t>E</t>
  </si>
  <si>
    <t>F</t>
  </si>
  <si>
    <t>G</t>
  </si>
  <si>
    <t>H</t>
  </si>
  <si>
    <t>I</t>
  </si>
  <si>
    <t>First Initial</t>
  </si>
  <si>
    <t>Svc Code</t>
  </si>
  <si>
    <t>Svc Begin Date</t>
  </si>
  <si>
    <t>Svc End Date</t>
  </si>
  <si>
    <t>Amount Paid</t>
  </si>
  <si>
    <t>Amount Due DADS</t>
  </si>
  <si>
    <t>Error Code</t>
  </si>
  <si>
    <t>DEMAND FOR PAYMENT NOTICE</t>
  </si>
  <si>
    <t>POLICIES &amp; PROCEDURES</t>
  </si>
  <si>
    <t>III.1</t>
  </si>
  <si>
    <t>o  If overarching question III.1 is "Y", if applicable, determine if the individual receives services from a licensed service provider.</t>
  </si>
  <si>
    <t>Name of Service Provider</t>
  </si>
  <si>
    <t>License Expiration Date</t>
  </si>
  <si>
    <t>o  If overarching question IV.1 is "Y", verify completion of required forms.</t>
  </si>
  <si>
    <t>Not Calculated in Score</t>
  </si>
  <si>
    <t>o  If overarching question VI.1 is "Y", complete the BUDGET WORKBOOK TABLE</t>
  </si>
  <si>
    <t>VII. 1</t>
  </si>
  <si>
    <t>UNITS OF SERVICE TABLES</t>
  </si>
  <si>
    <t>o Select “Y” if the amounts in Column F. are “0” for each item/service in column D.</t>
  </si>
  <si>
    <t>o Select “Y” if the amounts in Column H. are “0” for all employees’ expenses.</t>
  </si>
  <si>
    <t>o  If overarching question VIII.3 is "Y"complete the table below.</t>
  </si>
  <si>
    <t>o  If overarching question VIII.2 is "Y"complete the table below.</t>
  </si>
  <si>
    <t>CDS HCD</t>
  </si>
  <si>
    <t>______________________________________________(Name and Title)</t>
  </si>
  <si>
    <t>______________________________________________(Signature)</t>
  </si>
  <si>
    <t xml:space="preserve">My Signature certifies the information above is correct </t>
  </si>
  <si>
    <t>(Amounts Due Employee and Employer)</t>
  </si>
  <si>
    <t>SpreadsheetName</t>
  </si>
  <si>
    <t>SpreadsheetVersion</t>
  </si>
  <si>
    <t>ReviewDtOfEntrance</t>
  </si>
  <si>
    <t>CDS</t>
  </si>
  <si>
    <t>ContractType</t>
  </si>
  <si>
    <t>ContractNumber</t>
  </si>
  <si>
    <t>XcdsMonitoringWbk1</t>
  </si>
  <si>
    <t>NameOfLegalEntity</t>
  </si>
  <si>
    <t>ReviewLevel</t>
  </si>
  <si>
    <t>ReviewType</t>
  </si>
  <si>
    <t>CompletedByLastName</t>
  </si>
  <si>
    <t>CompletedByFirstName</t>
  </si>
  <si>
    <t>DtOfEntrance</t>
  </si>
  <si>
    <t>DtOfExit</t>
  </si>
  <si>
    <t>DtOfReviewBegin</t>
  </si>
  <si>
    <t>DtOfReviewEnd</t>
  </si>
  <si>
    <t>CbaContractNumber</t>
  </si>
  <si>
    <t>IcmContractNumber</t>
  </si>
  <si>
    <t>CdsPhcFcCasContractNumber</t>
  </si>
  <si>
    <t>CdsMdcpContractNumber</t>
  </si>
  <si>
    <t>CdsCmpasContractNumber</t>
  </si>
  <si>
    <t>CdsDbmdContractNumber</t>
  </si>
  <si>
    <t>CdsClassContractNumber</t>
  </si>
  <si>
    <t>CdsHcdContractNumber</t>
  </si>
  <si>
    <t>CdsTxHmlContractNumber</t>
  </si>
  <si>
    <t>Std1dot1</t>
  </si>
  <si>
    <t>Std1dot2</t>
  </si>
  <si>
    <t>Std1dot3</t>
  </si>
  <si>
    <t>Std1dot4</t>
  </si>
  <si>
    <t>Std1dot4Comments</t>
  </si>
  <si>
    <t>Std1dot5a</t>
  </si>
  <si>
    <t>Std1dot5b</t>
  </si>
  <si>
    <t>Std1dot5c</t>
  </si>
  <si>
    <t>Std1dot5d</t>
  </si>
  <si>
    <t>Std1dot5e</t>
  </si>
  <si>
    <t>Std1dot5f</t>
  </si>
  <si>
    <t>Std1dot5</t>
  </si>
  <si>
    <t>Std1dot6</t>
  </si>
  <si>
    <t>Std1dot6Comments</t>
  </si>
  <si>
    <t>Std1TotalYes</t>
  </si>
  <si>
    <t>Std1TotalNo</t>
  </si>
  <si>
    <t>Std2dot1Comments</t>
  </si>
  <si>
    <t>Std2dot1NumberYes</t>
  </si>
  <si>
    <t>Std2dot1NumberNo</t>
  </si>
  <si>
    <t>Std2dot2Comments</t>
  </si>
  <si>
    <t>Std2dot2NumberYes</t>
  </si>
  <si>
    <t>Std2dot2NumberNo</t>
  </si>
  <si>
    <t>Std2dot3Comments</t>
  </si>
  <si>
    <t>Std2dot3NumberYes</t>
  </si>
  <si>
    <t>Std2dot3NumberNo</t>
  </si>
  <si>
    <t>Std2dot4Comments</t>
  </si>
  <si>
    <t>Std2dot4NumberYes</t>
  </si>
  <si>
    <t>Std2dot4NumberNo</t>
  </si>
  <si>
    <t>Std2TotalYes</t>
  </si>
  <si>
    <t>Std2TotalNo</t>
  </si>
  <si>
    <t>Std3dot1Comments</t>
  </si>
  <si>
    <t>Std3TotalYes</t>
  </si>
  <si>
    <t>Std3TotalNo</t>
  </si>
  <si>
    <t>Std4dot1Comments</t>
  </si>
  <si>
    <t>Std4dot1NumberYes</t>
  </si>
  <si>
    <t>Std4dot1NumberNo</t>
  </si>
  <si>
    <t>Std4dot2Comments</t>
  </si>
  <si>
    <t>Std4dot2NumberYes</t>
  </si>
  <si>
    <t>Std4dot2NumberNo</t>
  </si>
  <si>
    <t>Std4dot3Comments</t>
  </si>
  <si>
    <t>Std4dot3NumberYes</t>
  </si>
  <si>
    <t>Std4dot3NumberNo</t>
  </si>
  <si>
    <t>Std4TotalYes</t>
  </si>
  <si>
    <t>Std4TotalNo</t>
  </si>
  <si>
    <t>Std5dot1Comments</t>
  </si>
  <si>
    <t>Std6dot1Comments</t>
  </si>
  <si>
    <t>Std6dot1NumberYes</t>
  </si>
  <si>
    <t>Std6dot1NumberNo</t>
  </si>
  <si>
    <t>Std6dot2Comments</t>
  </si>
  <si>
    <t>Std6dot2NumberYes</t>
  </si>
  <si>
    <t>Std6dot2NumberNo</t>
  </si>
  <si>
    <t>Std6TotalYes</t>
  </si>
  <si>
    <t>Std5TotalYes</t>
  </si>
  <si>
    <t>Std5TotalNo</t>
  </si>
  <si>
    <t>Std6TotalNo</t>
  </si>
  <si>
    <t>Std7dot1Comments</t>
  </si>
  <si>
    <t>Std7dot1NumberYes</t>
  </si>
  <si>
    <t>Std7dot1NumberNo</t>
  </si>
  <si>
    <t>Std7dot2Comments</t>
  </si>
  <si>
    <t>Std7dot2NumberYes</t>
  </si>
  <si>
    <t>Std7dot2NumberNo</t>
  </si>
  <si>
    <t>Std7TotalYes</t>
  </si>
  <si>
    <t>Std7TotalNo</t>
  </si>
  <si>
    <t>Std8dot1Comments</t>
  </si>
  <si>
    <t>Std8dot1NumberYes</t>
  </si>
  <si>
    <t>Std8dot1NumberNo</t>
  </si>
  <si>
    <t>Std8dot2Comments</t>
  </si>
  <si>
    <t>Std8dot2NumberYes</t>
  </si>
  <si>
    <t>Std8dot2NumberNo</t>
  </si>
  <si>
    <t>Std8dot3Comments</t>
  </si>
  <si>
    <t>Std8dot3NumberYes</t>
  </si>
  <si>
    <t>Std8dot3NumberNo</t>
  </si>
  <si>
    <t>Std8TotalYes</t>
  </si>
  <si>
    <t>Std8TotalNo</t>
  </si>
  <si>
    <t>Std9dot1Comments</t>
  </si>
  <si>
    <t>Std9dot1NumberYes</t>
  </si>
  <si>
    <t>Std9dot1NumberNo</t>
  </si>
  <si>
    <t>Std9dot2Comments</t>
  </si>
  <si>
    <t>Std9dot2NumberYes</t>
  </si>
  <si>
    <t>Std9dot2NumberNo</t>
  </si>
  <si>
    <t>Std9dot3Comments</t>
  </si>
  <si>
    <t>Std9dot3NumberYes</t>
  </si>
  <si>
    <t>Std9dot3NumberNo</t>
  </si>
  <si>
    <t>Std9TotalYes</t>
  </si>
  <si>
    <t>Std9TotalNo</t>
  </si>
  <si>
    <t>Amount Due to DADS</t>
  </si>
  <si>
    <t>To offset the amount(s) due to DADS the contractor must submit negative bills (by individual) as indicated below within 60 calendar days from the date of exit.</t>
  </si>
  <si>
    <t>SpreadsheetInfo</t>
  </si>
  <si>
    <t>ContractNumbers</t>
  </si>
  <si>
    <t>J. Billing Period Total</t>
  </si>
  <si>
    <t>Home &amp; Community-Based Services (HCS)</t>
  </si>
  <si>
    <t>CdsCwpContractNumber</t>
  </si>
  <si>
    <r>
      <rPr>
        <b/>
        <sz val="10"/>
        <color theme="1"/>
        <rFont val="Arial"/>
        <family val="2"/>
      </rPr>
      <t>Column G- Amount Reimbursed to Employee(s)/Employer:</t>
    </r>
    <r>
      <rPr>
        <sz val="10"/>
        <color theme="1"/>
        <rFont val="Arial"/>
        <family val="2"/>
      </rPr>
      <t xml:space="preserve"> Enter or select from the drop down menu (click in the cell for the menu to appear):"NA", "Employee" or "Employer". Enter the documented/verified amount reimbursed to the employee(s)/employer. Review payroll register, check register, bank statements, etc.</t>
    </r>
  </si>
  <si>
    <t>Amount Reimbursed to 
Employee(s)/Employer</t>
  </si>
  <si>
    <r>
      <rPr>
        <b/>
        <sz val="10"/>
        <color theme="1"/>
        <rFont val="Arial"/>
        <family val="2"/>
      </rPr>
      <t>Column J- Billing Period Totals:</t>
    </r>
    <r>
      <rPr>
        <sz val="10"/>
        <color theme="1"/>
        <rFont val="Arial"/>
        <family val="2"/>
      </rPr>
      <t xml:space="preserve"> Sum of Column F. for the billing period.</t>
    </r>
  </si>
  <si>
    <t>XcdsComplianceSummary</t>
  </si>
  <si>
    <t>Std1Score</t>
  </si>
  <si>
    <t>Std2Score</t>
  </si>
  <si>
    <t>Std3Score</t>
  </si>
  <si>
    <t>Std4Score</t>
  </si>
  <si>
    <t>Std5Score</t>
  </si>
  <si>
    <t>Std6Score</t>
  </si>
  <si>
    <t>Std7Score</t>
  </si>
  <si>
    <t>Std8Score</t>
  </si>
  <si>
    <t>Std9Score</t>
  </si>
  <si>
    <t>OverallTotalYes</t>
  </si>
  <si>
    <t>OverallTotalNo</t>
  </si>
  <si>
    <t>OverallTotal</t>
  </si>
  <si>
    <t>OverallScore</t>
  </si>
  <si>
    <t>AmtDueDadsCba</t>
  </si>
  <si>
    <t>AmtDueDadsIcm</t>
  </si>
  <si>
    <t>AmtDueDadsPhc</t>
  </si>
  <si>
    <t>AmtDueDadsMdcp</t>
  </si>
  <si>
    <t>AmtDueDadsCmpas</t>
  </si>
  <si>
    <t>AmtDueDadsDbmd</t>
  </si>
  <si>
    <t>AmtDueDadsClass</t>
  </si>
  <si>
    <t>AmtDueDadsHcs</t>
  </si>
  <si>
    <t>AmtDueDadsTxhml</t>
  </si>
  <si>
    <t>AmtDueDadsCwp</t>
  </si>
  <si>
    <t>AmtDueEmployees</t>
  </si>
  <si>
    <t>AmtDueEmployer</t>
  </si>
  <si>
    <t>AmtDueDads</t>
  </si>
  <si>
    <t>ClientId</t>
  </si>
  <si>
    <t>LastName</t>
  </si>
  <si>
    <t>SvcCode</t>
  </si>
  <si>
    <t>AmountsDueEmployee/Employer</t>
  </si>
  <si>
    <t>XcdsAmtDueEmployeesDetails</t>
  </si>
  <si>
    <t>FirstName</t>
  </si>
  <si>
    <t>BillingBeginDt</t>
  </si>
  <si>
    <t>BillingEndDt</t>
  </si>
  <si>
    <t>AmtDue</t>
  </si>
  <si>
    <t>XcdsAmtDueEmployerDetails</t>
  </si>
  <si>
    <t>SampleNo</t>
  </si>
  <si>
    <t>IwpNumber</t>
  </si>
  <si>
    <t>SampleNumber</t>
  </si>
  <si>
    <t>ClientLastName</t>
  </si>
  <si>
    <t>ClientFirstName</t>
  </si>
  <si>
    <t>DtCompleted</t>
  </si>
  <si>
    <t>Std2NotCalc</t>
  </si>
  <si>
    <t>Std2dot1</t>
  </si>
  <si>
    <t>Std2dot2</t>
  </si>
  <si>
    <t>Std2dot3</t>
  </si>
  <si>
    <t>Std2dot4</t>
  </si>
  <si>
    <t>Std3NotCalc</t>
  </si>
  <si>
    <t>Std3dot1</t>
  </si>
  <si>
    <t>Std4NotCalc</t>
  </si>
  <si>
    <t>Std4dot1a</t>
  </si>
  <si>
    <t>Std4dot1b</t>
  </si>
  <si>
    <t>Std4dot1c</t>
  </si>
  <si>
    <t>Std4dot1d</t>
  </si>
  <si>
    <t>Std4dot1e</t>
  </si>
  <si>
    <t>Std4dot1f</t>
  </si>
  <si>
    <t>Std4dot1</t>
  </si>
  <si>
    <t>Std4dot2a</t>
  </si>
  <si>
    <t>Std4dot2b</t>
  </si>
  <si>
    <t>Std4dot2c</t>
  </si>
  <si>
    <t>Std4dot2d</t>
  </si>
  <si>
    <t>Std4dot2</t>
  </si>
  <si>
    <t>Std4dot3NotCalc</t>
  </si>
  <si>
    <t>Std4dot3DtOfTransfer</t>
  </si>
  <si>
    <t>Std4dot3a</t>
  </si>
  <si>
    <t>Std4dot3b</t>
  </si>
  <si>
    <t>Std4dot3c</t>
  </si>
  <si>
    <t>Std4dot3d</t>
  </si>
  <si>
    <t>Std4dot3e</t>
  </si>
  <si>
    <t>Std4dot3</t>
  </si>
  <si>
    <t>Std5NotCalc</t>
  </si>
  <si>
    <t>Std5dot1</t>
  </si>
  <si>
    <t>Std6dot1NotCalc</t>
  </si>
  <si>
    <t>Std6dot1</t>
  </si>
  <si>
    <t>Std6dot2NotCalc</t>
  </si>
  <si>
    <t>Std6dot2DtOfNoteOfXfer</t>
  </si>
  <si>
    <t>Std6dot2a</t>
  </si>
  <si>
    <t>Std6dot2b</t>
  </si>
  <si>
    <t>Std6dot2c</t>
  </si>
  <si>
    <t>Std6dot2d</t>
  </si>
  <si>
    <t>Std6dot2e</t>
  </si>
  <si>
    <t>Std6dot2</t>
  </si>
  <si>
    <t>Std7NotCalc</t>
  </si>
  <si>
    <t>Std7dot1</t>
  </si>
  <si>
    <t>Std7dot2</t>
  </si>
  <si>
    <t>Std8dot1</t>
  </si>
  <si>
    <t>Std8dot2NotCalc</t>
  </si>
  <si>
    <t>Std8dot2</t>
  </si>
  <si>
    <t>Std8dot3NotCalc</t>
  </si>
  <si>
    <t>Std8dot3</t>
  </si>
  <si>
    <t>Std9dot1</t>
  </si>
  <si>
    <t>Std9dot2</t>
  </si>
  <si>
    <t>Std9dot3</t>
  </si>
  <si>
    <t>IWP01</t>
  </si>
  <si>
    <t>IWP02</t>
  </si>
  <si>
    <t>IWP03</t>
  </si>
  <si>
    <t>IWP04</t>
  </si>
  <si>
    <t>IWP05</t>
  </si>
  <si>
    <t>IWP06</t>
  </si>
  <si>
    <t>IWP07</t>
  </si>
  <si>
    <t>IWP08</t>
  </si>
  <si>
    <t>IWP09</t>
  </si>
  <si>
    <t>IWP10</t>
  </si>
  <si>
    <t>IWP11</t>
  </si>
  <si>
    <t>IWP12</t>
  </si>
  <si>
    <t>IWP13</t>
  </si>
  <si>
    <t>IWP14</t>
  </si>
  <si>
    <t>IWP15</t>
  </si>
  <si>
    <t>IWP16</t>
  </si>
  <si>
    <t>IWP17</t>
  </si>
  <si>
    <t>IWP18</t>
  </si>
  <si>
    <t>IWP19</t>
  </si>
  <si>
    <t>IWP20</t>
  </si>
  <si>
    <t>IWP21</t>
  </si>
  <si>
    <t>IWP22</t>
  </si>
  <si>
    <t>IWP23</t>
  </si>
  <si>
    <t>IWP24</t>
  </si>
  <si>
    <t>IWP25</t>
  </si>
  <si>
    <t>IWP26</t>
  </si>
  <si>
    <t>IWP27</t>
  </si>
  <si>
    <t>IWP28</t>
  </si>
  <si>
    <t>IWP29</t>
  </si>
  <si>
    <t>IWP30</t>
  </si>
  <si>
    <t>XcdsIwpData</t>
  </si>
  <si>
    <t>XcdsIwpStd2BkgndChks</t>
  </si>
  <si>
    <t>FirstDtOfWork</t>
  </si>
  <si>
    <t>RqstdCdsaForBkgndChk</t>
  </si>
  <si>
    <t>DtRqstdCdsaBkgndChk</t>
  </si>
  <si>
    <t>DtCdsaResults</t>
  </si>
  <si>
    <t>BkgndChkdAftrPrmssn</t>
  </si>
  <si>
    <t>CdsaNtfdEmplrIn5DysofRqst</t>
  </si>
  <si>
    <t>ChksComplIn30Days</t>
  </si>
  <si>
    <t>F1725Certify</t>
  </si>
  <si>
    <t>Frm1729Certify</t>
  </si>
  <si>
    <t>Frm1734Certify</t>
  </si>
  <si>
    <t>LicensedSvc</t>
  </si>
  <si>
    <t>NameOfSvcProvider</t>
  </si>
  <si>
    <t>LicenseNumber</t>
  </si>
  <si>
    <t>LicenseBeginDt</t>
  </si>
  <si>
    <t>LicenseExpDt</t>
  </si>
  <si>
    <t>LicMaintDrngRvwPrd</t>
  </si>
  <si>
    <t>XcdsIwpStd3LicenseInfo</t>
  </si>
  <si>
    <t>BudgetNumber</t>
  </si>
  <si>
    <t>BeginDt</t>
  </si>
  <si>
    <t>EndDt</t>
  </si>
  <si>
    <t>SignatureDt</t>
  </si>
  <si>
    <t>Std4dot1g</t>
  </si>
  <si>
    <t>Std4dot1h</t>
  </si>
  <si>
    <t>XcdsIwpStd4BudgetInfo</t>
  </si>
  <si>
    <t>EmplLastName</t>
  </si>
  <si>
    <t>EmplFirstName</t>
  </si>
  <si>
    <t>FirstDtWork</t>
  </si>
  <si>
    <t>WthhldDeducted</t>
  </si>
  <si>
    <t>ProcessedPerForm1730</t>
  </si>
  <si>
    <t>Frm1728ComplIn5WrkDays</t>
  </si>
  <si>
    <t>Frm1737ComplIn5WrkDays</t>
  </si>
  <si>
    <t>Frm1739ComplIn5WrkDays</t>
  </si>
  <si>
    <t>XcdsIwpStd7PyrllEmplReqs</t>
  </si>
  <si>
    <t>CopySentToEmployer</t>
  </si>
  <si>
    <t>DocumentationViewed</t>
  </si>
  <si>
    <t>XcdsIwpStd8dot1RptgReqs</t>
  </si>
  <si>
    <t>QtrNumber</t>
  </si>
  <si>
    <t>CopySentToMgr</t>
  </si>
  <si>
    <t>XcdsIwpStd8dot2BudgetInfo</t>
  </si>
  <si>
    <t>IssueConcern</t>
  </si>
  <si>
    <t>EventOccurred</t>
  </si>
  <si>
    <t>DtOfEvent</t>
  </si>
  <si>
    <t>ManagerNotified</t>
  </si>
  <si>
    <t>XcdsIwpStd8dot3Issues</t>
  </si>
  <si>
    <t>IwpUnitsOfServiceTables</t>
  </si>
  <si>
    <t>XcdsIwpStd9BlngInfoSmry</t>
  </si>
  <si>
    <t>TableNumber</t>
  </si>
  <si>
    <t>AmtPdCognosCare</t>
  </si>
  <si>
    <t>SubTotalColD</t>
  </si>
  <si>
    <t>UnverifiedAmt</t>
  </si>
  <si>
    <t>SubTotalColF</t>
  </si>
  <si>
    <t>SubTotalColH</t>
  </si>
  <si>
    <t>SubTotalColJ</t>
  </si>
  <si>
    <t>BillingPeriodTotal</t>
  </si>
  <si>
    <t>ItemOrService</t>
  </si>
  <si>
    <t>ItmzdAmtPdByDads</t>
  </si>
  <si>
    <t>VerifiedAmt</t>
  </si>
  <si>
    <t>ReimbursedTo</t>
  </si>
  <si>
    <t>AmtReimbEmployee</t>
  </si>
  <si>
    <t>XcdsIwpStd9BlngInfo</t>
  </si>
  <si>
    <r>
      <rPr>
        <b/>
        <sz val="10"/>
        <color theme="1"/>
        <rFont val="Arial"/>
        <family val="2"/>
      </rPr>
      <t>Column A-</t>
    </r>
    <r>
      <rPr>
        <sz val="10"/>
        <color theme="1"/>
        <rFont val="Arial"/>
        <family val="2"/>
      </rPr>
      <t xml:space="preserve"> Service Code: Enter the service code from Contract Monitoring Claims Report/CARE.</t>
    </r>
  </si>
  <si>
    <r>
      <rPr>
        <b/>
        <sz val="10"/>
        <color theme="1"/>
        <rFont val="Arial"/>
        <family val="2"/>
      </rPr>
      <t>Column B-</t>
    </r>
    <r>
      <rPr>
        <sz val="10"/>
        <color theme="1"/>
        <rFont val="Arial"/>
        <family val="2"/>
      </rPr>
      <t xml:space="preserve"> Billing Period: Enter the Service Begin and Service End dates from Contract Monitoring Claims Report/CARE.</t>
    </r>
  </si>
  <si>
    <r>
      <rPr>
        <b/>
        <sz val="10"/>
        <color theme="1"/>
        <rFont val="Arial"/>
        <family val="2"/>
      </rPr>
      <t>Column C-</t>
    </r>
    <r>
      <rPr>
        <sz val="10"/>
        <color theme="1"/>
        <rFont val="Arial"/>
        <family val="2"/>
      </rPr>
      <t xml:space="preserve"> Amount Paid: Enter the amount paid from Contract Monitoring Claims Report/CARE for the billing period.</t>
    </r>
  </si>
  <si>
    <t>Amount Paid (Contract Monitoring Claims Report / CARE)</t>
  </si>
  <si>
    <t>Amount Paid (Contract Monitoring Claims Report /  CARE)</t>
  </si>
  <si>
    <t>(See Individual Work Papers for item VIII. 1-3)</t>
  </si>
  <si>
    <r>
      <t>Column I- Amount Due to Employer:</t>
    </r>
    <r>
      <rPr>
        <sz val="10"/>
        <color theme="1"/>
        <rFont val="Arial"/>
        <family val="2"/>
      </rPr>
      <t xml:space="preserve"> Column G. minus Column E.  Enter the documented/verified amount reimbursed to the employer for the item/service.  Review accounts payable ledger, check register, bank statement, etc.</t>
    </r>
  </si>
  <si>
    <r>
      <t xml:space="preserve">• </t>
    </r>
    <r>
      <rPr>
        <b/>
        <sz val="10"/>
        <color theme="1"/>
        <rFont val="Arial"/>
        <family val="2"/>
      </rPr>
      <t>Subtotal</t>
    </r>
    <r>
      <rPr>
        <sz val="10"/>
        <color theme="1"/>
        <rFont val="Arial"/>
        <family val="2"/>
      </rPr>
      <t xml:space="preserve"> - Enter the subtotal sum of the item/services listed in the above rows</t>
    </r>
  </si>
  <si>
    <r>
      <t xml:space="preserve">• </t>
    </r>
    <r>
      <rPr>
        <b/>
        <sz val="10"/>
        <color theme="1"/>
        <rFont val="Arial"/>
        <family val="2"/>
      </rPr>
      <t>Unverified/Undocumented Units-</t>
    </r>
    <r>
      <rPr>
        <sz val="10"/>
        <color theme="1"/>
        <rFont val="Arial"/>
        <family val="2"/>
      </rPr>
      <t xml:space="preserve"> Enter the amount of the subtotal of Column D minus Column C</t>
    </r>
  </si>
  <si>
    <t>Unverified/Undocumented (Subtotal D - C)</t>
  </si>
  <si>
    <t>Unverified/Undocumented (Subtotall D - C)</t>
  </si>
  <si>
    <t>Item J</t>
  </si>
  <si>
    <t>• requires the contractor to immediately self report any exclusion information discovered to HHSC-OIG</t>
  </si>
  <si>
    <t>To offset the amount(s) due to DADS the contractor must submit negative bills (by individual) as indicated above within 60 calendar days from the date of the exit conference or if applicable, the date the contractor receives Form 5997.</t>
  </si>
  <si>
    <t>1. DADS did not identify a financial error?</t>
  </si>
  <si>
    <t>IX.1. DADS did not identify a financial error?</t>
  </si>
  <si>
    <t>Dates of Monitoring Period</t>
  </si>
  <si>
    <t>Individual ID</t>
  </si>
  <si>
    <t>Record Review Period Begin Date</t>
  </si>
  <si>
    <t>Record Review Period End Date</t>
  </si>
  <si>
    <t>Individual ID Number</t>
  </si>
  <si>
    <t>Obtain a copy of the payment rates established by the Health and Human Services Commission (HHSC), Rate Analysis Department (RAD) during the review period for each CDS service</t>
  </si>
  <si>
    <t>License Maintained During Selected 6 month Review Period</t>
  </si>
  <si>
    <t>III.1. Is there evidence on file that all licensed service providers e.g. therapists, Licensed Vocational Nurse (LVN), Registered Nurse (RN) maintained a current license for the selected 6 months of service delivery?</t>
  </si>
  <si>
    <t>OVERARCHING QUESTION                                                                                                   Did the individual enter service during the monitoring period?</t>
  </si>
  <si>
    <t>• Review all budgets in effect during the selected 6 month service delivery review period to complete the BUDGET WORKBOOK(S) TABLE below.</t>
  </si>
  <si>
    <r>
      <rPr>
        <b/>
        <sz val="10"/>
        <color theme="1"/>
        <rFont val="Arial"/>
        <family val="2"/>
      </rPr>
      <t>Column A:</t>
    </r>
    <r>
      <rPr>
        <sz val="10"/>
        <color theme="1"/>
        <rFont val="Arial"/>
        <family val="2"/>
      </rPr>
      <t xml:space="preserve">  Enter the name of each employee (attendants, LVNs, RNs, Therapists, etc.) that worked during the selected 6 month service delivery review period (see timesheets/service delivery documentation)</t>
    </r>
  </si>
  <si>
    <t>Complete columns C. and D. for the last two months the employee worked during the 6 month service delivery review period</t>
  </si>
  <si>
    <t>OVERARCHING QUESTION
Documentation for the monitoring period indicates that at least one of the events listed below (a-f) occurred during the monitoring period?</t>
  </si>
  <si>
    <t>NA</t>
  </si>
  <si>
    <t>• RN, LVN, therapist and/or attendant - Review Service Delivery Records/Timesheets, EVV Report or equivalent.</t>
  </si>
  <si>
    <t xml:space="preserve">• Review the individual’s Budget Workbook, service delivery documentation, employee timesheets,  EVV Reports, payroll records, invoices/receipts, etc. for the selected six months of service delivery and complete the Units of Service table below for each individual service code and billing period on the Contract Monitoring Claims Report payment report. </t>
  </si>
  <si>
    <t>• The amount entered in this column should be substantiated by itemized invoices/receipts, payroll records, timesheets,EVV Reports, etc.</t>
  </si>
  <si>
    <t>f. Form 1737, Employer and Employee Service Agreement</t>
  </si>
  <si>
    <t>g. Form 1739, Service Provider Agreement</t>
  </si>
  <si>
    <t xml:space="preserve"> </t>
  </si>
  <si>
    <t>II.1_QualG</t>
  </si>
  <si>
    <t>II.1_Qual HI</t>
  </si>
  <si>
    <t>II.1_Qual HIJ</t>
  </si>
  <si>
    <t>(Revised)</t>
  </si>
  <si>
    <t>J</t>
  </si>
  <si>
    <r>
      <t xml:space="preserve">Complete columns A-H by entering original payment information in Contract Monitoring Claims Report report
</t>
    </r>
    <r>
      <rPr>
        <sz val="10"/>
        <color theme="1"/>
        <rFont val="Arial"/>
        <family val="2"/>
      </rPr>
      <t>(Enter "N" on the applicable billing standard for each individual listed below when no evidence of negative billing prior to the entrance conference was found)</t>
    </r>
  </si>
  <si>
    <t>Std1dot2b</t>
  </si>
  <si>
    <t>DtOfExitRevised</t>
  </si>
  <si>
    <t>d. TWC Form C- 42 Employer Appointment of Agent</t>
  </si>
  <si>
    <t>STANDARD V.  CUSTOMER SATISFACTION</t>
  </si>
  <si>
    <r>
      <rPr>
        <b/>
        <sz val="10"/>
        <color theme="1"/>
        <rFont val="Arial"/>
        <family val="2"/>
      </rPr>
      <t>Column E:</t>
    </r>
    <r>
      <rPr>
        <sz val="10"/>
        <color theme="1"/>
        <rFont val="Arial"/>
        <family val="2"/>
      </rPr>
      <t xml:space="preserve">  Compare Column C to Column D.</t>
    </r>
  </si>
  <si>
    <t>DtMonitoringPdBgn</t>
  </si>
  <si>
    <t>DtMonitoringPdEnd</t>
  </si>
  <si>
    <t>o Select one month within the monitoring period and ask the contractor to provide evidence of LEIE checks conducted for that month;</t>
  </si>
  <si>
    <t xml:space="preserve">     • the date(s) of the searches;</t>
  </si>
  <si>
    <t xml:space="preserve">     • first and last names and date of birth of all employees and contractors subject to the search requirements;</t>
  </si>
  <si>
    <t xml:space="preserve">     • whether or not the employee/contractor appeared in the databases;</t>
  </si>
  <si>
    <t xml:space="preserve">     • date any excluded employee/contractor was self-reported to HHSC-OIG</t>
  </si>
  <si>
    <t xml:space="preserve">     • copy of the self-report; and</t>
  </si>
  <si>
    <t xml:space="preserve">     • printed name(s) and signatures of staff responsible for completing the searches</t>
  </si>
  <si>
    <t>Contract Type</t>
  </si>
  <si>
    <t>Standard Number</t>
  </si>
  <si>
    <t>Comments</t>
  </si>
  <si>
    <t>Service Backup Plan</t>
  </si>
  <si>
    <t>1.  Does the individual employer receive any services through the CDS option that require a backup plan?</t>
  </si>
  <si>
    <t>Service Backup Plan requirements by Program:</t>
  </si>
  <si>
    <t>CLASS – Required for Habilitation and Nursing</t>
  </si>
  <si>
    <t>MDCP – Required for Respite and Flexible Family Supports</t>
  </si>
  <si>
    <t>CBA, DBMD, HCS, TxHmL - As determined by the Service Planning Team</t>
  </si>
  <si>
    <t>Backup Plan Required?</t>
  </si>
  <si>
    <t>Backup Plan on File?</t>
  </si>
  <si>
    <t>Total NA</t>
  </si>
  <si>
    <t>XcdsServiceBackupPlan</t>
  </si>
  <si>
    <t>SvcBkpPlanDot1</t>
  </si>
  <si>
    <t>SvcBkpPlanDot2</t>
  </si>
  <si>
    <t>BkpPlanRequiredTotalNo</t>
  </si>
  <si>
    <t>BkpPlanRequiredTotalYes</t>
  </si>
  <si>
    <t>BkpPlanRequiredTotalNa</t>
  </si>
  <si>
    <t>BkpPlanOnFileTotalYes</t>
  </si>
  <si>
    <t>BkpPlanOnFileTotalNo</t>
  </si>
  <si>
    <t>BkpPlanOnFileTotalNa</t>
  </si>
  <si>
    <t>XcdsSvcBackupPlanSamples</t>
  </si>
  <si>
    <t>BackupPlanRequired</t>
  </si>
  <si>
    <t>BackupPlanOnFile</t>
  </si>
  <si>
    <t>(Demand for Payment Notice Table, sum Column I.)</t>
  </si>
  <si>
    <r>
      <rPr>
        <b/>
        <sz val="12"/>
        <color theme="1"/>
        <rFont val="Arial"/>
        <family val="2"/>
      </rPr>
      <t>RECOUPMENT INSTRUCTION</t>
    </r>
    <r>
      <rPr>
        <b/>
        <sz val="10"/>
        <color theme="1"/>
        <rFont val="Arial"/>
        <family val="2"/>
      </rPr>
      <t>:</t>
    </r>
    <r>
      <rPr>
        <sz val="10"/>
        <color theme="1"/>
        <rFont val="Arial"/>
        <family val="2"/>
      </rPr>
      <t xml:space="preserve"> If Column F is “N”, enter the Financial Management Monthly Fee (63V) in the CDS Monitoring Workbook- Demand for Payment Notice, column I, paid for each month during the selected six month review period licensed services were provided by an unlicensed professional. Do not exceed six months. Enter in the CDS Monitoring Workbook- Demand for Payment Notice, Column J, error code III.1.</t>
    </r>
  </si>
  <si>
    <t>• Enter in column I. of the Demand for Payment Notice the amount in Column J. from the Units of Service Table.</t>
  </si>
  <si>
    <t>Select “Y” if the contractor provides evidence that the contractor reimbursed the employee at least three workdays prior to the date of the Entrance Conference.</t>
  </si>
  <si>
    <t>o Select “Y” if the amounts in Column J. are “0” for all administrative expenses.</t>
  </si>
  <si>
    <t>o If there is a negative amount in Column J for any administrative expense:</t>
  </si>
  <si>
    <t>Select “Y” if the contractor provides evidence that the contractor reimbursed the employer at least three workdays prior to the date of the Entrance Conference.</t>
  </si>
  <si>
    <t>OVERARCHING QUESTION
Was a budget required to be in effect during the selected 6 month service delivery review period?</t>
  </si>
  <si>
    <t>3.  Did the FMSA notify the employer of the eligibility check results within the required timeframe?</t>
  </si>
  <si>
    <t>2.  For outgoing transfers, did the FMSA complete all required activities within five working days after notification?</t>
  </si>
  <si>
    <t>(See Individual Work Papers for items IX. 1-3)</t>
  </si>
  <si>
    <t>Answer the following two questions on service backup plans for each individual in the sample</t>
  </si>
  <si>
    <t>Did the Employer request the FMSA to obtain the background check?</t>
  </si>
  <si>
    <t xml:space="preserve">If C is “Y”, enter Date FMSA notified employer of results </t>
  </si>
  <si>
    <t>II.3. Did the FMSA notify the employer of the eligibility check results within the required timeframe?</t>
  </si>
  <si>
    <t>IV.2. Did the FMSA verify that the employer completed required forms prior to initiation of services?</t>
  </si>
  <si>
    <t>V.1. If required by the individual's program, did the FMSA provide the DADS satisfaction survey of FMSA services to the employer or DR as required (annually, upon transfer to another FMSA, upon termination from the CDS option)?</t>
  </si>
  <si>
    <t>o Select “Y” if the FMSA provided the DADS satisfaction survey as required.</t>
  </si>
  <si>
    <t>o Select “N” if the FMSA did not provide the DADS satisfaction survey as required.</t>
  </si>
  <si>
    <t>c. Prepare final billing to DADS for funds in the individual’s budget that the FMSA must pay on behalf of the employer</t>
  </si>
  <si>
    <t>e. Transfer employer related information and reports to the receiving FMSA</t>
  </si>
  <si>
    <t>VI.2. For outgoing transfers, did the FMSA complete all required activities within five working days after notification?</t>
  </si>
  <si>
    <t>• Select “NA” for items IX.1-IX.3 if there were no expenses paid other than the FMSA monthly administrative fee (Service Code 63V).</t>
  </si>
  <si>
    <t>• Compare each claim submission date provided on the Contract Monitoring Claims Report agency to the agency expenditure dates to verify that the contractor incurred the expenditure prior to billing DADS</t>
  </si>
  <si>
    <t>Select “Y” if the contractor provides evidence that the contractor negative billed the amount due to DADS at least three workdays prior to the date of the Entrance Conference.
Select “N” if the contractor submitted claims prior to the expenditures being made. Complete the CDS Monitoring Workbook- Demand for Payment Notice Table.</t>
  </si>
  <si>
    <r>
      <t xml:space="preserve">Select “N” if the contractor does not provide evidence that the contractor negative billed the amount due to DADS at least three workdays prior to the date of the Entrance Conference. Complete the </t>
    </r>
    <r>
      <rPr>
        <i/>
        <sz val="10"/>
        <color theme="1"/>
        <rFont val="Arial"/>
        <family val="2"/>
      </rPr>
      <t>CDS Monitoring Workbook- Demand for Payment Notice Table</t>
    </r>
    <r>
      <rPr>
        <sz val="10"/>
        <color theme="1"/>
        <rFont val="Arial"/>
        <family val="2"/>
      </rPr>
      <t>.  If the contractor corrected the billing at any time prior to the exit, do not enter the amount on the Demand for Payment.  Indicate on the Notes page that “no recoupment is required; contractor has completed negative billing.</t>
    </r>
  </si>
  <si>
    <r>
      <t xml:space="preserve">Select “N” if the contractor does not provide evidence that the contractor reimbursed the employee at least three workdays prior to the date of the Entrance Conference. Complete the </t>
    </r>
    <r>
      <rPr>
        <i/>
        <sz val="10"/>
        <color theme="1"/>
        <rFont val="Arial"/>
        <family val="2"/>
      </rPr>
      <t>CDS Monitoring Workbook- Demand for Payment Notice Table</t>
    </r>
    <r>
      <rPr>
        <sz val="10"/>
        <color theme="1"/>
        <rFont val="Arial"/>
        <family val="2"/>
      </rPr>
      <t>.  If the contractor reimbursed the employee at any time prior to the exit, do not enter the amount on the Demand for Payment.  Document this correction in the Notes tab.</t>
    </r>
  </si>
  <si>
    <t>Select “N” if the contractor does not provide evidence that the contractor reimbursed the employer at least three workdays prior to the date of the Entrance Conference. Complete the CDS Monitoring Workbook- Demand for Payment Notice Table.  If the contractor reimbursed the employer at any time prior to the exit, do not enter the amount on the Demand for Payment.  Document this correction in the Notes tab.</t>
  </si>
  <si>
    <t>Posting Date</t>
  </si>
  <si>
    <r>
      <t xml:space="preserve">• </t>
    </r>
    <r>
      <rPr>
        <b/>
        <sz val="10"/>
        <color theme="1"/>
        <rFont val="Arial"/>
        <family val="2"/>
      </rPr>
      <t>RECOUPMENT:</t>
    </r>
    <r>
      <rPr>
        <sz val="10"/>
        <color theme="1"/>
        <rFont val="Arial"/>
        <family val="2"/>
      </rPr>
      <t xml:space="preserve"> If “N”, enter the Financial Management Monthly Fee (63V) in the CDS Monitoring Workbook- Demand for Payment Notice, Column I., paid for each month during the selected six month review period the unqualified applicant provided services. Do not exceed six months. Enter in the CDS Monitoring Workbook- Demand for Payment Notice, Column J, error code II.4.</t>
    </r>
  </si>
  <si>
    <t>A response of “Y” means the contractor has met the requirement. “N” means the contractor has not met the requirement.  “NA” means the requirement is not applicable. For any item marked as “N” attach copies of supporting documents. All attachments should be numbered, indicate the applicable Standard and item and include the sample number.</t>
  </si>
  <si>
    <t>1. Did the FMSA participate in all mandatory training provided or authorized by DADS? (effective September 1, 2014).</t>
  </si>
  <si>
    <t>Review training registration for all mandatory trainings that occurred during the monitoring period to validate the FMSA attended as required.</t>
  </si>
  <si>
    <r>
      <t xml:space="preserve">Reference: </t>
    </r>
    <r>
      <rPr>
        <sz val="10"/>
        <color theme="1"/>
        <rFont val="Arial"/>
        <family val="2"/>
      </rPr>
      <t>40 TAC §41.301, Contracting as a Financial Management Services Agency</t>
    </r>
  </si>
  <si>
    <t>3.  Are complaints documented, investigated and resolved within thirty days from the receipt of the complaint?</t>
  </si>
  <si>
    <t>o Review the contractor’s log of complaints to verify each of the following:</t>
  </si>
  <si>
    <t xml:space="preserve">• date of investigation is within thirty days from receipt of the complaint, unless the contractor documented reasonable cause for the delay; </t>
  </si>
  <si>
    <t>• the finding of the investigation; and</t>
  </si>
  <si>
    <t>• resolution of the complaint</t>
  </si>
  <si>
    <r>
      <rPr>
        <b/>
        <sz val="8"/>
        <color theme="1"/>
        <rFont val="Arial"/>
        <family val="2"/>
      </rPr>
      <t>Reference:</t>
    </r>
    <r>
      <rPr>
        <sz val="8"/>
        <color theme="1"/>
        <rFont val="Arial"/>
        <family val="2"/>
      </rPr>
      <t xml:space="preserve"> 40 TAC §49.309 Complaint Process</t>
    </r>
  </si>
  <si>
    <t>1. For each employee hired, was Form 1739 completed prior to the date of the first paycheck?</t>
  </si>
  <si>
    <r>
      <rPr>
        <b/>
        <sz val="8"/>
        <color theme="1"/>
        <rFont val="Arial"/>
        <family val="2"/>
      </rPr>
      <t>Reference:</t>
    </r>
    <r>
      <rPr>
        <sz val="8"/>
        <color theme="1"/>
        <rFont val="Arial"/>
        <family val="2"/>
      </rPr>
      <t xml:space="preserve"> 40 TAC  §41.333, Service Agreements; 40 TAC §41.237, Service Provider Agreements</t>
    </r>
  </si>
  <si>
    <r>
      <rPr>
        <b/>
        <sz val="8"/>
        <color theme="1"/>
        <rFont val="Arial"/>
        <family val="2"/>
      </rPr>
      <t>Reference:</t>
    </r>
    <r>
      <rPr>
        <sz val="8"/>
        <color theme="1"/>
        <rFont val="Arial"/>
        <family val="2"/>
      </rPr>
      <t xml:space="preserve">  40 TAC §41.327 Verification of Applicants for Employees, Contractors, and Vendors; 40 TAC §41.329 Continued Eligibility of an Employee, Contractor, or Vendor; 40 TAC §41.337, Payment of Services; Form 1725 Criminal Conviction History and Registry Checks.</t>
    </r>
  </si>
  <si>
    <t xml:space="preserve">STANDARD III. PROFESSIONAL LICENSES (TxHmL, HCS, MDCP, and CLASS) </t>
  </si>
  <si>
    <t>1.  Is there evidence on file that all licensed service providers e.g. therapists, Licensed Vocational Nurses (LVN), Registered Nurses (RN) maintained a current license for the selected 6 months of service delivery?</t>
  </si>
  <si>
    <r>
      <rPr>
        <b/>
        <sz val="8"/>
        <color theme="1"/>
        <rFont val="Arial"/>
        <family val="2"/>
      </rPr>
      <t>Reference:</t>
    </r>
    <r>
      <rPr>
        <sz val="8"/>
        <color theme="1"/>
        <rFont val="Arial"/>
        <family val="2"/>
      </rPr>
      <t xml:space="preserve"> 40 TAC  §41.403, Transfer Process ( e ) (1) and ( e ) ( 2 ) ( C )</t>
    </r>
  </si>
  <si>
    <t>1.  Was a budget workbook developed based on the services authorized and is the Wage and Benefits plan (Form 1730) consistent with the budget?</t>
  </si>
  <si>
    <t>II. 1-4</t>
  </si>
  <si>
    <t>• Complete the Background Checks Table, to score Standard II, Required Background Checks and Employment Eligibility</t>
  </si>
  <si>
    <t>• Designated Representative - Review Form 1720, Appointment of a Designated Representative; enter effective date of this designation.</t>
  </si>
  <si>
    <r>
      <rPr>
        <b/>
        <sz val="10"/>
        <color theme="1"/>
        <rFont val="Arial"/>
        <family val="2"/>
      </rPr>
      <t>Column C:</t>
    </r>
    <r>
      <rPr>
        <sz val="10"/>
        <color theme="1"/>
        <rFont val="Arial"/>
        <family val="2"/>
      </rPr>
      <t xml:space="preserve"> If “Y”, enter the date of the employer’s request for the FMSA to obtain the required background checks as indicated by the employer’s signature
-prior to 07/01/2013: on Form 1725, Section II OR the FMSA’s date stamp on F1725 indicating date of receipt, whichever is later
-effective 07/01/2013: on Form 1720</t>
    </r>
  </si>
  <si>
    <r>
      <rPr>
        <b/>
        <sz val="10"/>
        <color theme="1"/>
        <rFont val="Arial"/>
        <family val="2"/>
      </rPr>
      <t>Column D:</t>
    </r>
    <r>
      <rPr>
        <sz val="10"/>
        <color theme="1"/>
        <rFont val="Arial"/>
        <family val="2"/>
      </rPr>
      <t xml:space="preserve"> If Column C is “Y”, enter the date of the FMSA’s signature related to date of notification to the employer of the result of each check. See Form 1725, Section III or Form 1720.</t>
    </r>
  </si>
  <si>
    <t>• Select “Y” to indicate the date in Column D is within two workdays from the date in Column C.</t>
  </si>
  <si>
    <t>• Select “N” to indicate the date in Column D is NOT within two workdays from the date in Column C.</t>
  </si>
  <si>
    <r>
      <rPr>
        <b/>
        <sz val="10"/>
        <color theme="1"/>
        <rFont val="Arial"/>
        <family val="2"/>
      </rPr>
      <t>Column G:</t>
    </r>
    <r>
      <rPr>
        <sz val="10"/>
        <color theme="1"/>
        <rFont val="Arial"/>
        <family val="2"/>
      </rPr>
      <t xml:space="preserve"> See Form 1725, Section III, or Form 1720 for Designated Representatives</t>
    </r>
  </si>
  <si>
    <t>• Select “Y” to indicate the applicant is eligible for hire, to be retained for service delivery or appointed as a “DR” and F1725/F1720 was completed prior to first date of work/effective date of designation (prior to 7/1/2013) or date of hire (effective 7/1/2013).</t>
  </si>
  <si>
    <t>• Select “NA” for DR</t>
  </si>
  <si>
    <t>• Select "Y" to indicate Form 1739 was completed prior to the date of the first paycheck</t>
  </si>
  <si>
    <t>• Select “N" to indicate Form 1739 was not completed prior to the date of the first paycheck</t>
  </si>
  <si>
    <t>• Select “NA” if the individual is the DR</t>
  </si>
  <si>
    <r>
      <t xml:space="preserve">• </t>
    </r>
    <r>
      <rPr>
        <b/>
        <sz val="10"/>
        <color theme="1"/>
        <rFont val="Arial"/>
        <family val="2"/>
      </rPr>
      <t>RECOUPMENT:</t>
    </r>
    <r>
      <rPr>
        <sz val="10"/>
        <color theme="1"/>
        <rFont val="Arial"/>
        <family val="2"/>
      </rPr>
      <t xml:space="preserve"> If “N”, enter the Financial Management Monthly Fee (63V) in the CDS Monitoring Workbook- Demand for Payment Notice, Column I., paid for each month during the selected six month review period the unqualified applicant provided services. Do not exceed six months. Enter in the CDS Monitoring Workbook - Demand for Payment Notice, Column J, error code II.1</t>
    </r>
  </si>
  <si>
    <t>• DR: Designated Representative (non-related)</t>
  </si>
  <si>
    <t>Did the FMSA notify the employer within two work days of request?</t>
  </si>
  <si>
    <r>
      <t xml:space="preserve">• </t>
    </r>
    <r>
      <rPr>
        <b/>
        <sz val="10"/>
        <color theme="1"/>
        <rFont val="Arial"/>
        <family val="2"/>
      </rPr>
      <t xml:space="preserve">NOTE:  </t>
    </r>
    <r>
      <rPr>
        <sz val="10"/>
        <color theme="1"/>
        <rFont val="Arial"/>
        <family val="2"/>
      </rPr>
      <t>If the Background Check Table, Columns G, H, I, and/or J is “N”, enter the Financial Management Monthly Fee (63V) in the CDS Monitoring Workbook- Demand for Payment Notice, Column I., paid for each month during the selected six month review period the unqualified applicant provided services. Do not exceed six months.  Enter in the CDS Monitoring Workbook - Demand for Payment Notice, Column J, error code II.1 or II.4.</t>
    </r>
  </si>
  <si>
    <t>II.1-4</t>
  </si>
  <si>
    <t xml:space="preserve">OVERARCHING QUESTION
Did the employer hire an employee (attendant, LVN, RN, Therapist) or designate a non-relative Representative during the review period? </t>
  </si>
  <si>
    <t>o  If overarching question II.1-4 is "N", continue to Standard III.</t>
  </si>
  <si>
    <t>o  If overarching question II.1-4 is "Y", verify the employee's eligibility.</t>
  </si>
  <si>
    <t>Applies only to TxHmL, HCS, MDCP and CLASS</t>
  </si>
  <si>
    <t>o  If overarching question III.1 is "N", continue to Standard IV.</t>
  </si>
  <si>
    <t>OVERARCHING QUESTION 
Does the individual participate in TxHmL, HCS, MDCP, or CLASS?</t>
  </si>
  <si>
    <r>
      <rPr>
        <b/>
        <sz val="10"/>
        <color theme="1"/>
        <rFont val="Arial"/>
        <family val="2"/>
      </rPr>
      <t>Column A:</t>
    </r>
    <r>
      <rPr>
        <sz val="10"/>
        <color theme="1"/>
        <rFont val="Arial"/>
        <family val="2"/>
      </rPr>
      <t xml:space="preserve">  Enter all consumer directed licensed services (See Required Forms: TxHmL Individual Plan of Care (F8582); HCS individual Plan of Care (F3608); MDCP Consumer Directed Services Authorization (F2402); or CLASS Individual Service Plan (F3621).</t>
    </r>
  </si>
  <si>
    <r>
      <rPr>
        <b/>
        <sz val="10"/>
        <color theme="1"/>
        <rFont val="Arial"/>
        <family val="2"/>
      </rPr>
      <t>NOTE:</t>
    </r>
    <r>
      <rPr>
        <sz val="10"/>
        <color theme="1"/>
        <rFont val="Arial"/>
        <family val="2"/>
      </rPr>
      <t xml:space="preserve"> If no consumer directed licensed service, leave table blank. Continue to Standard IV.</t>
    </r>
  </si>
  <si>
    <t>b. Form 1720 - Appointment of Designated Representative</t>
  </si>
  <si>
    <t>e. Form 1736 - Documentation of Employer Orientation by Financial Management Services Agency</t>
  </si>
  <si>
    <t>See the forms below to verify completion (as per form instructions ) by the employer within the applicable program transfer timeframes</t>
  </si>
  <si>
    <t>Habilitation, In-Home Respite and Out-of-Home Respite, Nursing, Physical Therapy, Occupational Therapy, Speech/Hearing Therapy, Support Consultation, Supported Employment, Employment Assistance, Cognative Rehab Therapy</t>
  </si>
  <si>
    <t>Respite Care- In Home, Respite Care – Out of Home, Residential Habilitation (hourly), Intervenor, Supported Employment and Employment Assistance</t>
  </si>
  <si>
    <t>Respite (hourly), Respite (daily), Supported Home Living, and Support Consultation, Nursing, Supported Employment, Employment Assistance, Cognative Rehab Therapy</t>
  </si>
  <si>
    <t>Primary Home Care/Family Care/Community Attendant Services (PHC/FC/CAS)</t>
  </si>
  <si>
    <t>Respite, Flexible Family Support Services, Supported Employment, Employment Assistance</t>
  </si>
  <si>
    <t>o  If overarching question VI. 1 is "N", continue to Standard VII.</t>
  </si>
  <si>
    <t>VI.1. Was a budget workbook developed based on the services authorized and was Form 1730, Wages and Benefits Plan, consistent with the budget?</t>
  </si>
  <si>
    <t>o  If overarching question VI. 2 is "N", continue to Standard VII.</t>
  </si>
  <si>
    <t>b. Prepare a final report in the format of the quarterly budget report and distribute to employer, DR, and case manager/service coordinator.</t>
  </si>
  <si>
    <t>o  If overarching question VII.1 is "N", continue to Standard VIII.</t>
  </si>
  <si>
    <r>
      <rPr>
        <b/>
        <sz val="10"/>
        <color theme="1"/>
        <rFont val="Arial"/>
        <family val="2"/>
      </rPr>
      <t>NOTE:</t>
    </r>
    <r>
      <rPr>
        <sz val="10"/>
        <color theme="1"/>
        <rFont val="Arial"/>
        <family val="2"/>
      </rPr>
      <t xml:space="preserve"> F1728 and F1737 may be dated the same day as the employee(s) first day of work.</t>
    </r>
  </si>
  <si>
    <t>IX.2. Is there evidence that the employee wages were paid in accordance with the employee's established rate of pay (as listed on Form 1730) and the service hours actually worked?</t>
  </si>
  <si>
    <r>
      <rPr>
        <b/>
        <sz val="10"/>
        <color theme="1"/>
        <rFont val="Arial"/>
        <family val="2"/>
      </rPr>
      <t>Column F:</t>
    </r>
    <r>
      <rPr>
        <sz val="10"/>
        <color theme="1"/>
        <rFont val="Arial"/>
        <family val="2"/>
      </rPr>
      <t xml:space="preserve"> Compare the Date of DPS Check on F1720 or F1725 and the Date of Registry Checks (not applicable to DR) on F1725, Section III to column B.</t>
    </r>
  </si>
  <si>
    <t>STD_II1_QualC</t>
  </si>
  <si>
    <t>STD_II_COL_B</t>
  </si>
  <si>
    <t>STD_II_COL_J</t>
  </si>
  <si>
    <t>STD_II_COL_F</t>
  </si>
  <si>
    <t>Std2ColBOutsideReviewPeriod</t>
  </si>
  <si>
    <t>STD_II_COL_CE</t>
  </si>
  <si>
    <t>Please answer Overarching Question II.1-4. If Overarching Question II.1-4 is N, you do not need to complete the table. If Overarching Question II.1-4 is "Y", complete the below table as instructed.</t>
  </si>
  <si>
    <t>• T: Therapist
• SE: Supported Employment
• EA: Employment Assistance</t>
  </si>
  <si>
    <t>f. Form 1738 - Rules Acknowledgement (required prior to 9/1/2014)</t>
  </si>
  <si>
    <t>g. Form 1747, Acknowledgement of Nursing Requirements, if applicable (effective 9/1/2014) if nursing or MDCP respite or flexible family support services is delivered by a nurse is on the service plan</t>
  </si>
  <si>
    <t>OVERARCHING QUESTION
During the monitoring period, did the individual transfer-in from another FMSA?</t>
  </si>
  <si>
    <t>o  If overarching question VI.2 is "Y", verify that the FMSA completed the required activities (a-b) below within five working days after the date of notification</t>
  </si>
  <si>
    <r>
      <rPr>
        <b/>
        <sz val="10"/>
        <color theme="1"/>
        <rFont val="Arial"/>
        <family val="2"/>
      </rPr>
      <t>Column E:</t>
    </r>
    <r>
      <rPr>
        <sz val="10"/>
        <color theme="1"/>
        <rFont val="Arial"/>
        <family val="2"/>
      </rPr>
      <t xml:space="preserve"> Compare the date of Form 1728 to the first date of work/transfer effective date</t>
    </r>
  </si>
  <si>
    <t>Was Form 1732 completed within 30 days of hire (effective September 1, 2014)?</t>
  </si>
  <si>
    <t>2b. Does the contractor conduct or contract with an entity to conduct monthly searches of the federal and state Lists of Excluded Individuals/Entities for all employees and contractors and document:</t>
  </si>
  <si>
    <t>(See Individual Work Papers for item III. 1-2)</t>
  </si>
  <si>
    <t>(See Individual Work Papers for item IV.1-2)</t>
  </si>
  <si>
    <t>2.  For transfers only, did the receiving FMSA verify F1735 was completed by the employer within the applicable program transfer timeframes?</t>
  </si>
  <si>
    <t>1.  Did the FMSA verify employment forms were completed as required?</t>
  </si>
  <si>
    <t>CDS PHC</t>
  </si>
  <si>
    <t>2.  Was Form 1747 completed by the nurse hired by the CDS employer?</t>
  </si>
  <si>
    <r>
      <t xml:space="preserve">Column J: </t>
    </r>
    <r>
      <rPr>
        <sz val="10"/>
        <color theme="1"/>
        <rFont val="Arial"/>
        <family val="2"/>
      </rPr>
      <t>See Form 1739. Verify form is on file for each employee and was signed prior to the date of first paycheck.</t>
    </r>
  </si>
  <si>
    <r>
      <rPr>
        <b/>
        <sz val="10"/>
        <color theme="1"/>
        <rFont val="Arial"/>
        <family val="2"/>
      </rPr>
      <t>Column B:</t>
    </r>
    <r>
      <rPr>
        <sz val="10"/>
        <color theme="1"/>
        <rFont val="Arial"/>
        <family val="2"/>
      </rPr>
      <t xml:space="preserve"> Enter the first date of work and date of hire for each employee and, if applicable, the effective date of the designation of a Designated Representative, listed in Column A.</t>
    </r>
  </si>
  <si>
    <t>If either date in Column B is within the review period, complete Columns C-J for employees and Designated Representatives. If neither date is within the review period, mark Columns C-J "NA".</t>
  </si>
  <si>
    <t>• Select “Y” to indicate the required checks on Form 1720 (applicable to DR) or Form 1725, Section III, were obtained within 30 calendar days before the first date of work (prior to 7/1/2013) or prior to date of hire (effective 7/1/2013).</t>
  </si>
  <si>
    <r>
      <t xml:space="preserve">• Select “N” to indicate the required checks on Form 1720 (applicable to DR) or Form 1725, Section III, were NOT obtained within 30 calendar days before the first date work (prior to 7/1/2013) or prior to date of hire (effective 7/1/2013).
</t>
    </r>
    <r>
      <rPr>
        <b/>
        <sz val="10"/>
        <color theme="1"/>
        <rFont val="Arial"/>
        <family val="2"/>
      </rPr>
      <t xml:space="preserve">Note: </t>
    </r>
    <r>
      <rPr>
        <sz val="10"/>
        <color theme="1"/>
        <rFont val="Arial"/>
        <family val="2"/>
      </rPr>
      <t>Only the DPS Check is applicable to the non-related DR</t>
    </r>
  </si>
  <si>
    <r>
      <rPr>
        <b/>
        <sz val="10"/>
        <color theme="1"/>
        <rFont val="Arial"/>
        <family val="2"/>
      </rPr>
      <t>Column H:</t>
    </r>
    <r>
      <rPr>
        <sz val="10"/>
        <color theme="1"/>
        <rFont val="Arial"/>
        <family val="2"/>
      </rPr>
      <t xml:space="preserve"> See Form 1729. Not applicable to DRs.</t>
    </r>
  </si>
  <si>
    <t>• Select “Y” to indicate the applicant meets the qualifications for employment and F1729 was completed prior to first date of work.</t>
  </si>
  <si>
    <t>• Select “N” to indicate if the applicant does NOT meet the qualifications for employment and/or F1729 was completed after first date of work.</t>
  </si>
  <si>
    <r>
      <rPr>
        <b/>
        <sz val="10"/>
        <color theme="1"/>
        <rFont val="Arial"/>
        <family val="2"/>
      </rPr>
      <t>Column I:</t>
    </r>
    <r>
      <rPr>
        <sz val="10"/>
        <color theme="1"/>
        <rFont val="Arial"/>
        <family val="2"/>
      </rPr>
      <t xml:space="preserve">See Form 1734. Not applicable to DRs. </t>
    </r>
  </si>
  <si>
    <t>• Select “Y” to indicate the applicant meets the qualifications for employment and F1734 was completed prior to first date of work.</t>
  </si>
  <si>
    <t>• Select “N” to indicate if the applicant does NOT meet the qualifications for employment and/or F1734 was completed after first date of work.</t>
  </si>
  <si>
    <t>Date of Hire</t>
  </si>
  <si>
    <t>Were the checks completed within 30 calendar days prior to:</t>
  </si>
  <si>
    <t>• First Date of Work (prior to 7/1/2013); or Date of Hire (effective 7/1/2013)</t>
  </si>
  <si>
    <t xml:space="preserve">Does F1725/F1720 certify the applicant or DR is eligible and date completed was prior to first date of work (prior to 7/1/2013) or Prior to Date of Hire (effective 7/1/2013)?
</t>
  </si>
  <si>
    <t>II.1. For each employee hired, was Form 1739 completed prior to the date of the first paycheck?</t>
  </si>
  <si>
    <t>o “Y” if for all rows column J. is "Y", or "Y" and "NA"</t>
  </si>
  <si>
    <t>o “N” if for any row column J. is "N"</t>
  </si>
  <si>
    <t>o “NA”, if all responses in column J. are "NA"</t>
  </si>
  <si>
    <t>II.2.  For each employee hired and/or Designated Representative(DR) authorized, was a criminal conviction history check and required registry check (as applicable) completed within 30 days prior to the first date of work or effective date of DR authorization (prior to 7/1/2013) or date of hire (effective 7/1/2013)?</t>
  </si>
  <si>
    <t>o  If overarching question IV.1 is "N", continue to Standard IV.2</t>
  </si>
  <si>
    <t>IV.2</t>
  </si>
  <si>
    <t>IV.2. For transfers only, did the receiving FMSA verify Form 1735 was completed by the employer within the applicable program transfer timeframes?</t>
  </si>
  <si>
    <t>o  If overarching question IV.2 is "Y", verify completion of required forms.</t>
  </si>
  <si>
    <t>Written Approval Date</t>
  </si>
  <si>
    <t>h. All budgets in effect during the selected service delivery review period had written approval by the FMSA on or before initiating services and for any budget revisions. If the FMSA did not provide written approval on or before initiating services/revisions, did the FMSA document the reason? (Evidence of written approval: e-mail, fax, letter or signature on budget workbook before the first day of work of the budget plan period). Evidence of documentation of reason includes Form 2067 or email to case manager asking for new service plan.</t>
  </si>
  <si>
    <r>
      <rPr>
        <b/>
        <sz val="10"/>
        <color theme="1"/>
        <rFont val="Arial"/>
        <family val="2"/>
      </rPr>
      <t>Column B:</t>
    </r>
    <r>
      <rPr>
        <sz val="10"/>
        <color theme="1"/>
        <rFont val="Arial"/>
        <family val="2"/>
      </rPr>
      <t xml:space="preserve"> Enter either attendant’s first date of work or transfer date.(Review F1730)</t>
    </r>
  </si>
  <si>
    <t>VII.1. Did the FMSA verify employment forms were completed as required?</t>
  </si>
  <si>
    <t>Quarterly Budget Reports in effect during the review period</t>
  </si>
  <si>
    <t xml:space="preserve">Total Amount Due: </t>
  </si>
  <si>
    <r>
      <rPr>
        <b/>
        <sz val="10"/>
        <rFont val="Arial"/>
        <family val="2"/>
      </rPr>
      <t>Column F:</t>
    </r>
    <r>
      <rPr>
        <sz val="10"/>
        <rFont val="Arial"/>
        <family val="2"/>
      </rPr>
      <t xml:space="preserve"> Select “Y” if the provider maintained his/her license during the selected six months of service to the employer
</t>
    </r>
    <r>
      <rPr>
        <b/>
        <sz val="10"/>
        <rFont val="Arial"/>
        <family val="2"/>
      </rPr>
      <t>Column G:</t>
    </r>
    <r>
      <rPr>
        <sz val="10"/>
        <rFont val="Arial"/>
        <family val="2"/>
      </rPr>
      <t xml:space="preserve"> Select "Y" if Form 1747 or 1747-LVN was completed prior to the delivery of nursing services. (Effective 09/01/2014)</t>
    </r>
  </si>
  <si>
    <t>Form 1747 / 1747-LVN completed prior to the delivery of nursing services?</t>
  </si>
  <si>
    <t>OVERARCHING QUESTION
Did the employer transfer out to another FMSA during the monitoring period?</t>
  </si>
  <si>
    <t>2a. Does the contractor have a written process for screening employees and contractors for exclusion from participation in Medicare, Medicaid, the State Children’s Health Insurance Program and all Federal health care programs:</t>
  </si>
  <si>
    <r>
      <rPr>
        <b/>
        <sz val="8"/>
        <color theme="1"/>
        <rFont val="Arial"/>
        <family val="2"/>
      </rPr>
      <t>Reference:</t>
    </r>
    <r>
      <rPr>
        <sz val="8"/>
        <color theme="1"/>
        <rFont val="Arial"/>
        <family val="2"/>
      </rPr>
      <t xml:space="preserve"> Information Letter 10-32; 40 TAC §49.304 Background Checks</t>
    </r>
  </si>
  <si>
    <r>
      <rPr>
        <b/>
        <sz val="8"/>
        <color theme="1"/>
        <rFont val="Arial"/>
        <family val="2"/>
      </rPr>
      <t>Reference:</t>
    </r>
    <r>
      <rPr>
        <sz val="8"/>
        <color theme="1"/>
        <rFont val="Arial"/>
        <family val="2"/>
      </rPr>
      <t xml:space="preserve"> Information Letter 10-32; 40 TAC §49.304 Background Checks; 40 TAC §49.305 Records</t>
    </r>
  </si>
  <si>
    <t>2c.  Does the contractor conduct or contract with an entity to conduct monthly searches of the federal and state Lists of Excluded Individuals/Entities on behalf of the CDS Employer for all employees and contractors and document:</t>
  </si>
  <si>
    <r>
      <t xml:space="preserve">     o Select one month within the monitoring period and ask the contractor to provide evidence of LEIE checks conducted for that month;
          • the date(s) of the searches;
          • first and last names and date of birth of all employees and contractors subject to the search requirements;
          • whether or not the employee/contractor appeared in the databases;
          • date any excluded/contractor was self-reported to HHSC-OIG;
          • copy of the self-report; and
          • printed name(s) and signatures of staff responsible for completing the searches
</t>
    </r>
    <r>
      <rPr>
        <b/>
        <sz val="8"/>
        <color theme="1"/>
        <rFont val="Arian"/>
      </rPr>
      <t>Reference</t>
    </r>
    <r>
      <rPr>
        <sz val="8"/>
        <color theme="1"/>
        <rFont val="Arian"/>
      </rPr>
      <t>: Information Letter 10-32; 40 TAC §41.325 Registry Checks of an Application to be an Employee; 40 TAC §41.329 Continued Eligibility of an Emplyee, Contractor, or Vendor</t>
    </r>
  </si>
  <si>
    <t>(See Individual Work Papers for items II.2-4) II.1 purposely skipped</t>
  </si>
  <si>
    <t>2.  For each employee hired and/or Designated Representative (DR) authorized, was a criminal conviction history check and required registry check (as applicable) completed within 30 days prior to the first date of work or effective date of DR authorization (prior to 7/1/2013) or date of hire (effective 7/1/2013)?</t>
  </si>
  <si>
    <r>
      <rPr>
        <b/>
        <sz val="8"/>
        <color theme="1"/>
        <rFont val="Arial"/>
        <family val="2"/>
      </rPr>
      <t>Reference:</t>
    </r>
    <r>
      <rPr>
        <sz val="8"/>
        <color theme="1"/>
        <rFont val="Arial"/>
        <family val="2"/>
      </rPr>
      <t xml:space="preserve"> 40 TAC  §41.323, Criminal History Check of an Applicant for Employment and to be an Employee; Health and Safety Code 250;  40 TAC  §41.225, Criminal History Check for an Applicant for Employment and an Employee;  40 TAC §41.325, Required Registry Checks of an Applicant to be an Employee; 40 TAC §41.205, Employer Appointment of a Designated Representative; 40 TAC §41.305, Appointment of a Designated Representative; Form 1720, Appointment of a Designated Representative; Form 1725, Criminal Conviction History and Registry Checks</t>
    </r>
  </si>
  <si>
    <r>
      <rPr>
        <b/>
        <sz val="8"/>
        <color theme="1"/>
        <rFont val="Arial"/>
        <family val="2"/>
      </rPr>
      <t>Reference:</t>
    </r>
    <r>
      <rPr>
        <sz val="8"/>
        <color theme="1"/>
        <rFont val="Arial"/>
        <family val="2"/>
      </rPr>
      <t xml:space="preserve">  40 TAC §41.323, Criminal History Check of an Applicant for Employment and to be an Employee; 40 TAC §41.325 , Required Registry Checks of an Applicant to be an Employee; 40 TAC §41.327, Verification of Applicants for Employees, Contractors, and Vendors; 40 TAC §41.329, Continued Eligibility of an Employee, Contractor, or Vendor</t>
    </r>
  </si>
  <si>
    <r>
      <rPr>
        <b/>
        <sz val="8"/>
        <color theme="1"/>
        <rFont val="Arial"/>
        <family val="2"/>
      </rPr>
      <t>Reference:</t>
    </r>
    <r>
      <rPr>
        <sz val="8"/>
        <color theme="1"/>
        <rFont val="Arial"/>
        <family val="2"/>
      </rPr>
      <t xml:space="preserve"> 40 TAC §41.238 Service Delivery Requirements</t>
    </r>
  </si>
  <si>
    <t>1.  Was an initial orientation conducted in person with the employer and, if applicable, the Designated Representative (DR), prior to the initiation of services?</t>
  </si>
  <si>
    <r>
      <rPr>
        <b/>
        <sz val="8"/>
        <color theme="1"/>
        <rFont val="Arial"/>
        <family val="2"/>
      </rPr>
      <t>Reference:</t>
    </r>
    <r>
      <rPr>
        <sz val="8"/>
        <color theme="1"/>
        <rFont val="Arial"/>
        <family val="2"/>
      </rPr>
      <t xml:space="preserve"> 40 TAC §41.501, Budget Development; § 40 TAC 41.509, Budget Approval; 40 TAC §41.505, Payroll Budgeting; 40 TAC §41.103, Definitions</t>
    </r>
  </si>
  <si>
    <t xml:space="preserve">STANDARD VII.  EMPLOYMENT REQUIREMENTS   </t>
  </si>
  <si>
    <t>(See Individual Work Papers for items VII. 1-2)</t>
  </si>
  <si>
    <r>
      <rPr>
        <b/>
        <sz val="8"/>
        <color theme="1"/>
        <rFont val="Arial"/>
        <family val="2"/>
      </rPr>
      <t>Reference:</t>
    </r>
    <r>
      <rPr>
        <sz val="8"/>
        <color theme="1"/>
        <rFont val="Arial"/>
        <family val="2"/>
      </rPr>
      <t xml:space="preserve"> 40 TAC §41.237, Service Provider Agreements</t>
    </r>
  </si>
  <si>
    <t>STANDARD VII.  EMPLOYMENT REQUIREMENTS</t>
  </si>
  <si>
    <r>
      <rPr>
        <b/>
        <sz val="8"/>
        <color theme="1"/>
        <rFont val="Arial"/>
        <family val="2"/>
      </rPr>
      <t>Reference:</t>
    </r>
    <r>
      <rPr>
        <sz val="8"/>
        <color theme="1"/>
        <rFont val="Arial"/>
        <family val="2"/>
      </rPr>
      <t xml:space="preserve"> 40 TAC §41.317, CDSA Reports; 40 TAC §41.501, Budget Development</t>
    </r>
  </si>
  <si>
    <r>
      <rPr>
        <b/>
        <sz val="8"/>
        <color theme="1"/>
        <rFont val="Arial"/>
        <family val="2"/>
      </rPr>
      <t>Reference:</t>
    </r>
    <r>
      <rPr>
        <sz val="8"/>
        <color theme="1"/>
        <rFont val="Arial"/>
        <family val="2"/>
      </rPr>
      <t xml:space="preserve"> 40 TAC §41.317, CDSA Reports</t>
    </r>
  </si>
  <si>
    <t>PHC/FC/CAS – as determined by the Service Planning Team or case manager</t>
  </si>
  <si>
    <t xml:space="preserve">2.  If the employer receives services that require a backup plan, does the FMSA have on file, a service backup plan (F1740) for each program service delivered through the CDS option that is required to have a service backup plan? </t>
  </si>
  <si>
    <r>
      <rPr>
        <b/>
        <sz val="10"/>
        <color theme="1"/>
        <rFont val="Arial"/>
        <family val="2"/>
      </rPr>
      <t>Column A:</t>
    </r>
    <r>
      <rPr>
        <sz val="10"/>
        <color theme="1"/>
        <rFont val="Arial"/>
        <family val="2"/>
      </rPr>
      <t xml:space="preserve"> Enter the name and job title of each employee that was hired by the employer during the review period and, if applicable, the employer’s Designated Representative (DR) if not a relative and appointed during the review period.</t>
    </r>
  </si>
  <si>
    <t>• RN, LVN, therapist and/or attendant - Review Form 1730, Wages and Benefits Plan, enter First Date of Work and Date of Hire.</t>
  </si>
  <si>
    <r>
      <t xml:space="preserve">• </t>
    </r>
    <r>
      <rPr>
        <b/>
        <sz val="10"/>
        <color theme="1"/>
        <rFont val="Arial"/>
        <family val="2"/>
      </rPr>
      <t>RECOUPMENT:</t>
    </r>
    <r>
      <rPr>
        <sz val="10"/>
        <color theme="1"/>
        <rFont val="Arial"/>
        <family val="2"/>
      </rPr>
      <t xml:space="preserve"> If “N”, enter the Financial Management Monthly Fee (63V) in the CDS Monitoring Workbook- Demand for Payment Notice, Column I., paid for each month during the selected six month review period the unqualified applicant provided services. Do not exceed six months. Enter in the CDS Monitoring Workbook- Demand for Payment Notice, Column J, error code II.2.</t>
    </r>
  </si>
  <si>
    <r>
      <t xml:space="preserve">• Select “NA” for DR
</t>
    </r>
    <r>
      <rPr>
        <b/>
        <sz val="10"/>
        <color theme="1"/>
        <rFont val="Arial"/>
        <family val="2"/>
      </rPr>
      <t>RECOUPMENT</t>
    </r>
    <r>
      <rPr>
        <sz val="10"/>
        <color theme="1"/>
        <rFont val="Arial"/>
        <family val="2"/>
      </rPr>
      <t>: If "N", enter the Financial Management Monthly Fee (63V) in the CDS Monitoring Workbook-Demand for Payment Notice, Column I, paid for each month during the selected six month review period the unqualified applicant provided services. Do not exceed six months. Enter the CDS Monitoring Workbook-Demand for Payment Notice, Column J, error code II.4.</t>
    </r>
  </si>
  <si>
    <r>
      <t xml:space="preserve">III.2. Was Form 1747 completed by the nurse by the CDS employer?
</t>
    </r>
    <r>
      <rPr>
        <sz val="10"/>
        <color theme="1"/>
        <rFont val="Arial"/>
        <family val="2"/>
      </rPr>
      <t>(F1747 effective 07/01/2013; F1747-LVN effective 09/01/2014)
o If for all rows column G is "Y", then "Y"
o If for any row column G is "N", then "N"</t>
    </r>
  </si>
  <si>
    <t>See the forms below to verify completion (as per form instructions). F1733 and F1735 should be signed and dated prior to initiation of CDS option (first day of service delivery). F1726, F1736 and F1738 must be signed the day of orientation.</t>
  </si>
  <si>
    <t>a. Form 1733 - Employer and Employee Acknowledgement of Exemption from Nursing Lincensure for Certain Services Delivered through Consumer Directed Services (not applicable to PHC)</t>
  </si>
  <si>
    <t>c. Form 1726 - Relationship Definitions in Consumer Directed Services Employer's Acknowledgement and Certification</t>
  </si>
  <si>
    <t>d. Form 1735 - Employer and Financial Management Services Agency Service Agreement and Form 1735 - Program Specific Addendum (effective 7/1/2013 - 8/31/2014) or Form 1735 - Service Provision Requirements Addendum (effective 9/1/2014)</t>
  </si>
  <si>
    <t>IV.1. Was an initial orientation conducted in person with the employer and, if applicable, the Designated Representative (DR), prior to the initiation of services?</t>
  </si>
  <si>
    <t>o  If overarching question IV.2 is "N", select "NA" for Standard IV.2 and continue to Standard VI.</t>
  </si>
  <si>
    <t xml:space="preserve">For each budget in effect during the selected 6 month service delivery review period.
For each budget element, select “Y” if item is met.
Select “N” if supporting budget information is not found.
</t>
  </si>
  <si>
    <t>STANDARD VII. EMPLOYMENT REQUIREMENTS</t>
  </si>
  <si>
    <t>OVERARCHING QUESTION
Did any employees work during the selected 6 month service delivery review period?</t>
  </si>
  <si>
    <t>o  If overarching question VII.1 is "Y"complete the Employment Requirements Table below.</t>
  </si>
  <si>
    <t>EMPLOYMENT REQUIREMENTS TABLE</t>
  </si>
  <si>
    <r>
      <rPr>
        <b/>
        <sz val="10"/>
        <color theme="1"/>
        <rFont val="Arial"/>
        <family val="2"/>
      </rPr>
      <t>Column B:</t>
    </r>
    <r>
      <rPr>
        <sz val="10"/>
        <color theme="1"/>
        <rFont val="Arial"/>
        <family val="2"/>
      </rPr>
      <t xml:space="preserve"> Enter date of hire.</t>
    </r>
  </si>
  <si>
    <r>
      <rPr>
        <b/>
        <sz val="10"/>
        <color theme="1"/>
        <rFont val="Arial"/>
        <family val="2"/>
      </rPr>
      <t>Column C:</t>
    </r>
    <r>
      <rPr>
        <sz val="10"/>
        <color theme="1"/>
        <rFont val="Arial"/>
        <family val="2"/>
      </rPr>
      <t xml:space="preserve"> Indicate if there is a completed Form 1739 on file for each attendant listed in the table.</t>
    </r>
  </si>
  <si>
    <r>
      <rPr>
        <b/>
        <sz val="10"/>
        <color theme="1"/>
        <rFont val="Arial"/>
        <family val="2"/>
      </rPr>
      <t>Column D:</t>
    </r>
    <r>
      <rPr>
        <sz val="10"/>
        <color theme="1"/>
        <rFont val="Arial"/>
        <family val="2"/>
      </rPr>
      <t xml:space="preserve">  For those employees hired during the review period, compare the date of Form 1737 to the date of first paycheck. If the date of hire is not within the review period, select "NA".</t>
    </r>
  </si>
  <si>
    <r>
      <rPr>
        <b/>
        <sz val="10"/>
        <color theme="1"/>
        <rFont val="Arial"/>
        <family val="2"/>
      </rPr>
      <t>Column E:</t>
    </r>
    <r>
      <rPr>
        <sz val="10"/>
        <color theme="1"/>
        <rFont val="Arial"/>
        <family val="2"/>
      </rPr>
      <t xml:space="preserve"> For those employees hired during the review period, compare the date of Form 1732 to the date of hire (effective September 1, 2014)..</t>
    </r>
  </si>
  <si>
    <t>Is there a Form 1739 completed and on file?</t>
  </si>
  <si>
    <t xml:space="preserve">Was Form 1737 completed prior to the date of the first paycheck? </t>
  </si>
  <si>
    <t>VII.2. For each employee, is there a Form 1739 completed and on file?</t>
  </si>
  <si>
    <t>Approved Budgets in effect during the selected 6 month service delivery review period</t>
  </si>
  <si>
    <t>OVERARCHING QUESTION
Has the employer been enrolled with the FMSA for three (3) months or more?</t>
  </si>
  <si>
    <t>o  If overarching question VIII.2 is "N", continue to Standard VIII.3.</t>
  </si>
  <si>
    <t>Obtain training registration information from the appropriate CPI SharePoint site. Obtain list of which FMSAs attended training from CDS Operations.</t>
  </si>
  <si>
    <r>
      <rPr>
        <b/>
        <sz val="8"/>
        <color theme="1"/>
        <rFont val="Arial"/>
        <family val="2"/>
      </rPr>
      <t>Reference</t>
    </r>
    <r>
      <rPr>
        <sz val="8"/>
        <color theme="1"/>
        <rFont val="Arial"/>
        <family val="2"/>
      </rPr>
      <t>: 40 TAC §41.307, Initial Orientation of an Employer; 40 TAC §41.333, Service Agreements</t>
    </r>
  </si>
  <si>
    <t>2.  For each employee, is there a Form 1739 completed and on file?</t>
  </si>
  <si>
    <t>CLASS; DBMD; MDCP; PHC/FC/CAS - By the effective date, which must be within 14 days from request to transfer date
HCS; TxHmL - By the agreed-upon transfer effective date between the service coordinator and the receiving FMSA</t>
  </si>
  <si>
    <t>• Select “N” to indicate the identified form was not completed within the required timeframe
• Select “NA” if employee was not hired within the review period</t>
  </si>
  <si>
    <t>STD_II_COL_GHI</t>
  </si>
  <si>
    <t>ICN</t>
  </si>
  <si>
    <t>5.0.8</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</si>
</sst>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4" formatCode="_(&quot;$&quot;* #,##0.00_);_(&quot;$&quot;* \(#,##0.00\);_(&quot;$&quot;* &quot;-&quot;??_);_(@_)"/>
    <numFmt numFmtId="43" formatCode="_(* #,##0.00_);_(* \(#,##0.00\);_(* &quot;-&quot;??_);_(@_)"/>
    <numFmt numFmtId="164" formatCode="mm/dd/yyyy"/>
    <numFmt numFmtId="165" formatCode="0;\-0;;@"/>
    <numFmt numFmtId="166" formatCode="0.0000"/>
    <numFmt numFmtId="167" formatCode="mm/yyyy"/>
    <numFmt numFmtId="168" formatCode="[$-409]mmmm\ d\,\ yyyy;@"/>
  </numFmts>
  <fonts count="5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8"/>
      <color theme="1"/>
      <name val="Arial"/>
      <family val="2"/>
    </font>
    <font>
      <sz val="12"/>
      <color theme="1"/>
      <name val="Arial"/>
      <family val="2"/>
    </font>
    <font>
      <sz val="9"/>
      <color theme="1"/>
      <name val="Arial"/>
      <family val="2"/>
    </font>
    <font>
      <b/>
      <sz val="12"/>
      <color theme="1"/>
      <name val="Arial"/>
      <family val="2"/>
    </font>
    <font>
      <b/>
      <sz val="10"/>
      <color theme="1"/>
      <name val="Arial"/>
      <family val="2"/>
    </font>
    <font>
      <sz val="9"/>
      <color theme="1"/>
      <name val="Symbol"/>
      <family val="1"/>
      <charset val="2"/>
    </font>
    <font>
      <b/>
      <sz val="8"/>
      <color theme="1"/>
      <name val="Arial"/>
      <family val="2"/>
    </font>
    <font>
      <b/>
      <sz val="10"/>
      <color rgb="FF000000"/>
      <name val="Arial"/>
      <family val="2"/>
    </font>
    <font>
      <i/>
      <sz val="10"/>
      <color theme="1"/>
      <name val="Arial"/>
      <family val="2"/>
    </font>
    <font>
      <i/>
      <sz val="9"/>
      <color theme="1"/>
      <name val="Arial"/>
      <family val="2"/>
    </font>
    <font>
      <b/>
      <sz val="9"/>
      <color theme="1"/>
      <name val="Arial"/>
      <family val="2"/>
    </font>
    <font>
      <b/>
      <sz val="11"/>
      <color theme="1"/>
      <name val="Calibri"/>
      <family val="2"/>
      <scheme val="minor"/>
    </font>
    <font>
      <sz val="12"/>
      <color theme="1"/>
      <name val="Courier New"/>
      <family val="3"/>
    </font>
    <font>
      <sz val="10"/>
      <color theme="1"/>
      <name val="Symbol"/>
      <family val="1"/>
      <charset val="2"/>
    </font>
    <font>
      <sz val="10"/>
      <color theme="1"/>
      <name val="Arian"/>
    </font>
    <font>
      <sz val="9"/>
      <color theme="1"/>
      <name val="Calibri"/>
      <family val="2"/>
      <scheme val="minor"/>
    </font>
    <font>
      <sz val="10"/>
      <color theme="1"/>
      <name val="Calibri"/>
      <family val="2"/>
      <scheme val="minor"/>
    </font>
    <font>
      <b/>
      <sz val="10"/>
      <color theme="1"/>
      <name val="Calibri"/>
      <family val="2"/>
      <scheme val="minor"/>
    </font>
    <font>
      <sz val="12"/>
      <color theme="1"/>
      <name val="Times New Roman"/>
      <family val="1"/>
    </font>
    <font>
      <sz val="8"/>
      <color theme="1"/>
      <name val="Calibri"/>
      <family val="2"/>
      <scheme val="minor"/>
    </font>
    <font>
      <b/>
      <sz val="10"/>
      <color indexed="8"/>
      <name val="Arial"/>
      <family val="2"/>
    </font>
    <font>
      <sz val="10"/>
      <name val="Arial"/>
      <family val="2"/>
    </font>
    <font>
      <sz val="10"/>
      <name val="Calibri"/>
      <family val="2"/>
    </font>
    <font>
      <sz val="11"/>
      <name val="Calibri"/>
      <family val="2"/>
    </font>
    <font>
      <sz val="11"/>
      <name val="Calibri"/>
      <family val="2"/>
      <scheme val="minor"/>
    </font>
    <font>
      <b/>
      <sz val="10"/>
      <name val="Arial"/>
      <family val="2"/>
    </font>
    <font>
      <b/>
      <sz val="12"/>
      <name val="Arial"/>
      <family val="2"/>
    </font>
    <font>
      <sz val="11"/>
      <color theme="1"/>
      <name val="Calibri"/>
      <family val="2"/>
      <scheme val="minor"/>
    </font>
    <font>
      <sz val="11"/>
      <color theme="0"/>
      <name val="Calibri"/>
      <family val="2"/>
      <scheme val="minor"/>
    </font>
    <font>
      <sz val="10"/>
      <color theme="0"/>
      <name val="Arial"/>
      <family val="2"/>
    </font>
    <font>
      <sz val="12"/>
      <color theme="0"/>
      <name val="Courier New"/>
      <family val="3"/>
    </font>
    <font>
      <sz val="11"/>
      <color rgb="FFFF0000"/>
      <name val="Calibri"/>
      <family val="2"/>
      <scheme val="minor"/>
    </font>
    <font>
      <sz val="10"/>
      <name val="Calibri"/>
      <family val="2"/>
      <scheme val="minor"/>
    </font>
    <font>
      <b/>
      <sz val="12"/>
      <color theme="0"/>
      <name val="Arial"/>
      <family val="2"/>
    </font>
    <font>
      <sz val="10"/>
      <color rgb="FFFF0000"/>
      <name val="Calibri"/>
      <family val="2"/>
      <scheme val="minor"/>
    </font>
    <font>
      <b/>
      <sz val="7"/>
      <color theme="1"/>
      <name val="Arial"/>
      <family val="2"/>
    </font>
    <font>
      <sz val="9"/>
      <name val="Calibri"/>
      <family val="2"/>
      <scheme val="minor"/>
    </font>
    <font>
      <b/>
      <sz val="8"/>
      <color theme="1"/>
      <name val="Arian"/>
    </font>
    <font>
      <sz val="8"/>
      <color theme="1"/>
      <name val="Arian"/>
    </font>
    <font>
      <sz val="9"/>
      <color theme="0"/>
      <name val="Calibri"/>
      <family val="2"/>
      <scheme val="minor"/>
    </font>
    <font>
      <sz val="12"/>
      <color theme="0"/>
      <name val="Arial"/>
      <family val="2"/>
    </font>
    <font>
      <b/>
      <sz val="11"/>
      <color theme="0"/>
      <name val="Calibri"/>
      <family val="2"/>
      <scheme val="minor"/>
    </font>
    <font>
      <sz val="8"/>
      <name val="Arial"/>
      <family val="2"/>
    </font>
    <font>
      <sz val="10"/>
      <color theme="0"/>
      <name val="Calibri"/>
      <family val="2"/>
      <scheme val="minor"/>
    </font>
    <font>
      <b/>
      <sz val="10"/>
      <color theme="0"/>
      <name val="Calibri"/>
      <family val="2"/>
      <scheme val="minor"/>
    </font>
  </fonts>
  <fills count="8">
    <fill>
      <patternFill patternType="none"/>
    </fill>
    <fill>
      <patternFill patternType="gray125"/>
    </fill>
    <fill>
      <patternFill patternType="solid">
        <fgColor theme="0" tint="-4.9989318521683403E-2"/>
        <bgColor indexed="64"/>
      </patternFill>
    </fill>
    <fill>
      <patternFill patternType="solid">
        <fgColor indexed="42"/>
        <bgColor indexed="64"/>
      </patternFill>
    </fill>
    <fill>
      <patternFill patternType="solid">
        <fgColor theme="3" tint="0.59999389629810485"/>
        <bgColor indexed="64"/>
      </patternFill>
    </fill>
    <fill>
      <patternFill patternType="solid">
        <fgColor rgb="FFFFFF00"/>
        <bgColor indexed="64"/>
      </patternFill>
    </fill>
    <fill>
      <patternFill patternType="solid">
        <fgColor rgb="FFCCFFCC"/>
        <bgColor indexed="64"/>
      </patternFill>
    </fill>
    <fill>
      <patternFill patternType="solid">
        <fgColor theme="0"/>
        <bgColor indexed="64"/>
      </patternFill>
    </fill>
  </fills>
  <borders count="89">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bottom/>
      <diagonal/>
    </border>
    <border>
      <left/>
      <right style="thick">
        <color indexed="64"/>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thick">
        <color indexed="64"/>
      </right>
      <top/>
      <bottom/>
      <diagonal/>
    </border>
    <border>
      <left style="thick">
        <color indexed="64"/>
      </left>
      <right style="thick">
        <color indexed="64"/>
      </right>
      <top/>
      <bottom style="thick">
        <color indexed="64"/>
      </bottom>
      <diagonal/>
    </border>
    <border>
      <left style="thick">
        <color indexed="64"/>
      </left>
      <right style="thick">
        <color indexed="64"/>
      </right>
      <top style="thick">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style="medium">
        <color indexed="64"/>
      </right>
      <top style="thick">
        <color indexed="64"/>
      </top>
      <bottom/>
      <diagonal/>
    </border>
    <border>
      <left style="medium">
        <color indexed="64"/>
      </left>
      <right/>
      <top style="thick">
        <color indexed="64"/>
      </top>
      <bottom/>
      <diagonal/>
    </border>
    <border>
      <left/>
      <right style="medium">
        <color indexed="64"/>
      </right>
      <top style="thick">
        <color indexed="64"/>
      </top>
      <bottom/>
      <diagonal/>
    </border>
    <border>
      <left style="thick">
        <color indexed="64"/>
      </left>
      <right style="medium">
        <color indexed="64"/>
      </right>
      <top/>
      <bottom/>
      <diagonal/>
    </border>
    <border>
      <left style="thick">
        <color indexed="64"/>
      </left>
      <right/>
      <top style="medium">
        <color indexed="64"/>
      </top>
      <bottom/>
      <diagonal/>
    </border>
    <border>
      <left/>
      <right/>
      <top style="medium">
        <color indexed="64"/>
      </top>
      <bottom/>
      <diagonal/>
    </border>
    <border>
      <left/>
      <right style="thick">
        <color indexed="64"/>
      </right>
      <top style="medium">
        <color indexed="64"/>
      </top>
      <bottom/>
      <diagonal/>
    </border>
    <border>
      <left style="medium">
        <color indexed="64"/>
      </left>
      <right/>
      <top/>
      <bottom style="thick">
        <color indexed="64"/>
      </bottom>
      <diagonal/>
    </border>
    <border>
      <left/>
      <right style="medium">
        <color indexed="64"/>
      </right>
      <top/>
      <bottom style="thick">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right style="thick">
        <color indexed="64"/>
      </right>
      <top style="medium">
        <color indexed="64"/>
      </top>
      <bottom style="thick">
        <color indexed="64"/>
      </bottom>
      <diagonal/>
    </border>
    <border>
      <left style="medium">
        <color indexed="64"/>
      </left>
      <right style="medium">
        <color indexed="64"/>
      </right>
      <top style="thick">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ck">
        <color indexed="64"/>
      </bottom>
      <diagonal/>
    </border>
    <border>
      <left style="thick">
        <color indexed="64"/>
      </left>
      <right style="medium">
        <color indexed="64"/>
      </right>
      <top style="medium">
        <color indexed="64"/>
      </top>
      <bottom style="medium">
        <color indexed="64"/>
      </bottom>
      <diagonal/>
    </border>
    <border>
      <left style="medium">
        <color indexed="64"/>
      </left>
      <right/>
      <top style="medium">
        <color indexed="64"/>
      </top>
      <bottom style="thick">
        <color indexed="64"/>
      </bottom>
      <diagonal/>
    </border>
    <border>
      <left style="medium">
        <color indexed="64"/>
      </left>
      <right style="thick">
        <color indexed="64"/>
      </right>
      <top style="thick">
        <color indexed="64"/>
      </top>
      <bottom/>
      <diagonal/>
    </border>
    <border>
      <left style="medium">
        <color indexed="64"/>
      </left>
      <right style="thick">
        <color indexed="64"/>
      </right>
      <top/>
      <bottom style="medium">
        <color indexed="64"/>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style="medium">
        <color indexed="64"/>
      </left>
      <right style="thick">
        <color indexed="64"/>
      </right>
      <top/>
      <bottom/>
      <diagonal/>
    </border>
    <border>
      <left style="medium">
        <color indexed="64"/>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style="medium">
        <color indexed="64"/>
      </right>
      <top/>
      <bottom style="medium">
        <color indexed="64"/>
      </bottom>
      <diagonal/>
    </border>
    <border>
      <left style="thick">
        <color indexed="64"/>
      </left>
      <right style="medium">
        <color indexed="64"/>
      </right>
      <top style="medium">
        <color indexed="64"/>
      </top>
      <bottom/>
      <diagonal/>
    </border>
    <border>
      <left style="thick">
        <color indexed="64"/>
      </left>
      <right style="medium">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s>
  <cellStyleXfs count="12">
    <xf numFmtId="0" fontId="0" fillId="0" borderId="0"/>
    <xf numFmtId="0" fontId="33" fillId="0" borderId="0"/>
    <xf numFmtId="0" fontId="3" fillId="0" borderId="0"/>
    <xf numFmtId="0" fontId="33" fillId="0" borderId="0"/>
    <xf numFmtId="0" fontId="3" fillId="0" borderId="0"/>
    <xf numFmtId="0" fontId="3" fillId="0" borderId="0"/>
    <xf numFmtId="0" fontId="2" fillId="0" borderId="0"/>
    <xf numFmtId="0" fontId="1" fillId="0" borderId="0"/>
    <xf numFmtId="0" fontId="1" fillId="0" borderId="0"/>
    <xf numFmtId="0" fontId="1" fillId="0" borderId="0"/>
    <xf numFmtId="0" fontId="1" fillId="0" borderId="0"/>
    <xf numFmtId="44" fontId="33" fillId="0" borderId="0" applyFont="0" applyFill="0" applyBorder="0" applyAlignment="0" applyProtection="0"/>
  </cellStyleXfs>
  <cellXfs count="1291">
    <xf numFmtId="0" fontId="0" fillId="0" borderId="0" xfId="0"/>
    <xf numFmtId="0" fontId="7" fillId="0" borderId="0" xfId="0" applyFont="1"/>
    <xf numFmtId="0" fontId="5" fillId="0" borderId="0" xfId="0" applyFont="1"/>
    <xf numFmtId="0" fontId="5" fillId="0" borderId="19" xfId="0" applyFont="1" applyBorder="1" applyAlignment="1">
      <alignment horizontal="right"/>
    </xf>
    <xf numFmtId="0" fontId="17" fillId="0" borderId="0" xfId="0" applyFont="1"/>
    <xf numFmtId="1" fontId="5" fillId="2" borderId="29" xfId="0" applyNumberFormat="1" applyFont="1" applyFill="1" applyBorder="1" applyAlignment="1">
      <alignment horizontal="center" vertical="center" wrapText="1"/>
    </xf>
    <xf numFmtId="0" fontId="5" fillId="0" borderId="31" xfId="0" applyFont="1" applyBorder="1" applyAlignment="1">
      <alignment horizontal="right" vertical="top"/>
    </xf>
    <xf numFmtId="0" fontId="5" fillId="0" borderId="5" xfId="0" applyFont="1" applyBorder="1" applyAlignment="1">
      <alignment horizontal="right" vertical="top"/>
    </xf>
    <xf numFmtId="0" fontId="18" fillId="0" borderId="0" xfId="0" applyFont="1" applyBorder="1" applyAlignment="1">
      <alignment wrapText="1"/>
    </xf>
    <xf numFmtId="0" fontId="18" fillId="0" borderId="0" xfId="0" applyFont="1" applyAlignment="1">
      <alignment wrapText="1"/>
    </xf>
    <xf numFmtId="0" fontId="8" fillId="0" borderId="0" xfId="0" applyFont="1" applyBorder="1" applyAlignment="1">
      <alignment wrapText="1"/>
    </xf>
    <xf numFmtId="0" fontId="11" fillId="0" borderId="0" xfId="0" applyFont="1" applyBorder="1" applyAlignment="1">
      <alignment wrapText="1"/>
    </xf>
    <xf numFmtId="0" fontId="19" fillId="0" borderId="0" xfId="0" applyFont="1" applyBorder="1" applyAlignment="1">
      <alignment wrapText="1"/>
    </xf>
    <xf numFmtId="0" fontId="6" fillId="0" borderId="0" xfId="0" applyFont="1" applyBorder="1" applyAlignment="1">
      <alignment wrapText="1"/>
    </xf>
    <xf numFmtId="0" fontId="19" fillId="0" borderId="7" xfId="0" applyFont="1" applyFill="1" applyBorder="1" applyAlignment="1">
      <alignment wrapText="1"/>
    </xf>
    <xf numFmtId="0" fontId="5" fillId="0" borderId="0" xfId="0" applyFont="1" applyBorder="1" applyAlignment="1">
      <alignment wrapText="1"/>
    </xf>
    <xf numFmtId="0" fontId="8" fillId="0" borderId="7" xfId="0" applyFont="1" applyBorder="1" applyAlignment="1">
      <alignment wrapText="1"/>
    </xf>
    <xf numFmtId="0" fontId="5" fillId="0" borderId="0" xfId="0" applyFont="1" applyFill="1" applyBorder="1" applyAlignment="1">
      <alignment wrapText="1"/>
    </xf>
    <xf numFmtId="0" fontId="5" fillId="0" borderId="7" xfId="0" applyFont="1" applyBorder="1" applyAlignment="1">
      <alignment wrapText="1"/>
    </xf>
    <xf numFmtId="0" fontId="10" fillId="0" borderId="12" xfId="0" applyFont="1" applyBorder="1" applyAlignment="1">
      <alignment horizontal="center" vertical="center" wrapText="1"/>
    </xf>
    <xf numFmtId="0" fontId="5" fillId="0" borderId="7" xfId="0" applyFont="1" applyFill="1" applyBorder="1" applyAlignment="1">
      <alignment wrapText="1"/>
    </xf>
    <xf numFmtId="0" fontId="19" fillId="0" borderId="0" xfId="0" applyFont="1" applyFill="1" applyBorder="1" applyAlignment="1">
      <alignment wrapText="1"/>
    </xf>
    <xf numFmtId="0" fontId="10" fillId="0" borderId="28" xfId="0" applyFont="1" applyBorder="1" applyAlignment="1">
      <alignment vertical="top" wrapText="1"/>
    </xf>
    <xf numFmtId="0" fontId="4" fillId="0" borderId="7" xfId="0" applyFont="1" applyBorder="1" applyAlignment="1">
      <alignment wrapText="1"/>
    </xf>
    <xf numFmtId="0" fontId="4" fillId="0" borderId="0" xfId="0" applyFont="1" applyBorder="1" applyAlignment="1">
      <alignment wrapText="1"/>
    </xf>
    <xf numFmtId="0" fontId="7" fillId="0" borderId="7" xfId="0" applyFont="1" applyFill="1" applyBorder="1" applyAlignment="1">
      <alignment wrapText="1"/>
    </xf>
    <xf numFmtId="0" fontId="7" fillId="0" borderId="0" xfId="0" applyFont="1" applyFill="1" applyBorder="1" applyAlignment="1">
      <alignment wrapText="1"/>
    </xf>
    <xf numFmtId="0" fontId="0" fillId="0" borderId="0" xfId="0" applyFont="1"/>
    <xf numFmtId="0" fontId="4" fillId="0" borderId="0" xfId="0" applyFont="1" applyFill="1" applyBorder="1" applyAlignment="1">
      <alignment wrapText="1"/>
    </xf>
    <xf numFmtId="0" fontId="0" fillId="0" borderId="0" xfId="0" applyFont="1" applyBorder="1"/>
    <xf numFmtId="0" fontId="0" fillId="0" borderId="0" xfId="0" applyFont="1" applyAlignment="1"/>
    <xf numFmtId="0" fontId="0" fillId="0" borderId="0" xfId="0" applyFont="1" applyBorder="1" applyAlignment="1"/>
    <xf numFmtId="0" fontId="0" fillId="0" borderId="0" xfId="0" applyFont="1" applyBorder="1" applyAlignment="1">
      <alignment wrapText="1"/>
    </xf>
    <xf numFmtId="0" fontId="0" fillId="0" borderId="0" xfId="0" applyFont="1" applyFill="1" applyBorder="1" applyAlignment="1"/>
    <xf numFmtId="0" fontId="7" fillId="0" borderId="0" xfId="0" applyFont="1" applyBorder="1" applyAlignment="1">
      <alignment wrapText="1"/>
    </xf>
    <xf numFmtId="0" fontId="7" fillId="0" borderId="0" xfId="0" applyFont="1" applyFill="1" applyBorder="1" applyAlignment="1">
      <alignment horizontal="left" wrapText="1"/>
    </xf>
    <xf numFmtId="0" fontId="9" fillId="0" borderId="0" xfId="0" applyFont="1"/>
    <xf numFmtId="0" fontId="5" fillId="0" borderId="4" xfId="0" applyFont="1" applyBorder="1" applyAlignment="1">
      <alignment vertical="top" wrapText="1"/>
    </xf>
    <xf numFmtId="0" fontId="7" fillId="0" borderId="0" xfId="0" applyFont="1" applyAlignment="1"/>
    <xf numFmtId="0" fontId="7" fillId="0" borderId="0" xfId="0" applyFont="1" applyAlignment="1">
      <alignment horizontal="right"/>
    </xf>
    <xf numFmtId="0" fontId="10" fillId="0" borderId="14" xfId="0" applyFont="1" applyBorder="1" applyAlignment="1">
      <alignment horizontal="center" vertical="center" wrapText="1"/>
    </xf>
    <xf numFmtId="0" fontId="5" fillId="0" borderId="15" xfId="0" applyFont="1" applyBorder="1" applyAlignment="1">
      <alignment horizontal="center" wrapText="1"/>
    </xf>
    <xf numFmtId="0" fontId="17" fillId="0" borderId="0" xfId="0" applyFont="1" applyAlignment="1">
      <alignment horizontal="left"/>
    </xf>
    <xf numFmtId="0" fontId="21" fillId="0" borderId="0" xfId="0" applyFont="1" applyAlignment="1">
      <alignment horizontal="left" vertical="top"/>
    </xf>
    <xf numFmtId="0" fontId="22" fillId="0" borderId="0" xfId="0" applyFont="1" applyAlignment="1">
      <alignment horizontal="left"/>
    </xf>
    <xf numFmtId="0" fontId="5" fillId="0" borderId="43" xfId="0" applyFont="1" applyBorder="1" applyAlignment="1" applyProtection="1">
      <alignment horizontal="left" wrapText="1"/>
    </xf>
    <xf numFmtId="0" fontId="5" fillId="0" borderId="0" xfId="0" applyFont="1" applyFill="1" applyBorder="1" applyAlignment="1">
      <alignment horizontal="left" wrapText="1" indent="1"/>
    </xf>
    <xf numFmtId="0" fontId="10" fillId="0" borderId="0" xfId="0" applyFont="1" applyFill="1" applyBorder="1" applyAlignment="1">
      <alignment vertical="top" wrapText="1"/>
    </xf>
    <xf numFmtId="0" fontId="17" fillId="0" borderId="0" xfId="0" applyFont="1" applyAlignment="1">
      <alignment vertical="top"/>
    </xf>
    <xf numFmtId="0" fontId="10" fillId="0" borderId="25" xfId="0" applyFont="1" applyBorder="1" applyAlignment="1">
      <alignment vertical="top" wrapText="1"/>
    </xf>
    <xf numFmtId="0" fontId="22" fillId="0" borderId="0" xfId="0" applyFont="1"/>
    <xf numFmtId="0" fontId="5" fillId="0" borderId="7"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wrapText="1"/>
    </xf>
    <xf numFmtId="0" fontId="10" fillId="0" borderId="0" xfId="0" applyFont="1" applyBorder="1" applyAlignment="1">
      <alignment wrapText="1"/>
    </xf>
    <xf numFmtId="0" fontId="10" fillId="0" borderId="7" xfId="0" applyFont="1" applyBorder="1" applyAlignment="1">
      <alignment vertical="center" wrapText="1"/>
    </xf>
    <xf numFmtId="0" fontId="10" fillId="0" borderId="0" xfId="0" applyFont="1" applyBorder="1" applyAlignment="1">
      <alignment vertical="center" wrapText="1"/>
    </xf>
    <xf numFmtId="0" fontId="10" fillId="0" borderId="15" xfId="0" applyFont="1" applyBorder="1" applyAlignment="1">
      <alignment horizontal="center" vertical="center" wrapText="1"/>
    </xf>
    <xf numFmtId="0" fontId="10" fillId="0" borderId="40" xfId="0" applyFont="1" applyBorder="1" applyAlignment="1">
      <alignment horizontal="left" vertical="center" wrapText="1"/>
    </xf>
    <xf numFmtId="0" fontId="0" fillId="0" borderId="0" xfId="0" applyAlignment="1">
      <alignment wrapText="1"/>
    </xf>
    <xf numFmtId="0" fontId="10" fillId="0" borderId="14" xfId="0" applyFont="1" applyBorder="1" applyAlignment="1">
      <alignment horizontal="center" vertical="center" wrapText="1"/>
    </xf>
    <xf numFmtId="0" fontId="10" fillId="0" borderId="40" xfId="0" applyFont="1" applyBorder="1" applyAlignment="1">
      <alignment vertical="center" wrapText="1"/>
    </xf>
    <xf numFmtId="164" fontId="6" fillId="0" borderId="43" xfId="0" applyNumberFormat="1" applyFont="1" applyBorder="1" applyAlignment="1">
      <alignment horizontal="left" vertical="center" wrapText="1"/>
    </xf>
    <xf numFmtId="0" fontId="8" fillId="0" borderId="45" xfId="0" applyFont="1" applyBorder="1" applyAlignment="1">
      <alignment vertical="center" wrapText="1"/>
    </xf>
    <xf numFmtId="0" fontId="8" fillId="0" borderId="43" xfId="0" applyFont="1" applyBorder="1" applyAlignment="1">
      <alignment horizontal="right" vertical="center" wrapText="1"/>
    </xf>
    <xf numFmtId="0" fontId="8" fillId="0" borderId="50" xfId="0" applyFont="1" applyBorder="1" applyAlignment="1">
      <alignment vertical="center" wrapText="1"/>
    </xf>
    <xf numFmtId="0" fontId="8" fillId="0" borderId="44" xfId="0" applyFont="1" applyBorder="1" applyAlignment="1">
      <alignment horizontal="right" vertical="center" wrapText="1"/>
    </xf>
    <xf numFmtId="0" fontId="7" fillId="0" borderId="0" xfId="0" applyFont="1" applyFill="1" applyBorder="1" applyAlignment="1">
      <alignment vertical="top" wrapText="1"/>
    </xf>
    <xf numFmtId="0" fontId="10" fillId="0" borderId="42" xfId="0" applyFont="1" applyBorder="1" applyAlignment="1">
      <alignment horizontal="left" vertical="top" wrapText="1"/>
    </xf>
    <xf numFmtId="0" fontId="21" fillId="0" borderId="0" xfId="0" applyFont="1"/>
    <xf numFmtId="0" fontId="23" fillId="0" borderId="0" xfId="0" applyFont="1" applyAlignment="1">
      <alignment vertical="top"/>
    </xf>
    <xf numFmtId="0" fontId="0" fillId="0" borderId="0" xfId="0" applyProtection="1"/>
    <xf numFmtId="0" fontId="5" fillId="0" borderId="26" xfId="0" applyFont="1" applyBorder="1" applyAlignment="1">
      <alignment horizontal="left" vertical="top" wrapText="1" indent="1"/>
    </xf>
    <xf numFmtId="0" fontId="5" fillId="0" borderId="27" xfId="0" applyFont="1" applyBorder="1" applyAlignment="1">
      <alignment horizontal="left" vertical="top" wrapText="1" indent="1"/>
    </xf>
    <xf numFmtId="0" fontId="5" fillId="0" borderId="0" xfId="0" applyFont="1" applyFill="1" applyBorder="1" applyAlignment="1">
      <alignment vertical="top" wrapText="1"/>
    </xf>
    <xf numFmtId="0" fontId="5" fillId="0" borderId="43" xfId="0" applyFont="1" applyBorder="1" applyAlignment="1">
      <alignment horizontal="right" indent="1"/>
    </xf>
    <xf numFmtId="0" fontId="10" fillId="0" borderId="42" xfId="0" applyFont="1" applyBorder="1"/>
    <xf numFmtId="0" fontId="5" fillId="0" borderId="7" xfId="0" applyFont="1" applyBorder="1" applyAlignment="1">
      <alignment horizontal="center" wrapText="1"/>
    </xf>
    <xf numFmtId="0" fontId="0" fillId="0" borderId="0" xfId="0" applyNumberFormat="1"/>
    <xf numFmtId="0" fontId="19" fillId="0" borderId="0" xfId="0" applyNumberFormat="1" applyFont="1" applyBorder="1" applyAlignment="1">
      <alignment wrapText="1"/>
    </xf>
    <xf numFmtId="0" fontId="6" fillId="0" borderId="9" xfId="0" applyFont="1" applyBorder="1" applyAlignment="1">
      <alignment horizontal="center" vertical="top" wrapText="1"/>
    </xf>
    <xf numFmtId="0" fontId="10" fillId="0" borderId="12" xfId="0" applyFont="1" applyFill="1" applyBorder="1" applyAlignment="1" applyProtection="1">
      <alignment horizontal="center" vertical="center" wrapText="1"/>
    </xf>
    <xf numFmtId="0" fontId="10" fillId="0" borderId="12" xfId="0" applyFont="1" applyFill="1" applyBorder="1" applyAlignment="1">
      <alignment horizontal="center" vertical="top" wrapText="1"/>
    </xf>
    <xf numFmtId="0" fontId="10" fillId="0" borderId="26" xfId="0" applyFont="1" applyFill="1" applyBorder="1" applyAlignment="1">
      <alignment vertical="top" wrapText="1"/>
    </xf>
    <xf numFmtId="0" fontId="10" fillId="0" borderId="27" xfId="0" applyFont="1" applyFill="1" applyBorder="1" applyAlignment="1">
      <alignment vertical="top" wrapText="1"/>
    </xf>
    <xf numFmtId="0" fontId="10" fillId="0" borderId="47" xfId="0" applyFont="1" applyFill="1" applyBorder="1" applyAlignment="1">
      <alignment vertical="top" wrapText="1"/>
    </xf>
    <xf numFmtId="0" fontId="16" fillId="0" borderId="23" xfId="0" applyFont="1" applyFill="1" applyBorder="1" applyAlignment="1">
      <alignment wrapText="1"/>
    </xf>
    <xf numFmtId="0" fontId="16" fillId="0" borderId="25" xfId="0" applyFont="1" applyFill="1" applyBorder="1" applyAlignment="1">
      <alignment wrapText="1"/>
    </xf>
    <xf numFmtId="0" fontId="16" fillId="0" borderId="16" xfId="0" applyFont="1" applyFill="1" applyBorder="1" applyAlignment="1">
      <alignment vertical="center" wrapText="1"/>
    </xf>
    <xf numFmtId="0" fontId="0" fillId="0" borderId="0" xfId="0" applyFill="1"/>
    <xf numFmtId="0" fontId="0" fillId="0" borderId="0" xfId="0"/>
    <xf numFmtId="0" fontId="5" fillId="0" borderId="7" xfId="0" applyFont="1" applyBorder="1" applyAlignment="1">
      <alignment wrapText="1"/>
    </xf>
    <xf numFmtId="0" fontId="7" fillId="0" borderId="0" xfId="0" applyFont="1" applyBorder="1"/>
    <xf numFmtId="0" fontId="5" fillId="0" borderId="23" xfId="0" applyFont="1" applyBorder="1" applyAlignment="1">
      <alignment horizontal="center" vertical="top" wrapText="1"/>
    </xf>
    <xf numFmtId="0" fontId="5" fillId="0" borderId="25" xfId="0" applyFont="1" applyBorder="1" applyAlignment="1">
      <alignment horizontal="center" vertical="top" wrapText="1"/>
    </xf>
    <xf numFmtId="0" fontId="25" fillId="0" borderId="0" xfId="0" applyFont="1"/>
    <xf numFmtId="0" fontId="5" fillId="0" borderId="0" xfId="0" applyFont="1" applyBorder="1" applyAlignment="1">
      <alignment horizontal="left" vertical="top" wrapText="1"/>
    </xf>
    <xf numFmtId="0" fontId="0" fillId="0" borderId="0" xfId="0"/>
    <xf numFmtId="0" fontId="22" fillId="0" borderId="0" xfId="0" applyFont="1"/>
    <xf numFmtId="0" fontId="14" fillId="0" borderId="0" xfId="0" applyFont="1" applyAlignment="1">
      <alignment vertical="center"/>
    </xf>
    <xf numFmtId="0" fontId="0" fillId="0" borderId="0" xfId="0" applyBorder="1"/>
    <xf numFmtId="0" fontId="24" fillId="0" borderId="0" xfId="0" applyFont="1" applyBorder="1"/>
    <xf numFmtId="0" fontId="35" fillId="0" borderId="0" xfId="0" applyFont="1" applyFill="1" applyBorder="1" applyAlignment="1" applyProtection="1">
      <alignment wrapText="1"/>
      <protection hidden="1"/>
    </xf>
    <xf numFmtId="0" fontId="34" fillId="0" borderId="0" xfId="0" applyFont="1" applyProtection="1">
      <protection hidden="1"/>
    </xf>
    <xf numFmtId="0" fontId="35" fillId="0" borderId="0" xfId="0" applyFont="1" applyFill="1" applyBorder="1" applyAlignment="1" applyProtection="1">
      <alignment horizontal="left" wrapText="1" indent="1"/>
      <protection hidden="1"/>
    </xf>
    <xf numFmtId="0" fontId="36" fillId="0" borderId="0" xfId="0" applyFont="1" applyAlignment="1" applyProtection="1">
      <alignment wrapText="1"/>
      <protection hidden="1"/>
    </xf>
    <xf numFmtId="0" fontId="0" fillId="0" borderId="0" xfId="0"/>
    <xf numFmtId="0" fontId="0" fillId="0" borderId="0" xfId="0" applyBorder="1"/>
    <xf numFmtId="0" fontId="0" fillId="0" borderId="0" xfId="0" applyAlignment="1">
      <alignment wrapText="1"/>
    </xf>
    <xf numFmtId="0" fontId="0" fillId="0" borderId="0" xfId="0" applyBorder="1" applyAlignment="1">
      <alignment wrapText="1"/>
    </xf>
    <xf numFmtId="0" fontId="0" fillId="0" borderId="20" xfId="0" applyFill="1" applyBorder="1" applyAlignment="1">
      <alignment wrapText="1"/>
    </xf>
    <xf numFmtId="0" fontId="0" fillId="0" borderId="19" xfId="0" applyBorder="1" applyAlignment="1">
      <alignment wrapText="1"/>
    </xf>
    <xf numFmtId="0" fontId="0" fillId="0" borderId="31" xfId="0" applyBorder="1" applyAlignment="1">
      <alignment wrapText="1"/>
    </xf>
    <xf numFmtId="164" fontId="0" fillId="0" borderId="25" xfId="0" applyNumberFormat="1" applyBorder="1"/>
    <xf numFmtId="164" fontId="0" fillId="0" borderId="0" xfId="0" applyNumberFormat="1" applyBorder="1"/>
    <xf numFmtId="0" fontId="0" fillId="0" borderId="20" xfId="0" applyBorder="1" applyAlignment="1">
      <alignment wrapText="1"/>
    </xf>
    <xf numFmtId="0" fontId="0" fillId="0" borderId="19" xfId="0" applyBorder="1" applyAlignment="1">
      <alignment vertical="top" wrapText="1"/>
    </xf>
    <xf numFmtId="0" fontId="0" fillId="0" borderId="19" xfId="0" applyBorder="1"/>
    <xf numFmtId="164" fontId="0" fillId="0" borderId="24" xfId="0" applyNumberFormat="1" applyBorder="1"/>
    <xf numFmtId="2" fontId="0" fillId="0" borderId="22" xfId="0" applyNumberFormat="1" applyBorder="1"/>
    <xf numFmtId="2" fontId="0" fillId="0" borderId="25" xfId="0" applyNumberFormat="1" applyBorder="1"/>
    <xf numFmtId="49" fontId="0" fillId="0" borderId="24" xfId="0" applyNumberFormat="1" applyBorder="1" applyAlignment="1">
      <alignment wrapText="1"/>
    </xf>
    <xf numFmtId="0" fontId="0" fillId="0" borderId="31" xfId="0" applyBorder="1"/>
    <xf numFmtId="0" fontId="16" fillId="0" borderId="15" xfId="0" applyFont="1" applyFill="1" applyBorder="1" applyAlignment="1">
      <alignment horizontal="center" vertical="top" wrapText="1"/>
    </xf>
    <xf numFmtId="0" fontId="16" fillId="0" borderId="8" xfId="0" applyFont="1" applyFill="1" applyBorder="1" applyAlignment="1">
      <alignment horizontal="center" vertical="top" wrapText="1"/>
    </xf>
    <xf numFmtId="0" fontId="16" fillId="0" borderId="6" xfId="0" applyFont="1" applyFill="1" applyBorder="1" applyAlignment="1">
      <alignment horizontal="center" vertical="top" wrapText="1"/>
    </xf>
    <xf numFmtId="49" fontId="0" fillId="0" borderId="23" xfId="0" applyNumberFormat="1" applyBorder="1" applyAlignment="1">
      <alignment wrapText="1"/>
    </xf>
    <xf numFmtId="49" fontId="0" fillId="0" borderId="23" xfId="0" applyNumberFormat="1" applyBorder="1"/>
    <xf numFmtId="2" fontId="0" fillId="0" borderId="24" xfId="0" applyNumberFormat="1" applyBorder="1"/>
    <xf numFmtId="0" fontId="0" fillId="0" borderId="21" xfId="0" applyBorder="1"/>
    <xf numFmtId="0" fontId="0" fillId="0" borderId="22" xfId="0" applyBorder="1"/>
    <xf numFmtId="49" fontId="0" fillId="0" borderId="0" xfId="0" applyNumberFormat="1" applyFill="1" applyBorder="1"/>
    <xf numFmtId="0" fontId="0" fillId="0" borderId="24" xfId="0" applyBorder="1"/>
    <xf numFmtId="1" fontId="10" fillId="0" borderId="12" xfId="0" applyNumberFormat="1" applyFont="1" applyFill="1" applyBorder="1" applyAlignment="1">
      <alignment horizontal="center" vertical="center" wrapText="1"/>
    </xf>
    <xf numFmtId="10" fontId="10" fillId="0" borderId="12" xfId="0" applyNumberFormat="1" applyFont="1" applyFill="1" applyBorder="1" applyAlignment="1">
      <alignment horizontal="center" vertical="center" wrapText="1"/>
    </xf>
    <xf numFmtId="166" fontId="0" fillId="0" borderId="23" xfId="0" applyNumberFormat="1" applyBorder="1"/>
    <xf numFmtId="166" fontId="0" fillId="0" borderId="24" xfId="0" applyNumberFormat="1" applyBorder="1"/>
    <xf numFmtId="1" fontId="0" fillId="0" borderId="21" xfId="0" applyNumberFormat="1" applyBorder="1"/>
    <xf numFmtId="1" fontId="0" fillId="0" borderId="23" xfId="0" applyNumberFormat="1" applyBorder="1"/>
    <xf numFmtId="0" fontId="0" fillId="0" borderId="20" xfId="0" applyBorder="1"/>
    <xf numFmtId="0" fontId="0" fillId="0" borderId="22" xfId="0" applyBorder="1" applyAlignment="1">
      <alignment wrapText="1"/>
    </xf>
    <xf numFmtId="0" fontId="0" fillId="0" borderId="23" xfId="0" applyBorder="1"/>
    <xf numFmtId="0" fontId="0" fillId="0" borderId="25" xfId="0" applyBorder="1"/>
    <xf numFmtId="165" fontId="10" fillId="0" borderId="12" xfId="0" quotePrefix="1" applyNumberFormat="1" applyFont="1" applyFill="1" applyBorder="1" applyAlignment="1" applyProtection="1">
      <alignment horizontal="center" vertical="center" wrapText="1"/>
    </xf>
    <xf numFmtId="0" fontId="0" fillId="0" borderId="0" xfId="0"/>
    <xf numFmtId="0" fontId="12" fillId="0" borderId="61" xfId="0" applyFont="1" applyFill="1" applyBorder="1" applyAlignment="1">
      <alignment horizontal="center" wrapText="1"/>
    </xf>
    <xf numFmtId="0" fontId="0" fillId="0" borderId="0" xfId="0"/>
    <xf numFmtId="0" fontId="0" fillId="0" borderId="0" xfId="0"/>
    <xf numFmtId="0" fontId="7" fillId="0" borderId="0" xfId="0" applyFont="1"/>
    <xf numFmtId="0" fontId="0" fillId="0" borderId="19" xfId="0" applyBorder="1" applyAlignment="1">
      <alignment wrapText="1"/>
    </xf>
    <xf numFmtId="0" fontId="0" fillId="0" borderId="31" xfId="0" applyBorder="1" applyAlignment="1">
      <alignment wrapText="1"/>
    </xf>
    <xf numFmtId="49" fontId="0" fillId="0" borderId="24" xfId="0" applyNumberFormat="1" applyBorder="1"/>
    <xf numFmtId="1" fontId="0" fillId="0" borderId="24" xfId="0" applyNumberFormat="1" applyBorder="1"/>
    <xf numFmtId="49" fontId="0" fillId="0" borderId="0" xfId="0" applyNumberFormat="1" applyBorder="1"/>
    <xf numFmtId="49" fontId="0" fillId="0" borderId="21" xfId="0" applyNumberFormat="1" applyBorder="1"/>
    <xf numFmtId="0" fontId="5" fillId="3" borderId="0" xfId="0" applyFont="1" applyFill="1" applyBorder="1" applyAlignment="1" applyProtection="1">
      <alignment horizontal="left" vertical="top" wrapText="1" indent="1"/>
      <protection locked="0"/>
    </xf>
    <xf numFmtId="164" fontId="6" fillId="3" borderId="43" xfId="0" applyNumberFormat="1" applyFont="1" applyFill="1" applyBorder="1" applyAlignment="1" applyProtection="1">
      <alignment horizontal="center" wrapText="1"/>
      <protection locked="0"/>
    </xf>
    <xf numFmtId="164" fontId="6" fillId="3" borderId="45" xfId="0" applyNumberFormat="1" applyFont="1" applyFill="1" applyBorder="1" applyAlignment="1" applyProtection="1">
      <alignment horizontal="center" wrapText="1"/>
      <protection locked="0"/>
    </xf>
    <xf numFmtId="164" fontId="6" fillId="3" borderId="49" xfId="0" applyNumberFormat="1" applyFont="1" applyFill="1" applyBorder="1" applyAlignment="1" applyProtection="1">
      <alignment horizontal="center" wrapText="1"/>
      <protection locked="0"/>
    </xf>
    <xf numFmtId="164" fontId="6" fillId="3" borderId="43" xfId="0" applyNumberFormat="1" applyFont="1" applyFill="1" applyBorder="1" applyAlignment="1" applyProtection="1">
      <alignment horizontal="center" vertical="center" wrapText="1"/>
      <protection locked="0"/>
    </xf>
    <xf numFmtId="0" fontId="5" fillId="3" borderId="59" xfId="0" applyFont="1" applyFill="1" applyBorder="1" applyAlignment="1" applyProtection="1">
      <alignment vertical="center" wrapText="1"/>
      <protection locked="0"/>
    </xf>
    <xf numFmtId="0" fontId="6" fillId="3" borderId="43" xfId="0" applyFont="1" applyFill="1" applyBorder="1" applyAlignment="1" applyProtection="1">
      <alignment horizontal="center" vertical="center" wrapText="1"/>
      <protection locked="0"/>
    </xf>
    <xf numFmtId="164" fontId="6" fillId="3" borderId="43" xfId="0" applyNumberFormat="1" applyFont="1" applyFill="1" applyBorder="1" applyAlignment="1" applyProtection="1">
      <alignment horizontal="center" vertical="top" wrapText="1"/>
      <protection locked="0"/>
    </xf>
    <xf numFmtId="164" fontId="6" fillId="3" borderId="43" xfId="0" applyNumberFormat="1" applyFont="1" applyFill="1" applyBorder="1" applyAlignment="1" applyProtection="1">
      <alignment horizontal="center" vertical="top"/>
      <protection locked="0"/>
    </xf>
    <xf numFmtId="1" fontId="5" fillId="3" borderId="43" xfId="0" applyNumberFormat="1" applyFont="1" applyFill="1" applyBorder="1" applyAlignment="1" applyProtection="1">
      <alignment horizontal="center" vertical="top" wrapText="1"/>
      <protection locked="0"/>
    </xf>
    <xf numFmtId="164" fontId="5" fillId="3" borderId="20" xfId="0" applyNumberFormat="1" applyFont="1" applyFill="1" applyBorder="1" applyAlignment="1" applyProtection="1">
      <alignment horizontal="left" indent="1"/>
      <protection locked="0"/>
    </xf>
    <xf numFmtId="164" fontId="5" fillId="3" borderId="20" xfId="0" applyNumberFormat="1" applyFont="1" applyFill="1" applyBorder="1" applyAlignment="1" applyProtection="1">
      <alignment horizontal="left"/>
      <protection locked="0"/>
    </xf>
    <xf numFmtId="1" fontId="5" fillId="3" borderId="43" xfId="0" applyNumberFormat="1" applyFont="1" applyFill="1" applyBorder="1" applyAlignment="1" applyProtection="1">
      <alignment horizontal="left"/>
      <protection locked="0"/>
    </xf>
    <xf numFmtId="0" fontId="5" fillId="3" borderId="43" xfId="0" applyFont="1" applyFill="1" applyBorder="1" applyAlignment="1" applyProtection="1">
      <alignment horizontal="center" vertical="center" wrapText="1"/>
      <protection locked="0"/>
    </xf>
    <xf numFmtId="0" fontId="0" fillId="0" borderId="0" xfId="0"/>
    <xf numFmtId="0" fontId="0" fillId="0" borderId="0" xfId="0" applyBorder="1"/>
    <xf numFmtId="0" fontId="0" fillId="0" borderId="19" xfId="0" applyBorder="1" applyAlignment="1">
      <alignment wrapText="1"/>
    </xf>
    <xf numFmtId="0" fontId="0" fillId="0" borderId="31" xfId="0" applyBorder="1" applyAlignment="1">
      <alignment wrapText="1"/>
    </xf>
    <xf numFmtId="164" fontId="0" fillId="0" borderId="0" xfId="0" applyNumberFormat="1" applyBorder="1"/>
    <xf numFmtId="0" fontId="0" fillId="0" borderId="20" xfId="0" applyBorder="1" applyAlignment="1">
      <alignment wrapText="1"/>
    </xf>
    <xf numFmtId="0" fontId="0" fillId="0" borderId="31" xfId="0" applyBorder="1" applyAlignment="1">
      <alignment vertical="top" wrapText="1"/>
    </xf>
    <xf numFmtId="0" fontId="0" fillId="0" borderId="19" xfId="0" applyBorder="1"/>
    <xf numFmtId="164" fontId="0" fillId="0" borderId="0" xfId="0" applyNumberFormat="1" applyBorder="1" applyAlignment="1">
      <alignment wrapText="1"/>
    </xf>
    <xf numFmtId="164" fontId="0" fillId="0" borderId="24" xfId="0" applyNumberFormat="1" applyBorder="1" applyAlignment="1">
      <alignment wrapText="1"/>
    </xf>
    <xf numFmtId="164" fontId="0" fillId="0" borderId="24" xfId="0" applyNumberFormat="1" applyBorder="1"/>
    <xf numFmtId="2" fontId="0" fillId="0" borderId="22" xfId="0" applyNumberFormat="1" applyBorder="1"/>
    <xf numFmtId="2" fontId="0" fillId="0" borderId="25" xfId="0" applyNumberFormat="1" applyBorder="1"/>
    <xf numFmtId="0" fontId="0" fillId="0" borderId="31" xfId="0" applyBorder="1"/>
    <xf numFmtId="49" fontId="0" fillId="0" borderId="24" xfId="0" applyNumberFormat="1" applyBorder="1"/>
    <xf numFmtId="49" fontId="0" fillId="0" borderId="21" xfId="0" applyNumberFormat="1" applyBorder="1"/>
    <xf numFmtId="49" fontId="0" fillId="0" borderId="23" xfId="0" applyNumberFormat="1" applyBorder="1"/>
    <xf numFmtId="1" fontId="0" fillId="0" borderId="24" xfId="0" applyNumberFormat="1" applyBorder="1"/>
    <xf numFmtId="49" fontId="0" fillId="0" borderId="25" xfId="0" applyNumberFormat="1" applyBorder="1"/>
    <xf numFmtId="2" fontId="0" fillId="0" borderId="0" xfId="0" applyNumberFormat="1" applyBorder="1"/>
    <xf numFmtId="2" fontId="0" fillId="0" borderId="24" xfId="0" applyNumberFormat="1" applyBorder="1"/>
    <xf numFmtId="0" fontId="0" fillId="0" borderId="21" xfId="0" applyBorder="1"/>
    <xf numFmtId="0" fontId="0" fillId="0" borderId="22" xfId="0" applyBorder="1"/>
    <xf numFmtId="49" fontId="0" fillId="0" borderId="0" xfId="0" applyNumberFormat="1" applyFill="1" applyBorder="1"/>
    <xf numFmtId="0" fontId="0" fillId="0" borderId="20" xfId="0" applyBorder="1"/>
    <xf numFmtId="49" fontId="0" fillId="0" borderId="21" xfId="0" applyNumberFormat="1" applyFill="1" applyBorder="1"/>
    <xf numFmtId="49" fontId="0" fillId="0" borderId="22" xfId="0" applyNumberFormat="1" applyBorder="1"/>
    <xf numFmtId="49" fontId="0" fillId="0" borderId="0" xfId="0" applyNumberFormat="1" applyBorder="1"/>
    <xf numFmtId="1" fontId="0" fillId="0" borderId="0" xfId="0" applyNumberFormat="1" applyBorder="1"/>
    <xf numFmtId="49" fontId="0" fillId="0" borderId="23" xfId="0" applyNumberFormat="1" applyFill="1" applyBorder="1"/>
    <xf numFmtId="0" fontId="6" fillId="3" borderId="43" xfId="0" applyFont="1" applyFill="1" applyBorder="1" applyAlignment="1" applyProtection="1">
      <alignment horizontal="center" vertical="center" wrapText="1"/>
      <protection locked="0"/>
    </xf>
    <xf numFmtId="49" fontId="6" fillId="3" borderId="43" xfId="0" applyNumberFormat="1" applyFont="1" applyFill="1" applyBorder="1" applyAlignment="1" applyProtection="1">
      <alignment vertical="center" wrapText="1"/>
      <protection locked="0"/>
    </xf>
    <xf numFmtId="49" fontId="6" fillId="3" borderId="43" xfId="0" applyNumberFormat="1" applyFont="1" applyFill="1" applyBorder="1" applyAlignment="1" applyProtection="1">
      <alignment vertical="center" shrinkToFit="1"/>
      <protection locked="0"/>
    </xf>
    <xf numFmtId="49" fontId="6" fillId="3" borderId="43" xfId="0" applyNumberFormat="1" applyFont="1" applyFill="1" applyBorder="1" applyAlignment="1" applyProtection="1">
      <alignment horizontal="center" vertical="center" shrinkToFit="1"/>
      <protection locked="0"/>
    </xf>
    <xf numFmtId="164" fontId="6" fillId="3" borderId="43" xfId="0" applyNumberFormat="1" applyFont="1" applyFill="1" applyBorder="1" applyAlignment="1" applyProtection="1">
      <alignment horizontal="center" vertical="center" shrinkToFit="1"/>
      <protection locked="0"/>
    </xf>
    <xf numFmtId="44" fontId="6" fillId="3" borderId="43" xfId="0" applyNumberFormat="1" applyFont="1" applyFill="1" applyBorder="1" applyAlignment="1" applyProtection="1">
      <alignment horizontal="right" vertical="center" shrinkToFit="1"/>
      <protection locked="0"/>
    </xf>
    <xf numFmtId="44" fontId="5" fillId="3" borderId="54" xfId="0" applyNumberFormat="1" applyFont="1" applyFill="1" applyBorder="1" applyAlignment="1" applyProtection="1">
      <alignment vertical="center" shrinkToFit="1"/>
      <protection locked="0"/>
    </xf>
    <xf numFmtId="44" fontId="5" fillId="0" borderId="16" xfId="0" applyNumberFormat="1" applyFont="1" applyBorder="1" applyAlignment="1" applyProtection="1">
      <alignment vertical="center" shrinkToFit="1"/>
    </xf>
    <xf numFmtId="44" fontId="5" fillId="0" borderId="43" xfId="0" applyNumberFormat="1" applyFont="1" applyBorder="1" applyAlignment="1" applyProtection="1">
      <alignment vertical="center" shrinkToFit="1"/>
    </xf>
    <xf numFmtId="0" fontId="10" fillId="0" borderId="40" xfId="0" applyFont="1" applyFill="1" applyBorder="1" applyAlignment="1">
      <alignment vertical="top" wrapText="1"/>
    </xf>
    <xf numFmtId="0" fontId="6" fillId="3" borderId="20" xfId="0" applyFont="1" applyFill="1" applyBorder="1" applyAlignment="1" applyProtection="1">
      <alignment horizontal="center" vertical="center" wrapText="1"/>
      <protection locked="0"/>
    </xf>
    <xf numFmtId="0" fontId="6" fillId="3" borderId="18" xfId="0" applyFont="1" applyFill="1" applyBorder="1" applyAlignment="1" applyProtection="1">
      <alignment horizontal="center" vertical="center" wrapText="1"/>
      <protection locked="0"/>
    </xf>
    <xf numFmtId="1" fontId="0" fillId="0" borderId="0" xfId="0" applyNumberFormat="1" applyFill="1" applyBorder="1"/>
    <xf numFmtId="2" fontId="0" fillId="0" borderId="0" xfId="0" applyNumberFormat="1" applyFill="1" applyBorder="1"/>
    <xf numFmtId="2" fontId="0" fillId="0" borderId="22" xfId="0" applyNumberFormat="1" applyFill="1" applyBorder="1"/>
    <xf numFmtId="1" fontId="0" fillId="0" borderId="24" xfId="0" applyNumberFormat="1" applyFill="1" applyBorder="1"/>
    <xf numFmtId="49" fontId="0" fillId="0" borderId="24" xfId="0" applyNumberFormat="1" applyFill="1" applyBorder="1"/>
    <xf numFmtId="2" fontId="0" fillId="0" borderId="24" xfId="0" applyNumberFormat="1" applyFill="1" applyBorder="1"/>
    <xf numFmtId="2" fontId="0" fillId="0" borderId="25" xfId="0" applyNumberFormat="1" applyFill="1" applyBorder="1"/>
    <xf numFmtId="0" fontId="6" fillId="3" borderId="20" xfId="0" applyNumberFormat="1" applyFont="1" applyFill="1" applyBorder="1" applyAlignment="1" applyProtection="1">
      <alignment horizontal="center" vertical="center" wrapText="1" shrinkToFit="1"/>
      <protection locked="0"/>
    </xf>
    <xf numFmtId="44" fontId="5" fillId="3" borderId="49" xfId="0" applyNumberFormat="1" applyFont="1" applyFill="1" applyBorder="1" applyAlignment="1" applyProtection="1">
      <alignment horizontal="right" vertical="top" wrapText="1"/>
      <protection locked="0"/>
    </xf>
    <xf numFmtId="44" fontId="5" fillId="3" borderId="55" xfId="0" applyNumberFormat="1" applyFont="1" applyFill="1" applyBorder="1" applyAlignment="1" applyProtection="1">
      <alignment horizontal="right" vertical="top" wrapText="1"/>
      <protection locked="0"/>
    </xf>
    <xf numFmtId="164" fontId="5" fillId="3" borderId="43" xfId="0" applyNumberFormat="1" applyFont="1" applyFill="1" applyBorder="1" applyAlignment="1" applyProtection="1">
      <alignment horizontal="left"/>
      <protection locked="0"/>
    </xf>
    <xf numFmtId="0" fontId="10" fillId="0" borderId="42" xfId="0" applyFont="1" applyBorder="1" applyAlignment="1">
      <alignment horizontal="center" wrapText="1"/>
    </xf>
    <xf numFmtId="0" fontId="0" fillId="4" borderId="31" xfId="0" applyFill="1" applyBorder="1" applyAlignment="1">
      <alignment vertical="top" wrapText="1"/>
    </xf>
    <xf numFmtId="164" fontId="0" fillId="4" borderId="24" xfId="0" applyNumberFormat="1" applyFill="1" applyBorder="1" applyAlignment="1">
      <alignment wrapText="1"/>
    </xf>
    <xf numFmtId="164" fontId="5" fillId="2" borderId="24" xfId="0" applyNumberFormat="1" applyFont="1" applyFill="1" applyBorder="1" applyAlignment="1" applyProtection="1">
      <alignment vertical="center" wrapText="1"/>
    </xf>
    <xf numFmtId="0" fontId="8" fillId="0" borderId="23" xfId="0" applyFont="1" applyBorder="1" applyAlignment="1">
      <alignment horizontal="right" vertical="center" wrapText="1"/>
    </xf>
    <xf numFmtId="0" fontId="8" fillId="0" borderId="24" xfId="0" applyFont="1" applyBorder="1" applyAlignment="1">
      <alignment horizontal="right" vertical="center" wrapText="1"/>
    </xf>
    <xf numFmtId="167" fontId="6" fillId="0" borderId="0" xfId="0" applyNumberFormat="1" applyFont="1" applyFill="1" applyBorder="1" applyAlignment="1" applyProtection="1">
      <alignment horizontal="center" wrapText="1"/>
      <protection locked="0"/>
    </xf>
    <xf numFmtId="164" fontId="5" fillId="0" borderId="24" xfId="0" applyNumberFormat="1" applyFont="1" applyFill="1" applyBorder="1" applyAlignment="1" applyProtection="1">
      <alignment vertical="center" wrapText="1"/>
    </xf>
    <xf numFmtId="0" fontId="5" fillId="0" borderId="2" xfId="0" applyFont="1" applyFill="1" applyBorder="1" applyAlignment="1">
      <alignment vertical="top" wrapText="1"/>
    </xf>
    <xf numFmtId="0" fontId="5" fillId="0" borderId="3" xfId="0" applyFont="1" applyFill="1" applyBorder="1" applyAlignment="1">
      <alignment vertical="top" wrapText="1"/>
    </xf>
    <xf numFmtId="167" fontId="6" fillId="0" borderId="36" xfId="0" applyNumberFormat="1" applyFont="1" applyFill="1" applyBorder="1" applyAlignment="1" applyProtection="1">
      <alignment horizontal="center" wrapText="1"/>
      <protection locked="0"/>
    </xf>
    <xf numFmtId="0" fontId="5" fillId="0" borderId="7" xfId="0" applyFont="1" applyFill="1" applyBorder="1" applyAlignment="1">
      <alignment vertical="top" wrapText="1"/>
    </xf>
    <xf numFmtId="164" fontId="5" fillId="0" borderId="7" xfId="0" applyNumberFormat="1" applyFont="1" applyFill="1" applyBorder="1" applyAlignment="1" applyProtection="1">
      <alignment vertical="center" wrapText="1"/>
    </xf>
    <xf numFmtId="0" fontId="0" fillId="5" borderId="31" xfId="0" applyFill="1" applyBorder="1" applyAlignment="1">
      <alignment vertical="top" wrapText="1"/>
    </xf>
    <xf numFmtId="49" fontId="0" fillId="5" borderId="24" xfId="0" applyNumberFormat="1" applyFill="1" applyBorder="1"/>
    <xf numFmtId="0" fontId="0" fillId="5" borderId="31" xfId="0" applyFill="1" applyBorder="1" applyAlignment="1">
      <alignment wrapText="1"/>
    </xf>
    <xf numFmtId="49" fontId="37" fillId="5" borderId="0" xfId="0" applyNumberFormat="1" applyFont="1" applyFill="1" applyBorder="1"/>
    <xf numFmtId="49" fontId="37" fillId="5" borderId="24" xfId="0" applyNumberFormat="1" applyFont="1" applyFill="1" applyBorder="1"/>
    <xf numFmtId="0" fontId="38" fillId="0" borderId="0" xfId="0" applyFont="1"/>
    <xf numFmtId="1" fontId="30" fillId="0" borderId="0" xfId="0" applyNumberFormat="1" applyFont="1"/>
    <xf numFmtId="0" fontId="30" fillId="0" borderId="0" xfId="0" applyFont="1"/>
    <xf numFmtId="0" fontId="39" fillId="0" borderId="7" xfId="0" applyFont="1" applyFill="1" applyBorder="1" applyAlignment="1" applyProtection="1">
      <alignment horizontal="left" wrapText="1" indent="1"/>
      <protection hidden="1"/>
    </xf>
    <xf numFmtId="0" fontId="35" fillId="0" borderId="7" xfId="0" applyFont="1" applyFill="1" applyBorder="1" applyAlignment="1">
      <alignment horizontal="left" wrapText="1" indent="3"/>
    </xf>
    <xf numFmtId="0" fontId="8" fillId="0" borderId="21" xfId="0" applyFont="1" applyBorder="1" applyAlignment="1">
      <alignment horizontal="right" vertical="center" wrapText="1"/>
    </xf>
    <xf numFmtId="0" fontId="12" fillId="0" borderId="42" xfId="0" applyFont="1" applyFill="1" applyBorder="1" applyAlignment="1">
      <alignment horizontal="center" wrapText="1"/>
    </xf>
    <xf numFmtId="0" fontId="12" fillId="0" borderId="25" xfId="0" applyFont="1" applyFill="1" applyBorder="1" applyAlignment="1">
      <alignment horizontal="center" wrapText="1"/>
    </xf>
    <xf numFmtId="1" fontId="6" fillId="3" borderId="18" xfId="0" applyNumberFormat="1" applyFont="1" applyFill="1" applyBorder="1" applyAlignment="1" applyProtection="1">
      <alignment vertical="center" shrinkToFit="1"/>
      <protection locked="0"/>
    </xf>
    <xf numFmtId="0" fontId="12" fillId="0" borderId="43" xfId="0" applyFont="1" applyFill="1" applyBorder="1" applyAlignment="1">
      <alignment horizontal="center" wrapText="1"/>
    </xf>
    <xf numFmtId="1" fontId="6" fillId="3" borderId="43" xfId="0" applyNumberFormat="1" applyFont="1" applyFill="1" applyBorder="1" applyAlignment="1" applyProtection="1">
      <alignment vertical="center" shrinkToFit="1"/>
      <protection locked="0"/>
    </xf>
    <xf numFmtId="0" fontId="37" fillId="0" borderId="0" xfId="0" applyFont="1"/>
    <xf numFmtId="0" fontId="34" fillId="0" borderId="0" xfId="0" applyFont="1" applyProtection="1">
      <protection hidden="1"/>
    </xf>
    <xf numFmtId="0" fontId="0" fillId="0" borderId="19" xfId="0" applyBorder="1" applyAlignment="1">
      <alignment wrapText="1"/>
    </xf>
    <xf numFmtId="0" fontId="0" fillId="0" borderId="31" xfId="0" applyBorder="1" applyAlignment="1">
      <alignment wrapText="1"/>
    </xf>
    <xf numFmtId="164" fontId="0" fillId="0" borderId="0" xfId="0" applyNumberFormat="1" applyBorder="1"/>
    <xf numFmtId="0" fontId="0" fillId="0" borderId="20" xfId="0" applyBorder="1" applyAlignment="1">
      <alignment wrapText="1"/>
    </xf>
    <xf numFmtId="164" fontId="0" fillId="0" borderId="24" xfId="0" applyNumberFormat="1" applyBorder="1"/>
    <xf numFmtId="49" fontId="0" fillId="0" borderId="21" xfId="0" applyNumberFormat="1" applyBorder="1"/>
    <xf numFmtId="49" fontId="0" fillId="0" borderId="23" xfId="0" applyNumberFormat="1" applyBorder="1"/>
    <xf numFmtId="49" fontId="0" fillId="0" borderId="25" xfId="0" applyNumberFormat="1" applyBorder="1"/>
    <xf numFmtId="49" fontId="0" fillId="0" borderId="24" xfId="0" applyNumberFormat="1" applyBorder="1"/>
    <xf numFmtId="49" fontId="0" fillId="0" borderId="22" xfId="0" applyNumberFormat="1" applyBorder="1"/>
    <xf numFmtId="49" fontId="0" fillId="0" borderId="0" xfId="0" applyNumberFormat="1" applyBorder="1"/>
    <xf numFmtId="164" fontId="6" fillId="3" borderId="43" xfId="0" applyNumberFormat="1" applyFont="1" applyFill="1" applyBorder="1" applyAlignment="1" applyProtection="1">
      <alignment horizontal="center" wrapText="1"/>
      <protection locked="0"/>
    </xf>
    <xf numFmtId="0" fontId="40" fillId="0" borderId="0" xfId="0" applyFont="1" applyAlignment="1">
      <alignment horizontal="left"/>
    </xf>
    <xf numFmtId="0" fontId="12" fillId="0" borderId="6"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0" xfId="0" applyFont="1" applyFill="1" applyBorder="1" applyAlignment="1">
      <alignment horizontal="center" wrapText="1"/>
    </xf>
    <xf numFmtId="0" fontId="12" fillId="0" borderId="13" xfId="0" applyFont="1" applyFill="1" applyBorder="1" applyAlignment="1">
      <alignment horizontal="center" vertical="center" wrapText="1"/>
    </xf>
    <xf numFmtId="49" fontId="8" fillId="3" borderId="22" xfId="0" applyNumberFormat="1" applyFont="1" applyFill="1" applyBorder="1" applyAlignment="1" applyProtection="1">
      <alignment vertical="center" wrapText="1"/>
      <protection locked="0"/>
    </xf>
    <xf numFmtId="49" fontId="8" fillId="3" borderId="25" xfId="0" applyNumberFormat="1" applyFont="1" applyFill="1" applyBorder="1" applyAlignment="1" applyProtection="1">
      <alignment vertical="center" wrapText="1"/>
      <protection locked="0"/>
    </xf>
    <xf numFmtId="0" fontId="6" fillId="0" borderId="7" xfId="0" applyFont="1" applyBorder="1" applyAlignment="1">
      <alignment horizontal="right" vertical="center" wrapText="1"/>
    </xf>
    <xf numFmtId="164" fontId="8" fillId="0" borderId="8" xfId="0" applyNumberFormat="1" applyFont="1" applyFill="1" applyBorder="1" applyAlignment="1" applyProtection="1">
      <alignment vertical="center" wrapText="1"/>
    </xf>
    <xf numFmtId="0" fontId="6" fillId="0" borderId="35" xfId="0" applyFont="1" applyBorder="1" applyAlignment="1">
      <alignment horizontal="right" vertical="center" wrapText="1"/>
    </xf>
    <xf numFmtId="164" fontId="8" fillId="0" borderId="36" xfId="0" applyNumberFormat="1" applyFont="1" applyFill="1" applyBorder="1" applyAlignment="1" applyProtection="1">
      <alignment vertical="center" wrapText="1"/>
    </xf>
    <xf numFmtId="0" fontId="8" fillId="0" borderId="0" xfId="0" applyFont="1" applyAlignment="1" applyProtection="1">
      <alignment horizontal="center" vertical="center"/>
    </xf>
    <xf numFmtId="1" fontId="0" fillId="0" borderId="25" xfId="0" applyNumberFormat="1" applyBorder="1"/>
    <xf numFmtId="0" fontId="5" fillId="0" borderId="0" xfId="0" applyFont="1" applyFill="1" applyBorder="1" applyAlignment="1" applyProtection="1">
      <alignment vertical="center" wrapText="1"/>
    </xf>
    <xf numFmtId="0" fontId="5" fillId="0" borderId="0" xfId="0" applyFont="1" applyBorder="1" applyProtection="1"/>
    <xf numFmtId="0" fontId="10" fillId="0" borderId="43" xfId="0" applyFont="1" applyBorder="1" applyAlignment="1" applyProtection="1">
      <alignment horizontal="center" vertical="center"/>
    </xf>
    <xf numFmtId="0" fontId="5" fillId="0" borderId="0" xfId="0" applyFont="1" applyBorder="1" applyAlignment="1" applyProtection="1">
      <alignment horizontal="left"/>
    </xf>
    <xf numFmtId="0" fontId="10" fillId="0" borderId="69" xfId="0" applyFont="1" applyBorder="1" applyAlignment="1" applyProtection="1">
      <alignment horizontal="center" vertical="center"/>
    </xf>
    <xf numFmtId="0" fontId="10" fillId="0" borderId="70" xfId="0" applyFont="1" applyBorder="1" applyAlignment="1" applyProtection="1">
      <alignment horizontal="center" vertical="center"/>
    </xf>
    <xf numFmtId="0" fontId="10" fillId="0" borderId="72" xfId="0" applyFont="1" applyBorder="1" applyAlignment="1" applyProtection="1">
      <alignment horizontal="center" vertical="center"/>
    </xf>
    <xf numFmtId="0" fontId="10" fillId="0" borderId="73" xfId="0" applyFont="1" applyBorder="1" applyAlignment="1" applyProtection="1">
      <alignment horizontal="center" vertical="center"/>
    </xf>
    <xf numFmtId="49" fontId="5" fillId="3" borderId="43" xfId="0" applyNumberFormat="1" applyFont="1" applyFill="1" applyBorder="1" applyAlignment="1" applyProtection="1">
      <alignment horizontal="left"/>
      <protection locked="0"/>
    </xf>
    <xf numFmtId="0" fontId="5" fillId="0" borderId="43" xfId="0" applyFont="1" applyFill="1" applyBorder="1" applyAlignment="1" applyProtection="1">
      <alignment horizontal="center" vertical="center"/>
    </xf>
    <xf numFmtId="0" fontId="6" fillId="0" borderId="0" xfId="0" applyFont="1" applyAlignment="1">
      <alignment horizontal="center" vertical="center"/>
    </xf>
    <xf numFmtId="0" fontId="8" fillId="0" borderId="43" xfId="0" applyFont="1" applyFill="1" applyBorder="1" applyAlignment="1">
      <alignment horizontal="right" vertical="center" wrapText="1"/>
    </xf>
    <xf numFmtId="0" fontId="8" fillId="3" borderId="43" xfId="0" applyFont="1" applyFill="1" applyBorder="1" applyAlignment="1" applyProtection="1">
      <protection locked="0"/>
    </xf>
    <xf numFmtId="164" fontId="8" fillId="2" borderId="43" xfId="0" applyNumberFormat="1" applyFont="1" applyFill="1" applyBorder="1" applyAlignment="1" applyProtection="1">
      <alignment vertical="center" wrapText="1"/>
    </xf>
    <xf numFmtId="0" fontId="8" fillId="2" borderId="43" xfId="0" applyFont="1" applyFill="1" applyBorder="1" applyAlignment="1">
      <alignment vertical="center"/>
    </xf>
    <xf numFmtId="0" fontId="6" fillId="0" borderId="45" xfId="0" applyFont="1" applyFill="1" applyBorder="1" applyAlignment="1">
      <alignment horizontal="right" vertical="center" wrapText="1"/>
    </xf>
    <xf numFmtId="164" fontId="8" fillId="2" borderId="49" xfId="0" applyNumberFormat="1" applyFont="1" applyFill="1" applyBorder="1" applyAlignment="1" applyProtection="1">
      <alignment vertical="center" wrapText="1"/>
    </xf>
    <xf numFmtId="164" fontId="6" fillId="2" borderId="49" xfId="0" applyNumberFormat="1" applyFont="1" applyFill="1" applyBorder="1" applyAlignment="1" applyProtection="1">
      <alignment horizontal="right" vertical="center" wrapText="1"/>
    </xf>
    <xf numFmtId="0" fontId="8" fillId="0" borderId="45" xfId="0" applyFont="1" applyFill="1" applyBorder="1" applyAlignment="1">
      <alignment horizontal="right" vertical="center" wrapText="1"/>
    </xf>
    <xf numFmtId="0" fontId="6" fillId="0" borderId="45" xfId="0" applyFont="1" applyFill="1" applyBorder="1" applyAlignment="1" applyProtection="1">
      <alignment horizontal="center" vertical="center" wrapText="1"/>
    </xf>
    <xf numFmtId="0" fontId="8" fillId="0" borderId="43" xfId="0" applyFont="1" applyFill="1" applyBorder="1" applyAlignment="1" applyProtection="1">
      <alignment horizontal="center" vertical="center" wrapText="1"/>
    </xf>
    <xf numFmtId="0" fontId="8" fillId="0" borderId="43" xfId="0" applyFont="1" applyFill="1" applyBorder="1" applyAlignment="1" applyProtection="1"/>
    <xf numFmtId="0" fontId="6" fillId="0" borderId="43" xfId="0" applyFont="1" applyFill="1" applyBorder="1" applyAlignment="1" applyProtection="1">
      <alignment horizontal="right" vertical="center" wrapText="1"/>
    </xf>
    <xf numFmtId="0" fontId="8" fillId="0" borderId="43" xfId="0" applyFont="1" applyFill="1" applyBorder="1" applyAlignment="1" applyProtection="1">
      <alignment horizontal="right" vertical="center" wrapText="1"/>
    </xf>
    <xf numFmtId="168" fontId="6" fillId="0" borderId="0" xfId="0" applyNumberFormat="1" applyFont="1" applyAlignment="1">
      <alignment horizontal="center" vertical="center"/>
    </xf>
    <xf numFmtId="0" fontId="5" fillId="0" borderId="43" xfId="0" applyFont="1" applyBorder="1" applyAlignment="1">
      <alignment horizontal="left" wrapText="1"/>
    </xf>
    <xf numFmtId="0" fontId="0" fillId="0" borderId="0" xfId="0" applyFont="1" applyAlignment="1">
      <alignment vertical="center"/>
    </xf>
    <xf numFmtId="0" fontId="0" fillId="0" borderId="0" xfId="0" applyAlignment="1">
      <alignment vertical="center"/>
    </xf>
    <xf numFmtId="0" fontId="8" fillId="0" borderId="0" xfId="0" applyFont="1" applyBorder="1" applyAlignment="1">
      <alignment vertical="center" wrapText="1"/>
    </xf>
    <xf numFmtId="0" fontId="10" fillId="0" borderId="61" xfId="0" applyFont="1" applyBorder="1" applyAlignment="1">
      <alignment horizontal="center" wrapText="1"/>
    </xf>
    <xf numFmtId="0" fontId="10" fillId="0" borderId="65" xfId="0" applyFont="1" applyBorder="1" applyAlignment="1">
      <alignment horizontal="center" wrapText="1"/>
    </xf>
    <xf numFmtId="0" fontId="38" fillId="0" borderId="0" xfId="0" applyFont="1" applyAlignment="1" applyProtection="1">
      <alignment horizontal="left"/>
      <protection hidden="1"/>
    </xf>
    <xf numFmtId="0" fontId="38" fillId="0" borderId="0" xfId="0" applyFont="1" applyAlignment="1">
      <alignment horizontal="left"/>
    </xf>
    <xf numFmtId="0" fontId="30" fillId="0" borderId="0" xfId="0" applyFont="1" applyProtection="1">
      <protection hidden="1"/>
    </xf>
    <xf numFmtId="0" fontId="0" fillId="0" borderId="0" xfId="0"/>
    <xf numFmtId="0" fontId="10" fillId="0" borderId="15" xfId="0" applyFont="1" applyFill="1" applyBorder="1" applyAlignment="1" applyProtection="1">
      <alignment horizontal="center" vertical="center" wrapText="1"/>
    </xf>
    <xf numFmtId="0" fontId="10" fillId="0" borderId="14" xfId="0" applyFont="1" applyFill="1" applyBorder="1" applyAlignment="1" applyProtection="1">
      <alignment horizontal="center" vertical="center" wrapText="1"/>
    </xf>
    <xf numFmtId="0" fontId="0" fillId="0" borderId="0" xfId="0" applyAlignment="1">
      <alignment horizontal="left" vertical="center"/>
    </xf>
    <xf numFmtId="0" fontId="42" fillId="0" borderId="0" xfId="0" applyFont="1" applyAlignment="1">
      <alignment horizontal="left" vertical="top"/>
    </xf>
    <xf numFmtId="0" fontId="0" fillId="0" borderId="0" xfId="0"/>
    <xf numFmtId="0" fontId="10" fillId="0" borderId="40" xfId="0" applyFont="1" applyBorder="1" applyAlignment="1">
      <alignment horizontal="left" vertical="center" wrapText="1"/>
    </xf>
    <xf numFmtId="164" fontId="6" fillId="0" borderId="43" xfId="0" applyNumberFormat="1" applyFont="1" applyBorder="1" applyAlignment="1">
      <alignment horizontal="left" vertical="center" wrapText="1"/>
    </xf>
    <xf numFmtId="0" fontId="10" fillId="0" borderId="15" xfId="0" applyFont="1" applyBorder="1" applyAlignment="1">
      <alignment horizontal="center" vertical="center" wrapText="1"/>
    </xf>
    <xf numFmtId="0" fontId="10" fillId="0" borderId="14" xfId="0" applyFont="1" applyBorder="1" applyAlignment="1">
      <alignment horizontal="center" vertical="center" wrapText="1"/>
    </xf>
    <xf numFmtId="0" fontId="5" fillId="3" borderId="43" xfId="0" applyFont="1" applyFill="1" applyBorder="1" applyAlignment="1" applyProtection="1">
      <alignment horizontal="center" vertical="center" wrapText="1"/>
      <protection locked="0"/>
    </xf>
    <xf numFmtId="0" fontId="5" fillId="0" borderId="7"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wrapText="1"/>
    </xf>
    <xf numFmtId="0" fontId="5" fillId="0" borderId="27" xfId="0" applyFont="1" applyBorder="1" applyAlignment="1">
      <alignment horizontal="left" vertical="top" wrapText="1" indent="1"/>
    </xf>
    <xf numFmtId="0" fontId="0" fillId="0" borderId="0" xfId="0"/>
    <xf numFmtId="0" fontId="5" fillId="3" borderId="43" xfId="0" applyFont="1" applyFill="1" applyBorder="1" applyAlignment="1" applyProtection="1">
      <alignment horizontal="center" vertical="center" wrapText="1"/>
      <protection locked="0"/>
    </xf>
    <xf numFmtId="0" fontId="5" fillId="3" borderId="49" xfId="0" applyFont="1" applyFill="1" applyBorder="1" applyAlignment="1" applyProtection="1">
      <alignment horizontal="center" vertical="center" wrapText="1"/>
      <protection locked="0"/>
    </xf>
    <xf numFmtId="0" fontId="10" fillId="0" borderId="65" xfId="0" applyFont="1" applyBorder="1" applyAlignment="1">
      <alignment horizontal="center" wrapText="1"/>
    </xf>
    <xf numFmtId="0" fontId="5" fillId="0" borderId="43" xfId="0" applyFont="1" applyBorder="1" applyAlignment="1">
      <alignment horizontal="left" wrapText="1"/>
    </xf>
    <xf numFmtId="14" fontId="5" fillId="3" borderId="43" xfId="0" applyNumberFormat="1" applyFont="1" applyFill="1" applyBorder="1" applyAlignment="1" applyProtection="1">
      <alignment horizontal="center" wrapText="1"/>
      <protection locked="0"/>
    </xf>
    <xf numFmtId="14" fontId="5" fillId="3" borderId="54" xfId="0" applyNumberFormat="1" applyFont="1" applyFill="1" applyBorder="1" applyAlignment="1" applyProtection="1">
      <alignment horizontal="center" wrapText="1"/>
      <protection locked="0"/>
    </xf>
    <xf numFmtId="0" fontId="10" fillId="0" borderId="40" xfId="0" applyFont="1" applyBorder="1" applyAlignment="1">
      <alignment horizontal="left" vertical="top" wrapText="1"/>
    </xf>
    <xf numFmtId="0" fontId="31" fillId="0" borderId="42" xfId="0" applyFont="1" applyFill="1" applyBorder="1" applyAlignment="1">
      <alignment horizontal="left" vertical="top" wrapText="1"/>
    </xf>
    <xf numFmtId="0" fontId="10" fillId="0" borderId="47" xfId="0" applyFont="1" applyFill="1" applyBorder="1" applyAlignment="1">
      <alignment horizontal="left" vertical="top" wrapText="1"/>
    </xf>
    <xf numFmtId="0" fontId="10" fillId="0" borderId="48" xfId="0" applyFont="1" applyFill="1" applyBorder="1" applyAlignment="1">
      <alignment vertical="top" wrapText="1"/>
    </xf>
    <xf numFmtId="0" fontId="0" fillId="0" borderId="0" xfId="0"/>
    <xf numFmtId="0" fontId="8" fillId="0" borderId="49" xfId="0" applyFont="1" applyBorder="1"/>
    <xf numFmtId="0" fontId="0" fillId="2" borderId="49" xfId="0" applyFont="1" applyFill="1" applyBorder="1" applyProtection="1"/>
    <xf numFmtId="44" fontId="33" fillId="2" borderId="49" xfId="11" applyFont="1" applyFill="1" applyBorder="1" applyProtection="1"/>
    <xf numFmtId="0" fontId="0" fillId="0" borderId="0" xfId="0"/>
    <xf numFmtId="0" fontId="5" fillId="6" borderId="14" xfId="0" applyFont="1" applyFill="1" applyBorder="1" applyAlignment="1" applyProtection="1">
      <alignment horizontal="center" vertical="center" wrapText="1"/>
      <protection locked="0"/>
    </xf>
    <xf numFmtId="0" fontId="10" fillId="0" borderId="65" xfId="0" applyFont="1" applyBorder="1" applyAlignment="1">
      <alignment horizontal="center" wrapText="1"/>
    </xf>
    <xf numFmtId="0" fontId="0" fillId="0" borderId="0" xfId="0"/>
    <xf numFmtId="0" fontId="35" fillId="0" borderId="0" xfId="0" applyFont="1" applyFill="1" applyBorder="1" applyAlignment="1">
      <alignment wrapText="1"/>
    </xf>
    <xf numFmtId="0" fontId="0" fillId="0" borderId="0" xfId="0"/>
    <xf numFmtId="0" fontId="5" fillId="0" borderId="16" xfId="0" applyFont="1" applyBorder="1" applyAlignment="1" applyProtection="1">
      <alignment horizontal="left" wrapText="1"/>
    </xf>
    <xf numFmtId="0" fontId="5" fillId="3" borderId="16" xfId="0" applyFont="1" applyFill="1" applyBorder="1" applyAlignment="1" applyProtection="1">
      <alignment horizontal="center" wrapText="1"/>
      <protection locked="0"/>
    </xf>
    <xf numFmtId="0" fontId="10" fillId="0" borderId="7" xfId="0" applyFont="1" applyFill="1" applyBorder="1" applyAlignment="1" applyProtection="1">
      <alignment horizontal="center" wrapText="1"/>
    </xf>
    <xf numFmtId="0" fontId="5" fillId="0" borderId="7" xfId="0" applyFont="1" applyFill="1" applyBorder="1" applyAlignment="1" applyProtection="1">
      <alignment horizontal="left" wrapText="1"/>
    </xf>
    <xf numFmtId="0" fontId="5" fillId="0" borderId="7" xfId="0" applyFont="1" applyFill="1" applyBorder="1" applyAlignment="1" applyProtection="1">
      <alignment horizontal="center" wrapText="1"/>
    </xf>
    <xf numFmtId="0" fontId="8" fillId="0" borderId="7" xfId="0" applyFont="1" applyFill="1" applyBorder="1" applyAlignment="1" applyProtection="1">
      <alignment horizontal="left" vertical="top" wrapText="1"/>
    </xf>
    <xf numFmtId="0" fontId="45" fillId="0" borderId="0" xfId="0" applyFont="1" applyAlignment="1">
      <alignment horizontal="left" vertical="top"/>
    </xf>
    <xf numFmtId="0" fontId="46" fillId="0" borderId="0" xfId="0" applyFont="1" applyFill="1" applyBorder="1" applyAlignment="1">
      <alignment wrapText="1"/>
    </xf>
    <xf numFmtId="0" fontId="34" fillId="0" borderId="0" xfId="0" applyFont="1"/>
    <xf numFmtId="0" fontId="6" fillId="3" borderId="45" xfId="0" applyFont="1" applyFill="1" applyBorder="1" applyAlignment="1" applyProtection="1">
      <alignment horizontal="left" vertical="center" wrapText="1"/>
      <protection locked="0"/>
    </xf>
    <xf numFmtId="49" fontId="6" fillId="3" borderId="17" xfId="0" applyNumberFormat="1" applyFont="1" applyFill="1" applyBorder="1" applyAlignment="1" applyProtection="1">
      <alignment horizontal="left" vertical="center" wrapText="1"/>
      <protection locked="0"/>
    </xf>
    <xf numFmtId="0" fontId="27" fillId="0" borderId="7" xfId="0" applyFont="1" applyFill="1" applyBorder="1" applyAlignment="1" applyProtection="1">
      <alignment horizontal="left" wrapText="1"/>
    </xf>
    <xf numFmtId="0" fontId="27" fillId="0" borderId="7" xfId="0" applyFont="1" applyFill="1" applyBorder="1" applyAlignment="1" applyProtection="1">
      <alignment horizontal="center" wrapText="1"/>
    </xf>
    <xf numFmtId="0" fontId="27" fillId="0" borderId="8" xfId="0" applyFont="1" applyFill="1" applyBorder="1" applyAlignment="1" applyProtection="1">
      <alignment horizontal="center" vertical="center" wrapText="1"/>
    </xf>
    <xf numFmtId="164" fontId="48" fillId="3" borderId="49" xfId="0" applyNumberFormat="1" applyFont="1" applyFill="1" applyBorder="1" applyAlignment="1" applyProtection="1">
      <alignment horizontal="center" wrapText="1"/>
      <protection locked="0"/>
    </xf>
    <xf numFmtId="0" fontId="49" fillId="0" borderId="0" xfId="0" applyFont="1"/>
    <xf numFmtId="0" fontId="34" fillId="0" borderId="0" xfId="0" applyFont="1" applyAlignment="1">
      <alignment vertical="center"/>
    </xf>
    <xf numFmtId="0" fontId="47" fillId="0" borderId="0" xfId="0" applyFont="1" applyAlignment="1">
      <alignment horizontal="left"/>
    </xf>
    <xf numFmtId="0" fontId="49" fillId="0" borderId="0" xfId="0" applyFont="1" applyAlignment="1" applyProtection="1">
      <alignment horizontal="left"/>
      <protection hidden="1"/>
    </xf>
    <xf numFmtId="0" fontId="47" fillId="0" borderId="0" xfId="0" applyFont="1" applyAlignment="1">
      <alignment vertical="top"/>
    </xf>
    <xf numFmtId="0" fontId="34" fillId="0" borderId="0" xfId="0" applyFont="1" applyAlignment="1">
      <alignment wrapText="1"/>
    </xf>
    <xf numFmtId="0" fontId="50" fillId="0" borderId="0" xfId="0" applyFont="1" applyAlignment="1">
      <alignment vertical="top"/>
    </xf>
    <xf numFmtId="0" fontId="45" fillId="0" borderId="0" xfId="0" applyFont="1"/>
    <xf numFmtId="0" fontId="34" fillId="0" borderId="0" xfId="0" applyFont="1" applyProtection="1"/>
    <xf numFmtId="0" fontId="27" fillId="0" borderId="7" xfId="0" applyFont="1" applyFill="1" applyBorder="1" applyAlignment="1" applyProtection="1">
      <alignment horizontal="center" vertical="center" wrapText="1"/>
    </xf>
    <xf numFmtId="164" fontId="48" fillId="3" borderId="45" xfId="0" applyNumberFormat="1" applyFont="1" applyFill="1" applyBorder="1" applyAlignment="1" applyProtection="1">
      <alignment horizontal="center" wrapText="1"/>
      <protection locked="0"/>
    </xf>
    <xf numFmtId="0" fontId="27" fillId="0" borderId="7" xfId="0" applyFont="1" applyFill="1" applyBorder="1" applyAlignment="1" applyProtection="1">
      <alignment horizontal="center" vertical="center" wrapText="1"/>
    </xf>
    <xf numFmtId="0" fontId="27" fillId="0" borderId="8" xfId="0" applyFont="1" applyFill="1" applyBorder="1" applyAlignment="1" applyProtection="1">
      <alignment horizontal="center" vertical="center" wrapText="1"/>
    </xf>
    <xf numFmtId="0" fontId="5" fillId="3" borderId="43" xfId="0" applyFont="1" applyFill="1" applyBorder="1" applyAlignment="1" applyProtection="1">
      <alignment horizontal="center" wrapText="1"/>
      <protection locked="0"/>
    </xf>
    <xf numFmtId="0" fontId="5" fillId="3" borderId="44" xfId="0" applyFont="1" applyFill="1" applyBorder="1" applyAlignment="1" applyProtection="1">
      <alignment horizontal="center" wrapText="1"/>
      <protection locked="0"/>
    </xf>
    <xf numFmtId="164" fontId="5" fillId="3" borderId="43" xfId="0" applyNumberFormat="1" applyFont="1" applyFill="1" applyBorder="1" applyAlignment="1" applyProtection="1">
      <alignment horizontal="center" wrapText="1"/>
      <protection locked="0"/>
    </xf>
    <xf numFmtId="0" fontId="12" fillId="0" borderId="65" xfId="0" applyFont="1" applyFill="1" applyBorder="1" applyAlignment="1">
      <alignment horizontal="center" wrapText="1"/>
    </xf>
    <xf numFmtId="49" fontId="6" fillId="3" borderId="16" xfId="0" applyNumberFormat="1" applyFont="1" applyFill="1" applyBorder="1" applyAlignment="1" applyProtection="1">
      <alignment horizontal="center" vertical="center" shrinkToFit="1"/>
      <protection locked="0"/>
    </xf>
    <xf numFmtId="0" fontId="6" fillId="6" borderId="49" xfId="0" applyNumberFormat="1" applyFont="1" applyFill="1" applyBorder="1" applyAlignment="1" applyProtection="1">
      <alignment horizontal="center" vertical="center" shrinkToFit="1"/>
      <protection locked="0"/>
    </xf>
    <xf numFmtId="0" fontId="6" fillId="0" borderId="1" xfId="0" applyFont="1" applyBorder="1" applyAlignment="1">
      <alignment horizontal="left" vertical="top" wrapText="1"/>
    </xf>
    <xf numFmtId="0" fontId="6" fillId="0" borderId="4" xfId="0" applyFont="1" applyBorder="1" applyAlignment="1">
      <alignment horizontal="left" vertical="top" wrapText="1"/>
    </xf>
    <xf numFmtId="0" fontId="6" fillId="3" borderId="2" xfId="0" applyFont="1" applyFill="1" applyBorder="1" applyAlignment="1" applyProtection="1">
      <alignment horizontal="left" vertical="top" wrapText="1"/>
      <protection locked="0"/>
    </xf>
    <xf numFmtId="0" fontId="6" fillId="3" borderId="3" xfId="0" applyFont="1" applyFill="1" applyBorder="1" applyAlignment="1" applyProtection="1">
      <alignment horizontal="left" vertical="top" wrapText="1"/>
      <protection locked="0"/>
    </xf>
    <xf numFmtId="0" fontId="6" fillId="3" borderId="5" xfId="0" applyFont="1" applyFill="1" applyBorder="1" applyAlignment="1" applyProtection="1">
      <alignment horizontal="left" vertical="top" wrapText="1"/>
      <protection locked="0"/>
    </xf>
    <xf numFmtId="0" fontId="6" fillId="3" borderId="6" xfId="0" applyFont="1" applyFill="1" applyBorder="1" applyAlignment="1" applyProtection="1">
      <alignment horizontal="left" vertical="top" wrapText="1"/>
      <protection locked="0"/>
    </xf>
    <xf numFmtId="0" fontId="10" fillId="0" borderId="9" xfId="0" applyFont="1" applyFill="1" applyBorder="1" applyAlignment="1">
      <alignment horizontal="center" vertical="center" wrapText="1"/>
    </xf>
    <xf numFmtId="0" fontId="10" fillId="0" borderId="11" xfId="0" applyFont="1" applyFill="1" applyBorder="1" applyAlignment="1">
      <alignment horizontal="center" vertical="center" wrapText="1"/>
    </xf>
    <xf numFmtId="1" fontId="10" fillId="0" borderId="9" xfId="0" applyNumberFormat="1" applyFont="1" applyBorder="1" applyAlignment="1" applyProtection="1">
      <alignment horizontal="center" vertical="center" wrapText="1"/>
      <protection hidden="1"/>
    </xf>
    <xf numFmtId="1" fontId="10" fillId="0" borderId="11" xfId="0" applyNumberFormat="1" applyFont="1" applyBorder="1" applyAlignment="1" applyProtection="1">
      <alignment horizontal="center" vertical="center" wrapText="1"/>
      <protection hidden="1"/>
    </xf>
    <xf numFmtId="0" fontId="10" fillId="0" borderId="1" xfId="0" applyFont="1" applyFill="1" applyBorder="1" applyAlignment="1">
      <alignment horizontal="left" vertical="top" wrapText="1"/>
    </xf>
    <xf numFmtId="0" fontId="10" fillId="0" borderId="2" xfId="0" applyFont="1" applyFill="1" applyBorder="1" applyAlignment="1">
      <alignment horizontal="left" vertical="top" wrapText="1"/>
    </xf>
    <xf numFmtId="0" fontId="10" fillId="0" borderId="3" xfId="0" applyFont="1" applyFill="1" applyBorder="1" applyAlignment="1">
      <alignment horizontal="left" vertical="top" wrapText="1"/>
    </xf>
    <xf numFmtId="0" fontId="10" fillId="0" borderId="7" xfId="0" applyFont="1" applyFill="1" applyBorder="1" applyAlignment="1">
      <alignment horizontal="left" vertical="top" wrapText="1"/>
    </xf>
    <xf numFmtId="0" fontId="10" fillId="0" borderId="0" xfId="0" applyFont="1" applyFill="1" applyBorder="1" applyAlignment="1">
      <alignment horizontal="left" vertical="top" wrapText="1"/>
    </xf>
    <xf numFmtId="0" fontId="10" fillId="0" borderId="8" xfId="0" applyFont="1" applyFill="1" applyBorder="1" applyAlignment="1">
      <alignment horizontal="left" vertical="top" wrapText="1"/>
    </xf>
    <xf numFmtId="0" fontId="6" fillId="0" borderId="7" xfId="0" applyFont="1" applyBorder="1" applyAlignment="1">
      <alignment horizontal="left" wrapText="1"/>
    </xf>
    <xf numFmtId="0" fontId="6" fillId="0" borderId="0" xfId="0" applyFont="1" applyBorder="1" applyAlignment="1">
      <alignment horizontal="left" wrapText="1"/>
    </xf>
    <xf numFmtId="0" fontId="6" fillId="0" borderId="8" xfId="0" applyFont="1" applyBorder="1" applyAlignment="1">
      <alignment horizontal="left" wrapText="1"/>
    </xf>
    <xf numFmtId="0" fontId="9" fillId="0" borderId="9" xfId="0" applyFont="1" applyBorder="1" applyAlignment="1">
      <alignment horizontal="right" vertical="top" wrapText="1" indent="1"/>
    </xf>
    <xf numFmtId="0" fontId="9" fillId="0" borderId="10" xfId="0" applyFont="1" applyBorder="1" applyAlignment="1">
      <alignment horizontal="right" vertical="top" wrapText="1" indent="1"/>
    </xf>
    <xf numFmtId="0" fontId="9" fillId="0" borderId="11" xfId="0" applyFont="1" applyBorder="1" applyAlignment="1">
      <alignment horizontal="right" vertical="top" wrapText="1" indent="1"/>
    </xf>
    <xf numFmtId="49" fontId="6" fillId="3" borderId="10" xfId="0" applyNumberFormat="1" applyFont="1" applyFill="1" applyBorder="1" applyAlignment="1" applyProtection="1">
      <alignment horizontal="left" vertical="top" wrapText="1"/>
      <protection locked="0"/>
    </xf>
    <xf numFmtId="49" fontId="6" fillId="3" borderId="11" xfId="0" applyNumberFormat="1" applyFont="1" applyFill="1" applyBorder="1" applyAlignment="1" applyProtection="1">
      <alignment horizontal="left" vertical="top" wrapText="1"/>
      <protection locked="0"/>
    </xf>
    <xf numFmtId="0" fontId="9" fillId="0" borderId="1" xfId="0" applyFont="1" applyFill="1" applyBorder="1" applyAlignment="1">
      <alignment horizontal="left" vertical="center" wrapText="1"/>
    </xf>
    <xf numFmtId="0" fontId="9" fillId="0" borderId="2" xfId="0" applyFont="1" applyFill="1" applyBorder="1" applyAlignment="1">
      <alignment horizontal="left" vertical="center" wrapText="1"/>
    </xf>
    <xf numFmtId="0" fontId="9" fillId="0" borderId="3" xfId="0" applyFont="1" applyFill="1" applyBorder="1" applyAlignment="1">
      <alignment horizontal="left" vertical="center" wrapText="1"/>
    </xf>
    <xf numFmtId="0" fontId="6" fillId="0" borderId="4" xfId="0" applyFont="1" applyBorder="1" applyAlignment="1">
      <alignment horizontal="left" wrapText="1"/>
    </xf>
    <xf numFmtId="0" fontId="6" fillId="0" borderId="5" xfId="0" applyFont="1" applyBorder="1" applyAlignment="1">
      <alignment horizontal="left" wrapText="1"/>
    </xf>
    <xf numFmtId="0" fontId="6" fillId="0" borderId="6" xfId="0" applyFont="1" applyBorder="1" applyAlignment="1">
      <alignment horizontal="left" wrapText="1"/>
    </xf>
    <xf numFmtId="0" fontId="14" fillId="0" borderId="4" xfId="0" applyFont="1" applyFill="1" applyBorder="1" applyAlignment="1">
      <alignment horizontal="left" vertical="top" wrapText="1"/>
    </xf>
    <xf numFmtId="0" fontId="14" fillId="0" borderId="5" xfId="0" applyFont="1" applyFill="1" applyBorder="1" applyAlignment="1">
      <alignment horizontal="left" vertical="top" wrapText="1"/>
    </xf>
    <xf numFmtId="0" fontId="14" fillId="0" borderId="6" xfId="0" applyFont="1" applyFill="1" applyBorder="1" applyAlignment="1">
      <alignment horizontal="left" vertical="top" wrapText="1"/>
    </xf>
    <xf numFmtId="0" fontId="8" fillId="0" borderId="1" xfId="0" applyFont="1" applyBorder="1" applyAlignment="1">
      <alignment horizontal="left" vertical="top" wrapText="1" indent="1"/>
    </xf>
    <xf numFmtId="0" fontId="8" fillId="0" borderId="2" xfId="0" applyFont="1" applyBorder="1" applyAlignment="1">
      <alignment horizontal="left" vertical="top" wrapText="1" indent="1"/>
    </xf>
    <xf numFmtId="0" fontId="8" fillId="0" borderId="3" xfId="0" applyFont="1" applyBorder="1" applyAlignment="1">
      <alignment horizontal="left" vertical="top" wrapText="1" indent="1"/>
    </xf>
    <xf numFmtId="49" fontId="8" fillId="3" borderId="7" xfId="0" applyNumberFormat="1" applyFont="1" applyFill="1" applyBorder="1" applyAlignment="1" applyProtection="1">
      <alignment horizontal="left" vertical="center" wrapText="1" indent="1"/>
      <protection locked="0"/>
    </xf>
    <xf numFmtId="49" fontId="8" fillId="3" borderId="0" xfId="0" applyNumberFormat="1" applyFont="1" applyFill="1" applyBorder="1" applyAlignment="1" applyProtection="1">
      <alignment horizontal="left" vertical="center" wrapText="1" indent="1"/>
      <protection locked="0"/>
    </xf>
    <xf numFmtId="49" fontId="8" fillId="3" borderId="8" xfId="0" applyNumberFormat="1" applyFont="1" applyFill="1" applyBorder="1" applyAlignment="1" applyProtection="1">
      <alignment horizontal="left" vertical="center" wrapText="1" indent="1"/>
      <protection locked="0"/>
    </xf>
    <xf numFmtId="49" fontId="8" fillId="3" borderId="7" xfId="0" applyNumberFormat="1" applyFont="1" applyFill="1" applyBorder="1" applyAlignment="1" applyProtection="1">
      <alignment horizontal="center" vertical="center" wrapText="1"/>
      <protection locked="0"/>
    </xf>
    <xf numFmtId="49" fontId="8" fillId="3" borderId="8" xfId="0" applyNumberFormat="1" applyFont="1" applyFill="1" applyBorder="1" applyAlignment="1" applyProtection="1">
      <alignment horizontal="center" vertical="center" wrapText="1"/>
      <protection locked="0"/>
    </xf>
    <xf numFmtId="49" fontId="8" fillId="3" borderId="0" xfId="0" applyNumberFormat="1" applyFont="1" applyFill="1" applyBorder="1" applyAlignment="1" applyProtection="1">
      <alignment horizontal="center" vertical="center" wrapText="1"/>
      <protection locked="0"/>
    </xf>
    <xf numFmtId="49" fontId="5" fillId="6" borderId="43" xfId="0" applyNumberFormat="1" applyFont="1" applyFill="1" applyBorder="1" applyAlignment="1" applyProtection="1">
      <alignment horizontal="left" vertical="top" wrapText="1"/>
      <protection locked="0"/>
    </xf>
    <xf numFmtId="49" fontId="5" fillId="6" borderId="16" xfId="0" applyNumberFormat="1" applyFont="1" applyFill="1" applyBorder="1" applyAlignment="1" applyProtection="1">
      <alignment horizontal="left" vertical="top" wrapText="1"/>
      <protection locked="0"/>
    </xf>
    <xf numFmtId="49" fontId="5" fillId="3" borderId="43" xfId="0" applyNumberFormat="1" applyFont="1" applyFill="1" applyBorder="1" applyAlignment="1" applyProtection="1">
      <alignment horizontal="left" vertical="top" wrapText="1"/>
      <protection locked="0"/>
    </xf>
    <xf numFmtId="49" fontId="5" fillId="3" borderId="16" xfId="0" applyNumberFormat="1" applyFont="1" applyFill="1" applyBorder="1" applyAlignment="1" applyProtection="1">
      <alignment horizontal="left" vertical="top" wrapText="1"/>
      <protection locked="0"/>
    </xf>
    <xf numFmtId="49" fontId="5" fillId="3" borderId="49" xfId="0" applyNumberFormat="1" applyFont="1" applyFill="1" applyBorder="1" applyAlignment="1" applyProtection="1">
      <alignment horizontal="left" vertical="top" wrapText="1"/>
      <protection locked="0"/>
    </xf>
    <xf numFmtId="0" fontId="8" fillId="0" borderId="19" xfId="0" applyFont="1" applyBorder="1" applyAlignment="1">
      <alignment horizontal="center" vertical="top" wrapText="1"/>
    </xf>
    <xf numFmtId="0" fontId="8" fillId="0" borderId="32" xfId="0" applyFont="1" applyBorder="1" applyAlignment="1">
      <alignment horizontal="center" vertical="top" wrapText="1"/>
    </xf>
    <xf numFmtId="49" fontId="5" fillId="0" borderId="43" xfId="0" applyNumberFormat="1" applyFont="1" applyBorder="1" applyAlignment="1" applyProtection="1">
      <alignment horizontal="left" vertical="top" wrapText="1"/>
    </xf>
    <xf numFmtId="0" fontId="8" fillId="0" borderId="30" xfId="0" applyFont="1" applyBorder="1" applyAlignment="1">
      <alignment horizontal="center" vertical="top" wrapText="1"/>
    </xf>
    <xf numFmtId="0" fontId="8" fillId="0" borderId="31" xfId="0" applyFont="1" applyBorder="1" applyAlignment="1">
      <alignment horizontal="center" vertical="top" wrapText="1"/>
    </xf>
    <xf numFmtId="0" fontId="8" fillId="0" borderId="20" xfId="0" applyFont="1" applyBorder="1" applyAlignment="1">
      <alignment horizontal="center" vertical="top" wrapText="1"/>
    </xf>
    <xf numFmtId="0" fontId="8" fillId="0" borderId="21" xfId="0" applyFont="1" applyBorder="1" applyAlignment="1">
      <alignment horizontal="center" vertical="top" wrapText="1"/>
    </xf>
    <xf numFmtId="0" fontId="8" fillId="0" borderId="22" xfId="0" applyFont="1" applyBorder="1" applyAlignment="1">
      <alignment horizontal="center" vertical="top" wrapText="1"/>
    </xf>
    <xf numFmtId="164" fontId="8" fillId="3" borderId="23" xfId="0" applyNumberFormat="1" applyFont="1" applyFill="1" applyBorder="1" applyAlignment="1" applyProtection="1">
      <alignment horizontal="center" vertical="top" wrapText="1"/>
      <protection locked="0"/>
    </xf>
    <xf numFmtId="164" fontId="8" fillId="3" borderId="25" xfId="0" applyNumberFormat="1" applyFont="1" applyFill="1" applyBorder="1" applyAlignment="1" applyProtection="1">
      <alignment horizontal="center" vertical="top" wrapText="1"/>
      <protection locked="0"/>
    </xf>
    <xf numFmtId="0" fontId="8" fillId="0" borderId="0" xfId="0" applyFont="1" applyBorder="1" applyAlignment="1">
      <alignment horizontal="center" vertical="top" wrapText="1"/>
    </xf>
    <xf numFmtId="164" fontId="8" fillId="3" borderId="24" xfId="0" applyNumberFormat="1" applyFont="1" applyFill="1" applyBorder="1" applyAlignment="1" applyProtection="1">
      <alignment horizontal="center" vertical="top" wrapText="1"/>
      <protection locked="0"/>
    </xf>
    <xf numFmtId="49" fontId="5" fillId="0" borderId="45" xfId="0" applyNumberFormat="1" applyFont="1" applyBorder="1" applyAlignment="1" applyProtection="1">
      <alignment horizontal="left" vertical="top" wrapText="1"/>
    </xf>
    <xf numFmtId="49" fontId="5" fillId="6" borderId="0" xfId="0" applyNumberFormat="1" applyFont="1" applyFill="1" applyAlignment="1" applyProtection="1">
      <alignment horizontal="left"/>
      <protection locked="0"/>
    </xf>
    <xf numFmtId="0" fontId="8" fillId="0" borderId="45" xfId="0" applyFont="1" applyBorder="1" applyAlignment="1" applyProtection="1">
      <alignment horizontal="left" vertical="top" wrapText="1"/>
    </xf>
    <xf numFmtId="0" fontId="8" fillId="0" borderId="43" xfId="0" applyFont="1" applyBorder="1" applyAlignment="1" applyProtection="1">
      <alignment horizontal="left" vertical="top" wrapText="1"/>
    </xf>
    <xf numFmtId="0" fontId="6" fillId="0" borderId="4" xfId="0" applyFont="1" applyBorder="1" applyAlignment="1">
      <alignment vertical="top" wrapText="1"/>
    </xf>
    <xf numFmtId="0" fontId="6" fillId="0" borderId="5" xfId="0" applyFont="1" applyBorder="1" applyAlignment="1">
      <alignment vertical="top" wrapText="1"/>
    </xf>
    <xf numFmtId="0" fontId="6" fillId="0" borderId="6" xfId="0" applyFont="1" applyBorder="1" applyAlignment="1">
      <alignment vertical="top" wrapText="1"/>
    </xf>
    <xf numFmtId="0" fontId="20" fillId="0" borderId="7" xfId="0" applyFont="1" applyBorder="1" applyAlignment="1">
      <alignment horizontal="left" vertical="top" wrapText="1" indent="5"/>
    </xf>
    <xf numFmtId="0" fontId="20" fillId="0" borderId="0" xfId="0" applyFont="1" applyBorder="1" applyAlignment="1">
      <alignment horizontal="left" vertical="top" wrapText="1" indent="5"/>
    </xf>
    <xf numFmtId="0" fontId="20" fillId="0" borderId="8" xfId="0" applyFont="1" applyBorder="1" applyAlignment="1">
      <alignment horizontal="left" vertical="top" wrapText="1" indent="5"/>
    </xf>
    <xf numFmtId="0" fontId="5" fillId="3" borderId="15" xfId="0" applyFont="1" applyFill="1" applyBorder="1" applyAlignment="1" applyProtection="1">
      <alignment horizontal="center" vertical="center" wrapText="1"/>
      <protection locked="0"/>
    </xf>
    <xf numFmtId="0" fontId="5" fillId="3" borderId="13" xfId="0" applyFont="1" applyFill="1" applyBorder="1" applyAlignment="1" applyProtection="1">
      <alignment horizontal="center" vertical="center" wrapText="1"/>
      <protection locked="0"/>
    </xf>
    <xf numFmtId="0" fontId="5" fillId="3" borderId="14" xfId="0" applyFont="1" applyFill="1" applyBorder="1" applyAlignment="1" applyProtection="1">
      <alignment horizontal="center" vertical="center" wrapText="1"/>
      <protection locked="0"/>
    </xf>
    <xf numFmtId="0" fontId="6" fillId="0" borderId="4" xfId="0" applyFont="1" applyBorder="1" applyAlignment="1">
      <alignment horizontal="left" vertical="top" wrapText="1" indent="1"/>
    </xf>
    <xf numFmtId="0" fontId="6" fillId="0" borderId="5" xfId="0" applyFont="1" applyBorder="1" applyAlignment="1">
      <alignment horizontal="left" vertical="top" wrapText="1" indent="1"/>
    </xf>
    <xf numFmtId="0" fontId="6" fillId="0" borderId="6" xfId="0" applyFont="1" applyBorder="1" applyAlignment="1">
      <alignment horizontal="left" vertical="top" wrapText="1" indent="1"/>
    </xf>
    <xf numFmtId="0" fontId="10" fillId="0" borderId="1" xfId="0" applyFont="1" applyBorder="1" applyAlignment="1">
      <alignment horizontal="left" vertical="top" wrapText="1" indent="1"/>
    </xf>
    <xf numFmtId="0" fontId="10" fillId="0" borderId="2" xfId="0" applyFont="1" applyBorder="1" applyAlignment="1">
      <alignment horizontal="left" vertical="top" wrapText="1" indent="1"/>
    </xf>
    <xf numFmtId="0" fontId="10" fillId="0" borderId="3" xfId="0" applyFont="1" applyBorder="1" applyAlignment="1">
      <alignment horizontal="left" vertical="top" wrapText="1" indent="1"/>
    </xf>
    <xf numFmtId="0" fontId="12" fillId="0" borderId="1" xfId="0" applyFont="1" applyBorder="1" applyAlignment="1">
      <alignment horizontal="left" vertical="top" wrapText="1"/>
    </xf>
    <xf numFmtId="0" fontId="12" fillId="0" borderId="2" xfId="0" applyFont="1" applyBorder="1" applyAlignment="1">
      <alignment horizontal="left" vertical="top" wrapText="1"/>
    </xf>
    <xf numFmtId="0" fontId="12" fillId="0" borderId="3" xfId="0" applyFont="1" applyBorder="1" applyAlignment="1">
      <alignment horizontal="left" vertical="top" wrapText="1"/>
    </xf>
    <xf numFmtId="0" fontId="20" fillId="0" borderId="7" xfId="0" applyFont="1" applyBorder="1" applyAlignment="1">
      <alignment horizontal="left" vertical="top" wrapText="1" indent="3"/>
    </xf>
    <xf numFmtId="0" fontId="20" fillId="0" borderId="0" xfId="0" applyFont="1" applyBorder="1" applyAlignment="1">
      <alignment horizontal="left" vertical="top" wrapText="1" indent="3"/>
    </xf>
    <xf numFmtId="0" fontId="20" fillId="0" borderId="8" xfId="0" applyFont="1" applyBorder="1" applyAlignment="1">
      <alignment horizontal="left" vertical="top" wrapText="1" indent="3"/>
    </xf>
    <xf numFmtId="0" fontId="10" fillId="0" borderId="1" xfId="0" applyFont="1" applyBorder="1" applyAlignment="1">
      <alignment horizontal="left" vertical="top"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5" fillId="0" borderId="7" xfId="0" applyFont="1" applyBorder="1" applyAlignment="1">
      <alignment horizontal="left" vertical="top" wrapText="1"/>
    </xf>
    <xf numFmtId="0" fontId="5" fillId="0" borderId="0" xfId="0" applyFont="1" applyBorder="1" applyAlignment="1">
      <alignment horizontal="left" vertical="top" wrapText="1"/>
    </xf>
    <xf numFmtId="0" fontId="5" fillId="0" borderId="8"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6" xfId="0" applyFont="1" applyBorder="1" applyAlignment="1">
      <alignment horizontal="left" vertical="top" wrapText="1"/>
    </xf>
    <xf numFmtId="0" fontId="20" fillId="3" borderId="15" xfId="0" applyFont="1" applyFill="1" applyBorder="1" applyAlignment="1" applyProtection="1">
      <alignment horizontal="center" vertical="center" wrapText="1"/>
      <protection locked="0"/>
    </xf>
    <xf numFmtId="0" fontId="20" fillId="3" borderId="14" xfId="0" applyFont="1" applyFill="1" applyBorder="1" applyAlignment="1" applyProtection="1">
      <alignment horizontal="center" vertical="center" wrapText="1"/>
      <protection locked="0"/>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6" borderId="15" xfId="0" applyFont="1" applyFill="1" applyBorder="1" applyAlignment="1" applyProtection="1">
      <alignment horizontal="center" vertical="center" wrapText="1"/>
      <protection locked="0"/>
    </xf>
    <xf numFmtId="0" fontId="5" fillId="6" borderId="13" xfId="0" applyFont="1" applyFill="1" applyBorder="1" applyAlignment="1" applyProtection="1">
      <alignment horizontal="center" vertical="center" wrapText="1"/>
      <protection locked="0"/>
    </xf>
    <xf numFmtId="0" fontId="5" fillId="6" borderId="14" xfId="0" applyFont="1" applyFill="1" applyBorder="1" applyAlignment="1" applyProtection="1">
      <alignment horizontal="center" vertical="center" wrapText="1"/>
      <protection locked="0"/>
    </xf>
    <xf numFmtId="0" fontId="5" fillId="0" borderId="0" xfId="0" applyFont="1" applyBorder="1" applyAlignment="1">
      <alignment horizontal="left" vertical="center" wrapText="1"/>
    </xf>
    <xf numFmtId="0" fontId="5" fillId="0" borderId="8" xfId="0" applyFont="1" applyBorder="1" applyAlignment="1">
      <alignment horizontal="left" vertical="center" wrapText="1"/>
    </xf>
    <xf numFmtId="0" fontId="9" fillId="0" borderId="9" xfId="0" applyFont="1" applyFill="1" applyBorder="1" applyAlignment="1">
      <alignment horizontal="left" vertical="top" wrapText="1"/>
    </xf>
    <xf numFmtId="0" fontId="9" fillId="0" borderId="10" xfId="0" applyFont="1" applyFill="1" applyBorder="1" applyAlignment="1">
      <alignment horizontal="left" vertical="top" wrapText="1"/>
    </xf>
    <xf numFmtId="0" fontId="9" fillId="0" borderId="11" xfId="0" applyFont="1" applyFill="1" applyBorder="1" applyAlignment="1">
      <alignment horizontal="left" vertical="top" wrapText="1"/>
    </xf>
    <xf numFmtId="0" fontId="13" fillId="0" borderId="1" xfId="0" applyFont="1" applyBorder="1" applyAlignment="1">
      <alignment horizontal="left" vertical="top" wrapText="1" indent="1"/>
    </xf>
    <xf numFmtId="0" fontId="13" fillId="0" borderId="2" xfId="0" applyFont="1" applyBorder="1" applyAlignment="1">
      <alignment horizontal="left" vertical="top" wrapText="1" indent="1"/>
    </xf>
    <xf numFmtId="0" fontId="13" fillId="0" borderId="3" xfId="0" applyFont="1" applyBorder="1" applyAlignment="1">
      <alignment horizontal="left" vertical="top" wrapText="1" indent="1"/>
    </xf>
    <xf numFmtId="0" fontId="20" fillId="0" borderId="7" xfId="0" applyFont="1" applyBorder="1" applyAlignment="1">
      <alignment horizontal="left" vertical="top" wrapText="1" indent="1"/>
    </xf>
    <xf numFmtId="0" fontId="20" fillId="0" borderId="0" xfId="0" applyFont="1" applyBorder="1" applyAlignment="1">
      <alignment horizontal="left" vertical="top" wrapText="1" indent="1"/>
    </xf>
    <xf numFmtId="0" fontId="20" fillId="0" borderId="8" xfId="0" applyFont="1" applyBorder="1" applyAlignment="1">
      <alignment horizontal="left" vertical="top" wrapText="1" indent="1"/>
    </xf>
    <xf numFmtId="1" fontId="10" fillId="0" borderId="9" xfId="0" applyNumberFormat="1" applyFont="1" applyFill="1" applyBorder="1" applyAlignment="1" applyProtection="1">
      <alignment horizontal="center" vertical="center" wrapText="1"/>
      <protection hidden="1"/>
    </xf>
    <xf numFmtId="1" fontId="10" fillId="0" borderId="11" xfId="0" applyNumberFormat="1" applyFont="1" applyFill="1" applyBorder="1" applyAlignment="1" applyProtection="1">
      <alignment horizontal="center" vertical="center" wrapText="1"/>
      <protection hidden="1"/>
    </xf>
    <xf numFmtId="0" fontId="10" fillId="0" borderId="7" xfId="0" applyFont="1" applyBorder="1" applyAlignment="1">
      <alignment horizontal="left" vertical="top" wrapText="1"/>
    </xf>
    <xf numFmtId="0" fontId="10" fillId="0" borderId="0" xfId="0" applyFont="1" applyBorder="1" applyAlignment="1">
      <alignment horizontal="left" vertical="top" wrapText="1"/>
    </xf>
    <xf numFmtId="0" fontId="10" fillId="0" borderId="8" xfId="0" applyFont="1" applyBorder="1" applyAlignment="1">
      <alignment horizontal="left" vertical="top" wrapText="1"/>
    </xf>
    <xf numFmtId="0" fontId="6" fillId="0" borderId="7" xfId="0" applyFont="1" applyBorder="1" applyAlignment="1">
      <alignment horizontal="left" vertical="top" wrapText="1"/>
    </xf>
    <xf numFmtId="0" fontId="9" fillId="0" borderId="1" xfId="0" applyFont="1" applyBorder="1" applyAlignment="1">
      <alignment horizontal="right" vertical="top" wrapText="1"/>
    </xf>
    <xf numFmtId="0" fontId="9" fillId="0" borderId="2" xfId="0" applyFont="1" applyBorder="1" applyAlignment="1">
      <alignment horizontal="right" vertical="top" wrapText="1"/>
    </xf>
    <xf numFmtId="0" fontId="9" fillId="0" borderId="3" xfId="0" applyFont="1" applyBorder="1" applyAlignment="1">
      <alignment horizontal="right" vertical="top" wrapText="1"/>
    </xf>
    <xf numFmtId="0" fontId="9" fillId="0" borderId="4" xfId="0" applyFont="1" applyBorder="1" applyAlignment="1">
      <alignment horizontal="right" vertical="top" wrapText="1"/>
    </xf>
    <xf numFmtId="0" fontId="9" fillId="0" borderId="5" xfId="0" applyFont="1" applyBorder="1" applyAlignment="1">
      <alignment horizontal="right" vertical="top" wrapText="1"/>
    </xf>
    <xf numFmtId="0" fontId="9" fillId="0" borderId="6" xfId="0" applyFont="1" applyBorder="1" applyAlignment="1">
      <alignment horizontal="right" vertical="top" wrapText="1"/>
    </xf>
    <xf numFmtId="0" fontId="9" fillId="0" borderId="1" xfId="0" applyFont="1" applyFill="1" applyBorder="1" applyAlignment="1">
      <alignment horizontal="left" vertical="top" wrapText="1" indent="1"/>
    </xf>
    <xf numFmtId="0" fontId="9" fillId="0" borderId="2" xfId="0" applyFont="1" applyFill="1" applyBorder="1" applyAlignment="1">
      <alignment horizontal="left" vertical="top" wrapText="1" indent="1"/>
    </xf>
    <xf numFmtId="0" fontId="9" fillId="0" borderId="3" xfId="0" applyFont="1" applyFill="1" applyBorder="1" applyAlignment="1">
      <alignment horizontal="left" vertical="top" wrapText="1" indent="1"/>
    </xf>
    <xf numFmtId="0" fontId="15" fillId="0" borderId="4" xfId="0" applyFont="1" applyFill="1" applyBorder="1" applyAlignment="1">
      <alignment horizontal="left" vertical="top" wrapText="1" indent="1"/>
    </xf>
    <xf numFmtId="0" fontId="15" fillId="0" borderId="5" xfId="0" applyFont="1" applyFill="1" applyBorder="1" applyAlignment="1">
      <alignment horizontal="left" vertical="top" wrapText="1" indent="1"/>
    </xf>
    <xf numFmtId="0" fontId="15" fillId="0" borderId="6" xfId="0" applyFont="1" applyFill="1" applyBorder="1" applyAlignment="1">
      <alignment horizontal="left" vertical="top" wrapText="1" indent="1"/>
    </xf>
    <xf numFmtId="0" fontId="6" fillId="0" borderId="1" xfId="0" applyFont="1" applyBorder="1" applyAlignment="1">
      <alignment horizontal="center" vertical="top" wrapText="1"/>
    </xf>
    <xf numFmtId="0" fontId="0" fillId="0" borderId="4" xfId="0" applyBorder="1" applyAlignment="1">
      <alignment vertical="top" wrapText="1"/>
    </xf>
    <xf numFmtId="0" fontId="0" fillId="0" borderId="4" xfId="0" applyBorder="1" applyAlignment="1">
      <alignment horizontal="right" vertical="top" wrapText="1"/>
    </xf>
    <xf numFmtId="0" fontId="0" fillId="0" borderId="5" xfId="0" applyBorder="1" applyAlignment="1">
      <alignment horizontal="right" vertical="top" wrapText="1"/>
    </xf>
    <xf numFmtId="0" fontId="0" fillId="0" borderId="6" xfId="0" applyBorder="1" applyAlignment="1">
      <alignment horizontal="right" vertical="top" wrapText="1"/>
    </xf>
    <xf numFmtId="0" fontId="6" fillId="0" borderId="4" xfId="0" applyFont="1" applyBorder="1" applyAlignment="1">
      <alignment horizontal="center" vertical="top" wrapText="1"/>
    </xf>
    <xf numFmtId="0" fontId="9" fillId="0" borderId="1" xfId="0" applyFont="1" applyBorder="1" applyAlignment="1">
      <alignment horizontal="right" wrapText="1"/>
    </xf>
    <xf numFmtId="0" fontId="9" fillId="0" borderId="2" xfId="0" applyFont="1" applyBorder="1" applyAlignment="1">
      <alignment horizontal="right" wrapText="1"/>
    </xf>
    <xf numFmtId="0" fontId="9" fillId="0" borderId="3" xfId="0" applyFont="1" applyBorder="1" applyAlignment="1">
      <alignment horizontal="right" wrapText="1"/>
    </xf>
    <xf numFmtId="0" fontId="9" fillId="0" borderId="4" xfId="0" applyFont="1" applyBorder="1" applyAlignment="1">
      <alignment horizontal="right" wrapText="1"/>
    </xf>
    <xf numFmtId="0" fontId="9" fillId="0" borderId="5" xfId="0" applyFont="1" applyBorder="1" applyAlignment="1">
      <alignment horizontal="right" wrapText="1"/>
    </xf>
    <xf numFmtId="0" fontId="9" fillId="0" borderId="6" xfId="0" applyFont="1" applyBorder="1" applyAlignment="1">
      <alignment horizontal="right" wrapText="1"/>
    </xf>
    <xf numFmtId="0" fontId="8" fillId="0" borderId="49" xfId="0" applyFont="1" applyBorder="1" applyAlignment="1" applyProtection="1">
      <alignment horizontal="left" vertical="top" wrapText="1"/>
    </xf>
    <xf numFmtId="49" fontId="5" fillId="3" borderId="19" xfId="0" applyNumberFormat="1" applyFont="1" applyFill="1" applyBorder="1" applyAlignment="1" applyProtection="1">
      <alignment horizontal="left" vertical="top" wrapText="1"/>
      <protection locked="0"/>
    </xf>
    <xf numFmtId="0" fontId="0" fillId="0" borderId="31" xfId="0" applyBorder="1" applyAlignment="1" applyProtection="1">
      <alignment horizontal="left" vertical="top" wrapText="1"/>
      <protection locked="0"/>
    </xf>
    <xf numFmtId="0" fontId="0" fillId="0" borderId="20" xfId="0" applyBorder="1" applyAlignment="1" applyProtection="1">
      <alignment horizontal="left" vertical="top" wrapText="1"/>
      <protection locked="0"/>
    </xf>
    <xf numFmtId="49" fontId="5" fillId="0" borderId="19" xfId="0" applyNumberFormat="1" applyFont="1" applyBorder="1" applyAlignment="1" applyProtection="1">
      <alignment horizontal="left" vertical="top" wrapText="1"/>
    </xf>
    <xf numFmtId="0" fontId="0" fillId="0" borderId="20" xfId="0" applyBorder="1" applyAlignment="1">
      <alignment horizontal="left" vertical="top" wrapText="1"/>
    </xf>
    <xf numFmtId="49" fontId="5" fillId="6" borderId="19" xfId="0" applyNumberFormat="1" applyFont="1" applyFill="1" applyBorder="1" applyAlignment="1" applyProtection="1">
      <alignment horizontal="left" vertical="top" wrapText="1"/>
      <protection locked="0"/>
    </xf>
    <xf numFmtId="0" fontId="0" fillId="0" borderId="17" xfId="0" applyBorder="1" applyAlignment="1" applyProtection="1">
      <alignment horizontal="left" vertical="top" wrapText="1"/>
      <protection locked="0"/>
    </xf>
    <xf numFmtId="0" fontId="0" fillId="0" borderId="38" xfId="0" applyBorder="1" applyAlignment="1" applyProtection="1">
      <alignment horizontal="left" vertical="top" wrapText="1"/>
      <protection locked="0"/>
    </xf>
    <xf numFmtId="49" fontId="5" fillId="0" borderId="46" xfId="0" applyNumberFormat="1" applyFont="1" applyBorder="1" applyAlignment="1" applyProtection="1">
      <alignment horizontal="left" vertical="top" wrapText="1"/>
    </xf>
    <xf numFmtId="0" fontId="0" fillId="0" borderId="57" xfId="0" applyBorder="1" applyAlignment="1">
      <alignment horizontal="left" vertical="top" wrapText="1"/>
    </xf>
    <xf numFmtId="0" fontId="0" fillId="0" borderId="39" xfId="0" applyBorder="1" applyAlignment="1">
      <alignment horizontal="left" vertical="top" wrapText="1"/>
    </xf>
    <xf numFmtId="0" fontId="0" fillId="0" borderId="5" xfId="0" applyBorder="1" applyAlignment="1" applyProtection="1">
      <alignment vertical="top" wrapText="1"/>
      <protection locked="0"/>
    </xf>
    <xf numFmtId="0" fontId="0" fillId="0" borderId="6" xfId="0" applyBorder="1" applyAlignment="1" applyProtection="1">
      <alignment vertical="top" wrapText="1"/>
      <protection locked="0"/>
    </xf>
    <xf numFmtId="0" fontId="0" fillId="0" borderId="18" xfId="0" applyBorder="1" applyAlignment="1" applyProtection="1">
      <alignment horizontal="left" vertical="top" wrapText="1"/>
      <protection locked="0"/>
    </xf>
    <xf numFmtId="164" fontId="8" fillId="2" borderId="43" xfId="0" applyNumberFormat="1" applyFont="1" applyFill="1" applyBorder="1" applyAlignment="1" applyProtection="1">
      <alignment horizontal="center" vertical="center"/>
    </xf>
    <xf numFmtId="0" fontId="8" fillId="2" borderId="43" xfId="0" applyFont="1" applyFill="1" applyBorder="1" applyAlignment="1" applyProtection="1">
      <alignment horizontal="center" vertical="center"/>
    </xf>
    <xf numFmtId="0" fontId="5" fillId="2" borderId="16" xfId="0" applyNumberFormat="1" applyFont="1" applyFill="1" applyBorder="1" applyAlignment="1" applyProtection="1">
      <alignment horizontal="left" vertical="top" wrapText="1"/>
    </xf>
    <xf numFmtId="0" fontId="0" fillId="2" borderId="17" xfId="0" applyNumberFormat="1" applyFill="1" applyBorder="1" applyAlignment="1" applyProtection="1">
      <alignment horizontal="left" vertical="top" wrapText="1"/>
    </xf>
    <xf numFmtId="0" fontId="0" fillId="2" borderId="18" xfId="0" applyNumberFormat="1" applyFill="1" applyBorder="1" applyAlignment="1" applyProtection="1">
      <alignment horizontal="left" vertical="top" wrapText="1"/>
    </xf>
    <xf numFmtId="0" fontId="0" fillId="2" borderId="0" xfId="0" applyNumberFormat="1" applyFill="1" applyProtection="1"/>
    <xf numFmtId="0" fontId="5" fillId="2" borderId="19" xfId="0" applyNumberFormat="1" applyFont="1" applyFill="1" applyBorder="1" applyAlignment="1" applyProtection="1">
      <alignment horizontal="left" vertical="top" wrapText="1"/>
    </xf>
    <xf numFmtId="0" fontId="0" fillId="2" borderId="31" xfId="0" applyNumberFormat="1" applyFill="1" applyBorder="1" applyAlignment="1" applyProtection="1">
      <alignment horizontal="left" vertical="top" wrapText="1"/>
    </xf>
    <xf numFmtId="0" fontId="0" fillId="2" borderId="20" xfId="0" applyNumberFormat="1" applyFill="1" applyBorder="1" applyAlignment="1" applyProtection="1">
      <alignment horizontal="left" vertical="top" wrapText="1"/>
    </xf>
    <xf numFmtId="0" fontId="8" fillId="0" borderId="43" xfId="0" applyFont="1" applyFill="1" applyBorder="1" applyAlignment="1" applyProtection="1">
      <alignment horizontal="center" vertical="center" wrapText="1"/>
    </xf>
    <xf numFmtId="0" fontId="5" fillId="2" borderId="43" xfId="0" applyNumberFormat="1" applyFont="1" applyFill="1" applyBorder="1" applyAlignment="1" applyProtection="1">
      <alignment horizontal="left" vertical="top" wrapText="1"/>
    </xf>
    <xf numFmtId="0" fontId="5" fillId="2" borderId="49" xfId="0" applyNumberFormat="1" applyFont="1" applyFill="1" applyBorder="1" applyAlignment="1" applyProtection="1">
      <alignment horizontal="left" vertical="top" wrapText="1"/>
    </xf>
    <xf numFmtId="0" fontId="8" fillId="0" borderId="43" xfId="0" applyFont="1" applyFill="1" applyBorder="1" applyAlignment="1" applyProtection="1">
      <alignment horizontal="left" vertical="center" wrapText="1"/>
    </xf>
    <xf numFmtId="0" fontId="8" fillId="2" borderId="43" xfId="0" applyFont="1" applyFill="1" applyBorder="1" applyAlignment="1" applyProtection="1">
      <alignment horizontal="left" vertical="center" wrapText="1"/>
    </xf>
    <xf numFmtId="0" fontId="5" fillId="7" borderId="23" xfId="0" applyFont="1" applyFill="1" applyBorder="1" applyAlignment="1" applyProtection="1">
      <alignment horizontal="left" indent="2"/>
    </xf>
    <xf numFmtId="0" fontId="5" fillId="7" borderId="24" xfId="0" applyFont="1" applyFill="1" applyBorder="1" applyAlignment="1" applyProtection="1">
      <alignment horizontal="left" indent="2"/>
    </xf>
    <xf numFmtId="0" fontId="5" fillId="7" borderId="25" xfId="0" applyFont="1" applyFill="1" applyBorder="1" applyAlignment="1" applyProtection="1">
      <alignment horizontal="left" indent="2"/>
    </xf>
    <xf numFmtId="0" fontId="5" fillId="7" borderId="21" xfId="0" applyFont="1" applyFill="1" applyBorder="1" applyAlignment="1" applyProtection="1">
      <alignment horizontal="left" indent="2"/>
    </xf>
    <xf numFmtId="0" fontId="5" fillId="7" borderId="0" xfId="0" applyFont="1" applyFill="1" applyBorder="1" applyAlignment="1" applyProtection="1">
      <alignment horizontal="left" indent="2"/>
    </xf>
    <xf numFmtId="0" fontId="5" fillId="7" borderId="22" xfId="0" applyFont="1" applyFill="1" applyBorder="1" applyAlignment="1" applyProtection="1">
      <alignment horizontal="left" indent="2"/>
    </xf>
    <xf numFmtId="0" fontId="5" fillId="0" borderId="54" xfId="0" applyFont="1" applyFill="1" applyBorder="1" applyAlignment="1" applyProtection="1">
      <alignment horizontal="center" vertical="center"/>
    </xf>
    <xf numFmtId="0" fontId="5" fillId="0" borderId="41" xfId="0" applyFont="1" applyFill="1" applyBorder="1" applyAlignment="1" applyProtection="1">
      <alignment horizontal="center" vertical="center"/>
    </xf>
    <xf numFmtId="0" fontId="5" fillId="0" borderId="42" xfId="0" applyFont="1" applyFill="1" applyBorder="1" applyAlignment="1" applyProtection="1">
      <alignment horizontal="center" vertical="center"/>
    </xf>
    <xf numFmtId="0" fontId="10" fillId="0" borderId="16" xfId="0" applyFont="1" applyBorder="1" applyAlignment="1" applyProtection="1">
      <alignment horizontal="left" vertical="center" wrapText="1"/>
    </xf>
    <xf numFmtId="0" fontId="10" fillId="0" borderId="17" xfId="0" applyFont="1" applyBorder="1" applyAlignment="1" applyProtection="1">
      <alignment horizontal="left" vertical="center" wrapText="1"/>
    </xf>
    <xf numFmtId="0" fontId="9" fillId="0" borderId="16" xfId="0" applyFont="1" applyBorder="1" applyAlignment="1" applyProtection="1">
      <alignment horizontal="left" vertical="center"/>
    </xf>
    <xf numFmtId="0" fontId="9" fillId="0" borderId="17" xfId="0" applyFont="1" applyBorder="1" applyAlignment="1" applyProtection="1">
      <alignment horizontal="left" vertical="center"/>
    </xf>
    <xf numFmtId="0" fontId="9" fillId="0" borderId="18" xfId="0" applyFont="1" applyBorder="1" applyAlignment="1" applyProtection="1">
      <alignment horizontal="left" vertical="center"/>
    </xf>
    <xf numFmtId="0" fontId="10" fillId="0" borderId="18" xfId="0" applyFont="1" applyBorder="1" applyAlignment="1" applyProtection="1">
      <alignment horizontal="left" vertical="center" wrapText="1"/>
    </xf>
    <xf numFmtId="0" fontId="5" fillId="7" borderId="19" xfId="0" applyFont="1" applyFill="1" applyBorder="1" applyAlignment="1" applyProtection="1">
      <alignment horizontal="left" indent="1"/>
    </xf>
    <xf numFmtId="0" fontId="5" fillId="7" borderId="31" xfId="0" applyFont="1" applyFill="1" applyBorder="1" applyAlignment="1" applyProtection="1">
      <alignment horizontal="left" indent="1"/>
    </xf>
    <xf numFmtId="0" fontId="5" fillId="7" borderId="20" xfId="0" applyFont="1" applyFill="1" applyBorder="1" applyAlignment="1" applyProtection="1">
      <alignment horizontal="left" indent="1"/>
    </xf>
    <xf numFmtId="0" fontId="10" fillId="0" borderId="16" xfId="0" applyFont="1" applyBorder="1" applyAlignment="1" applyProtection="1">
      <alignment horizontal="left" vertical="center"/>
    </xf>
    <xf numFmtId="0" fontId="10" fillId="0" borderId="17" xfId="0" applyFont="1" applyBorder="1" applyAlignment="1" applyProtection="1">
      <alignment horizontal="left" vertical="center"/>
    </xf>
    <xf numFmtId="0" fontId="10" fillId="0" borderId="18" xfId="0" applyFont="1" applyBorder="1" applyAlignment="1" applyProtection="1">
      <alignment horizontal="left" vertical="center"/>
    </xf>
    <xf numFmtId="0" fontId="5" fillId="0" borderId="76" xfId="0" applyFont="1" applyFill="1" applyBorder="1" applyAlignment="1" applyProtection="1">
      <alignment horizontal="center" vertical="center"/>
    </xf>
    <xf numFmtId="0" fontId="5" fillId="6" borderId="68" xfId="0" applyFont="1" applyFill="1" applyBorder="1" applyAlignment="1" applyProtection="1">
      <alignment horizontal="center" vertical="center"/>
      <protection locked="0"/>
    </xf>
    <xf numFmtId="0" fontId="5" fillId="6" borderId="75" xfId="0" applyFont="1" applyFill="1" applyBorder="1" applyAlignment="1" applyProtection="1">
      <alignment horizontal="center" vertical="center"/>
      <protection locked="0"/>
    </xf>
    <xf numFmtId="0" fontId="10" fillId="0" borderId="79" xfId="0" applyFont="1" applyBorder="1" applyAlignment="1" applyProtection="1">
      <alignment horizontal="center" vertical="center"/>
    </xf>
    <xf numFmtId="0" fontId="10" fillId="0" borderId="80" xfId="0" applyFont="1" applyBorder="1" applyAlignment="1" applyProtection="1">
      <alignment horizontal="center" vertical="center"/>
    </xf>
    <xf numFmtId="0" fontId="10" fillId="0" borderId="81" xfId="0" applyFont="1" applyBorder="1" applyAlignment="1" applyProtection="1">
      <alignment horizontal="center" vertical="center"/>
    </xf>
    <xf numFmtId="0" fontId="5" fillId="0" borderId="77" xfId="0" applyFont="1" applyFill="1" applyBorder="1" applyAlignment="1" applyProtection="1">
      <alignment horizontal="center" vertical="center"/>
    </xf>
    <xf numFmtId="0" fontId="5" fillId="6" borderId="77" xfId="0" applyFont="1" applyFill="1" applyBorder="1" applyAlignment="1" applyProtection="1">
      <alignment horizontal="center" vertical="center"/>
      <protection locked="0"/>
    </xf>
    <xf numFmtId="0" fontId="5" fillId="6" borderId="78" xfId="0" applyFont="1" applyFill="1" applyBorder="1" applyAlignment="1" applyProtection="1">
      <alignment horizontal="center" vertical="center"/>
      <protection locked="0"/>
    </xf>
    <xf numFmtId="0" fontId="10" fillId="0" borderId="73" xfId="0" applyFont="1" applyBorder="1" applyAlignment="1" applyProtection="1">
      <alignment horizontal="center" vertical="center"/>
    </xf>
    <xf numFmtId="0" fontId="10" fillId="0" borderId="70" xfId="0" applyFont="1" applyBorder="1" applyAlignment="1" applyProtection="1">
      <alignment horizontal="center" vertical="center"/>
    </xf>
    <xf numFmtId="0" fontId="10" fillId="0" borderId="71" xfId="0" applyFont="1" applyBorder="1" applyAlignment="1" applyProtection="1">
      <alignment horizontal="center" vertical="center"/>
    </xf>
    <xf numFmtId="0" fontId="10" fillId="0" borderId="74" xfId="0" applyFont="1" applyBorder="1" applyAlignment="1" applyProtection="1">
      <alignment horizontal="center" vertical="center"/>
    </xf>
    <xf numFmtId="0" fontId="5" fillId="6" borderId="73" xfId="0" applyFont="1" applyFill="1" applyBorder="1" applyAlignment="1" applyProtection="1">
      <alignment horizontal="center" vertical="center"/>
      <protection locked="0"/>
    </xf>
    <xf numFmtId="0" fontId="5" fillId="6" borderId="74" xfId="0" applyFont="1" applyFill="1" applyBorder="1" applyAlignment="1" applyProtection="1">
      <alignment horizontal="center" vertical="center"/>
      <protection locked="0"/>
    </xf>
    <xf numFmtId="0" fontId="5" fillId="0" borderId="31"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3" borderId="56" xfId="0" applyFont="1" applyFill="1" applyBorder="1" applyAlignment="1" applyProtection="1">
      <alignment horizontal="center" vertical="center" wrapText="1"/>
      <protection locked="0"/>
    </xf>
    <xf numFmtId="0" fontId="5" fillId="3" borderId="39" xfId="0" applyFont="1" applyFill="1" applyBorder="1" applyAlignment="1" applyProtection="1">
      <alignment horizontal="center" vertical="center" wrapText="1"/>
      <protection locked="0"/>
    </xf>
    <xf numFmtId="0" fontId="8" fillId="0" borderId="7" xfId="0" applyFont="1" applyBorder="1" applyAlignment="1">
      <alignment horizontal="left" wrapText="1" indent="2"/>
    </xf>
    <xf numFmtId="0" fontId="8" fillId="0" borderId="0" xfId="0" applyFont="1" applyBorder="1" applyAlignment="1">
      <alignment horizontal="left" wrapText="1" indent="2"/>
    </xf>
    <xf numFmtId="0" fontId="8" fillId="0" borderId="8" xfId="0" applyFont="1" applyBorder="1" applyAlignment="1">
      <alignment horizontal="left" wrapText="1" indent="2"/>
    </xf>
    <xf numFmtId="0" fontId="0" fillId="0" borderId="66" xfId="0" applyBorder="1" applyAlignment="1" applyProtection="1">
      <alignment horizontal="center"/>
      <protection locked="0"/>
    </xf>
    <xf numFmtId="0" fontId="0" fillId="0" borderId="64" xfId="0" applyBorder="1" applyAlignment="1" applyProtection="1">
      <alignment horizontal="center"/>
      <protection locked="0"/>
    </xf>
    <xf numFmtId="0" fontId="8" fillId="0" borderId="7" xfId="0" applyFont="1" applyBorder="1" applyAlignment="1" applyProtection="1">
      <alignment horizontal="left" wrapText="1" indent="2"/>
      <protection locked="0"/>
    </xf>
    <xf numFmtId="0" fontId="8" fillId="0" borderId="0" xfId="0" applyFont="1" applyBorder="1" applyAlignment="1" applyProtection="1">
      <alignment horizontal="left" wrapText="1" indent="2"/>
      <protection locked="0"/>
    </xf>
    <xf numFmtId="0" fontId="0" fillId="0" borderId="10" xfId="0" applyBorder="1" applyAlignment="1" applyProtection="1">
      <alignment horizontal="center"/>
      <protection locked="0"/>
    </xf>
    <xf numFmtId="0" fontId="0" fillId="0" borderId="11" xfId="0" applyBorder="1" applyAlignment="1" applyProtection="1">
      <alignment horizontal="center"/>
      <protection locked="0"/>
    </xf>
    <xf numFmtId="0" fontId="6" fillId="0" borderId="30" xfId="0" applyFont="1" applyBorder="1" applyAlignment="1">
      <alignment horizontal="left" vertical="top" wrapText="1"/>
    </xf>
    <xf numFmtId="0" fontId="6" fillId="0" borderId="31" xfId="0" applyFont="1" applyBorder="1" applyAlignment="1">
      <alignment horizontal="left" vertical="top" wrapText="1"/>
    </xf>
    <xf numFmtId="0" fontId="6" fillId="0" borderId="20" xfId="0" applyFont="1" applyBorder="1" applyAlignment="1">
      <alignment horizontal="left" vertical="top" wrapText="1"/>
    </xf>
    <xf numFmtId="0" fontId="6" fillId="0" borderId="35" xfId="0" applyFont="1" applyBorder="1" applyAlignment="1">
      <alignment horizontal="left" vertical="top" wrapText="1"/>
    </xf>
    <xf numFmtId="0" fontId="6" fillId="0" borderId="24" xfId="0" applyFont="1" applyBorder="1" applyAlignment="1">
      <alignment horizontal="left" vertical="top" wrapText="1"/>
    </xf>
    <xf numFmtId="0" fontId="6" fillId="0" borderId="25" xfId="0" applyFont="1" applyBorder="1" applyAlignment="1">
      <alignment horizontal="left" vertical="top" wrapText="1"/>
    </xf>
    <xf numFmtId="0" fontId="10" fillId="0" borderId="65" xfId="0" applyFont="1" applyBorder="1" applyAlignment="1">
      <alignment horizontal="left" vertical="center" wrapText="1"/>
    </xf>
    <xf numFmtId="0" fontId="10" fillId="0" borderId="66" xfId="0" applyFont="1" applyBorder="1" applyAlignment="1">
      <alignment horizontal="left" vertical="center" wrapText="1"/>
    </xf>
    <xf numFmtId="0" fontId="10" fillId="0" borderId="67" xfId="0" applyFont="1" applyBorder="1" applyAlignment="1">
      <alignment horizontal="left" vertical="center" wrapText="1"/>
    </xf>
    <xf numFmtId="0" fontId="6" fillId="0" borderId="43" xfId="0" applyFont="1" applyBorder="1" applyAlignment="1">
      <alignment horizontal="left" vertical="top" wrapText="1"/>
    </xf>
    <xf numFmtId="0" fontId="6" fillId="0" borderId="49" xfId="0" applyFont="1" applyBorder="1" applyAlignment="1">
      <alignment horizontal="left" vertical="top" wrapText="1"/>
    </xf>
    <xf numFmtId="0" fontId="5" fillId="0" borderId="12" xfId="0" applyFont="1" applyBorder="1" applyAlignment="1">
      <alignment horizontal="left" vertical="center" wrapText="1" indent="1"/>
    </xf>
    <xf numFmtId="0" fontId="5" fillId="0" borderId="7" xfId="0" applyFont="1" applyBorder="1" applyAlignment="1">
      <alignment horizontal="left" wrapText="1" indent="1"/>
    </xf>
    <xf numFmtId="0" fontId="5" fillId="0" borderId="0" xfId="0" applyFont="1" applyBorder="1" applyAlignment="1">
      <alignment horizontal="left" wrapText="1" indent="1"/>
    </xf>
    <xf numFmtId="0" fontId="5" fillId="0" borderId="8" xfId="0" applyFont="1" applyBorder="1" applyAlignment="1">
      <alignment horizontal="left" wrapText="1" indent="1"/>
    </xf>
    <xf numFmtId="0" fontId="5" fillId="0" borderId="9" xfId="0" applyFont="1" applyBorder="1" applyAlignment="1">
      <alignment horizontal="left" wrapText="1"/>
    </xf>
    <xf numFmtId="0" fontId="22" fillId="0" borderId="10" xfId="0" applyFont="1" applyBorder="1" applyAlignment="1">
      <alignment horizontal="left" wrapText="1"/>
    </xf>
    <xf numFmtId="0" fontId="0" fillId="0" borderId="10" xfId="0" applyBorder="1" applyAlignment="1">
      <alignment wrapText="1"/>
    </xf>
    <xf numFmtId="0" fontId="0" fillId="0" borderId="11" xfId="0" applyBorder="1" applyAlignment="1">
      <alignment wrapText="1"/>
    </xf>
    <xf numFmtId="0" fontId="5" fillId="3" borderId="16" xfId="0" applyFont="1" applyFill="1" applyBorder="1" applyAlignment="1" applyProtection="1">
      <alignment horizontal="center" vertical="center" wrapText="1"/>
      <protection locked="0"/>
    </xf>
    <xf numFmtId="0" fontId="5" fillId="3" borderId="38" xfId="0"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xf>
    <xf numFmtId="0" fontId="5" fillId="0" borderId="3" xfId="0" applyFont="1" applyBorder="1" applyAlignment="1" applyProtection="1">
      <alignment horizontal="center" vertical="center" wrapText="1"/>
    </xf>
    <xf numFmtId="0" fontId="10" fillId="0" borderId="1" xfId="0" applyFont="1" applyFill="1" applyBorder="1" applyAlignment="1">
      <alignment horizontal="left" wrapText="1"/>
    </xf>
    <xf numFmtId="0" fontId="10" fillId="0" borderId="3" xfId="0" applyFont="1" applyFill="1" applyBorder="1" applyAlignment="1">
      <alignment horizontal="left" wrapText="1"/>
    </xf>
    <xf numFmtId="0" fontId="10" fillId="0" borderId="4" xfId="0" applyFont="1" applyFill="1" applyBorder="1" applyAlignment="1">
      <alignment horizontal="left" wrapText="1"/>
    </xf>
    <xf numFmtId="0" fontId="10" fillId="0" borderId="6" xfId="0" applyFont="1" applyFill="1" applyBorder="1" applyAlignment="1">
      <alignment horizontal="left" wrapText="1"/>
    </xf>
    <xf numFmtId="0" fontId="5" fillId="3" borderId="9" xfId="0" applyFont="1" applyFill="1" applyBorder="1" applyAlignment="1" applyProtection="1">
      <alignment horizontal="center" vertical="center" wrapText="1"/>
      <protection locked="0"/>
    </xf>
    <xf numFmtId="0" fontId="5" fillId="3" borderId="11" xfId="0" applyFont="1" applyFill="1" applyBorder="1" applyAlignment="1" applyProtection="1">
      <alignment horizontal="center" vertical="center" wrapText="1"/>
      <protection locked="0"/>
    </xf>
    <xf numFmtId="0" fontId="5" fillId="0" borderId="22" xfId="0" applyFont="1" applyBorder="1" applyAlignment="1">
      <alignment horizontal="left" vertical="top" wrapText="1"/>
    </xf>
    <xf numFmtId="164" fontId="6" fillId="0" borderId="43" xfId="0" applyNumberFormat="1" applyFont="1" applyBorder="1" applyAlignment="1">
      <alignment horizontal="left" vertical="center" wrapText="1"/>
    </xf>
    <xf numFmtId="0" fontId="5" fillId="0" borderId="1" xfId="0" applyFont="1" applyBorder="1" applyAlignment="1">
      <alignment horizontal="left" wrapText="1" indent="2"/>
    </xf>
    <xf numFmtId="0" fontId="5" fillId="0" borderId="2" xfId="0" applyFont="1" applyBorder="1" applyAlignment="1">
      <alignment horizontal="left" wrapText="1" indent="2"/>
    </xf>
    <xf numFmtId="0" fontId="5" fillId="0" borderId="10" xfId="0" applyFont="1" applyBorder="1" applyAlignment="1">
      <alignment horizontal="left" wrapText="1" indent="2"/>
    </xf>
    <xf numFmtId="0" fontId="5" fillId="0" borderId="11" xfId="0" applyFont="1" applyBorder="1" applyAlignment="1">
      <alignment horizontal="left" wrapText="1" indent="2"/>
    </xf>
    <xf numFmtId="0" fontId="10" fillId="0" borderId="7" xfId="0" applyFont="1" applyBorder="1" applyAlignment="1">
      <alignment horizontal="left" vertical="center" wrapText="1"/>
    </xf>
    <xf numFmtId="0" fontId="10" fillId="0" borderId="0" xfId="0" applyFont="1" applyBorder="1" applyAlignment="1">
      <alignment horizontal="left" vertical="center" wrapText="1"/>
    </xf>
    <xf numFmtId="0" fontId="10" fillId="0" borderId="8" xfId="0" applyFont="1" applyBorder="1" applyAlignment="1">
      <alignment horizontal="left" vertical="center" wrapText="1"/>
    </xf>
    <xf numFmtId="0" fontId="5" fillId="0" borderId="7" xfId="0" applyFont="1" applyBorder="1" applyAlignment="1">
      <alignment horizontal="left" vertical="center" wrapText="1" indent="3"/>
    </xf>
    <xf numFmtId="0" fontId="5" fillId="0" borderId="0" xfId="0" applyFont="1" applyBorder="1" applyAlignment="1">
      <alignment horizontal="left" vertical="center" wrapText="1" indent="3"/>
    </xf>
    <xf numFmtId="0" fontId="5" fillId="0" borderId="8" xfId="0" applyFont="1" applyBorder="1" applyAlignment="1">
      <alignment horizontal="left" vertical="center" wrapText="1" indent="3"/>
    </xf>
    <xf numFmtId="0" fontId="10" fillId="0" borderId="65" xfId="0" applyFont="1" applyBorder="1" applyAlignment="1">
      <alignment horizontal="center" wrapText="1"/>
    </xf>
    <xf numFmtId="0" fontId="10" fillId="0" borderId="67" xfId="0" applyFont="1" applyBorder="1" applyAlignment="1">
      <alignment horizontal="center" wrapText="1"/>
    </xf>
    <xf numFmtId="0" fontId="8" fillId="0" borderId="21" xfId="0" applyFont="1" applyBorder="1" applyAlignment="1">
      <alignment horizontal="left" vertical="top" wrapText="1"/>
    </xf>
    <xf numFmtId="0" fontId="8" fillId="0" borderId="22" xfId="0" applyFont="1" applyBorder="1" applyAlignment="1">
      <alignment horizontal="left" vertical="top" wrapText="1"/>
    </xf>
    <xf numFmtId="0" fontId="8" fillId="0" borderId="23" xfId="0" applyFont="1" applyBorder="1" applyAlignment="1">
      <alignment horizontal="left" vertical="top" wrapText="1"/>
    </xf>
    <xf numFmtId="0" fontId="8" fillId="0" borderId="25" xfId="0" applyFont="1" applyBorder="1" applyAlignment="1">
      <alignment horizontal="left" vertical="top" wrapText="1"/>
    </xf>
    <xf numFmtId="0" fontId="5" fillId="0" borderId="43" xfId="0" applyFont="1" applyBorder="1" applyAlignment="1" applyProtection="1">
      <alignment horizontal="center" wrapText="1"/>
    </xf>
    <xf numFmtId="0" fontId="5" fillId="3" borderId="43" xfId="0" applyFont="1" applyFill="1" applyBorder="1" applyAlignment="1" applyProtection="1">
      <alignment horizontal="center" wrapText="1"/>
      <protection locked="0"/>
    </xf>
    <xf numFmtId="0" fontId="5" fillId="3" borderId="12" xfId="0" applyFont="1" applyFill="1" applyBorder="1" applyAlignment="1" applyProtection="1">
      <alignment horizontal="center" vertical="center" wrapText="1"/>
      <protection locked="0"/>
    </xf>
    <xf numFmtId="0" fontId="10" fillId="0" borderId="27" xfId="0" applyFont="1" applyBorder="1" applyAlignment="1">
      <alignment horizontal="left" vertical="top" wrapText="1"/>
    </xf>
    <xf numFmtId="0" fontId="10" fillId="0" borderId="28" xfId="0" applyFont="1" applyBorder="1" applyAlignment="1">
      <alignment horizontal="left" vertical="top" wrapText="1"/>
    </xf>
    <xf numFmtId="0" fontId="5" fillId="3" borderId="37" xfId="0" applyFont="1" applyFill="1" applyBorder="1" applyAlignment="1" applyProtection="1">
      <alignment horizontal="left" wrapText="1"/>
      <protection locked="0"/>
    </xf>
    <xf numFmtId="0" fontId="5" fillId="3" borderId="17" xfId="0" applyFont="1" applyFill="1" applyBorder="1" applyAlignment="1" applyProtection="1">
      <alignment horizontal="left" wrapText="1"/>
      <protection locked="0"/>
    </xf>
    <xf numFmtId="0" fontId="10" fillId="0" borderId="1" xfId="0" applyFont="1" applyBorder="1" applyAlignment="1">
      <alignment horizontal="center" vertical="center" wrapText="1"/>
    </xf>
    <xf numFmtId="0" fontId="10" fillId="0" borderId="7" xfId="0" applyFont="1" applyBorder="1" applyAlignment="1">
      <alignment horizontal="center" vertical="center" wrapText="1"/>
    </xf>
    <xf numFmtId="0" fontId="0" fillId="0" borderId="7" xfId="0" applyBorder="1" applyAlignment="1">
      <alignment horizontal="center" vertical="center" wrapText="1"/>
    </xf>
    <xf numFmtId="0" fontId="0" fillId="0" borderId="4" xfId="0" applyBorder="1" applyAlignment="1">
      <alignment horizontal="center" vertical="center" wrapText="1"/>
    </xf>
    <xf numFmtId="0" fontId="27" fillId="0" borderId="1" xfId="0" applyFont="1" applyFill="1" applyBorder="1" applyAlignment="1">
      <alignment horizontal="left" vertical="top" wrapText="1"/>
    </xf>
    <xf numFmtId="0" fontId="27" fillId="0" borderId="2" xfId="0" applyFont="1" applyFill="1" applyBorder="1" applyAlignment="1">
      <alignment horizontal="left" vertical="top" wrapText="1"/>
    </xf>
    <xf numFmtId="0" fontId="27" fillId="0" borderId="3" xfId="0" applyFont="1" applyFill="1" applyBorder="1" applyAlignment="1">
      <alignment horizontal="left" vertical="top" wrapText="1"/>
    </xf>
    <xf numFmtId="0" fontId="5" fillId="3" borderId="1" xfId="0" applyFont="1" applyFill="1" applyBorder="1" applyAlignment="1" applyProtection="1">
      <alignment horizontal="center" vertical="center" wrapText="1"/>
      <protection locked="0"/>
    </xf>
    <xf numFmtId="0" fontId="5" fillId="3" borderId="3" xfId="0" applyFont="1" applyFill="1" applyBorder="1" applyAlignment="1" applyProtection="1">
      <alignment horizontal="center" vertical="center" wrapText="1"/>
      <protection locked="0"/>
    </xf>
    <xf numFmtId="0" fontId="5" fillId="3" borderId="7" xfId="0" applyFont="1" applyFill="1" applyBorder="1" applyAlignment="1" applyProtection="1">
      <alignment horizontal="center" vertical="center" wrapText="1"/>
      <protection locked="0"/>
    </xf>
    <xf numFmtId="0" fontId="5" fillId="3" borderId="8" xfId="0" applyFont="1" applyFill="1" applyBorder="1" applyAlignment="1" applyProtection="1">
      <alignment horizontal="center" vertical="center" wrapText="1"/>
      <protection locked="0"/>
    </xf>
    <xf numFmtId="0" fontId="5" fillId="3" borderId="4" xfId="0" applyFont="1" applyFill="1" applyBorder="1" applyAlignment="1" applyProtection="1">
      <alignment horizontal="center" vertical="center" wrapText="1"/>
      <protection locked="0"/>
    </xf>
    <xf numFmtId="0" fontId="5" fillId="3" borderId="6" xfId="0" applyFont="1" applyFill="1" applyBorder="1" applyAlignment="1" applyProtection="1">
      <alignment horizontal="center" vertical="center" wrapText="1"/>
      <protection locked="0"/>
    </xf>
    <xf numFmtId="0" fontId="8" fillId="0" borderId="4" xfId="0" applyFont="1" applyBorder="1" applyAlignment="1">
      <alignment horizontal="left" wrapText="1" indent="2"/>
    </xf>
    <xf numFmtId="0" fontId="8" fillId="0" borderId="5" xfId="0" applyFont="1" applyBorder="1" applyAlignment="1">
      <alignment horizontal="left" wrapText="1" indent="2"/>
    </xf>
    <xf numFmtId="0" fontId="8" fillId="0" borderId="6" xfId="0" applyFont="1" applyBorder="1" applyAlignment="1">
      <alignment horizontal="left" wrapText="1" indent="2"/>
    </xf>
    <xf numFmtId="0" fontId="9" fillId="0" borderId="1" xfId="0" applyFont="1" applyBorder="1" applyAlignment="1">
      <alignment horizontal="left" wrapText="1"/>
    </xf>
    <xf numFmtId="0" fontId="9" fillId="0" borderId="2" xfId="0" applyFont="1" applyBorder="1" applyAlignment="1">
      <alignment horizontal="left" wrapText="1"/>
    </xf>
    <xf numFmtId="0" fontId="9" fillId="0" borderId="3" xfId="0" applyFont="1" applyBorder="1" applyAlignment="1">
      <alignment horizontal="left" wrapText="1"/>
    </xf>
    <xf numFmtId="0" fontId="5" fillId="3" borderId="16" xfId="0" applyFont="1" applyFill="1" applyBorder="1" applyAlignment="1" applyProtection="1">
      <alignment horizontal="left" wrapText="1"/>
      <protection locked="0"/>
    </xf>
    <xf numFmtId="0" fontId="5" fillId="3" borderId="18" xfId="0" applyFont="1" applyFill="1" applyBorder="1" applyAlignment="1" applyProtection="1">
      <alignment horizontal="left" wrapText="1"/>
      <protection locked="0"/>
    </xf>
    <xf numFmtId="0" fontId="10" fillId="0" borderId="35" xfId="0" applyFont="1" applyBorder="1" applyAlignment="1">
      <alignment horizontal="left" vertical="top" wrapText="1"/>
    </xf>
    <xf numFmtId="0" fontId="10" fillId="0" borderId="24" xfId="0" applyFont="1" applyBorder="1" applyAlignment="1">
      <alignment horizontal="left" vertical="top" wrapText="1"/>
    </xf>
    <xf numFmtId="0" fontId="10" fillId="0" borderId="25" xfId="0" applyFont="1" applyBorder="1" applyAlignment="1">
      <alignment horizontal="left" vertical="top" wrapText="1"/>
    </xf>
    <xf numFmtId="0" fontId="5" fillId="0" borderId="56" xfId="0" applyFont="1" applyBorder="1" applyAlignment="1" applyProtection="1">
      <alignment horizontal="left" wrapText="1"/>
    </xf>
    <xf numFmtId="0" fontId="5" fillId="0" borderId="57" xfId="0" applyFont="1" applyBorder="1" applyAlignment="1" applyProtection="1">
      <alignment horizontal="left" wrapText="1"/>
    </xf>
    <xf numFmtId="0" fontId="5" fillId="0" borderId="39" xfId="0" applyFont="1" applyBorder="1" applyAlignment="1" applyProtection="1">
      <alignment horizontal="left" wrapText="1"/>
    </xf>
    <xf numFmtId="0" fontId="8" fillId="0" borderId="1" xfId="0" applyFont="1" applyBorder="1" applyAlignment="1" applyProtection="1">
      <alignment horizontal="left" wrapText="1" indent="2"/>
      <protection locked="0"/>
    </xf>
    <xf numFmtId="0" fontId="8" fillId="0" borderId="2" xfId="0" applyFont="1" applyBorder="1" applyAlignment="1" applyProtection="1">
      <alignment horizontal="left" wrapText="1" indent="2"/>
      <protection locked="0"/>
    </xf>
    <xf numFmtId="0" fontId="5" fillId="0" borderId="7" xfId="0" applyFont="1" applyBorder="1" applyAlignment="1">
      <alignment horizontal="left" wrapText="1" indent="3"/>
    </xf>
    <xf numFmtId="0" fontId="5" fillId="0" borderId="0" xfId="0" applyFont="1" applyBorder="1" applyAlignment="1">
      <alignment horizontal="left" wrapText="1" indent="3"/>
    </xf>
    <xf numFmtId="0" fontId="5" fillId="0" borderId="8" xfId="0" applyFont="1" applyBorder="1" applyAlignment="1">
      <alignment horizontal="left" wrapText="1" indent="3"/>
    </xf>
    <xf numFmtId="0" fontId="0" fillId="0" borderId="0" xfId="0" applyBorder="1" applyAlignment="1">
      <alignment horizontal="left" indent="1"/>
    </xf>
    <xf numFmtId="0" fontId="0" fillId="0" borderId="8" xfId="0" applyBorder="1" applyAlignment="1">
      <alignment horizontal="left" indent="1"/>
    </xf>
    <xf numFmtId="0" fontId="5" fillId="0" borderId="45" xfId="0" applyFont="1" applyBorder="1" applyAlignment="1">
      <alignment horizontal="left" vertical="center" wrapText="1" indent="3"/>
    </xf>
    <xf numFmtId="0" fontId="0" fillId="0" borderId="43" xfId="0" applyBorder="1" applyAlignment="1">
      <alignment horizontal="left" indent="3"/>
    </xf>
    <xf numFmtId="0" fontId="5" fillId="0" borderId="50" xfId="0" applyFont="1" applyBorder="1" applyAlignment="1">
      <alignment horizontal="left" vertical="center" wrapText="1" indent="3"/>
    </xf>
    <xf numFmtId="0" fontId="0" fillId="0" borderId="44" xfId="0" applyBorder="1" applyAlignment="1">
      <alignment horizontal="left" indent="3"/>
    </xf>
    <xf numFmtId="0" fontId="5" fillId="3" borderId="43" xfId="0" applyFont="1" applyFill="1" applyBorder="1" applyAlignment="1" applyProtection="1">
      <alignment horizontal="center" vertical="center" wrapText="1"/>
      <protection locked="0"/>
    </xf>
    <xf numFmtId="0" fontId="5" fillId="3" borderId="49" xfId="0" applyFont="1" applyFill="1" applyBorder="1" applyAlignment="1" applyProtection="1">
      <alignment horizontal="center" vertical="center" wrapText="1"/>
      <protection locked="0"/>
    </xf>
    <xf numFmtId="0" fontId="5" fillId="3" borderId="44" xfId="0" applyFont="1" applyFill="1" applyBorder="1" applyAlignment="1" applyProtection="1">
      <alignment horizontal="center" vertical="center" wrapText="1"/>
      <protection locked="0"/>
    </xf>
    <xf numFmtId="0" fontId="5" fillId="3" borderId="52" xfId="0" applyFont="1" applyFill="1" applyBorder="1" applyAlignment="1" applyProtection="1">
      <alignment horizontal="center" vertical="center" wrapText="1"/>
      <protection locked="0"/>
    </xf>
    <xf numFmtId="0" fontId="9" fillId="0" borderId="9" xfId="0" applyFont="1" applyFill="1" applyBorder="1" applyAlignment="1">
      <alignment horizontal="left" wrapText="1"/>
    </xf>
    <xf numFmtId="0" fontId="9" fillId="0" borderId="10" xfId="0" applyFont="1" applyFill="1" applyBorder="1" applyAlignment="1">
      <alignment horizontal="left" wrapText="1"/>
    </xf>
    <xf numFmtId="0" fontId="9" fillId="0" borderId="11" xfId="0" applyFont="1" applyFill="1" applyBorder="1" applyAlignment="1">
      <alignment horizontal="left" wrapText="1"/>
    </xf>
    <xf numFmtId="0" fontId="5" fillId="0" borderId="7" xfId="0" applyFont="1" applyBorder="1" applyAlignment="1">
      <alignment horizontal="left" vertical="center" wrapText="1"/>
    </xf>
    <xf numFmtId="0" fontId="5" fillId="0" borderId="22" xfId="0" applyFont="1" applyBorder="1" applyAlignment="1">
      <alignment horizontal="left" vertical="center" wrapText="1"/>
    </xf>
    <xf numFmtId="0" fontId="10" fillId="0" borderId="1" xfId="0" applyFont="1" applyBorder="1" applyAlignment="1">
      <alignment horizontal="left" vertical="center" wrapText="1"/>
    </xf>
    <xf numFmtId="0" fontId="10" fillId="0" borderId="2" xfId="0" applyFont="1" applyBorder="1" applyAlignment="1">
      <alignment horizontal="left" vertical="center" wrapText="1"/>
    </xf>
    <xf numFmtId="0" fontId="10" fillId="0" borderId="28" xfId="0" applyFont="1" applyBorder="1" applyAlignment="1">
      <alignment horizontal="left" vertical="center" wrapText="1"/>
    </xf>
    <xf numFmtId="0" fontId="5" fillId="0" borderId="41" xfId="0" applyFont="1" applyBorder="1" applyAlignment="1">
      <alignment horizontal="left" vertical="top" wrapText="1"/>
    </xf>
    <xf numFmtId="0" fontId="5" fillId="0" borderId="42" xfId="0" applyFont="1" applyBorder="1" applyAlignment="1">
      <alignment horizontal="left" vertical="top" wrapText="1"/>
    </xf>
    <xf numFmtId="0" fontId="10" fillId="0" borderId="27" xfId="0" applyFont="1" applyBorder="1" applyAlignment="1">
      <alignment horizontal="left" vertical="center" wrapText="1"/>
    </xf>
    <xf numFmtId="0" fontId="10" fillId="0" borderId="3" xfId="0" applyFont="1" applyBorder="1" applyAlignment="1">
      <alignment horizontal="left" vertical="center" wrapText="1"/>
    </xf>
    <xf numFmtId="0" fontId="10" fillId="0" borderId="15"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5" fillId="0" borderId="21" xfId="0" applyFont="1" applyBorder="1" applyAlignment="1">
      <alignment horizontal="left" vertical="center" wrapText="1"/>
    </xf>
    <xf numFmtId="0" fontId="5" fillId="0" borderId="23" xfId="0" applyFont="1" applyBorder="1" applyAlignment="1">
      <alignment horizontal="left" vertical="top" wrapText="1"/>
    </xf>
    <xf numFmtId="0" fontId="5" fillId="0" borderId="24" xfId="0" applyFont="1" applyBorder="1" applyAlignment="1">
      <alignment horizontal="left" vertical="top" wrapText="1"/>
    </xf>
    <xf numFmtId="0" fontId="5" fillId="0" borderId="36" xfId="0" applyFont="1" applyBorder="1" applyAlignment="1">
      <alignment horizontal="left" vertical="top" wrapText="1"/>
    </xf>
    <xf numFmtId="0" fontId="5" fillId="3" borderId="16" xfId="0" applyFont="1" applyFill="1" applyBorder="1" applyAlignment="1" applyProtection="1">
      <alignment horizontal="left" vertical="top" wrapText="1"/>
      <protection locked="0"/>
    </xf>
    <xf numFmtId="0" fontId="5" fillId="3" borderId="17" xfId="0" applyFont="1" applyFill="1" applyBorder="1" applyAlignment="1" applyProtection="1">
      <alignment horizontal="left" vertical="top" wrapText="1"/>
      <protection locked="0"/>
    </xf>
    <xf numFmtId="0" fontId="5" fillId="3" borderId="38" xfId="0" applyFont="1" applyFill="1" applyBorder="1" applyAlignment="1" applyProtection="1">
      <alignment horizontal="left" vertical="top" wrapText="1"/>
      <protection locked="0"/>
    </xf>
    <xf numFmtId="0" fontId="5" fillId="0" borderId="1" xfId="0" applyFont="1" applyBorder="1" applyAlignment="1">
      <alignment horizontal="left" wrapText="1" indent="1"/>
    </xf>
    <xf numFmtId="0" fontId="0" fillId="0" borderId="2" xfId="0" applyBorder="1" applyAlignment="1">
      <alignment horizontal="left" indent="1"/>
    </xf>
    <xf numFmtId="0" fontId="0" fillId="0" borderId="3" xfId="0" applyBorder="1" applyAlignment="1">
      <alignment horizontal="left" indent="1"/>
    </xf>
    <xf numFmtId="0" fontId="5" fillId="0" borderId="9" xfId="0" applyFont="1" applyBorder="1" applyAlignment="1" applyProtection="1">
      <alignment horizontal="center" vertical="center" wrapText="1"/>
    </xf>
    <xf numFmtId="0" fontId="5" fillId="0" borderId="11" xfId="0" applyFont="1" applyBorder="1" applyAlignment="1" applyProtection="1">
      <alignment horizontal="center" vertical="center" wrapText="1"/>
    </xf>
    <xf numFmtId="0" fontId="5" fillId="3" borderId="18" xfId="0" applyFont="1" applyFill="1" applyBorder="1" applyAlignment="1" applyProtection="1">
      <alignment horizontal="center" vertical="center" wrapText="1"/>
      <protection locked="0"/>
    </xf>
    <xf numFmtId="164" fontId="6" fillId="6" borderId="46" xfId="0" applyNumberFormat="1" applyFont="1" applyFill="1" applyBorder="1" applyAlignment="1" applyProtection="1">
      <alignment horizontal="center" wrapText="1"/>
      <protection locked="0"/>
    </xf>
    <xf numFmtId="164" fontId="0" fillId="0" borderId="57" xfId="0" applyNumberFormat="1" applyBorder="1" applyAlignment="1" applyProtection="1">
      <alignment horizontal="center" wrapText="1"/>
      <protection locked="0"/>
    </xf>
    <xf numFmtId="164" fontId="0" fillId="0" borderId="51" xfId="0" applyNumberFormat="1" applyBorder="1" applyAlignment="1" applyProtection="1">
      <alignment horizontal="center" wrapText="1"/>
      <protection locked="0"/>
    </xf>
    <xf numFmtId="0" fontId="27" fillId="0" borderId="7" xfId="0" applyFont="1" applyBorder="1" applyAlignment="1">
      <alignment horizontal="left" vertical="top" wrapText="1"/>
    </xf>
    <xf numFmtId="0" fontId="30" fillId="0" borderId="0" xfId="0" applyFont="1" applyBorder="1" applyAlignment="1">
      <alignment horizontal="left" vertical="top" wrapText="1"/>
    </xf>
    <xf numFmtId="0" fontId="30" fillId="0" borderId="8" xfId="0" applyFont="1" applyBorder="1" applyAlignment="1">
      <alignment horizontal="left" vertical="top"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42" fillId="0" borderId="0" xfId="0" applyFont="1" applyAlignment="1">
      <alignment horizontal="center" vertical="top"/>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0" fontId="8" fillId="0" borderId="16" xfId="0" applyFont="1" applyBorder="1" applyAlignment="1">
      <alignment horizontal="left" vertical="top" wrapText="1"/>
    </xf>
    <xf numFmtId="0" fontId="5" fillId="3" borderId="37" xfId="0" applyFont="1" applyFill="1" applyBorder="1" applyAlignment="1" applyProtection="1">
      <alignment horizontal="center" vertical="center" wrapText="1"/>
      <protection locked="0"/>
    </xf>
    <xf numFmtId="0" fontId="5" fillId="0" borderId="4" xfId="0" applyFont="1" applyBorder="1" applyAlignment="1">
      <alignment horizontal="left" wrapText="1" indent="2"/>
    </xf>
    <xf numFmtId="0" fontId="5" fillId="0" borderId="5" xfId="0" applyFont="1" applyBorder="1" applyAlignment="1">
      <alignment horizontal="left" wrapText="1" indent="2"/>
    </xf>
    <xf numFmtId="0" fontId="5" fillId="0" borderId="6" xfId="0" applyFont="1" applyBorder="1" applyAlignment="1">
      <alignment horizontal="left" wrapText="1" indent="2"/>
    </xf>
    <xf numFmtId="0" fontId="5" fillId="0" borderId="7" xfId="0" applyFont="1" applyBorder="1" applyAlignment="1">
      <alignment horizontal="left" vertical="center" wrapText="1" indent="1"/>
    </xf>
    <xf numFmtId="0" fontId="5" fillId="0" borderId="0" xfId="0" applyFont="1" applyBorder="1" applyAlignment="1">
      <alignment horizontal="left" vertical="center" wrapText="1" indent="1"/>
    </xf>
    <xf numFmtId="0" fontId="5" fillId="0" borderId="8" xfId="0" applyFont="1" applyBorder="1" applyAlignment="1">
      <alignment horizontal="left" vertical="center" wrapText="1" indent="1"/>
    </xf>
    <xf numFmtId="0" fontId="5" fillId="0" borderId="7" xfId="0" applyFont="1" applyBorder="1" applyAlignment="1">
      <alignment horizontal="left" wrapText="1" indent="2"/>
    </xf>
    <xf numFmtId="0" fontId="5" fillId="0" borderId="0" xfId="0" applyFont="1" applyBorder="1" applyAlignment="1">
      <alignment horizontal="left" wrapText="1" indent="2"/>
    </xf>
    <xf numFmtId="0" fontId="5" fillId="0" borderId="8" xfId="0" applyFont="1" applyBorder="1" applyAlignment="1">
      <alignment horizontal="left" wrapText="1" indent="2"/>
    </xf>
    <xf numFmtId="49" fontId="5" fillId="3" borderId="45" xfId="0" applyNumberFormat="1" applyFont="1" applyFill="1" applyBorder="1" applyAlignment="1" applyProtection="1">
      <alignment horizontal="left" wrapText="1"/>
      <protection locked="0"/>
    </xf>
    <xf numFmtId="49" fontId="5" fillId="3" borderId="43" xfId="0" applyNumberFormat="1" applyFont="1" applyFill="1" applyBorder="1" applyAlignment="1" applyProtection="1">
      <alignment horizontal="left" wrapText="1"/>
      <protection locked="0"/>
    </xf>
    <xf numFmtId="0" fontId="5" fillId="0" borderId="1" xfId="0" applyFont="1" applyBorder="1" applyAlignment="1">
      <alignment horizontal="right" vertical="center" wrapText="1"/>
    </xf>
    <xf numFmtId="0" fontId="5" fillId="0" borderId="2" xfId="0" applyFont="1" applyBorder="1" applyAlignment="1">
      <alignment horizontal="right" vertical="center" wrapText="1"/>
    </xf>
    <xf numFmtId="0" fontId="10" fillId="0" borderId="15"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5" fillId="0" borderId="1" xfId="0" applyFont="1" applyFill="1" applyBorder="1" applyAlignment="1">
      <alignment horizontal="left" wrapText="1" indent="1"/>
    </xf>
    <xf numFmtId="0" fontId="5" fillId="0" borderId="2" xfId="0" applyFont="1" applyFill="1" applyBorder="1" applyAlignment="1">
      <alignment horizontal="left" wrapText="1" indent="1"/>
    </xf>
    <xf numFmtId="0" fontId="5" fillId="0" borderId="3" xfId="0" applyFont="1" applyFill="1" applyBorder="1" applyAlignment="1">
      <alignment horizontal="left" wrapText="1" indent="1"/>
    </xf>
    <xf numFmtId="0" fontId="0" fillId="0" borderId="4" xfId="0"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5" fillId="0" borderId="1" xfId="0" applyFont="1" applyBorder="1" applyAlignment="1">
      <alignment horizontal="left" vertical="center" wrapText="1" indent="1"/>
    </xf>
    <xf numFmtId="0" fontId="5" fillId="0" borderId="2" xfId="0" applyFont="1" applyBorder="1" applyAlignment="1">
      <alignment horizontal="left" vertical="center" wrapText="1" indent="1"/>
    </xf>
    <xf numFmtId="0" fontId="5" fillId="0" borderId="3" xfId="0" applyFont="1" applyBorder="1" applyAlignment="1">
      <alignment horizontal="left" vertical="center" wrapText="1" indent="1"/>
    </xf>
    <xf numFmtId="0" fontId="27" fillId="3" borderId="12" xfId="0" applyFont="1" applyFill="1" applyBorder="1" applyAlignment="1" applyProtection="1">
      <alignment horizontal="center" vertical="center" wrapText="1"/>
      <protection locked="0"/>
    </xf>
    <xf numFmtId="0" fontId="5" fillId="0" borderId="7" xfId="0" applyFont="1" applyFill="1" applyBorder="1" applyAlignment="1" applyProtection="1">
      <alignment horizontal="center" vertical="center" wrapText="1"/>
    </xf>
    <xf numFmtId="0" fontId="5" fillId="0" borderId="8" xfId="0" applyFont="1" applyFill="1" applyBorder="1" applyAlignment="1" applyProtection="1">
      <alignment horizontal="center" vertical="center" wrapText="1"/>
    </xf>
    <xf numFmtId="0" fontId="27" fillId="0" borderId="7" xfId="0" applyFont="1" applyFill="1" applyBorder="1" applyAlignment="1" applyProtection="1">
      <alignment horizontal="center" vertical="center" wrapText="1"/>
    </xf>
    <xf numFmtId="0" fontId="27" fillId="0" borderId="8" xfId="0" applyFont="1" applyFill="1" applyBorder="1" applyAlignment="1" applyProtection="1">
      <alignment horizontal="center" vertical="center" wrapText="1"/>
    </xf>
    <xf numFmtId="164" fontId="5" fillId="3" borderId="2" xfId="0" applyNumberFormat="1" applyFont="1" applyFill="1" applyBorder="1" applyAlignment="1" applyProtection="1">
      <alignment horizontal="center" vertical="top" wrapText="1"/>
      <protection locked="0"/>
    </xf>
    <xf numFmtId="164" fontId="5" fillId="3" borderId="3" xfId="0" applyNumberFormat="1" applyFont="1" applyFill="1" applyBorder="1" applyAlignment="1" applyProtection="1">
      <alignment horizontal="center" vertical="top" wrapText="1"/>
      <protection locked="0"/>
    </xf>
    <xf numFmtId="0" fontId="10" fillId="0" borderId="1" xfId="0" applyFont="1" applyBorder="1" applyAlignment="1" applyProtection="1">
      <alignment horizontal="center" wrapText="1"/>
    </xf>
    <xf numFmtId="0" fontId="10" fillId="0" borderId="3" xfId="0" applyFont="1" applyBorder="1" applyAlignment="1" applyProtection="1">
      <alignment horizontal="center" wrapText="1"/>
    </xf>
    <xf numFmtId="164" fontId="27" fillId="3" borderId="2" xfId="0" applyNumberFormat="1" applyFont="1" applyFill="1" applyBorder="1" applyAlignment="1" applyProtection="1">
      <alignment horizontal="center" vertical="top" wrapText="1"/>
      <protection locked="0"/>
    </xf>
    <xf numFmtId="164" fontId="27" fillId="3" borderId="3" xfId="0" applyNumberFormat="1" applyFont="1" applyFill="1" applyBorder="1" applyAlignment="1" applyProtection="1">
      <alignment horizontal="center" vertical="top" wrapText="1"/>
      <protection locked="0"/>
    </xf>
    <xf numFmtId="0" fontId="6" fillId="0" borderId="42" xfId="0" applyFont="1" applyBorder="1" applyAlignment="1">
      <alignment horizontal="left" vertical="top" wrapText="1"/>
    </xf>
    <xf numFmtId="0" fontId="6" fillId="0" borderId="48" xfId="0" applyFont="1" applyBorder="1" applyAlignment="1">
      <alignment horizontal="left" vertical="top" wrapText="1"/>
    </xf>
    <xf numFmtId="0" fontId="6" fillId="0" borderId="54" xfId="0" applyFont="1" applyBorder="1" applyAlignment="1">
      <alignment horizontal="left" vertical="top" wrapText="1"/>
    </xf>
    <xf numFmtId="0" fontId="6" fillId="0" borderId="55" xfId="0" applyFont="1" applyBorder="1" applyAlignment="1">
      <alignment horizontal="left" vertical="top" wrapText="1"/>
    </xf>
    <xf numFmtId="0" fontId="5" fillId="3" borderId="63" xfId="0" applyFont="1" applyFill="1" applyBorder="1" applyAlignment="1" applyProtection="1">
      <alignment horizontal="center" vertical="center" wrapText="1"/>
      <protection locked="0"/>
    </xf>
    <xf numFmtId="0" fontId="5" fillId="3" borderId="64" xfId="0" applyFont="1" applyFill="1" applyBorder="1" applyAlignment="1" applyProtection="1">
      <alignment horizontal="center" vertical="center" wrapText="1"/>
      <protection locked="0"/>
    </xf>
    <xf numFmtId="0" fontId="10" fillId="0" borderId="1"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27" fillId="0" borderId="7" xfId="0" applyFont="1" applyFill="1" applyBorder="1" applyAlignment="1">
      <alignment horizontal="left" vertical="top" wrapText="1"/>
    </xf>
    <xf numFmtId="0" fontId="27" fillId="0" borderId="0" xfId="0" applyFont="1" applyFill="1" applyBorder="1" applyAlignment="1">
      <alignment horizontal="left" vertical="top" wrapText="1"/>
    </xf>
    <xf numFmtId="0" fontId="27" fillId="0" borderId="8" xfId="0" applyFont="1" applyFill="1" applyBorder="1" applyAlignment="1">
      <alignment horizontal="left" vertical="top" wrapText="1"/>
    </xf>
    <xf numFmtId="0" fontId="9" fillId="0" borderId="1" xfId="0" applyFont="1" applyBorder="1" applyAlignment="1">
      <alignment horizontal="left" vertical="top" wrapText="1"/>
    </xf>
    <xf numFmtId="0" fontId="9" fillId="0" borderId="2" xfId="0" applyFont="1" applyBorder="1" applyAlignment="1">
      <alignment horizontal="left" vertical="top" wrapText="1"/>
    </xf>
    <xf numFmtId="0" fontId="9" fillId="0" borderId="3" xfId="0" applyFont="1" applyBorder="1" applyAlignment="1">
      <alignment horizontal="left" vertical="top" wrapText="1"/>
    </xf>
    <xf numFmtId="0" fontId="9" fillId="0" borderId="7" xfId="0" applyFont="1" applyBorder="1" applyAlignment="1">
      <alignment horizontal="left" vertical="top" wrapText="1"/>
    </xf>
    <xf numFmtId="0" fontId="9" fillId="0" borderId="0" xfId="0" applyFont="1" applyBorder="1" applyAlignment="1">
      <alignment horizontal="left" vertical="top" wrapText="1"/>
    </xf>
    <xf numFmtId="0" fontId="9" fillId="0" borderId="8" xfId="0" applyFont="1" applyBorder="1" applyAlignment="1">
      <alignment horizontal="left" vertical="top"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5" fillId="0" borderId="12" xfId="0" applyFont="1" applyBorder="1" applyAlignment="1" applyProtection="1">
      <alignment horizontal="center" vertical="center" wrapText="1"/>
    </xf>
    <xf numFmtId="0" fontId="6" fillId="0" borderId="16" xfId="0" applyFont="1" applyBorder="1" applyAlignment="1">
      <alignment horizontal="left" vertical="top" wrapText="1"/>
    </xf>
    <xf numFmtId="0" fontId="6" fillId="0" borderId="17" xfId="0" applyFont="1" applyBorder="1" applyAlignment="1">
      <alignment horizontal="left" vertical="top" wrapText="1"/>
    </xf>
    <xf numFmtId="0" fontId="6" fillId="0" borderId="18" xfId="0" applyFont="1" applyBorder="1" applyAlignment="1">
      <alignment horizontal="left" vertical="top" wrapText="1"/>
    </xf>
    <xf numFmtId="0" fontId="5" fillId="0" borderId="4" xfId="0" applyFont="1" applyFill="1" applyBorder="1" applyAlignment="1">
      <alignment horizontal="left" wrapText="1" indent="1"/>
    </xf>
    <xf numFmtId="0" fontId="5" fillId="0" borderId="5" xfId="0" applyFont="1" applyFill="1" applyBorder="1" applyAlignment="1">
      <alignment horizontal="left" wrapText="1" indent="1"/>
    </xf>
    <xf numFmtId="0" fontId="5" fillId="0" borderId="6" xfId="0" applyFont="1" applyFill="1" applyBorder="1" applyAlignment="1">
      <alignment horizontal="left" wrapText="1" indent="1"/>
    </xf>
    <xf numFmtId="0" fontId="5" fillId="3" borderId="1" xfId="0" applyFont="1" applyFill="1" applyBorder="1" applyAlignment="1" applyProtection="1">
      <alignment horizontal="center" vertical="center" wrapText="1"/>
    </xf>
    <xf numFmtId="0" fontId="5" fillId="3" borderId="3" xfId="0" applyFont="1" applyFill="1" applyBorder="1" applyAlignment="1" applyProtection="1">
      <alignment horizontal="center" vertical="center" wrapText="1"/>
    </xf>
    <xf numFmtId="0" fontId="5" fillId="3" borderId="7" xfId="0" applyFont="1" applyFill="1" applyBorder="1" applyAlignment="1" applyProtection="1">
      <alignment horizontal="center" vertical="center" wrapText="1"/>
    </xf>
    <xf numFmtId="0" fontId="5" fillId="3" borderId="8"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6" xfId="0" applyFont="1" applyFill="1" applyBorder="1" applyAlignment="1" applyProtection="1">
      <alignment horizontal="center" vertical="center" wrapText="1"/>
    </xf>
    <xf numFmtId="0" fontId="9" fillId="0" borderId="1" xfId="0" applyFont="1" applyFill="1" applyBorder="1" applyAlignment="1">
      <alignment horizontal="left" vertical="top" wrapText="1"/>
    </xf>
    <xf numFmtId="0" fontId="9" fillId="0" borderId="2" xfId="0" applyFont="1" applyFill="1" applyBorder="1" applyAlignment="1">
      <alignment horizontal="left" vertical="top" wrapText="1"/>
    </xf>
    <xf numFmtId="0" fontId="9" fillId="0" borderId="3" xfId="0" applyFont="1" applyFill="1" applyBorder="1" applyAlignment="1">
      <alignment horizontal="left" vertical="top" wrapText="1"/>
    </xf>
    <xf numFmtId="0" fontId="9" fillId="0" borderId="7" xfId="0" applyFont="1" applyFill="1" applyBorder="1" applyAlignment="1">
      <alignment horizontal="left" vertical="top" wrapText="1"/>
    </xf>
    <xf numFmtId="0" fontId="9" fillId="0" borderId="0" xfId="0" applyFont="1" applyFill="1" applyBorder="1" applyAlignment="1">
      <alignment horizontal="left" vertical="top" wrapText="1"/>
    </xf>
    <xf numFmtId="0" fontId="9" fillId="0" borderId="8" xfId="0" applyFont="1" applyFill="1" applyBorder="1" applyAlignment="1">
      <alignment horizontal="left" vertical="top" wrapText="1"/>
    </xf>
    <xf numFmtId="0" fontId="10" fillId="0" borderId="7" xfId="0" applyFont="1" applyBorder="1" applyAlignment="1">
      <alignment horizontal="left" vertical="top" wrapText="1" indent="1"/>
    </xf>
    <xf numFmtId="0" fontId="10" fillId="0" borderId="0" xfId="0" applyFont="1" applyBorder="1" applyAlignment="1">
      <alignment horizontal="left" vertical="top" wrapText="1" indent="1"/>
    </xf>
    <xf numFmtId="0" fontId="10" fillId="0" borderId="8" xfId="0" applyFont="1" applyBorder="1" applyAlignment="1">
      <alignment horizontal="left" vertical="top" wrapText="1" inden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5" fillId="0" borderId="9" xfId="0" applyFont="1" applyBorder="1" applyAlignment="1">
      <alignment horizontal="left" vertical="center" wrapText="1"/>
    </xf>
    <xf numFmtId="0" fontId="5" fillId="0" borderId="10" xfId="0" applyFont="1" applyBorder="1" applyAlignment="1">
      <alignment horizontal="left" vertical="center" wrapText="1"/>
    </xf>
    <xf numFmtId="0" fontId="5" fillId="0" borderId="11" xfId="0" applyFont="1" applyBorder="1" applyAlignment="1">
      <alignment horizontal="left" vertical="center" wrapText="1"/>
    </xf>
    <xf numFmtId="0" fontId="10" fillId="0" borderId="63" xfId="0" applyFont="1" applyBorder="1" applyAlignment="1">
      <alignment horizontal="left" vertical="center" wrapText="1"/>
    </xf>
    <xf numFmtId="0" fontId="8" fillId="0" borderId="4" xfId="0" applyFont="1" applyBorder="1" applyAlignment="1">
      <alignment horizontal="left" vertical="center" wrapText="1" indent="2"/>
    </xf>
    <xf numFmtId="0" fontId="8" fillId="0" borderId="5" xfId="0" applyFont="1" applyBorder="1" applyAlignment="1">
      <alignment horizontal="left" vertical="center" wrapText="1" indent="2"/>
    </xf>
    <xf numFmtId="0" fontId="8" fillId="0" borderId="6" xfId="0" applyFont="1" applyBorder="1" applyAlignment="1">
      <alignment horizontal="left" vertical="center" wrapText="1" indent="2"/>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5" fillId="0" borderId="7" xfId="0" applyFont="1" applyBorder="1" applyAlignment="1">
      <alignment horizontal="left" wrapText="1" indent="5"/>
    </xf>
    <xf numFmtId="0" fontId="5" fillId="0" borderId="0" xfId="0" applyFont="1" applyBorder="1" applyAlignment="1">
      <alignment horizontal="left" wrapText="1" indent="5"/>
    </xf>
    <xf numFmtId="0" fontId="5" fillId="0" borderId="8" xfId="0" applyFont="1" applyBorder="1" applyAlignment="1">
      <alignment horizontal="left" wrapText="1" indent="5"/>
    </xf>
    <xf numFmtId="0" fontId="5" fillId="0" borderId="4" xfId="0" applyFont="1" applyBorder="1" applyAlignment="1">
      <alignment horizontal="left" wrapText="1" indent="5"/>
    </xf>
    <xf numFmtId="0" fontId="5" fillId="0" borderId="5" xfId="0" applyFont="1" applyBorder="1" applyAlignment="1">
      <alignment horizontal="left" wrapText="1" indent="5"/>
    </xf>
    <xf numFmtId="0" fontId="5" fillId="0" borderId="6" xfId="0" applyFont="1" applyBorder="1" applyAlignment="1">
      <alignment horizontal="left" wrapText="1" indent="5"/>
    </xf>
    <xf numFmtId="0" fontId="0" fillId="0" borderId="2" xfId="0" applyBorder="1" applyAlignment="1">
      <alignment horizontal="left" vertical="top" wrapText="1"/>
    </xf>
    <xf numFmtId="0" fontId="0" fillId="0" borderId="3" xfId="0" applyBorder="1" applyAlignment="1">
      <alignment horizontal="left" vertical="top" wrapText="1"/>
    </xf>
    <xf numFmtId="0" fontId="27" fillId="0" borderId="1" xfId="0" applyFont="1" applyBorder="1" applyAlignment="1">
      <alignment horizontal="left" vertical="top" wrapText="1"/>
    </xf>
    <xf numFmtId="0" fontId="30" fillId="0" borderId="2" xfId="0" applyFont="1" applyBorder="1" applyAlignment="1">
      <alignment horizontal="left" vertical="top" wrapText="1"/>
    </xf>
    <xf numFmtId="0" fontId="30" fillId="0" borderId="3" xfId="0" applyFont="1" applyBorder="1" applyAlignment="1">
      <alignment horizontal="left" vertical="top" wrapText="1"/>
    </xf>
    <xf numFmtId="0" fontId="27" fillId="0" borderId="4" xfId="0" applyFont="1" applyBorder="1" applyAlignment="1">
      <alignment horizontal="left" wrapText="1"/>
    </xf>
    <xf numFmtId="0" fontId="29" fillId="0" borderId="5" xfId="0" applyFont="1" applyBorder="1" applyAlignment="1">
      <alignment horizontal="left" wrapText="1"/>
    </xf>
    <xf numFmtId="0" fontId="29" fillId="0" borderId="6" xfId="0" applyFont="1" applyBorder="1" applyAlignment="1">
      <alignment horizontal="left" wrapText="1"/>
    </xf>
    <xf numFmtId="0" fontId="5" fillId="6" borderId="63" xfId="0" applyFont="1" applyFill="1" applyBorder="1" applyAlignment="1" applyProtection="1">
      <alignment horizontal="center" vertical="center" wrapText="1"/>
      <protection locked="0"/>
    </xf>
    <xf numFmtId="0" fontId="5" fillId="6" borderId="64" xfId="0" applyFont="1" applyFill="1" applyBorder="1" applyAlignment="1" applyProtection="1">
      <alignment horizontal="center" vertical="center" wrapText="1"/>
      <protection locked="0"/>
    </xf>
    <xf numFmtId="0" fontId="5" fillId="0" borderId="4" xfId="0" applyFont="1" applyBorder="1" applyAlignment="1">
      <alignment horizontal="left" wrapText="1"/>
    </xf>
    <xf numFmtId="0" fontId="5" fillId="0" borderId="5" xfId="0" applyFont="1" applyBorder="1" applyAlignment="1">
      <alignment horizontal="left" wrapText="1"/>
    </xf>
    <xf numFmtId="0" fontId="5" fillId="0" borderId="6" xfId="0" applyFont="1" applyBorder="1" applyAlignment="1">
      <alignment horizontal="left" wrapText="1"/>
    </xf>
    <xf numFmtId="0" fontId="6" fillId="0" borderId="45" xfId="0" applyFont="1" applyBorder="1" applyAlignment="1">
      <alignment horizontal="left" vertical="top" wrapText="1"/>
    </xf>
    <xf numFmtId="164" fontId="5" fillId="3" borderId="65" xfId="0" applyNumberFormat="1" applyFont="1" applyFill="1" applyBorder="1" applyAlignment="1" applyProtection="1">
      <alignment horizontal="center" vertical="top" wrapText="1"/>
      <protection locked="0"/>
    </xf>
    <xf numFmtId="164" fontId="5" fillId="3" borderId="64" xfId="0" applyNumberFormat="1" applyFont="1" applyFill="1" applyBorder="1" applyAlignment="1" applyProtection="1">
      <alignment horizontal="center" vertical="top" wrapText="1"/>
      <protection locked="0"/>
    </xf>
    <xf numFmtId="0" fontId="8" fillId="0" borderId="1" xfId="0" applyFont="1" applyBorder="1" applyAlignment="1">
      <alignment horizontal="left" wrapText="1" indent="2"/>
    </xf>
    <xf numFmtId="0" fontId="8" fillId="0" borderId="2" xfId="0" applyFont="1" applyBorder="1" applyAlignment="1">
      <alignment horizontal="left" wrapText="1" indent="2"/>
    </xf>
    <xf numFmtId="0" fontId="8" fillId="0" borderId="3" xfId="0" applyFont="1" applyBorder="1" applyAlignment="1">
      <alignment horizontal="left" wrapText="1" indent="2"/>
    </xf>
    <xf numFmtId="0" fontId="5" fillId="0" borderId="2" xfId="0" applyFont="1" applyBorder="1" applyAlignment="1">
      <alignment horizontal="left" wrapText="1" indent="1"/>
    </xf>
    <xf numFmtId="0" fontId="5" fillId="0" borderId="3" xfId="0" applyFont="1" applyBorder="1" applyAlignment="1">
      <alignment horizontal="left" wrapText="1" indent="1"/>
    </xf>
    <xf numFmtId="0" fontId="5" fillId="0" borderId="35" xfId="0" applyFont="1" applyBorder="1" applyAlignment="1">
      <alignment horizontal="left" wrapText="1"/>
    </xf>
    <xf numFmtId="0" fontId="5" fillId="0" borderId="24" xfId="0" applyFont="1" applyBorder="1" applyAlignment="1">
      <alignment horizontal="left" wrapText="1"/>
    </xf>
    <xf numFmtId="0" fontId="5" fillId="0" borderId="25" xfId="0" applyFont="1" applyBorder="1" applyAlignment="1">
      <alignment horizontal="left" wrapText="1"/>
    </xf>
    <xf numFmtId="0" fontId="31" fillId="0" borderId="15" xfId="0" applyFont="1" applyBorder="1" applyAlignment="1">
      <alignment horizontal="center" vertical="center" wrapText="1"/>
    </xf>
    <xf numFmtId="0" fontId="30" fillId="0" borderId="13" xfId="0" applyFont="1" applyBorder="1" applyAlignment="1">
      <alignment horizontal="center" vertical="center" wrapText="1"/>
    </xf>
    <xf numFmtId="0" fontId="27" fillId="0" borderId="7" xfId="0" applyFont="1" applyBorder="1" applyAlignment="1">
      <alignment horizontal="left" wrapText="1"/>
    </xf>
    <xf numFmtId="0" fontId="27" fillId="0" borderId="0" xfId="0" applyFont="1" applyBorder="1" applyAlignment="1">
      <alignment horizontal="left" wrapText="1"/>
    </xf>
    <xf numFmtId="0" fontId="31" fillId="0" borderId="9" xfId="0" applyFont="1" applyFill="1" applyBorder="1" applyAlignment="1">
      <alignment horizontal="center" vertical="center" wrapText="1"/>
    </xf>
    <xf numFmtId="0" fontId="30" fillId="0" borderId="10" xfId="0" applyFont="1" applyFill="1" applyBorder="1" applyAlignment="1">
      <alignment wrapText="1"/>
    </xf>
    <xf numFmtId="0" fontId="30" fillId="0" borderId="11" xfId="0" applyFont="1" applyFill="1" applyBorder="1" applyAlignment="1">
      <alignment wrapText="1"/>
    </xf>
    <xf numFmtId="164" fontId="5" fillId="3" borderId="9" xfId="0" applyNumberFormat="1" applyFont="1" applyFill="1" applyBorder="1" applyAlignment="1" applyProtection="1">
      <alignment horizontal="center" vertical="top" wrapText="1"/>
      <protection locked="0"/>
    </xf>
    <xf numFmtId="164" fontId="5" fillId="3" borderId="11" xfId="0" applyNumberFormat="1" applyFont="1" applyFill="1" applyBorder="1" applyAlignment="1" applyProtection="1">
      <alignment horizontal="center" vertical="top" wrapText="1"/>
      <protection locked="0"/>
    </xf>
    <xf numFmtId="0" fontId="5" fillId="6" borderId="45" xfId="0" applyNumberFormat="1" applyFont="1" applyFill="1" applyBorder="1" applyAlignment="1" applyProtection="1">
      <alignment horizontal="left" wrapText="1"/>
      <protection locked="0"/>
    </xf>
    <xf numFmtId="0" fontId="5" fillId="6" borderId="43" xfId="0" applyNumberFormat="1" applyFont="1" applyFill="1" applyBorder="1" applyAlignment="1" applyProtection="1">
      <alignment horizontal="left" wrapText="1"/>
      <protection locked="0"/>
    </xf>
    <xf numFmtId="0" fontId="5" fillId="3" borderId="46" xfId="0" applyFont="1" applyFill="1" applyBorder="1" applyAlignment="1" applyProtection="1">
      <alignment horizontal="left" vertical="top" wrapText="1"/>
      <protection locked="0"/>
    </xf>
    <xf numFmtId="0" fontId="5" fillId="3" borderId="57" xfId="0" applyFont="1" applyFill="1" applyBorder="1" applyAlignment="1" applyProtection="1">
      <alignment horizontal="left" vertical="top" wrapText="1"/>
      <protection locked="0"/>
    </xf>
    <xf numFmtId="0" fontId="5" fillId="3" borderId="39" xfId="0" applyFont="1" applyFill="1" applyBorder="1" applyAlignment="1" applyProtection="1">
      <alignment horizontal="left" vertical="top" wrapText="1"/>
      <protection locked="0"/>
    </xf>
    <xf numFmtId="0" fontId="5" fillId="0" borderId="35" xfId="0" applyFont="1" applyBorder="1" applyAlignment="1">
      <alignment horizontal="left" vertical="top" wrapText="1"/>
    </xf>
    <xf numFmtId="0" fontId="5" fillId="0" borderId="25" xfId="0" applyFont="1" applyBorder="1" applyAlignment="1">
      <alignment horizontal="left" vertical="top" wrapText="1"/>
    </xf>
    <xf numFmtId="0" fontId="14" fillId="0" borderId="7" xfId="0" applyFont="1" applyBorder="1" applyAlignment="1">
      <alignment horizontal="left" wrapText="1" indent="1"/>
    </xf>
    <xf numFmtId="0" fontId="14" fillId="0" borderId="0" xfId="0" applyFont="1" applyBorder="1" applyAlignment="1">
      <alignment horizontal="left" wrapText="1" indent="1"/>
    </xf>
    <xf numFmtId="0" fontId="14" fillId="0" borderId="8" xfId="0" applyFont="1" applyBorder="1" applyAlignment="1">
      <alignment horizontal="left" wrapText="1" indent="1"/>
    </xf>
    <xf numFmtId="0" fontId="10" fillId="0" borderId="63" xfId="0" applyFont="1" applyBorder="1" applyAlignment="1">
      <alignment horizontal="center" vertical="top" wrapText="1"/>
    </xf>
    <xf numFmtId="0" fontId="10" fillId="0" borderId="66" xfId="0" applyFont="1" applyBorder="1" applyAlignment="1">
      <alignment horizontal="center" vertical="top" wrapText="1"/>
    </xf>
    <xf numFmtId="0" fontId="10" fillId="0" borderId="67" xfId="0" applyFont="1" applyBorder="1" applyAlignment="1">
      <alignment horizontal="center" vertical="top" wrapText="1"/>
    </xf>
    <xf numFmtId="0" fontId="5" fillId="0" borderId="45" xfId="0" applyFont="1" applyBorder="1" applyAlignment="1">
      <alignment horizontal="left" wrapText="1"/>
    </xf>
    <xf numFmtId="0" fontId="5" fillId="0" borderId="43" xfId="0" applyFont="1" applyBorder="1" applyAlignment="1">
      <alignment horizontal="left" wrapText="1"/>
    </xf>
    <xf numFmtId="0" fontId="8" fillId="0" borderId="7" xfId="0" applyFont="1" applyBorder="1" applyAlignment="1">
      <alignment horizontal="left" vertical="top" wrapText="1" indent="2"/>
    </xf>
    <xf numFmtId="0" fontId="8" fillId="0" borderId="0" xfId="0" applyFont="1" applyBorder="1" applyAlignment="1">
      <alignment horizontal="left" vertical="top" wrapText="1" indent="2"/>
    </xf>
    <xf numFmtId="0" fontId="8" fillId="0" borderId="22" xfId="0" applyFont="1" applyBorder="1" applyAlignment="1">
      <alignment horizontal="left" vertical="top" wrapText="1" indent="2"/>
    </xf>
    <xf numFmtId="0" fontId="8" fillId="0" borderId="7" xfId="0" applyFont="1" applyBorder="1" applyAlignment="1">
      <alignment horizontal="left" vertical="top" wrapText="1"/>
    </xf>
    <xf numFmtId="0" fontId="8" fillId="0" borderId="0" xfId="0" applyFont="1" applyBorder="1" applyAlignment="1">
      <alignment horizontal="left" vertical="top" wrapText="1"/>
    </xf>
    <xf numFmtId="0" fontId="5" fillId="3" borderId="44" xfId="0" applyFont="1" applyFill="1" applyBorder="1" applyAlignment="1" applyProtection="1">
      <alignment horizontal="center" wrapText="1"/>
      <protection locked="0"/>
    </xf>
    <xf numFmtId="0" fontId="8" fillId="0" borderId="41" xfId="0" applyFont="1" applyBorder="1" applyAlignment="1">
      <alignment horizontal="left" vertical="top" wrapText="1"/>
    </xf>
    <xf numFmtId="0" fontId="8" fillId="0" borderId="42" xfId="0" applyFont="1" applyBorder="1" applyAlignment="1">
      <alignment horizontal="left" vertical="top" wrapText="1"/>
    </xf>
    <xf numFmtId="0" fontId="9" fillId="0" borderId="1" xfId="0" applyFont="1" applyFill="1" applyBorder="1" applyAlignment="1">
      <alignment horizontal="left" wrapText="1" indent="1"/>
    </xf>
    <xf numFmtId="0" fontId="0" fillId="0" borderId="2" xfId="0" applyBorder="1" applyAlignment="1">
      <alignment horizontal="left" wrapText="1" indent="1"/>
    </xf>
    <xf numFmtId="0" fontId="10" fillId="0" borderId="23" xfId="0" applyFont="1" applyBorder="1" applyAlignment="1">
      <alignment horizontal="left" vertical="top" wrapText="1"/>
    </xf>
    <xf numFmtId="0" fontId="8" fillId="0" borderId="35" xfId="0" applyFont="1" applyBorder="1" applyAlignment="1">
      <alignment horizontal="left" vertical="top" wrapText="1" indent="2"/>
    </xf>
    <xf numFmtId="0" fontId="8" fillId="0" borderId="24" xfId="0" applyFont="1" applyBorder="1" applyAlignment="1">
      <alignment horizontal="left" vertical="top" wrapText="1" indent="2"/>
    </xf>
    <xf numFmtId="0" fontId="8" fillId="0" borderId="25" xfId="0" applyFont="1" applyBorder="1" applyAlignment="1">
      <alignment horizontal="left" vertical="top" wrapText="1" indent="2"/>
    </xf>
    <xf numFmtId="0" fontId="27" fillId="0" borderId="4" xfId="0" applyFont="1" applyFill="1" applyBorder="1" applyAlignment="1">
      <alignment horizontal="left" wrapText="1" indent="1"/>
    </xf>
    <xf numFmtId="0" fontId="27" fillId="0" borderId="5" xfId="0" applyFont="1" applyFill="1" applyBorder="1" applyAlignment="1">
      <alignment horizontal="left" wrapText="1" indent="1"/>
    </xf>
    <xf numFmtId="0" fontId="27" fillId="0" borderId="6" xfId="0" applyFont="1" applyFill="1" applyBorder="1" applyAlignment="1">
      <alignment horizontal="left" wrapText="1" indent="1"/>
    </xf>
    <xf numFmtId="0" fontId="9" fillId="0" borderId="1" xfId="0" applyFont="1" applyFill="1" applyBorder="1" applyAlignment="1">
      <alignment horizontal="left" wrapText="1"/>
    </xf>
    <xf numFmtId="0" fontId="9" fillId="0" borderId="2" xfId="0" applyFont="1" applyFill="1" applyBorder="1" applyAlignment="1">
      <alignment horizontal="left" wrapText="1"/>
    </xf>
    <xf numFmtId="0" fontId="9" fillId="0" borderId="3" xfId="0" applyFont="1" applyFill="1" applyBorder="1" applyAlignment="1">
      <alignment horizontal="left" wrapText="1"/>
    </xf>
    <xf numFmtId="0" fontId="27" fillId="0" borderId="4" xfId="0" applyFont="1" applyFill="1" applyBorder="1" applyAlignment="1">
      <alignment horizontal="left" vertical="top" wrapText="1"/>
    </xf>
    <xf numFmtId="0" fontId="28" fillId="0" borderId="5" xfId="0" applyFont="1" applyBorder="1" applyAlignment="1">
      <alignment horizontal="left" vertical="top" wrapText="1"/>
    </xf>
    <xf numFmtId="0" fontId="28" fillId="0" borderId="6" xfId="0" applyFont="1" applyBorder="1" applyAlignment="1">
      <alignment horizontal="left" vertical="top" wrapText="1"/>
    </xf>
    <xf numFmtId="0" fontId="9" fillId="0" borderId="63" xfId="0" applyFont="1" applyBorder="1" applyAlignment="1">
      <alignment horizontal="left" wrapText="1"/>
    </xf>
    <xf numFmtId="0" fontId="9" fillId="0" borderId="66" xfId="0" applyFont="1" applyBorder="1" applyAlignment="1">
      <alignment horizontal="left" wrapText="1"/>
    </xf>
    <xf numFmtId="0" fontId="9" fillId="0" borderId="64" xfId="0" applyFont="1" applyBorder="1" applyAlignment="1">
      <alignment horizontal="left" wrapText="1"/>
    </xf>
    <xf numFmtId="0" fontId="5" fillId="0" borderId="4" xfId="0" applyFont="1" applyBorder="1" applyAlignment="1">
      <alignment horizontal="left" vertical="center" wrapText="1"/>
    </xf>
    <xf numFmtId="0" fontId="5" fillId="0" borderId="1" xfId="0" applyFont="1" applyBorder="1" applyAlignment="1">
      <alignment horizontal="left" vertical="center" wrapText="1" indent="2"/>
    </xf>
    <xf numFmtId="0" fontId="5" fillId="0" borderId="2" xfId="0" applyFont="1" applyBorder="1" applyAlignment="1">
      <alignment horizontal="left" vertical="center" wrapText="1" indent="2"/>
    </xf>
    <xf numFmtId="0" fontId="5" fillId="0" borderId="3" xfId="0" applyFont="1" applyBorder="1" applyAlignment="1">
      <alignment horizontal="left" vertical="center" wrapText="1" indent="2"/>
    </xf>
    <xf numFmtId="0" fontId="9" fillId="0" borderId="12" xfId="0" applyFont="1" applyBorder="1" applyAlignment="1">
      <alignment horizontal="left" wrapText="1"/>
    </xf>
    <xf numFmtId="0" fontId="5" fillId="0" borderId="7" xfId="0" applyFont="1" applyBorder="1" applyAlignment="1" applyProtection="1">
      <alignment horizontal="center" vertical="center" wrapText="1"/>
    </xf>
    <xf numFmtId="0" fontId="5" fillId="0" borderId="8" xfId="0" applyFont="1" applyBorder="1" applyAlignment="1" applyProtection="1">
      <alignment horizontal="center" vertical="center" wrapText="1"/>
    </xf>
    <xf numFmtId="0" fontId="5" fillId="0" borderId="4" xfId="0" applyFont="1" applyBorder="1" applyAlignment="1" applyProtection="1">
      <alignment horizontal="center" vertical="center" wrapText="1"/>
    </xf>
    <xf numFmtId="0" fontId="5" fillId="0" borderId="6" xfId="0" applyFont="1" applyBorder="1" applyAlignment="1" applyProtection="1">
      <alignment horizontal="center" vertical="center" wrapText="1"/>
    </xf>
    <xf numFmtId="0" fontId="5" fillId="0" borderId="4" xfId="0" applyFont="1" applyBorder="1" applyAlignment="1">
      <alignment horizontal="left" wrapText="1" indent="3"/>
    </xf>
    <xf numFmtId="0" fontId="5" fillId="0" borderId="5" xfId="0" applyFont="1" applyBorder="1" applyAlignment="1">
      <alignment horizontal="left" wrapText="1" indent="3"/>
    </xf>
    <xf numFmtId="0" fontId="5" fillId="0" borderId="6" xfId="0" applyFont="1" applyBorder="1" applyAlignment="1">
      <alignment horizontal="left" wrapText="1" indent="3"/>
    </xf>
    <xf numFmtId="0" fontId="5" fillId="0" borderId="27" xfId="0" applyFont="1" applyBorder="1" applyAlignment="1">
      <alignment horizontal="left" vertical="top" wrapText="1" indent="1"/>
    </xf>
    <xf numFmtId="0" fontId="5" fillId="0" borderId="28" xfId="0" applyFont="1" applyBorder="1" applyAlignment="1">
      <alignment horizontal="left" vertical="top" wrapText="1" indent="1"/>
    </xf>
    <xf numFmtId="165" fontId="5" fillId="2" borderId="21" xfId="0" applyNumberFormat="1" applyFont="1" applyFill="1" applyBorder="1" applyAlignment="1">
      <alignment horizontal="center" vertical="center" wrapText="1"/>
    </xf>
    <xf numFmtId="165" fontId="5" fillId="2" borderId="22" xfId="0" applyNumberFormat="1" applyFont="1" applyFill="1" applyBorder="1" applyAlignment="1">
      <alignment horizontal="center" vertical="center" wrapText="1"/>
    </xf>
    <xf numFmtId="0" fontId="5" fillId="0" borderId="30" xfId="0" applyNumberFormat="1" applyFont="1" applyBorder="1" applyAlignment="1" applyProtection="1">
      <alignment horizontal="left" vertical="center" wrapText="1" indent="1"/>
    </xf>
    <xf numFmtId="0" fontId="5" fillId="0" borderId="31" xfId="0" applyNumberFormat="1" applyFont="1" applyBorder="1" applyAlignment="1" applyProtection="1">
      <alignment horizontal="left" vertical="center" wrapText="1" indent="1"/>
    </xf>
    <xf numFmtId="0" fontId="5" fillId="0" borderId="4" xfId="0" applyNumberFormat="1" applyFont="1" applyBorder="1" applyAlignment="1" applyProtection="1">
      <alignment horizontal="left" vertical="center" wrapText="1" indent="1"/>
    </xf>
    <xf numFmtId="0" fontId="5" fillId="0" borderId="5" xfId="0" applyNumberFormat="1" applyFont="1" applyBorder="1" applyAlignment="1" applyProtection="1">
      <alignment horizontal="left" vertical="center" wrapText="1" indent="1"/>
    </xf>
    <xf numFmtId="0" fontId="5" fillId="3" borderId="19" xfId="0" applyFont="1" applyFill="1" applyBorder="1" applyAlignment="1" applyProtection="1">
      <alignment horizontal="left" vertical="top" wrapText="1"/>
      <protection locked="0"/>
    </xf>
    <xf numFmtId="0" fontId="5" fillId="3" borderId="0" xfId="0" applyFont="1" applyFill="1" applyBorder="1" applyAlignment="1" applyProtection="1">
      <alignment horizontal="left" vertical="top" wrapText="1"/>
      <protection locked="0"/>
    </xf>
    <xf numFmtId="0" fontId="5" fillId="3" borderId="22" xfId="0" applyFont="1" applyFill="1" applyBorder="1" applyAlignment="1" applyProtection="1">
      <alignment horizontal="left" vertical="top" wrapText="1"/>
      <protection locked="0"/>
    </xf>
    <xf numFmtId="0" fontId="5" fillId="0" borderId="0" xfId="0" applyFont="1" applyBorder="1" applyAlignment="1">
      <alignment horizontal="left" vertical="top" wrapText="1" indent="1"/>
    </xf>
    <xf numFmtId="0" fontId="5" fillId="0" borderId="8" xfId="0" applyFont="1" applyBorder="1" applyAlignment="1">
      <alignment horizontal="left" vertical="top" wrapText="1" indent="1"/>
    </xf>
    <xf numFmtId="0" fontId="5" fillId="3" borderId="33" xfId="0" applyFont="1" applyFill="1" applyBorder="1" applyAlignment="1" applyProtection="1">
      <alignment horizontal="left" vertical="top" wrapText="1"/>
      <protection locked="0"/>
    </xf>
    <xf numFmtId="0" fontId="5" fillId="3" borderId="5" xfId="0" applyFont="1" applyFill="1" applyBorder="1" applyAlignment="1" applyProtection="1">
      <alignment horizontal="left" vertical="top" wrapText="1"/>
      <protection locked="0"/>
    </xf>
    <xf numFmtId="0" fontId="5" fillId="3" borderId="34" xfId="0" applyFont="1" applyFill="1" applyBorder="1" applyAlignment="1" applyProtection="1">
      <alignment horizontal="left" vertical="top" wrapText="1"/>
      <protection locked="0"/>
    </xf>
    <xf numFmtId="164" fontId="5" fillId="3" borderId="5" xfId="0" applyNumberFormat="1" applyFont="1" applyFill="1" applyBorder="1" applyAlignment="1" applyProtection="1">
      <alignment horizontal="left" vertical="top" wrapText="1" indent="1"/>
      <protection locked="0"/>
    </xf>
    <xf numFmtId="164" fontId="5" fillId="3" borderId="6" xfId="0" applyNumberFormat="1" applyFont="1" applyFill="1" applyBorder="1" applyAlignment="1" applyProtection="1">
      <alignment horizontal="left" vertical="top" wrapText="1" indent="1"/>
      <protection locked="0"/>
    </xf>
    <xf numFmtId="0" fontId="5" fillId="0" borderId="10" xfId="0" applyFont="1" applyBorder="1" applyAlignment="1">
      <alignment horizontal="left" wrapText="1"/>
    </xf>
    <xf numFmtId="0" fontId="5" fillId="0" borderId="11" xfId="0" applyFont="1" applyBorder="1" applyAlignment="1">
      <alignment horizontal="left" wrapText="1"/>
    </xf>
    <xf numFmtId="0" fontId="10" fillId="0" borderId="7" xfId="0" applyFont="1" applyBorder="1" applyAlignment="1">
      <alignment horizontal="left" wrapText="1" indent="1"/>
    </xf>
    <xf numFmtId="0" fontId="10" fillId="0" borderId="0" xfId="0" applyFont="1" applyBorder="1" applyAlignment="1">
      <alignment horizontal="left" wrapText="1" indent="1"/>
    </xf>
    <xf numFmtId="0" fontId="10" fillId="0" borderId="8" xfId="0" applyFont="1" applyBorder="1" applyAlignment="1">
      <alignment horizontal="left" wrapText="1" indent="1"/>
    </xf>
    <xf numFmtId="0" fontId="5" fillId="0" borderId="27" xfId="0" applyFont="1" applyBorder="1" applyAlignment="1">
      <alignment horizontal="center" vertical="top" wrapText="1"/>
    </xf>
    <xf numFmtId="0" fontId="5" fillId="0" borderId="2" xfId="0" applyFont="1" applyBorder="1" applyAlignment="1">
      <alignment horizontal="center" vertical="top" wrapText="1"/>
    </xf>
    <xf numFmtId="0" fontId="10" fillId="0" borderId="13" xfId="0" applyFont="1" applyFill="1" applyBorder="1" applyAlignment="1">
      <alignment horizontal="center" vertical="center" wrapText="1"/>
    </xf>
    <xf numFmtId="0" fontId="14" fillId="0" borderId="4" xfId="0" applyFont="1" applyFill="1" applyBorder="1" applyAlignment="1">
      <alignment horizontal="left" wrapText="1"/>
    </xf>
    <xf numFmtId="0" fontId="14" fillId="0" borderId="5" xfId="0" applyFont="1" applyFill="1" applyBorder="1" applyAlignment="1">
      <alignment horizontal="left" wrapText="1"/>
    </xf>
    <xf numFmtId="0" fontId="14" fillId="0" borderId="6" xfId="0" applyFont="1" applyFill="1" applyBorder="1" applyAlignment="1">
      <alignment horizontal="left" wrapText="1"/>
    </xf>
    <xf numFmtId="0" fontId="27" fillId="0" borderId="7" xfId="0" applyFont="1" applyFill="1" applyBorder="1" applyAlignment="1">
      <alignment horizontal="left" wrapText="1" indent="3"/>
    </xf>
    <xf numFmtId="0" fontId="27" fillId="0" borderId="0" xfId="0" applyFont="1" applyFill="1" applyBorder="1" applyAlignment="1">
      <alignment horizontal="left" wrapText="1" indent="3"/>
    </xf>
    <xf numFmtId="0" fontId="5" fillId="0" borderId="4" xfId="0" applyFont="1" applyFill="1" applyBorder="1" applyAlignment="1">
      <alignment horizontal="left" wrapText="1" indent="3"/>
    </xf>
    <xf numFmtId="0" fontId="0" fillId="0" borderId="5" xfId="0" applyBorder="1" applyAlignment="1">
      <alignment horizontal="left" wrapText="1" indent="3"/>
    </xf>
    <xf numFmtId="0" fontId="0" fillId="0" borderId="41" xfId="0" applyBorder="1" applyAlignment="1">
      <alignment horizontal="left" vertical="top" wrapText="1"/>
    </xf>
    <xf numFmtId="0" fontId="0" fillId="0" borderId="42" xfId="0" applyBorder="1" applyAlignment="1">
      <alignment horizontal="left" vertical="top" wrapText="1"/>
    </xf>
    <xf numFmtId="0" fontId="10" fillId="0" borderId="9" xfId="0" applyFont="1" applyBorder="1" applyAlignment="1">
      <alignment horizontal="center" wrapText="1"/>
    </xf>
    <xf numFmtId="0" fontId="10" fillId="0" borderId="10" xfId="0" applyFont="1" applyBorder="1" applyAlignment="1">
      <alignment horizontal="center" wrapText="1"/>
    </xf>
    <xf numFmtId="0" fontId="10" fillId="0" borderId="11" xfId="0" applyFont="1" applyBorder="1" applyAlignment="1">
      <alignment horizontal="center" wrapText="1"/>
    </xf>
    <xf numFmtId="0" fontId="8" fillId="0" borderId="43" xfId="0" applyFont="1" applyBorder="1" applyAlignment="1">
      <alignment horizontal="left" vertical="top" wrapText="1"/>
    </xf>
    <xf numFmtId="0" fontId="0" fillId="0" borderId="43" xfId="0" applyBorder="1" applyAlignment="1">
      <alignment horizontal="left" vertical="top" wrapText="1"/>
    </xf>
    <xf numFmtId="0" fontId="0" fillId="0" borderId="67" xfId="0" applyBorder="1" applyAlignment="1">
      <alignment horizontal="center" wrapText="1"/>
    </xf>
    <xf numFmtId="49" fontId="5" fillId="3" borderId="50" xfId="0" applyNumberFormat="1" applyFont="1" applyFill="1" applyBorder="1" applyAlignment="1" applyProtection="1">
      <alignment horizontal="left" wrapText="1"/>
      <protection locked="0"/>
    </xf>
    <xf numFmtId="49" fontId="5" fillId="3" borderId="44" xfId="0" applyNumberFormat="1" applyFont="1" applyFill="1" applyBorder="1" applyAlignment="1" applyProtection="1">
      <alignment horizontal="left" wrapText="1"/>
      <protection locked="0"/>
    </xf>
    <xf numFmtId="0" fontId="10" fillId="0" borderId="64" xfId="0" applyFont="1" applyBorder="1" applyAlignment="1">
      <alignment horizontal="left" vertical="center" wrapText="1"/>
    </xf>
    <xf numFmtId="0" fontId="6" fillId="0" borderId="38" xfId="0" applyFont="1" applyBorder="1" applyAlignment="1">
      <alignment horizontal="left" vertical="top" wrapText="1"/>
    </xf>
    <xf numFmtId="0" fontId="6" fillId="0" borderId="37" xfId="0" applyFont="1" applyBorder="1" applyAlignment="1">
      <alignment horizontal="left" vertical="top" wrapText="1"/>
    </xf>
    <xf numFmtId="0" fontId="29" fillId="0" borderId="2" xfId="0" applyFont="1" applyBorder="1" applyAlignment="1">
      <alignment horizontal="left" vertical="top" wrapText="1"/>
    </xf>
    <xf numFmtId="0" fontId="29" fillId="0" borderId="3" xfId="0" applyFont="1" applyBorder="1" applyAlignment="1">
      <alignment horizontal="left" vertical="top" wrapText="1"/>
    </xf>
    <xf numFmtId="0" fontId="9" fillId="0" borderId="56" xfId="0" applyFont="1" applyFill="1" applyBorder="1" applyAlignment="1">
      <alignment horizontal="left" wrapText="1"/>
    </xf>
    <xf numFmtId="0" fontId="9" fillId="0" borderId="57" xfId="0" applyFont="1" applyFill="1" applyBorder="1" applyAlignment="1">
      <alignment horizontal="left" wrapText="1"/>
    </xf>
    <xf numFmtId="0" fontId="9" fillId="0" borderId="39" xfId="0" applyFont="1" applyFill="1" applyBorder="1" applyAlignment="1">
      <alignment horizontal="left" wrapText="1"/>
    </xf>
    <xf numFmtId="0" fontId="32" fillId="0" borderId="1" xfId="0" applyFont="1" applyBorder="1" applyAlignment="1">
      <alignment horizontal="left" vertical="top" wrapText="1"/>
    </xf>
    <xf numFmtId="0" fontId="32" fillId="0" borderId="2" xfId="0" applyFont="1" applyBorder="1" applyAlignment="1">
      <alignment horizontal="left" vertical="top" wrapText="1"/>
    </xf>
    <xf numFmtId="0" fontId="32" fillId="0" borderId="3" xfId="0" applyFont="1" applyBorder="1" applyAlignment="1">
      <alignment horizontal="left" vertical="top" wrapText="1"/>
    </xf>
    <xf numFmtId="0" fontId="31" fillId="0" borderId="1" xfId="0" applyFont="1" applyFill="1" applyBorder="1" applyAlignment="1">
      <alignment horizontal="left" wrapText="1"/>
    </xf>
    <xf numFmtId="0" fontId="31" fillId="0" borderId="3" xfId="0" applyFont="1" applyFill="1" applyBorder="1" applyAlignment="1">
      <alignment horizontal="left" wrapText="1"/>
    </xf>
    <xf numFmtId="0" fontId="10" fillId="0" borderId="22" xfId="0" applyFont="1" applyBorder="1" applyAlignment="1">
      <alignment horizontal="left" vertical="center" wrapText="1"/>
    </xf>
    <xf numFmtId="0" fontId="10" fillId="0" borderId="21" xfId="0" applyFont="1" applyBorder="1" applyAlignment="1">
      <alignment horizontal="left" vertical="center" wrapText="1"/>
    </xf>
    <xf numFmtId="164" fontId="6" fillId="6" borderId="16" xfId="0" applyNumberFormat="1" applyFont="1" applyFill="1" applyBorder="1" applyAlignment="1" applyProtection="1">
      <alignment horizontal="center" wrapText="1"/>
      <protection locked="0"/>
    </xf>
    <xf numFmtId="164" fontId="0" fillId="0" borderId="17" xfId="0" applyNumberFormat="1" applyBorder="1" applyAlignment="1" applyProtection="1">
      <alignment horizontal="center" wrapText="1"/>
      <protection locked="0"/>
    </xf>
    <xf numFmtId="164" fontId="0" fillId="0" borderId="18" xfId="0" applyNumberFormat="1" applyBorder="1" applyAlignment="1" applyProtection="1">
      <alignment horizontal="center" wrapText="1"/>
      <protection locked="0"/>
    </xf>
    <xf numFmtId="0" fontId="26" fillId="0" borderId="9" xfId="0" applyFont="1" applyFill="1" applyBorder="1" applyAlignment="1">
      <alignment horizontal="center" vertical="center" wrapText="1"/>
    </xf>
    <xf numFmtId="0" fontId="0" fillId="0" borderId="10" xfId="0" applyFill="1" applyBorder="1" applyAlignment="1"/>
    <xf numFmtId="0" fontId="0" fillId="0" borderId="11" xfId="0" applyFill="1" applyBorder="1" applyAlignment="1"/>
    <xf numFmtId="0" fontId="17" fillId="0" borderId="24" xfId="0" applyFont="1" applyBorder="1" applyAlignment="1">
      <alignment horizontal="left" vertical="top"/>
    </xf>
    <xf numFmtId="0" fontId="10" fillId="0" borderId="36" xfId="0" applyFont="1" applyBorder="1" applyAlignment="1">
      <alignment horizontal="left" vertical="top" wrapText="1"/>
    </xf>
    <xf numFmtId="0" fontId="9" fillId="0" borderId="9" xfId="0" applyFont="1" applyBorder="1" applyAlignment="1">
      <alignment horizontal="left" wrapText="1"/>
    </xf>
    <xf numFmtId="0" fontId="9" fillId="0" borderId="10" xfId="0" applyFont="1" applyBorder="1" applyAlignment="1">
      <alignment horizontal="left" wrapText="1"/>
    </xf>
    <xf numFmtId="0" fontId="16" fillId="0" borderId="53" xfId="0" applyFont="1" applyFill="1" applyBorder="1" applyAlignment="1">
      <alignment horizontal="left" vertical="top" wrapText="1"/>
    </xf>
    <xf numFmtId="0" fontId="16" fillId="0" borderId="48" xfId="0" applyFont="1" applyFill="1" applyBorder="1" applyAlignment="1">
      <alignment horizontal="left" vertical="top" wrapText="1"/>
    </xf>
    <xf numFmtId="0" fontId="10" fillId="0" borderId="27" xfId="0" applyFont="1" applyFill="1" applyBorder="1" applyAlignment="1">
      <alignment horizontal="left" vertical="top" wrapText="1"/>
    </xf>
    <xf numFmtId="0" fontId="10" fillId="0" borderId="28" xfId="0" applyFont="1" applyFill="1" applyBorder="1" applyAlignment="1">
      <alignment horizontal="left" vertical="top" wrapText="1"/>
    </xf>
    <xf numFmtId="0" fontId="16" fillId="0" borderId="21" xfId="0" applyFont="1" applyFill="1" applyBorder="1" applyAlignment="1">
      <alignment horizontal="left" vertical="top" wrapText="1"/>
    </xf>
    <xf numFmtId="0" fontId="16" fillId="0" borderId="22" xfId="0" applyFont="1" applyFill="1" applyBorder="1" applyAlignment="1">
      <alignment horizontal="left" vertical="top" wrapText="1"/>
    </xf>
    <xf numFmtId="0" fontId="16" fillId="0" borderId="23" xfId="0" applyFont="1" applyFill="1" applyBorder="1" applyAlignment="1">
      <alignment horizontal="left" vertical="top" wrapText="1"/>
    </xf>
    <xf numFmtId="0" fontId="16" fillId="0" borderId="25" xfId="0" applyFont="1" applyFill="1" applyBorder="1" applyAlignment="1">
      <alignment horizontal="left" vertical="top" wrapText="1"/>
    </xf>
    <xf numFmtId="0" fontId="0" fillId="0" borderId="37" xfId="0" applyBorder="1" applyAlignment="1" applyProtection="1">
      <alignment horizontal="center"/>
      <protection locked="0"/>
    </xf>
    <xf numFmtId="0" fontId="0" fillId="0" borderId="38" xfId="0" applyBorder="1" applyAlignment="1" applyProtection="1">
      <alignment horizontal="center"/>
      <protection locked="0"/>
    </xf>
    <xf numFmtId="0" fontId="0" fillId="0" borderId="56" xfId="0" applyBorder="1" applyAlignment="1" applyProtection="1">
      <alignment horizontal="center"/>
      <protection locked="0"/>
    </xf>
    <xf numFmtId="0" fontId="0" fillId="0" borderId="39" xfId="0" applyBorder="1" applyAlignment="1" applyProtection="1">
      <alignment horizontal="center"/>
      <protection locked="0"/>
    </xf>
    <xf numFmtId="0" fontId="16" fillId="0" borderId="29" xfId="0" applyFont="1" applyFill="1" applyBorder="1" applyAlignment="1">
      <alignment horizontal="left" vertical="top" wrapText="1"/>
    </xf>
    <xf numFmtId="0" fontId="16" fillId="0" borderId="58" xfId="0" applyFont="1" applyFill="1" applyBorder="1" applyAlignment="1">
      <alignment horizontal="left" vertical="top" wrapText="1"/>
    </xf>
    <xf numFmtId="0" fontId="16" fillId="0" borderId="16" xfId="0" applyFont="1" applyFill="1" applyBorder="1" applyAlignment="1">
      <alignment horizontal="left" vertical="center" wrapText="1"/>
    </xf>
    <xf numFmtId="0" fontId="16" fillId="0" borderId="18" xfId="0" applyFont="1" applyFill="1" applyBorder="1" applyAlignment="1">
      <alignment horizontal="left" vertical="center" wrapText="1"/>
    </xf>
    <xf numFmtId="0" fontId="10" fillId="0" borderId="1" xfId="0" applyFont="1" applyBorder="1" applyAlignment="1">
      <alignment horizontal="left" wrapText="1" indent="1"/>
    </xf>
    <xf numFmtId="0" fontId="10" fillId="0" borderId="2" xfId="0" applyFont="1" applyBorder="1" applyAlignment="1">
      <alignment horizontal="left" wrapText="1" indent="1"/>
    </xf>
    <xf numFmtId="0" fontId="10" fillId="0" borderId="3" xfId="0" applyFont="1" applyBorder="1" applyAlignment="1">
      <alignment horizontal="left" wrapText="1" indent="1"/>
    </xf>
    <xf numFmtId="0" fontId="27" fillId="3" borderId="1" xfId="0" applyFont="1" applyFill="1" applyBorder="1" applyAlignment="1" applyProtection="1">
      <alignment horizontal="center" vertical="center" wrapText="1"/>
      <protection locked="0"/>
    </xf>
    <xf numFmtId="0" fontId="27" fillId="3" borderId="3" xfId="0" applyFont="1" applyFill="1" applyBorder="1" applyAlignment="1" applyProtection="1">
      <alignment horizontal="center" vertical="center" wrapText="1"/>
      <protection locked="0"/>
    </xf>
    <xf numFmtId="0" fontId="27" fillId="3" borderId="4" xfId="0"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vertical="center" wrapText="1"/>
      <protection locked="0"/>
    </xf>
    <xf numFmtId="0" fontId="16" fillId="0" borderId="24" xfId="0" applyFont="1" applyFill="1" applyBorder="1" applyAlignment="1">
      <alignment horizontal="left" vertical="top" wrapText="1"/>
    </xf>
    <xf numFmtId="0" fontId="16" fillId="0" borderId="41" xfId="0" applyFont="1" applyFill="1" applyBorder="1" applyAlignment="1">
      <alignment horizontal="left" vertical="top" wrapText="1"/>
    </xf>
    <xf numFmtId="0" fontId="16" fillId="0" borderId="42" xfId="0" applyFont="1" applyFill="1" applyBorder="1" applyAlignment="1">
      <alignment horizontal="left" vertical="top" wrapText="1"/>
    </xf>
    <xf numFmtId="0" fontId="6" fillId="3" borderId="18" xfId="0" applyFont="1" applyFill="1" applyBorder="1" applyAlignment="1" applyProtection="1">
      <alignment horizontal="left" vertical="center" wrapText="1"/>
      <protection locked="0"/>
    </xf>
    <xf numFmtId="0" fontId="6" fillId="3" borderId="43" xfId="0" applyFont="1" applyFill="1" applyBorder="1" applyAlignment="1" applyProtection="1">
      <alignment horizontal="left" vertical="center" wrapText="1"/>
      <protection locked="0"/>
    </xf>
    <xf numFmtId="0" fontId="0" fillId="0" borderId="18" xfId="0" applyBorder="1" applyAlignment="1" applyProtection="1">
      <alignment horizontal="center" vertical="center" wrapText="1"/>
      <protection locked="0"/>
    </xf>
    <xf numFmtId="0" fontId="16" fillId="0" borderId="0" xfId="0" applyFont="1" applyFill="1" applyBorder="1" applyAlignment="1">
      <alignment horizontal="left" vertical="top" wrapText="1"/>
    </xf>
    <xf numFmtId="0" fontId="6" fillId="3" borderId="20" xfId="0" applyFont="1" applyFill="1" applyBorder="1" applyAlignment="1" applyProtection="1">
      <alignment horizontal="left" vertical="center" wrapText="1"/>
      <protection locked="0"/>
    </xf>
    <xf numFmtId="0" fontId="6" fillId="3" borderId="54" xfId="0" applyFont="1" applyFill="1" applyBorder="1" applyAlignment="1" applyProtection="1">
      <alignment horizontal="left" vertical="center" wrapText="1"/>
      <protection locked="0"/>
    </xf>
    <xf numFmtId="0" fontId="5" fillId="0" borderId="0" xfId="0" applyFont="1" applyFill="1" applyBorder="1" applyAlignment="1">
      <alignment horizontal="center" vertical="center" wrapText="1"/>
    </xf>
    <xf numFmtId="0" fontId="16" fillId="0" borderId="30" xfId="0" applyFont="1" applyFill="1" applyBorder="1" applyAlignment="1">
      <alignment horizontal="center" vertical="top" wrapText="1"/>
    </xf>
    <xf numFmtId="0" fontId="16" fillId="0" borderId="31" xfId="0" applyFont="1" applyFill="1" applyBorder="1" applyAlignment="1">
      <alignment horizontal="center" vertical="top" wrapText="1"/>
    </xf>
    <xf numFmtId="0" fontId="16" fillId="0" borderId="20" xfId="0" applyFont="1" applyFill="1" applyBorder="1" applyAlignment="1">
      <alignment horizontal="center" vertical="top" wrapText="1"/>
    </xf>
    <xf numFmtId="0" fontId="16" fillId="0" borderId="7" xfId="0" applyFont="1" applyFill="1" applyBorder="1" applyAlignment="1">
      <alignment horizontal="center" vertical="top" wrapText="1"/>
    </xf>
    <xf numFmtId="0" fontId="16" fillId="0" borderId="0" xfId="0" applyFont="1" applyFill="1" applyBorder="1" applyAlignment="1">
      <alignment horizontal="center" vertical="top" wrapText="1"/>
    </xf>
    <xf numFmtId="0" fontId="16" fillId="0" borderId="22" xfId="0" applyFont="1" applyFill="1" applyBorder="1" applyAlignment="1">
      <alignment horizontal="center" vertical="top" wrapText="1"/>
    </xf>
    <xf numFmtId="0" fontId="16" fillId="0" borderId="4" xfId="0" applyFont="1" applyFill="1" applyBorder="1" applyAlignment="1">
      <alignment horizontal="center" vertical="top" wrapText="1"/>
    </xf>
    <xf numFmtId="0" fontId="16" fillId="0" borderId="5" xfId="0" applyFont="1" applyFill="1" applyBorder="1" applyAlignment="1">
      <alignment horizontal="center" vertical="top" wrapText="1"/>
    </xf>
    <xf numFmtId="0" fontId="16" fillId="0" borderId="34" xfId="0" applyFont="1" applyFill="1" applyBorder="1" applyAlignment="1">
      <alignment horizontal="center" vertical="top" wrapText="1"/>
    </xf>
    <xf numFmtId="0" fontId="10" fillId="0" borderId="17" xfId="0" applyFont="1" applyFill="1" applyBorder="1" applyAlignment="1" applyProtection="1">
      <alignment horizontal="right" vertical="center" wrapText="1"/>
    </xf>
    <xf numFmtId="0" fontId="10" fillId="0" borderId="18" xfId="0" applyFont="1" applyFill="1" applyBorder="1" applyAlignment="1" applyProtection="1">
      <alignment horizontal="right" vertical="center" wrapText="1"/>
    </xf>
    <xf numFmtId="0" fontId="8" fillId="0" borderId="19" xfId="0" applyFont="1" applyFill="1" applyBorder="1" applyAlignment="1">
      <alignment horizontal="left" vertical="top" wrapText="1"/>
    </xf>
    <xf numFmtId="0" fontId="8" fillId="0" borderId="21" xfId="0" applyFont="1" applyFill="1" applyBorder="1" applyAlignment="1">
      <alignment horizontal="left" vertical="top" wrapText="1"/>
    </xf>
    <xf numFmtId="0" fontId="6" fillId="0" borderId="31" xfId="0" applyFont="1" applyBorder="1" applyAlignment="1" applyProtection="1">
      <alignment horizontal="right" wrapText="1"/>
    </xf>
    <xf numFmtId="0" fontId="6" fillId="0" borderId="20" xfId="0" applyFont="1" applyBorder="1" applyAlignment="1" applyProtection="1">
      <alignment horizontal="right" wrapText="1"/>
    </xf>
    <xf numFmtId="0" fontId="10" fillId="0" borderId="57" xfId="0" applyFont="1" applyFill="1" applyBorder="1" applyAlignment="1">
      <alignment horizontal="right" vertical="center" wrapText="1"/>
    </xf>
    <xf numFmtId="0" fontId="10" fillId="0" borderId="51" xfId="0" applyFont="1" applyFill="1" applyBorder="1" applyAlignment="1">
      <alignment horizontal="right" vertical="center" wrapText="1"/>
    </xf>
    <xf numFmtId="0" fontId="5" fillId="0" borderId="7" xfId="0" applyFont="1" applyBorder="1" applyAlignment="1">
      <alignment horizontal="left" wrapText="1" indent="7"/>
    </xf>
    <xf numFmtId="0" fontId="5" fillId="0" borderId="0" xfId="0" applyFont="1" applyBorder="1" applyAlignment="1">
      <alignment horizontal="left" wrapText="1" indent="7"/>
    </xf>
    <xf numFmtId="0" fontId="5" fillId="0" borderId="4" xfId="0" applyFont="1" applyBorder="1" applyAlignment="1">
      <alignment horizontal="left" wrapText="1" indent="7"/>
    </xf>
    <xf numFmtId="0" fontId="5" fillId="0" borderId="5" xfId="0" applyFont="1" applyBorder="1" applyAlignment="1">
      <alignment horizontal="left" wrapText="1" indent="7"/>
    </xf>
    <xf numFmtId="0" fontId="5" fillId="0" borderId="4" xfId="0" applyFont="1" applyFill="1" applyBorder="1" applyAlignment="1">
      <alignment horizontal="left" wrapText="1" indent="7"/>
    </xf>
    <xf numFmtId="0" fontId="5" fillId="0" borderId="5" xfId="0" applyFont="1" applyFill="1" applyBorder="1" applyAlignment="1">
      <alignment horizontal="left" wrapText="1" indent="7"/>
    </xf>
    <xf numFmtId="0" fontId="5" fillId="0" borderId="7" xfId="0" applyFont="1" applyBorder="1" applyAlignment="1">
      <alignment horizontal="left" vertical="center" wrapText="1" indent="7"/>
    </xf>
    <xf numFmtId="0" fontId="5" fillId="0" borderId="0" xfId="0" applyFont="1" applyBorder="1" applyAlignment="1">
      <alignment horizontal="left" vertical="center" wrapText="1" indent="7"/>
    </xf>
    <xf numFmtId="0" fontId="5" fillId="0" borderId="8" xfId="0" applyFont="1" applyBorder="1" applyAlignment="1">
      <alignment horizontal="left" vertical="center" wrapText="1" indent="7"/>
    </xf>
    <xf numFmtId="0" fontId="9" fillId="0" borderId="4" xfId="0" applyFont="1" applyFill="1" applyBorder="1" applyAlignment="1">
      <alignment horizontal="left" wrapText="1"/>
    </xf>
    <xf numFmtId="0" fontId="9" fillId="0" borderId="5" xfId="0" applyFont="1" applyFill="1" applyBorder="1" applyAlignment="1">
      <alignment horizontal="left" wrapText="1"/>
    </xf>
    <xf numFmtId="0" fontId="9" fillId="0" borderId="6" xfId="0" applyFont="1" applyFill="1" applyBorder="1" applyAlignment="1">
      <alignment horizontal="left" wrapText="1"/>
    </xf>
    <xf numFmtId="0" fontId="5" fillId="0" borderId="14" xfId="0" applyFont="1" applyBorder="1" applyAlignment="1">
      <alignment horizontal="left" wrapText="1" indent="2"/>
    </xf>
    <xf numFmtId="0" fontId="10" fillId="0" borderId="27" xfId="0" applyFont="1" applyBorder="1" applyAlignment="1">
      <alignment vertical="center" wrapText="1"/>
    </xf>
    <xf numFmtId="0" fontId="0" fillId="0" borderId="2" xfId="0" applyBorder="1" applyAlignment="1">
      <alignment vertical="center" wrapText="1"/>
    </xf>
    <xf numFmtId="0" fontId="0" fillId="0" borderId="28" xfId="0" applyBorder="1" applyAlignment="1">
      <alignment vertical="center" wrapText="1"/>
    </xf>
    <xf numFmtId="0" fontId="5" fillId="0" borderId="21" xfId="0" applyFont="1" applyBorder="1" applyAlignment="1">
      <alignment horizontal="left" vertical="top" wrapText="1"/>
    </xf>
    <xf numFmtId="0" fontId="0" fillId="0" borderId="0" xfId="0" applyBorder="1" applyAlignment="1"/>
    <xf numFmtId="0" fontId="0" fillId="0" borderId="22" xfId="0" applyBorder="1" applyAlignment="1"/>
    <xf numFmtId="0" fontId="0" fillId="0" borderId="24" xfId="0" applyBorder="1" applyAlignment="1"/>
    <xf numFmtId="0" fontId="0" fillId="0" borderId="25" xfId="0" applyBorder="1" applyAlignment="1"/>
    <xf numFmtId="0" fontId="0" fillId="0" borderId="0" xfId="0" applyAlignment="1">
      <alignment horizontal="left" vertical="top" wrapText="1"/>
    </xf>
    <xf numFmtId="0" fontId="0" fillId="0" borderId="21" xfId="0" applyBorder="1" applyAlignment="1">
      <alignment horizontal="left" vertical="top" wrapText="1"/>
    </xf>
    <xf numFmtId="0" fontId="0" fillId="0" borderId="23"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0" fillId="0" borderId="25" xfId="0" applyBorder="1" applyAlignment="1">
      <alignment horizontal="left" vertical="top" wrapText="1"/>
    </xf>
    <xf numFmtId="0" fontId="0" fillId="0" borderId="8" xfId="0" applyBorder="1" applyAlignment="1">
      <alignment horizontal="left" vertical="top" wrapText="1"/>
    </xf>
    <xf numFmtId="0" fontId="0" fillId="0" borderId="36" xfId="0" applyBorder="1" applyAlignment="1">
      <alignment horizontal="left" vertical="top" wrapText="1"/>
    </xf>
    <xf numFmtId="0" fontId="0" fillId="0" borderId="4" xfId="0" applyBorder="1" applyAlignment="1"/>
    <xf numFmtId="0" fontId="0" fillId="0" borderId="5" xfId="0" applyBorder="1" applyAlignment="1"/>
    <xf numFmtId="0" fontId="0" fillId="0" borderId="6" xfId="0" applyBorder="1" applyAlignment="1"/>
    <xf numFmtId="0" fontId="0" fillId="0" borderId="38" xfId="0" applyBorder="1" applyAlignment="1" applyProtection="1">
      <alignment horizontal="center" vertical="center" wrapText="1"/>
      <protection locked="0"/>
    </xf>
    <xf numFmtId="0" fontId="9" fillId="0" borderId="11" xfId="0" applyFont="1" applyBorder="1" applyAlignment="1">
      <alignment horizontal="left" wrapText="1"/>
    </xf>
    <xf numFmtId="0" fontId="10" fillId="0" borderId="26" xfId="0" applyFont="1" applyBorder="1" applyAlignment="1">
      <alignment horizontal="left" vertical="center" wrapText="1"/>
    </xf>
    <xf numFmtId="0" fontId="10" fillId="0" borderId="40" xfId="0" applyFont="1" applyBorder="1" applyAlignment="1">
      <alignment horizontal="left" vertical="center" wrapText="1"/>
    </xf>
    <xf numFmtId="0" fontId="10" fillId="0" borderId="47" xfId="0" applyFont="1" applyBorder="1" applyAlignment="1">
      <alignment horizontal="left" vertical="center" wrapText="1"/>
    </xf>
    <xf numFmtId="0" fontId="0" fillId="0" borderId="12" xfId="0" applyBorder="1" applyAlignment="1">
      <alignment horizontal="center" vertical="center" wrapText="1"/>
    </xf>
    <xf numFmtId="0" fontId="16" fillId="0" borderId="4" xfId="0" applyFont="1" applyFill="1" applyBorder="1" applyAlignment="1">
      <alignment horizontal="left" vertical="center" wrapText="1" indent="1"/>
    </xf>
    <xf numFmtId="0" fontId="16" fillId="0" borderId="5" xfId="0" applyFont="1" applyFill="1" applyBorder="1" applyAlignment="1">
      <alignment horizontal="left" vertical="center" wrapText="1" indent="1"/>
    </xf>
    <xf numFmtId="0" fontId="16" fillId="0" borderId="6" xfId="0" applyFont="1" applyFill="1" applyBorder="1" applyAlignment="1">
      <alignment horizontal="left" vertical="center" wrapText="1" indent="1"/>
    </xf>
    <xf numFmtId="1" fontId="8" fillId="0" borderId="15" xfId="0" applyNumberFormat="1" applyFont="1" applyFill="1" applyBorder="1" applyAlignment="1">
      <alignment horizontal="center" vertical="center" wrapText="1"/>
    </xf>
    <xf numFmtId="1" fontId="8" fillId="0" borderId="14" xfId="0" applyNumberFormat="1" applyFont="1" applyFill="1" applyBorder="1" applyAlignment="1">
      <alignment horizontal="center" vertical="center" wrapText="1"/>
    </xf>
    <xf numFmtId="10" fontId="8" fillId="0" borderId="15" xfId="0" applyNumberFormat="1" applyFont="1" applyFill="1" applyBorder="1" applyAlignment="1">
      <alignment horizontal="center" vertical="center" wrapText="1"/>
    </xf>
    <xf numFmtId="10" fontId="8" fillId="0" borderId="14" xfId="0" applyNumberFormat="1" applyFont="1" applyFill="1" applyBorder="1" applyAlignment="1">
      <alignment horizontal="center" vertical="center" wrapText="1"/>
    </xf>
    <xf numFmtId="0" fontId="16" fillId="0" borderId="1" xfId="0" applyFont="1" applyFill="1" applyBorder="1" applyAlignment="1">
      <alignment horizontal="left" vertical="center" wrapText="1" indent="1"/>
    </xf>
    <xf numFmtId="0" fontId="16" fillId="0" borderId="2" xfId="0" applyFont="1" applyFill="1" applyBorder="1" applyAlignment="1">
      <alignment horizontal="left" vertical="center" wrapText="1" indent="1"/>
    </xf>
    <xf numFmtId="0" fontId="16" fillId="0" borderId="3" xfId="0" applyFont="1" applyFill="1" applyBorder="1" applyAlignment="1">
      <alignment horizontal="left" vertical="center" wrapText="1" indent="1"/>
    </xf>
    <xf numFmtId="0" fontId="10" fillId="0" borderId="9" xfId="0" applyFont="1" applyFill="1" applyBorder="1" applyAlignment="1">
      <alignment horizontal="right" vertical="center" wrapText="1" indent="1"/>
    </xf>
    <xf numFmtId="0" fontId="10" fillId="0" borderId="10" xfId="0" applyFont="1" applyFill="1" applyBorder="1" applyAlignment="1">
      <alignment horizontal="right" vertical="center" wrapText="1" indent="1"/>
    </xf>
    <xf numFmtId="0" fontId="10" fillId="0" borderId="11" xfId="0" applyFont="1" applyFill="1" applyBorder="1" applyAlignment="1">
      <alignment horizontal="right" vertical="center" wrapText="1" indent="1"/>
    </xf>
    <xf numFmtId="0" fontId="8" fillId="0" borderId="60" xfId="0" applyFont="1" applyFill="1" applyBorder="1" applyAlignment="1">
      <alignment horizontal="left" vertical="center" wrapText="1"/>
    </xf>
    <xf numFmtId="0" fontId="8" fillId="0" borderId="61" xfId="0" applyFont="1" applyFill="1" applyBorder="1" applyAlignment="1">
      <alignment horizontal="left" vertical="center" wrapText="1"/>
    </xf>
    <xf numFmtId="0" fontId="8" fillId="0" borderId="62" xfId="0" applyFont="1" applyFill="1" applyBorder="1" applyAlignment="1">
      <alignment horizontal="left" vertical="center" wrapText="1"/>
    </xf>
    <xf numFmtId="0" fontId="8" fillId="2" borderId="45" xfId="0" applyFont="1" applyFill="1" applyBorder="1" applyAlignment="1">
      <alignment vertical="center" wrapText="1"/>
    </xf>
    <xf numFmtId="0" fontId="8" fillId="2" borderId="43" xfId="0" applyFont="1" applyFill="1" applyBorder="1" applyAlignment="1">
      <alignment vertical="center" wrapText="1"/>
    </xf>
    <xf numFmtId="0" fontId="8" fillId="2" borderId="43" xfId="0" applyFont="1" applyFill="1" applyBorder="1" applyAlignment="1">
      <alignment horizontal="center" vertical="center"/>
    </xf>
    <xf numFmtId="0" fontId="8" fillId="2" borderId="49" xfId="0" applyFont="1" applyFill="1" applyBorder="1" applyAlignment="1">
      <alignment horizontal="center" vertical="center"/>
    </xf>
    <xf numFmtId="0" fontId="8" fillId="0" borderId="45"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0" fillId="2" borderId="16" xfId="0" applyNumberFormat="1" applyFill="1" applyBorder="1" applyAlignment="1" applyProtection="1"/>
    <xf numFmtId="0" fontId="0" fillId="2" borderId="38" xfId="0" applyFill="1" applyBorder="1" applyAlignment="1" applyProtection="1"/>
    <xf numFmtId="0" fontId="9" fillId="0" borderId="1" xfId="0" applyFont="1" applyFill="1" applyBorder="1" applyAlignment="1" applyProtection="1">
      <alignment horizontal="center" vertical="top" wrapText="1"/>
    </xf>
    <xf numFmtId="0" fontId="9" fillId="0" borderId="2" xfId="0" applyFont="1" applyFill="1" applyBorder="1" applyAlignment="1" applyProtection="1">
      <alignment horizontal="center" vertical="top" wrapText="1"/>
    </xf>
    <xf numFmtId="0" fontId="0" fillId="0" borderId="2" xfId="0" applyFill="1" applyBorder="1" applyAlignment="1"/>
    <xf numFmtId="44" fontId="10" fillId="0" borderId="1" xfId="0" applyNumberFormat="1" applyFont="1" applyFill="1" applyBorder="1" applyAlignment="1"/>
    <xf numFmtId="44" fontId="10" fillId="0" borderId="2" xfId="0" applyNumberFormat="1" applyFont="1" applyFill="1" applyBorder="1" applyAlignment="1"/>
    <xf numFmtId="44" fontId="10" fillId="0" borderId="3" xfId="0" applyNumberFormat="1" applyFont="1" applyFill="1" applyBorder="1" applyAlignment="1"/>
    <xf numFmtId="44" fontId="10" fillId="0" borderId="4" xfId="0" applyNumberFormat="1" applyFont="1" applyFill="1" applyBorder="1" applyAlignment="1"/>
    <xf numFmtId="44" fontId="10" fillId="0" borderId="5" xfId="0" applyNumberFormat="1" applyFont="1" applyFill="1" applyBorder="1" applyAlignment="1"/>
    <xf numFmtId="44" fontId="10" fillId="0" borderId="6" xfId="0" applyNumberFormat="1" applyFont="1" applyFill="1" applyBorder="1" applyAlignment="1"/>
    <xf numFmtId="0" fontId="14" fillId="0" borderId="4" xfId="0" applyFont="1" applyFill="1" applyBorder="1" applyAlignment="1" applyProtection="1">
      <alignment horizontal="center" vertical="top" wrapText="1"/>
    </xf>
    <xf numFmtId="0" fontId="14" fillId="0" borderId="5" xfId="0" applyFont="1" applyFill="1" applyBorder="1" applyAlignment="1" applyProtection="1">
      <alignment horizontal="center" vertical="top" wrapText="1"/>
    </xf>
    <xf numFmtId="0" fontId="0" fillId="0" borderId="5" xfId="0" applyFill="1" applyBorder="1" applyAlignment="1">
      <alignment horizontal="center"/>
    </xf>
    <xf numFmtId="49" fontId="10" fillId="0" borderId="12" xfId="0" applyNumberFormat="1" applyFont="1" applyFill="1" applyBorder="1" applyAlignment="1" applyProtection="1">
      <alignment horizontal="left" vertical="top" wrapText="1"/>
    </xf>
    <xf numFmtId="49" fontId="10" fillId="0" borderId="9" xfId="0" applyNumberFormat="1" applyFont="1" applyFill="1" applyBorder="1" applyAlignment="1" applyProtection="1">
      <alignment horizontal="left" vertical="top" wrapText="1"/>
    </xf>
    <xf numFmtId="49" fontId="10" fillId="0" borderId="11" xfId="0" applyNumberFormat="1" applyFont="1" applyFill="1" applyBorder="1" applyAlignment="1" applyProtection="1">
      <alignment horizontal="left" vertical="top" wrapText="1"/>
    </xf>
    <xf numFmtId="44" fontId="10" fillId="0" borderId="9" xfId="0" applyNumberFormat="1" applyFont="1" applyFill="1" applyBorder="1" applyAlignment="1" applyProtection="1">
      <alignment horizontal="center" vertical="top" wrapText="1"/>
    </xf>
    <xf numFmtId="44" fontId="23" fillId="0" borderId="10" xfId="0" applyNumberFormat="1" applyFont="1" applyBorder="1" applyAlignment="1">
      <alignment horizontal="center"/>
    </xf>
    <xf numFmtId="44" fontId="23" fillId="0" borderId="11" xfId="0" applyNumberFormat="1" applyFont="1" applyBorder="1" applyAlignment="1">
      <alignment horizontal="center"/>
    </xf>
    <xf numFmtId="164" fontId="8" fillId="2" borderId="43" xfId="0" applyNumberFormat="1" applyFont="1" applyFill="1" applyBorder="1" applyAlignment="1">
      <alignment horizontal="center" vertical="center"/>
    </xf>
    <xf numFmtId="0" fontId="0" fillId="2" borderId="0" xfId="0" applyNumberFormat="1" applyFill="1" applyAlignment="1" applyProtection="1">
      <alignment horizontal="left"/>
    </xf>
    <xf numFmtId="0" fontId="9" fillId="0" borderId="1" xfId="0" applyFont="1" applyFill="1" applyBorder="1" applyAlignment="1">
      <alignment horizontal="center" vertical="top" wrapText="1"/>
    </xf>
    <xf numFmtId="0" fontId="9" fillId="0" borderId="2" xfId="0" applyFont="1" applyFill="1" applyBorder="1" applyAlignment="1">
      <alignment horizontal="center" vertical="top" wrapText="1"/>
    </xf>
    <xf numFmtId="0" fontId="9" fillId="0" borderId="3" xfId="0" applyFont="1" applyFill="1" applyBorder="1" applyAlignment="1">
      <alignment horizontal="center" vertical="top" wrapText="1"/>
    </xf>
    <xf numFmtId="0" fontId="9" fillId="0" borderId="7" xfId="0" applyFont="1" applyFill="1" applyBorder="1" applyAlignment="1">
      <alignment horizontal="center" vertical="top" wrapText="1"/>
    </xf>
    <xf numFmtId="0" fontId="9" fillId="0" borderId="0" xfId="0" applyFont="1" applyFill="1" applyBorder="1" applyAlignment="1">
      <alignment horizontal="center" vertical="top" wrapText="1"/>
    </xf>
    <xf numFmtId="0" fontId="9" fillId="0" borderId="8" xfId="0" applyFont="1" applyFill="1" applyBorder="1" applyAlignment="1">
      <alignment horizontal="center" vertical="top" wrapText="1"/>
    </xf>
    <xf numFmtId="0" fontId="9" fillId="0" borderId="4" xfId="0" applyFont="1" applyFill="1" applyBorder="1" applyAlignment="1">
      <alignment horizontal="center" vertical="top" wrapText="1"/>
    </xf>
    <xf numFmtId="0" fontId="9" fillId="0" borderId="5" xfId="0" applyFont="1" applyFill="1" applyBorder="1" applyAlignment="1">
      <alignment horizontal="center" vertical="top" wrapText="1"/>
    </xf>
    <xf numFmtId="0" fontId="9" fillId="0" borderId="6" xfId="0" applyFont="1" applyFill="1" applyBorder="1" applyAlignment="1">
      <alignment horizontal="center" vertical="top" wrapText="1"/>
    </xf>
    <xf numFmtId="0" fontId="10" fillId="0" borderId="13" xfId="0" applyFont="1" applyFill="1" applyBorder="1" applyAlignment="1">
      <alignment horizontal="left" vertical="top" wrapText="1"/>
    </xf>
    <xf numFmtId="0" fontId="10" fillId="0" borderId="14" xfId="0" applyFont="1" applyFill="1" applyBorder="1" applyAlignment="1">
      <alignment horizontal="left" vertical="top" wrapText="1"/>
    </xf>
    <xf numFmtId="0" fontId="16" fillId="0" borderId="1" xfId="0" applyFont="1" applyFill="1" applyBorder="1" applyAlignment="1">
      <alignment horizontal="left" vertical="top" wrapText="1" indent="1"/>
    </xf>
    <xf numFmtId="0" fontId="16" fillId="0" borderId="2" xfId="0" applyFont="1" applyFill="1" applyBorder="1" applyAlignment="1">
      <alignment horizontal="left" vertical="top" wrapText="1" indent="1"/>
    </xf>
    <xf numFmtId="0" fontId="16" fillId="0" borderId="3" xfId="0" applyFont="1" applyFill="1" applyBorder="1" applyAlignment="1">
      <alignment horizontal="left" vertical="top" wrapText="1" indent="1"/>
    </xf>
    <xf numFmtId="0" fontId="8" fillId="0" borderId="49" xfId="0" applyFont="1" applyFill="1" applyBorder="1" applyAlignment="1">
      <alignment horizontal="center" vertical="center" wrapText="1"/>
    </xf>
    <xf numFmtId="49" fontId="5" fillId="0" borderId="37" xfId="0" applyNumberFormat="1" applyFont="1" applyBorder="1" applyAlignment="1" applyProtection="1">
      <alignment horizontal="left" vertical="top" wrapText="1"/>
    </xf>
    <xf numFmtId="0" fontId="0" fillId="0" borderId="17" xfId="0" applyBorder="1" applyAlignment="1">
      <alignment horizontal="left" vertical="top" wrapText="1"/>
    </xf>
    <xf numFmtId="0" fontId="0" fillId="0" borderId="38" xfId="0" applyBorder="1" applyAlignment="1"/>
    <xf numFmtId="0" fontId="8" fillId="0" borderId="45" xfId="0" applyFont="1" applyFill="1" applyBorder="1" applyAlignment="1" applyProtection="1">
      <alignment horizontal="left" vertical="center" wrapText="1"/>
    </xf>
    <xf numFmtId="0" fontId="8" fillId="0" borderId="16" xfId="0" applyFont="1" applyBorder="1" applyAlignment="1">
      <alignment horizontal="left" vertical="center" wrapText="1"/>
    </xf>
    <xf numFmtId="0" fontId="0" fillId="0" borderId="18" xfId="0" applyBorder="1" applyAlignment="1">
      <alignment horizontal="left" vertical="center" wrapText="1"/>
    </xf>
    <xf numFmtId="0" fontId="8" fillId="0" borderId="16" xfId="0" applyFont="1" applyFill="1" applyBorder="1" applyAlignment="1" applyProtection="1">
      <alignment horizontal="left" vertical="center" wrapText="1"/>
    </xf>
    <xf numFmtId="0" fontId="12" fillId="0" borderId="19" xfId="0" applyFont="1" applyFill="1" applyBorder="1" applyAlignment="1">
      <alignment horizontal="center" wrapText="1"/>
    </xf>
    <xf numFmtId="0" fontId="12" fillId="0" borderId="23" xfId="0" applyFont="1" applyFill="1" applyBorder="1" applyAlignment="1">
      <alignment horizontal="center" wrapText="1"/>
    </xf>
    <xf numFmtId="0" fontId="12" fillId="0" borderId="18" xfId="0" applyFont="1" applyFill="1" applyBorder="1" applyAlignment="1">
      <alignment horizontal="center" wrapText="1"/>
    </xf>
    <xf numFmtId="0" fontId="12" fillId="0" borderId="54" xfId="0" applyFont="1" applyFill="1" applyBorder="1" applyAlignment="1">
      <alignment horizontal="center" wrapText="1"/>
    </xf>
    <xf numFmtId="0" fontId="12" fillId="0" borderId="42" xfId="0" applyFont="1" applyFill="1" applyBorder="1" applyAlignment="1">
      <alignment horizontal="center" wrapText="1"/>
    </xf>
    <xf numFmtId="44" fontId="0" fillId="2" borderId="16" xfId="11" applyFont="1" applyFill="1" applyBorder="1" applyAlignment="1" applyProtection="1"/>
    <xf numFmtId="44" fontId="0" fillId="2" borderId="38" xfId="11" applyFont="1" applyFill="1" applyBorder="1" applyAlignment="1" applyProtection="1"/>
    <xf numFmtId="49" fontId="8" fillId="0" borderId="45" xfId="0" applyNumberFormat="1" applyFont="1" applyFill="1" applyBorder="1" applyAlignment="1" applyProtection="1">
      <alignment horizontal="center" vertical="center" wrapText="1"/>
    </xf>
    <xf numFmtId="49" fontId="8" fillId="0" borderId="43" xfId="0" applyNumberFormat="1" applyFont="1" applyFill="1" applyBorder="1" applyAlignment="1" applyProtection="1">
      <alignment horizontal="center" vertical="center" wrapText="1"/>
    </xf>
    <xf numFmtId="44" fontId="8" fillId="0" borderId="16" xfId="0" applyNumberFormat="1" applyFont="1" applyFill="1" applyBorder="1" applyAlignment="1">
      <alignment horizontal="center" vertical="center"/>
    </xf>
    <xf numFmtId="44" fontId="8" fillId="0" borderId="17" xfId="0" applyNumberFormat="1" applyFont="1" applyFill="1" applyBorder="1" applyAlignment="1">
      <alignment horizontal="center" vertical="center"/>
    </xf>
    <xf numFmtId="44" fontId="8" fillId="0" borderId="18" xfId="0" applyNumberFormat="1" applyFont="1" applyFill="1" applyBorder="1" applyAlignment="1">
      <alignment horizontal="center" vertical="center"/>
    </xf>
    <xf numFmtId="0" fontId="7" fillId="0" borderId="7" xfId="0" applyFont="1" applyBorder="1" applyAlignment="1">
      <alignment horizontal="center"/>
    </xf>
    <xf numFmtId="0" fontId="7" fillId="0" borderId="0" xfId="0" applyFont="1" applyBorder="1" applyAlignment="1">
      <alignment horizontal="center"/>
    </xf>
    <xf numFmtId="0" fontId="7" fillId="0" borderId="8" xfId="0" applyFont="1" applyBorder="1" applyAlignment="1">
      <alignment horizontal="center"/>
    </xf>
    <xf numFmtId="43" fontId="16" fillId="0" borderId="61" xfId="0" applyNumberFormat="1" applyFont="1" applyBorder="1" applyAlignment="1">
      <alignment horizontal="center" vertical="center"/>
    </xf>
    <xf numFmtId="43" fontId="16" fillId="0" borderId="62" xfId="0" applyNumberFormat="1" applyFont="1" applyBorder="1" applyAlignment="1">
      <alignment horizontal="center" vertical="center"/>
    </xf>
    <xf numFmtId="44" fontId="8" fillId="0" borderId="43" xfId="0" applyNumberFormat="1" applyFont="1" applyFill="1" applyBorder="1" applyAlignment="1">
      <alignment horizontal="center" vertical="center"/>
    </xf>
    <xf numFmtId="44" fontId="8" fillId="0" borderId="49" xfId="0" applyNumberFormat="1" applyFont="1" applyFill="1" applyBorder="1" applyAlignment="1">
      <alignment horizontal="center" vertical="center"/>
    </xf>
    <xf numFmtId="0" fontId="12" fillId="0" borderId="59" xfId="0" applyFont="1" applyFill="1" applyBorder="1" applyAlignment="1">
      <alignment horizontal="center" wrapText="1"/>
    </xf>
    <xf numFmtId="0" fontId="12" fillId="0" borderId="29" xfId="0" applyFont="1" applyFill="1" applyBorder="1" applyAlignment="1">
      <alignment horizontal="center" wrapText="1"/>
    </xf>
    <xf numFmtId="0" fontId="12" fillId="0" borderId="58" xfId="0" applyFont="1" applyFill="1" applyBorder="1" applyAlignment="1">
      <alignment horizontal="center" wrapText="1"/>
    </xf>
    <xf numFmtId="0" fontId="9" fillId="0" borderId="60" xfId="0" applyFont="1" applyFill="1" applyBorder="1" applyAlignment="1" applyProtection="1">
      <alignment horizontal="center" vertical="top" wrapText="1"/>
    </xf>
    <xf numFmtId="0" fontId="9" fillId="0" borderId="61" xfId="0" applyFont="1" applyFill="1" applyBorder="1" applyAlignment="1" applyProtection="1">
      <alignment horizontal="center" vertical="top" wrapText="1"/>
    </xf>
    <xf numFmtId="0" fontId="9" fillId="0" borderId="62" xfId="0" applyFont="1" applyFill="1" applyBorder="1" applyAlignment="1" applyProtection="1">
      <alignment horizontal="center" vertical="top" wrapText="1"/>
    </xf>
    <xf numFmtId="0" fontId="8" fillId="2" borderId="45" xfId="0" applyFont="1" applyFill="1" applyBorder="1" applyAlignment="1">
      <alignment horizontal="center" vertical="center"/>
    </xf>
    <xf numFmtId="0" fontId="5" fillId="0" borderId="16" xfId="0" applyFont="1" applyBorder="1" applyAlignment="1">
      <alignment horizontal="left" vertical="center" wrapText="1"/>
    </xf>
    <xf numFmtId="0" fontId="5" fillId="0" borderId="24" xfId="0" applyFont="1" applyBorder="1" applyAlignment="1">
      <alignment horizontal="left" vertical="center" wrapText="1"/>
    </xf>
    <xf numFmtId="0" fontId="5" fillId="0" borderId="17" xfId="0" applyFont="1" applyBorder="1" applyAlignment="1">
      <alignment horizontal="left" vertical="center" wrapText="1"/>
    </xf>
    <xf numFmtId="0" fontId="5" fillId="0" borderId="18" xfId="0" applyFont="1" applyBorder="1" applyAlignment="1">
      <alignment horizontal="left" vertical="center" wrapText="1"/>
    </xf>
    <xf numFmtId="0" fontId="10" fillId="0" borderId="21" xfId="0" applyFont="1" applyFill="1" applyBorder="1" applyAlignment="1">
      <alignment horizontal="center" vertical="top" wrapText="1"/>
    </xf>
    <xf numFmtId="0" fontId="10" fillId="0" borderId="0" xfId="0" applyFont="1" applyFill="1" applyBorder="1" applyAlignment="1">
      <alignment horizontal="center" vertical="top" wrapText="1"/>
    </xf>
    <xf numFmtId="0" fontId="10" fillId="0" borderId="22" xfId="0" applyFont="1" applyFill="1" applyBorder="1" applyAlignment="1">
      <alignment horizontal="center" vertical="top" wrapText="1"/>
    </xf>
    <xf numFmtId="0" fontId="10" fillId="0" borderId="23" xfId="0" applyFont="1" applyFill="1" applyBorder="1" applyAlignment="1">
      <alignment horizontal="center" vertical="top" wrapText="1"/>
    </xf>
    <xf numFmtId="0" fontId="10" fillId="0" borderId="24" xfId="0" applyFont="1" applyFill="1" applyBorder="1" applyAlignment="1">
      <alignment horizontal="center" vertical="top" wrapText="1"/>
    </xf>
    <xf numFmtId="0" fontId="10" fillId="0" borderId="25" xfId="0" applyFont="1" applyFill="1" applyBorder="1" applyAlignment="1">
      <alignment horizontal="center" vertical="top" wrapText="1"/>
    </xf>
    <xf numFmtId="0" fontId="41" fillId="0" borderId="54" xfId="0" applyFont="1" applyFill="1" applyBorder="1" applyAlignment="1">
      <alignment horizontal="center" wrapText="1"/>
    </xf>
    <xf numFmtId="0" fontId="41" fillId="0" borderId="42" xfId="0" applyFont="1" applyFill="1" applyBorder="1" applyAlignment="1">
      <alignment horizontal="center" wrapText="1"/>
    </xf>
    <xf numFmtId="49" fontId="8" fillId="0" borderId="50" xfId="0" applyNumberFormat="1" applyFont="1" applyFill="1" applyBorder="1" applyAlignment="1" applyProtection="1">
      <alignment horizontal="center" vertical="center" wrapText="1"/>
    </xf>
    <xf numFmtId="49" fontId="8" fillId="0" borderId="44" xfId="0" applyNumberFormat="1" applyFont="1" applyFill="1" applyBorder="1" applyAlignment="1" applyProtection="1">
      <alignment horizontal="center" vertical="center" wrapText="1"/>
    </xf>
    <xf numFmtId="44" fontId="8" fillId="0" borderId="46" xfId="0" applyNumberFormat="1" applyFont="1" applyFill="1" applyBorder="1" applyAlignment="1">
      <alignment horizontal="center" vertical="center"/>
    </xf>
    <xf numFmtId="44" fontId="8" fillId="0" borderId="57" xfId="0" applyNumberFormat="1" applyFont="1" applyFill="1" applyBorder="1" applyAlignment="1">
      <alignment horizontal="center" vertical="center"/>
    </xf>
    <xf numFmtId="44" fontId="8" fillId="0" borderId="51" xfId="0" applyNumberFormat="1" applyFont="1" applyFill="1" applyBorder="1" applyAlignment="1">
      <alignment horizontal="center" vertical="center"/>
    </xf>
    <xf numFmtId="0" fontId="27" fillId="0" borderId="4" xfId="0" applyFont="1" applyFill="1" applyBorder="1" applyAlignment="1">
      <alignment horizontal="center" vertical="top" wrapText="1"/>
    </xf>
    <xf numFmtId="0" fontId="27" fillId="0" borderId="5" xfId="0" applyFont="1" applyFill="1" applyBorder="1" applyAlignment="1">
      <alignment horizontal="center" vertical="top" wrapText="1"/>
    </xf>
    <xf numFmtId="0" fontId="27" fillId="0" borderId="6" xfId="0" applyFont="1" applyFill="1" applyBorder="1" applyAlignment="1">
      <alignment horizontal="center" vertical="top" wrapText="1"/>
    </xf>
    <xf numFmtId="44" fontId="8" fillId="0" borderId="44" xfId="0" applyNumberFormat="1" applyFont="1" applyFill="1" applyBorder="1" applyAlignment="1">
      <alignment horizontal="center" vertical="center"/>
    </xf>
    <xf numFmtId="44" fontId="8" fillId="0" borderId="52" xfId="0" applyNumberFormat="1" applyFont="1" applyFill="1" applyBorder="1" applyAlignment="1">
      <alignment horizontal="center" vertical="center"/>
    </xf>
    <xf numFmtId="0" fontId="16" fillId="0" borderId="63" xfId="0" applyFont="1" applyBorder="1" applyAlignment="1">
      <alignment horizontal="right" vertical="center"/>
    </xf>
    <xf numFmtId="0" fontId="16" fillId="0" borderId="66" xfId="0" applyFont="1" applyBorder="1" applyAlignment="1">
      <alignment horizontal="right" vertical="center"/>
    </xf>
    <xf numFmtId="0" fontId="16" fillId="0" borderId="67" xfId="0" applyFont="1" applyBorder="1" applyAlignment="1">
      <alignment horizontal="right" vertical="center"/>
    </xf>
    <xf numFmtId="0" fontId="8" fillId="3" borderId="43" xfId="0" applyFont="1" applyFill="1" applyBorder="1" applyAlignment="1" applyProtection="1">
      <alignment horizontal="center" vertical="center"/>
      <protection locked="0"/>
    </xf>
    <xf numFmtId="0" fontId="12" fillId="0" borderId="55" xfId="0" applyFont="1" applyFill="1" applyBorder="1" applyAlignment="1">
      <alignment horizontal="center" wrapText="1"/>
    </xf>
    <xf numFmtId="0" fontId="0" fillId="0" borderId="53" xfId="0" applyBorder="1" applyAlignment="1">
      <alignment horizontal="center" wrapText="1"/>
    </xf>
    <xf numFmtId="0" fontId="0" fillId="0" borderId="48" xfId="0" applyBorder="1" applyAlignment="1">
      <alignment horizontal="center" wrapText="1"/>
    </xf>
    <xf numFmtId="4" fontId="8" fillId="2" borderId="16" xfId="0" applyNumberFormat="1" applyFont="1" applyFill="1" applyBorder="1" applyAlignment="1" applyProtection="1">
      <alignment horizontal="center" vertical="center"/>
    </xf>
    <xf numFmtId="4" fontId="0" fillId="2" borderId="17" xfId="0" applyNumberFormat="1" applyFill="1" applyBorder="1" applyAlignment="1" applyProtection="1">
      <alignment vertical="center"/>
    </xf>
    <xf numFmtId="4" fontId="0" fillId="2" borderId="38" xfId="0" applyNumberFormat="1" applyFill="1" applyBorder="1" applyAlignment="1" applyProtection="1">
      <alignment vertical="center"/>
    </xf>
    <xf numFmtId="0" fontId="17" fillId="0" borderId="41" xfId="0" applyFont="1" applyBorder="1" applyAlignment="1">
      <alignment horizontal="center" wrapText="1"/>
    </xf>
    <xf numFmtId="0" fontId="17" fillId="0" borderId="42" xfId="0" applyFont="1" applyBorder="1" applyAlignment="1">
      <alignment horizontal="center" wrapText="1"/>
    </xf>
    <xf numFmtId="0" fontId="6" fillId="0" borderId="37" xfId="0" applyFont="1" applyFill="1" applyBorder="1" applyAlignment="1">
      <alignment horizontal="right" vertical="center" wrapText="1"/>
    </xf>
    <xf numFmtId="0" fontId="0" fillId="0" borderId="17" xfId="0" applyBorder="1" applyAlignment="1">
      <alignment vertical="center"/>
    </xf>
    <xf numFmtId="0" fontId="0" fillId="0" borderId="18" xfId="0" applyBorder="1" applyAlignment="1">
      <alignment vertical="center"/>
    </xf>
    <xf numFmtId="0" fontId="10" fillId="0" borderId="27" xfId="0" applyFont="1" applyBorder="1" applyAlignment="1">
      <alignment horizontal="center" vertical="top" wrapText="1"/>
    </xf>
    <xf numFmtId="0" fontId="0" fillId="0" borderId="2" xfId="0" applyBorder="1"/>
    <xf numFmtId="0" fontId="0" fillId="0" borderId="28" xfId="0" applyBorder="1"/>
    <xf numFmtId="0" fontId="10" fillId="0" borderId="28" xfId="0" applyFont="1" applyBorder="1" applyAlignment="1">
      <alignment horizontal="center" vertical="top" wrapText="1"/>
    </xf>
    <xf numFmtId="0" fontId="10" fillId="0" borderId="2" xfId="0" applyFont="1" applyBorder="1" applyAlignment="1">
      <alignment horizontal="center" vertical="top" wrapText="1"/>
    </xf>
    <xf numFmtId="0" fontId="10" fillId="0" borderId="23" xfId="0" applyFont="1" applyBorder="1" applyAlignment="1">
      <alignment horizontal="center" vertical="top" wrapText="1"/>
    </xf>
    <xf numFmtId="0" fontId="10" fillId="0" borderId="24" xfId="0" applyFont="1" applyBorder="1" applyAlignment="1">
      <alignment horizontal="center" vertical="top" wrapText="1"/>
    </xf>
    <xf numFmtId="0" fontId="10" fillId="0" borderId="25" xfId="0" applyFont="1" applyBorder="1" applyAlignment="1">
      <alignment horizontal="center" vertical="top" wrapText="1"/>
    </xf>
    <xf numFmtId="0" fontId="10" fillId="0" borderId="47" xfId="0" applyFont="1" applyBorder="1" applyAlignment="1">
      <alignment horizontal="center" vertical="top" wrapText="1"/>
    </xf>
    <xf numFmtId="0" fontId="10" fillId="0" borderId="48" xfId="0" applyFont="1" applyBorder="1" applyAlignment="1">
      <alignment horizontal="center" vertical="top" wrapText="1"/>
    </xf>
    <xf numFmtId="0" fontId="14" fillId="0" borderId="7" xfId="0" applyFont="1" applyBorder="1" applyAlignment="1">
      <alignment horizontal="left" vertical="top" wrapText="1"/>
    </xf>
    <xf numFmtId="0" fontId="14" fillId="0" borderId="22" xfId="0" applyFont="1" applyBorder="1" applyAlignment="1">
      <alignment horizontal="left" vertical="top" wrapText="1"/>
    </xf>
    <xf numFmtId="0" fontId="5" fillId="0" borderId="0" xfId="0" applyFont="1" applyBorder="1" applyAlignment="1">
      <alignment horizontal="center" vertical="top" wrapText="1"/>
    </xf>
    <xf numFmtId="0" fontId="22" fillId="3" borderId="18" xfId="0" applyFont="1" applyFill="1" applyBorder="1" applyAlignment="1" applyProtection="1">
      <alignment horizontal="left"/>
      <protection locked="0"/>
    </xf>
    <xf numFmtId="0" fontId="22" fillId="3" borderId="43" xfId="0" applyFont="1" applyFill="1" applyBorder="1" applyAlignment="1" applyProtection="1">
      <alignment horizontal="left"/>
      <protection locked="0"/>
    </xf>
    <xf numFmtId="0" fontId="22" fillId="3" borderId="16" xfId="0" applyFont="1" applyFill="1" applyBorder="1" applyAlignment="1" applyProtection="1">
      <alignment horizontal="left"/>
      <protection locked="0"/>
    </xf>
    <xf numFmtId="0" fontId="5" fillId="3" borderId="18" xfId="0" applyFont="1" applyFill="1" applyBorder="1" applyAlignment="1" applyProtection="1">
      <alignment horizontal="left" vertical="top" wrapText="1"/>
      <protection locked="0"/>
    </xf>
    <xf numFmtId="0" fontId="10" fillId="0" borderId="40" xfId="0" applyFont="1" applyBorder="1" applyAlignment="1">
      <alignment horizontal="center" vertical="top" wrapText="1"/>
    </xf>
    <xf numFmtId="0" fontId="10" fillId="0" borderId="41" xfId="0" applyFont="1" applyBorder="1" applyAlignment="1">
      <alignment horizontal="center" vertical="top" wrapText="1"/>
    </xf>
    <xf numFmtId="0" fontId="10" fillId="0" borderId="21" xfId="0" applyFont="1" applyBorder="1" applyAlignment="1">
      <alignment horizontal="center" vertical="top" wrapText="1"/>
    </xf>
    <xf numFmtId="0" fontId="10" fillId="0" borderId="0" xfId="0" applyFont="1" applyBorder="1" applyAlignment="1">
      <alignment horizontal="center" vertical="top" wrapText="1"/>
    </xf>
    <xf numFmtId="0" fontId="10" fillId="0" borderId="22" xfId="0" applyFont="1" applyBorder="1" applyAlignment="1">
      <alignment horizontal="center" vertical="top" wrapText="1"/>
    </xf>
    <xf numFmtId="0" fontId="22" fillId="3" borderId="20" xfId="0" applyFont="1" applyFill="1" applyBorder="1" applyAlignment="1" applyProtection="1">
      <alignment horizontal="left"/>
      <protection locked="0"/>
    </xf>
    <xf numFmtId="0" fontId="22" fillId="3" borderId="54" xfId="0" applyFont="1" applyFill="1" applyBorder="1" applyAlignment="1" applyProtection="1">
      <alignment horizontal="left"/>
      <protection locked="0"/>
    </xf>
    <xf numFmtId="0" fontId="22" fillId="3" borderId="19" xfId="0" applyFont="1" applyFill="1" applyBorder="1" applyAlignment="1" applyProtection="1">
      <alignment horizontal="left"/>
      <protection locked="0"/>
    </xf>
    <xf numFmtId="0" fontId="5" fillId="3" borderId="31" xfId="0" applyFont="1" applyFill="1" applyBorder="1" applyAlignment="1" applyProtection="1">
      <alignment horizontal="left" vertical="top" wrapText="1"/>
      <protection locked="0"/>
    </xf>
    <xf numFmtId="0" fontId="5" fillId="3" borderId="20" xfId="0" applyFont="1" applyFill="1" applyBorder="1" applyAlignment="1" applyProtection="1">
      <alignment horizontal="left" vertical="top" wrapText="1"/>
      <protection locked="0"/>
    </xf>
    <xf numFmtId="0" fontId="10" fillId="0" borderId="4" xfId="0" applyFont="1" applyBorder="1" applyAlignment="1">
      <alignment horizontal="right" vertical="center" wrapText="1"/>
    </xf>
    <xf numFmtId="0" fontId="10" fillId="0" borderId="34" xfId="0" applyFont="1" applyBorder="1" applyAlignment="1">
      <alignment horizontal="right" vertical="center" wrapText="1"/>
    </xf>
    <xf numFmtId="44" fontId="10" fillId="0" borderId="46" xfId="0" applyNumberFormat="1" applyFont="1" applyBorder="1" applyAlignment="1">
      <alignment horizontal="right" vertical="center" wrapText="1"/>
    </xf>
    <xf numFmtId="44" fontId="10" fillId="0" borderId="57" xfId="0" applyNumberFormat="1" applyFont="1" applyBorder="1" applyAlignment="1">
      <alignment horizontal="right" vertical="center" wrapText="1"/>
    </xf>
    <xf numFmtId="44" fontId="10" fillId="0" borderId="39" xfId="0" applyNumberFormat="1" applyFont="1" applyBorder="1" applyAlignment="1">
      <alignment horizontal="right" vertical="center" wrapText="1"/>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8" fillId="0" borderId="43" xfId="0" applyFont="1" applyFill="1" applyBorder="1" applyAlignment="1">
      <alignment horizontal="center" vertical="top" wrapText="1"/>
    </xf>
    <xf numFmtId="0" fontId="8" fillId="0" borderId="49" xfId="0" applyFont="1" applyFill="1" applyBorder="1" applyAlignment="1">
      <alignment horizontal="center" vertical="top" wrapText="1"/>
    </xf>
    <xf numFmtId="0" fontId="8" fillId="0" borderId="60" xfId="0" applyFont="1" applyFill="1" applyBorder="1" applyAlignment="1">
      <alignment horizontal="left" vertical="top" wrapText="1" indent="1"/>
    </xf>
    <xf numFmtId="0" fontId="8" fillId="0" borderId="61" xfId="0" applyFont="1" applyFill="1" applyBorder="1" applyAlignment="1">
      <alignment horizontal="left" vertical="top" wrapText="1" indent="1"/>
    </xf>
    <xf numFmtId="0" fontId="8" fillId="0" borderId="62" xfId="0" applyFont="1" applyFill="1" applyBorder="1" applyAlignment="1">
      <alignment horizontal="left" vertical="top" wrapText="1" indent="1"/>
    </xf>
    <xf numFmtId="0" fontId="8" fillId="2" borderId="45" xfId="0" applyFont="1" applyFill="1" applyBorder="1" applyAlignment="1"/>
    <xf numFmtId="0" fontId="8" fillId="2" borderId="43" xfId="0" applyFont="1" applyFill="1" applyBorder="1" applyAlignment="1"/>
    <xf numFmtId="0" fontId="8" fillId="2" borderId="49" xfId="0" applyFont="1" applyFill="1" applyBorder="1" applyAlignment="1"/>
    <xf numFmtId="0" fontId="8" fillId="0" borderId="45" xfId="0" applyFont="1" applyFill="1" applyBorder="1" applyAlignment="1">
      <alignment horizontal="center" vertical="top" wrapText="1"/>
    </xf>
    <xf numFmtId="0" fontId="8" fillId="0" borderId="45" xfId="0" applyFont="1" applyFill="1" applyBorder="1" applyAlignment="1" applyProtection="1">
      <alignment horizontal="left" vertical="top" wrapText="1"/>
    </xf>
    <xf numFmtId="0" fontId="8" fillId="0" borderId="43" xfId="0" applyFont="1" applyFill="1" applyBorder="1" applyAlignment="1" applyProtection="1">
      <alignment horizontal="left" vertical="top" wrapText="1"/>
    </xf>
    <xf numFmtId="0" fontId="8" fillId="0" borderId="49" xfId="0" applyFont="1" applyFill="1" applyBorder="1" applyAlignment="1" applyProtection="1">
      <alignment horizontal="left" vertical="top" wrapText="1"/>
    </xf>
    <xf numFmtId="164" fontId="8" fillId="2" borderId="43" xfId="0" applyNumberFormat="1" applyFont="1" applyFill="1" applyBorder="1" applyAlignment="1">
      <alignment horizontal="center"/>
    </xf>
    <xf numFmtId="49" fontId="5" fillId="0" borderId="45" xfId="0" applyNumberFormat="1" applyFont="1" applyFill="1" applyBorder="1" applyAlignment="1" applyProtection="1">
      <alignment horizontal="left" vertical="top" wrapText="1"/>
    </xf>
    <xf numFmtId="49" fontId="5" fillId="0" borderId="43" xfId="0" applyNumberFormat="1" applyFont="1" applyFill="1" applyBorder="1" applyAlignment="1" applyProtection="1">
      <alignment horizontal="left" vertical="top" wrapText="1"/>
    </xf>
    <xf numFmtId="0" fontId="0" fillId="0" borderId="0" xfId="0"/>
    <xf numFmtId="0" fontId="5" fillId="2" borderId="43" xfId="0" applyFont="1" applyFill="1" applyBorder="1" applyAlignment="1">
      <alignment horizontal="left" vertical="top"/>
    </xf>
    <xf numFmtId="0" fontId="5" fillId="2" borderId="49" xfId="0" applyFont="1" applyFill="1" applyBorder="1" applyAlignment="1">
      <alignment horizontal="left" vertical="top"/>
    </xf>
    <xf numFmtId="49" fontId="5" fillId="0" borderId="50" xfId="0" applyNumberFormat="1" applyFont="1" applyFill="1" applyBorder="1" applyAlignment="1" applyProtection="1">
      <alignment horizontal="left" vertical="top" wrapText="1"/>
    </xf>
    <xf numFmtId="49" fontId="5" fillId="0" borderId="44" xfId="0" applyNumberFormat="1" applyFont="1" applyFill="1" applyBorder="1" applyAlignment="1" applyProtection="1">
      <alignment horizontal="left" vertical="top" wrapText="1"/>
    </xf>
    <xf numFmtId="0" fontId="5" fillId="0" borderId="44" xfId="0" applyFont="1" applyFill="1" applyBorder="1" applyAlignment="1"/>
    <xf numFmtId="0" fontId="5" fillId="2" borderId="43" xfId="0" applyFont="1" applyFill="1" applyBorder="1" applyAlignment="1">
      <alignment horizontal="left" vertical="top" wrapText="1"/>
    </xf>
    <xf numFmtId="0" fontId="5" fillId="2" borderId="49" xfId="0" applyFont="1" applyFill="1" applyBorder="1" applyAlignment="1">
      <alignment horizontal="left" vertical="top" wrapText="1"/>
    </xf>
    <xf numFmtId="0" fontId="5" fillId="0" borderId="44" xfId="0" applyFont="1" applyFill="1" applyBorder="1" applyAlignment="1">
      <alignment vertical="top"/>
    </xf>
    <xf numFmtId="0" fontId="5" fillId="0" borderId="52" xfId="0" applyFont="1" applyFill="1" applyBorder="1" applyAlignment="1">
      <alignment vertical="top"/>
    </xf>
    <xf numFmtId="0" fontId="10" fillId="0" borderId="16" xfId="0" applyFont="1" applyBorder="1" applyAlignment="1">
      <alignment horizontal="center"/>
    </xf>
    <xf numFmtId="0" fontId="10" fillId="0" borderId="17" xfId="0" applyFont="1" applyBorder="1" applyAlignment="1">
      <alignment horizontal="center"/>
    </xf>
    <xf numFmtId="0" fontId="10" fillId="0" borderId="18" xfId="0" applyFont="1" applyBorder="1" applyAlignment="1">
      <alignment horizontal="center"/>
    </xf>
    <xf numFmtId="0" fontId="9" fillId="0" borderId="16" xfId="0" applyFont="1" applyFill="1" applyBorder="1" applyAlignment="1">
      <alignment horizontal="left" wrapText="1"/>
    </xf>
    <xf numFmtId="0" fontId="9" fillId="0" borderId="17" xfId="0" applyFont="1" applyFill="1" applyBorder="1" applyAlignment="1">
      <alignment horizontal="left" wrapText="1"/>
    </xf>
    <xf numFmtId="0" fontId="9" fillId="0" borderId="18" xfId="0" applyFont="1" applyFill="1" applyBorder="1" applyAlignment="1">
      <alignment horizontal="left" wrapText="1"/>
    </xf>
    <xf numFmtId="49" fontId="8" fillId="6" borderId="84" xfId="0" applyNumberFormat="1" applyFont="1" applyFill="1" applyBorder="1" applyAlignment="1" applyProtection="1">
      <alignment horizontal="center" vertical="center" wrapText="1"/>
      <protection locked="0"/>
    </xf>
    <xf numFmtId="49" fontId="8" fillId="6" borderId="68" xfId="0" applyNumberFormat="1" applyFont="1" applyFill="1" applyBorder="1" applyAlignment="1" applyProtection="1">
      <alignment horizontal="center" vertical="center" wrapText="1"/>
      <protection locked="0"/>
    </xf>
    <xf numFmtId="49" fontId="8" fillId="6" borderId="68" xfId="0" applyNumberFormat="1" applyFont="1" applyFill="1" applyBorder="1" applyAlignment="1" applyProtection="1">
      <alignment horizontal="left" vertical="top" wrapText="1"/>
      <protection locked="0"/>
    </xf>
    <xf numFmtId="49" fontId="8" fillId="6" borderId="85" xfId="0" applyNumberFormat="1" applyFont="1" applyFill="1" applyBorder="1" applyAlignment="1" applyProtection="1">
      <alignment horizontal="left" vertical="top" wrapText="1"/>
      <protection locked="0"/>
    </xf>
    <xf numFmtId="49" fontId="8" fillId="6" borderId="86" xfId="0" applyNumberFormat="1" applyFont="1" applyFill="1" applyBorder="1" applyAlignment="1" applyProtection="1">
      <alignment horizontal="center" vertical="center" wrapText="1"/>
      <protection locked="0"/>
    </xf>
    <xf numFmtId="49" fontId="8" fillId="6" borderId="87" xfId="0" applyNumberFormat="1" applyFont="1" applyFill="1" applyBorder="1" applyAlignment="1" applyProtection="1">
      <alignment horizontal="center" vertical="center" wrapText="1"/>
      <protection locked="0"/>
    </xf>
    <xf numFmtId="49" fontId="8" fillId="6" borderId="87" xfId="0" applyNumberFormat="1" applyFont="1" applyFill="1" applyBorder="1" applyAlignment="1" applyProtection="1">
      <alignment horizontal="left" vertical="top" wrapText="1"/>
      <protection locked="0"/>
    </xf>
    <xf numFmtId="49" fontId="8" fillId="6" borderId="88" xfId="0" applyNumberFormat="1" applyFont="1" applyFill="1" applyBorder="1" applyAlignment="1" applyProtection="1">
      <alignment horizontal="left" vertical="top" wrapText="1"/>
      <protection locked="0"/>
    </xf>
    <xf numFmtId="0" fontId="16" fillId="0" borderId="82" xfId="0" applyFont="1" applyBorder="1" applyAlignment="1" applyProtection="1">
      <alignment horizontal="center" vertical="center"/>
    </xf>
    <xf numFmtId="0" fontId="16" fillId="0" borderId="77" xfId="0" applyFont="1" applyBorder="1" applyAlignment="1" applyProtection="1">
      <alignment horizontal="center" vertical="center"/>
    </xf>
    <xf numFmtId="0" fontId="16" fillId="0" borderId="83" xfId="0" applyFont="1" applyBorder="1" applyAlignment="1" applyProtection="1">
      <alignment horizontal="center" vertical="center"/>
    </xf>
    <xf numFmtId="0" fontId="8" fillId="0" borderId="60" xfId="0" applyFont="1" applyFill="1" applyBorder="1" applyAlignment="1" applyProtection="1">
      <alignment horizontal="left" vertical="center" wrapText="1"/>
    </xf>
    <xf numFmtId="0" fontId="8" fillId="0" borderId="61" xfId="0" applyFont="1" applyFill="1" applyBorder="1" applyAlignment="1" applyProtection="1">
      <alignment horizontal="left" vertical="center" wrapText="1"/>
    </xf>
    <xf numFmtId="0" fontId="8" fillId="2" borderId="45" xfId="0" applyFont="1" applyFill="1" applyBorder="1" applyAlignment="1" applyProtection="1">
      <alignment horizontal="left" vertical="center" wrapText="1"/>
    </xf>
    <xf numFmtId="0" fontId="8" fillId="0" borderId="45" xfId="0" applyFont="1" applyFill="1" applyBorder="1" applyAlignment="1" applyProtection="1">
      <alignment horizontal="center" vertical="center" wrapText="1"/>
    </xf>
    <xf numFmtId="0" fontId="8" fillId="2" borderId="43" xfId="0" applyFont="1" applyFill="1" applyBorder="1" applyAlignment="1" applyProtection="1">
      <alignment horizontal="left" vertical="center"/>
    </xf>
    <xf numFmtId="0" fontId="8" fillId="2" borderId="49" xfId="0" applyFont="1" applyFill="1" applyBorder="1" applyAlignment="1" applyProtection="1">
      <alignment horizontal="center" vertical="center"/>
    </xf>
    <xf numFmtId="0" fontId="8" fillId="0" borderId="61" xfId="0" applyFont="1" applyFill="1" applyBorder="1" applyAlignment="1" applyProtection="1">
      <alignment horizontal="center" vertical="center" wrapText="1"/>
    </xf>
    <xf numFmtId="0" fontId="8" fillId="0" borderId="49" xfId="0" applyFont="1" applyFill="1" applyBorder="1" applyAlignment="1" applyProtection="1">
      <alignment horizontal="center" vertical="center" wrapText="1"/>
    </xf>
    <xf numFmtId="164" fontId="8" fillId="2" borderId="43" xfId="0" applyNumberFormat="1" applyFont="1" applyFill="1" applyBorder="1" applyAlignment="1" applyProtection="1">
      <alignment horizontal="left" vertical="center" wrapText="1"/>
    </xf>
    <xf numFmtId="164" fontId="8" fillId="2" borderId="49" xfId="0" applyNumberFormat="1" applyFont="1" applyFill="1" applyBorder="1" applyAlignment="1" applyProtection="1">
      <alignment horizontal="left" vertical="center" wrapText="1"/>
    </xf>
    <xf numFmtId="0" fontId="8" fillId="0" borderId="62" xfId="0" applyFont="1" applyFill="1" applyBorder="1" applyAlignment="1" applyProtection="1">
      <alignment horizontal="center" vertical="center" wrapText="1"/>
    </xf>
    <xf numFmtId="0" fontId="8" fillId="0" borderId="49" xfId="0" applyFont="1" applyFill="1" applyBorder="1" applyAlignment="1" applyProtection="1">
      <alignment horizontal="left" vertical="center" wrapText="1"/>
    </xf>
  </cellXfs>
  <cellStyles count="12">
    <cellStyle name="Currency" xfId="11" builtinId="4"/>
    <cellStyle name="Normal" xfId="0" builtinId="0"/>
    <cellStyle name="Normal 2" xfId="1"/>
    <cellStyle name="Normal 2 2" xfId="3"/>
    <cellStyle name="Normal 2 2 2" xfId="5"/>
    <cellStyle name="Normal 2 2 2 2" xfId="9"/>
    <cellStyle name="Normal 2 3" xfId="4"/>
    <cellStyle name="Normal 2 3 2" xfId="8"/>
    <cellStyle name="Normal 3" xfId="2"/>
    <cellStyle name="Normal 3 2" xfId="6"/>
    <cellStyle name="Normal 3 2 2" xfId="10"/>
    <cellStyle name="Normal 3 3" xfId="7"/>
  </cellStyles>
  <dxfs count="17">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47" Type="http://schemas.openxmlformats.org/officeDocument/2006/relationships/usernames" Target="revisions/userNam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48" Type="http://schemas.openxmlformats.org/officeDocument/2006/relationships/revisionHeaders" Target="revisions/revisionHeader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209550</xdr:colOff>
          <xdr:row>21</xdr:row>
          <xdr:rowOff>47625</xdr:rowOff>
        </xdr:from>
        <xdr:to>
          <xdr:col>0</xdr:col>
          <xdr:colOff>514350</xdr:colOff>
          <xdr:row>21</xdr:row>
          <xdr:rowOff>266700</xdr:rowOff>
        </xdr:to>
        <xdr:sp macro="" textlink="">
          <xdr:nvSpPr>
            <xdr:cNvPr id="5125" name="Check Box 5" hidden="1">
              <a:extLst>
                <a:ext uri="{63B3BB69-23CF-44E3-9099-C40C66FF867C}">
                  <a14:compatExt spid="_x0000_s51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20</xdr:row>
          <xdr:rowOff>66675</xdr:rowOff>
        </xdr:from>
        <xdr:to>
          <xdr:col>0</xdr:col>
          <xdr:colOff>514350</xdr:colOff>
          <xdr:row>20</xdr:row>
          <xdr:rowOff>285750</xdr:rowOff>
        </xdr:to>
        <xdr:sp macro="" textlink="">
          <xdr:nvSpPr>
            <xdr:cNvPr id="5126" name="Check Box 6" hidden="1">
              <a:extLst>
                <a:ext uri="{63B3BB69-23CF-44E3-9099-C40C66FF867C}">
                  <a14:compatExt spid="_x0000_s51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209550</xdr:colOff>
          <xdr:row>21</xdr:row>
          <xdr:rowOff>47625</xdr:rowOff>
        </xdr:from>
        <xdr:to>
          <xdr:col>0</xdr:col>
          <xdr:colOff>514350</xdr:colOff>
          <xdr:row>21</xdr:row>
          <xdr:rowOff>266700</xdr:rowOff>
        </xdr:to>
        <xdr:sp macro="" textlink="">
          <xdr:nvSpPr>
            <xdr:cNvPr id="5127" name="Check Box 7" hidden="1">
              <a:extLst>
                <a:ext uri="{63B3BB69-23CF-44E3-9099-C40C66FF867C}">
                  <a14:compatExt spid="_x0000_s5127"/>
                </a:ext>
              </a:extLst>
            </xdr:cNvPr>
            <xdr:cNvSpPr/>
          </xdr:nvSpPr>
          <xdr:spPr>
            <a:xfrm>
              <a:off x="0" y="0"/>
              <a:ext cx="0" cy="0"/>
            </a:xfrm>
            <a:prstGeom prst="rect">
              <a:avLst/>
            </a:prstGeom>
          </xdr:spPr>
        </xdr:sp>
        <xdr:clientData/>
      </xdr:twoCellAnchor>
    </mc:Choice>
    <mc:Fallback/>
  </mc:AlternateContent>
</xdr:wsDr>
</file>

<file path=xl/revisions/_rels/revisionHeaders.xml.rels><?xml version="1.0" encoding="UTF-8" standalone="yes"?>
<Relationships xmlns="http://schemas.openxmlformats.org/package/2006/relationships"><Relationship Id="rId2" Type="http://schemas.openxmlformats.org/officeDocument/2006/relationships/revisionLog" Target="revisionLog2.xml"/><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39340EC8-4AA8-4B00-AA24-1D310696602D}" diskRevisions="1" revisionId="128">
  <header guid="{EF16AC3E-3835-4E76-862A-81B652731385}" dateTime="2016-02-24T08:50:07" maxSheetId="39" userName="Crawford,Leveta (DADS)" r:id="rId1">
    <sheetIdMap count="3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Map>
  </header>
  <header guid="{39340EC8-4AA8-4B00-AA24-1D310696602D}" dateTime="2016-02-24T11:30:35" maxSheetId="39" userName="Garcia,Tish (DADS)" r:id="rId2">
    <sheetIdMap count="3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 val="29"/>
      <sheetId val="30"/>
      <sheetId val="31"/>
      <sheetId val="32"/>
      <sheetId val="33"/>
      <sheetId val="34"/>
      <sheetId val="35"/>
      <sheetId val="36"/>
      <sheetId val="37"/>
      <sheetId val="38"/>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A316F603_36BB_45F0_8A3D_94F56F16B8BC_.wvu.PrintArea" hidden="1" oldHidden="1">
    <formula>'Monitoring Workbook'!$A$1:$J$301</formula>
  </rdn>
  <rdn rId="0" localSheetId="1" customView="1" name="Z_A316F603_36BB_45F0_8A3D_94F56F16B8BC_.wvu.PrintTitles" hidden="1" oldHidden="1">
    <formula>'Monitoring Workbook'!$1:$5</formula>
  </rdn>
  <rdn rId="0" localSheetId="1" customView="1" name="Z_A316F603_36BB_45F0_8A3D_94F56F16B8BC_.wvu.Rows" hidden="1" oldHidden="1">
    <formula>'Monitoring Workbook'!$54:$67,'Monitoring Workbook'!$286:$301</formula>
  </rdn>
  <rdn rId="0" localSheetId="3" customView="1" name="Z_A316F603_36BB_45F0_8A3D_94F56F16B8BC_.wvu.PrintArea" hidden="1" oldHidden="1">
    <formula>'IWP01'!$A$1:$R$630</formula>
  </rdn>
  <rdn rId="0" localSheetId="3" customView="1" name="Z_A316F603_36BB_45F0_8A3D_94F56F16B8BC_.wvu.PrintTitles" hidden="1" oldHidden="1">
    <formula>'IWP01'!$1:$4</formula>
  </rdn>
  <rdn rId="0" localSheetId="3" customView="1" name="Z_A316F603_36BB_45F0_8A3D_94F56F16B8BC_.wvu.Rows" hidden="1" oldHidden="1">
    <formula>'IWP01'!$18:$18,'IWP01'!$22:$22,'IWP01'!$42:$46,'IWP01'!$84:$87,'IWP01'!$130:$130,'IWP01'!$135:$135,'IWP01'!$137:$142,'IWP01'!$148:$155,'IWP01'!$158:$161,'IWP01'!$171:$172,'IWP01'!$192:$192,'IWP01'!$200:$202,'IWP01'!$210:$211,'IWP01'!$213:$214,'IWP01'!$216:$218,'IWP01'!$220:$220,'IWP01'!$230:$237,'IWP01'!$294:$630</formula>
  </rdn>
  <rdn rId="0" localSheetId="3" customView="1" name="Z_A316F603_36BB_45F0_8A3D_94F56F16B8BC_.wvu.Cols" hidden="1" oldHidden="1">
    <formula>'IWP01'!$S:$AD</formula>
  </rdn>
  <rdn rId="0" localSheetId="4" customView="1" name="Z_A316F603_36BB_45F0_8A3D_94F56F16B8BC_.wvu.PrintArea" hidden="1" oldHidden="1">
    <formula>'IWP02'!$A$1:$R$630</formula>
  </rdn>
  <rdn rId="0" localSheetId="4" customView="1" name="Z_A316F603_36BB_45F0_8A3D_94F56F16B8BC_.wvu.PrintTitles" hidden="1" oldHidden="1">
    <formula>'IWP02'!$1:$4</formula>
  </rdn>
  <rdn rId="0" localSheetId="4" customView="1" name="Z_A316F603_36BB_45F0_8A3D_94F56F16B8BC_.wvu.Rows" hidden="1" oldHidden="1">
    <formula>'IWP02'!$18:$18,'IWP02'!$22:$22,'IWP02'!$42:$46,'IWP02'!$84:$87,'IWP02'!$130:$130,'IWP02'!$135:$135,'IWP02'!$137:$142,'IWP02'!$148:$155,'IWP02'!$158:$161,'IWP02'!$171:$172,'IWP02'!$192:$192,'IWP02'!$200:$202,'IWP02'!$210:$211,'IWP02'!$213:$214,'IWP02'!$216:$218,'IWP02'!$220:$220,'IWP02'!$230:$237,'IWP02'!$294:$630</formula>
  </rdn>
  <rdn rId="0" localSheetId="4" customView="1" name="Z_A316F603_36BB_45F0_8A3D_94F56F16B8BC_.wvu.Cols" hidden="1" oldHidden="1">
    <formula>'IWP02'!$S:$AD</formula>
  </rdn>
  <rdn rId="0" localSheetId="5" customView="1" name="Z_A316F603_36BB_45F0_8A3D_94F56F16B8BC_.wvu.PrintArea" hidden="1" oldHidden="1">
    <formula>'IWP03'!$A$1:$R$630</formula>
  </rdn>
  <rdn rId="0" localSheetId="5" customView="1" name="Z_A316F603_36BB_45F0_8A3D_94F56F16B8BC_.wvu.PrintTitles" hidden="1" oldHidden="1">
    <formula>'IWP03'!$1:$4</formula>
  </rdn>
  <rdn rId="0" localSheetId="5" customView="1" name="Z_A316F603_36BB_45F0_8A3D_94F56F16B8BC_.wvu.Rows" hidden="1" oldHidden="1">
    <formula>'IWP03'!$18:$18,'IWP03'!$22:$22,'IWP03'!$42:$46,'IWP03'!$84:$87,'IWP03'!$130:$130,'IWP03'!$135:$135,'IWP03'!$137:$142,'IWP03'!$148:$155,'IWP03'!$158:$161,'IWP03'!$171:$172,'IWP03'!$192:$192,'IWP03'!$200:$202,'IWP03'!$210:$211,'IWP03'!$213:$214,'IWP03'!$216:$218,'IWP03'!$220:$220,'IWP03'!$230:$237,'IWP03'!$294:$630</formula>
  </rdn>
  <rdn rId="0" localSheetId="5" customView="1" name="Z_A316F603_36BB_45F0_8A3D_94F56F16B8BC_.wvu.Cols" hidden="1" oldHidden="1">
    <formula>'IWP03'!$S:$AD</formula>
  </rdn>
  <rdn rId="0" localSheetId="6" customView="1" name="Z_A316F603_36BB_45F0_8A3D_94F56F16B8BC_.wvu.PrintArea" hidden="1" oldHidden="1">
    <formula>'IWP04'!$A$1:$R$630</formula>
  </rdn>
  <rdn rId="0" localSheetId="6" customView="1" name="Z_A316F603_36BB_45F0_8A3D_94F56F16B8BC_.wvu.PrintTitles" hidden="1" oldHidden="1">
    <formula>'IWP04'!$1:$4</formula>
  </rdn>
  <rdn rId="0" localSheetId="6" customView="1" name="Z_A316F603_36BB_45F0_8A3D_94F56F16B8BC_.wvu.Rows" hidden="1" oldHidden="1">
    <formula>'IWP04'!$18:$18,'IWP04'!$22:$22,'IWP04'!$42:$46,'IWP04'!$84:$87,'IWP04'!$130:$130,'IWP04'!$135:$135,'IWP04'!$137:$142,'IWP04'!$148:$155,'IWP04'!$158:$161,'IWP04'!$171:$172,'IWP04'!$192:$192,'IWP04'!$200:$202,'IWP04'!$210:$211,'IWP04'!$213:$214,'IWP04'!$216:$218,'IWP04'!$220:$220,'IWP04'!$230:$237,'IWP04'!$294:$630</formula>
  </rdn>
  <rdn rId="0" localSheetId="6" customView="1" name="Z_A316F603_36BB_45F0_8A3D_94F56F16B8BC_.wvu.Cols" hidden="1" oldHidden="1">
    <formula>'IWP04'!$S:$AD</formula>
  </rdn>
  <rdn rId="0" localSheetId="7" customView="1" name="Z_A316F603_36BB_45F0_8A3D_94F56F16B8BC_.wvu.PrintArea" hidden="1" oldHidden="1">
    <formula>'IWP05'!$A$1:$R$630</formula>
  </rdn>
  <rdn rId="0" localSheetId="7" customView="1" name="Z_A316F603_36BB_45F0_8A3D_94F56F16B8BC_.wvu.PrintTitles" hidden="1" oldHidden="1">
    <formula>'IWP05'!$1:$4</formula>
  </rdn>
  <rdn rId="0" localSheetId="7" customView="1" name="Z_A316F603_36BB_45F0_8A3D_94F56F16B8BC_.wvu.Rows" hidden="1" oldHidden="1">
    <formula>'IWP05'!$18:$18,'IWP05'!$22:$22,'IWP05'!$42:$46,'IWP05'!$84:$87,'IWP05'!$130:$130,'IWP05'!$135:$135,'IWP05'!$137:$142,'IWP05'!$148:$155,'IWP05'!$158:$161,'IWP05'!$171:$172,'IWP05'!$192:$192,'IWP05'!$200:$202,'IWP05'!$210:$211,'IWP05'!$213:$214,'IWP05'!$216:$218,'IWP05'!$220:$220,'IWP05'!$230:$237,'IWP05'!$294:$630</formula>
  </rdn>
  <rdn rId="0" localSheetId="7" customView="1" name="Z_A316F603_36BB_45F0_8A3D_94F56F16B8BC_.wvu.Cols" hidden="1" oldHidden="1">
    <formula>'IWP05'!$S:$AD</formula>
  </rdn>
  <rdn rId="0" localSheetId="8" customView="1" name="Z_A316F603_36BB_45F0_8A3D_94F56F16B8BC_.wvu.PrintArea" hidden="1" oldHidden="1">
    <formula>'IWP06'!$A$1:$R$630</formula>
  </rdn>
  <rdn rId="0" localSheetId="8" customView="1" name="Z_A316F603_36BB_45F0_8A3D_94F56F16B8BC_.wvu.PrintTitles" hidden="1" oldHidden="1">
    <formula>'IWP06'!$1:$4</formula>
  </rdn>
  <rdn rId="0" localSheetId="8" customView="1" name="Z_A316F603_36BB_45F0_8A3D_94F56F16B8BC_.wvu.Rows" hidden="1" oldHidden="1">
    <formula>'IWP06'!$18:$18,'IWP06'!$22:$22,'IWP06'!$42:$46,'IWP06'!$84:$87,'IWP06'!$130:$130,'IWP06'!$135:$135,'IWP06'!$137:$142,'IWP06'!$148:$155,'IWP06'!$158:$161,'IWP06'!$171:$172,'IWP06'!$192:$192,'IWP06'!$200:$202,'IWP06'!$210:$211,'IWP06'!$213:$214,'IWP06'!$216:$218,'IWP06'!$220:$220,'IWP06'!$230:$237,'IWP06'!$294:$630</formula>
  </rdn>
  <rdn rId="0" localSheetId="8" customView="1" name="Z_A316F603_36BB_45F0_8A3D_94F56F16B8BC_.wvu.Cols" hidden="1" oldHidden="1">
    <formula>'IWP06'!$S:$AD</formula>
  </rdn>
  <rdn rId="0" localSheetId="9" customView="1" name="Z_A316F603_36BB_45F0_8A3D_94F56F16B8BC_.wvu.PrintArea" hidden="1" oldHidden="1">
    <formula>'IWP07'!$A$1:$R$630</formula>
  </rdn>
  <rdn rId="0" localSheetId="9" customView="1" name="Z_A316F603_36BB_45F0_8A3D_94F56F16B8BC_.wvu.PrintTitles" hidden="1" oldHidden="1">
    <formula>'IWP07'!$1:$4</formula>
  </rdn>
  <rdn rId="0" localSheetId="9" customView="1" name="Z_A316F603_36BB_45F0_8A3D_94F56F16B8BC_.wvu.Rows" hidden="1" oldHidden="1">
    <formula>'IWP07'!$18:$18,'IWP07'!$22:$22,'IWP07'!$42:$46,'IWP07'!$84:$87,'IWP07'!$130:$130,'IWP07'!$135:$135,'IWP07'!$137:$142,'IWP07'!$148:$155,'IWP07'!$158:$161,'IWP07'!$171:$172,'IWP07'!$192:$192,'IWP07'!$200:$202,'IWP07'!$210:$211,'IWP07'!$213:$214,'IWP07'!$216:$218,'IWP07'!$220:$220,'IWP07'!$230:$237,'IWP07'!$294:$630</formula>
  </rdn>
  <rdn rId="0" localSheetId="9" customView="1" name="Z_A316F603_36BB_45F0_8A3D_94F56F16B8BC_.wvu.Cols" hidden="1" oldHidden="1">
    <formula>'IWP07'!$S:$AD</formula>
  </rdn>
  <rdn rId="0" localSheetId="10" customView="1" name="Z_A316F603_36BB_45F0_8A3D_94F56F16B8BC_.wvu.PrintArea" hidden="1" oldHidden="1">
    <formula>'IWP08'!$A$1:$R$630</formula>
  </rdn>
  <rdn rId="0" localSheetId="10" customView="1" name="Z_A316F603_36BB_45F0_8A3D_94F56F16B8BC_.wvu.PrintTitles" hidden="1" oldHidden="1">
    <formula>'IWP08'!$1:$4</formula>
  </rdn>
  <rdn rId="0" localSheetId="10" customView="1" name="Z_A316F603_36BB_45F0_8A3D_94F56F16B8BC_.wvu.Rows" hidden="1" oldHidden="1">
    <formula>'IWP08'!$18:$18,'IWP08'!$22:$22,'IWP08'!$42:$46,'IWP08'!$84:$87,'IWP08'!$130:$130,'IWP08'!$135:$135,'IWP08'!$137:$142,'IWP08'!$148:$155,'IWP08'!$158:$161,'IWP08'!$171:$172,'IWP08'!$192:$192,'IWP08'!$200:$202,'IWP08'!$210:$211,'IWP08'!$213:$214,'IWP08'!$216:$218,'IWP08'!$220:$220,'IWP08'!$230:$237,'IWP08'!$294:$630</formula>
  </rdn>
  <rdn rId="0" localSheetId="10" customView="1" name="Z_A316F603_36BB_45F0_8A3D_94F56F16B8BC_.wvu.Cols" hidden="1" oldHidden="1">
    <formula>'IWP08'!$S:$AD</formula>
  </rdn>
  <rdn rId="0" localSheetId="11" customView="1" name="Z_A316F603_36BB_45F0_8A3D_94F56F16B8BC_.wvu.PrintArea" hidden="1" oldHidden="1">
    <formula>'IWP09'!$A$1:$R$630</formula>
  </rdn>
  <rdn rId="0" localSheetId="11" customView="1" name="Z_A316F603_36BB_45F0_8A3D_94F56F16B8BC_.wvu.PrintTitles" hidden="1" oldHidden="1">
    <formula>'IWP09'!$1:$4</formula>
  </rdn>
  <rdn rId="0" localSheetId="11" customView="1" name="Z_A316F603_36BB_45F0_8A3D_94F56F16B8BC_.wvu.Rows" hidden="1" oldHidden="1">
    <formula>'IWP09'!$18:$18,'IWP09'!$22:$22,'IWP09'!$42:$46,'IWP09'!$84:$87,'IWP09'!$130:$130,'IWP09'!$135:$135,'IWP09'!$137:$142,'IWP09'!$148:$155,'IWP09'!$158:$161,'IWP09'!$171:$172,'IWP09'!$192:$192,'IWP09'!$200:$202,'IWP09'!$210:$211,'IWP09'!$213:$214,'IWP09'!$216:$218,'IWP09'!$220:$220,'IWP09'!$230:$237,'IWP09'!$294:$630</formula>
  </rdn>
  <rdn rId="0" localSheetId="11" customView="1" name="Z_A316F603_36BB_45F0_8A3D_94F56F16B8BC_.wvu.Cols" hidden="1" oldHidden="1">
    <formula>'IWP09'!$S:$AD</formula>
  </rdn>
  <rdn rId="0" localSheetId="12" customView="1" name="Z_A316F603_36BB_45F0_8A3D_94F56F16B8BC_.wvu.PrintArea" hidden="1" oldHidden="1">
    <formula>'IWP10'!$A$1:$R$630</formula>
  </rdn>
  <rdn rId="0" localSheetId="12" customView="1" name="Z_A316F603_36BB_45F0_8A3D_94F56F16B8BC_.wvu.PrintTitles" hidden="1" oldHidden="1">
    <formula>'IWP10'!$1:$4</formula>
  </rdn>
  <rdn rId="0" localSheetId="12" customView="1" name="Z_A316F603_36BB_45F0_8A3D_94F56F16B8BC_.wvu.Rows" hidden="1" oldHidden="1">
    <formula>'IWP10'!$18:$18,'IWP10'!$22:$22,'IWP10'!$42:$46,'IWP10'!$84:$87,'IWP10'!$130:$130,'IWP10'!$135:$135,'IWP10'!$137:$142,'IWP10'!$148:$155,'IWP10'!$158:$161,'IWP10'!$171:$172,'IWP10'!$192:$192,'IWP10'!$200:$202,'IWP10'!$210:$211,'IWP10'!$213:$214,'IWP10'!$216:$218,'IWP10'!$220:$220,'IWP10'!$230:$237,'IWP10'!$294:$630</formula>
  </rdn>
  <rdn rId="0" localSheetId="12" customView="1" name="Z_A316F603_36BB_45F0_8A3D_94F56F16B8BC_.wvu.Cols" hidden="1" oldHidden="1">
    <formula>'IWP10'!$S:$AD</formula>
  </rdn>
  <rdn rId="0" localSheetId="13" customView="1" name="Z_A316F603_36BB_45F0_8A3D_94F56F16B8BC_.wvu.PrintArea" hidden="1" oldHidden="1">
    <formula>'IWP11'!$A$1:$R$630</formula>
  </rdn>
  <rdn rId="0" localSheetId="13" customView="1" name="Z_A316F603_36BB_45F0_8A3D_94F56F16B8BC_.wvu.PrintTitles" hidden="1" oldHidden="1">
    <formula>'IWP11'!$1:$4</formula>
  </rdn>
  <rdn rId="0" localSheetId="13" customView="1" name="Z_A316F603_36BB_45F0_8A3D_94F56F16B8BC_.wvu.Rows" hidden="1" oldHidden="1">
    <formula>'IWP11'!$18:$18,'IWP11'!$22:$22,'IWP11'!$42:$46,'IWP11'!$84:$87,'IWP11'!$130:$130,'IWP11'!$135:$135,'IWP11'!$137:$142,'IWP11'!$148:$155,'IWP11'!$158:$161,'IWP11'!$171:$172,'IWP11'!$192:$192,'IWP11'!$200:$202,'IWP11'!$210:$211,'IWP11'!$213:$214,'IWP11'!$216:$218,'IWP11'!$220:$220,'IWP11'!$230:$237,'IWP11'!$294:$630</formula>
  </rdn>
  <rdn rId="0" localSheetId="13" customView="1" name="Z_A316F603_36BB_45F0_8A3D_94F56F16B8BC_.wvu.Cols" hidden="1" oldHidden="1">
    <formula>'IWP11'!$S:$AD</formula>
  </rdn>
  <rdn rId="0" localSheetId="14" customView="1" name="Z_A316F603_36BB_45F0_8A3D_94F56F16B8BC_.wvu.PrintArea" hidden="1" oldHidden="1">
    <formula>'IWP12'!$A$1:$R$630</formula>
  </rdn>
  <rdn rId="0" localSheetId="14" customView="1" name="Z_A316F603_36BB_45F0_8A3D_94F56F16B8BC_.wvu.PrintTitles" hidden="1" oldHidden="1">
    <formula>'IWP12'!$1:$4</formula>
  </rdn>
  <rdn rId="0" localSheetId="14" customView="1" name="Z_A316F603_36BB_45F0_8A3D_94F56F16B8BC_.wvu.Rows" hidden="1" oldHidden="1">
    <formula>'IWP12'!$18:$18,'IWP12'!$22:$22,'IWP12'!$42:$46,'IWP12'!$84:$87,'IWP12'!$130:$130,'IWP12'!$135:$135,'IWP12'!$137:$142,'IWP12'!$148:$155,'IWP12'!$158:$161,'IWP12'!$171:$172,'IWP12'!$192:$192,'IWP12'!$200:$202,'IWP12'!$210:$211,'IWP12'!$213:$214,'IWP12'!$216:$218,'IWP12'!$220:$220,'IWP12'!$230:$237,'IWP12'!$294:$630</formula>
  </rdn>
  <rdn rId="0" localSheetId="14" customView="1" name="Z_A316F603_36BB_45F0_8A3D_94F56F16B8BC_.wvu.Cols" hidden="1" oldHidden="1">
    <formula>'IWP12'!$S:$AD</formula>
  </rdn>
  <rdn rId="0" localSheetId="15" customView="1" name="Z_A316F603_36BB_45F0_8A3D_94F56F16B8BC_.wvu.PrintArea" hidden="1" oldHidden="1">
    <formula>'IWP13'!$A$1:$R$630</formula>
  </rdn>
  <rdn rId="0" localSheetId="15" customView="1" name="Z_A316F603_36BB_45F0_8A3D_94F56F16B8BC_.wvu.PrintTitles" hidden="1" oldHidden="1">
    <formula>'IWP13'!$1:$4</formula>
  </rdn>
  <rdn rId="0" localSheetId="15" customView="1" name="Z_A316F603_36BB_45F0_8A3D_94F56F16B8BC_.wvu.Rows" hidden="1" oldHidden="1">
    <formula>'IWP13'!$18:$18,'IWP13'!$22:$22,'IWP13'!$42:$46,'IWP13'!$84:$87,'IWP13'!$130:$130,'IWP13'!$135:$135,'IWP13'!$137:$142,'IWP13'!$148:$155,'IWP13'!$158:$161,'IWP13'!$171:$172,'IWP13'!$192:$192,'IWP13'!$200:$202,'IWP13'!$210:$211,'IWP13'!$213:$214,'IWP13'!$216:$218,'IWP13'!$220:$220,'IWP13'!$230:$237,'IWP13'!$294:$630</formula>
  </rdn>
  <rdn rId="0" localSheetId="15" customView="1" name="Z_A316F603_36BB_45F0_8A3D_94F56F16B8BC_.wvu.Cols" hidden="1" oldHidden="1">
    <formula>'IWP13'!$S:$AD</formula>
  </rdn>
  <rdn rId="0" localSheetId="16" customView="1" name="Z_A316F603_36BB_45F0_8A3D_94F56F16B8BC_.wvu.PrintArea" hidden="1" oldHidden="1">
    <formula>'IWP14'!$A$1:$R$630</formula>
  </rdn>
  <rdn rId="0" localSheetId="16" customView="1" name="Z_A316F603_36BB_45F0_8A3D_94F56F16B8BC_.wvu.PrintTitles" hidden="1" oldHidden="1">
    <formula>'IWP14'!$1:$4</formula>
  </rdn>
  <rdn rId="0" localSheetId="16" customView="1" name="Z_A316F603_36BB_45F0_8A3D_94F56F16B8BC_.wvu.Rows" hidden="1" oldHidden="1">
    <formula>'IWP14'!$18:$18,'IWP14'!$22:$22,'IWP14'!$42:$46,'IWP14'!$84:$87,'IWP14'!$130:$130,'IWP14'!$135:$135,'IWP14'!$137:$142,'IWP14'!$148:$155,'IWP14'!$158:$161,'IWP14'!$171:$172,'IWP14'!$192:$192,'IWP14'!$200:$202,'IWP14'!$210:$211,'IWP14'!$213:$214,'IWP14'!$216:$218,'IWP14'!$220:$220,'IWP14'!$230:$237,'IWP14'!$294:$630</formula>
  </rdn>
  <rdn rId="0" localSheetId="16" customView="1" name="Z_A316F603_36BB_45F0_8A3D_94F56F16B8BC_.wvu.Cols" hidden="1" oldHidden="1">
    <formula>'IWP14'!$S:$AD</formula>
  </rdn>
  <rdn rId="0" localSheetId="17" customView="1" name="Z_A316F603_36BB_45F0_8A3D_94F56F16B8BC_.wvu.PrintArea" hidden="1" oldHidden="1">
    <formula>'IWP15'!$A$1:$R$630</formula>
  </rdn>
  <rdn rId="0" localSheetId="17" customView="1" name="Z_A316F603_36BB_45F0_8A3D_94F56F16B8BC_.wvu.PrintTitles" hidden="1" oldHidden="1">
    <formula>'IWP15'!$1:$4</formula>
  </rdn>
  <rdn rId="0" localSheetId="17" customView="1" name="Z_A316F603_36BB_45F0_8A3D_94F56F16B8BC_.wvu.Rows" hidden="1" oldHidden="1">
    <formula>'IWP15'!$18:$18,'IWP15'!$22:$22,'IWP15'!$42:$46,'IWP15'!$84:$87,'IWP15'!$130:$130,'IWP15'!$135:$135,'IWP15'!$137:$142,'IWP15'!$148:$155,'IWP15'!$158:$161,'IWP15'!$171:$172,'IWP15'!$192:$192,'IWP15'!$200:$202,'IWP15'!$210:$211,'IWP15'!$213:$214,'IWP15'!$216:$218,'IWP15'!$220:$220,'IWP15'!$230:$237,'IWP15'!$294:$630</formula>
  </rdn>
  <rdn rId="0" localSheetId="17" customView="1" name="Z_A316F603_36BB_45F0_8A3D_94F56F16B8BC_.wvu.Cols" hidden="1" oldHidden="1">
    <formula>'IWP15'!$S:$AD</formula>
  </rdn>
  <rdn rId="0" localSheetId="18" customView="1" name="Z_A316F603_36BB_45F0_8A3D_94F56F16B8BC_.wvu.PrintArea" hidden="1" oldHidden="1">
    <formula>'IWP16'!$A$1:$R$630</formula>
  </rdn>
  <rdn rId="0" localSheetId="18" customView="1" name="Z_A316F603_36BB_45F0_8A3D_94F56F16B8BC_.wvu.PrintTitles" hidden="1" oldHidden="1">
    <formula>'IWP16'!$1:$4</formula>
  </rdn>
  <rdn rId="0" localSheetId="18" customView="1" name="Z_A316F603_36BB_45F0_8A3D_94F56F16B8BC_.wvu.Rows" hidden="1" oldHidden="1">
    <formula>'IWP16'!$18:$18,'IWP16'!$22:$22,'IWP16'!$42:$46,'IWP16'!$84:$87,'IWP16'!$130:$130,'IWP16'!$135:$135,'IWP16'!$137:$142,'IWP16'!$148:$155,'IWP16'!$158:$161,'IWP16'!$171:$172,'IWP16'!$192:$192,'IWP16'!$200:$202,'IWP16'!$210:$211,'IWP16'!$213:$214,'IWP16'!$216:$218,'IWP16'!$220:$220,'IWP16'!$230:$237,'IWP16'!$294:$630</formula>
  </rdn>
  <rdn rId="0" localSheetId="18" customView="1" name="Z_A316F603_36BB_45F0_8A3D_94F56F16B8BC_.wvu.Cols" hidden="1" oldHidden="1">
    <formula>'IWP16'!$S:$AD</formula>
  </rdn>
  <rdn rId="0" localSheetId="19" customView="1" name="Z_A316F603_36BB_45F0_8A3D_94F56F16B8BC_.wvu.PrintArea" hidden="1" oldHidden="1">
    <formula>'IWP17'!$A$1:$R$630</formula>
  </rdn>
  <rdn rId="0" localSheetId="19" customView="1" name="Z_A316F603_36BB_45F0_8A3D_94F56F16B8BC_.wvu.PrintTitles" hidden="1" oldHidden="1">
    <formula>'IWP17'!$1:$4</formula>
  </rdn>
  <rdn rId="0" localSheetId="19" customView="1" name="Z_A316F603_36BB_45F0_8A3D_94F56F16B8BC_.wvu.Rows" hidden="1" oldHidden="1">
    <formula>'IWP17'!$18:$18,'IWP17'!$22:$22,'IWP17'!$42:$46,'IWP17'!$84:$87,'IWP17'!$130:$130,'IWP17'!$135:$135,'IWP17'!$137:$142,'IWP17'!$148:$155,'IWP17'!$158:$161,'IWP17'!$171:$172,'IWP17'!$192:$192,'IWP17'!$200:$202,'IWP17'!$210:$211,'IWP17'!$213:$214,'IWP17'!$216:$218,'IWP17'!$220:$220,'IWP17'!$230:$237,'IWP17'!$294:$630</formula>
  </rdn>
  <rdn rId="0" localSheetId="19" customView="1" name="Z_A316F603_36BB_45F0_8A3D_94F56F16B8BC_.wvu.Cols" hidden="1" oldHidden="1">
    <formula>'IWP17'!$S:$AD</formula>
  </rdn>
  <rdn rId="0" localSheetId="20" customView="1" name="Z_A316F603_36BB_45F0_8A3D_94F56F16B8BC_.wvu.PrintArea" hidden="1" oldHidden="1">
    <formula>'IWP18'!$A$1:$R$630</formula>
  </rdn>
  <rdn rId="0" localSheetId="20" customView="1" name="Z_A316F603_36BB_45F0_8A3D_94F56F16B8BC_.wvu.PrintTitles" hidden="1" oldHidden="1">
    <formula>'IWP18'!$1:$4</formula>
  </rdn>
  <rdn rId="0" localSheetId="20" customView="1" name="Z_A316F603_36BB_45F0_8A3D_94F56F16B8BC_.wvu.Rows" hidden="1" oldHidden="1">
    <formula>'IWP18'!$18:$18,'IWP18'!$22:$22,'IWP18'!$42:$46,'IWP18'!$84:$87,'IWP18'!$130:$130,'IWP18'!$135:$135,'IWP18'!$137:$142,'IWP18'!$148:$155,'IWP18'!$158:$161,'IWP18'!$171:$172,'IWP18'!$192:$192,'IWP18'!$200:$202,'IWP18'!$210:$211,'IWP18'!$213:$214,'IWP18'!$216:$218,'IWP18'!$220:$220,'IWP18'!$230:$237,'IWP18'!$294:$630</formula>
  </rdn>
  <rdn rId="0" localSheetId="20" customView="1" name="Z_A316F603_36BB_45F0_8A3D_94F56F16B8BC_.wvu.Cols" hidden="1" oldHidden="1">
    <formula>'IWP18'!$S:$AD</formula>
  </rdn>
  <rdn rId="0" localSheetId="21" customView="1" name="Z_A316F603_36BB_45F0_8A3D_94F56F16B8BC_.wvu.PrintArea" hidden="1" oldHidden="1">
    <formula>'IWP19'!$A$1:$R$630</formula>
  </rdn>
  <rdn rId="0" localSheetId="21" customView="1" name="Z_A316F603_36BB_45F0_8A3D_94F56F16B8BC_.wvu.PrintTitles" hidden="1" oldHidden="1">
    <formula>'IWP19'!$1:$4</formula>
  </rdn>
  <rdn rId="0" localSheetId="21" customView="1" name="Z_A316F603_36BB_45F0_8A3D_94F56F16B8BC_.wvu.Rows" hidden="1" oldHidden="1">
    <formula>'IWP19'!$18:$18,'IWP19'!$22:$22,'IWP19'!$42:$46,'IWP19'!$84:$87,'IWP19'!$130:$130,'IWP19'!$135:$135,'IWP19'!$137:$142,'IWP19'!$148:$155,'IWP19'!$158:$161,'IWP19'!$171:$172,'IWP19'!$192:$192,'IWP19'!$200:$202,'IWP19'!$210:$211,'IWP19'!$213:$214,'IWP19'!$216:$218,'IWP19'!$220:$220,'IWP19'!$230:$237,'IWP19'!$294:$630</formula>
  </rdn>
  <rdn rId="0" localSheetId="21" customView="1" name="Z_A316F603_36BB_45F0_8A3D_94F56F16B8BC_.wvu.Cols" hidden="1" oldHidden="1">
    <formula>'IWP19'!$S:$AD</formula>
  </rdn>
  <rdn rId="0" localSheetId="22" customView="1" name="Z_A316F603_36BB_45F0_8A3D_94F56F16B8BC_.wvu.PrintArea" hidden="1" oldHidden="1">
    <formula>'IWP20'!$A$1:$R$630</formula>
  </rdn>
  <rdn rId="0" localSheetId="22" customView="1" name="Z_A316F603_36BB_45F0_8A3D_94F56F16B8BC_.wvu.PrintTitles" hidden="1" oldHidden="1">
    <formula>'IWP20'!$1:$4</formula>
  </rdn>
  <rdn rId="0" localSheetId="22" customView="1" name="Z_A316F603_36BB_45F0_8A3D_94F56F16B8BC_.wvu.Rows" hidden="1" oldHidden="1">
    <formula>'IWP20'!$18:$18,'IWP20'!$22:$22,'IWP20'!$42:$46,'IWP20'!$84:$87,'IWP20'!$130:$130,'IWP20'!$135:$135,'IWP20'!$137:$142,'IWP20'!$148:$155,'IWP20'!$158:$161,'IWP20'!$171:$172,'IWP20'!$192:$192,'IWP20'!$200:$202,'IWP20'!$210:$211,'IWP20'!$213:$214,'IWP20'!$216:$218,'IWP20'!$220:$220,'IWP20'!$230:$237,'IWP20'!$294:$630</formula>
  </rdn>
  <rdn rId="0" localSheetId="22" customView="1" name="Z_A316F603_36BB_45F0_8A3D_94F56F16B8BC_.wvu.Cols" hidden="1" oldHidden="1">
    <formula>'IWP20'!$S:$AD</formula>
  </rdn>
  <rdn rId="0" localSheetId="23" customView="1" name="Z_A316F603_36BB_45F0_8A3D_94F56F16B8BC_.wvu.PrintArea" hidden="1" oldHidden="1">
    <formula>'IWP21'!$A$1:$R$630</formula>
  </rdn>
  <rdn rId="0" localSheetId="23" customView="1" name="Z_A316F603_36BB_45F0_8A3D_94F56F16B8BC_.wvu.PrintTitles" hidden="1" oldHidden="1">
    <formula>'IWP21'!$1:$4</formula>
  </rdn>
  <rdn rId="0" localSheetId="23" customView="1" name="Z_A316F603_36BB_45F0_8A3D_94F56F16B8BC_.wvu.Rows" hidden="1" oldHidden="1">
    <formula>'IWP21'!$18:$18,'IWP21'!$22:$22,'IWP21'!$42:$46,'IWP21'!$84:$87,'IWP21'!$130:$130,'IWP21'!$135:$135,'IWP21'!$137:$142,'IWP21'!$148:$155,'IWP21'!$158:$161,'IWP21'!$171:$172,'IWP21'!$192:$192,'IWP21'!$200:$202,'IWP21'!$210:$211,'IWP21'!$213:$214,'IWP21'!$216:$218,'IWP21'!$220:$220,'IWP21'!$230:$237,'IWP21'!$294:$630</formula>
  </rdn>
  <rdn rId="0" localSheetId="23" customView="1" name="Z_A316F603_36BB_45F0_8A3D_94F56F16B8BC_.wvu.Cols" hidden="1" oldHidden="1">
    <formula>'IWP21'!$S:$AD</formula>
  </rdn>
  <rdn rId="0" localSheetId="24" customView="1" name="Z_A316F603_36BB_45F0_8A3D_94F56F16B8BC_.wvu.PrintArea" hidden="1" oldHidden="1">
    <formula>'IWP22'!$A$1:$R$630</formula>
  </rdn>
  <rdn rId="0" localSheetId="24" customView="1" name="Z_A316F603_36BB_45F0_8A3D_94F56F16B8BC_.wvu.PrintTitles" hidden="1" oldHidden="1">
    <formula>'IWP22'!$1:$4</formula>
  </rdn>
  <rdn rId="0" localSheetId="24" customView="1" name="Z_A316F603_36BB_45F0_8A3D_94F56F16B8BC_.wvu.Rows" hidden="1" oldHidden="1">
    <formula>'IWP22'!$18:$18,'IWP22'!$22:$22,'IWP22'!$42:$46,'IWP22'!$84:$87,'IWP22'!$130:$130,'IWP22'!$135:$135,'IWP22'!$137:$142,'IWP22'!$148:$155,'IWP22'!$158:$161,'IWP22'!$171:$172,'IWP22'!$192:$192,'IWP22'!$200:$202,'IWP22'!$210:$211,'IWP22'!$213:$214,'IWP22'!$216:$218,'IWP22'!$220:$220,'IWP22'!$230:$237,'IWP22'!$294:$630</formula>
  </rdn>
  <rdn rId="0" localSheetId="24" customView="1" name="Z_A316F603_36BB_45F0_8A3D_94F56F16B8BC_.wvu.Cols" hidden="1" oldHidden="1">
    <formula>'IWP22'!$S:$AD</formula>
  </rdn>
  <rdn rId="0" localSheetId="25" customView="1" name="Z_A316F603_36BB_45F0_8A3D_94F56F16B8BC_.wvu.PrintArea" hidden="1" oldHidden="1">
    <formula>'IWP23'!$A$1:$R$630</formula>
  </rdn>
  <rdn rId="0" localSheetId="25" customView="1" name="Z_A316F603_36BB_45F0_8A3D_94F56F16B8BC_.wvu.PrintTitles" hidden="1" oldHidden="1">
    <formula>'IWP23'!$1:$4</formula>
  </rdn>
  <rdn rId="0" localSheetId="25" customView="1" name="Z_A316F603_36BB_45F0_8A3D_94F56F16B8BC_.wvu.Rows" hidden="1" oldHidden="1">
    <formula>'IWP23'!$18:$18,'IWP23'!$22:$22,'IWP23'!$42:$46,'IWP23'!$84:$87,'IWP23'!$130:$130,'IWP23'!$135:$135,'IWP23'!$137:$142,'IWP23'!$148:$155,'IWP23'!$158:$161,'IWP23'!$171:$172,'IWP23'!$192:$192,'IWP23'!$200:$202,'IWP23'!$210:$211,'IWP23'!$213:$214,'IWP23'!$216:$218,'IWP23'!$220:$220,'IWP23'!$230:$237,'IWP23'!$294:$630</formula>
  </rdn>
  <rdn rId="0" localSheetId="25" customView="1" name="Z_A316F603_36BB_45F0_8A3D_94F56F16B8BC_.wvu.Cols" hidden="1" oldHidden="1">
    <formula>'IWP23'!$S:$AD</formula>
  </rdn>
  <rdn rId="0" localSheetId="26" customView="1" name="Z_A316F603_36BB_45F0_8A3D_94F56F16B8BC_.wvu.PrintArea" hidden="1" oldHidden="1">
    <formula>'IWP24'!$A$1:$R$630</formula>
  </rdn>
  <rdn rId="0" localSheetId="26" customView="1" name="Z_A316F603_36BB_45F0_8A3D_94F56F16B8BC_.wvu.PrintTitles" hidden="1" oldHidden="1">
    <formula>'IWP24'!$1:$4</formula>
  </rdn>
  <rdn rId="0" localSheetId="26" customView="1" name="Z_A316F603_36BB_45F0_8A3D_94F56F16B8BC_.wvu.Rows" hidden="1" oldHidden="1">
    <formula>'IWP24'!$18:$18,'IWP24'!$22:$22,'IWP24'!$42:$46,'IWP24'!$84:$87,'IWP24'!$130:$130,'IWP24'!$135:$135,'IWP24'!$137:$142,'IWP24'!$148:$155,'IWP24'!$158:$161,'IWP24'!$171:$172,'IWP24'!$192:$192,'IWP24'!$200:$202,'IWP24'!$210:$211,'IWP24'!$213:$214,'IWP24'!$216:$218,'IWP24'!$220:$220,'IWP24'!$230:$237,'IWP24'!$294:$630</formula>
  </rdn>
  <rdn rId="0" localSheetId="26" customView="1" name="Z_A316F603_36BB_45F0_8A3D_94F56F16B8BC_.wvu.Cols" hidden="1" oldHidden="1">
    <formula>'IWP24'!$S:$AD</formula>
  </rdn>
  <rdn rId="0" localSheetId="27" customView="1" name="Z_A316F603_36BB_45F0_8A3D_94F56F16B8BC_.wvu.PrintArea" hidden="1" oldHidden="1">
    <formula>'IWP25'!$A$1:$R$630</formula>
  </rdn>
  <rdn rId="0" localSheetId="27" customView="1" name="Z_A316F603_36BB_45F0_8A3D_94F56F16B8BC_.wvu.PrintTitles" hidden="1" oldHidden="1">
    <formula>'IWP25'!$1:$4</formula>
  </rdn>
  <rdn rId="0" localSheetId="27" customView="1" name="Z_A316F603_36BB_45F0_8A3D_94F56F16B8BC_.wvu.Rows" hidden="1" oldHidden="1">
    <formula>'IWP25'!$18:$18,'IWP25'!$22:$22,'IWP25'!$42:$46,'IWP25'!$84:$87,'IWP25'!$130:$130,'IWP25'!$135:$135,'IWP25'!$137:$142,'IWP25'!$148:$155,'IWP25'!$158:$161,'IWP25'!$171:$172,'IWP25'!$192:$192,'IWP25'!$200:$202,'IWP25'!$210:$211,'IWP25'!$213:$214,'IWP25'!$216:$218,'IWP25'!$220:$220,'IWP25'!$230:$237,'IWP25'!$294:$630</formula>
  </rdn>
  <rdn rId="0" localSheetId="27" customView="1" name="Z_A316F603_36BB_45F0_8A3D_94F56F16B8BC_.wvu.Cols" hidden="1" oldHidden="1">
    <formula>'IWP25'!$S:$AD</formula>
  </rdn>
  <rdn rId="0" localSheetId="28" customView="1" name="Z_A316F603_36BB_45F0_8A3D_94F56F16B8BC_.wvu.PrintArea" hidden="1" oldHidden="1">
    <formula>'IWP26'!$A$1:$R$630</formula>
  </rdn>
  <rdn rId="0" localSheetId="28" customView="1" name="Z_A316F603_36BB_45F0_8A3D_94F56F16B8BC_.wvu.PrintTitles" hidden="1" oldHidden="1">
    <formula>'IWP26'!$1:$4</formula>
  </rdn>
  <rdn rId="0" localSheetId="28" customView="1" name="Z_A316F603_36BB_45F0_8A3D_94F56F16B8BC_.wvu.Rows" hidden="1" oldHidden="1">
    <formula>'IWP26'!$18:$18,'IWP26'!$22:$22,'IWP26'!$42:$46,'IWP26'!$84:$87,'IWP26'!$130:$130,'IWP26'!$135:$135,'IWP26'!$137:$142,'IWP26'!$148:$155,'IWP26'!$158:$161,'IWP26'!$171:$172,'IWP26'!$192:$192,'IWP26'!$200:$202,'IWP26'!$210:$211,'IWP26'!$213:$214,'IWP26'!$216:$218,'IWP26'!$220:$220,'IWP26'!$230:$237,'IWP26'!$294:$630</formula>
  </rdn>
  <rdn rId="0" localSheetId="28" customView="1" name="Z_A316F603_36BB_45F0_8A3D_94F56F16B8BC_.wvu.Cols" hidden="1" oldHidden="1">
    <formula>'IWP26'!$S:$AD</formula>
  </rdn>
  <rdn rId="0" localSheetId="29" customView="1" name="Z_A316F603_36BB_45F0_8A3D_94F56F16B8BC_.wvu.PrintArea" hidden="1" oldHidden="1">
    <formula>'IWP27'!$A$1:$R$630</formula>
  </rdn>
  <rdn rId="0" localSheetId="29" customView="1" name="Z_A316F603_36BB_45F0_8A3D_94F56F16B8BC_.wvu.PrintTitles" hidden="1" oldHidden="1">
    <formula>'IWP27'!$1:$4</formula>
  </rdn>
  <rdn rId="0" localSheetId="29" customView="1" name="Z_A316F603_36BB_45F0_8A3D_94F56F16B8BC_.wvu.Rows" hidden="1" oldHidden="1">
    <formula>'IWP27'!$18:$18,'IWP27'!$22:$22,'IWP27'!$42:$46,'IWP27'!$84:$87,'IWP27'!$130:$130,'IWP27'!$135:$135,'IWP27'!$137:$142,'IWP27'!$148:$155,'IWP27'!$158:$161,'IWP27'!$171:$172,'IWP27'!$192:$192,'IWP27'!$200:$202,'IWP27'!$210:$211,'IWP27'!$213:$214,'IWP27'!$216:$218,'IWP27'!$220:$220,'IWP27'!$230:$237,'IWP27'!$294:$630</formula>
  </rdn>
  <rdn rId="0" localSheetId="29" customView="1" name="Z_A316F603_36BB_45F0_8A3D_94F56F16B8BC_.wvu.Cols" hidden="1" oldHidden="1">
    <formula>'IWP27'!$S:$AD</formula>
  </rdn>
  <rdn rId="0" localSheetId="30" customView="1" name="Z_A316F603_36BB_45F0_8A3D_94F56F16B8BC_.wvu.PrintArea" hidden="1" oldHidden="1">
    <formula>'IWP28'!$A$1:$R$630</formula>
  </rdn>
  <rdn rId="0" localSheetId="30" customView="1" name="Z_A316F603_36BB_45F0_8A3D_94F56F16B8BC_.wvu.PrintTitles" hidden="1" oldHidden="1">
    <formula>'IWP28'!$1:$4</formula>
  </rdn>
  <rdn rId="0" localSheetId="30" customView="1" name="Z_A316F603_36BB_45F0_8A3D_94F56F16B8BC_.wvu.Rows" hidden="1" oldHidden="1">
    <formula>'IWP28'!$18:$18,'IWP28'!$22:$22,'IWP28'!$42:$46,'IWP28'!$84:$87,'IWP28'!$130:$130,'IWP28'!$135:$135,'IWP28'!$137:$142,'IWP28'!$148:$155,'IWP28'!$158:$161,'IWP28'!$171:$172,'IWP28'!$192:$192,'IWP28'!$200:$202,'IWP28'!$210:$211,'IWP28'!$213:$214,'IWP28'!$216:$218,'IWP28'!$220:$220,'IWP28'!$230:$237,'IWP28'!$294:$630</formula>
  </rdn>
  <rdn rId="0" localSheetId="30" customView="1" name="Z_A316F603_36BB_45F0_8A3D_94F56F16B8BC_.wvu.Cols" hidden="1" oldHidden="1">
    <formula>'IWP28'!$S:$AD</formula>
  </rdn>
  <rdn rId="0" localSheetId="31" customView="1" name="Z_A316F603_36BB_45F0_8A3D_94F56F16B8BC_.wvu.PrintArea" hidden="1" oldHidden="1">
    <formula>'IWP29'!$A$1:$R$630</formula>
  </rdn>
  <rdn rId="0" localSheetId="31" customView="1" name="Z_A316F603_36BB_45F0_8A3D_94F56F16B8BC_.wvu.PrintTitles" hidden="1" oldHidden="1">
    <formula>'IWP29'!$1:$4</formula>
  </rdn>
  <rdn rId="0" localSheetId="31" customView="1" name="Z_A316F603_36BB_45F0_8A3D_94F56F16B8BC_.wvu.Rows" hidden="1" oldHidden="1">
    <formula>'IWP29'!$18:$18,'IWP29'!$22:$22,'IWP29'!$42:$46,'IWP29'!$84:$87,'IWP29'!$130:$130,'IWP29'!$135:$135,'IWP29'!$137:$142,'IWP29'!$148:$155,'IWP29'!$158:$161,'IWP29'!$171:$172,'IWP29'!$192:$192,'IWP29'!$200:$202,'IWP29'!$210:$211,'IWP29'!$213:$214,'IWP29'!$216:$218,'IWP29'!$220:$220,'IWP29'!$230:$237,'IWP29'!$294:$630</formula>
  </rdn>
  <rdn rId="0" localSheetId="31" customView="1" name="Z_A316F603_36BB_45F0_8A3D_94F56F16B8BC_.wvu.Cols" hidden="1" oldHidden="1">
    <formula>'IWP29'!$S:$AD</formula>
  </rdn>
  <rdn rId="0" localSheetId="32" customView="1" name="Z_A316F603_36BB_45F0_8A3D_94F56F16B8BC_.wvu.PrintArea" hidden="1" oldHidden="1">
    <formula>'IWP30'!$A$1:$R$630</formula>
  </rdn>
  <rdn rId="0" localSheetId="32" customView="1" name="Z_A316F603_36BB_45F0_8A3D_94F56F16B8BC_.wvu.PrintTitles" hidden="1" oldHidden="1">
    <formula>'IWP30'!$1:$4</formula>
  </rdn>
  <rdn rId="0" localSheetId="32" customView="1" name="Z_A316F603_36BB_45F0_8A3D_94F56F16B8BC_.wvu.Rows" hidden="1" oldHidden="1">
    <formula>'IWP30'!$18:$18,'IWP30'!$22:$22,'IWP30'!$42:$46,'IWP30'!$84:$87,'IWP30'!$130:$130,'IWP30'!$135:$135,'IWP30'!$137:$142,'IWP30'!$148:$155,'IWP30'!$158:$161,'IWP30'!$171:$172,'IWP30'!$192:$192,'IWP30'!$200:$202,'IWP30'!$210:$211,'IWP30'!$213:$214,'IWP30'!$216:$218,'IWP30'!$220:$220,'IWP30'!$230:$237,'IWP30'!$294:$630</formula>
  </rdn>
  <rdn rId="0" localSheetId="32" customView="1" name="Z_A316F603_36BB_45F0_8A3D_94F56F16B8BC_.wvu.Cols" hidden="1" oldHidden="1">
    <formula>'IWP30'!$S:$AD</formula>
  </rdn>
  <rdn rId="0" localSheetId="33" customView="1" name="Z_A316F603_36BB_45F0_8A3D_94F56F16B8BC_.wvu.PrintArea" hidden="1" oldHidden="1">
    <formula>'Compliance Summary (PRINT)'!$A$1:$J$46</formula>
  </rdn>
  <rdn rId="0" localSheetId="33" customView="1" name="Z_A316F603_36BB_45F0_8A3D_94F56F16B8BC_.wvu.Rows" hidden="1" oldHidden="1">
    <formula>'Compliance Summary (PRINT)'!$39:$46</formula>
  </rdn>
  <rdn rId="0" localSheetId="34" customView="1" name="Z_A316F603_36BB_45F0_8A3D_94F56F16B8BC_.wvu.Rows" hidden="1" oldHidden="1">
    <formula>'Demand for Payment (PRINT)'!$23:$26</formula>
  </rdn>
  <rdn rId="0" localSheetId="35" customView="1" name="Z_A316F603_36BB_45F0_8A3D_94F56F16B8BC_.wvu.PrintArea" hidden="1" oldHidden="1">
    <formula>'Amt Due Emp Employer (PRINT)'!$A$1:$M$43</formula>
  </rdn>
  <rdn rId="0" localSheetId="37" customView="1" name="Z_A316F603_36BB_45F0_8A3D_94F56F16B8BC_.wvu.PrintArea" hidden="1" oldHidden="1">
    <formula>'Notes (Print)'!$A$1:$L$40</formula>
  </rdn>
  <rcv guid="{A316F603-36BB-45F0-8A3D-94F56F16B8BC}"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printerSettings" Target="../printerSettings/printerSettings3.bin"/><Relationship Id="rId7" Type="http://schemas.openxmlformats.org/officeDocument/2006/relationships/ctrlProp" Target="../ctrlProps/ctrlProp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 Id="rId9" Type="http://schemas.openxmlformats.org/officeDocument/2006/relationships/ctrlProp" Target="../ctrlProps/ctrlProp3.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0.bin"/><Relationship Id="rId2" Type="http://schemas.openxmlformats.org/officeDocument/2006/relationships/printerSettings" Target="../printerSettings/printerSettings49.bin"/><Relationship Id="rId1" Type="http://schemas.openxmlformats.org/officeDocument/2006/relationships/printerSettings" Target="../printerSettings/printerSettings48.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5.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8.bin"/><Relationship Id="rId2" Type="http://schemas.openxmlformats.org/officeDocument/2006/relationships/printerSettings" Target="../printerSettings/printerSettings67.bin"/><Relationship Id="rId1" Type="http://schemas.openxmlformats.org/officeDocument/2006/relationships/printerSettings" Target="../printerSettings/printerSettings66.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printerSettings" Target="../printerSettings/printerSettings11.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4" Type="http://schemas.openxmlformats.org/officeDocument/2006/relationships/printerSettings" Target="../printerSettings/printerSettings10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4" Type="http://schemas.openxmlformats.org/officeDocument/2006/relationships/printerSettings" Target="../printerSettings/printerSettings106.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4" Type="http://schemas.openxmlformats.org/officeDocument/2006/relationships/printerSettings" Target="../printerSettings/printerSettings110.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13.bin"/><Relationship Id="rId2" Type="http://schemas.openxmlformats.org/officeDocument/2006/relationships/printerSettings" Target="../printerSettings/printerSettings112.bin"/><Relationship Id="rId1" Type="http://schemas.openxmlformats.org/officeDocument/2006/relationships/printerSettings" Target="../printerSettings/printerSettings111.bin"/><Relationship Id="rId4" Type="http://schemas.openxmlformats.org/officeDocument/2006/relationships/printerSettings" Target="../printerSettings/printerSettings114.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4" Type="http://schemas.openxmlformats.org/officeDocument/2006/relationships/printerSettings" Target="../printerSettings/printerSettings12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P404"/>
  <sheetViews>
    <sheetView tabSelected="1" zoomScaleNormal="100" zoomScaleSheetLayoutView="100" workbookViewId="0">
      <selection activeCell="B4" sqref="B4"/>
    </sheetView>
  </sheetViews>
  <sheetFormatPr defaultRowHeight="15"/>
  <cols>
    <col min="1" max="1" width="9.140625" style="1"/>
    <col min="2" max="2" width="18.140625" style="1" customWidth="1"/>
    <col min="3" max="9" width="9.140625" style="1"/>
    <col min="10" max="10" width="14.140625" style="1" customWidth="1"/>
    <col min="11" max="11" width="9.140625" style="1"/>
    <col min="12" max="12" width="13.85546875" style="1" bestFit="1" customWidth="1"/>
    <col min="13" max="13" width="10.5703125" style="1" bestFit="1" customWidth="1"/>
    <col min="14" max="16384" width="9.140625" style="1"/>
  </cols>
  <sheetData>
    <row r="1" spans="1:12" ht="15.75" customHeight="1" thickTop="1">
      <c r="A1" s="413" t="s">
        <v>0</v>
      </c>
      <c r="B1" s="414"/>
      <c r="C1" s="414"/>
      <c r="D1" s="414"/>
      <c r="E1" s="414"/>
      <c r="F1" s="413" t="s">
        <v>1</v>
      </c>
      <c r="G1" s="415"/>
      <c r="H1" s="413" t="s">
        <v>2</v>
      </c>
      <c r="I1" s="414"/>
      <c r="J1" s="415"/>
      <c r="K1" s="287"/>
      <c r="L1" s="287" t="s">
        <v>699</v>
      </c>
    </row>
    <row r="2" spans="1:12" ht="15.75" thickBot="1">
      <c r="A2" s="416"/>
      <c r="B2" s="417"/>
      <c r="C2" s="417"/>
      <c r="D2" s="417"/>
      <c r="E2" s="418"/>
      <c r="F2" s="419"/>
      <c r="G2" s="420"/>
      <c r="H2" s="419"/>
      <c r="I2" s="421"/>
      <c r="J2" s="420"/>
      <c r="K2" s="287" t="str">
        <f>Data!D1</f>
        <v>V 5.0.8</v>
      </c>
      <c r="L2" s="301">
        <v>42424</v>
      </c>
    </row>
    <row r="3" spans="1:12" ht="15.75" customHeight="1">
      <c r="A3" s="430" t="s">
        <v>3</v>
      </c>
      <c r="B3" s="431"/>
      <c r="C3" s="427" t="s">
        <v>4</v>
      </c>
      <c r="D3" s="432"/>
      <c r="E3" s="427" t="s">
        <v>5</v>
      </c>
      <c r="F3" s="432"/>
      <c r="G3" s="431" t="s">
        <v>5</v>
      </c>
      <c r="H3" s="431"/>
      <c r="I3" s="427" t="s">
        <v>607</v>
      </c>
      <c r="J3" s="428"/>
    </row>
    <row r="4" spans="1:12" ht="15" customHeight="1">
      <c r="A4" s="271" t="s">
        <v>7</v>
      </c>
      <c r="B4" s="269"/>
      <c r="C4" s="433" t="s">
        <v>8</v>
      </c>
      <c r="D4" s="434"/>
      <c r="E4" s="433" t="s">
        <v>9</v>
      </c>
      <c r="F4" s="434"/>
      <c r="G4" s="437" t="s">
        <v>630</v>
      </c>
      <c r="H4" s="437"/>
      <c r="I4" s="244" t="s">
        <v>10</v>
      </c>
      <c r="J4" s="272" t="str">
        <f>IF(MonitoringPeriodBeginDate="","",MonitoringPeriodBeginDate)</f>
        <v/>
      </c>
    </row>
    <row r="5" spans="1:12" ht="15.75" thickBot="1">
      <c r="A5" s="273" t="s">
        <v>11</v>
      </c>
      <c r="B5" s="270"/>
      <c r="C5" s="435"/>
      <c r="D5" s="436"/>
      <c r="E5" s="435"/>
      <c r="F5" s="436"/>
      <c r="G5" s="438"/>
      <c r="H5" s="438"/>
      <c r="I5" s="225" t="s">
        <v>12</v>
      </c>
      <c r="J5" s="274" t="str">
        <f>IF(MonitoringPeriodEndDate="","",MonitoringPeriodEndDate)</f>
        <v/>
      </c>
    </row>
    <row r="6" spans="1:12" ht="15.75" customHeight="1" thickBot="1">
      <c r="A6" s="441" t="s">
        <v>13</v>
      </c>
      <c r="B6" s="442"/>
      <c r="C6" s="442" t="s">
        <v>78</v>
      </c>
      <c r="D6" s="442"/>
      <c r="E6" s="521"/>
      <c r="F6" s="441" t="s">
        <v>13</v>
      </c>
      <c r="G6" s="442"/>
      <c r="H6" s="442" t="s">
        <v>78</v>
      </c>
      <c r="I6" s="442"/>
      <c r="J6" s="521"/>
    </row>
    <row r="7" spans="1:12" ht="15" customHeight="1" thickBot="1">
      <c r="A7" s="439" t="s">
        <v>67</v>
      </c>
      <c r="B7" s="429"/>
      <c r="C7" s="440"/>
      <c r="D7" s="440"/>
      <c r="E7" s="440"/>
      <c r="F7" s="439" t="s">
        <v>72</v>
      </c>
      <c r="G7" s="429"/>
      <c r="H7" s="527"/>
      <c r="I7" s="523"/>
      <c r="J7" s="524"/>
    </row>
    <row r="8" spans="1:12" s="147" customFormat="1" ht="15" customHeight="1" thickBot="1">
      <c r="A8" s="429" t="s">
        <v>71</v>
      </c>
      <c r="B8" s="429"/>
      <c r="C8" s="424"/>
      <c r="D8" s="424"/>
      <c r="E8" s="426"/>
      <c r="F8" s="439" t="s">
        <v>72</v>
      </c>
      <c r="G8" s="429"/>
      <c r="H8" s="527"/>
      <c r="I8" s="523"/>
      <c r="J8" s="524"/>
    </row>
    <row r="9" spans="1:12" s="147" customFormat="1" ht="15" customHeight="1" thickBot="1">
      <c r="A9" s="525" t="s">
        <v>70</v>
      </c>
      <c r="B9" s="526"/>
      <c r="C9" s="522"/>
      <c r="D9" s="523"/>
      <c r="E9" s="524"/>
      <c r="F9" s="439" t="s">
        <v>73</v>
      </c>
      <c r="G9" s="429"/>
      <c r="H9" s="425"/>
      <c r="I9" s="528"/>
      <c r="J9" s="529"/>
    </row>
    <row r="10" spans="1:12" s="147" customFormat="1" ht="15" customHeight="1" thickBot="1">
      <c r="A10" s="439" t="s">
        <v>68</v>
      </c>
      <c r="B10" s="429"/>
      <c r="C10" s="424"/>
      <c r="D10" s="424"/>
      <c r="E10" s="425"/>
      <c r="F10" s="439" t="s">
        <v>73</v>
      </c>
      <c r="G10" s="429"/>
      <c r="H10" s="425"/>
      <c r="I10" s="528"/>
      <c r="J10" s="529"/>
    </row>
    <row r="11" spans="1:12" ht="15" customHeight="1" thickBot="1">
      <c r="A11" s="439" t="s">
        <v>779</v>
      </c>
      <c r="B11" s="429"/>
      <c r="C11" s="422"/>
      <c r="D11" s="422"/>
      <c r="E11" s="423"/>
      <c r="F11" s="439" t="s">
        <v>73</v>
      </c>
      <c r="G11" s="429"/>
      <c r="H11" s="425"/>
      <c r="I11" s="528"/>
      <c r="J11" s="529"/>
    </row>
    <row r="12" spans="1:12" s="147" customFormat="1" ht="15" customHeight="1" thickBot="1">
      <c r="A12" s="439" t="s">
        <v>72</v>
      </c>
      <c r="B12" s="429"/>
      <c r="C12" s="527"/>
      <c r="D12" s="523"/>
      <c r="E12" s="524"/>
      <c r="F12" s="439" t="s">
        <v>73</v>
      </c>
      <c r="G12" s="429"/>
      <c r="H12" s="425"/>
      <c r="I12" s="528"/>
      <c r="J12" s="529"/>
    </row>
    <row r="13" spans="1:12" s="147" customFormat="1" ht="15" customHeight="1" thickBot="1">
      <c r="A13" s="439" t="s">
        <v>72</v>
      </c>
      <c r="B13" s="429"/>
      <c r="C13" s="527"/>
      <c r="D13" s="523"/>
      <c r="E13" s="524"/>
      <c r="F13" s="439" t="s">
        <v>73</v>
      </c>
      <c r="G13" s="429"/>
      <c r="H13" s="425"/>
      <c r="I13" s="528"/>
      <c r="J13" s="529"/>
    </row>
    <row r="14" spans="1:12" s="147" customFormat="1" ht="15" customHeight="1" thickBot="1">
      <c r="A14" s="439" t="s">
        <v>72</v>
      </c>
      <c r="B14" s="429"/>
      <c r="C14" s="527"/>
      <c r="D14" s="523"/>
      <c r="E14" s="524"/>
      <c r="F14" s="439" t="s">
        <v>73</v>
      </c>
      <c r="G14" s="429"/>
      <c r="H14" s="425"/>
      <c r="I14" s="528"/>
      <c r="J14" s="529"/>
    </row>
    <row r="15" spans="1:12" s="147" customFormat="1" ht="15" customHeight="1" thickBot="1">
      <c r="A15" s="439" t="s">
        <v>72</v>
      </c>
      <c r="B15" s="429"/>
      <c r="C15" s="527"/>
      <c r="D15" s="523"/>
      <c r="E15" s="524"/>
      <c r="F15" s="439" t="s">
        <v>73</v>
      </c>
      <c r="G15" s="429"/>
      <c r="H15" s="425"/>
      <c r="I15" s="528"/>
      <c r="J15" s="529"/>
    </row>
    <row r="16" spans="1:12" ht="15" customHeight="1" thickBot="1">
      <c r="A16" s="439" t="s">
        <v>72</v>
      </c>
      <c r="B16" s="429"/>
      <c r="C16" s="527"/>
      <c r="D16" s="523"/>
      <c r="E16" s="524"/>
      <c r="F16" s="439" t="s">
        <v>73</v>
      </c>
      <c r="G16" s="429"/>
      <c r="H16" s="425"/>
      <c r="I16" s="528"/>
      <c r="J16" s="529"/>
    </row>
    <row r="17" spans="1:16" ht="15" customHeight="1" thickBot="1">
      <c r="A17" s="439" t="s">
        <v>72</v>
      </c>
      <c r="B17" s="429"/>
      <c r="C17" s="527"/>
      <c r="D17" s="523"/>
      <c r="E17" s="524"/>
      <c r="F17" s="439" t="s">
        <v>73</v>
      </c>
      <c r="G17" s="429"/>
      <c r="H17" s="425"/>
      <c r="I17" s="528"/>
      <c r="J17" s="529"/>
      <c r="L17" s="39"/>
    </row>
    <row r="18" spans="1:16" ht="15" customHeight="1" thickBot="1">
      <c r="A18" s="439" t="s">
        <v>72</v>
      </c>
      <c r="B18" s="429"/>
      <c r="C18" s="423"/>
      <c r="D18" s="528"/>
      <c r="E18" s="535"/>
      <c r="F18" s="530"/>
      <c r="G18" s="531"/>
      <c r="H18" s="531"/>
      <c r="I18" s="531"/>
      <c r="J18" s="532"/>
    </row>
    <row r="19" spans="1:16" ht="37.5" customHeight="1" thickBot="1">
      <c r="A19" s="443" t="s">
        <v>701</v>
      </c>
      <c r="B19" s="444"/>
      <c r="C19" s="444"/>
      <c r="D19" s="444"/>
      <c r="E19" s="444"/>
      <c r="F19" s="444"/>
      <c r="G19" s="444"/>
      <c r="H19" s="444"/>
      <c r="I19" s="444"/>
      <c r="J19" s="445"/>
      <c r="K19" s="38"/>
      <c r="L19" s="38"/>
      <c r="M19" s="38"/>
      <c r="N19" s="38"/>
      <c r="O19" s="38"/>
      <c r="P19" s="38"/>
    </row>
    <row r="20" spans="1:16" ht="15.75" customHeight="1" thickTop="1">
      <c r="A20" s="458" t="s">
        <v>74</v>
      </c>
      <c r="B20" s="459"/>
      <c r="C20" s="459"/>
      <c r="D20" s="459"/>
      <c r="E20" s="459"/>
      <c r="F20" s="459"/>
      <c r="G20" s="459"/>
      <c r="H20" s="459"/>
      <c r="I20" s="459"/>
      <c r="J20" s="460"/>
      <c r="K20" s="38"/>
      <c r="L20" s="38"/>
      <c r="M20" s="38"/>
      <c r="N20" s="38"/>
      <c r="O20" s="38"/>
      <c r="P20" s="38"/>
    </row>
    <row r="21" spans="1:16" ht="26.25" customHeight="1">
      <c r="A21" s="90"/>
      <c r="B21" s="480" t="s">
        <v>612</v>
      </c>
      <c r="C21" s="480"/>
      <c r="D21" s="480"/>
      <c r="E21" s="480"/>
      <c r="F21" s="480"/>
      <c r="G21" s="480"/>
      <c r="H21" s="480"/>
      <c r="I21" s="480"/>
      <c r="J21" s="481"/>
      <c r="K21" s="38"/>
      <c r="L21" s="38"/>
      <c r="M21" s="38"/>
      <c r="N21" s="38"/>
      <c r="O21" s="38"/>
      <c r="P21" s="38"/>
    </row>
    <row r="22" spans="1:16" ht="26.25" customHeight="1" thickBot="1">
      <c r="A22" s="37"/>
      <c r="B22" s="475" t="s">
        <v>860</v>
      </c>
      <c r="C22" s="475"/>
      <c r="D22" s="475"/>
      <c r="E22" s="475"/>
      <c r="F22" s="475"/>
      <c r="G22" s="475"/>
      <c r="H22" s="475"/>
      <c r="I22" s="475"/>
      <c r="J22" s="476"/>
      <c r="K22" s="38"/>
      <c r="L22" s="38"/>
      <c r="M22" s="38"/>
      <c r="N22" s="38"/>
      <c r="O22" s="38"/>
      <c r="P22" s="38"/>
    </row>
    <row r="23" spans="1:16" ht="32.25" customHeight="1" thickTop="1" thickBot="1">
      <c r="A23" s="482" t="s">
        <v>14</v>
      </c>
      <c r="B23" s="483"/>
      <c r="C23" s="483"/>
      <c r="D23" s="483"/>
      <c r="E23" s="483"/>
      <c r="F23" s="483"/>
      <c r="G23" s="483"/>
      <c r="H23" s="483"/>
      <c r="I23" s="483"/>
      <c r="J23" s="484"/>
    </row>
    <row r="24" spans="1:16" s="147" customFormat="1" ht="28.5" customHeight="1" thickTop="1" thickBot="1">
      <c r="A24" s="464" t="s">
        <v>702</v>
      </c>
      <c r="B24" s="465"/>
      <c r="C24" s="465"/>
      <c r="D24" s="465"/>
      <c r="E24" s="465"/>
      <c r="F24" s="465"/>
      <c r="G24" s="465"/>
      <c r="H24" s="465"/>
      <c r="I24" s="466"/>
      <c r="J24" s="312" t="s">
        <v>15</v>
      </c>
    </row>
    <row r="25" spans="1:16" s="147" customFormat="1" ht="29.25" customHeight="1" thickTop="1">
      <c r="A25" s="467" t="s">
        <v>703</v>
      </c>
      <c r="B25" s="468"/>
      <c r="C25" s="468"/>
      <c r="D25" s="468"/>
      <c r="E25" s="468"/>
      <c r="F25" s="468"/>
      <c r="G25" s="468"/>
      <c r="H25" s="468"/>
      <c r="I25" s="469"/>
      <c r="J25" s="473"/>
    </row>
    <row r="26" spans="1:16" s="147" customFormat="1" ht="15.75" customHeight="1" thickBot="1">
      <c r="A26" s="470" t="s">
        <v>704</v>
      </c>
      <c r="B26" s="471"/>
      <c r="C26" s="471"/>
      <c r="D26" s="471"/>
      <c r="E26" s="471"/>
      <c r="F26" s="471"/>
      <c r="G26" s="471"/>
      <c r="H26" s="471"/>
      <c r="I26" s="472"/>
      <c r="J26" s="474"/>
    </row>
    <row r="27" spans="1:16" ht="42" customHeight="1" thickTop="1" thickBot="1">
      <c r="A27" s="455" t="s">
        <v>814</v>
      </c>
      <c r="B27" s="456"/>
      <c r="C27" s="456"/>
      <c r="D27" s="456"/>
      <c r="E27" s="456"/>
      <c r="F27" s="456"/>
      <c r="G27" s="456"/>
      <c r="H27" s="456"/>
      <c r="I27" s="457"/>
      <c r="J27" s="313" t="s">
        <v>15</v>
      </c>
    </row>
    <row r="28" spans="1:16" ht="15.75" customHeight="1" thickTop="1">
      <c r="A28" s="461" t="s">
        <v>75</v>
      </c>
      <c r="B28" s="462"/>
      <c r="C28" s="462"/>
      <c r="D28" s="462"/>
      <c r="E28" s="462"/>
      <c r="F28" s="462"/>
      <c r="G28" s="462"/>
      <c r="H28" s="462"/>
      <c r="I28" s="463"/>
      <c r="J28" s="449"/>
    </row>
    <row r="29" spans="1:16" ht="37.5" customHeight="1">
      <c r="A29" s="461" t="s">
        <v>76</v>
      </c>
      <c r="B29" s="462"/>
      <c r="C29" s="462"/>
      <c r="D29" s="462"/>
      <c r="E29" s="462"/>
      <c r="F29" s="462"/>
      <c r="G29" s="462"/>
      <c r="H29" s="462"/>
      <c r="I29" s="463"/>
      <c r="J29" s="450"/>
    </row>
    <row r="30" spans="1:16" ht="27" customHeight="1">
      <c r="A30" s="461" t="s">
        <v>77</v>
      </c>
      <c r="B30" s="462"/>
      <c r="C30" s="462"/>
      <c r="D30" s="462"/>
      <c r="E30" s="462"/>
      <c r="F30" s="462"/>
      <c r="G30" s="462"/>
      <c r="H30" s="462"/>
      <c r="I30" s="463"/>
      <c r="J30" s="450"/>
    </row>
    <row r="31" spans="1:16" ht="26.25" customHeight="1">
      <c r="A31" s="461" t="s">
        <v>603</v>
      </c>
      <c r="B31" s="462"/>
      <c r="C31" s="462"/>
      <c r="D31" s="462"/>
      <c r="E31" s="462"/>
      <c r="F31" s="462"/>
      <c r="G31" s="462"/>
      <c r="H31" s="462"/>
      <c r="I31" s="463"/>
      <c r="J31" s="450"/>
    </row>
    <row r="32" spans="1:16" ht="12.75" customHeight="1" thickBot="1">
      <c r="A32" s="452" t="s">
        <v>815</v>
      </c>
      <c r="B32" s="453"/>
      <c r="C32" s="453"/>
      <c r="D32" s="453"/>
      <c r="E32" s="453"/>
      <c r="F32" s="453"/>
      <c r="G32" s="453"/>
      <c r="H32" s="453"/>
      <c r="I32" s="454"/>
      <c r="J32" s="451"/>
    </row>
    <row r="33" spans="1:10" s="147" customFormat="1" ht="40.5" customHeight="1" thickTop="1" thickBot="1">
      <c r="A33" s="455" t="s">
        <v>774</v>
      </c>
      <c r="B33" s="456"/>
      <c r="C33" s="456"/>
      <c r="D33" s="456"/>
      <c r="E33" s="456"/>
      <c r="F33" s="456"/>
      <c r="G33" s="456"/>
      <c r="H33" s="456"/>
      <c r="I33" s="457"/>
      <c r="J33" s="80" t="s">
        <v>15</v>
      </c>
    </row>
    <row r="34" spans="1:10" s="147" customFormat="1" ht="31.5" customHeight="1" thickTop="1">
      <c r="A34" s="461" t="s">
        <v>640</v>
      </c>
      <c r="B34" s="462"/>
      <c r="C34" s="462"/>
      <c r="D34" s="462"/>
      <c r="E34" s="462"/>
      <c r="F34" s="462"/>
      <c r="G34" s="462"/>
      <c r="H34" s="462"/>
      <c r="I34" s="463"/>
      <c r="J34" s="477"/>
    </row>
    <row r="35" spans="1:10" s="147" customFormat="1" ht="15.75" customHeight="1">
      <c r="A35" s="461" t="s">
        <v>641</v>
      </c>
      <c r="B35" s="462"/>
      <c r="C35" s="462"/>
      <c r="D35" s="462"/>
      <c r="E35" s="462"/>
      <c r="F35" s="462"/>
      <c r="G35" s="462"/>
      <c r="H35" s="462"/>
      <c r="I35" s="463"/>
      <c r="J35" s="478"/>
    </row>
    <row r="36" spans="1:10" s="147" customFormat="1" ht="27.75" customHeight="1">
      <c r="A36" s="461" t="s">
        <v>642</v>
      </c>
      <c r="B36" s="462"/>
      <c r="C36" s="462"/>
      <c r="D36" s="462"/>
      <c r="E36" s="462"/>
      <c r="F36" s="462"/>
      <c r="G36" s="462"/>
      <c r="H36" s="462"/>
      <c r="I36" s="463"/>
      <c r="J36" s="478"/>
    </row>
    <row r="37" spans="1:10" s="147" customFormat="1" ht="15.75" customHeight="1">
      <c r="A37" s="461" t="s">
        <v>643</v>
      </c>
      <c r="B37" s="462"/>
      <c r="C37" s="462"/>
      <c r="D37" s="462"/>
      <c r="E37" s="462"/>
      <c r="F37" s="462"/>
      <c r="G37" s="462"/>
      <c r="H37" s="462"/>
      <c r="I37" s="463"/>
      <c r="J37" s="478"/>
    </row>
    <row r="38" spans="1:10" s="147" customFormat="1" ht="15.75" customHeight="1">
      <c r="A38" s="461" t="s">
        <v>644</v>
      </c>
      <c r="B38" s="462"/>
      <c r="C38" s="462"/>
      <c r="D38" s="462"/>
      <c r="E38" s="462"/>
      <c r="F38" s="462"/>
      <c r="G38" s="462"/>
      <c r="H38" s="462"/>
      <c r="I38" s="463"/>
      <c r="J38" s="478"/>
    </row>
    <row r="39" spans="1:10" s="147" customFormat="1" ht="18" customHeight="1">
      <c r="A39" s="461" t="s">
        <v>645</v>
      </c>
      <c r="B39" s="462"/>
      <c r="C39" s="462"/>
      <c r="D39" s="462"/>
      <c r="E39" s="462"/>
      <c r="F39" s="462"/>
      <c r="G39" s="462"/>
      <c r="H39" s="462"/>
      <c r="I39" s="463"/>
      <c r="J39" s="478"/>
    </row>
    <row r="40" spans="1:10" s="147" customFormat="1" ht="15.75" customHeight="1">
      <c r="A40" s="461" t="s">
        <v>646</v>
      </c>
      <c r="B40" s="462"/>
      <c r="C40" s="462"/>
      <c r="D40" s="462"/>
      <c r="E40" s="462"/>
      <c r="F40" s="462"/>
      <c r="G40" s="462"/>
      <c r="H40" s="462"/>
      <c r="I40" s="463"/>
      <c r="J40" s="478"/>
    </row>
    <row r="41" spans="1:10" s="147" customFormat="1" ht="13.5" customHeight="1" thickBot="1">
      <c r="A41" s="452" t="s">
        <v>816</v>
      </c>
      <c r="B41" s="453"/>
      <c r="C41" s="453"/>
      <c r="D41" s="453"/>
      <c r="E41" s="453"/>
      <c r="F41" s="453"/>
      <c r="G41" s="453"/>
      <c r="H41" s="453"/>
      <c r="I41" s="454"/>
      <c r="J41" s="479"/>
    </row>
    <row r="42" spans="1:10" s="147" customFormat="1" ht="41.25" customHeight="1" thickTop="1" thickBot="1">
      <c r="A42" s="485" t="s">
        <v>817</v>
      </c>
      <c r="B42" s="486"/>
      <c r="C42" s="486"/>
      <c r="D42" s="486"/>
      <c r="E42" s="486"/>
      <c r="F42" s="486"/>
      <c r="G42" s="486"/>
      <c r="H42" s="486"/>
      <c r="I42" s="487"/>
      <c r="J42" s="80" t="s">
        <v>15</v>
      </c>
    </row>
    <row r="43" spans="1:10" s="147" customFormat="1" ht="157.5" customHeight="1" thickTop="1" thickBot="1">
      <c r="A43" s="488" t="s">
        <v>818</v>
      </c>
      <c r="B43" s="489"/>
      <c r="C43" s="489"/>
      <c r="D43" s="489"/>
      <c r="E43" s="489"/>
      <c r="F43" s="489"/>
      <c r="G43" s="489"/>
      <c r="H43" s="489"/>
      <c r="I43" s="490"/>
      <c r="J43" s="341"/>
    </row>
    <row r="44" spans="1:10" ht="28.5" customHeight="1" thickTop="1" thickBot="1">
      <c r="A44" s="485" t="s">
        <v>705</v>
      </c>
      <c r="B44" s="486"/>
      <c r="C44" s="486"/>
      <c r="D44" s="486"/>
      <c r="E44" s="486"/>
      <c r="F44" s="486"/>
      <c r="G44" s="486"/>
      <c r="H44" s="486"/>
      <c r="I44" s="487"/>
      <c r="J44" s="80" t="s">
        <v>15</v>
      </c>
    </row>
    <row r="45" spans="1:10" ht="26.25" customHeight="1" thickTop="1">
      <c r="A45" s="461" t="s">
        <v>706</v>
      </c>
      <c r="B45" s="462"/>
      <c r="C45" s="462"/>
      <c r="D45" s="462"/>
      <c r="E45" s="462"/>
      <c r="F45" s="462"/>
      <c r="G45" s="462"/>
      <c r="H45" s="462"/>
      <c r="I45" s="463"/>
      <c r="J45" s="449"/>
    </row>
    <row r="46" spans="1:10" ht="29.25" customHeight="1">
      <c r="A46" s="446" t="s">
        <v>707</v>
      </c>
      <c r="B46" s="447"/>
      <c r="C46" s="447"/>
      <c r="D46" s="447"/>
      <c r="E46" s="447"/>
      <c r="F46" s="447"/>
      <c r="G46" s="447"/>
      <c r="H46" s="447"/>
      <c r="I46" s="448"/>
      <c r="J46" s="450"/>
    </row>
    <row r="47" spans="1:10" ht="15" customHeight="1">
      <c r="A47" s="446" t="s">
        <v>708</v>
      </c>
      <c r="B47" s="447"/>
      <c r="C47" s="447"/>
      <c r="D47" s="447"/>
      <c r="E47" s="447"/>
      <c r="F47" s="447"/>
      <c r="G47" s="447"/>
      <c r="H47" s="447"/>
      <c r="I47" s="448"/>
      <c r="J47" s="450"/>
    </row>
    <row r="48" spans="1:10" ht="15" customHeight="1">
      <c r="A48" s="446" t="s">
        <v>709</v>
      </c>
      <c r="B48" s="447"/>
      <c r="C48" s="447"/>
      <c r="D48" s="447"/>
      <c r="E48" s="447"/>
      <c r="F48" s="447"/>
      <c r="G48" s="447"/>
      <c r="H48" s="447"/>
      <c r="I48" s="448"/>
      <c r="J48" s="450"/>
    </row>
    <row r="49" spans="1:10" ht="15.75" customHeight="1" thickBot="1">
      <c r="A49" s="452" t="s">
        <v>710</v>
      </c>
      <c r="B49" s="453"/>
      <c r="C49" s="453"/>
      <c r="D49" s="453"/>
      <c r="E49" s="453"/>
      <c r="F49" s="453"/>
      <c r="G49" s="453"/>
      <c r="H49" s="453"/>
      <c r="I49" s="454"/>
      <c r="J49" s="451"/>
    </row>
    <row r="50" spans="1:10" ht="33.75" customHeight="1" thickTop="1" thickBot="1">
      <c r="A50" s="79" t="s">
        <v>16</v>
      </c>
      <c r="B50" s="402"/>
      <c r="C50" s="402"/>
      <c r="D50" s="402"/>
      <c r="E50" s="402"/>
      <c r="F50" s="403"/>
      <c r="G50" s="386" t="s">
        <v>17</v>
      </c>
      <c r="H50" s="387"/>
      <c r="I50" s="386" t="s">
        <v>18</v>
      </c>
      <c r="J50" s="387"/>
    </row>
    <row r="51" spans="1:10" ht="17.25" customHeight="1" thickTop="1" thickBot="1">
      <c r="A51" s="399" t="s">
        <v>14</v>
      </c>
      <c r="B51" s="400"/>
      <c r="C51" s="400"/>
      <c r="D51" s="400"/>
      <c r="E51" s="400"/>
      <c r="F51" s="401"/>
      <c r="G51" s="388">
        <f>COUNTIF(J24:J49, "Y")</f>
        <v>0</v>
      </c>
      <c r="H51" s="389"/>
      <c r="I51" s="388">
        <f>COUNTIF(J24:J49,"N")</f>
        <v>0</v>
      </c>
      <c r="J51" s="389"/>
    </row>
    <row r="52" spans="1:10" ht="22.5" customHeight="1" thickTop="1">
      <c r="A52" s="404" t="s">
        <v>79</v>
      </c>
      <c r="B52" s="405"/>
      <c r="C52" s="405"/>
      <c r="D52" s="405"/>
      <c r="E52" s="405"/>
      <c r="F52" s="405"/>
      <c r="G52" s="405"/>
      <c r="H52" s="405"/>
      <c r="I52" s="405"/>
      <c r="J52" s="406"/>
    </row>
    <row r="53" spans="1:10" ht="15.75" customHeight="1" thickBot="1">
      <c r="A53" s="410" t="s">
        <v>819</v>
      </c>
      <c r="B53" s="411"/>
      <c r="C53" s="411"/>
      <c r="D53" s="411"/>
      <c r="E53" s="411"/>
      <c r="F53" s="411"/>
      <c r="G53" s="411"/>
      <c r="H53" s="411"/>
      <c r="I53" s="411"/>
      <c r="J53" s="412"/>
    </row>
    <row r="54" spans="1:10" s="147" customFormat="1" ht="17.25" hidden="1" customHeight="1" thickTop="1" thickBot="1">
      <c r="A54" s="390" t="s">
        <v>711</v>
      </c>
      <c r="B54" s="391"/>
      <c r="C54" s="391"/>
      <c r="D54" s="391"/>
      <c r="E54" s="392"/>
      <c r="F54" s="81">
        <v>1</v>
      </c>
      <c r="G54" s="81">
        <v>2</v>
      </c>
      <c r="H54" s="81">
        <v>3</v>
      </c>
      <c r="I54" s="81">
        <v>4</v>
      </c>
      <c r="J54" s="81">
        <v>5</v>
      </c>
    </row>
    <row r="55" spans="1:10" s="147" customFormat="1" ht="16.5" hidden="1" customHeight="1" thickTop="1" thickBot="1">
      <c r="A55" s="393"/>
      <c r="B55" s="394"/>
      <c r="C55" s="394"/>
      <c r="D55" s="394"/>
      <c r="E55" s="395"/>
      <c r="F55" s="142" t="str">
        <f ca="1">IF('IWP01'!ContractNumber = "", "", IF('IWP01'!Std2dot1 = "", "E", 'IWP01'!Std2dot1))</f>
        <v/>
      </c>
      <c r="G55" s="142" t="str">
        <f ca="1">IF('IWP02'!ContractNumber = "", "", IF('IWP02'!Std2dot1 = "", "E", 'IWP02'!Std2dot1))</f>
        <v/>
      </c>
      <c r="H55" s="142" t="str">
        <f ca="1">IF('IWP03'!ContractNumber = "", "", IF('IWP03'!Std2dot1 = "", "E", 'IWP03'!Std2dot1))</f>
        <v/>
      </c>
      <c r="I55" s="142" t="str">
        <f ca="1">IF('IWP04'!ContractNumber = "", "", IF('IWP04'!Std2dot1 = "", "E", 'IWP04'!Std2dot1))</f>
        <v/>
      </c>
      <c r="J55" s="142" t="str">
        <f ca="1">IF('IWP05'!ContractNumber = "", "", IF('IWP05'!Std2dot1 = "", "E", 'IWP05'!Std2dot1))</f>
        <v/>
      </c>
    </row>
    <row r="56" spans="1:10" s="147" customFormat="1" ht="16.5" hidden="1" customHeight="1" thickTop="1" thickBot="1">
      <c r="A56" s="393"/>
      <c r="B56" s="394"/>
      <c r="C56" s="394"/>
      <c r="D56" s="394"/>
      <c r="E56" s="395"/>
      <c r="F56" s="81">
        <v>6</v>
      </c>
      <c r="G56" s="81">
        <v>7</v>
      </c>
      <c r="H56" s="81">
        <v>8</v>
      </c>
      <c r="I56" s="81">
        <v>9</v>
      </c>
      <c r="J56" s="81">
        <v>10</v>
      </c>
    </row>
    <row r="57" spans="1:10" s="147" customFormat="1" ht="16.5" hidden="1" customHeight="1" thickTop="1" thickBot="1">
      <c r="A57" s="393"/>
      <c r="B57" s="394"/>
      <c r="C57" s="394"/>
      <c r="D57" s="394"/>
      <c r="E57" s="395"/>
      <c r="F57" s="142" t="str">
        <f ca="1">IF('IWP06'!ContractNumber = "", "", IF('IWP06'!Std2dot1 = "", "E", 'IWP06'!Std2dot1))</f>
        <v/>
      </c>
      <c r="G57" s="142" t="str">
        <f ca="1">IF('IWP07'!ContractNumber = "", "", IF('IWP07'!Std2dot1 = "", "E", 'IWP07'!Std2dot1))</f>
        <v/>
      </c>
      <c r="H57" s="142" t="str">
        <f ca="1">IF('IWP08'!ContractNumber = "", "", IF('IWP08'!Std2dot1 = "", "E", 'IWP08'!Std2dot1))</f>
        <v/>
      </c>
      <c r="I57" s="142" t="str">
        <f ca="1">IF('IWP09'!ContractNumber = "", "", IF('IWP09'!Std2dot1 = "", "E", 'IWP09'!Std2dot1))</f>
        <v/>
      </c>
      <c r="J57" s="142" t="str">
        <f ca="1">IF('IWP10'!ContractNumber = "", "", IF('IWP10'!Std2dot1 = "", "E", 'IWP10'!Std2dot1))</f>
        <v/>
      </c>
    </row>
    <row r="58" spans="1:10" s="147" customFormat="1" ht="16.5" hidden="1" customHeight="1" thickTop="1" thickBot="1">
      <c r="A58" s="393"/>
      <c r="B58" s="394"/>
      <c r="C58" s="394"/>
      <c r="D58" s="394"/>
      <c r="E58" s="395"/>
      <c r="F58" s="81">
        <v>11</v>
      </c>
      <c r="G58" s="81">
        <v>12</v>
      </c>
      <c r="H58" s="81">
        <v>13</v>
      </c>
      <c r="I58" s="81">
        <v>14</v>
      </c>
      <c r="J58" s="81">
        <v>15</v>
      </c>
    </row>
    <row r="59" spans="1:10" s="147" customFormat="1" ht="16.5" hidden="1" customHeight="1" thickTop="1" thickBot="1">
      <c r="A59" s="396" t="s">
        <v>712</v>
      </c>
      <c r="B59" s="397"/>
      <c r="C59" s="397"/>
      <c r="D59" s="397"/>
      <c r="E59" s="398"/>
      <c r="F59" s="142" t="str">
        <f ca="1">IF('IWP11'!ContractNumber = "", "", IF('IWP11'!Std2dot1 = "", "E", 'IWP11'!Std2dot1))</f>
        <v/>
      </c>
      <c r="G59" s="142" t="str">
        <f ca="1">IF('IWP12'!ContractNumber = "", "", IF('IWP12'!Std2dot1 = "", "E", 'IWP12'!Std2dot1))</f>
        <v/>
      </c>
      <c r="H59" s="142" t="str">
        <f ca="1">IF('IWP13'!ContractNumber = "", "", IF('IWP13'!Std2dot1 = "", "E", 'IWP13'!Std2dot1))</f>
        <v/>
      </c>
      <c r="I59" s="142" t="str">
        <f ca="1">IF('IWP14'!ContractNumber = "", "", IF('IWP14'!Std2dot1 = "", "E", 'IWP14'!Std2dot1))</f>
        <v/>
      </c>
      <c r="J59" s="142" t="str">
        <f ca="1">IF('IWP15'!ContractNumber = "", "", IF('IWP15'!Std2dot1 = "", "E", 'IWP15'!Std2dot1))</f>
        <v/>
      </c>
    </row>
    <row r="60" spans="1:10" s="147" customFormat="1" ht="16.5" hidden="1" customHeight="1" thickTop="1" thickBot="1">
      <c r="A60" s="396"/>
      <c r="B60" s="397"/>
      <c r="C60" s="397"/>
      <c r="D60" s="397"/>
      <c r="E60" s="398"/>
      <c r="F60" s="81">
        <v>16</v>
      </c>
      <c r="G60" s="81">
        <v>17</v>
      </c>
      <c r="H60" s="81">
        <v>18</v>
      </c>
      <c r="I60" s="81">
        <v>19</v>
      </c>
      <c r="J60" s="81">
        <v>20</v>
      </c>
    </row>
    <row r="61" spans="1:10" s="147" customFormat="1" ht="16.5" hidden="1" thickTop="1" thickBot="1">
      <c r="A61" s="396"/>
      <c r="B61" s="397"/>
      <c r="C61" s="397"/>
      <c r="D61" s="397"/>
      <c r="E61" s="398"/>
      <c r="F61" s="142" t="str">
        <f ca="1">IF('IWP16'!ContractNumber = "", "", IF('IWP16'!Std2dot1 = "", "E", 'IWP16'!Std2dot1))</f>
        <v/>
      </c>
      <c r="G61" s="142" t="str">
        <f ca="1">IF('IWP17'!ContractNumber = "", "", IF('IWP17'!Std2dot1 = "", "E", 'IWP17'!Std2dot1))</f>
        <v/>
      </c>
      <c r="H61" s="142" t="str">
        <f ca="1">IF('IWP18'!ContractNumber = "", "", IF('IWP18'!Std2dot1 = "", "E", 'IWP18'!Std2dot1))</f>
        <v/>
      </c>
      <c r="I61" s="142" t="str">
        <f ca="1">IF('IWP19'!ContractNumber = "", "", IF('IWP19'!Std2dot1 = "", "E", 'IWP19'!Std2dot1))</f>
        <v/>
      </c>
      <c r="J61" s="142" t="str">
        <f ca="1">IF('IWP20'!ContractNumber = "", "", IF('IWP20'!Std2dot1 = "", "E", 'IWP20'!Std2dot1))</f>
        <v/>
      </c>
    </row>
    <row r="62" spans="1:10" s="147" customFormat="1" ht="16.5" hidden="1" thickTop="1" thickBot="1">
      <c r="A62" s="396"/>
      <c r="B62" s="397"/>
      <c r="C62" s="397"/>
      <c r="D62" s="397"/>
      <c r="E62" s="398"/>
      <c r="F62" s="81">
        <v>21</v>
      </c>
      <c r="G62" s="81">
        <v>22</v>
      </c>
      <c r="H62" s="81">
        <v>23</v>
      </c>
      <c r="I62" s="81">
        <v>24</v>
      </c>
      <c r="J62" s="81">
        <v>25</v>
      </c>
    </row>
    <row r="63" spans="1:10" s="147" customFormat="1" ht="16.5" hidden="1" thickTop="1" thickBot="1">
      <c r="A63" s="396"/>
      <c r="B63" s="397"/>
      <c r="C63" s="397"/>
      <c r="D63" s="397"/>
      <c r="E63" s="398"/>
      <c r="F63" s="142" t="str">
        <f ca="1">IF('IWP21'!ContractNumber = "", "", IF('IWP21'!Std2dot1 = "", "E", 'IWP21'!Std2dot1))</f>
        <v/>
      </c>
      <c r="G63" s="142" t="str">
        <f ca="1">IF('IWP22'!ContractNumber = "", "", IF('IWP22'!Std2dot1 = "", "E", 'IWP22'!Std2dot1))</f>
        <v/>
      </c>
      <c r="H63" s="142" t="str">
        <f ca="1">IF('IWP23'!ContractNumber = "", "", IF('IWP23'!Std2dot1 = "", "E", 'IWP23'!Std2dot1))</f>
        <v/>
      </c>
      <c r="I63" s="142" t="str">
        <f ca="1">IF('IWP24'!ContractNumber = "", "", IF('IWP24'!Std2dot1 = "", "E", 'IWP24'!Std2dot1))</f>
        <v/>
      </c>
      <c r="J63" s="142" t="str">
        <f ca="1">IF('IWP25'!ContractNumber = "", "", IF('IWP25'!Std2dot1 = "", "E", 'IWP25'!Std2dot1))</f>
        <v/>
      </c>
    </row>
    <row r="64" spans="1:10" s="147" customFormat="1" ht="16.5" hidden="1" thickTop="1" thickBot="1">
      <c r="A64" s="396"/>
      <c r="B64" s="397"/>
      <c r="C64" s="397"/>
      <c r="D64" s="397"/>
      <c r="E64" s="398"/>
      <c r="F64" s="81">
        <v>26</v>
      </c>
      <c r="G64" s="81">
        <v>27</v>
      </c>
      <c r="H64" s="81">
        <v>28</v>
      </c>
      <c r="I64" s="81">
        <v>29</v>
      </c>
      <c r="J64" s="81">
        <v>30</v>
      </c>
    </row>
    <row r="65" spans="1:10" s="147" customFormat="1" ht="16.5" hidden="1" thickTop="1" thickBot="1">
      <c r="A65" s="407"/>
      <c r="B65" s="408"/>
      <c r="C65" s="408"/>
      <c r="D65" s="408"/>
      <c r="E65" s="409"/>
      <c r="F65" s="142" t="str">
        <f ca="1">IF('IWP26'!ContractNumber = "", "", IF('IWP26'!Std2dot1 = "", "E", 'IWP26'!Std2dot1))</f>
        <v/>
      </c>
      <c r="G65" s="142" t="str">
        <f ca="1">IF('IWP27'!ContractNumber = "", "", IF('IWP27'!Std2dot1 = "", "E", 'IWP27'!Std2dot1))</f>
        <v/>
      </c>
      <c r="H65" s="142" t="str">
        <f ca="1">IF('IWP28'!ContractNumber = "", "", IF('IWP28'!Std2dot1 = "", "E", 'IWP28'!Std2dot1))</f>
        <v/>
      </c>
      <c r="I65" s="142" t="str">
        <f ca="1">IF('IWP29'!ContractNumber = "", "", IF('IWP29'!Std2dot1 = "", "E", 'IWP29'!Std2dot1))</f>
        <v/>
      </c>
      <c r="J65" s="142" t="str">
        <f ca="1">IF('IWP30'!ContractNumber = "", "", IF('IWP30'!Std2dot1 = "", "E", 'IWP30'!Std2dot1))</f>
        <v/>
      </c>
    </row>
    <row r="66" spans="1:10" s="147" customFormat="1" ht="16.5" hidden="1" customHeight="1" thickTop="1" thickBot="1">
      <c r="A66" s="380" t="s">
        <v>16</v>
      </c>
      <c r="B66" s="382"/>
      <c r="C66" s="382"/>
      <c r="D66" s="382"/>
      <c r="E66" s="382"/>
      <c r="F66" s="383"/>
      <c r="G66" s="386" t="s">
        <v>19</v>
      </c>
      <c r="H66" s="387"/>
      <c r="I66" s="386" t="s">
        <v>20</v>
      </c>
      <c r="J66" s="387"/>
    </row>
    <row r="67" spans="1:10" s="147" customFormat="1" ht="16.5" hidden="1" thickTop="1" thickBot="1">
      <c r="A67" s="381"/>
      <c r="B67" s="384"/>
      <c r="C67" s="384"/>
      <c r="D67" s="384"/>
      <c r="E67" s="384"/>
      <c r="F67" s="385"/>
      <c r="G67" s="388">
        <f ca="1">COUNTIF(F55:J65, "Y")</f>
        <v>0</v>
      </c>
      <c r="H67" s="389"/>
      <c r="I67" s="388">
        <f ca="1">COUNTIF(F55:J65, "N")</f>
        <v>0</v>
      </c>
      <c r="J67" s="389"/>
    </row>
    <row r="68" spans="1:10" ht="17.25" customHeight="1" thickTop="1" thickBot="1">
      <c r="A68" s="390" t="s">
        <v>820</v>
      </c>
      <c r="B68" s="391"/>
      <c r="C68" s="391"/>
      <c r="D68" s="391"/>
      <c r="E68" s="392"/>
      <c r="F68" s="81">
        <v>1</v>
      </c>
      <c r="G68" s="81">
        <v>2</v>
      </c>
      <c r="H68" s="81">
        <v>3</v>
      </c>
      <c r="I68" s="81">
        <v>4</v>
      </c>
      <c r="J68" s="81">
        <v>5</v>
      </c>
    </row>
    <row r="69" spans="1:10" ht="16.5" customHeight="1" thickTop="1" thickBot="1">
      <c r="A69" s="393"/>
      <c r="B69" s="394"/>
      <c r="C69" s="394"/>
      <c r="D69" s="394"/>
      <c r="E69" s="395"/>
      <c r="F69" s="142" t="str">
        <f ca="1">IF('IWP01'!ContractNumber = "", "", IF('IWP01'!Std2dot2 = "", "E", 'IWP01'!Std2dot2))</f>
        <v/>
      </c>
      <c r="G69" s="142" t="str">
        <f ca="1">IF('IWP02'!ContractNumber = "", "", IF('IWP02'!Std2dot2 = "", "E", 'IWP02'!Std2dot2))</f>
        <v/>
      </c>
      <c r="H69" s="142" t="str">
        <f ca="1">IF('IWP03'!ContractNumber = "", "", IF('IWP03'!Std2dot2 = "", "E", 'IWP03'!Std2dot2))</f>
        <v/>
      </c>
      <c r="I69" s="142" t="str">
        <f ca="1">IF('IWP04'!ContractNumber = "", "", IF('IWP04'!Std2dot2 = "", "E", 'IWP04'!Std2dot2))</f>
        <v/>
      </c>
      <c r="J69" s="142" t="str">
        <f ca="1">IF('IWP05'!ContractNumber = "", "", IF('IWP05'!Std2dot2 = "", "E", 'IWP05'!Std2dot2))</f>
        <v/>
      </c>
    </row>
    <row r="70" spans="1:10" ht="16.5" customHeight="1" thickTop="1" thickBot="1">
      <c r="A70" s="393"/>
      <c r="B70" s="394"/>
      <c r="C70" s="394"/>
      <c r="D70" s="394"/>
      <c r="E70" s="395"/>
      <c r="F70" s="81">
        <v>6</v>
      </c>
      <c r="G70" s="81">
        <v>7</v>
      </c>
      <c r="H70" s="81">
        <v>8</v>
      </c>
      <c r="I70" s="81">
        <v>9</v>
      </c>
      <c r="J70" s="81">
        <v>10</v>
      </c>
    </row>
    <row r="71" spans="1:10" ht="16.5" customHeight="1" thickTop="1" thickBot="1">
      <c r="A71" s="393"/>
      <c r="B71" s="394"/>
      <c r="C71" s="394"/>
      <c r="D71" s="394"/>
      <c r="E71" s="395"/>
      <c r="F71" s="142" t="str">
        <f ca="1">IF('IWP06'!ContractNumber = "", "", IF('IWP06'!Std2dot2 = "", "E", 'IWP06'!Std2dot2))</f>
        <v/>
      </c>
      <c r="G71" s="142" t="str">
        <f ca="1">IF('IWP07'!ContractNumber = "", "", IF('IWP07'!Std2dot2 = "", "E", 'IWP07'!Std2dot2))</f>
        <v/>
      </c>
      <c r="H71" s="142" t="str">
        <f ca="1">IF('IWP08'!ContractNumber = "", "", IF('IWP08'!Std2dot2 = "", "E", 'IWP08'!Std2dot2))</f>
        <v/>
      </c>
      <c r="I71" s="142" t="str">
        <f ca="1">IF('IWP09'!ContractNumber = "", "", IF('IWP09'!Std2dot2 = "", "E", 'IWP09'!Std2dot2))</f>
        <v/>
      </c>
      <c r="J71" s="142" t="str">
        <f ca="1">IF('IWP10'!ContractNumber = "", "", IF('IWP10'!Std2dot2 = "", "E", 'IWP10'!Std2dot2))</f>
        <v/>
      </c>
    </row>
    <row r="72" spans="1:10" ht="16.5" customHeight="1" thickTop="1" thickBot="1">
      <c r="A72" s="393"/>
      <c r="B72" s="394"/>
      <c r="C72" s="394"/>
      <c r="D72" s="394"/>
      <c r="E72" s="395"/>
      <c r="F72" s="81">
        <v>11</v>
      </c>
      <c r="G72" s="81">
        <v>12</v>
      </c>
      <c r="H72" s="81">
        <v>13</v>
      </c>
      <c r="I72" s="81">
        <v>14</v>
      </c>
      <c r="J72" s="81">
        <v>15</v>
      </c>
    </row>
    <row r="73" spans="1:10" ht="16.5" customHeight="1" thickTop="1" thickBot="1">
      <c r="A73" s="396" t="s">
        <v>821</v>
      </c>
      <c r="B73" s="397"/>
      <c r="C73" s="397"/>
      <c r="D73" s="397"/>
      <c r="E73" s="398"/>
      <c r="F73" s="142" t="str">
        <f ca="1">IF('IWP11'!ContractNumber = "", "", IF('IWP11'!Std2dot2 = "", "E", 'IWP11'!Std2dot2))</f>
        <v/>
      </c>
      <c r="G73" s="142" t="str">
        <f ca="1">IF('IWP12'!ContractNumber = "", "", IF('IWP12'!Std2dot2 = "", "E", 'IWP12'!Std2dot2))</f>
        <v/>
      </c>
      <c r="H73" s="142" t="str">
        <f ca="1">IF('IWP13'!ContractNumber = "", "", IF('IWP13'!Std2dot2 = "", "E", 'IWP13'!Std2dot2))</f>
        <v/>
      </c>
      <c r="I73" s="142" t="str">
        <f ca="1">IF('IWP14'!ContractNumber = "", "", IF('IWP14'!Std2dot2 = "", "E", 'IWP14'!Std2dot2))</f>
        <v/>
      </c>
      <c r="J73" s="142" t="str">
        <f ca="1">IF('IWP15'!ContractNumber = "", "", IF('IWP15'!Std2dot2 = "", "E", 'IWP15'!Std2dot2))</f>
        <v/>
      </c>
    </row>
    <row r="74" spans="1:10" ht="16.5" customHeight="1" thickTop="1" thickBot="1">
      <c r="A74" s="396"/>
      <c r="B74" s="397"/>
      <c r="C74" s="397"/>
      <c r="D74" s="397"/>
      <c r="E74" s="398"/>
      <c r="F74" s="81">
        <v>16</v>
      </c>
      <c r="G74" s="81">
        <v>17</v>
      </c>
      <c r="H74" s="81">
        <v>18</v>
      </c>
      <c r="I74" s="81">
        <v>19</v>
      </c>
      <c r="J74" s="81">
        <v>20</v>
      </c>
    </row>
    <row r="75" spans="1:10" ht="16.5" thickTop="1" thickBot="1">
      <c r="A75" s="396"/>
      <c r="B75" s="397"/>
      <c r="C75" s="397"/>
      <c r="D75" s="397"/>
      <c r="E75" s="398"/>
      <c r="F75" s="142" t="str">
        <f ca="1">IF('IWP16'!ContractNumber = "", "", IF('IWP16'!Std2dot2 = "", "E", 'IWP16'!Std2dot2))</f>
        <v/>
      </c>
      <c r="G75" s="142" t="str">
        <f ca="1">IF('IWP17'!ContractNumber = "", "", IF('IWP17'!Std2dot2 = "", "E", 'IWP17'!Std2dot2))</f>
        <v/>
      </c>
      <c r="H75" s="142" t="str">
        <f ca="1">IF('IWP18'!ContractNumber = "", "", IF('IWP18'!Std2dot2 = "", "E", 'IWP18'!Std2dot2))</f>
        <v/>
      </c>
      <c r="I75" s="142" t="str">
        <f ca="1">IF('IWP19'!ContractNumber = "", "", IF('IWP19'!Std2dot2 = "", "E", 'IWP19'!Std2dot2))</f>
        <v/>
      </c>
      <c r="J75" s="142" t="str">
        <f ca="1">IF('IWP20'!ContractNumber = "", "", IF('IWP20'!Std2dot2 = "", "E", 'IWP20'!Std2dot2))</f>
        <v/>
      </c>
    </row>
    <row r="76" spans="1:10" ht="16.5" thickTop="1" thickBot="1">
      <c r="A76" s="396"/>
      <c r="B76" s="397"/>
      <c r="C76" s="397"/>
      <c r="D76" s="397"/>
      <c r="E76" s="398"/>
      <c r="F76" s="81">
        <v>21</v>
      </c>
      <c r="G76" s="81">
        <v>22</v>
      </c>
      <c r="H76" s="81">
        <v>23</v>
      </c>
      <c r="I76" s="81">
        <v>24</v>
      </c>
      <c r="J76" s="81">
        <v>25</v>
      </c>
    </row>
    <row r="77" spans="1:10" ht="16.5" thickTop="1" thickBot="1">
      <c r="A77" s="396"/>
      <c r="B77" s="397"/>
      <c r="C77" s="397"/>
      <c r="D77" s="397"/>
      <c r="E77" s="398"/>
      <c r="F77" s="142" t="str">
        <f ca="1">IF('IWP21'!ContractNumber = "", "", IF('IWP21'!Std2dot2 = "", "E", 'IWP21'!Std2dot2))</f>
        <v/>
      </c>
      <c r="G77" s="142" t="str">
        <f ca="1">IF('IWP22'!ContractNumber = "", "", IF('IWP22'!Std2dot2 = "", "E", 'IWP22'!Std2dot2))</f>
        <v/>
      </c>
      <c r="H77" s="142" t="str">
        <f ca="1">IF('IWP23'!ContractNumber = "", "", IF('IWP23'!Std2dot2 = "", "E", 'IWP23'!Std2dot2))</f>
        <v/>
      </c>
      <c r="I77" s="142" t="str">
        <f ca="1">IF('IWP24'!ContractNumber = "", "", IF('IWP24'!Std2dot2 = "", "E", 'IWP24'!Std2dot2))</f>
        <v/>
      </c>
      <c r="J77" s="142" t="str">
        <f ca="1">IF('IWP25'!ContractNumber = "", "", IF('IWP25'!Std2dot2 = "", "E", 'IWP25'!Std2dot2))</f>
        <v/>
      </c>
    </row>
    <row r="78" spans="1:10" ht="16.5" thickTop="1" thickBot="1">
      <c r="A78" s="396"/>
      <c r="B78" s="397"/>
      <c r="C78" s="397"/>
      <c r="D78" s="397"/>
      <c r="E78" s="398"/>
      <c r="F78" s="81">
        <v>26</v>
      </c>
      <c r="G78" s="81">
        <v>27</v>
      </c>
      <c r="H78" s="81">
        <v>28</v>
      </c>
      <c r="I78" s="81">
        <v>29</v>
      </c>
      <c r="J78" s="81">
        <v>30</v>
      </c>
    </row>
    <row r="79" spans="1:10" ht="16.5" thickTop="1" thickBot="1">
      <c r="A79" s="396"/>
      <c r="B79" s="397"/>
      <c r="C79" s="397"/>
      <c r="D79" s="397"/>
      <c r="E79" s="398"/>
      <c r="F79" s="142" t="str">
        <f ca="1">IF('IWP26'!ContractNumber = "", "", IF('IWP26'!Std2dot2 = "", "E", 'IWP26'!Std2dot2))</f>
        <v/>
      </c>
      <c r="G79" s="142" t="str">
        <f ca="1">IF('IWP27'!ContractNumber = "", "", IF('IWP27'!Std2dot2 = "", "E", 'IWP27'!Std2dot2))</f>
        <v/>
      </c>
      <c r="H79" s="142" t="str">
        <f ca="1">IF('IWP28'!ContractNumber = "", "", IF('IWP28'!Std2dot2 = "", "E", 'IWP28'!Std2dot2))</f>
        <v/>
      </c>
      <c r="I79" s="142" t="str">
        <f ca="1">IF('IWP29'!ContractNumber = "", "", IF('IWP29'!Std2dot2 = "", "E", 'IWP29'!Std2dot2))</f>
        <v/>
      </c>
      <c r="J79" s="142" t="str">
        <f ca="1">IF('IWP30'!ContractNumber = "", "", IF('IWP30'!Std2dot2 = "", "E", 'IWP30'!Std2dot2))</f>
        <v/>
      </c>
    </row>
    <row r="80" spans="1:10" ht="16.5" customHeight="1" thickTop="1" thickBot="1">
      <c r="A80" s="380" t="s">
        <v>16</v>
      </c>
      <c r="B80" s="382"/>
      <c r="C80" s="382"/>
      <c r="D80" s="382"/>
      <c r="E80" s="382"/>
      <c r="F80" s="383"/>
      <c r="G80" s="386" t="s">
        <v>19</v>
      </c>
      <c r="H80" s="387"/>
      <c r="I80" s="386" t="s">
        <v>20</v>
      </c>
      <c r="J80" s="387"/>
    </row>
    <row r="81" spans="1:12" ht="16.5" thickTop="1" thickBot="1">
      <c r="A81" s="381"/>
      <c r="B81" s="384"/>
      <c r="C81" s="384"/>
      <c r="D81" s="384"/>
      <c r="E81" s="384"/>
      <c r="F81" s="385"/>
      <c r="G81" s="388">
        <f ca="1">COUNTIF(F69:J79, "Y")</f>
        <v>0</v>
      </c>
      <c r="H81" s="389"/>
      <c r="I81" s="388">
        <f ca="1">COUNTIF(F69:J79, "N")</f>
        <v>0</v>
      </c>
      <c r="J81" s="389"/>
    </row>
    <row r="82" spans="1:12" ht="17.25" customHeight="1" thickTop="1" thickBot="1">
      <c r="A82" s="464" t="s">
        <v>679</v>
      </c>
      <c r="B82" s="465"/>
      <c r="C82" s="465"/>
      <c r="D82" s="465"/>
      <c r="E82" s="466"/>
      <c r="F82" s="81">
        <v>1</v>
      </c>
      <c r="G82" s="81">
        <v>2</v>
      </c>
      <c r="H82" s="81">
        <v>3</v>
      </c>
      <c r="I82" s="81">
        <v>4</v>
      </c>
      <c r="J82" s="81">
        <v>5</v>
      </c>
    </row>
    <row r="83" spans="1:12" ht="16.5" thickTop="1" thickBot="1">
      <c r="A83" s="493"/>
      <c r="B83" s="494"/>
      <c r="C83" s="494"/>
      <c r="D83" s="494"/>
      <c r="E83" s="495"/>
      <c r="F83" s="142" t="str">
        <f ca="1">IF('IWP01'!ContractNumber = "", "", IF('IWP01'!Std2dot3 = "", "E", 'IWP01'!Std2dot3))</f>
        <v/>
      </c>
      <c r="G83" s="142" t="str">
        <f ca="1">IF('IWP02'!ContractNumber = "", "", IF('IWP02'!Std2dot3 = "", "E", 'IWP02'!Std2dot3))</f>
        <v/>
      </c>
      <c r="H83" s="142" t="str">
        <f ca="1">IF('IWP03'!ContractNumber = "", "", IF('IWP03'!Std2dot3 = "", "E", 'IWP03'!Std2dot3))</f>
        <v/>
      </c>
      <c r="I83" s="142" t="str">
        <f ca="1">IF('IWP04'!ContractNumber = "", "", IF('IWP04'!Std2dot3 = "", "E", 'IWP04'!Std2dot3))</f>
        <v/>
      </c>
      <c r="J83" s="142" t="str">
        <f ca="1">IF('IWP05'!ContractNumber = "", "", IF('IWP05'!Std2dot3 = "", "E", 'IWP05'!Std2dot3))</f>
        <v/>
      </c>
    </row>
    <row r="84" spans="1:12" ht="16.5" thickTop="1" thickBot="1">
      <c r="A84" s="493"/>
      <c r="B84" s="494"/>
      <c r="C84" s="494"/>
      <c r="D84" s="494"/>
      <c r="E84" s="495"/>
      <c r="F84" s="81">
        <v>6</v>
      </c>
      <c r="G84" s="81">
        <v>7</v>
      </c>
      <c r="H84" s="81">
        <v>8</v>
      </c>
      <c r="I84" s="81">
        <v>9</v>
      </c>
      <c r="J84" s="81">
        <v>10</v>
      </c>
    </row>
    <row r="85" spans="1:12" ht="17.25" customHeight="1" thickTop="1" thickBot="1">
      <c r="A85" s="396" t="s">
        <v>822</v>
      </c>
      <c r="B85" s="397"/>
      <c r="C85" s="397"/>
      <c r="D85" s="397"/>
      <c r="E85" s="398"/>
      <c r="F85" s="142" t="str">
        <f ca="1">IF('IWP06'!ContractNumber = "", "", IF('IWP06'!Std2dot3 = "", "E", 'IWP06'!Std2dot3))</f>
        <v/>
      </c>
      <c r="G85" s="142" t="str">
        <f ca="1">IF('IWP07'!ContractNumber = "", "", IF('IWP07'!Std2dot3 = "", "E", 'IWP07'!Std2dot3))</f>
        <v/>
      </c>
      <c r="H85" s="142" t="str">
        <f ca="1">IF('IWP08'!ContractNumber = "", "", IF('IWP08'!Std2dot3 = "", "E", 'IWP08'!Std2dot3))</f>
        <v/>
      </c>
      <c r="I85" s="142" t="str">
        <f ca="1">IF('IWP09'!ContractNumber = "", "", IF('IWP09'!Std2dot3 = "", "E", 'IWP09'!Std2dot3))</f>
        <v/>
      </c>
      <c r="J85" s="142" t="str">
        <f ca="1">IF('IWP10'!ContractNumber = "", "", IF('IWP10'!Std2dot3 = "", "E", 'IWP10'!Std2dot3))</f>
        <v/>
      </c>
    </row>
    <row r="86" spans="1:12" ht="17.25" customHeight="1" thickTop="1" thickBot="1">
      <c r="A86" s="396"/>
      <c r="B86" s="397"/>
      <c r="C86" s="397"/>
      <c r="D86" s="397"/>
      <c r="E86" s="398"/>
      <c r="F86" s="81">
        <v>11</v>
      </c>
      <c r="G86" s="81">
        <v>12</v>
      </c>
      <c r="H86" s="81">
        <v>13</v>
      </c>
      <c r="I86" s="81">
        <v>14</v>
      </c>
      <c r="J86" s="81">
        <v>15</v>
      </c>
    </row>
    <row r="87" spans="1:12" ht="17.25" customHeight="1" thickTop="1" thickBot="1">
      <c r="A87" s="396"/>
      <c r="B87" s="397"/>
      <c r="C87" s="397"/>
      <c r="D87" s="397"/>
      <c r="E87" s="398"/>
      <c r="F87" s="142" t="str">
        <f ca="1">IF('IWP11'!ContractNumber = "", "", IF('IWP11'!Std2dot3 = "", "E", 'IWP11'!Std2dot3))</f>
        <v/>
      </c>
      <c r="G87" s="142" t="str">
        <f ca="1">IF('IWP12'!ContractNumber = "", "", IF('IWP12'!Std2dot3 = "", "E", 'IWP12'!Std2dot3))</f>
        <v/>
      </c>
      <c r="H87" s="142" t="str">
        <f ca="1">IF('IWP13'!ContractNumber = "", "", IF('IWP13'!Std2dot3 = "", "E", 'IWP13'!Std2dot3))</f>
        <v/>
      </c>
      <c r="I87" s="142" t="str">
        <f ca="1">IF('IWP14'!ContractNumber = "", "", IF('IWP14'!Std2dot3 = "", "E", 'IWP14'!Std2dot3))</f>
        <v/>
      </c>
      <c r="J87" s="142" t="str">
        <f ca="1">IF('IWP15'!ContractNumber = "", "", IF('IWP15'!Std2dot3 = "", "E", 'IWP15'!Std2dot3))</f>
        <v/>
      </c>
    </row>
    <row r="88" spans="1:12" ht="16.5" customHeight="1" thickTop="1" thickBot="1">
      <c r="A88" s="396"/>
      <c r="B88" s="397"/>
      <c r="C88" s="397"/>
      <c r="D88" s="397"/>
      <c r="E88" s="398"/>
      <c r="F88" s="81">
        <v>16</v>
      </c>
      <c r="G88" s="81">
        <v>17</v>
      </c>
      <c r="H88" s="81">
        <v>18</v>
      </c>
      <c r="I88" s="81">
        <v>19</v>
      </c>
      <c r="J88" s="81">
        <v>20</v>
      </c>
    </row>
    <row r="89" spans="1:12" ht="17.25" customHeight="1" thickTop="1" thickBot="1">
      <c r="A89" s="396"/>
      <c r="B89" s="397"/>
      <c r="C89" s="397"/>
      <c r="D89" s="397"/>
      <c r="E89" s="398"/>
      <c r="F89" s="142" t="str">
        <f ca="1">IF('IWP16'!ContractNumber = "", "", IF('IWP16'!Std2dot3 = "", "E", 'IWP16'!Std2dot3))</f>
        <v/>
      </c>
      <c r="G89" s="142" t="str">
        <f ca="1">IF('IWP17'!ContractNumber = "", "", IF('IWP17'!Std2dot3 = "", "E", 'IWP17'!Std2dot3))</f>
        <v/>
      </c>
      <c r="H89" s="142" t="str">
        <f ca="1">IF('IWP18'!ContractNumber = "", "", IF('IWP18'!Std2dot3 = "", "E", 'IWP18'!Std2dot3))</f>
        <v/>
      </c>
      <c r="I89" s="142" t="str">
        <f ca="1">IF('IWP19'!ContractNumber = "", "", IF('IWP19'!Std2dot3 = "", "E", 'IWP19'!Std2dot3))</f>
        <v/>
      </c>
      <c r="J89" s="142" t="str">
        <f ca="1">IF('IWP20'!ContractNumber = "", "", IF('IWP20'!Std2dot3 = "", "E", 'IWP20'!Std2dot3))</f>
        <v/>
      </c>
    </row>
    <row r="90" spans="1:12" ht="17.25" customHeight="1" thickTop="1" thickBot="1">
      <c r="A90" s="396"/>
      <c r="B90" s="397"/>
      <c r="C90" s="397"/>
      <c r="D90" s="397"/>
      <c r="E90" s="398"/>
      <c r="F90" s="81">
        <v>21</v>
      </c>
      <c r="G90" s="81">
        <v>22</v>
      </c>
      <c r="H90" s="81">
        <v>23</v>
      </c>
      <c r="I90" s="81">
        <v>24</v>
      </c>
      <c r="J90" s="81">
        <v>25</v>
      </c>
    </row>
    <row r="91" spans="1:12" ht="17.25" customHeight="1" thickTop="1" thickBot="1">
      <c r="A91" s="396"/>
      <c r="B91" s="397"/>
      <c r="C91" s="397"/>
      <c r="D91" s="397"/>
      <c r="E91" s="398"/>
      <c r="F91" s="142" t="str">
        <f ca="1">IF('IWP21'!ContractNumber = "", "", IF('IWP21'!Std2dot3 = "", "E", 'IWP21'!Std2dot3))</f>
        <v/>
      </c>
      <c r="G91" s="142" t="str">
        <f ca="1">IF('IWP22'!ContractNumber = "", "", IF('IWP22'!Std2dot3 = "", "E", 'IWP22'!Std2dot3))</f>
        <v/>
      </c>
      <c r="H91" s="142" t="str">
        <f ca="1">IF('IWP23'!ContractNumber = "", "", IF('IWP23'!Std2dot3 = "", "E", 'IWP23'!Std2dot3))</f>
        <v/>
      </c>
      <c r="I91" s="142" t="str">
        <f ca="1">IF('IWP24'!ContractNumber = "", "", IF('IWP24'!Std2dot3 = "", "E", 'IWP24'!Std2dot3))</f>
        <v/>
      </c>
      <c r="J91" s="142" t="str">
        <f ca="1">IF('IWP25'!ContractNumber = "", "", IF('IWP25'!Std2dot3 = "", "E", 'IWP25'!Std2dot3))</f>
        <v/>
      </c>
    </row>
    <row r="92" spans="1:12" ht="17.25" customHeight="1" thickTop="1" thickBot="1">
      <c r="A92" s="396"/>
      <c r="B92" s="397"/>
      <c r="C92" s="397"/>
      <c r="D92" s="397"/>
      <c r="E92" s="398"/>
      <c r="F92" s="81">
        <v>26</v>
      </c>
      <c r="G92" s="81">
        <v>27</v>
      </c>
      <c r="H92" s="81">
        <v>28</v>
      </c>
      <c r="I92" s="81">
        <v>29</v>
      </c>
      <c r="J92" s="81">
        <v>30</v>
      </c>
    </row>
    <row r="93" spans="1:12" ht="17.25" customHeight="1" thickTop="1" thickBot="1">
      <c r="A93" s="407"/>
      <c r="B93" s="408"/>
      <c r="C93" s="408"/>
      <c r="D93" s="408"/>
      <c r="E93" s="409"/>
      <c r="F93" s="142" t="str">
        <f ca="1">IF('IWP26'!ContractNumber = "", "", IF('IWP26'!Std2dot3 = "", "E", 'IWP26'!Std2dot3))</f>
        <v/>
      </c>
      <c r="G93" s="142" t="str">
        <f ca="1">IF('IWP27'!ContractNumber = "", "", IF('IWP27'!Std2dot3 = "", "E", 'IWP27'!Std2dot3))</f>
        <v/>
      </c>
      <c r="H93" s="142" t="str">
        <f ca="1">IF('IWP28'!ContractNumber = "", "", IF('IWP28'!Std2dot3 = "", "E", 'IWP28'!Std2dot3))</f>
        <v/>
      </c>
      <c r="I93" s="142" t="str">
        <f ca="1">IF('IWP29'!ContractNumber = "", "", IF('IWP29'!Std2dot3 = "", "E", 'IWP29'!Std2dot3))</f>
        <v/>
      </c>
      <c r="J93" s="142" t="str">
        <f ca="1">IF('IWP30'!ContractNumber = "", "", IF('IWP30'!Std2dot3 = "", "E", 'IWP30'!Std2dot3))</f>
        <v/>
      </c>
    </row>
    <row r="94" spans="1:12" ht="17.25" customHeight="1" thickTop="1" thickBot="1">
      <c r="A94" s="380" t="s">
        <v>16</v>
      </c>
      <c r="B94" s="382"/>
      <c r="C94" s="382"/>
      <c r="D94" s="382"/>
      <c r="E94" s="382"/>
      <c r="F94" s="383"/>
      <c r="G94" s="386" t="s">
        <v>19</v>
      </c>
      <c r="H94" s="387"/>
      <c r="I94" s="386" t="s">
        <v>20</v>
      </c>
      <c r="J94" s="387"/>
    </row>
    <row r="95" spans="1:12" ht="16.5" thickTop="1" thickBot="1">
      <c r="A95" s="496"/>
      <c r="B95" s="384"/>
      <c r="C95" s="384"/>
      <c r="D95" s="384"/>
      <c r="E95" s="384"/>
      <c r="F95" s="385"/>
      <c r="G95" s="388">
        <f ca="1">COUNTIF(F83:J93, "Y")</f>
        <v>0</v>
      </c>
      <c r="H95" s="389"/>
      <c r="I95" s="388">
        <f ca="1">COUNTIF(F83:J93, "N")</f>
        <v>0</v>
      </c>
      <c r="J95" s="389"/>
    </row>
    <row r="96" spans="1:12" ht="17.25" customHeight="1" thickTop="1" thickBot="1">
      <c r="A96" s="464" t="s">
        <v>55</v>
      </c>
      <c r="B96" s="465"/>
      <c r="C96" s="465"/>
      <c r="D96" s="465"/>
      <c r="E96" s="466"/>
      <c r="F96" s="81">
        <v>1</v>
      </c>
      <c r="G96" s="81">
        <v>2</v>
      </c>
      <c r="H96" s="81">
        <v>3</v>
      </c>
      <c r="I96" s="81">
        <v>4</v>
      </c>
      <c r="J96" s="81">
        <v>5</v>
      </c>
      <c r="L96" s="36"/>
    </row>
    <row r="97" spans="1:10" ht="17.25" customHeight="1" thickTop="1" thickBot="1">
      <c r="A97" s="493"/>
      <c r="B97" s="494"/>
      <c r="C97" s="494"/>
      <c r="D97" s="494"/>
      <c r="E97" s="495"/>
      <c r="F97" s="142" t="str">
        <f ca="1">IF('IWP01'!ContractNumber = "", "", IF('IWP01'!Std2dot4 = "", "E", 'IWP01'!Std2dot4))</f>
        <v/>
      </c>
      <c r="G97" s="142" t="str">
        <f ca="1">IF('IWP02'!ContractNumber = "", "", IF('IWP02'!Std2dot4 = "", "E", 'IWP02'!Std2dot4))</f>
        <v/>
      </c>
      <c r="H97" s="142" t="str">
        <f ca="1">IF('IWP03'!ContractNumber = "", "", IF('IWP03'!Std2dot4 = "", "E", 'IWP03'!Std2dot4))</f>
        <v/>
      </c>
      <c r="I97" s="142" t="str">
        <f ca="1">IF('IWP04'!ContractNumber = "", "", IF('IWP04'!Std2dot4 = "", "E", 'IWP04'!Std2dot4))</f>
        <v/>
      </c>
      <c r="J97" s="142" t="str">
        <f ca="1">IF('IWP05'!ContractNumber = "", "", IF('IWP05'!Std2dot4 = "", "E", 'IWP05'!Std2dot4))</f>
        <v/>
      </c>
    </row>
    <row r="98" spans="1:10" ht="16.5" customHeight="1" thickTop="1" thickBot="1">
      <c r="A98" s="396" t="s">
        <v>713</v>
      </c>
      <c r="B98" s="397"/>
      <c r="C98" s="397"/>
      <c r="D98" s="397"/>
      <c r="E98" s="398"/>
      <c r="F98" s="81">
        <v>6</v>
      </c>
      <c r="G98" s="81">
        <v>7</v>
      </c>
      <c r="H98" s="81">
        <v>8</v>
      </c>
      <c r="I98" s="81">
        <v>9</v>
      </c>
      <c r="J98" s="81">
        <v>10</v>
      </c>
    </row>
    <row r="99" spans="1:10" ht="16.5" thickTop="1" thickBot="1">
      <c r="A99" s="396"/>
      <c r="B99" s="397"/>
      <c r="C99" s="397"/>
      <c r="D99" s="397"/>
      <c r="E99" s="398"/>
      <c r="F99" s="142" t="str">
        <f ca="1">IF('IWP06'!ContractNumber = "", "", IF('IWP06'!Std2dot4 = "", "E", 'IWP06'!Std2dot4))</f>
        <v/>
      </c>
      <c r="G99" s="142" t="str">
        <f ca="1">IF('IWP07'!ContractNumber = "", "", IF('IWP07'!Std2dot4 = "", "E", 'IWP07'!Std2dot4))</f>
        <v/>
      </c>
      <c r="H99" s="142" t="str">
        <f ca="1">IF('IWP08'!ContractNumber = "", "", IF('IWP08'!Std2dot4 = "", "E", 'IWP08'!Std2dot4))</f>
        <v/>
      </c>
      <c r="I99" s="142" t="str">
        <f ca="1">IF('IWP09'!ContractNumber = "", "", IF('IWP09'!Std2dot4 = "", "E", 'IWP09'!Std2dot4))</f>
        <v/>
      </c>
      <c r="J99" s="142" t="str">
        <f ca="1">IF('IWP10'!ContractNumber = "", "", IF('IWP10'!Std2dot4 = "", "E", 'IWP10'!Std2dot4))</f>
        <v/>
      </c>
    </row>
    <row r="100" spans="1:10" ht="16.5" thickTop="1" thickBot="1">
      <c r="A100" s="396"/>
      <c r="B100" s="397"/>
      <c r="C100" s="397"/>
      <c r="D100" s="397"/>
      <c r="E100" s="398"/>
      <c r="F100" s="81">
        <v>11</v>
      </c>
      <c r="G100" s="81">
        <v>12</v>
      </c>
      <c r="H100" s="81">
        <v>13</v>
      </c>
      <c r="I100" s="81">
        <v>14</v>
      </c>
      <c r="J100" s="81">
        <v>15</v>
      </c>
    </row>
    <row r="101" spans="1:10" ht="16.5" thickTop="1" thickBot="1">
      <c r="A101" s="396"/>
      <c r="B101" s="397"/>
      <c r="C101" s="397"/>
      <c r="D101" s="397"/>
      <c r="E101" s="398"/>
      <c r="F101" s="142" t="str">
        <f ca="1">IF('IWP11'!ContractNumber = "", "", IF('IWP11'!Std2dot4 = "", "E", 'IWP11'!Std2dot4))</f>
        <v/>
      </c>
      <c r="G101" s="142" t="str">
        <f ca="1">IF('IWP12'!ContractNumber = "", "", IF('IWP12'!Std2dot4 = "", "E", 'IWP12'!Std2dot4))</f>
        <v/>
      </c>
      <c r="H101" s="142" t="str">
        <f ca="1">IF('IWP13'!ContractNumber = "", "", IF('IWP13'!Std2dot4 = "", "E", 'IWP13'!Std2dot4))</f>
        <v/>
      </c>
      <c r="I101" s="142" t="str">
        <f ca="1">IF('IWP14'!ContractNumber = "", "", IF('IWP14'!Std2dot4 = "", "E", 'IWP14'!Std2dot4))</f>
        <v/>
      </c>
      <c r="J101" s="142" t="str">
        <f ca="1">IF('IWP15'!ContractNumber = "", "", IF('IWP15'!Std2dot4 = "", "E", 'IWP15'!Std2dot4))</f>
        <v/>
      </c>
    </row>
    <row r="102" spans="1:10" ht="16.5" thickTop="1" thickBot="1">
      <c r="A102" s="396"/>
      <c r="B102" s="397"/>
      <c r="C102" s="397"/>
      <c r="D102" s="397"/>
      <c r="E102" s="398"/>
      <c r="F102" s="81">
        <v>16</v>
      </c>
      <c r="G102" s="81">
        <v>17</v>
      </c>
      <c r="H102" s="81">
        <v>18</v>
      </c>
      <c r="I102" s="81">
        <v>19</v>
      </c>
      <c r="J102" s="81">
        <v>20</v>
      </c>
    </row>
    <row r="103" spans="1:10" ht="16.5" customHeight="1" thickTop="1" thickBot="1">
      <c r="A103" s="396"/>
      <c r="B103" s="397"/>
      <c r="C103" s="397"/>
      <c r="D103" s="397"/>
      <c r="E103" s="398"/>
      <c r="F103" s="142" t="str">
        <f ca="1">IF('IWP16'!ContractNumber = "", "", IF('IWP16'!Std2dot4 = "", "E", 'IWP16'!Std2dot4))</f>
        <v/>
      </c>
      <c r="G103" s="142" t="str">
        <f ca="1">IF('IWP17'!ContractNumber = "", "", IF('IWP17'!Std2dot4 = "", "E", 'IWP17'!Std2dot4))</f>
        <v/>
      </c>
      <c r="H103" s="142" t="str">
        <f ca="1">IF('IWP18'!ContractNumber = "", "", IF('IWP18'!Std2dot4 = "", "E", 'IWP18'!Std2dot4))</f>
        <v/>
      </c>
      <c r="I103" s="142" t="str">
        <f ca="1">IF('IWP19'!ContractNumber = "", "", IF('IWP19'!Std2dot4 = "", "E", 'IWP19'!Std2dot4))</f>
        <v/>
      </c>
      <c r="J103" s="142" t="str">
        <f ca="1">IF('IWP20'!ContractNumber = "", "", IF('IWP20'!Std2dot4 = "", "E", 'IWP20'!Std2dot4))</f>
        <v/>
      </c>
    </row>
    <row r="104" spans="1:10" ht="16.5" thickTop="1" thickBot="1">
      <c r="A104" s="396"/>
      <c r="B104" s="397"/>
      <c r="C104" s="397"/>
      <c r="D104" s="397"/>
      <c r="E104" s="398"/>
      <c r="F104" s="81">
        <v>21</v>
      </c>
      <c r="G104" s="81">
        <v>22</v>
      </c>
      <c r="H104" s="81">
        <v>23</v>
      </c>
      <c r="I104" s="81">
        <v>24</v>
      </c>
      <c r="J104" s="81">
        <v>25</v>
      </c>
    </row>
    <row r="105" spans="1:10" ht="16.5" thickTop="1" thickBot="1">
      <c r="A105" s="396"/>
      <c r="B105" s="397"/>
      <c r="C105" s="397"/>
      <c r="D105" s="397"/>
      <c r="E105" s="398"/>
      <c r="F105" s="142" t="str">
        <f ca="1">IF('IWP21'!ContractNumber = "", "", IF('IWP21'!Std2dot4 = "", "E", 'IWP21'!Std2dot4))</f>
        <v/>
      </c>
      <c r="G105" s="142" t="str">
        <f ca="1">IF('IWP22'!ContractNumber = "", "", IF('IWP22'!Std2dot4 = "", "E", 'IWP22'!Std2dot4))</f>
        <v/>
      </c>
      <c r="H105" s="142" t="str">
        <f ca="1">IF('IWP23'!ContractNumber = "", "", IF('IWP23'!Std2dot4 = "", "E", 'IWP23'!Std2dot4))</f>
        <v/>
      </c>
      <c r="I105" s="142" t="str">
        <f ca="1">IF('IWP24'!ContractNumber = "", "", IF('IWP24'!Std2dot4 = "", "E", 'IWP24'!Std2dot4))</f>
        <v/>
      </c>
      <c r="J105" s="142" t="str">
        <f ca="1">IF('IWP25'!ContractNumber = "", "", IF('IWP25'!Std2dot4 = "", "E", 'IWP25'!Std2dot4))</f>
        <v/>
      </c>
    </row>
    <row r="106" spans="1:10" ht="16.5" thickTop="1" thickBot="1">
      <c r="A106" s="396"/>
      <c r="B106" s="397"/>
      <c r="C106" s="397"/>
      <c r="D106" s="397"/>
      <c r="E106" s="398"/>
      <c r="F106" s="81">
        <v>26</v>
      </c>
      <c r="G106" s="81">
        <v>27</v>
      </c>
      <c r="H106" s="81">
        <v>28</v>
      </c>
      <c r="I106" s="81">
        <v>29</v>
      </c>
      <c r="J106" s="81">
        <v>30</v>
      </c>
    </row>
    <row r="107" spans="1:10" ht="16.5" thickTop="1" thickBot="1">
      <c r="A107" s="396"/>
      <c r="B107" s="397"/>
      <c r="C107" s="397"/>
      <c r="D107" s="397"/>
      <c r="E107" s="398"/>
      <c r="F107" s="142" t="str">
        <f ca="1">IF('IWP26'!ContractNumber = "", "", IF('IWP26'!Std2dot4 = "", "E", 'IWP26'!Std2dot4))</f>
        <v/>
      </c>
      <c r="G107" s="142" t="str">
        <f ca="1">IF('IWP27'!ContractNumber = "", "", IF('IWP27'!Std2dot4 = "", "E", 'IWP27'!Std2dot4))</f>
        <v/>
      </c>
      <c r="H107" s="142" t="str">
        <f ca="1">IF('IWP28'!ContractNumber = "", "", IF('IWP28'!Std2dot4 = "", "E", 'IWP28'!Std2dot4))</f>
        <v/>
      </c>
      <c r="I107" s="142" t="str">
        <f ca="1">IF('IWP29'!ContractNumber = "", "", IF('IWP29'!Std2dot4 = "", "E", 'IWP29'!Std2dot4))</f>
        <v/>
      </c>
      <c r="J107" s="142" t="str">
        <f ca="1">IF('IWP30'!ContractNumber = "", "", IF('IWP30'!Std2dot4 = "", "E", 'IWP30'!Std2dot4))</f>
        <v/>
      </c>
    </row>
    <row r="108" spans="1:10" ht="16.5" customHeight="1" thickTop="1" thickBot="1">
      <c r="A108" s="380" t="s">
        <v>16</v>
      </c>
      <c r="B108" s="382"/>
      <c r="C108" s="382"/>
      <c r="D108" s="382"/>
      <c r="E108" s="382"/>
      <c r="F108" s="383"/>
      <c r="G108" s="386" t="s">
        <v>19</v>
      </c>
      <c r="H108" s="387"/>
      <c r="I108" s="386" t="s">
        <v>20</v>
      </c>
      <c r="J108" s="387"/>
    </row>
    <row r="109" spans="1:10" ht="16.5" thickTop="1" thickBot="1">
      <c r="A109" s="381"/>
      <c r="B109" s="384"/>
      <c r="C109" s="384"/>
      <c r="D109" s="384"/>
      <c r="E109" s="384"/>
      <c r="F109" s="385"/>
      <c r="G109" s="388">
        <f ca="1">COUNTIF(F97:J107, "Y")</f>
        <v>0</v>
      </c>
      <c r="H109" s="389"/>
      <c r="I109" s="388">
        <f ca="1">COUNTIF(F97:J107, "N")</f>
        <v>0</v>
      </c>
      <c r="J109" s="389"/>
    </row>
    <row r="110" spans="1:10" ht="16.5" customHeight="1" thickTop="1" thickBot="1">
      <c r="A110" s="497" t="s">
        <v>80</v>
      </c>
      <c r="B110" s="498"/>
      <c r="C110" s="498"/>
      <c r="D110" s="498"/>
      <c r="E110" s="498"/>
      <c r="F110" s="499"/>
      <c r="G110" s="386" t="s">
        <v>17</v>
      </c>
      <c r="H110" s="387"/>
      <c r="I110" s="386" t="s">
        <v>18</v>
      </c>
      <c r="J110" s="387"/>
    </row>
    <row r="111" spans="1:10" ht="16.5" customHeight="1" thickTop="1" thickBot="1">
      <c r="A111" s="500"/>
      <c r="B111" s="501"/>
      <c r="C111" s="501"/>
      <c r="D111" s="501"/>
      <c r="E111" s="501"/>
      <c r="F111" s="502"/>
      <c r="G111" s="491">
        <f ca="1">SUM(G109,G95,G81)</f>
        <v>0</v>
      </c>
      <c r="H111" s="492"/>
      <c r="I111" s="491">
        <f ca="1">SUM(I109,I95,I81)</f>
        <v>0</v>
      </c>
      <c r="J111" s="492"/>
    </row>
    <row r="112" spans="1:10" ht="16.5" customHeight="1" thickTop="1">
      <c r="A112" s="503" t="s">
        <v>714</v>
      </c>
      <c r="B112" s="504"/>
      <c r="C112" s="504"/>
      <c r="D112" s="504"/>
      <c r="E112" s="504"/>
      <c r="F112" s="504"/>
      <c r="G112" s="504"/>
      <c r="H112" s="504"/>
      <c r="I112" s="504"/>
      <c r="J112" s="505"/>
    </row>
    <row r="113" spans="1:10" ht="15.75" customHeight="1" thickBot="1">
      <c r="A113" s="506" t="s">
        <v>775</v>
      </c>
      <c r="B113" s="507"/>
      <c r="C113" s="507"/>
      <c r="D113" s="507"/>
      <c r="E113" s="507"/>
      <c r="F113" s="507"/>
      <c r="G113" s="507"/>
      <c r="H113" s="507"/>
      <c r="I113" s="507"/>
      <c r="J113" s="508"/>
    </row>
    <row r="114" spans="1:10" ht="16.5" customHeight="1" thickTop="1" thickBot="1">
      <c r="A114" s="464" t="s">
        <v>715</v>
      </c>
      <c r="B114" s="465"/>
      <c r="C114" s="465"/>
      <c r="D114" s="465"/>
      <c r="E114" s="466"/>
      <c r="F114" s="81">
        <v>1</v>
      </c>
      <c r="G114" s="81">
        <v>2</v>
      </c>
      <c r="H114" s="81">
        <v>3</v>
      </c>
      <c r="I114" s="81">
        <v>4</v>
      </c>
      <c r="J114" s="81">
        <v>5</v>
      </c>
    </row>
    <row r="115" spans="1:10" ht="16.5" thickTop="1" thickBot="1">
      <c r="A115" s="493"/>
      <c r="B115" s="494"/>
      <c r="C115" s="494"/>
      <c r="D115" s="494"/>
      <c r="E115" s="495"/>
      <c r="F115" s="142" t="str">
        <f ca="1">IF('IWP01'!ContractNumber = "", "", IF('IWP01'!Std3dot1 = "", "E", 'IWP01'!Std3dot1))</f>
        <v/>
      </c>
      <c r="G115" s="142" t="str">
        <f ca="1">IF('IWP02'!ContractNumber = "", "", IF('IWP02'!Std3dot1 = "", "E", 'IWP02'!Std3dot1))</f>
        <v/>
      </c>
      <c r="H115" s="142" t="str">
        <f ca="1">IF('IWP03'!ContractNumber = "", "", IF('IWP03'!Std3dot1 = "", "E", 'IWP03'!Std3dot1))</f>
        <v/>
      </c>
      <c r="I115" s="142" t="str">
        <f ca="1">IF('IWP04'!ContractNumber = "", "", IF('IWP04'!Std3dot1 = "", "E", 'IWP04'!Std3dot1))</f>
        <v/>
      </c>
      <c r="J115" s="142" t="str">
        <f ca="1">IF('IWP05'!ContractNumber = "", "", IF('IWP05'!Std3dot1 = "", "E", 'IWP05'!Std3dot1))</f>
        <v/>
      </c>
    </row>
    <row r="116" spans="1:10" ht="16.5" thickTop="1" thickBot="1">
      <c r="A116" s="493"/>
      <c r="B116" s="494"/>
      <c r="C116" s="494"/>
      <c r="D116" s="494"/>
      <c r="E116" s="495"/>
      <c r="F116" s="81">
        <v>6</v>
      </c>
      <c r="G116" s="81">
        <v>7</v>
      </c>
      <c r="H116" s="81">
        <v>8</v>
      </c>
      <c r="I116" s="81">
        <v>9</v>
      </c>
      <c r="J116" s="81">
        <v>10</v>
      </c>
    </row>
    <row r="117" spans="1:10" ht="16.5" customHeight="1" thickTop="1" thickBot="1">
      <c r="A117" s="493"/>
      <c r="B117" s="494"/>
      <c r="C117" s="494"/>
      <c r="D117" s="494"/>
      <c r="E117" s="495"/>
      <c r="F117" s="142" t="str">
        <f ca="1">IF('IWP06'!ContractNumber = "", "", IF('IWP06'!Std3dot1 = "", "E", 'IWP06'!Std3dot1))</f>
        <v/>
      </c>
      <c r="G117" s="142" t="str">
        <f ca="1">IF('IWP07'!ContractNumber = "", "", IF('IWP07'!Std3dot1 = "", "E", 'IWP07'!Std3dot1))</f>
        <v/>
      </c>
      <c r="H117" s="142" t="str">
        <f ca="1">IF('IWP08'!ContractNumber = "", "", IF('IWP08'!Std3dot1 = "", "E", 'IWP08'!Std3dot1))</f>
        <v/>
      </c>
      <c r="I117" s="142" t="str">
        <f ca="1">IF('IWP09'!ContractNumber = "", "", IF('IWP09'!Std3dot1 = "", "E", 'IWP09'!Std3dot1))</f>
        <v/>
      </c>
      <c r="J117" s="142" t="str">
        <f ca="1">IF('IWP10'!ContractNumber = "", "", IF('IWP10'!Std3dot1 = "", "E", 'IWP10'!Std3dot1))</f>
        <v/>
      </c>
    </row>
    <row r="118" spans="1:10" ht="17.25" customHeight="1" thickTop="1" thickBot="1">
      <c r="A118" s="396" t="s">
        <v>81</v>
      </c>
      <c r="B118" s="397"/>
      <c r="C118" s="397"/>
      <c r="D118" s="397"/>
      <c r="E118" s="398"/>
      <c r="F118" s="81">
        <v>11</v>
      </c>
      <c r="G118" s="81">
        <v>12</v>
      </c>
      <c r="H118" s="81">
        <v>13</v>
      </c>
      <c r="I118" s="81">
        <v>14</v>
      </c>
      <c r="J118" s="81">
        <v>15</v>
      </c>
    </row>
    <row r="119" spans="1:10" ht="17.25" customHeight="1" thickTop="1" thickBot="1">
      <c r="A119" s="396"/>
      <c r="B119" s="397"/>
      <c r="C119" s="397"/>
      <c r="D119" s="397"/>
      <c r="E119" s="398"/>
      <c r="F119" s="142" t="str">
        <f ca="1">IF('IWP11'!ContractNumber = "", "", IF('IWP11'!Std3dot1 = "", "E", 'IWP11'!Std3dot1))</f>
        <v/>
      </c>
      <c r="G119" s="142" t="str">
        <f ca="1">IF('IWP12'!ContractNumber = "", "", IF('IWP12'!Std3dot1 = "", "E", 'IWP12'!Std3dot1))</f>
        <v/>
      </c>
      <c r="H119" s="142" t="str">
        <f ca="1">IF('IWP13'!ContractNumber = "", "", IF('IWP13'!Std3dot1 = "", "E", 'IWP13'!Std3dot1))</f>
        <v/>
      </c>
      <c r="I119" s="142" t="str">
        <f ca="1">IF('IWP14'!ContractNumber = "", "", IF('IWP14'!Std3dot1 = "", "E", 'IWP14'!Std3dot1))</f>
        <v/>
      </c>
      <c r="J119" s="142" t="str">
        <f ca="1">IF('IWP15'!ContractNumber = "", "", IF('IWP15'!Std3dot1 = "", "E", 'IWP15'!Std3dot1))</f>
        <v/>
      </c>
    </row>
    <row r="120" spans="1:10" ht="17.25" customHeight="1" thickTop="1" thickBot="1">
      <c r="A120" s="396"/>
      <c r="B120" s="397"/>
      <c r="C120" s="397"/>
      <c r="D120" s="397"/>
      <c r="E120" s="398"/>
      <c r="F120" s="81">
        <v>16</v>
      </c>
      <c r="G120" s="81">
        <v>17</v>
      </c>
      <c r="H120" s="81">
        <v>18</v>
      </c>
      <c r="I120" s="81">
        <v>19</v>
      </c>
      <c r="J120" s="81">
        <v>20</v>
      </c>
    </row>
    <row r="121" spans="1:10" ht="17.25" customHeight="1" thickTop="1" thickBot="1">
      <c r="A121" s="396"/>
      <c r="B121" s="397"/>
      <c r="C121" s="397"/>
      <c r="D121" s="397"/>
      <c r="E121" s="398"/>
      <c r="F121" s="142" t="str">
        <f ca="1">IF('IWP16'!ContractNumber = "", "", IF('IWP16'!Std3dot1 = "", "E", 'IWP16'!Std3dot1))</f>
        <v/>
      </c>
      <c r="G121" s="142" t="str">
        <f ca="1">IF('IWP17'!ContractNumber = "", "", IF('IWP17'!Std3dot1 = "", "E", 'IWP17'!Std3dot1))</f>
        <v/>
      </c>
      <c r="H121" s="142" t="str">
        <f ca="1">IF('IWP18'!ContractNumber = "", "", IF('IWP18'!Std3dot1 = "", "E", 'IWP18'!Std3dot1))</f>
        <v/>
      </c>
      <c r="I121" s="142" t="str">
        <f ca="1">IF('IWP19'!ContractNumber = "", "", IF('IWP19'!Std3dot1 = "", "E", 'IWP19'!Std3dot1))</f>
        <v/>
      </c>
      <c r="J121" s="142" t="str">
        <f ca="1">IF('IWP20'!ContractNumber = "", "", IF('IWP20'!Std3dot1 = "", "E", 'IWP20'!Std3dot1))</f>
        <v/>
      </c>
    </row>
    <row r="122" spans="1:10" ht="17.25" customHeight="1" thickTop="1" thickBot="1">
      <c r="A122" s="396"/>
      <c r="B122" s="397"/>
      <c r="C122" s="397"/>
      <c r="D122" s="397"/>
      <c r="E122" s="398"/>
      <c r="F122" s="81">
        <v>21</v>
      </c>
      <c r="G122" s="81">
        <v>22</v>
      </c>
      <c r="H122" s="81">
        <v>23</v>
      </c>
      <c r="I122" s="81">
        <v>24</v>
      </c>
      <c r="J122" s="81">
        <v>25</v>
      </c>
    </row>
    <row r="123" spans="1:10" ht="17.25" customHeight="1" thickTop="1" thickBot="1">
      <c r="A123" s="396"/>
      <c r="B123" s="397"/>
      <c r="C123" s="397"/>
      <c r="D123" s="397"/>
      <c r="E123" s="398"/>
      <c r="F123" s="142" t="str">
        <f ca="1">IF('IWP21'!ContractNumber = "", "", IF('IWP21'!Std3dot1 = "", "E", 'IWP21'!Std3dot1))</f>
        <v/>
      </c>
      <c r="G123" s="142" t="str">
        <f ca="1">IF('IWP22'!ContractNumber = "", "", IF('IWP22'!Std3dot1 = "", "E", 'IWP22'!Std3dot1))</f>
        <v/>
      </c>
      <c r="H123" s="142" t="str">
        <f ca="1">IF('IWP23'!ContractNumber = "", "", IF('IWP23'!Std3dot1 = "", "E", 'IWP23'!Std3dot1))</f>
        <v/>
      </c>
      <c r="I123" s="142" t="str">
        <f ca="1">IF('IWP24'!ContractNumber = "", "", IF('IWP24'!Std3dot1 = "", "E", 'IWP24'!Std3dot1))</f>
        <v/>
      </c>
      <c r="J123" s="142" t="str">
        <f ca="1">IF('IWP25'!ContractNumber = "", "", IF('IWP25'!Std3dot1 = "", "E", 'IWP25'!Std3dot1))</f>
        <v/>
      </c>
    </row>
    <row r="124" spans="1:10" ht="17.25" customHeight="1" thickTop="1" thickBot="1">
      <c r="A124" s="396"/>
      <c r="B124" s="397"/>
      <c r="C124" s="397"/>
      <c r="D124" s="397"/>
      <c r="E124" s="398"/>
      <c r="F124" s="81">
        <v>26</v>
      </c>
      <c r="G124" s="81">
        <v>27</v>
      </c>
      <c r="H124" s="81">
        <v>28</v>
      </c>
      <c r="I124" s="81">
        <v>29</v>
      </c>
      <c r="J124" s="81">
        <v>30</v>
      </c>
    </row>
    <row r="125" spans="1:10" ht="17.25" customHeight="1" thickTop="1" thickBot="1">
      <c r="A125" s="407"/>
      <c r="B125" s="408"/>
      <c r="C125" s="408"/>
      <c r="D125" s="408"/>
      <c r="E125" s="409"/>
      <c r="F125" s="142" t="str">
        <f ca="1">IF('IWP26'!ContractNumber = "", "", IF('IWP26'!Std3dot1 = "", "E", 'IWP26'!Std3dot1))</f>
        <v/>
      </c>
      <c r="G125" s="142" t="str">
        <f ca="1">IF('IWP27'!ContractNumber = "", "", IF('IWP27'!Std3dot1 = "", "E", 'IWP27'!Std3dot1))</f>
        <v/>
      </c>
      <c r="H125" s="142" t="str">
        <f ca="1">IF('IWP28'!ContractNumber = "", "", IF('IWP28'!Std3dot1 = "", "E", 'IWP28'!Std3dot1))</f>
        <v/>
      </c>
      <c r="I125" s="142" t="str">
        <f ca="1">IF('IWP29'!ContractNumber = "", "", IF('IWP29'!Std3dot1 = "", "E", 'IWP29'!Std3dot1))</f>
        <v/>
      </c>
      <c r="J125" s="142" t="str">
        <f ca="1">IF('IWP30'!ContractNumber = "", "", IF('IWP30'!Std3dot1 = "", "E", 'IWP30'!Std3dot1))</f>
        <v/>
      </c>
    </row>
    <row r="126" spans="1:10" ht="16.5" customHeight="1" thickTop="1" thickBot="1">
      <c r="A126" s="509" t="s">
        <v>21</v>
      </c>
      <c r="B126" s="382"/>
      <c r="C126" s="382"/>
      <c r="D126" s="382"/>
      <c r="E126" s="382"/>
      <c r="F126" s="383"/>
      <c r="G126" s="386" t="s">
        <v>17</v>
      </c>
      <c r="H126" s="387"/>
      <c r="I126" s="386" t="s">
        <v>18</v>
      </c>
      <c r="J126" s="387"/>
    </row>
    <row r="127" spans="1:10" ht="17.25" customHeight="1" thickTop="1" thickBot="1">
      <c r="A127" s="510"/>
      <c r="B127" s="533"/>
      <c r="C127" s="533"/>
      <c r="D127" s="533"/>
      <c r="E127" s="533"/>
      <c r="F127" s="534"/>
      <c r="G127" s="388">
        <f ca="1">COUNTIF(F115:J125, "Y")</f>
        <v>0</v>
      </c>
      <c r="H127" s="389"/>
      <c r="I127" s="388">
        <f ca="1">COUNTIF(F115:J125, "N")</f>
        <v>0</v>
      </c>
      <c r="J127" s="389"/>
    </row>
    <row r="128" spans="1:10" s="147" customFormat="1" ht="16.5" customHeight="1" thickTop="1" thickBot="1">
      <c r="A128" s="464" t="s">
        <v>780</v>
      </c>
      <c r="B128" s="465"/>
      <c r="C128" s="465"/>
      <c r="D128" s="465"/>
      <c r="E128" s="466"/>
      <c r="F128" s="81">
        <v>1</v>
      </c>
      <c r="G128" s="81">
        <v>2</v>
      </c>
      <c r="H128" s="81">
        <v>3</v>
      </c>
      <c r="I128" s="81">
        <v>4</v>
      </c>
      <c r="J128" s="81">
        <v>5</v>
      </c>
    </row>
    <row r="129" spans="1:10" s="147" customFormat="1" ht="16.5" thickTop="1" thickBot="1">
      <c r="A129" s="493"/>
      <c r="B129" s="494"/>
      <c r="C129" s="494"/>
      <c r="D129" s="494"/>
      <c r="E129" s="495"/>
      <c r="F129" s="142" t="str">
        <f ca="1">IF('IWP01'!ContractNumber = "", "", IF('IWP01'!Std3dot2 = "", "E", 'IWP01'!Std3dot2))</f>
        <v/>
      </c>
      <c r="G129" s="142" t="str">
        <f ca="1">IF('IWP02'!ContractNumber = "", "", IF('IWP02'!Std3dot2 = "", "E", 'IWP02'!Std3dot2))</f>
        <v/>
      </c>
      <c r="H129" s="142" t="str">
        <f ca="1">IF('IWP03'!ContractNumber = "", "", IF('IWP03'!Std3dot2 = "", "E", 'IWP03'!Std3dot2))</f>
        <v/>
      </c>
      <c r="I129" s="142" t="str">
        <f ca="1">IF('IWP04'!ContractNumber = "", "", IF('IWP04'!Std3dot2 = "", "E", 'IWP04'!Std3dot2))</f>
        <v/>
      </c>
      <c r="J129" s="142" t="str">
        <f ca="1">IF('IWP05'!ContractNumber = "", "", IF('IWP05'!Std3dot2 = "", "E", 'IWP05'!Std3dot2))</f>
        <v/>
      </c>
    </row>
    <row r="130" spans="1:10" s="147" customFormat="1" ht="16.5" thickTop="1" thickBot="1">
      <c r="A130" s="493"/>
      <c r="B130" s="494"/>
      <c r="C130" s="494"/>
      <c r="D130" s="494"/>
      <c r="E130" s="495"/>
      <c r="F130" s="81">
        <v>6</v>
      </c>
      <c r="G130" s="81">
        <v>7</v>
      </c>
      <c r="H130" s="81">
        <v>8</v>
      </c>
      <c r="I130" s="81">
        <v>9</v>
      </c>
      <c r="J130" s="81">
        <v>10</v>
      </c>
    </row>
    <row r="131" spans="1:10" s="147" customFormat="1" ht="16.5" customHeight="1" thickTop="1" thickBot="1">
      <c r="A131" s="493"/>
      <c r="B131" s="494"/>
      <c r="C131" s="494"/>
      <c r="D131" s="494"/>
      <c r="E131" s="495"/>
      <c r="F131" s="142" t="str">
        <f ca="1">IF('IWP06'!ContractNumber = "", "", IF('IWP06'!Std3dot2 = "", "E", 'IWP06'!Std3dot2))</f>
        <v/>
      </c>
      <c r="G131" s="142" t="str">
        <f ca="1">IF('IWP07'!ContractNumber = "", "", IF('IWP07'!Std3dot2 = "", "E", 'IWP07'!Std3dot2))</f>
        <v/>
      </c>
      <c r="H131" s="142" t="str">
        <f ca="1">IF('IWP08'!ContractNumber = "", "", IF('IWP08'!Std3dot2 = "", "E", 'IWP08'!Std3dot2))</f>
        <v/>
      </c>
      <c r="I131" s="142" t="str">
        <f ca="1">IF('IWP09'!ContractNumber = "", "", IF('IWP09'!Std3dot2 = "", "E", 'IWP09'!Std3dot2))</f>
        <v/>
      </c>
      <c r="J131" s="142" t="str">
        <f ca="1">IF('IWP10'!ContractNumber = "", "", IF('IWP10'!Std3dot2 = "", "E", 'IWP10'!Std3dot2))</f>
        <v/>
      </c>
    </row>
    <row r="132" spans="1:10" s="147" customFormat="1" ht="17.25" customHeight="1" thickTop="1" thickBot="1">
      <c r="A132" s="396" t="s">
        <v>823</v>
      </c>
      <c r="B132" s="397"/>
      <c r="C132" s="397"/>
      <c r="D132" s="397"/>
      <c r="E132" s="398"/>
      <c r="F132" s="81">
        <v>11</v>
      </c>
      <c r="G132" s="81">
        <v>12</v>
      </c>
      <c r="H132" s="81">
        <v>13</v>
      </c>
      <c r="I132" s="81">
        <v>14</v>
      </c>
      <c r="J132" s="81">
        <v>15</v>
      </c>
    </row>
    <row r="133" spans="1:10" s="147" customFormat="1" ht="17.25" customHeight="1" thickTop="1" thickBot="1">
      <c r="A133" s="396"/>
      <c r="B133" s="397"/>
      <c r="C133" s="397"/>
      <c r="D133" s="397"/>
      <c r="E133" s="398"/>
      <c r="F133" s="142" t="str">
        <f ca="1">IF('IWP11'!ContractNumber = "", "", IF('IWP11'!Std3dot2 = "", "E", 'IWP11'!Std3dot2))</f>
        <v/>
      </c>
      <c r="G133" s="142" t="str">
        <f ca="1">IF('IWP12'!ContractNumber = "", "", IF('IWP12'!Std3dot2 = "", "E", 'IWP12'!Std3dot2))</f>
        <v/>
      </c>
      <c r="H133" s="142" t="str">
        <f ca="1">IF('IWP13'!ContractNumber = "", "", IF('IWP13'!Std3dot2 = "", "E", 'IWP13'!Std3dot2))</f>
        <v/>
      </c>
      <c r="I133" s="142" t="str">
        <f ca="1">IF('IWP14'!ContractNumber = "", "", IF('IWP14'!Std3dot2 = "", "E", 'IWP14'!Std3dot2))</f>
        <v/>
      </c>
      <c r="J133" s="142" t="str">
        <f ca="1">IF('IWP15'!ContractNumber = "", "", IF('IWP15'!Std3dot2 = "", "E", 'IWP15'!Std3dot2))</f>
        <v/>
      </c>
    </row>
    <row r="134" spans="1:10" s="147" customFormat="1" ht="17.25" customHeight="1" thickTop="1" thickBot="1">
      <c r="A134" s="396"/>
      <c r="B134" s="397"/>
      <c r="C134" s="397"/>
      <c r="D134" s="397"/>
      <c r="E134" s="398"/>
      <c r="F134" s="81">
        <v>16</v>
      </c>
      <c r="G134" s="81">
        <v>17</v>
      </c>
      <c r="H134" s="81">
        <v>18</v>
      </c>
      <c r="I134" s="81">
        <v>19</v>
      </c>
      <c r="J134" s="81">
        <v>20</v>
      </c>
    </row>
    <row r="135" spans="1:10" s="147" customFormat="1" ht="17.25" customHeight="1" thickTop="1" thickBot="1">
      <c r="A135" s="396"/>
      <c r="B135" s="397"/>
      <c r="C135" s="397"/>
      <c r="D135" s="397"/>
      <c r="E135" s="398"/>
      <c r="F135" s="142" t="str">
        <f ca="1">IF('IWP16'!ContractNumber = "", "", IF('IWP16'!Std3dot2 = "", "E", 'IWP16'!Std3dot2))</f>
        <v/>
      </c>
      <c r="G135" s="142" t="str">
        <f ca="1">IF('IWP17'!ContractNumber = "", "", IF('IWP17'!Std3dot2 = "", "E", 'IWP17'!Std3dot2))</f>
        <v/>
      </c>
      <c r="H135" s="142" t="str">
        <f ca="1">IF('IWP18'!ContractNumber = "", "", IF('IWP18'!Std3dot2 = "", "E", 'IWP18'!Std3dot2))</f>
        <v/>
      </c>
      <c r="I135" s="142" t="str">
        <f ca="1">IF('IWP19'!ContractNumber = "", "", IF('IWP19'!Std3dot2 = "", "E", 'IWP19'!Std3dot2))</f>
        <v/>
      </c>
      <c r="J135" s="142" t="str">
        <f ca="1">IF('IWP20'!ContractNumber = "", "", IF('IWP20'!Std3dot2 = "", "E", 'IWP20'!Std3dot2))</f>
        <v/>
      </c>
    </row>
    <row r="136" spans="1:10" s="147" customFormat="1" ht="17.25" customHeight="1" thickTop="1" thickBot="1">
      <c r="A136" s="396"/>
      <c r="B136" s="397"/>
      <c r="C136" s="397"/>
      <c r="D136" s="397"/>
      <c r="E136" s="398"/>
      <c r="F136" s="81">
        <v>21</v>
      </c>
      <c r="G136" s="81">
        <v>22</v>
      </c>
      <c r="H136" s="81">
        <v>23</v>
      </c>
      <c r="I136" s="81">
        <v>24</v>
      </c>
      <c r="J136" s="81">
        <v>25</v>
      </c>
    </row>
    <row r="137" spans="1:10" s="147" customFormat="1" ht="17.25" customHeight="1" thickTop="1" thickBot="1">
      <c r="A137" s="396"/>
      <c r="B137" s="397"/>
      <c r="C137" s="397"/>
      <c r="D137" s="397"/>
      <c r="E137" s="398"/>
      <c r="F137" s="142" t="str">
        <f ca="1">IF('IWP21'!ContractNumber = "", "", IF('IWP21'!Std3dot2 = "", "E", 'IWP21'!Std3dot2))</f>
        <v/>
      </c>
      <c r="G137" s="142" t="str">
        <f ca="1">IF('IWP22'!ContractNumber = "", "", IF('IWP22'!Std3dot2 = "", "E", 'IWP22'!Std3dot2))</f>
        <v/>
      </c>
      <c r="H137" s="142" t="str">
        <f ca="1">IF('IWP23'!ContractNumber = "", "", IF('IWP23'!Std3dot2 = "", "E", 'IWP23'!Std3dot2))</f>
        <v/>
      </c>
      <c r="I137" s="142" t="str">
        <f ca="1">IF('IWP24'!ContractNumber = "", "", IF('IWP24'!Std3dot2 = "", "E", 'IWP24'!Std3dot2))</f>
        <v/>
      </c>
      <c r="J137" s="142" t="str">
        <f ca="1">IF('IWP25'!ContractNumber = "", "", IF('IWP25'!Std3dot2 = "", "E", 'IWP25'!Std3dot2))</f>
        <v/>
      </c>
    </row>
    <row r="138" spans="1:10" s="147" customFormat="1" ht="17.25" customHeight="1" thickTop="1" thickBot="1">
      <c r="A138" s="396"/>
      <c r="B138" s="397"/>
      <c r="C138" s="397"/>
      <c r="D138" s="397"/>
      <c r="E138" s="398"/>
      <c r="F138" s="81">
        <v>26</v>
      </c>
      <c r="G138" s="81">
        <v>27</v>
      </c>
      <c r="H138" s="81">
        <v>28</v>
      </c>
      <c r="I138" s="81">
        <v>29</v>
      </c>
      <c r="J138" s="81">
        <v>30</v>
      </c>
    </row>
    <row r="139" spans="1:10" s="147" customFormat="1" ht="17.25" customHeight="1" thickTop="1" thickBot="1">
      <c r="A139" s="407"/>
      <c r="B139" s="408"/>
      <c r="C139" s="408"/>
      <c r="D139" s="408"/>
      <c r="E139" s="409"/>
      <c r="F139" s="142" t="str">
        <f ca="1">IF('IWP26'!ContractNumber = "", "", IF('IWP26'!Std3dot2 = "", "E", 'IWP26'!Std3dot2))</f>
        <v/>
      </c>
      <c r="G139" s="142" t="str">
        <f ca="1">IF('IWP27'!ContractNumber = "", "", IF('IWP27'!Std3dot2 = "", "E", 'IWP27'!Std3dot2))</f>
        <v/>
      </c>
      <c r="H139" s="142" t="str">
        <f ca="1">IF('IWP28'!ContractNumber = "", "", IF('IWP28'!Std3dot2 = "", "E", 'IWP28'!Std3dot2))</f>
        <v/>
      </c>
      <c r="I139" s="142" t="str">
        <f ca="1">IF('IWP29'!ContractNumber = "", "", IF('IWP29'!Std3dot2 = "", "E", 'IWP29'!Std3dot2))</f>
        <v/>
      </c>
      <c r="J139" s="142" t="str">
        <f ca="1">IF('IWP30'!ContractNumber = "", "", IF('IWP30'!Std3dot2 = "", "E", 'IWP30'!Std3dot2))</f>
        <v/>
      </c>
    </row>
    <row r="140" spans="1:10" s="147" customFormat="1" ht="16.5" customHeight="1" thickTop="1" thickBot="1">
      <c r="A140" s="509" t="s">
        <v>21</v>
      </c>
      <c r="B140" s="382"/>
      <c r="C140" s="382"/>
      <c r="D140" s="382"/>
      <c r="E140" s="382"/>
      <c r="F140" s="383"/>
      <c r="G140" s="386" t="s">
        <v>17</v>
      </c>
      <c r="H140" s="387"/>
      <c r="I140" s="386" t="s">
        <v>18</v>
      </c>
      <c r="J140" s="387"/>
    </row>
    <row r="141" spans="1:10" s="147" customFormat="1" ht="17.25" customHeight="1" thickTop="1" thickBot="1">
      <c r="A141" s="510"/>
      <c r="B141" s="533"/>
      <c r="C141" s="533"/>
      <c r="D141" s="533"/>
      <c r="E141" s="533"/>
      <c r="F141" s="534"/>
      <c r="G141" s="388">
        <f ca="1">COUNTIF(F129:J139, "Y")</f>
        <v>0</v>
      </c>
      <c r="H141" s="389"/>
      <c r="I141" s="388">
        <f ca="1">COUNTIF(F129:J139, "N")</f>
        <v>0</v>
      </c>
      <c r="J141" s="389"/>
    </row>
    <row r="142" spans="1:10" s="147" customFormat="1" ht="17.25" customHeight="1" thickTop="1" thickBot="1">
      <c r="A142" s="497" t="s">
        <v>82</v>
      </c>
      <c r="B142" s="498"/>
      <c r="C142" s="498"/>
      <c r="D142" s="498"/>
      <c r="E142" s="498"/>
      <c r="F142" s="499"/>
      <c r="G142" s="388" t="s">
        <v>17</v>
      </c>
      <c r="H142" s="389"/>
      <c r="I142" s="388" t="s">
        <v>18</v>
      </c>
      <c r="J142" s="389"/>
    </row>
    <row r="143" spans="1:10" s="147" customFormat="1" ht="17.25" customHeight="1" thickTop="1" thickBot="1">
      <c r="A143" s="511"/>
      <c r="B143" s="512"/>
      <c r="C143" s="512"/>
      <c r="D143" s="512"/>
      <c r="E143" s="512"/>
      <c r="F143" s="513"/>
      <c r="G143" s="388">
        <f ca="1">G127+G141</f>
        <v>0</v>
      </c>
      <c r="H143" s="389"/>
      <c r="I143" s="388">
        <f ca="1">I127+I141</f>
        <v>0</v>
      </c>
      <c r="J143" s="389"/>
    </row>
    <row r="144" spans="1:10" ht="16.5" customHeight="1" thickTop="1">
      <c r="A144" s="503" t="s">
        <v>56</v>
      </c>
      <c r="B144" s="504"/>
      <c r="C144" s="504"/>
      <c r="D144" s="504"/>
      <c r="E144" s="504"/>
      <c r="F144" s="504"/>
      <c r="G144" s="504"/>
      <c r="H144" s="504"/>
      <c r="I144" s="504"/>
      <c r="J144" s="505"/>
    </row>
    <row r="145" spans="1:10" ht="15.75" customHeight="1" thickBot="1">
      <c r="A145" s="506" t="s">
        <v>776</v>
      </c>
      <c r="B145" s="507"/>
      <c r="C145" s="507"/>
      <c r="D145" s="507"/>
      <c r="E145" s="507"/>
      <c r="F145" s="507"/>
      <c r="G145" s="507"/>
      <c r="H145" s="507"/>
      <c r="I145" s="507"/>
      <c r="J145" s="508"/>
    </row>
    <row r="146" spans="1:10" ht="16.5" customHeight="1" thickTop="1" thickBot="1">
      <c r="A146" s="464" t="s">
        <v>824</v>
      </c>
      <c r="B146" s="465"/>
      <c r="C146" s="465"/>
      <c r="D146" s="465"/>
      <c r="E146" s="466"/>
      <c r="F146" s="81">
        <v>1</v>
      </c>
      <c r="G146" s="81">
        <v>2</v>
      </c>
      <c r="H146" s="81">
        <v>3</v>
      </c>
      <c r="I146" s="81">
        <v>4</v>
      </c>
      <c r="J146" s="81">
        <v>5</v>
      </c>
    </row>
    <row r="147" spans="1:10" ht="16.5" customHeight="1" thickTop="1" thickBot="1">
      <c r="A147" s="493"/>
      <c r="B147" s="494"/>
      <c r="C147" s="494"/>
      <c r="D147" s="494"/>
      <c r="E147" s="495"/>
      <c r="F147" s="142" t="str">
        <f ca="1">IF('IWP01'!ContractNumber = "", "", IF('IWP01'!Std4dot1 = "", "E", 'IWP01'!Std4dot1))</f>
        <v/>
      </c>
      <c r="G147" s="142" t="str">
        <f ca="1">IF('IWP02'!ContractNumber = "", "", IF('IWP02'!Std4dot1 = "", "E", 'IWP02'!Std4dot1))</f>
        <v/>
      </c>
      <c r="H147" s="142" t="str">
        <f ca="1">IF('IWP03'!ContractNumber = "", "", IF('IWP03'!Std4dot1 = "", "E", 'IWP03'!Std4dot1))</f>
        <v/>
      </c>
      <c r="I147" s="142" t="str">
        <f ca="1">IF('IWP04'!ContractNumber = "", "", IF('IWP04'!Std4dot1 = "", "E", 'IWP04'!Std4dot1))</f>
        <v/>
      </c>
      <c r="J147" s="142" t="str">
        <f ca="1">IF('IWP05'!ContractNumber = "", "", IF('IWP05'!Std4dot1 = "", "E", 'IWP05'!Std4dot1))</f>
        <v/>
      </c>
    </row>
    <row r="148" spans="1:10" ht="16.5" thickTop="1" thickBot="1">
      <c r="A148" s="493"/>
      <c r="B148" s="494"/>
      <c r="C148" s="494"/>
      <c r="D148" s="494"/>
      <c r="E148" s="495"/>
      <c r="F148" s="81">
        <v>6</v>
      </c>
      <c r="G148" s="81">
        <v>7</v>
      </c>
      <c r="H148" s="81">
        <v>8</v>
      </c>
      <c r="I148" s="81">
        <v>9</v>
      </c>
      <c r="J148" s="81">
        <v>10</v>
      </c>
    </row>
    <row r="149" spans="1:10" ht="16.5" thickTop="1" thickBot="1">
      <c r="A149" s="493"/>
      <c r="B149" s="494"/>
      <c r="C149" s="494"/>
      <c r="D149" s="494"/>
      <c r="E149" s="495"/>
      <c r="F149" s="142" t="str">
        <f ca="1">IF('IWP06'!ContractNumber = "", "", IF('IWP06'!Std4dot1 = "", "E", 'IWP06'!Std4dot1))</f>
        <v/>
      </c>
      <c r="G149" s="142" t="str">
        <f ca="1">IF('IWP07'!ContractNumber = "", "", IF('IWP07'!Std4dot1 = "", "E", 'IWP07'!Std4dot1))</f>
        <v/>
      </c>
      <c r="H149" s="142" t="str">
        <f ca="1">IF('IWP08'!ContractNumber = "", "", IF('IWP08'!Std4dot1 = "", "E", 'IWP08'!Std4dot1))</f>
        <v/>
      </c>
      <c r="I149" s="142" t="str">
        <f ca="1">IF('IWP09'!ContractNumber = "", "", IF('IWP09'!Std4dot1 = "", "E", 'IWP09'!Std4dot1))</f>
        <v/>
      </c>
      <c r="J149" s="142" t="str">
        <f ca="1">IF('IWP10'!ContractNumber = "", "", IF('IWP10'!Std4dot1 = "", "E", 'IWP10'!Std4dot1))</f>
        <v/>
      </c>
    </row>
    <row r="150" spans="1:10" ht="16.5" customHeight="1" thickTop="1" thickBot="1">
      <c r="A150" s="396" t="s">
        <v>861</v>
      </c>
      <c r="B150" s="397"/>
      <c r="C150" s="397"/>
      <c r="D150" s="397"/>
      <c r="E150" s="398"/>
      <c r="F150" s="81">
        <v>11</v>
      </c>
      <c r="G150" s="81">
        <v>12</v>
      </c>
      <c r="H150" s="81">
        <v>13</v>
      </c>
      <c r="I150" s="81">
        <v>14</v>
      </c>
      <c r="J150" s="81">
        <v>15</v>
      </c>
    </row>
    <row r="151" spans="1:10" ht="17.25" customHeight="1" thickTop="1" thickBot="1">
      <c r="A151" s="396"/>
      <c r="B151" s="397"/>
      <c r="C151" s="397"/>
      <c r="D151" s="397"/>
      <c r="E151" s="398"/>
      <c r="F151" s="142" t="str">
        <f ca="1">IF('IWP11'!ContractNumber = "", "", IF('IWP11'!Std4dot1 = "", "E", 'IWP11'!Std4dot1))</f>
        <v/>
      </c>
      <c r="G151" s="142" t="str">
        <f ca="1">IF('IWP12'!ContractNumber = "", "", IF('IWP12'!Std4dot1 = "", "E", 'IWP12'!Std4dot1))</f>
        <v/>
      </c>
      <c r="H151" s="142" t="str">
        <f ca="1">IF('IWP13'!ContractNumber = "", "", IF('IWP13'!Std4dot1 = "", "E", 'IWP13'!Std4dot1))</f>
        <v/>
      </c>
      <c r="I151" s="142" t="str">
        <f ca="1">IF('IWP14'!ContractNumber = "", "", IF('IWP14'!Std4dot1 = "", "E", 'IWP14'!Std4dot1))</f>
        <v/>
      </c>
      <c r="J151" s="142" t="str">
        <f ca="1">IF('IWP15'!ContractNumber = "", "", IF('IWP15'!Std4dot1 = "", "E", 'IWP15'!Std4dot1))</f>
        <v/>
      </c>
    </row>
    <row r="152" spans="1:10" ht="17.25" customHeight="1" thickTop="1" thickBot="1">
      <c r="A152" s="396"/>
      <c r="B152" s="397"/>
      <c r="C152" s="397"/>
      <c r="D152" s="397"/>
      <c r="E152" s="398"/>
      <c r="F152" s="81">
        <v>16</v>
      </c>
      <c r="G152" s="81">
        <v>17</v>
      </c>
      <c r="H152" s="81">
        <v>18</v>
      </c>
      <c r="I152" s="81">
        <v>19</v>
      </c>
      <c r="J152" s="81">
        <v>20</v>
      </c>
    </row>
    <row r="153" spans="1:10" ht="17.25" customHeight="1" thickTop="1" thickBot="1">
      <c r="A153" s="396"/>
      <c r="B153" s="397"/>
      <c r="C153" s="397"/>
      <c r="D153" s="397"/>
      <c r="E153" s="398"/>
      <c r="F153" s="142" t="str">
        <f ca="1">IF('IWP16'!ContractNumber = "", "", IF('IWP16'!Std4dot1 = "", "E", 'IWP16'!Std4dot1))</f>
        <v/>
      </c>
      <c r="G153" s="142" t="str">
        <f ca="1">IF('IWP17'!ContractNumber = "", "", IF('IWP17'!Std4dot1 = "", "E", 'IWP17'!Std4dot1))</f>
        <v/>
      </c>
      <c r="H153" s="142" t="str">
        <f ca="1">IF('IWP18'!ContractNumber = "", "", IF('IWP18'!Std4dot1 = "", "E", 'IWP18'!Std4dot1))</f>
        <v/>
      </c>
      <c r="I153" s="142" t="str">
        <f ca="1">IF('IWP19'!ContractNumber = "", "", IF('IWP19'!Std4dot1 = "", "E", 'IWP19'!Std4dot1))</f>
        <v/>
      </c>
      <c r="J153" s="142" t="str">
        <f ca="1">IF('IWP20'!ContractNumber = "", "", IF('IWP20'!Std4dot1 = "", "E", 'IWP20'!Std4dot1))</f>
        <v/>
      </c>
    </row>
    <row r="154" spans="1:10" ht="17.25" customHeight="1" thickTop="1" thickBot="1">
      <c r="A154" s="396"/>
      <c r="B154" s="397"/>
      <c r="C154" s="397"/>
      <c r="D154" s="397"/>
      <c r="E154" s="398"/>
      <c r="F154" s="81">
        <v>21</v>
      </c>
      <c r="G154" s="81">
        <v>22</v>
      </c>
      <c r="H154" s="81">
        <v>23</v>
      </c>
      <c r="I154" s="81">
        <v>24</v>
      </c>
      <c r="J154" s="81">
        <v>25</v>
      </c>
    </row>
    <row r="155" spans="1:10" ht="17.25" customHeight="1" thickTop="1" thickBot="1">
      <c r="A155" s="396"/>
      <c r="B155" s="397"/>
      <c r="C155" s="397"/>
      <c r="D155" s="397"/>
      <c r="E155" s="398"/>
      <c r="F155" s="142" t="str">
        <f ca="1">IF('IWP21'!ContractNumber = "", "", IF('IWP21'!Std4dot1 = "", "E", 'IWP21'!Std4dot1))</f>
        <v/>
      </c>
      <c r="G155" s="142" t="str">
        <f ca="1">IF('IWP22'!ContractNumber = "", "", IF('IWP22'!Std4dot1 = "", "E", 'IWP22'!Std4dot1))</f>
        <v/>
      </c>
      <c r="H155" s="142" t="str">
        <f ca="1">IF('IWP23'!ContractNumber = "", "", IF('IWP23'!Std4dot1 = "", "E", 'IWP23'!Std4dot1))</f>
        <v/>
      </c>
      <c r="I155" s="142" t="str">
        <f ca="1">IF('IWP24'!ContractNumber = "", "", IF('IWP24'!Std4dot1 = "", "E", 'IWP24'!Std4dot1))</f>
        <v/>
      </c>
      <c r="J155" s="142" t="str">
        <f ca="1">IF('IWP25'!ContractNumber = "", "", IF('IWP25'!Std4dot1 = "", "E", 'IWP25'!Std4dot1))</f>
        <v/>
      </c>
    </row>
    <row r="156" spans="1:10" ht="17.25" customHeight="1" thickTop="1" thickBot="1">
      <c r="A156" s="396"/>
      <c r="B156" s="397"/>
      <c r="C156" s="397"/>
      <c r="D156" s="397"/>
      <c r="E156" s="398"/>
      <c r="F156" s="81">
        <v>26</v>
      </c>
      <c r="G156" s="81">
        <v>27</v>
      </c>
      <c r="H156" s="81">
        <v>28</v>
      </c>
      <c r="I156" s="81">
        <v>29</v>
      </c>
      <c r="J156" s="81">
        <v>30</v>
      </c>
    </row>
    <row r="157" spans="1:10" ht="17.25" customHeight="1" thickTop="1" thickBot="1">
      <c r="A157" s="407"/>
      <c r="B157" s="408"/>
      <c r="C157" s="408"/>
      <c r="D157" s="408"/>
      <c r="E157" s="409"/>
      <c r="F157" s="142" t="str">
        <f ca="1">IF('IWP26'!ContractNumber = "", "", IF('IWP26'!Std4dot1 = "", "E", 'IWP26'!Std4dot1))</f>
        <v/>
      </c>
      <c r="G157" s="142" t="str">
        <f ca="1">IF('IWP27'!ContractNumber = "", "", IF('IWP27'!Std4dot1 = "", "E", 'IWP27'!Std4dot1))</f>
        <v/>
      </c>
      <c r="H157" s="142" t="str">
        <f ca="1">IF('IWP28'!ContractNumber = "", "", IF('IWP28'!Std4dot1 = "", "E", 'IWP28'!Std4dot1))</f>
        <v/>
      </c>
      <c r="I157" s="142" t="str">
        <f ca="1">IF('IWP29'!ContractNumber = "", "", IF('IWP29'!Std4dot1 = "", "E", 'IWP29'!Std4dot1))</f>
        <v/>
      </c>
      <c r="J157" s="142" t="str">
        <f ca="1">IF('IWP30'!ContractNumber = "", "", IF('IWP30'!Std4dot1 = "", "E", 'IWP30'!Std4dot1))</f>
        <v/>
      </c>
    </row>
    <row r="158" spans="1:10" ht="16.5" customHeight="1" thickTop="1" thickBot="1">
      <c r="A158" s="509" t="s">
        <v>16</v>
      </c>
      <c r="B158" s="382"/>
      <c r="C158" s="382"/>
      <c r="D158" s="382"/>
      <c r="E158" s="382"/>
      <c r="F158" s="383"/>
      <c r="G158" s="386" t="s">
        <v>19</v>
      </c>
      <c r="H158" s="387"/>
      <c r="I158" s="386" t="s">
        <v>20</v>
      </c>
      <c r="J158" s="387"/>
    </row>
    <row r="159" spans="1:10" ht="16.5" thickTop="1" thickBot="1">
      <c r="A159" s="514"/>
      <c r="B159" s="384"/>
      <c r="C159" s="384"/>
      <c r="D159" s="384"/>
      <c r="E159" s="384"/>
      <c r="F159" s="385"/>
      <c r="G159" s="388">
        <f ca="1">COUNTIF(F147:J157, "Y")</f>
        <v>0</v>
      </c>
      <c r="H159" s="389"/>
      <c r="I159" s="388">
        <f ca="1">COUNTIF(F147:J157, "N")</f>
        <v>0</v>
      </c>
      <c r="J159" s="389"/>
    </row>
    <row r="160" spans="1:10" ht="16.5" customHeight="1" thickTop="1" thickBot="1">
      <c r="A160" s="464" t="s">
        <v>777</v>
      </c>
      <c r="B160" s="465"/>
      <c r="C160" s="465"/>
      <c r="D160" s="465"/>
      <c r="E160" s="466"/>
      <c r="F160" s="81">
        <v>1</v>
      </c>
      <c r="G160" s="81">
        <v>2</v>
      </c>
      <c r="H160" s="81">
        <v>3</v>
      </c>
      <c r="I160" s="81">
        <v>4</v>
      </c>
      <c r="J160" s="81">
        <v>5</v>
      </c>
    </row>
    <row r="161" spans="1:10" ht="16.5" thickTop="1" thickBot="1">
      <c r="A161" s="493"/>
      <c r="B161" s="494"/>
      <c r="C161" s="494"/>
      <c r="D161" s="494"/>
      <c r="E161" s="495"/>
      <c r="F161" s="142" t="str">
        <f ca="1">IF('IWP01'!ContractNumber = "", "", IF('IWP01'!Std4dot3 = "", "E", 'IWP01'!Std4dot3))</f>
        <v/>
      </c>
      <c r="G161" s="142" t="str">
        <f ca="1">IF('IWP02'!ContractNumber = "", "", IF('IWP02'!Std4dot3 = "", "E", 'IWP02'!Std4dot3))</f>
        <v/>
      </c>
      <c r="H161" s="142" t="str">
        <f ca="1">IF('IWP03'!ContractNumber = "", "", IF('IWP03'!Std4dot3 = "", "E", 'IWP03'!Std4dot3))</f>
        <v/>
      </c>
      <c r="I161" s="142" t="str">
        <f ca="1">IF('IWP04'!ContractNumber = "", "", IF('IWP04'!Std4dot3 = "", "E", 'IWP04'!Std4dot3))</f>
        <v/>
      </c>
      <c r="J161" s="142" t="str">
        <f ca="1">IF('IWP05'!ContractNumber = "", "", IF('IWP05'!Std4dot3 = "", "E", 'IWP05'!Std4dot3))</f>
        <v/>
      </c>
    </row>
    <row r="162" spans="1:10" ht="16.5" thickTop="1" thickBot="1">
      <c r="A162" s="493"/>
      <c r="B162" s="494"/>
      <c r="C162" s="494"/>
      <c r="D162" s="494"/>
      <c r="E162" s="495"/>
      <c r="F162" s="81">
        <v>6</v>
      </c>
      <c r="G162" s="81">
        <v>7</v>
      </c>
      <c r="H162" s="81">
        <v>8</v>
      </c>
      <c r="I162" s="81">
        <v>9</v>
      </c>
      <c r="J162" s="81">
        <v>10</v>
      </c>
    </row>
    <row r="163" spans="1:10" ht="16.5" customHeight="1" thickTop="1" thickBot="1">
      <c r="A163" s="493"/>
      <c r="B163" s="494"/>
      <c r="C163" s="494"/>
      <c r="D163" s="494"/>
      <c r="E163" s="495"/>
      <c r="F163" s="142" t="str">
        <f ca="1">IF('IWP06'!ContractNumber = "", "", IF('IWP06'!Std4dot3 = "", "E", 'IWP06'!Std4dot3))</f>
        <v/>
      </c>
      <c r="G163" s="142" t="str">
        <f ca="1">IF('IWP07'!ContractNumber = "", "", IF('IWP07'!Std4dot3 = "", "E", 'IWP07'!Std4dot3))</f>
        <v/>
      </c>
      <c r="H163" s="142" t="str">
        <f ca="1">IF('IWP08'!ContractNumber = "", "", IF('IWP08'!Std4dot3 = "", "E", 'IWP08'!Std4dot3))</f>
        <v/>
      </c>
      <c r="I163" s="142" t="str">
        <f ca="1">IF('IWP09'!ContractNumber = "", "", IF('IWP09'!Std4dot3 = "", "E", 'IWP09'!Std4dot3))</f>
        <v/>
      </c>
      <c r="J163" s="142" t="str">
        <f ca="1">IF('IWP10'!ContractNumber = "", "", IF('IWP10'!Std4dot3 = "", "E", 'IWP10'!Std4dot3))</f>
        <v/>
      </c>
    </row>
    <row r="164" spans="1:10" ht="17.25" customHeight="1" thickTop="1" thickBot="1">
      <c r="A164" s="396" t="s">
        <v>716</v>
      </c>
      <c r="B164" s="397"/>
      <c r="C164" s="397"/>
      <c r="D164" s="397"/>
      <c r="E164" s="398"/>
      <c r="F164" s="81">
        <v>11</v>
      </c>
      <c r="G164" s="81">
        <v>12</v>
      </c>
      <c r="H164" s="81">
        <v>13</v>
      </c>
      <c r="I164" s="81">
        <v>14</v>
      </c>
      <c r="J164" s="81">
        <v>15</v>
      </c>
    </row>
    <row r="165" spans="1:10" ht="16.5" customHeight="1" thickTop="1" thickBot="1">
      <c r="A165" s="396"/>
      <c r="B165" s="397"/>
      <c r="C165" s="397"/>
      <c r="D165" s="397"/>
      <c r="E165" s="398"/>
      <c r="F165" s="142" t="str">
        <f ca="1">IF('IWP11'!ContractNumber = "", "", IF('IWP11'!Std4dot3 = "", "E", 'IWP11'!Std4dot3))</f>
        <v/>
      </c>
      <c r="G165" s="142" t="str">
        <f ca="1">IF('IWP12'!ContractNumber = "", "", IF('IWP12'!Std4dot3 = "", "E", 'IWP12'!Std4dot3))</f>
        <v/>
      </c>
      <c r="H165" s="142" t="str">
        <f ca="1">IF('IWP13'!ContractNumber = "", "", IF('IWP13'!Std4dot3 = "", "E", 'IWP13'!Std4dot3))</f>
        <v/>
      </c>
      <c r="I165" s="142" t="str">
        <f ca="1">IF('IWP14'!ContractNumber = "", "", IF('IWP14'!Std4dot3 = "", "E", 'IWP14'!Std4dot3))</f>
        <v/>
      </c>
      <c r="J165" s="142" t="str">
        <f ca="1">IF('IWP15'!ContractNumber = "", "", IF('IWP15'!Std4dot3 = "", "E", 'IWP15'!Std4dot3))</f>
        <v/>
      </c>
    </row>
    <row r="166" spans="1:10" ht="17.25" customHeight="1" thickTop="1" thickBot="1">
      <c r="A166" s="396"/>
      <c r="B166" s="397"/>
      <c r="C166" s="397"/>
      <c r="D166" s="397"/>
      <c r="E166" s="398"/>
      <c r="F166" s="81">
        <v>16</v>
      </c>
      <c r="G166" s="81">
        <v>17</v>
      </c>
      <c r="H166" s="81">
        <v>18</v>
      </c>
      <c r="I166" s="81">
        <v>19</v>
      </c>
      <c r="J166" s="81">
        <v>20</v>
      </c>
    </row>
    <row r="167" spans="1:10" ht="17.25" customHeight="1" thickTop="1" thickBot="1">
      <c r="A167" s="396"/>
      <c r="B167" s="397"/>
      <c r="C167" s="397"/>
      <c r="D167" s="397"/>
      <c r="E167" s="398"/>
      <c r="F167" s="142" t="str">
        <f ca="1">IF('IWP16'!ContractNumber = "", "", IF('IWP16'!Std4dot3 = "", "E", 'IWP16'!Std4dot3))</f>
        <v/>
      </c>
      <c r="G167" s="142" t="str">
        <f ca="1">IF('IWP17'!ContractNumber = "", "", IF('IWP17'!Std4dot3 = "", "E", 'IWP17'!Std4dot3))</f>
        <v/>
      </c>
      <c r="H167" s="142" t="str">
        <f ca="1">IF('IWP18'!ContractNumber = "", "", IF('IWP18'!Std4dot3 = "", "E", 'IWP18'!Std4dot3))</f>
        <v/>
      </c>
      <c r="I167" s="142" t="str">
        <f ca="1">IF('IWP19'!ContractNumber = "", "", IF('IWP19'!Std4dot3 = "", "E", 'IWP19'!Std4dot3))</f>
        <v/>
      </c>
      <c r="J167" s="142" t="str">
        <f ca="1">IF('IWP20'!ContractNumber = "", "", IF('IWP20'!Std4dot3 = "", "E", 'IWP20'!Std4dot3))</f>
        <v/>
      </c>
    </row>
    <row r="168" spans="1:10" ht="17.25" customHeight="1" thickTop="1" thickBot="1">
      <c r="A168" s="396"/>
      <c r="B168" s="397"/>
      <c r="C168" s="397"/>
      <c r="D168" s="397"/>
      <c r="E168" s="398"/>
      <c r="F168" s="81">
        <v>21</v>
      </c>
      <c r="G168" s="81">
        <v>22</v>
      </c>
      <c r="H168" s="81">
        <v>23</v>
      </c>
      <c r="I168" s="81">
        <v>24</v>
      </c>
      <c r="J168" s="81">
        <v>25</v>
      </c>
    </row>
    <row r="169" spans="1:10" ht="17.25" customHeight="1" thickTop="1" thickBot="1">
      <c r="A169" s="396"/>
      <c r="B169" s="397"/>
      <c r="C169" s="397"/>
      <c r="D169" s="397"/>
      <c r="E169" s="398"/>
      <c r="F169" s="142" t="str">
        <f ca="1">IF('IWP21'!ContractNumber = "", "", IF('IWP21'!Std4dot3 = "", "E", 'IWP21'!Std4dot3))</f>
        <v/>
      </c>
      <c r="G169" s="142" t="str">
        <f ca="1">IF('IWP22'!ContractNumber = "", "", IF('IWP22'!Std4dot3 = "", "E", 'IWP22'!Std4dot3))</f>
        <v/>
      </c>
      <c r="H169" s="142" t="str">
        <f ca="1">IF('IWP23'!ContractNumber = "", "", IF('IWP23'!Std4dot3 = "", "E", 'IWP23'!Std4dot3))</f>
        <v/>
      </c>
      <c r="I169" s="142" t="str">
        <f ca="1">IF('IWP24'!ContractNumber = "", "", IF('IWP24'!Std4dot3 = "", "E", 'IWP24'!Std4dot3))</f>
        <v/>
      </c>
      <c r="J169" s="142" t="str">
        <f ca="1">IF('IWP25'!ContractNumber = "", "", IF('IWP25'!Std4dot3 = "", "E", 'IWP25'!Std4dot3))</f>
        <v/>
      </c>
    </row>
    <row r="170" spans="1:10" ht="17.25" customHeight="1" thickTop="1" thickBot="1">
      <c r="A170" s="396"/>
      <c r="B170" s="397"/>
      <c r="C170" s="397"/>
      <c r="D170" s="397"/>
      <c r="E170" s="398"/>
      <c r="F170" s="81">
        <v>26</v>
      </c>
      <c r="G170" s="81">
        <v>27</v>
      </c>
      <c r="H170" s="81">
        <v>28</v>
      </c>
      <c r="I170" s="81">
        <v>29</v>
      </c>
      <c r="J170" s="81">
        <v>30</v>
      </c>
    </row>
    <row r="171" spans="1:10" ht="17.25" customHeight="1" thickTop="1" thickBot="1">
      <c r="A171" s="407"/>
      <c r="B171" s="408"/>
      <c r="C171" s="408"/>
      <c r="D171" s="408"/>
      <c r="E171" s="409"/>
      <c r="F171" s="142" t="str">
        <f ca="1">IF('IWP26'!ContractNumber = "", "", IF('IWP26'!Std4dot3 = "", "E", 'IWP26'!Std4dot3))</f>
        <v/>
      </c>
      <c r="G171" s="142" t="str">
        <f ca="1">IF('IWP27'!ContractNumber = "", "", IF('IWP27'!Std4dot3 = "", "E", 'IWP27'!Std4dot3))</f>
        <v/>
      </c>
      <c r="H171" s="142" t="str">
        <f ca="1">IF('IWP28'!ContractNumber = "", "", IF('IWP28'!Std4dot3 = "", "E", 'IWP28'!Std4dot3))</f>
        <v/>
      </c>
      <c r="I171" s="142" t="str">
        <f ca="1">IF('IWP29'!ContractNumber = "", "", IF('IWP29'!Std4dot3 = "", "E", 'IWP29'!Std4dot3))</f>
        <v/>
      </c>
      <c r="J171" s="142" t="str">
        <f ca="1">IF('IWP30'!ContractNumber = "", "", IF('IWP30'!Std4dot3 = "", "E", 'IWP30'!Std4dot3))</f>
        <v/>
      </c>
    </row>
    <row r="172" spans="1:10" ht="16.5" customHeight="1" thickTop="1" thickBot="1">
      <c r="A172" s="509" t="s">
        <v>16</v>
      </c>
      <c r="B172" s="382"/>
      <c r="C172" s="382"/>
      <c r="D172" s="382"/>
      <c r="E172" s="382"/>
      <c r="F172" s="383"/>
      <c r="G172" s="386" t="s">
        <v>19</v>
      </c>
      <c r="H172" s="387"/>
      <c r="I172" s="386" t="s">
        <v>20</v>
      </c>
      <c r="J172" s="387"/>
    </row>
    <row r="173" spans="1:10" ht="16.5" thickTop="1" thickBot="1">
      <c r="A173" s="514"/>
      <c r="B173" s="384"/>
      <c r="C173" s="384"/>
      <c r="D173" s="384"/>
      <c r="E173" s="384"/>
      <c r="F173" s="385"/>
      <c r="G173" s="388">
        <f ca="1">COUNTIF(F161:J171, "Y")</f>
        <v>0</v>
      </c>
      <c r="H173" s="389"/>
      <c r="I173" s="388">
        <f ca="1">COUNTIF(F161:J171, "N")</f>
        <v>0</v>
      </c>
      <c r="J173" s="389"/>
    </row>
    <row r="174" spans="1:10" ht="16.5" customHeight="1" thickTop="1" thickBot="1">
      <c r="A174" s="515" t="s">
        <v>56</v>
      </c>
      <c r="B174" s="516"/>
      <c r="C174" s="516"/>
      <c r="D174" s="516"/>
      <c r="E174" s="516"/>
      <c r="F174" s="517"/>
      <c r="G174" s="386" t="s">
        <v>17</v>
      </c>
      <c r="H174" s="387"/>
      <c r="I174" s="386" t="s">
        <v>18</v>
      </c>
      <c r="J174" s="387"/>
    </row>
    <row r="175" spans="1:10" ht="17.25" customHeight="1" thickTop="1" thickBot="1">
      <c r="A175" s="518"/>
      <c r="B175" s="519"/>
      <c r="C175" s="519"/>
      <c r="D175" s="519"/>
      <c r="E175" s="519"/>
      <c r="F175" s="520"/>
      <c r="G175" s="388">
        <f ca="1">SUM(G173, G159)</f>
        <v>0</v>
      </c>
      <c r="H175" s="389"/>
      <c r="I175" s="388">
        <f ca="1">SUM(I173,I159)</f>
        <v>0</v>
      </c>
      <c r="J175" s="389"/>
    </row>
    <row r="176" spans="1:10" ht="16.5" customHeight="1" thickTop="1">
      <c r="A176" s="503" t="s">
        <v>83</v>
      </c>
      <c r="B176" s="504"/>
      <c r="C176" s="504"/>
      <c r="D176" s="504"/>
      <c r="E176" s="504"/>
      <c r="F176" s="504"/>
      <c r="G176" s="504"/>
      <c r="H176" s="504"/>
      <c r="I176" s="504"/>
      <c r="J176" s="505"/>
    </row>
    <row r="177" spans="1:10" ht="15.75" customHeight="1" thickBot="1">
      <c r="A177" s="506" t="s">
        <v>84</v>
      </c>
      <c r="B177" s="507"/>
      <c r="C177" s="507"/>
      <c r="D177" s="507"/>
      <c r="E177" s="507"/>
      <c r="F177" s="507"/>
      <c r="G177" s="507"/>
      <c r="H177" s="507"/>
      <c r="I177" s="507"/>
      <c r="J177" s="508"/>
    </row>
    <row r="178" spans="1:10" ht="17.25" customHeight="1" thickTop="1" thickBot="1">
      <c r="A178" s="464" t="s">
        <v>717</v>
      </c>
      <c r="B178" s="465"/>
      <c r="C178" s="465"/>
      <c r="D178" s="465"/>
      <c r="E178" s="466"/>
      <c r="F178" s="81">
        <v>1</v>
      </c>
      <c r="G178" s="81">
        <v>2</v>
      </c>
      <c r="H178" s="81">
        <v>3</v>
      </c>
      <c r="I178" s="81">
        <v>4</v>
      </c>
      <c r="J178" s="81">
        <v>5</v>
      </c>
    </row>
    <row r="179" spans="1:10" ht="16.5" customHeight="1" thickTop="1" thickBot="1">
      <c r="A179" s="493"/>
      <c r="B179" s="494"/>
      <c r="C179" s="494"/>
      <c r="D179" s="494"/>
      <c r="E179" s="495"/>
      <c r="F179" s="142" t="str">
        <f ca="1">IF('IWP01'!ContractNumber = "", "", IF('IWP01'!Std6dot1 = "", "E", 'IWP01'!Std6dot1))</f>
        <v/>
      </c>
      <c r="G179" s="142" t="str">
        <f ca="1">IF('IWP02'!ContractNumber = "", "", IF('IWP02'!Std6dot1 = "", "E", 'IWP02'!Std6dot1))</f>
        <v/>
      </c>
      <c r="H179" s="142" t="str">
        <f ca="1">IF('IWP03'!ContractNumber = "", "", IF('IWP03'!Std6dot1 = "", "E", 'IWP03'!Std6dot1))</f>
        <v/>
      </c>
      <c r="I179" s="142" t="str">
        <f ca="1">IF('IWP04'!ContractNumber = "", "", IF('IWP04'!Std6dot1 = "", "E", 'IWP04'!Std6dot1))</f>
        <v/>
      </c>
      <c r="J179" s="142" t="str">
        <f ca="1">IF('IWP05'!ContractNumber = "", "", IF('IWP05'!Std6dot1 = "", "E", 'IWP05'!Std6dot1))</f>
        <v/>
      </c>
    </row>
    <row r="180" spans="1:10" ht="18.75" customHeight="1" thickTop="1" thickBot="1">
      <c r="A180" s="493"/>
      <c r="B180" s="494"/>
      <c r="C180" s="494"/>
      <c r="D180" s="494"/>
      <c r="E180" s="495"/>
      <c r="F180" s="81">
        <v>6</v>
      </c>
      <c r="G180" s="81">
        <v>7</v>
      </c>
      <c r="H180" s="81">
        <v>8</v>
      </c>
      <c r="I180" s="81">
        <v>9</v>
      </c>
      <c r="J180" s="81">
        <v>10</v>
      </c>
    </row>
    <row r="181" spans="1:10" ht="16.5" thickTop="1" thickBot="1">
      <c r="A181" s="396" t="s">
        <v>825</v>
      </c>
      <c r="B181" s="397"/>
      <c r="C181" s="397"/>
      <c r="D181" s="397"/>
      <c r="E181" s="398"/>
      <c r="F181" s="142" t="str">
        <f ca="1">IF('IWP06'!ContractNumber = "", "", IF('IWP06'!Std6dot1 = "", "E", 'IWP06'!Std6dot1))</f>
        <v/>
      </c>
      <c r="G181" s="142" t="str">
        <f ca="1">IF('IWP07'!ContractNumber = "", "", IF('IWP07'!Std6dot1 = "", "E", 'IWP07'!Std6dot1))</f>
        <v/>
      </c>
      <c r="H181" s="142" t="str">
        <f ca="1">IF('IWP08'!ContractNumber = "", "", IF('IWP08'!Std6dot1 = "", "E", 'IWP08'!Std6dot1))</f>
        <v/>
      </c>
      <c r="I181" s="142" t="str">
        <f ca="1">IF('IWP09'!ContractNumber = "", "", IF('IWP09'!Std6dot1 = "", "E", 'IWP09'!Std6dot1))</f>
        <v/>
      </c>
      <c r="J181" s="142" t="str">
        <f ca="1">IF('IWP10'!ContractNumber = "", "", IF('IWP10'!Std6dot1 = "", "E", 'IWP10'!Std6dot1))</f>
        <v/>
      </c>
    </row>
    <row r="182" spans="1:10" ht="17.25" customHeight="1" thickTop="1" thickBot="1">
      <c r="A182" s="396"/>
      <c r="B182" s="397"/>
      <c r="C182" s="397"/>
      <c r="D182" s="397"/>
      <c r="E182" s="398"/>
      <c r="F182" s="81">
        <v>11</v>
      </c>
      <c r="G182" s="81">
        <v>12</v>
      </c>
      <c r="H182" s="81">
        <v>13</v>
      </c>
      <c r="I182" s="81">
        <v>14</v>
      </c>
      <c r="J182" s="81">
        <v>15</v>
      </c>
    </row>
    <row r="183" spans="1:10" ht="17.25" customHeight="1" thickTop="1" thickBot="1">
      <c r="A183" s="396"/>
      <c r="B183" s="397"/>
      <c r="C183" s="397"/>
      <c r="D183" s="397"/>
      <c r="E183" s="398"/>
      <c r="F183" s="142" t="str">
        <f ca="1">IF('IWP11'!ContractNumber = "", "", IF('IWP11'!Std6dot1 = "", "E", 'IWP11'!Std6dot1))</f>
        <v/>
      </c>
      <c r="G183" s="142" t="str">
        <f ca="1">IF('IWP12'!ContractNumber = "", "", IF('IWP12'!Std6dot1 = "", "E", 'IWP12'!Std6dot1))</f>
        <v/>
      </c>
      <c r="H183" s="142" t="str">
        <f ca="1">IF('IWP13'!ContractNumber = "", "", IF('IWP13'!Std6dot1 = "", "E", 'IWP13'!Std6dot1))</f>
        <v/>
      </c>
      <c r="I183" s="142" t="str">
        <f ca="1">IF('IWP14'!ContractNumber = "", "", IF('IWP14'!Std6dot1 = "", "E", 'IWP14'!Std6dot1))</f>
        <v/>
      </c>
      <c r="J183" s="142" t="str">
        <f ca="1">IF('IWP15'!ContractNumber = "", "", IF('IWP15'!Std6dot1 = "", "E", 'IWP15'!Std6dot1))</f>
        <v/>
      </c>
    </row>
    <row r="184" spans="1:10" ht="17.25" customHeight="1" thickTop="1" thickBot="1">
      <c r="A184" s="396"/>
      <c r="B184" s="397"/>
      <c r="C184" s="397"/>
      <c r="D184" s="397"/>
      <c r="E184" s="398"/>
      <c r="F184" s="81">
        <v>16</v>
      </c>
      <c r="G184" s="81">
        <v>17</v>
      </c>
      <c r="H184" s="81">
        <v>18</v>
      </c>
      <c r="I184" s="81">
        <v>19</v>
      </c>
      <c r="J184" s="81">
        <v>20</v>
      </c>
    </row>
    <row r="185" spans="1:10" ht="17.25" customHeight="1" thickTop="1" thickBot="1">
      <c r="A185" s="396"/>
      <c r="B185" s="397"/>
      <c r="C185" s="397"/>
      <c r="D185" s="397"/>
      <c r="E185" s="398"/>
      <c r="F185" s="142" t="str">
        <f ca="1">IF('IWP16'!ContractNumber = "", "", IF('IWP16'!Std6dot1 = "", "E", 'IWP16'!Std6dot1))</f>
        <v/>
      </c>
      <c r="G185" s="142" t="str">
        <f ca="1">IF('IWP17'!ContractNumber = "", "", IF('IWP17'!Std6dot1 = "", "E", 'IWP17'!Std6dot1))</f>
        <v/>
      </c>
      <c r="H185" s="142" t="str">
        <f ca="1">IF('IWP18'!ContractNumber = "", "", IF('IWP18'!Std6dot1 = "", "E", 'IWP18'!Std6dot1))</f>
        <v/>
      </c>
      <c r="I185" s="142" t="str">
        <f ca="1">IF('IWP19'!ContractNumber = "", "", IF('IWP19'!Std6dot1 = "", "E", 'IWP19'!Std6dot1))</f>
        <v/>
      </c>
      <c r="J185" s="142" t="str">
        <f ca="1">IF('IWP20'!ContractNumber = "", "", IF('IWP20'!Std6dot1 = "", "E", 'IWP20'!Std6dot1))</f>
        <v/>
      </c>
    </row>
    <row r="186" spans="1:10" ht="17.25" customHeight="1" thickTop="1" thickBot="1">
      <c r="A186" s="396"/>
      <c r="B186" s="397"/>
      <c r="C186" s="397"/>
      <c r="D186" s="397"/>
      <c r="E186" s="398"/>
      <c r="F186" s="81">
        <v>21</v>
      </c>
      <c r="G186" s="81">
        <v>22</v>
      </c>
      <c r="H186" s="81">
        <v>23</v>
      </c>
      <c r="I186" s="81">
        <v>24</v>
      </c>
      <c r="J186" s="81">
        <v>25</v>
      </c>
    </row>
    <row r="187" spans="1:10" ht="17.25" customHeight="1" thickTop="1" thickBot="1">
      <c r="A187" s="396"/>
      <c r="B187" s="397"/>
      <c r="C187" s="397"/>
      <c r="D187" s="397"/>
      <c r="E187" s="398"/>
      <c r="F187" s="142" t="str">
        <f ca="1">IF('IWP21'!ContractNumber = "", "", IF('IWP21'!Std6dot1 = "", "E", 'IWP21'!Std6dot1))</f>
        <v/>
      </c>
      <c r="G187" s="142" t="str">
        <f ca="1">IF('IWP22'!ContractNumber = "", "", IF('IWP22'!Std6dot1 = "", "E", 'IWP22'!Std6dot1))</f>
        <v/>
      </c>
      <c r="H187" s="142" t="str">
        <f ca="1">IF('IWP23'!ContractNumber = "", "", IF('IWP23'!Std6dot1 = "", "E", 'IWP23'!Std6dot1))</f>
        <v/>
      </c>
      <c r="I187" s="142" t="str">
        <f ca="1">IF('IWP24'!ContractNumber = "", "", IF('IWP24'!Std6dot1 = "", "E", 'IWP24'!Std6dot1))</f>
        <v/>
      </c>
      <c r="J187" s="142" t="str">
        <f ca="1">IF('IWP25'!ContractNumber = "", "", IF('IWP25'!Std6dot1 = "", "E", 'IWP25'!Std6dot1))</f>
        <v/>
      </c>
    </row>
    <row r="188" spans="1:10" ht="17.25" customHeight="1" thickTop="1" thickBot="1">
      <c r="A188" s="396"/>
      <c r="B188" s="397"/>
      <c r="C188" s="397"/>
      <c r="D188" s="397"/>
      <c r="E188" s="398"/>
      <c r="F188" s="81">
        <v>26</v>
      </c>
      <c r="G188" s="81">
        <v>27</v>
      </c>
      <c r="H188" s="81">
        <v>28</v>
      </c>
      <c r="I188" s="81">
        <v>29</v>
      </c>
      <c r="J188" s="81">
        <v>30</v>
      </c>
    </row>
    <row r="189" spans="1:10" ht="17.25" customHeight="1" thickTop="1" thickBot="1">
      <c r="A189" s="407"/>
      <c r="B189" s="408"/>
      <c r="C189" s="408"/>
      <c r="D189" s="408"/>
      <c r="E189" s="409"/>
      <c r="F189" s="142" t="str">
        <f ca="1">IF('IWP26'!ContractNumber = "", "", IF('IWP26'!Std6dot1 = "", "E", 'IWP26'!Std6dot1))</f>
        <v/>
      </c>
      <c r="G189" s="142" t="str">
        <f ca="1">IF('IWP27'!ContractNumber = "", "", IF('IWP27'!Std6dot1 = "", "E", 'IWP27'!Std6dot1))</f>
        <v/>
      </c>
      <c r="H189" s="142" t="str">
        <f ca="1">IF('IWP28'!ContractNumber = "", "", IF('IWP28'!Std6dot1 = "", "E", 'IWP28'!Std6dot1))</f>
        <v/>
      </c>
      <c r="I189" s="142" t="str">
        <f ca="1">IF('IWP29'!ContractNumber = "", "", IF('IWP29'!Std6dot1 = "", "E", 'IWP29'!Std6dot1))</f>
        <v/>
      </c>
      <c r="J189" s="142" t="str">
        <f ca="1">IF('IWP30'!ContractNumber = "", "", IF('IWP30'!Std6dot1 = "", "E", 'IWP30'!Std6dot1))</f>
        <v/>
      </c>
    </row>
    <row r="190" spans="1:10" ht="16.5" customHeight="1" thickTop="1" thickBot="1">
      <c r="A190" s="509" t="s">
        <v>16</v>
      </c>
      <c r="B190" s="382"/>
      <c r="C190" s="382"/>
      <c r="D190" s="382"/>
      <c r="E190" s="382"/>
      <c r="F190" s="383"/>
      <c r="G190" s="386" t="s">
        <v>19</v>
      </c>
      <c r="H190" s="387"/>
      <c r="I190" s="386" t="s">
        <v>20</v>
      </c>
      <c r="J190" s="387"/>
    </row>
    <row r="191" spans="1:10" ht="16.5" customHeight="1" thickTop="1" thickBot="1">
      <c r="A191" s="514"/>
      <c r="B191" s="384"/>
      <c r="C191" s="384"/>
      <c r="D191" s="384"/>
      <c r="E191" s="384"/>
      <c r="F191" s="385"/>
      <c r="G191" s="388">
        <f ca="1">COUNTIF(F179:J189, "Y")</f>
        <v>0</v>
      </c>
      <c r="H191" s="389"/>
      <c r="I191" s="388">
        <f ca="1">COUNTIF(F179:J189, "N")</f>
        <v>0</v>
      </c>
      <c r="J191" s="389"/>
    </row>
    <row r="192" spans="1:10" ht="16.5" customHeight="1" thickTop="1" thickBot="1">
      <c r="A192" s="464" t="s">
        <v>680</v>
      </c>
      <c r="B192" s="465"/>
      <c r="C192" s="465"/>
      <c r="D192" s="465"/>
      <c r="E192" s="466"/>
      <c r="F192" s="81">
        <v>1</v>
      </c>
      <c r="G192" s="81">
        <v>2</v>
      </c>
      <c r="H192" s="81">
        <v>3</v>
      </c>
      <c r="I192" s="81">
        <v>4</v>
      </c>
      <c r="J192" s="81">
        <v>5</v>
      </c>
    </row>
    <row r="193" spans="1:10" ht="15.75" customHeight="1" thickTop="1" thickBot="1">
      <c r="A193" s="493"/>
      <c r="B193" s="494"/>
      <c r="C193" s="494"/>
      <c r="D193" s="494"/>
      <c r="E193" s="495"/>
      <c r="F193" s="142" t="str">
        <f ca="1">IF('IWP01'!ContractNumber = "", "", IF('IWP01'!Std6dot2 = "", "E", 'IWP01'!Std6dot2))</f>
        <v/>
      </c>
      <c r="G193" s="142" t="str">
        <f ca="1">IF('IWP02'!ContractNumber = "", "", IF('IWP02'!Std6dot2 = "", "E", 'IWP02'!Std6dot2))</f>
        <v/>
      </c>
      <c r="H193" s="142" t="str">
        <f ca="1">IF('IWP03'!ContractNumber = "", "", IF('IWP03'!Std6dot2 = "", "E", 'IWP03'!Std6dot2))</f>
        <v/>
      </c>
      <c r="I193" s="142" t="str">
        <f ca="1">IF('IWP04'!ContractNumber = "", "", IF('IWP04'!Std6dot2 = "", "E", 'IWP04'!Std6dot2))</f>
        <v/>
      </c>
      <c r="J193" s="142" t="str">
        <f ca="1">IF('IWP05'!ContractNumber = "", "", IF('IWP05'!Std6dot2 = "", "E", 'IWP05'!Std6dot2))</f>
        <v/>
      </c>
    </row>
    <row r="194" spans="1:10" ht="16.5" customHeight="1" thickTop="1" thickBot="1">
      <c r="A194" s="493"/>
      <c r="B194" s="494"/>
      <c r="C194" s="494"/>
      <c r="D194" s="494"/>
      <c r="E194" s="495"/>
      <c r="F194" s="81">
        <v>6</v>
      </c>
      <c r="G194" s="81">
        <v>7</v>
      </c>
      <c r="H194" s="81">
        <v>8</v>
      </c>
      <c r="I194" s="81">
        <v>9</v>
      </c>
      <c r="J194" s="81">
        <v>10</v>
      </c>
    </row>
    <row r="195" spans="1:10" ht="16.5" thickTop="1" thickBot="1">
      <c r="A195" s="396" t="s">
        <v>85</v>
      </c>
      <c r="B195" s="397"/>
      <c r="C195" s="397"/>
      <c r="D195" s="397"/>
      <c r="E195" s="398"/>
      <c r="F195" s="142" t="str">
        <f ca="1">IF('IWP06'!ContractNumber = "", "", IF('IWP06'!Std6dot2 = "", "E", 'IWP06'!Std6dot2))</f>
        <v/>
      </c>
      <c r="G195" s="142" t="str">
        <f ca="1">IF('IWP07'!ContractNumber = "", "", IF('IWP07'!Std6dot2 = "", "E", 'IWP07'!Std6dot2))</f>
        <v/>
      </c>
      <c r="H195" s="142" t="str">
        <f ca="1">IF('IWP08'!ContractNumber = "", "", IF('IWP08'!Std6dot2 = "", "E", 'IWP08'!Std6dot2))</f>
        <v/>
      </c>
      <c r="I195" s="142" t="str">
        <f ca="1">IF('IWP09'!ContractNumber = "", "", IF('IWP09'!Std6dot2 = "", "E", 'IWP09'!Std6dot2))</f>
        <v/>
      </c>
      <c r="J195" s="142" t="str">
        <f ca="1">IF('IWP10'!ContractNumber = "", "", IF('IWP10'!Std6dot2 = "", "E", 'IWP10'!Std6dot2))</f>
        <v/>
      </c>
    </row>
    <row r="196" spans="1:10" ht="16.5" thickTop="1" thickBot="1">
      <c r="A196" s="396"/>
      <c r="B196" s="397"/>
      <c r="C196" s="397"/>
      <c r="D196" s="397"/>
      <c r="E196" s="398"/>
      <c r="F196" s="81">
        <v>11</v>
      </c>
      <c r="G196" s="81">
        <v>12</v>
      </c>
      <c r="H196" s="81">
        <v>13</v>
      </c>
      <c r="I196" s="81">
        <v>14</v>
      </c>
      <c r="J196" s="81">
        <v>15</v>
      </c>
    </row>
    <row r="197" spans="1:10" ht="17.25" customHeight="1" thickTop="1" thickBot="1">
      <c r="A197" s="396"/>
      <c r="B197" s="397"/>
      <c r="C197" s="397"/>
      <c r="D197" s="397"/>
      <c r="E197" s="398"/>
      <c r="F197" s="142" t="str">
        <f ca="1">IF('IWP11'!ContractNumber = "", "", IF('IWP11'!Std6dot2 = "", "E", 'IWP11'!Std6dot2))</f>
        <v/>
      </c>
      <c r="G197" s="142" t="str">
        <f ca="1">IF('IWP12'!ContractNumber = "", "", IF('IWP12'!Std6dot2 = "", "E", 'IWP12'!Std6dot2))</f>
        <v/>
      </c>
      <c r="H197" s="142" t="str">
        <f ca="1">IF('IWP13'!ContractNumber = "", "", IF('IWP13'!Std6dot2 = "", "E", 'IWP13'!Std6dot2))</f>
        <v/>
      </c>
      <c r="I197" s="142" t="str">
        <f ca="1">IF('IWP14'!ContractNumber = "", "", IF('IWP14'!Std6dot2 = "", "E", 'IWP14'!Std6dot2))</f>
        <v/>
      </c>
      <c r="J197" s="142" t="str">
        <f ca="1">IF('IWP15'!ContractNumber = "", "", IF('IWP15'!Std6dot2 = "", "E", 'IWP15'!Std6dot2))</f>
        <v/>
      </c>
    </row>
    <row r="198" spans="1:10" ht="17.25" customHeight="1" thickTop="1" thickBot="1">
      <c r="A198" s="396"/>
      <c r="B198" s="397"/>
      <c r="C198" s="397"/>
      <c r="D198" s="397"/>
      <c r="E198" s="398"/>
      <c r="F198" s="81">
        <v>16</v>
      </c>
      <c r="G198" s="81">
        <v>17</v>
      </c>
      <c r="H198" s="81">
        <v>18</v>
      </c>
      <c r="I198" s="81">
        <v>19</v>
      </c>
      <c r="J198" s="81">
        <v>20</v>
      </c>
    </row>
    <row r="199" spans="1:10" ht="17.25" customHeight="1" thickTop="1" thickBot="1">
      <c r="A199" s="396"/>
      <c r="B199" s="397"/>
      <c r="C199" s="397"/>
      <c r="D199" s="397"/>
      <c r="E199" s="398"/>
      <c r="F199" s="142" t="str">
        <f ca="1">IF('IWP16'!ContractNumber = "", "", IF('IWP16'!Std6dot2 = "", "E", 'IWP16'!Std6dot2))</f>
        <v/>
      </c>
      <c r="G199" s="142" t="str">
        <f ca="1">IF('IWP17'!ContractNumber = "", "", IF('IWP17'!Std6dot2 = "", "E", 'IWP17'!Std6dot2))</f>
        <v/>
      </c>
      <c r="H199" s="142" t="str">
        <f ca="1">IF('IWP18'!ContractNumber = "", "", IF('IWP18'!Std6dot2 = "", "E", 'IWP18'!Std6dot2))</f>
        <v/>
      </c>
      <c r="I199" s="142" t="str">
        <f ca="1">IF('IWP19'!ContractNumber = "", "", IF('IWP19'!Std6dot2 = "", "E", 'IWP19'!Std6dot2))</f>
        <v/>
      </c>
      <c r="J199" s="142" t="str">
        <f ca="1">IF('IWP20'!ContractNumber = "", "", IF('IWP20'!Std6dot2 = "", "E", 'IWP20'!Std6dot2))</f>
        <v/>
      </c>
    </row>
    <row r="200" spans="1:10" ht="17.25" customHeight="1" thickTop="1" thickBot="1">
      <c r="A200" s="396"/>
      <c r="B200" s="397"/>
      <c r="C200" s="397"/>
      <c r="D200" s="397"/>
      <c r="E200" s="398"/>
      <c r="F200" s="81">
        <v>21</v>
      </c>
      <c r="G200" s="81">
        <v>22</v>
      </c>
      <c r="H200" s="81">
        <v>23</v>
      </c>
      <c r="I200" s="81">
        <v>24</v>
      </c>
      <c r="J200" s="81">
        <v>25</v>
      </c>
    </row>
    <row r="201" spans="1:10" ht="17.25" customHeight="1" thickTop="1" thickBot="1">
      <c r="A201" s="396"/>
      <c r="B201" s="397"/>
      <c r="C201" s="397"/>
      <c r="D201" s="397"/>
      <c r="E201" s="398"/>
      <c r="F201" s="142" t="str">
        <f ca="1">IF('IWP21'!ContractNumber = "", "", IF('IWP21'!Std6dot2 = "", "E", 'IWP21'!Std6dot2))</f>
        <v/>
      </c>
      <c r="G201" s="142" t="str">
        <f ca="1">IF('IWP22'!ContractNumber = "", "", IF('IWP22'!Std6dot2 = "", "E", 'IWP22'!Std6dot2))</f>
        <v/>
      </c>
      <c r="H201" s="142" t="str">
        <f ca="1">IF('IWP23'!ContractNumber = "", "", IF('IWP23'!Std6dot2 = "", "E", 'IWP23'!Std6dot2))</f>
        <v/>
      </c>
      <c r="I201" s="142" t="str">
        <f ca="1">IF('IWP24'!ContractNumber = "", "", IF('IWP24'!Std6dot2 = "", "E", 'IWP24'!Std6dot2))</f>
        <v/>
      </c>
      <c r="J201" s="142" t="str">
        <f ca="1">IF('IWP25'!ContractNumber = "", "", IF('IWP25'!Std6dot2 = "", "E", 'IWP25'!Std6dot2))</f>
        <v/>
      </c>
    </row>
    <row r="202" spans="1:10" ht="17.25" customHeight="1" thickTop="1" thickBot="1">
      <c r="A202" s="396"/>
      <c r="B202" s="397"/>
      <c r="C202" s="397"/>
      <c r="D202" s="397"/>
      <c r="E202" s="398"/>
      <c r="F202" s="81">
        <v>26</v>
      </c>
      <c r="G202" s="81">
        <v>27</v>
      </c>
      <c r="H202" s="81">
        <v>28</v>
      </c>
      <c r="I202" s="81">
        <v>29</v>
      </c>
      <c r="J202" s="81">
        <v>30</v>
      </c>
    </row>
    <row r="203" spans="1:10" ht="17.25" customHeight="1" thickTop="1" thickBot="1">
      <c r="A203" s="407"/>
      <c r="B203" s="408"/>
      <c r="C203" s="408"/>
      <c r="D203" s="408"/>
      <c r="E203" s="409"/>
      <c r="F203" s="142" t="str">
        <f ca="1">IF('IWP26'!ContractNumber = "", "", IF('IWP26'!Std6dot2 = "", "E", 'IWP26'!Std6dot2))</f>
        <v/>
      </c>
      <c r="G203" s="142" t="str">
        <f ca="1">IF('IWP27'!ContractNumber = "", "", IF('IWP27'!Std6dot2 = "", "E", 'IWP27'!Std6dot2))</f>
        <v/>
      </c>
      <c r="H203" s="142" t="str">
        <f ca="1">IF('IWP28'!ContractNumber = "", "", IF('IWP28'!Std6dot2 = "", "E", 'IWP28'!Std6dot2))</f>
        <v/>
      </c>
      <c r="I203" s="142" t="str">
        <f ca="1">IF('IWP29'!ContractNumber = "", "", IF('IWP29'!Std6dot2 = "", "E", 'IWP29'!Std6dot2))</f>
        <v/>
      </c>
      <c r="J203" s="142" t="str">
        <f ca="1">IF('IWP30'!ContractNumber = "", "", IF('IWP30'!Std6dot2 = "", "E", 'IWP30'!Std6dot2))</f>
        <v/>
      </c>
    </row>
    <row r="204" spans="1:10" ht="16.5" customHeight="1" thickTop="1" thickBot="1">
      <c r="A204" s="509" t="s">
        <v>16</v>
      </c>
      <c r="B204" s="382"/>
      <c r="C204" s="382"/>
      <c r="D204" s="382"/>
      <c r="E204" s="382"/>
      <c r="F204" s="383"/>
      <c r="G204" s="386" t="s">
        <v>19</v>
      </c>
      <c r="H204" s="387"/>
      <c r="I204" s="386" t="s">
        <v>20</v>
      </c>
      <c r="J204" s="387"/>
    </row>
    <row r="205" spans="1:10" ht="17.25" customHeight="1" thickTop="1" thickBot="1">
      <c r="A205" s="514"/>
      <c r="B205" s="384"/>
      <c r="C205" s="384"/>
      <c r="D205" s="384"/>
      <c r="E205" s="384"/>
      <c r="F205" s="385"/>
      <c r="G205" s="388">
        <f ca="1">COUNTIF(F193:J203, "Y")</f>
        <v>0</v>
      </c>
      <c r="H205" s="389"/>
      <c r="I205" s="388">
        <f ca="1">COUNTIF(F193:J203, "N")</f>
        <v>0</v>
      </c>
      <c r="J205" s="389"/>
    </row>
    <row r="206" spans="1:10" ht="16.5" customHeight="1" thickTop="1" thickBot="1">
      <c r="A206" s="515" t="s">
        <v>83</v>
      </c>
      <c r="B206" s="516"/>
      <c r="C206" s="516"/>
      <c r="D206" s="516"/>
      <c r="E206" s="516"/>
      <c r="F206" s="517"/>
      <c r="G206" s="386" t="s">
        <v>17</v>
      </c>
      <c r="H206" s="387"/>
      <c r="I206" s="386" t="s">
        <v>18</v>
      </c>
      <c r="J206" s="387"/>
    </row>
    <row r="207" spans="1:10" ht="16.5" thickTop="1" thickBot="1">
      <c r="A207" s="518"/>
      <c r="B207" s="519"/>
      <c r="C207" s="519"/>
      <c r="D207" s="519"/>
      <c r="E207" s="519"/>
      <c r="F207" s="520"/>
      <c r="G207" s="388">
        <f ca="1">SUM(G205,G191)</f>
        <v>0</v>
      </c>
      <c r="H207" s="389"/>
      <c r="I207" s="388">
        <f ca="1">SUM(I205,I191)</f>
        <v>0</v>
      </c>
      <c r="J207" s="389"/>
    </row>
    <row r="208" spans="1:10" ht="16.5" customHeight="1" thickTop="1">
      <c r="A208" s="503" t="s">
        <v>826</v>
      </c>
      <c r="B208" s="504"/>
      <c r="C208" s="504"/>
      <c r="D208" s="504"/>
      <c r="E208" s="504"/>
      <c r="F208" s="504"/>
      <c r="G208" s="504"/>
      <c r="H208" s="504"/>
      <c r="I208" s="504"/>
      <c r="J208" s="505"/>
    </row>
    <row r="209" spans="1:10" ht="15.75" thickBot="1">
      <c r="A209" s="506" t="s">
        <v>827</v>
      </c>
      <c r="B209" s="507"/>
      <c r="C209" s="507"/>
      <c r="D209" s="507"/>
      <c r="E209" s="507"/>
      <c r="F209" s="507"/>
      <c r="G209" s="507"/>
      <c r="H209" s="507"/>
      <c r="I209" s="507"/>
      <c r="J209" s="508"/>
    </row>
    <row r="210" spans="1:10" ht="16.5" thickTop="1" thickBot="1">
      <c r="A210" s="464" t="s">
        <v>778</v>
      </c>
      <c r="B210" s="465"/>
      <c r="C210" s="465"/>
      <c r="D210" s="465"/>
      <c r="E210" s="466"/>
      <c r="F210" s="81">
        <v>1</v>
      </c>
      <c r="G210" s="81">
        <v>2</v>
      </c>
      <c r="H210" s="81">
        <v>3</v>
      </c>
      <c r="I210" s="81">
        <v>4</v>
      </c>
      <c r="J210" s="81">
        <v>5</v>
      </c>
    </row>
    <row r="211" spans="1:10" ht="16.5" customHeight="1" thickTop="1" thickBot="1">
      <c r="A211" s="493"/>
      <c r="B211" s="494"/>
      <c r="C211" s="494"/>
      <c r="D211" s="494"/>
      <c r="E211" s="495"/>
      <c r="F211" s="142" t="str">
        <f ca="1">IF('IWP01'!ContractNumber = "", "", IF('IWP01'!Std7dot1 = "", "E", 'IWP01'!Std7dot1))</f>
        <v/>
      </c>
      <c r="G211" s="142" t="str">
        <f ca="1">IF('IWP02'!ContractNumber = "", "", IF('IWP02'!Std7dot1 = "", "E", 'IWP02'!Std7dot1))</f>
        <v/>
      </c>
      <c r="H211" s="142" t="str">
        <f ca="1">IF('IWP03'!ContractNumber = "", "", IF('IWP03'!Std7dot1 = "", "E", 'IWP03'!Std7dot1))</f>
        <v/>
      </c>
      <c r="I211" s="142" t="str">
        <f ca="1">IF('IWP04'!ContractNumber = "", "", IF('IWP04'!Std7dot1 = "", "E", 'IWP04'!Std7dot1))</f>
        <v/>
      </c>
      <c r="J211" s="142" t="str">
        <f ca="1">IF('IWP05'!ContractNumber = "", "", IF('IWP05'!Std7dot1 = "", "E", 'IWP05'!Std7dot1))</f>
        <v/>
      </c>
    </row>
    <row r="212" spans="1:10" ht="16.5" thickTop="1" thickBot="1">
      <c r="A212" s="396" t="s">
        <v>86</v>
      </c>
      <c r="B212" s="397"/>
      <c r="C212" s="397"/>
      <c r="D212" s="397"/>
      <c r="E212" s="398"/>
      <c r="F212" s="81">
        <v>6</v>
      </c>
      <c r="G212" s="81">
        <v>7</v>
      </c>
      <c r="H212" s="81">
        <v>8</v>
      </c>
      <c r="I212" s="81">
        <v>9</v>
      </c>
      <c r="J212" s="81">
        <v>10</v>
      </c>
    </row>
    <row r="213" spans="1:10" ht="16.5" thickTop="1" thickBot="1">
      <c r="A213" s="396"/>
      <c r="B213" s="397"/>
      <c r="C213" s="397"/>
      <c r="D213" s="397"/>
      <c r="E213" s="398"/>
      <c r="F213" s="142" t="str">
        <f ca="1">IF('IWP06'!ContractNumber = "", "", IF('IWP06'!Std7dot1 = "", "E", 'IWP06'!Std7dot1))</f>
        <v/>
      </c>
      <c r="G213" s="142" t="str">
        <f ca="1">IF('IWP07'!ContractNumber = "", "", IF('IWP07'!Std7dot1 = "", "E", 'IWP07'!Std7dot1))</f>
        <v/>
      </c>
      <c r="H213" s="142" t="str">
        <f ca="1">IF('IWP08'!ContractNumber = "", "", IF('IWP08'!Std7dot1 = "", "E", 'IWP08'!Std7dot1))</f>
        <v/>
      </c>
      <c r="I213" s="142" t="str">
        <f ca="1">IF('IWP09'!ContractNumber = "", "", IF('IWP09'!Std7dot1 = "", "E", 'IWP09'!Std7dot1))</f>
        <v/>
      </c>
      <c r="J213" s="142" t="str">
        <f ca="1">IF('IWP10'!ContractNumber = "", "", IF('IWP10'!Std7dot1 = "", "E", 'IWP10'!Std7dot1))</f>
        <v/>
      </c>
    </row>
    <row r="214" spans="1:10" ht="16.5" thickTop="1" thickBot="1">
      <c r="A214" s="396"/>
      <c r="B214" s="397"/>
      <c r="C214" s="397"/>
      <c r="D214" s="397"/>
      <c r="E214" s="398"/>
      <c r="F214" s="81">
        <v>11</v>
      </c>
      <c r="G214" s="81">
        <v>12</v>
      </c>
      <c r="H214" s="81">
        <v>13</v>
      </c>
      <c r="I214" s="81">
        <v>14</v>
      </c>
      <c r="J214" s="81">
        <v>15</v>
      </c>
    </row>
    <row r="215" spans="1:10" ht="16.5" thickTop="1" thickBot="1">
      <c r="A215" s="396"/>
      <c r="B215" s="397"/>
      <c r="C215" s="397"/>
      <c r="D215" s="397"/>
      <c r="E215" s="398"/>
      <c r="F215" s="142" t="str">
        <f ca="1">IF('IWP11'!ContractNumber = "", "", IF('IWP11'!Std7dot1 = "", "E", 'IWP11'!Std7dot1))</f>
        <v/>
      </c>
      <c r="G215" s="142" t="str">
        <f ca="1">IF('IWP12'!ContractNumber = "", "", IF('IWP12'!Std7dot1 = "", "E", 'IWP12'!Std7dot1))</f>
        <v/>
      </c>
      <c r="H215" s="142" t="str">
        <f ca="1">IF('IWP13'!ContractNumber = "", "", IF('IWP13'!Std7dot1 = "", "E", 'IWP13'!Std7dot1))</f>
        <v/>
      </c>
      <c r="I215" s="142" t="str">
        <f ca="1">IF('IWP14'!ContractNumber = "", "", IF('IWP14'!Std7dot1 = "", "E", 'IWP14'!Std7dot1))</f>
        <v/>
      </c>
      <c r="J215" s="142" t="str">
        <f ca="1">IF('IWP15'!ContractNumber = "", "", IF('IWP15'!Std7dot1 = "", "E", 'IWP15'!Std7dot1))</f>
        <v/>
      </c>
    </row>
    <row r="216" spans="1:10" ht="16.5" thickTop="1" thickBot="1">
      <c r="A216" s="396"/>
      <c r="B216" s="397"/>
      <c r="C216" s="397"/>
      <c r="D216" s="397"/>
      <c r="E216" s="398"/>
      <c r="F216" s="81">
        <v>16</v>
      </c>
      <c r="G216" s="81">
        <v>17</v>
      </c>
      <c r="H216" s="81">
        <v>18</v>
      </c>
      <c r="I216" s="81">
        <v>19</v>
      </c>
      <c r="J216" s="81">
        <v>20</v>
      </c>
    </row>
    <row r="217" spans="1:10" ht="16.5" customHeight="1" thickTop="1" thickBot="1">
      <c r="A217" s="396"/>
      <c r="B217" s="397"/>
      <c r="C217" s="397"/>
      <c r="D217" s="397"/>
      <c r="E217" s="398"/>
      <c r="F217" s="142" t="str">
        <f ca="1">IF('IWP16'!ContractNumber = "", "", IF('IWP16'!Std7dot1 = "", "E", 'IWP16'!Std7dot1))</f>
        <v/>
      </c>
      <c r="G217" s="142" t="str">
        <f ca="1">IF('IWP17'!ContractNumber = "", "", IF('IWP17'!Std7dot1 = "", "E", 'IWP17'!Std7dot1))</f>
        <v/>
      </c>
      <c r="H217" s="142" t="str">
        <f ca="1">IF('IWP18'!ContractNumber = "", "", IF('IWP18'!Std7dot1 = "", "E", 'IWP18'!Std7dot1))</f>
        <v/>
      </c>
      <c r="I217" s="142" t="str">
        <f ca="1">IF('IWP19'!ContractNumber = "", "", IF('IWP19'!Std7dot1 = "", "E", 'IWP19'!Std7dot1))</f>
        <v/>
      </c>
      <c r="J217" s="142" t="str">
        <f ca="1">IF('IWP20'!ContractNumber = "", "", IF('IWP20'!Std7dot1 = "", "E", 'IWP20'!Std7dot1))</f>
        <v/>
      </c>
    </row>
    <row r="218" spans="1:10" ht="16.5" thickTop="1" thickBot="1">
      <c r="A218" s="396"/>
      <c r="B218" s="397"/>
      <c r="C218" s="397"/>
      <c r="D218" s="397"/>
      <c r="E218" s="398"/>
      <c r="F218" s="81">
        <v>21</v>
      </c>
      <c r="G218" s="81">
        <v>22</v>
      </c>
      <c r="H218" s="81">
        <v>23</v>
      </c>
      <c r="I218" s="81">
        <v>24</v>
      </c>
      <c r="J218" s="81">
        <v>25</v>
      </c>
    </row>
    <row r="219" spans="1:10" ht="16.5" thickTop="1" thickBot="1">
      <c r="A219" s="396"/>
      <c r="B219" s="397"/>
      <c r="C219" s="397"/>
      <c r="D219" s="397"/>
      <c r="E219" s="398"/>
      <c r="F219" s="142" t="str">
        <f ca="1">IF('IWP21'!ContractNumber = "", "", IF('IWP21'!Std7dot1 = "", "E", 'IWP21'!Std7dot1))</f>
        <v/>
      </c>
      <c r="G219" s="142" t="str">
        <f ca="1">IF('IWP22'!ContractNumber = "", "", IF('IWP22'!Std7dot1 = "", "E", 'IWP22'!Std7dot1))</f>
        <v/>
      </c>
      <c r="H219" s="142" t="str">
        <f ca="1">IF('IWP23'!ContractNumber = "", "", IF('IWP23'!Std7dot1 = "", "E", 'IWP23'!Std7dot1))</f>
        <v/>
      </c>
      <c r="I219" s="142" t="str">
        <f ca="1">IF('IWP24'!ContractNumber = "", "", IF('IWP24'!Std7dot1 = "", "E", 'IWP24'!Std7dot1))</f>
        <v/>
      </c>
      <c r="J219" s="142" t="str">
        <f ca="1">IF('IWP25'!ContractNumber = "", "", IF('IWP25'!Std7dot1 = "", "E", 'IWP25'!Std7dot1))</f>
        <v/>
      </c>
    </row>
    <row r="220" spans="1:10" ht="16.5" customHeight="1" thickTop="1" thickBot="1">
      <c r="A220" s="396"/>
      <c r="B220" s="397"/>
      <c r="C220" s="397"/>
      <c r="D220" s="397"/>
      <c r="E220" s="398"/>
      <c r="F220" s="81">
        <v>26</v>
      </c>
      <c r="G220" s="81">
        <v>27</v>
      </c>
      <c r="H220" s="81">
        <v>28</v>
      </c>
      <c r="I220" s="81">
        <v>29</v>
      </c>
      <c r="J220" s="81">
        <v>30</v>
      </c>
    </row>
    <row r="221" spans="1:10" ht="16.5" thickTop="1" thickBot="1">
      <c r="A221" s="407"/>
      <c r="B221" s="408"/>
      <c r="C221" s="408"/>
      <c r="D221" s="408"/>
      <c r="E221" s="409"/>
      <c r="F221" s="142" t="str">
        <f ca="1">IF('IWP26'!ContractNumber = "", "", IF('IWP26'!Std7dot1 = "", "E", 'IWP26'!Std7dot1))</f>
        <v/>
      </c>
      <c r="G221" s="142" t="str">
        <f ca="1">IF('IWP27'!ContractNumber = "", "", IF('IWP27'!Std7dot1 = "", "E", 'IWP27'!Std7dot1))</f>
        <v/>
      </c>
      <c r="H221" s="142" t="str">
        <f ca="1">IF('IWP28'!ContractNumber = "", "", IF('IWP28'!Std7dot1 = "", "E", 'IWP28'!Std7dot1))</f>
        <v/>
      </c>
      <c r="I221" s="142" t="str">
        <f ca="1">IF('IWP29'!ContractNumber = "", "", IF('IWP29'!Std7dot1 = "", "E", 'IWP29'!Std7dot1))</f>
        <v/>
      </c>
      <c r="J221" s="142" t="str">
        <f ca="1">IF('IWP30'!ContractNumber = "", "", IF('IWP30'!Std7dot1 = "", "E", 'IWP30'!Std7dot1))</f>
        <v/>
      </c>
    </row>
    <row r="222" spans="1:10" ht="16.5" customHeight="1" thickTop="1" thickBot="1">
      <c r="A222" s="509" t="s">
        <v>16</v>
      </c>
      <c r="B222" s="382"/>
      <c r="C222" s="382"/>
      <c r="D222" s="382"/>
      <c r="E222" s="382"/>
      <c r="F222" s="383"/>
      <c r="G222" s="386" t="s">
        <v>19</v>
      </c>
      <c r="H222" s="387"/>
      <c r="I222" s="386" t="s">
        <v>20</v>
      </c>
      <c r="J222" s="387"/>
    </row>
    <row r="223" spans="1:10" ht="16.5" customHeight="1" thickTop="1" thickBot="1">
      <c r="A223" s="514"/>
      <c r="B223" s="384"/>
      <c r="C223" s="384"/>
      <c r="D223" s="384"/>
      <c r="E223" s="384"/>
      <c r="F223" s="385"/>
      <c r="G223" s="388">
        <f ca="1">COUNTIF(F211:J221, "Y")</f>
        <v>0</v>
      </c>
      <c r="H223" s="389"/>
      <c r="I223" s="388">
        <f ca="1">COUNTIF(F211:J221, "N")</f>
        <v>0</v>
      </c>
      <c r="J223" s="389"/>
    </row>
    <row r="224" spans="1:10" s="147" customFormat="1" ht="16.5" thickTop="1" thickBot="1">
      <c r="A224" s="464" t="s">
        <v>862</v>
      </c>
      <c r="B224" s="465"/>
      <c r="C224" s="465"/>
      <c r="D224" s="465"/>
      <c r="E224" s="466"/>
      <c r="F224" s="81">
        <v>1</v>
      </c>
      <c r="G224" s="81">
        <v>2</v>
      </c>
      <c r="H224" s="81">
        <v>3</v>
      </c>
      <c r="I224" s="81">
        <v>4</v>
      </c>
      <c r="J224" s="81">
        <v>5</v>
      </c>
    </row>
    <row r="225" spans="1:10" s="147" customFormat="1" ht="16.5" customHeight="1" thickTop="1" thickBot="1">
      <c r="A225" s="493"/>
      <c r="B225" s="494"/>
      <c r="C225" s="494"/>
      <c r="D225" s="494"/>
      <c r="E225" s="495"/>
      <c r="F225" s="142" t="str">
        <f ca="1">IF('IWP01'!ContractNumber = "", "", IF('IWP01'!Std7dot2 = "", "E", 'IWP01'!Std7dot2))</f>
        <v/>
      </c>
      <c r="G225" s="142" t="str">
        <f ca="1">IF('IWP02'!ContractNumber = "", "", IF('IWP02'!Std7dot2 = "", "E", 'IWP02'!Std7dot2))</f>
        <v/>
      </c>
      <c r="H225" s="142" t="str">
        <f ca="1">IF('IWP03'!ContractNumber = "", "", IF('IWP03'!Std7dot2 = "", "E", 'IWP03'!Std7dot2))</f>
        <v/>
      </c>
      <c r="I225" s="142" t="str">
        <f ca="1">IF('IWP04'!ContractNumber = "", "", IF('IWP04'!Std7dot2 = "", "E", 'IWP04'!Std7dot2))</f>
        <v/>
      </c>
      <c r="J225" s="142" t="str">
        <f ca="1">IF('IWP05'!ContractNumber = "", "", IF('IWP05'!Std7dot2 = "", "E", 'IWP05'!Std7dot2))</f>
        <v/>
      </c>
    </row>
    <row r="226" spans="1:10" s="147" customFormat="1" ht="16.5" thickTop="1" thickBot="1">
      <c r="A226" s="396" t="s">
        <v>828</v>
      </c>
      <c r="B226" s="397"/>
      <c r="C226" s="397"/>
      <c r="D226" s="397"/>
      <c r="E226" s="398"/>
      <c r="F226" s="81">
        <v>6</v>
      </c>
      <c r="G226" s="81">
        <v>7</v>
      </c>
      <c r="H226" s="81">
        <v>8</v>
      </c>
      <c r="I226" s="81">
        <v>9</v>
      </c>
      <c r="J226" s="81">
        <v>10</v>
      </c>
    </row>
    <row r="227" spans="1:10" s="147" customFormat="1" ht="16.5" thickTop="1" thickBot="1">
      <c r="A227" s="396"/>
      <c r="B227" s="397"/>
      <c r="C227" s="397"/>
      <c r="D227" s="397"/>
      <c r="E227" s="398"/>
      <c r="F227" s="142" t="str">
        <f ca="1">IF('IWP06'!ContractNumber = "", "", IF('IWP06'!Std7dot2 = "", "E", 'IWP06'!Std7dot2))</f>
        <v/>
      </c>
      <c r="G227" s="142" t="str">
        <f ca="1">IF('IWP07'!ContractNumber = "", "", IF('IWP07'!Std7dot2 = "", "E", 'IWP07'!Std7dot2))</f>
        <v/>
      </c>
      <c r="H227" s="142" t="str">
        <f ca="1">IF('IWP08'!ContractNumber = "", "", IF('IWP08'!Std7dot2 = "", "E", 'IWP08'!Std7dot2))</f>
        <v/>
      </c>
      <c r="I227" s="142" t="str">
        <f ca="1">IF('IWP09'!ContractNumber = "", "", IF('IWP09'!Std7dot2 = "", "E", 'IWP09'!Std7dot2))</f>
        <v/>
      </c>
      <c r="J227" s="142" t="str">
        <f ca="1">IF('IWP10'!ContractNumber = "", "", IF('IWP10'!Std7dot2 = "", "E", 'IWP10'!Std7dot2))</f>
        <v/>
      </c>
    </row>
    <row r="228" spans="1:10" s="147" customFormat="1" ht="16.5" thickTop="1" thickBot="1">
      <c r="A228" s="396"/>
      <c r="B228" s="397"/>
      <c r="C228" s="397"/>
      <c r="D228" s="397"/>
      <c r="E228" s="398"/>
      <c r="F228" s="81">
        <v>11</v>
      </c>
      <c r="G228" s="81">
        <v>12</v>
      </c>
      <c r="H228" s="81">
        <v>13</v>
      </c>
      <c r="I228" s="81">
        <v>14</v>
      </c>
      <c r="J228" s="81">
        <v>15</v>
      </c>
    </row>
    <row r="229" spans="1:10" s="147" customFormat="1" ht="16.5" thickTop="1" thickBot="1">
      <c r="A229" s="396"/>
      <c r="B229" s="397"/>
      <c r="C229" s="397"/>
      <c r="D229" s="397"/>
      <c r="E229" s="398"/>
      <c r="F229" s="142" t="str">
        <f ca="1">IF('IWP11'!ContractNumber = "", "", IF('IWP11'!Std7dot2 = "", "E", 'IWP11'!Std7dot2))</f>
        <v/>
      </c>
      <c r="G229" s="142" t="str">
        <f ca="1">IF('IWP12'!ContractNumber = "", "", IF('IWP12'!Std7dot2 = "", "E", 'IWP12'!Std7dot2))</f>
        <v/>
      </c>
      <c r="H229" s="142" t="str">
        <f ca="1">IF('IWP13'!ContractNumber = "", "", IF('IWP13'!Std7dot2 = "", "E", 'IWP13'!Std7dot2))</f>
        <v/>
      </c>
      <c r="I229" s="142" t="str">
        <f ca="1">IF('IWP14'!ContractNumber = "", "", IF('IWP14'!Std7dot2 = "", "E", 'IWP14'!Std7dot2))</f>
        <v/>
      </c>
      <c r="J229" s="142" t="str">
        <f ca="1">IF('IWP15'!ContractNumber = "", "", IF('IWP15'!Std7dot2 = "", "E", 'IWP15'!Std7dot2))</f>
        <v/>
      </c>
    </row>
    <row r="230" spans="1:10" s="147" customFormat="1" ht="16.5" thickTop="1" thickBot="1">
      <c r="A230" s="396"/>
      <c r="B230" s="397"/>
      <c r="C230" s="397"/>
      <c r="D230" s="397"/>
      <c r="E230" s="398"/>
      <c r="F230" s="81">
        <v>16</v>
      </c>
      <c r="G230" s="81">
        <v>17</v>
      </c>
      <c r="H230" s="81">
        <v>18</v>
      </c>
      <c r="I230" s="81">
        <v>19</v>
      </c>
      <c r="J230" s="81">
        <v>20</v>
      </c>
    </row>
    <row r="231" spans="1:10" s="147" customFormat="1" ht="16.5" customHeight="1" thickTop="1" thickBot="1">
      <c r="A231" s="396"/>
      <c r="B231" s="397"/>
      <c r="C231" s="397"/>
      <c r="D231" s="397"/>
      <c r="E231" s="398"/>
      <c r="F231" s="142" t="str">
        <f ca="1">IF('IWP16'!ContractNumber = "", "", IF('IWP16'!Std7dot2 = "", "E", 'IWP16'!Std7dot2))</f>
        <v/>
      </c>
      <c r="G231" s="142" t="str">
        <f ca="1">IF('IWP17'!ContractNumber = "", "", IF('IWP17'!Std7dot2 = "", "E", 'IWP17'!Std7dot2))</f>
        <v/>
      </c>
      <c r="H231" s="142" t="str">
        <f ca="1">IF('IWP18'!ContractNumber = "", "", IF('IWP18'!Std7dot2 = "", "E", 'IWP18'!Std7dot2))</f>
        <v/>
      </c>
      <c r="I231" s="142" t="str">
        <f ca="1">IF('IWP19'!ContractNumber = "", "", IF('IWP19'!Std7dot2 = "", "E", 'IWP19'!Std7dot2))</f>
        <v/>
      </c>
      <c r="J231" s="142" t="str">
        <f ca="1">IF('IWP20'!ContractNumber = "", "", IF('IWP20'!Std7dot2 = "", "E", 'IWP20'!Std7dot2))</f>
        <v/>
      </c>
    </row>
    <row r="232" spans="1:10" s="147" customFormat="1" ht="16.5" thickTop="1" thickBot="1">
      <c r="A232" s="396"/>
      <c r="B232" s="397"/>
      <c r="C232" s="397"/>
      <c r="D232" s="397"/>
      <c r="E232" s="398"/>
      <c r="F232" s="81">
        <v>21</v>
      </c>
      <c r="G232" s="81">
        <v>22</v>
      </c>
      <c r="H232" s="81">
        <v>23</v>
      </c>
      <c r="I232" s="81">
        <v>24</v>
      </c>
      <c r="J232" s="81">
        <v>25</v>
      </c>
    </row>
    <row r="233" spans="1:10" s="147" customFormat="1" ht="16.5" thickTop="1" thickBot="1">
      <c r="A233" s="396"/>
      <c r="B233" s="397"/>
      <c r="C233" s="397"/>
      <c r="D233" s="397"/>
      <c r="E233" s="398"/>
      <c r="F233" s="142" t="str">
        <f ca="1">IF('IWP21'!ContractNumber = "", "", IF('IWP21'!Std7dot2 = "", "E", 'IWP21'!Std7dot2))</f>
        <v/>
      </c>
      <c r="G233" s="142" t="str">
        <f ca="1">IF('IWP22'!ContractNumber = "", "", IF('IWP22'!Std7dot2 = "", "E", 'IWP22'!Std7dot2))</f>
        <v/>
      </c>
      <c r="H233" s="142" t="str">
        <f ca="1">IF('IWP23'!ContractNumber = "", "", IF('IWP23'!Std7dot2 = "", "E", 'IWP23'!Std7dot2))</f>
        <v/>
      </c>
      <c r="I233" s="142" t="str">
        <f ca="1">IF('IWP24'!ContractNumber = "", "", IF('IWP24'!Std7dot2 = "", "E", 'IWP24'!Std7dot2))</f>
        <v/>
      </c>
      <c r="J233" s="142" t="str">
        <f ca="1">IF('IWP25'!ContractNumber = "", "", IF('IWP25'!Std7dot2 = "", "E", 'IWP25'!Std7dot2))</f>
        <v/>
      </c>
    </row>
    <row r="234" spans="1:10" s="147" customFormat="1" ht="16.5" customHeight="1" thickTop="1" thickBot="1">
      <c r="A234" s="396"/>
      <c r="B234" s="397"/>
      <c r="C234" s="397"/>
      <c r="D234" s="397"/>
      <c r="E234" s="398"/>
      <c r="F234" s="81">
        <v>26</v>
      </c>
      <c r="G234" s="81">
        <v>27</v>
      </c>
      <c r="H234" s="81">
        <v>28</v>
      </c>
      <c r="I234" s="81">
        <v>29</v>
      </c>
      <c r="J234" s="81">
        <v>30</v>
      </c>
    </row>
    <row r="235" spans="1:10" s="147" customFormat="1" ht="16.5" thickTop="1" thickBot="1">
      <c r="A235" s="407"/>
      <c r="B235" s="408"/>
      <c r="C235" s="408"/>
      <c r="D235" s="408"/>
      <c r="E235" s="409"/>
      <c r="F235" s="142" t="str">
        <f ca="1">IF('IWP26'!ContractNumber = "", "", IF('IWP26'!Std7dot2 = "", "E", 'IWP26'!Std7dot2))</f>
        <v/>
      </c>
      <c r="G235" s="142" t="str">
        <f ca="1">IF('IWP27'!ContractNumber = "", "", IF('IWP27'!Std7dot2 = "", "E", 'IWP27'!Std7dot2))</f>
        <v/>
      </c>
      <c r="H235" s="142" t="str">
        <f ca="1">IF('IWP28'!ContractNumber = "", "", IF('IWP28'!Std7dot2 = "", "E", 'IWP28'!Std7dot2))</f>
        <v/>
      </c>
      <c r="I235" s="142" t="str">
        <f ca="1">IF('IWP29'!ContractNumber = "", "", IF('IWP29'!Std7dot2 = "", "E", 'IWP29'!Std7dot2))</f>
        <v/>
      </c>
      <c r="J235" s="142" t="str">
        <f ca="1">IF('IWP30'!ContractNumber = "", "", IF('IWP30'!Std7dot2 = "", "E", 'IWP30'!Std7dot2))</f>
        <v/>
      </c>
    </row>
    <row r="236" spans="1:10" s="147" customFormat="1" ht="16.5" customHeight="1" thickTop="1" thickBot="1">
      <c r="A236" s="509" t="s">
        <v>16</v>
      </c>
      <c r="B236" s="382"/>
      <c r="C236" s="382"/>
      <c r="D236" s="382"/>
      <c r="E236" s="382"/>
      <c r="F236" s="383"/>
      <c r="G236" s="386" t="s">
        <v>19</v>
      </c>
      <c r="H236" s="387"/>
      <c r="I236" s="386" t="s">
        <v>20</v>
      </c>
      <c r="J236" s="387"/>
    </row>
    <row r="237" spans="1:10" s="147" customFormat="1" ht="16.5" customHeight="1" thickTop="1" thickBot="1">
      <c r="A237" s="514"/>
      <c r="B237" s="384"/>
      <c r="C237" s="384"/>
      <c r="D237" s="384"/>
      <c r="E237" s="384"/>
      <c r="F237" s="385"/>
      <c r="G237" s="388">
        <f ca="1">COUNTIF(F225:J235, "Y")</f>
        <v>0</v>
      </c>
      <c r="H237" s="389"/>
      <c r="I237" s="388">
        <f ca="1">COUNTIF(F225:J235, "N")</f>
        <v>0</v>
      </c>
      <c r="J237" s="389"/>
    </row>
    <row r="238" spans="1:10" ht="16.5" customHeight="1" thickTop="1" thickBot="1">
      <c r="A238" s="515" t="s">
        <v>829</v>
      </c>
      <c r="B238" s="516"/>
      <c r="C238" s="516"/>
      <c r="D238" s="516"/>
      <c r="E238" s="516"/>
      <c r="F238" s="517"/>
      <c r="G238" s="386" t="s">
        <v>17</v>
      </c>
      <c r="H238" s="387"/>
      <c r="I238" s="386" t="s">
        <v>18</v>
      </c>
      <c r="J238" s="387"/>
    </row>
    <row r="239" spans="1:10" ht="15.75" customHeight="1" thickTop="1" thickBot="1">
      <c r="A239" s="518"/>
      <c r="B239" s="519"/>
      <c r="C239" s="519"/>
      <c r="D239" s="519"/>
      <c r="E239" s="519"/>
      <c r="F239" s="520"/>
      <c r="G239" s="388">
        <f ca="1">G223+G237</f>
        <v>0</v>
      </c>
      <c r="H239" s="389"/>
      <c r="I239" s="388">
        <f ca="1">I223+I237</f>
        <v>0</v>
      </c>
      <c r="J239" s="389"/>
    </row>
    <row r="240" spans="1:10" ht="17.25" customHeight="1" thickTop="1">
      <c r="A240" s="503" t="s">
        <v>87</v>
      </c>
      <c r="B240" s="504"/>
      <c r="C240" s="504"/>
      <c r="D240" s="504"/>
      <c r="E240" s="504"/>
      <c r="F240" s="504"/>
      <c r="G240" s="504"/>
      <c r="H240" s="504"/>
      <c r="I240" s="504"/>
      <c r="J240" s="505"/>
    </row>
    <row r="241" spans="1:10" ht="15.75" thickBot="1">
      <c r="A241" s="506" t="s">
        <v>596</v>
      </c>
      <c r="B241" s="507"/>
      <c r="C241" s="507"/>
      <c r="D241" s="507"/>
      <c r="E241" s="507"/>
      <c r="F241" s="507"/>
      <c r="G241" s="507"/>
      <c r="H241" s="507"/>
      <c r="I241" s="507"/>
      <c r="J241" s="508"/>
    </row>
    <row r="242" spans="1:10" ht="17.25" customHeight="1" thickTop="1" thickBot="1">
      <c r="A242" s="464" t="s">
        <v>57</v>
      </c>
      <c r="B242" s="465"/>
      <c r="C242" s="465"/>
      <c r="D242" s="465"/>
      <c r="E242" s="466"/>
      <c r="F242" s="81">
        <v>1</v>
      </c>
      <c r="G242" s="81">
        <v>2</v>
      </c>
      <c r="H242" s="81">
        <v>3</v>
      </c>
      <c r="I242" s="81">
        <v>4</v>
      </c>
      <c r="J242" s="81">
        <v>5</v>
      </c>
    </row>
    <row r="243" spans="1:10" ht="17.25" customHeight="1" thickTop="1" thickBot="1">
      <c r="A243" s="493"/>
      <c r="B243" s="494"/>
      <c r="C243" s="494"/>
      <c r="D243" s="494"/>
      <c r="E243" s="495"/>
      <c r="F243" s="142" t="str">
        <f ca="1">IF('IWP01'!ContractNumber = "", "", IF('IWP01'!Std8dot1 = "", "E", 'IWP01'!Std8dot1))</f>
        <v/>
      </c>
      <c r="G243" s="142" t="str">
        <f ca="1">IF('IWP02'!ContractNumber = "", "", IF('IWP02'!Std8dot1 = "", "E", 'IWP02'!Std8dot1))</f>
        <v/>
      </c>
      <c r="H243" s="142" t="str">
        <f ca="1">IF('IWP03'!ContractNumber = "", "", IF('IWP03'!Std8dot1 = "", "E", 'IWP03'!Std8dot1))</f>
        <v/>
      </c>
      <c r="I243" s="142" t="str">
        <f ca="1">IF('IWP04'!ContractNumber = "", "", IF('IWP04'!Std8dot1 = "", "E", 'IWP04'!Std8dot1))</f>
        <v/>
      </c>
      <c r="J243" s="142" t="str">
        <f ca="1">IF('IWP05'!ContractNumber = "", "", IF('IWP05'!Std8dot1 = "", "E", 'IWP05'!Std8dot1))</f>
        <v/>
      </c>
    </row>
    <row r="244" spans="1:10" ht="17.25" customHeight="1" thickTop="1" thickBot="1">
      <c r="A244" s="396" t="s">
        <v>830</v>
      </c>
      <c r="B244" s="397"/>
      <c r="C244" s="397"/>
      <c r="D244" s="397"/>
      <c r="E244" s="398"/>
      <c r="F244" s="81">
        <v>6</v>
      </c>
      <c r="G244" s="81">
        <v>7</v>
      </c>
      <c r="H244" s="81">
        <v>8</v>
      </c>
      <c r="I244" s="81">
        <v>9</v>
      </c>
      <c r="J244" s="81">
        <v>10</v>
      </c>
    </row>
    <row r="245" spans="1:10" ht="17.25" customHeight="1" thickTop="1" thickBot="1">
      <c r="A245" s="396"/>
      <c r="B245" s="397"/>
      <c r="C245" s="397"/>
      <c r="D245" s="397"/>
      <c r="E245" s="398"/>
      <c r="F245" s="142" t="str">
        <f ca="1">IF('IWP06'!ContractNumber = "", "", IF('IWP06'!Std8dot1 = "", "E", 'IWP06'!Std8dot1))</f>
        <v/>
      </c>
      <c r="G245" s="142" t="str">
        <f ca="1">IF('IWP07'!ContractNumber = "", "", IF('IWP07'!Std8dot1 = "", "E", 'IWP07'!Std8dot1))</f>
        <v/>
      </c>
      <c r="H245" s="142" t="str">
        <f ca="1">IF('IWP08'!ContractNumber = "", "", IF('IWP08'!Std8dot1 = "", "E", 'IWP08'!Std8dot1))</f>
        <v/>
      </c>
      <c r="I245" s="142" t="str">
        <f ca="1">IF('IWP09'!ContractNumber = "", "", IF('IWP09'!Std8dot1 = "", "E", 'IWP09'!Std8dot1))</f>
        <v/>
      </c>
      <c r="J245" s="142" t="str">
        <f ca="1">IF('IWP10'!ContractNumber = "", "", IF('IWP10'!Std8dot1 = "", "E", 'IWP10'!Std8dot1))</f>
        <v/>
      </c>
    </row>
    <row r="246" spans="1:10" ht="17.25" customHeight="1" thickTop="1" thickBot="1">
      <c r="A246" s="396"/>
      <c r="B246" s="397"/>
      <c r="C246" s="397"/>
      <c r="D246" s="397"/>
      <c r="E246" s="398"/>
      <c r="F246" s="81">
        <v>11</v>
      </c>
      <c r="G246" s="81">
        <v>12</v>
      </c>
      <c r="H246" s="81">
        <v>13</v>
      </c>
      <c r="I246" s="81">
        <v>14</v>
      </c>
      <c r="J246" s="81">
        <v>15</v>
      </c>
    </row>
    <row r="247" spans="1:10" ht="17.25" customHeight="1" thickTop="1" thickBot="1">
      <c r="A247" s="396"/>
      <c r="B247" s="397"/>
      <c r="C247" s="397"/>
      <c r="D247" s="397"/>
      <c r="E247" s="398"/>
      <c r="F247" s="142" t="str">
        <f ca="1">IF('IWP11'!ContractNumber = "", "", IF('IWP11'!Std8dot1 = "", "E", 'IWP11'!Std8dot1))</f>
        <v/>
      </c>
      <c r="G247" s="142" t="str">
        <f ca="1">IF('IWP12'!ContractNumber = "", "", IF('IWP12'!Std8dot1 = "", "E", 'IWP12'!Std8dot1))</f>
        <v/>
      </c>
      <c r="H247" s="142" t="str">
        <f ca="1">IF('IWP13'!ContractNumber = "", "", IF('IWP13'!Std8dot1 = "", "E", 'IWP13'!Std8dot1))</f>
        <v/>
      </c>
      <c r="I247" s="142" t="str">
        <f ca="1">IF('IWP14'!ContractNumber = "", "", IF('IWP14'!Std8dot1 = "", "E", 'IWP14'!Std8dot1))</f>
        <v/>
      </c>
      <c r="J247" s="142" t="str">
        <f ca="1">IF('IWP15'!ContractNumber = "", "", IF('IWP15'!Std8dot1 = "", "E", 'IWP15'!Std8dot1))</f>
        <v/>
      </c>
    </row>
    <row r="248" spans="1:10" ht="17.25" customHeight="1" thickTop="1" thickBot="1">
      <c r="A248" s="396"/>
      <c r="B248" s="397"/>
      <c r="C248" s="397"/>
      <c r="D248" s="397"/>
      <c r="E248" s="398"/>
      <c r="F248" s="81">
        <v>16</v>
      </c>
      <c r="G248" s="81">
        <v>17</v>
      </c>
      <c r="H248" s="81">
        <v>18</v>
      </c>
      <c r="I248" s="81">
        <v>19</v>
      </c>
      <c r="J248" s="81">
        <v>20</v>
      </c>
    </row>
    <row r="249" spans="1:10" ht="16.5" customHeight="1" thickTop="1" thickBot="1">
      <c r="A249" s="396"/>
      <c r="B249" s="397"/>
      <c r="C249" s="397"/>
      <c r="D249" s="397"/>
      <c r="E249" s="398"/>
      <c r="F249" s="142" t="str">
        <f ca="1">IF('IWP16'!ContractNumber = "", "", IF('IWP16'!Std8dot1 = "", "E", 'IWP16'!Std8dot1))</f>
        <v/>
      </c>
      <c r="G249" s="142" t="str">
        <f ca="1">IF('IWP17'!ContractNumber = "", "", IF('IWP17'!Std8dot1 = "", "E", 'IWP17'!Std8dot1))</f>
        <v/>
      </c>
      <c r="H249" s="142" t="str">
        <f ca="1">IF('IWP18'!ContractNumber = "", "", IF('IWP18'!Std8dot1 = "", "E", 'IWP18'!Std8dot1))</f>
        <v/>
      </c>
      <c r="I249" s="142" t="str">
        <f ca="1">IF('IWP19'!ContractNumber = "", "", IF('IWP19'!Std8dot1 = "", "E", 'IWP19'!Std8dot1))</f>
        <v/>
      </c>
      <c r="J249" s="142" t="str">
        <f ca="1">IF('IWP20'!ContractNumber = "", "", IF('IWP20'!Std8dot1 = "", "E", 'IWP20'!Std8dot1))</f>
        <v/>
      </c>
    </row>
    <row r="250" spans="1:10" ht="17.25" customHeight="1" thickTop="1" thickBot="1">
      <c r="A250" s="396"/>
      <c r="B250" s="397"/>
      <c r="C250" s="397"/>
      <c r="D250" s="397"/>
      <c r="E250" s="398"/>
      <c r="F250" s="81">
        <v>21</v>
      </c>
      <c r="G250" s="81">
        <v>22</v>
      </c>
      <c r="H250" s="81">
        <v>23</v>
      </c>
      <c r="I250" s="81">
        <v>24</v>
      </c>
      <c r="J250" s="81">
        <v>25</v>
      </c>
    </row>
    <row r="251" spans="1:10" ht="17.25" customHeight="1" thickTop="1" thickBot="1">
      <c r="A251" s="396"/>
      <c r="B251" s="397"/>
      <c r="C251" s="397"/>
      <c r="D251" s="397"/>
      <c r="E251" s="398"/>
      <c r="F251" s="142" t="str">
        <f ca="1">IF('IWP21'!ContractNumber = "", "", IF('IWP21'!Std8dot1 = "", "E", 'IWP21'!Std8dot1))</f>
        <v/>
      </c>
      <c r="G251" s="142" t="str">
        <f ca="1">IF('IWP22'!ContractNumber = "", "", IF('IWP22'!Std8dot1 = "", "E", 'IWP22'!Std8dot1))</f>
        <v/>
      </c>
      <c r="H251" s="142" t="str">
        <f ca="1">IF('IWP23'!ContractNumber = "", "", IF('IWP23'!Std8dot1 = "", "E", 'IWP23'!Std8dot1))</f>
        <v/>
      </c>
      <c r="I251" s="142" t="str">
        <f ca="1">IF('IWP24'!ContractNumber = "", "", IF('IWP24'!Std8dot1 = "", "E", 'IWP24'!Std8dot1))</f>
        <v/>
      </c>
      <c r="J251" s="142" t="str">
        <f ca="1">IF('IWP25'!ContractNumber = "", "", IF('IWP25'!Std8dot1 = "", "E", 'IWP25'!Std8dot1))</f>
        <v/>
      </c>
    </row>
    <row r="252" spans="1:10" ht="16.5" customHeight="1" thickTop="1" thickBot="1">
      <c r="A252" s="396"/>
      <c r="B252" s="397"/>
      <c r="C252" s="397"/>
      <c r="D252" s="397"/>
      <c r="E252" s="398"/>
      <c r="F252" s="81">
        <v>26</v>
      </c>
      <c r="G252" s="81">
        <v>27</v>
      </c>
      <c r="H252" s="81">
        <v>28</v>
      </c>
      <c r="I252" s="81">
        <v>29</v>
      </c>
      <c r="J252" s="81">
        <v>30</v>
      </c>
    </row>
    <row r="253" spans="1:10" ht="16.5" thickTop="1" thickBot="1">
      <c r="A253" s="407"/>
      <c r="B253" s="408"/>
      <c r="C253" s="408"/>
      <c r="D253" s="408"/>
      <c r="E253" s="409"/>
      <c r="F253" s="142" t="str">
        <f ca="1">IF('IWP26'!ContractNumber = "", "", IF('IWP26'!Std8dot1 = "", "E", 'IWP26'!Std8dot1))</f>
        <v/>
      </c>
      <c r="G253" s="142" t="str">
        <f ca="1">IF('IWP27'!ContractNumber = "", "", IF('IWP27'!Std8dot1 = "", "E", 'IWP27'!Std8dot1))</f>
        <v/>
      </c>
      <c r="H253" s="142" t="str">
        <f ca="1">IF('IWP28'!ContractNumber = "", "", IF('IWP28'!Std8dot1 = "", "E", 'IWP28'!Std8dot1))</f>
        <v/>
      </c>
      <c r="I253" s="142" t="str">
        <f ca="1">IF('IWP29'!ContractNumber = "", "", IF('IWP29'!Std8dot1 = "", "E", 'IWP29'!Std8dot1))</f>
        <v/>
      </c>
      <c r="J253" s="142" t="str">
        <f ca="1">IF('IWP30'!ContractNumber = "", "", IF('IWP30'!Std8dot1 = "", "E", 'IWP30'!Std8dot1))</f>
        <v/>
      </c>
    </row>
    <row r="254" spans="1:10" ht="16.5" customHeight="1" thickTop="1" thickBot="1">
      <c r="A254" s="509" t="s">
        <v>16</v>
      </c>
      <c r="B254" s="382"/>
      <c r="C254" s="382"/>
      <c r="D254" s="382"/>
      <c r="E254" s="382"/>
      <c r="F254" s="383"/>
      <c r="G254" s="386" t="s">
        <v>19</v>
      </c>
      <c r="H254" s="387"/>
      <c r="I254" s="386" t="s">
        <v>20</v>
      </c>
      <c r="J254" s="387"/>
    </row>
    <row r="255" spans="1:10" ht="17.25" customHeight="1" thickTop="1" thickBot="1">
      <c r="A255" s="514"/>
      <c r="B255" s="384"/>
      <c r="C255" s="384"/>
      <c r="D255" s="384"/>
      <c r="E255" s="384"/>
      <c r="F255" s="385"/>
      <c r="G255" s="388">
        <f ca="1">COUNTIF(F243:J253, "Y")</f>
        <v>0</v>
      </c>
      <c r="H255" s="389"/>
      <c r="I255" s="388">
        <f ca="1">COUNTIF(F243:J253, "N")</f>
        <v>0</v>
      </c>
      <c r="J255" s="389"/>
    </row>
    <row r="256" spans="1:10" ht="16.5" customHeight="1" thickTop="1" thickBot="1">
      <c r="A256" s="464" t="s">
        <v>58</v>
      </c>
      <c r="B256" s="465"/>
      <c r="C256" s="465"/>
      <c r="D256" s="465"/>
      <c r="E256" s="466"/>
      <c r="F256" s="81">
        <v>1</v>
      </c>
      <c r="G256" s="81">
        <v>2</v>
      </c>
      <c r="H256" s="81">
        <v>3</v>
      </c>
      <c r="I256" s="81">
        <v>4</v>
      </c>
      <c r="J256" s="81">
        <v>5</v>
      </c>
    </row>
    <row r="257" spans="1:10" ht="15.75" customHeight="1" thickTop="1" thickBot="1">
      <c r="A257" s="493"/>
      <c r="B257" s="494"/>
      <c r="C257" s="494"/>
      <c r="D257" s="494"/>
      <c r="E257" s="495"/>
      <c r="F257" s="142" t="str">
        <f ca="1">IF('IWP01'!ContractNumber = "", "", IF('IWP01'!Std8dot2 = "", "E", 'IWP01'!Std8dot2))</f>
        <v/>
      </c>
      <c r="G257" s="142" t="str">
        <f ca="1">IF('IWP02'!ContractNumber = "", "", IF('IWP02'!Std8dot2 = "", "E", 'IWP02'!Std8dot2))</f>
        <v/>
      </c>
      <c r="H257" s="142" t="str">
        <f ca="1">IF('IWP03'!ContractNumber = "", "", IF('IWP03'!Std8dot2 = "", "E", 'IWP03'!Std8dot2))</f>
        <v/>
      </c>
      <c r="I257" s="142" t="str">
        <f ca="1">IF('IWP04'!ContractNumber = "", "", IF('IWP04'!Std8dot2 = "", "E", 'IWP04'!Std8dot2))</f>
        <v/>
      </c>
      <c r="J257" s="142" t="str">
        <f ca="1">IF('IWP05'!ContractNumber = "", "", IF('IWP05'!Std8dot2 = "", "E", 'IWP05'!Std8dot2))</f>
        <v/>
      </c>
    </row>
    <row r="258" spans="1:10" ht="17.25" customHeight="1" thickTop="1" thickBot="1">
      <c r="A258" s="493"/>
      <c r="B258" s="494"/>
      <c r="C258" s="494"/>
      <c r="D258" s="494"/>
      <c r="E258" s="495"/>
      <c r="F258" s="81">
        <v>6</v>
      </c>
      <c r="G258" s="81">
        <v>7</v>
      </c>
      <c r="H258" s="81">
        <v>8</v>
      </c>
      <c r="I258" s="81">
        <v>9</v>
      </c>
      <c r="J258" s="81">
        <v>10</v>
      </c>
    </row>
    <row r="259" spans="1:10" ht="16.5" thickTop="1" thickBot="1">
      <c r="A259" s="396" t="s">
        <v>831</v>
      </c>
      <c r="B259" s="397"/>
      <c r="C259" s="397"/>
      <c r="D259" s="397"/>
      <c r="E259" s="398"/>
      <c r="F259" s="142" t="str">
        <f ca="1">IF('IWP06'!ContractNumber = "", "", IF('IWP06'!Std8dot2 = "", "E", 'IWP06'!Std8dot2))</f>
        <v/>
      </c>
      <c r="G259" s="142" t="str">
        <f ca="1">IF('IWP07'!ContractNumber = "", "", IF('IWP07'!Std8dot2 = "", "E", 'IWP07'!Std8dot2))</f>
        <v/>
      </c>
      <c r="H259" s="142" t="str">
        <f ca="1">IF('IWP08'!ContractNumber = "", "", IF('IWP08'!Std8dot2 = "", "E", 'IWP08'!Std8dot2))</f>
        <v/>
      </c>
      <c r="I259" s="142" t="str">
        <f ca="1">IF('IWP09'!ContractNumber = "", "", IF('IWP09'!Std8dot2 = "", "E", 'IWP09'!Std8dot2))</f>
        <v/>
      </c>
      <c r="J259" s="142" t="str">
        <f ca="1">IF('IWP10'!ContractNumber = "", "", IF('IWP10'!Std8dot2 = "", "E", 'IWP10'!Std8dot2))</f>
        <v/>
      </c>
    </row>
    <row r="260" spans="1:10" ht="16.5" customHeight="1" thickTop="1" thickBot="1">
      <c r="A260" s="396"/>
      <c r="B260" s="397"/>
      <c r="C260" s="397"/>
      <c r="D260" s="397"/>
      <c r="E260" s="398"/>
      <c r="F260" s="81">
        <v>11</v>
      </c>
      <c r="G260" s="81">
        <v>12</v>
      </c>
      <c r="H260" s="81">
        <v>13</v>
      </c>
      <c r="I260" s="81">
        <v>14</v>
      </c>
      <c r="J260" s="81">
        <v>15</v>
      </c>
    </row>
    <row r="261" spans="1:10" ht="16.5" thickTop="1" thickBot="1">
      <c r="A261" s="396"/>
      <c r="B261" s="397"/>
      <c r="C261" s="397"/>
      <c r="D261" s="397"/>
      <c r="E261" s="398"/>
      <c r="F261" s="142" t="str">
        <f ca="1">IF('IWP11'!ContractNumber = "", "", IF('IWP11'!Std8dot2 = "", "E", 'IWP11'!Std8dot2))</f>
        <v/>
      </c>
      <c r="G261" s="142" t="str">
        <f ca="1">IF('IWP12'!ContractNumber = "", "", IF('IWP12'!Std8dot2 = "", "E", 'IWP12'!Std8dot2))</f>
        <v/>
      </c>
      <c r="H261" s="142" t="str">
        <f ca="1">IF('IWP13'!ContractNumber = "", "", IF('IWP13'!Std8dot2 = "", "E", 'IWP13'!Std8dot2))</f>
        <v/>
      </c>
      <c r="I261" s="142" t="str">
        <f ca="1">IF('IWP14'!ContractNumber = "", "", IF('IWP14'!Std8dot2 = "", "E", 'IWP14'!Std8dot2))</f>
        <v/>
      </c>
      <c r="J261" s="142" t="str">
        <f ca="1">IF('IWP15'!ContractNumber = "", "", IF('IWP15'!Std8dot2 = "", "E", 'IWP15'!Std8dot2))</f>
        <v/>
      </c>
    </row>
    <row r="262" spans="1:10" ht="16.5" thickTop="1" thickBot="1">
      <c r="A262" s="396"/>
      <c r="B262" s="397"/>
      <c r="C262" s="397"/>
      <c r="D262" s="397"/>
      <c r="E262" s="398"/>
      <c r="F262" s="81">
        <v>16</v>
      </c>
      <c r="G262" s="81">
        <v>17</v>
      </c>
      <c r="H262" s="81">
        <v>18</v>
      </c>
      <c r="I262" s="81">
        <v>19</v>
      </c>
      <c r="J262" s="81">
        <v>20</v>
      </c>
    </row>
    <row r="263" spans="1:10" ht="16.5" thickTop="1" thickBot="1">
      <c r="A263" s="396"/>
      <c r="B263" s="397"/>
      <c r="C263" s="397"/>
      <c r="D263" s="397"/>
      <c r="E263" s="398"/>
      <c r="F263" s="142" t="str">
        <f ca="1">IF('IWP16'!ContractNumber = "", "", IF('IWP16'!Std8dot2 = "", "E", 'IWP16'!Std8dot2))</f>
        <v/>
      </c>
      <c r="G263" s="142" t="str">
        <f ca="1">IF('IWP17'!ContractNumber = "", "", IF('IWP17'!Std8dot2 = "", "E", 'IWP17'!Std8dot2))</f>
        <v/>
      </c>
      <c r="H263" s="142" t="str">
        <f ca="1">IF('IWP18'!ContractNumber = "", "", IF('IWP18'!Std8dot2 = "", "E", 'IWP18'!Std8dot2))</f>
        <v/>
      </c>
      <c r="I263" s="142" t="str">
        <f ca="1">IF('IWP19'!ContractNumber = "", "", IF('IWP19'!Std8dot2 = "", "E", 'IWP19'!Std8dot2))</f>
        <v/>
      </c>
      <c r="J263" s="142" t="str">
        <f ca="1">IF('IWP20'!ContractNumber = "", "", IF('IWP20'!Std8dot2 = "", "E", 'IWP20'!Std8dot2))</f>
        <v/>
      </c>
    </row>
    <row r="264" spans="1:10" ht="16.5" thickTop="1" thickBot="1">
      <c r="A264" s="396"/>
      <c r="B264" s="397"/>
      <c r="C264" s="397"/>
      <c r="D264" s="397"/>
      <c r="E264" s="398"/>
      <c r="F264" s="81">
        <v>21</v>
      </c>
      <c r="G264" s="81">
        <v>22</v>
      </c>
      <c r="H264" s="81">
        <v>23</v>
      </c>
      <c r="I264" s="81">
        <v>24</v>
      </c>
      <c r="J264" s="81">
        <v>25</v>
      </c>
    </row>
    <row r="265" spans="1:10" ht="16.5" thickTop="1" thickBot="1">
      <c r="A265" s="396"/>
      <c r="B265" s="397"/>
      <c r="C265" s="397"/>
      <c r="D265" s="397"/>
      <c r="E265" s="398"/>
      <c r="F265" s="142" t="str">
        <f ca="1">IF('IWP21'!ContractNumber = "", "", IF('IWP21'!Std8dot2 = "", "E", 'IWP21'!Std8dot2))</f>
        <v/>
      </c>
      <c r="G265" s="142" t="str">
        <f ca="1">IF('IWP22'!ContractNumber = "", "", IF('IWP22'!Std8dot2 = "", "E", 'IWP22'!Std8dot2))</f>
        <v/>
      </c>
      <c r="H265" s="142" t="str">
        <f ca="1">IF('IWP23'!ContractNumber = "", "", IF('IWP23'!Std8dot2 = "", "E", 'IWP23'!Std8dot2))</f>
        <v/>
      </c>
      <c r="I265" s="142" t="str">
        <f ca="1">IF('IWP24'!ContractNumber = "", "", IF('IWP24'!Std8dot2 = "", "E", 'IWP24'!Std8dot2))</f>
        <v/>
      </c>
      <c r="J265" s="142" t="str">
        <f ca="1">IF('IWP25'!ContractNumber = "", "", IF('IWP25'!Std8dot2 = "", "E", 'IWP25'!Std8dot2))</f>
        <v/>
      </c>
    </row>
    <row r="266" spans="1:10" ht="16.5" thickTop="1" thickBot="1">
      <c r="A266" s="396"/>
      <c r="B266" s="397"/>
      <c r="C266" s="397"/>
      <c r="D266" s="397"/>
      <c r="E266" s="398"/>
      <c r="F266" s="81">
        <v>26</v>
      </c>
      <c r="G266" s="81">
        <v>27</v>
      </c>
      <c r="H266" s="81">
        <v>28</v>
      </c>
      <c r="I266" s="81">
        <v>29</v>
      </c>
      <c r="J266" s="81">
        <v>30</v>
      </c>
    </row>
    <row r="267" spans="1:10" ht="16.5" customHeight="1" thickTop="1" thickBot="1">
      <c r="A267" s="407"/>
      <c r="B267" s="408"/>
      <c r="C267" s="408"/>
      <c r="D267" s="408"/>
      <c r="E267" s="409"/>
      <c r="F267" s="142" t="str">
        <f ca="1">IF('IWP26'!ContractNumber = "", "", IF('IWP26'!Std8dot2 = "", "E", 'IWP26'!Std8dot2))</f>
        <v/>
      </c>
      <c r="G267" s="142" t="str">
        <f ca="1">IF('IWP27'!ContractNumber = "", "", IF('IWP27'!Std8dot2 = "", "E", 'IWP27'!Std8dot2))</f>
        <v/>
      </c>
      <c r="H267" s="142" t="str">
        <f ca="1">IF('IWP28'!ContractNumber = "", "", IF('IWP28'!Std8dot2 = "", "E", 'IWP28'!Std8dot2))</f>
        <v/>
      </c>
      <c r="I267" s="142" t="str">
        <f ca="1">IF('IWP29'!ContractNumber = "", "", IF('IWP29'!Std8dot2 = "", "E", 'IWP29'!Std8dot2))</f>
        <v/>
      </c>
      <c r="J267" s="142" t="str">
        <f ca="1">IF('IWP30'!ContractNumber = "", "", IF('IWP30'!Std8dot2 = "", "E", 'IWP30'!Std8dot2))</f>
        <v/>
      </c>
    </row>
    <row r="268" spans="1:10" ht="16.5" thickTop="1" thickBot="1">
      <c r="A268" s="509" t="s">
        <v>16</v>
      </c>
      <c r="B268" s="382"/>
      <c r="C268" s="382"/>
      <c r="D268" s="382"/>
      <c r="E268" s="382"/>
      <c r="F268" s="383"/>
      <c r="G268" s="386" t="s">
        <v>19</v>
      </c>
      <c r="H268" s="387"/>
      <c r="I268" s="386" t="s">
        <v>20</v>
      </c>
      <c r="J268" s="387"/>
    </row>
    <row r="269" spans="1:10" ht="16.5" thickTop="1" thickBot="1">
      <c r="A269" s="514"/>
      <c r="B269" s="384"/>
      <c r="C269" s="384"/>
      <c r="D269" s="384"/>
      <c r="E269" s="384"/>
      <c r="F269" s="385"/>
      <c r="G269" s="388">
        <f ca="1">COUNTIF(F257:J267, "Y")</f>
        <v>0</v>
      </c>
      <c r="H269" s="389"/>
      <c r="I269" s="388">
        <f ca="1">COUNTIF(F257:J267, "N")</f>
        <v>0</v>
      </c>
      <c r="J269" s="389"/>
    </row>
    <row r="270" spans="1:10" ht="16.5" customHeight="1" thickTop="1" thickBot="1">
      <c r="A270" s="464" t="s">
        <v>59</v>
      </c>
      <c r="B270" s="465"/>
      <c r="C270" s="465"/>
      <c r="D270" s="465"/>
      <c r="E270" s="466"/>
      <c r="F270" s="81">
        <v>1</v>
      </c>
      <c r="G270" s="81">
        <v>2</v>
      </c>
      <c r="H270" s="81">
        <v>3</v>
      </c>
      <c r="I270" s="81">
        <v>4</v>
      </c>
      <c r="J270" s="81">
        <v>5</v>
      </c>
    </row>
    <row r="271" spans="1:10" ht="16.5" thickTop="1" thickBot="1">
      <c r="A271" s="493"/>
      <c r="B271" s="494"/>
      <c r="C271" s="494"/>
      <c r="D271" s="494"/>
      <c r="E271" s="495"/>
      <c r="F271" s="142" t="str">
        <f ca="1">IF('IWP01'!ContractNumber = "", "", IF('IWP01'!Std8dot3 = "", "E", 'IWP01'!Std8dot3))</f>
        <v/>
      </c>
      <c r="G271" s="142" t="str">
        <f ca="1">IF('IWP02'!ContractNumber = "", "", IF('IWP02'!Std8dot3 = "", "E", 'IWP02'!Std8dot3))</f>
        <v/>
      </c>
      <c r="H271" s="142" t="str">
        <f ca="1">IF('IWP03'!ContractNumber = "", "", IF('IWP03'!Std8dot3 = "", "E", 'IWP03'!Std8dot3))</f>
        <v/>
      </c>
      <c r="I271" s="142" t="str">
        <f ca="1">IF('IWP04'!ContractNumber = "", "", IF('IWP04'!Std8dot3 = "", "E", 'IWP04'!Std8dot3))</f>
        <v/>
      </c>
      <c r="J271" s="142" t="str">
        <f ca="1">IF('IWP05'!ContractNumber = "", "", IF('IWP05'!Std8dot3 = "", "E", 'IWP05'!Std8dot3))</f>
        <v/>
      </c>
    </row>
    <row r="272" spans="1:10" ht="17.25" customHeight="1" thickTop="1" thickBot="1">
      <c r="A272" s="493"/>
      <c r="B272" s="494"/>
      <c r="C272" s="494"/>
      <c r="D272" s="494"/>
      <c r="E272" s="495"/>
      <c r="F272" s="81">
        <v>6</v>
      </c>
      <c r="G272" s="81">
        <v>7</v>
      </c>
      <c r="H272" s="81">
        <v>8</v>
      </c>
      <c r="I272" s="81">
        <v>9</v>
      </c>
      <c r="J272" s="81">
        <v>10</v>
      </c>
    </row>
    <row r="273" spans="1:10" ht="16.5" thickTop="1" thickBot="1">
      <c r="A273" s="493"/>
      <c r="B273" s="494"/>
      <c r="C273" s="494"/>
      <c r="D273" s="494"/>
      <c r="E273" s="495"/>
      <c r="F273" s="142" t="str">
        <f ca="1">IF('IWP06'!ContractNumber = "", "", IF('IWP06'!Std8dot3 = "", "E", 'IWP06'!Std8dot3))</f>
        <v/>
      </c>
      <c r="G273" s="142" t="str">
        <f ca="1">IF('IWP07'!ContractNumber = "", "", IF('IWP07'!Std8dot3 = "", "E", 'IWP07'!Std8dot3))</f>
        <v/>
      </c>
      <c r="H273" s="142" t="str">
        <f ca="1">IF('IWP08'!ContractNumber = "", "", IF('IWP08'!Std8dot3 = "", "E", 'IWP08'!Std8dot3))</f>
        <v/>
      </c>
      <c r="I273" s="142" t="str">
        <f ca="1">IF('IWP09'!ContractNumber = "", "", IF('IWP09'!Std8dot3 = "", "E", 'IWP09'!Std8dot3))</f>
        <v/>
      </c>
      <c r="J273" s="142" t="str">
        <f ca="1">IF('IWP10'!ContractNumber = "", "", IF('IWP10'!Std8dot3 = "", "E", 'IWP10'!Std8dot3))</f>
        <v/>
      </c>
    </row>
    <row r="274" spans="1:10" ht="16.5" thickTop="1" thickBot="1">
      <c r="A274" s="493"/>
      <c r="B274" s="494"/>
      <c r="C274" s="494"/>
      <c r="D274" s="494"/>
      <c r="E274" s="495"/>
      <c r="F274" s="81">
        <v>11</v>
      </c>
      <c r="G274" s="81">
        <v>12</v>
      </c>
      <c r="H274" s="81">
        <v>13</v>
      </c>
      <c r="I274" s="81">
        <v>14</v>
      </c>
      <c r="J274" s="81">
        <v>15</v>
      </c>
    </row>
    <row r="275" spans="1:10" ht="16.5" customHeight="1" thickTop="1" thickBot="1">
      <c r="A275" s="396" t="s">
        <v>88</v>
      </c>
      <c r="B275" s="397"/>
      <c r="C275" s="397"/>
      <c r="D275" s="397"/>
      <c r="E275" s="398"/>
      <c r="F275" s="142" t="str">
        <f ca="1">IF('IWP11'!ContractNumber = "", "", IF('IWP11'!Std8dot3 = "", "E", 'IWP11'!Std8dot3))</f>
        <v/>
      </c>
      <c r="G275" s="142" t="str">
        <f ca="1">IF('IWP12'!ContractNumber = "", "", IF('IWP12'!Std8dot3 = "", "E", 'IWP12'!Std8dot3))</f>
        <v/>
      </c>
      <c r="H275" s="142" t="str">
        <f ca="1">IF('IWP13'!ContractNumber = "", "", IF('IWP13'!Std8dot3 = "", "E", 'IWP13'!Std8dot3))</f>
        <v/>
      </c>
      <c r="I275" s="142" t="str">
        <f ca="1">IF('IWP14'!ContractNumber = "", "", IF('IWP14'!Std8dot3 = "", "E", 'IWP14'!Std8dot3))</f>
        <v/>
      </c>
      <c r="J275" s="142" t="str">
        <f ca="1">IF('IWP15'!ContractNumber = "", "", IF('IWP15'!Std8dot3 = "", "E", 'IWP15'!Std8dot3))</f>
        <v/>
      </c>
    </row>
    <row r="276" spans="1:10" ht="16.5" thickTop="1" thickBot="1">
      <c r="A276" s="396"/>
      <c r="B276" s="397"/>
      <c r="C276" s="397"/>
      <c r="D276" s="397"/>
      <c r="E276" s="398"/>
      <c r="F276" s="81">
        <v>16</v>
      </c>
      <c r="G276" s="81">
        <v>17</v>
      </c>
      <c r="H276" s="81">
        <v>18</v>
      </c>
      <c r="I276" s="81">
        <v>19</v>
      </c>
      <c r="J276" s="81">
        <v>20</v>
      </c>
    </row>
    <row r="277" spans="1:10" ht="16.5" thickTop="1" thickBot="1">
      <c r="A277" s="396"/>
      <c r="B277" s="397"/>
      <c r="C277" s="397"/>
      <c r="D277" s="397"/>
      <c r="E277" s="398"/>
      <c r="F277" s="142" t="str">
        <f ca="1">IF('IWP16'!ContractNumber = "", "", IF('IWP16'!Std8dot3 = "", "E", 'IWP16'!Std8dot3))</f>
        <v/>
      </c>
      <c r="G277" s="142" t="str">
        <f ca="1">IF('IWP17'!ContractNumber = "", "", IF('IWP17'!Std8dot3 = "", "E", 'IWP17'!Std8dot3))</f>
        <v/>
      </c>
      <c r="H277" s="142" t="str">
        <f ca="1">IF('IWP18'!ContractNumber = "", "", IF('IWP18'!Std8dot3 = "", "E", 'IWP18'!Std8dot3))</f>
        <v/>
      </c>
      <c r="I277" s="142" t="str">
        <f ca="1">IF('IWP19'!ContractNumber = "", "", IF('IWP19'!Std8dot3 = "", "E", 'IWP19'!Std8dot3))</f>
        <v/>
      </c>
      <c r="J277" s="142" t="str">
        <f ca="1">IF('IWP20'!ContractNumber = "", "", IF('IWP20'!Std8dot3 = "", "E", 'IWP20'!Std8dot3))</f>
        <v/>
      </c>
    </row>
    <row r="278" spans="1:10" ht="16.5" thickTop="1" thickBot="1">
      <c r="A278" s="396"/>
      <c r="B278" s="397"/>
      <c r="C278" s="397"/>
      <c r="D278" s="397"/>
      <c r="E278" s="398"/>
      <c r="F278" s="81">
        <v>21</v>
      </c>
      <c r="G278" s="81">
        <v>22</v>
      </c>
      <c r="H278" s="81">
        <v>23</v>
      </c>
      <c r="I278" s="81">
        <v>24</v>
      </c>
      <c r="J278" s="81">
        <v>25</v>
      </c>
    </row>
    <row r="279" spans="1:10" ht="16.5" thickTop="1" thickBot="1">
      <c r="A279" s="396"/>
      <c r="B279" s="397"/>
      <c r="C279" s="397"/>
      <c r="D279" s="397"/>
      <c r="E279" s="398"/>
      <c r="F279" s="142" t="str">
        <f ca="1">IF('IWP21'!ContractNumber = "", "", IF('IWP21'!Std8dot3 = "", "E", 'IWP21'!Std8dot3))</f>
        <v/>
      </c>
      <c r="G279" s="142" t="str">
        <f ca="1">IF('IWP22'!ContractNumber = "", "", IF('IWP22'!Std8dot3 = "", "E", 'IWP22'!Std8dot3))</f>
        <v/>
      </c>
      <c r="H279" s="142" t="str">
        <f ca="1">IF('IWP23'!ContractNumber = "", "", IF('IWP23'!Std8dot3 = "", "E", 'IWP23'!Std8dot3))</f>
        <v/>
      </c>
      <c r="I279" s="142" t="str">
        <f ca="1">IF('IWP24'!ContractNumber = "", "", IF('IWP24'!Std8dot3 = "", "E", 'IWP24'!Std8dot3))</f>
        <v/>
      </c>
      <c r="J279" s="142" t="str">
        <f ca="1">IF('IWP25'!ContractNumber = "", "", IF('IWP25'!Std8dot3 = "", "E", 'IWP25'!Std8dot3))</f>
        <v/>
      </c>
    </row>
    <row r="280" spans="1:10" ht="16.5" thickTop="1" thickBot="1">
      <c r="A280" s="396"/>
      <c r="B280" s="397"/>
      <c r="C280" s="397"/>
      <c r="D280" s="397"/>
      <c r="E280" s="398"/>
      <c r="F280" s="81">
        <v>26</v>
      </c>
      <c r="G280" s="81">
        <v>27</v>
      </c>
      <c r="H280" s="81">
        <v>28</v>
      </c>
      <c r="I280" s="81">
        <v>29</v>
      </c>
      <c r="J280" s="81">
        <v>30</v>
      </c>
    </row>
    <row r="281" spans="1:10" ht="16.5" customHeight="1" thickTop="1" thickBot="1">
      <c r="A281" s="407"/>
      <c r="B281" s="408"/>
      <c r="C281" s="408"/>
      <c r="D281" s="408"/>
      <c r="E281" s="409"/>
      <c r="F281" s="142" t="str">
        <f ca="1">IF('IWP26'!ContractNumber = "", "", IF('IWP26'!Std8dot3 = "", "E", 'IWP26'!Std8dot3))</f>
        <v/>
      </c>
      <c r="G281" s="142" t="str">
        <f ca="1">IF('IWP27'!ContractNumber = "", "", IF('IWP27'!Std8dot3 = "", "E", 'IWP27'!Std8dot3))</f>
        <v/>
      </c>
      <c r="H281" s="142" t="str">
        <f ca="1">IF('IWP28'!ContractNumber = "", "", IF('IWP28'!Std8dot3 = "", "E", 'IWP28'!Std8dot3))</f>
        <v/>
      </c>
      <c r="I281" s="142" t="str">
        <f ca="1">IF('IWP29'!ContractNumber = "", "", IF('IWP29'!Std8dot3 = "", "E", 'IWP29'!Std8dot3))</f>
        <v/>
      </c>
      <c r="J281" s="142" t="str">
        <f ca="1">IF('IWP30'!ContractNumber = "", "", IF('IWP30'!Std8dot3 = "", "E", 'IWP30'!Std8dot3))</f>
        <v/>
      </c>
    </row>
    <row r="282" spans="1:10" ht="16.5" thickTop="1" thickBot="1">
      <c r="A282" s="509" t="s">
        <v>16</v>
      </c>
      <c r="B282" s="382"/>
      <c r="C282" s="382"/>
      <c r="D282" s="382"/>
      <c r="E282" s="382"/>
      <c r="F282" s="383"/>
      <c r="G282" s="386" t="s">
        <v>19</v>
      </c>
      <c r="H282" s="387"/>
      <c r="I282" s="386" t="s">
        <v>20</v>
      </c>
      <c r="J282" s="387"/>
    </row>
    <row r="283" spans="1:10" ht="16.5" thickTop="1" thickBot="1">
      <c r="A283" s="514"/>
      <c r="B283" s="384"/>
      <c r="C283" s="384"/>
      <c r="D283" s="384"/>
      <c r="E283" s="384"/>
      <c r="F283" s="385"/>
      <c r="G283" s="388">
        <f ca="1">COUNTIF(F271:J281, "Y")</f>
        <v>0</v>
      </c>
      <c r="H283" s="389"/>
      <c r="I283" s="388">
        <f ca="1">COUNTIF(F271:J281, "N")</f>
        <v>0</v>
      </c>
      <c r="J283" s="389"/>
    </row>
    <row r="284" spans="1:10" ht="16.5" customHeight="1" thickTop="1" thickBot="1">
      <c r="A284" s="515" t="s">
        <v>87</v>
      </c>
      <c r="B284" s="516"/>
      <c r="C284" s="516"/>
      <c r="D284" s="516"/>
      <c r="E284" s="516"/>
      <c r="F284" s="517"/>
      <c r="G284" s="386" t="s">
        <v>17</v>
      </c>
      <c r="H284" s="387"/>
      <c r="I284" s="386" t="s">
        <v>18</v>
      </c>
      <c r="J284" s="387"/>
    </row>
    <row r="285" spans="1:10" ht="16.5" thickTop="1" thickBot="1">
      <c r="A285" s="518"/>
      <c r="B285" s="519"/>
      <c r="C285" s="519"/>
      <c r="D285" s="519"/>
      <c r="E285" s="519"/>
      <c r="F285" s="520"/>
      <c r="G285" s="388">
        <f ca="1">SUM(G283,G269,G255)</f>
        <v>0</v>
      </c>
      <c r="H285" s="389"/>
      <c r="I285" s="388">
        <f ca="1">SUM(I283,I269,I255)</f>
        <v>0</v>
      </c>
      <c r="J285" s="389"/>
    </row>
    <row r="286" spans="1:10" ht="17.25" hidden="1" customHeight="1" thickTop="1">
      <c r="A286" s="503" t="s">
        <v>89</v>
      </c>
      <c r="B286" s="504"/>
      <c r="C286" s="504"/>
      <c r="D286" s="504"/>
      <c r="E286" s="504"/>
      <c r="F286" s="504"/>
      <c r="G286" s="504"/>
      <c r="H286" s="504"/>
      <c r="I286" s="504"/>
      <c r="J286" s="505"/>
    </row>
    <row r="287" spans="1:10" ht="15.75" hidden="1" thickBot="1">
      <c r="A287" s="506" t="s">
        <v>681</v>
      </c>
      <c r="B287" s="507"/>
      <c r="C287" s="507"/>
      <c r="D287" s="507"/>
      <c r="E287" s="507"/>
      <c r="F287" s="507"/>
      <c r="G287" s="507"/>
      <c r="H287" s="507"/>
      <c r="I287" s="507"/>
      <c r="J287" s="508"/>
    </row>
    <row r="288" spans="1:10" ht="16.5" hidden="1" thickTop="1" thickBot="1">
      <c r="A288" s="390" t="s">
        <v>605</v>
      </c>
      <c r="B288" s="391"/>
      <c r="C288" s="391"/>
      <c r="D288" s="391"/>
      <c r="E288" s="392"/>
      <c r="F288" s="81">
        <v>1</v>
      </c>
      <c r="G288" s="81">
        <v>2</v>
      </c>
      <c r="H288" s="81">
        <v>3</v>
      </c>
      <c r="I288" s="81">
        <v>4</v>
      </c>
      <c r="J288" s="81">
        <v>5</v>
      </c>
    </row>
    <row r="289" spans="1:10" ht="16.5" hidden="1" thickTop="1" thickBot="1">
      <c r="A289" s="396" t="s">
        <v>90</v>
      </c>
      <c r="B289" s="397"/>
      <c r="C289" s="397"/>
      <c r="D289" s="397"/>
      <c r="E289" s="398"/>
      <c r="F289" s="142" t="str">
        <f ca="1">IF('IWP01'!ContractNumber = "", "", IF('IWP01'!Std9dot1 = "", "E", 'IWP01'!Std9dot1))</f>
        <v/>
      </c>
      <c r="G289" s="142" t="str">
        <f ca="1">IF('IWP02'!ContractNumber = "", "", IF('IWP02'!Std9dot1 = "", "E", 'IWP02'!Std9dot1))</f>
        <v/>
      </c>
      <c r="H289" s="142" t="str">
        <f ca="1">IF('IWP03'!ContractNumber = "", "", IF('IWP03'!Std9dot1 = "", "E", 'IWP03'!Std9dot1))</f>
        <v/>
      </c>
      <c r="I289" s="142" t="str">
        <f ca="1">IF('IWP04'!ContractNumber = "", "", IF('IWP04'!Std9dot1 = "", "E", 'IWP04'!Std9dot1))</f>
        <v/>
      </c>
      <c r="J289" s="142" t="str">
        <f ca="1">IF('IWP05'!ContractNumber = "", "", IF('IWP05'!Std9dot1 = "", "E", 'IWP05'!Std9dot1))</f>
        <v/>
      </c>
    </row>
    <row r="290" spans="1:10" ht="16.5" hidden="1" thickTop="1" thickBot="1">
      <c r="A290" s="396"/>
      <c r="B290" s="397"/>
      <c r="C290" s="397"/>
      <c r="D290" s="397"/>
      <c r="E290" s="398"/>
      <c r="F290" s="81">
        <v>6</v>
      </c>
      <c r="G290" s="81">
        <v>7</v>
      </c>
      <c r="H290" s="81">
        <v>8</v>
      </c>
      <c r="I290" s="81">
        <v>9</v>
      </c>
      <c r="J290" s="81">
        <v>10</v>
      </c>
    </row>
    <row r="291" spans="1:10" ht="16.5" hidden="1" customHeight="1" thickTop="1" thickBot="1">
      <c r="A291" s="396"/>
      <c r="B291" s="397"/>
      <c r="C291" s="397"/>
      <c r="D291" s="397"/>
      <c r="E291" s="398"/>
      <c r="F291" s="142" t="str">
        <f ca="1">IF('IWP06'!ContractNumber = "", "", IF('IWP06'!Std9dot1 = "", "E", 'IWP06'!Std9dot1))</f>
        <v/>
      </c>
      <c r="G291" s="142" t="str">
        <f ca="1">IF('IWP07'!ContractNumber = "", "", IF('IWP07'!Std9dot1 = "", "E", 'IWP07'!Std9dot1))</f>
        <v/>
      </c>
      <c r="H291" s="142" t="str">
        <f ca="1">IF('IWP08'!ContractNumber = "", "", IF('IWP08'!Std9dot1 = "", "E", 'IWP08'!Std9dot1))</f>
        <v/>
      </c>
      <c r="I291" s="142" t="str">
        <f ca="1">IF('IWP09'!ContractNumber = "", "", IF('IWP09'!Std9dot1 = "", "E", 'IWP09'!Std9dot1))</f>
        <v/>
      </c>
      <c r="J291" s="142" t="str">
        <f ca="1">IF('IWP10'!ContractNumber = "", "", IF('IWP10'!Std9dot1 = "", "E", 'IWP10'!Std9dot1))</f>
        <v/>
      </c>
    </row>
    <row r="292" spans="1:10" ht="16.5" hidden="1" thickTop="1" thickBot="1">
      <c r="A292" s="396"/>
      <c r="B292" s="397"/>
      <c r="C292" s="397"/>
      <c r="D292" s="397"/>
      <c r="E292" s="398"/>
      <c r="F292" s="81">
        <v>11</v>
      </c>
      <c r="G292" s="81">
        <v>12</v>
      </c>
      <c r="H292" s="81">
        <v>13</v>
      </c>
      <c r="I292" s="81">
        <v>14</v>
      </c>
      <c r="J292" s="81">
        <v>15</v>
      </c>
    </row>
    <row r="293" spans="1:10" ht="16.5" hidden="1" thickTop="1" thickBot="1">
      <c r="A293" s="396"/>
      <c r="B293" s="397"/>
      <c r="C293" s="397"/>
      <c r="D293" s="397"/>
      <c r="E293" s="398"/>
      <c r="F293" s="142" t="str">
        <f ca="1">IF('IWP11'!ContractNumber = "", "", IF('IWP11'!Std9dot1 = "", "E", 'IWP11'!Std9dot1))</f>
        <v/>
      </c>
      <c r="G293" s="142" t="str">
        <f ca="1">IF('IWP12'!ContractNumber = "", "", IF('IWP12'!Std9dot1 = "", "E", 'IWP12'!Std9dot1))</f>
        <v/>
      </c>
      <c r="H293" s="142" t="str">
        <f ca="1">IF('IWP13'!ContractNumber = "", "", IF('IWP13'!Std9dot1 = "", "E", 'IWP13'!Std9dot1))</f>
        <v/>
      </c>
      <c r="I293" s="142" t="str">
        <f ca="1">IF('IWP14'!ContractNumber = "", "", IF('IWP14'!Std9dot1 = "", "E", 'IWP14'!Std9dot1))</f>
        <v/>
      </c>
      <c r="J293" s="142" t="str">
        <f ca="1">IF('IWP15'!ContractNumber = "", "", IF('IWP15'!Std9dot1 = "", "E", 'IWP15'!Std9dot1))</f>
        <v/>
      </c>
    </row>
    <row r="294" spans="1:10" ht="16.5" hidden="1" thickTop="1" thickBot="1">
      <c r="A294" s="396"/>
      <c r="B294" s="397"/>
      <c r="C294" s="397"/>
      <c r="D294" s="397"/>
      <c r="E294" s="398"/>
      <c r="F294" s="81">
        <v>16</v>
      </c>
      <c r="G294" s="81">
        <v>17</v>
      </c>
      <c r="H294" s="81">
        <v>18</v>
      </c>
      <c r="I294" s="81">
        <v>19</v>
      </c>
      <c r="J294" s="81">
        <v>20</v>
      </c>
    </row>
    <row r="295" spans="1:10" ht="16.5" hidden="1" customHeight="1" thickTop="1" thickBot="1">
      <c r="A295" s="396"/>
      <c r="B295" s="397"/>
      <c r="C295" s="397"/>
      <c r="D295" s="397"/>
      <c r="E295" s="398"/>
      <c r="F295" s="142" t="str">
        <f ca="1">IF('IWP16'!ContractNumber = "", "", IF('IWP16'!Std9dot1 = "", "E", 'IWP16'!Std9dot1))</f>
        <v/>
      </c>
      <c r="G295" s="142" t="str">
        <f ca="1">IF('IWP17'!ContractNumber = "", "", IF('IWP17'!Std9dot1 = "", "E", 'IWP17'!Std9dot1))</f>
        <v/>
      </c>
      <c r="H295" s="142" t="str">
        <f ca="1">IF('IWP18'!ContractNumber = "", "", IF('IWP18'!Std9dot1 = "", "E", 'IWP18'!Std9dot1))</f>
        <v/>
      </c>
      <c r="I295" s="142" t="str">
        <f ca="1">IF('IWP19'!ContractNumber = "", "", IF('IWP19'!Std9dot1 = "", "E", 'IWP19'!Std9dot1))</f>
        <v/>
      </c>
      <c r="J295" s="142" t="str">
        <f ca="1">IF('IWP20'!ContractNumber = "", "", IF('IWP20'!Std9dot1 = "", "E", 'IWP20'!Std9dot1))</f>
        <v/>
      </c>
    </row>
    <row r="296" spans="1:10" ht="16.5" hidden="1" thickTop="1" thickBot="1">
      <c r="A296" s="396"/>
      <c r="B296" s="397"/>
      <c r="C296" s="397"/>
      <c r="D296" s="397"/>
      <c r="E296" s="398"/>
      <c r="F296" s="81">
        <v>21</v>
      </c>
      <c r="G296" s="81">
        <v>22</v>
      </c>
      <c r="H296" s="81">
        <v>23</v>
      </c>
      <c r="I296" s="81">
        <v>24</v>
      </c>
      <c r="J296" s="81">
        <v>25</v>
      </c>
    </row>
    <row r="297" spans="1:10" ht="16.5" hidden="1" thickTop="1" thickBot="1">
      <c r="A297" s="396"/>
      <c r="B297" s="397"/>
      <c r="C297" s="397"/>
      <c r="D297" s="397"/>
      <c r="E297" s="398"/>
      <c r="F297" s="142" t="str">
        <f ca="1">IF('IWP21'!ContractNumber = "", "", IF('IWP21'!Std9dot1 = "", "E", 'IWP21'!Std9dot1))</f>
        <v/>
      </c>
      <c r="G297" s="142" t="str">
        <f ca="1">IF('IWP22'!ContractNumber = "", "", IF('IWP22'!Std9dot1 = "", "E", 'IWP22'!Std9dot1))</f>
        <v/>
      </c>
      <c r="H297" s="142" t="str">
        <f ca="1">IF('IWP23'!ContractNumber = "", "", IF('IWP23'!Std9dot1 = "", "E", 'IWP23'!Std9dot1))</f>
        <v/>
      </c>
      <c r="I297" s="142" t="str">
        <f ca="1">IF('IWP24'!ContractNumber = "", "", IF('IWP24'!Std9dot1 = "", "E", 'IWP24'!Std9dot1))</f>
        <v/>
      </c>
      <c r="J297" s="142" t="str">
        <f ca="1">IF('IWP25'!ContractNumber = "", "", IF('IWP25'!Std9dot1 = "", "E", 'IWP25'!Std9dot1))</f>
        <v/>
      </c>
    </row>
    <row r="298" spans="1:10" ht="16.5" hidden="1" customHeight="1" thickTop="1" thickBot="1">
      <c r="A298" s="396"/>
      <c r="B298" s="397"/>
      <c r="C298" s="397"/>
      <c r="D298" s="397"/>
      <c r="E298" s="398"/>
      <c r="F298" s="81">
        <v>26</v>
      </c>
      <c r="G298" s="81">
        <v>27</v>
      </c>
      <c r="H298" s="81">
        <v>28</v>
      </c>
      <c r="I298" s="81">
        <v>29</v>
      </c>
      <c r="J298" s="81">
        <v>30</v>
      </c>
    </row>
    <row r="299" spans="1:10" ht="16.5" hidden="1" thickTop="1" thickBot="1">
      <c r="A299" s="407"/>
      <c r="B299" s="408"/>
      <c r="C299" s="408"/>
      <c r="D299" s="408"/>
      <c r="E299" s="409"/>
      <c r="F299" s="142" t="str">
        <f ca="1">IF('IWP26'!ContractNumber = "", "", IF('IWP26'!Std9dot1 = "", "E", 'IWP26'!Std9dot1))</f>
        <v/>
      </c>
      <c r="G299" s="142" t="str">
        <f ca="1">IF('IWP27'!ContractNumber = "", "", IF('IWP27'!Std9dot1 = "", "E", 'IWP27'!Std9dot1))</f>
        <v/>
      </c>
      <c r="H299" s="142" t="str">
        <f ca="1">IF('IWP28'!ContractNumber = "", "", IF('IWP28'!Std9dot1 = "", "E", 'IWP28'!Std9dot1))</f>
        <v/>
      </c>
      <c r="I299" s="142" t="str">
        <f ca="1">IF('IWP29'!ContractNumber = "", "", IF('IWP29'!Std9dot1 = "", "E", 'IWP29'!Std9dot1))</f>
        <v/>
      </c>
      <c r="J299" s="142" t="str">
        <f ca="1">IF('IWP30'!ContractNumber = "", "", IF('IWP30'!Std9dot1 = "", "E", 'IWP30'!Std9dot1))</f>
        <v/>
      </c>
    </row>
    <row r="300" spans="1:10" ht="16.5" hidden="1" customHeight="1" thickTop="1" thickBot="1">
      <c r="A300" s="509" t="s">
        <v>16</v>
      </c>
      <c r="B300" s="382"/>
      <c r="C300" s="382"/>
      <c r="D300" s="382"/>
      <c r="E300" s="382"/>
      <c r="F300" s="383"/>
      <c r="G300" s="386" t="s">
        <v>19</v>
      </c>
      <c r="H300" s="387"/>
      <c r="I300" s="386" t="s">
        <v>20</v>
      </c>
      <c r="J300" s="387"/>
    </row>
    <row r="301" spans="1:10" ht="17.25" hidden="1" customHeight="1" thickTop="1" thickBot="1">
      <c r="A301" s="514"/>
      <c r="B301" s="384"/>
      <c r="C301" s="384"/>
      <c r="D301" s="384"/>
      <c r="E301" s="384"/>
      <c r="F301" s="385"/>
      <c r="G301" s="388">
        <f ca="1">COUNTIF(F289:J299, "Y")</f>
        <v>0</v>
      </c>
      <c r="H301" s="389"/>
      <c r="I301" s="388">
        <f ca="1">COUNTIF(F289:J299, "N")</f>
        <v>0</v>
      </c>
      <c r="J301" s="389"/>
    </row>
    <row r="302" spans="1:10" ht="16.5" customHeight="1" thickTop="1">
      <c r="A302" s="100"/>
      <c r="B302" s="99"/>
      <c r="C302" s="99"/>
      <c r="D302" s="99"/>
      <c r="E302" s="99"/>
      <c r="F302" s="99"/>
      <c r="G302" s="99"/>
      <c r="H302" s="99"/>
      <c r="I302" s="99"/>
      <c r="J302" s="99"/>
    </row>
    <row r="303" spans="1:10" ht="15.75" customHeight="1">
      <c r="A303" s="91"/>
      <c r="B303" s="91"/>
      <c r="C303" s="91"/>
      <c r="D303" s="91"/>
      <c r="E303" s="91"/>
      <c r="F303" s="91"/>
      <c r="G303" s="91"/>
      <c r="H303" s="91"/>
      <c r="I303" s="91"/>
      <c r="J303" s="91"/>
    </row>
    <row r="304" spans="1:10" ht="17.25" customHeight="1">
      <c r="A304" s="91"/>
      <c r="B304" s="91"/>
      <c r="C304" s="91"/>
      <c r="D304" s="91"/>
      <c r="E304" s="91"/>
      <c r="F304" s="91"/>
      <c r="G304" s="91"/>
      <c r="H304" s="91"/>
      <c r="I304" s="91"/>
      <c r="J304" s="91"/>
    </row>
    <row r="305" spans="1:10" ht="16.5" customHeight="1">
      <c r="A305" s="91"/>
      <c r="B305" s="91"/>
      <c r="C305" s="91"/>
      <c r="D305" s="91"/>
      <c r="E305" s="91"/>
      <c r="F305" s="91"/>
      <c r="G305" s="91"/>
      <c r="H305" s="91"/>
      <c r="I305" s="91"/>
      <c r="J305" s="91"/>
    </row>
    <row r="306" spans="1:10">
      <c r="A306" s="91"/>
      <c r="B306" s="91"/>
      <c r="C306" s="91"/>
      <c r="D306" s="91"/>
      <c r="E306" s="91"/>
      <c r="F306" s="91"/>
      <c r="G306" s="91"/>
      <c r="H306" s="91"/>
      <c r="I306" s="91"/>
      <c r="J306" s="91"/>
    </row>
    <row r="307" spans="1:10">
      <c r="A307" s="91"/>
      <c r="B307" s="91"/>
      <c r="C307" s="91"/>
      <c r="D307" s="91"/>
      <c r="E307" s="91"/>
      <c r="F307" s="91"/>
      <c r="G307" s="91"/>
      <c r="H307" s="91"/>
      <c r="I307" s="91"/>
      <c r="J307" s="91"/>
    </row>
    <row r="308" spans="1:10">
      <c r="A308" s="91"/>
      <c r="B308" s="91"/>
      <c r="C308" s="91"/>
      <c r="D308" s="91"/>
      <c r="E308" s="91"/>
      <c r="F308" s="91"/>
      <c r="G308" s="91"/>
      <c r="H308" s="91"/>
      <c r="I308" s="91"/>
      <c r="J308" s="91"/>
    </row>
    <row r="309" spans="1:10">
      <c r="A309" s="91"/>
      <c r="B309" s="91"/>
      <c r="C309" s="91"/>
      <c r="D309" s="91"/>
      <c r="E309" s="91"/>
      <c r="F309" s="91"/>
      <c r="G309" s="91"/>
      <c r="H309" s="91"/>
      <c r="I309" s="91"/>
      <c r="J309" s="91"/>
    </row>
    <row r="310" spans="1:10">
      <c r="A310" s="91"/>
      <c r="B310" s="91"/>
      <c r="C310" s="91"/>
      <c r="D310" s="91"/>
      <c r="E310" s="91"/>
      <c r="F310" s="91"/>
      <c r="G310" s="91"/>
      <c r="H310" s="91"/>
      <c r="I310" s="91"/>
      <c r="J310" s="91"/>
    </row>
    <row r="311" spans="1:10">
      <c r="A311" s="91"/>
      <c r="B311" s="91"/>
      <c r="C311" s="91"/>
      <c r="D311" s="91"/>
      <c r="E311" s="91"/>
      <c r="F311" s="91"/>
      <c r="G311" s="91"/>
      <c r="H311" s="91"/>
      <c r="I311" s="91"/>
      <c r="J311" s="91"/>
    </row>
    <row r="312" spans="1:10">
      <c r="A312" s="91"/>
      <c r="B312" s="91"/>
      <c r="C312" s="91"/>
      <c r="D312" s="91"/>
      <c r="E312" s="91"/>
      <c r="F312" s="91"/>
      <c r="G312" s="91"/>
      <c r="H312" s="91"/>
      <c r="I312" s="91"/>
      <c r="J312" s="91"/>
    </row>
    <row r="313" spans="1:10">
      <c r="A313" s="91"/>
      <c r="B313" s="91"/>
      <c r="C313" s="91"/>
      <c r="D313" s="91"/>
      <c r="E313" s="91"/>
      <c r="F313" s="91"/>
      <c r="G313" s="91"/>
      <c r="H313" s="91"/>
      <c r="I313" s="91"/>
      <c r="J313" s="91"/>
    </row>
    <row r="314" spans="1:10" ht="16.5" customHeight="1">
      <c r="A314" s="91"/>
      <c r="B314" s="91"/>
      <c r="C314" s="91"/>
      <c r="D314" s="91"/>
      <c r="E314" s="91"/>
      <c r="F314" s="91"/>
      <c r="G314" s="91"/>
      <c r="H314" s="91"/>
      <c r="I314" s="91"/>
      <c r="J314" s="91"/>
    </row>
    <row r="315" spans="1:10">
      <c r="A315" s="91"/>
      <c r="B315" s="91"/>
      <c r="C315" s="91"/>
      <c r="D315" s="91"/>
      <c r="E315" s="91"/>
      <c r="F315" s="91"/>
      <c r="G315" s="91"/>
      <c r="H315" s="91"/>
      <c r="I315" s="91"/>
      <c r="J315" s="91"/>
    </row>
    <row r="316" spans="1:10" ht="16.5" customHeight="1">
      <c r="A316" s="91"/>
      <c r="B316" s="91"/>
      <c r="C316" s="91"/>
      <c r="D316" s="91"/>
      <c r="E316" s="91"/>
      <c r="F316" s="91"/>
      <c r="G316" s="91"/>
      <c r="H316" s="91"/>
      <c r="I316" s="91"/>
      <c r="J316" s="91"/>
    </row>
    <row r="317" spans="1:10" ht="16.5" customHeight="1">
      <c r="A317" s="91"/>
      <c r="B317" s="91"/>
      <c r="C317" s="91"/>
      <c r="D317" s="91"/>
      <c r="E317" s="91"/>
      <c r="F317" s="91"/>
      <c r="G317" s="91"/>
      <c r="H317" s="91"/>
      <c r="I317" s="91"/>
      <c r="J317" s="91"/>
    </row>
    <row r="318" spans="1:10" ht="17.25" customHeight="1">
      <c r="A318" s="91"/>
      <c r="B318" s="91"/>
      <c r="C318" s="91"/>
      <c r="D318" s="91"/>
      <c r="E318" s="91"/>
      <c r="F318" s="91"/>
      <c r="G318" s="91"/>
      <c r="H318" s="91"/>
      <c r="I318" s="91"/>
      <c r="J318" s="91"/>
    </row>
    <row r="319" spans="1:10" ht="16.5" customHeight="1">
      <c r="A319" s="91"/>
      <c r="B319" s="91"/>
      <c r="C319" s="91"/>
      <c r="D319" s="91"/>
      <c r="E319" s="91"/>
      <c r="F319" s="91"/>
      <c r="G319" s="91"/>
      <c r="H319" s="91"/>
      <c r="I319" s="91"/>
      <c r="J319" s="91"/>
    </row>
    <row r="320" spans="1:10" ht="16.5" customHeight="1">
      <c r="A320" s="91"/>
      <c r="B320" s="91"/>
      <c r="C320" s="91"/>
      <c r="D320" s="91"/>
      <c r="E320" s="91"/>
      <c r="F320" s="91"/>
      <c r="G320" s="91"/>
      <c r="H320" s="91"/>
      <c r="I320" s="91"/>
      <c r="J320" s="91"/>
    </row>
    <row r="321" spans="1:10" ht="15.75" customHeight="1">
      <c r="A321" s="91"/>
      <c r="B321" s="91"/>
      <c r="C321" s="91"/>
      <c r="D321" s="91"/>
      <c r="E321" s="91"/>
      <c r="F321" s="91"/>
      <c r="G321" s="91"/>
      <c r="H321" s="91"/>
      <c r="I321" s="91"/>
      <c r="J321" s="91"/>
    </row>
    <row r="322" spans="1:10">
      <c r="A322" s="91"/>
      <c r="B322" s="91"/>
      <c r="C322" s="91"/>
      <c r="D322" s="91"/>
      <c r="E322" s="91"/>
      <c r="F322" s="91"/>
      <c r="G322" s="91"/>
      <c r="H322" s="91"/>
      <c r="I322" s="91"/>
      <c r="J322" s="91"/>
    </row>
    <row r="323" spans="1:10">
      <c r="A323" s="91"/>
      <c r="B323" s="91"/>
      <c r="C323" s="91"/>
      <c r="D323" s="91"/>
      <c r="E323" s="91"/>
      <c r="F323" s="91"/>
      <c r="G323" s="91"/>
      <c r="H323" s="91"/>
      <c r="I323" s="91"/>
      <c r="J323" s="91"/>
    </row>
    <row r="324" spans="1:10">
      <c r="A324" s="91"/>
      <c r="B324" s="91"/>
      <c r="C324" s="91"/>
      <c r="D324" s="91"/>
      <c r="E324" s="91"/>
      <c r="F324" s="91"/>
      <c r="G324" s="91"/>
      <c r="H324" s="91"/>
      <c r="I324" s="91"/>
      <c r="J324" s="91"/>
    </row>
    <row r="325" spans="1:10">
      <c r="A325" s="91"/>
      <c r="B325" s="91"/>
      <c r="C325" s="91"/>
      <c r="D325" s="91"/>
      <c r="E325" s="91"/>
      <c r="F325" s="91"/>
      <c r="G325" s="91"/>
      <c r="H325" s="91"/>
      <c r="I325" s="91"/>
      <c r="J325" s="91"/>
    </row>
    <row r="326" spans="1:10">
      <c r="A326" s="91"/>
      <c r="B326" s="91"/>
      <c r="C326" s="91"/>
      <c r="D326" s="91"/>
      <c r="E326" s="91"/>
      <c r="F326" s="91"/>
      <c r="G326" s="91"/>
      <c r="H326" s="91"/>
      <c r="I326" s="91"/>
      <c r="J326" s="91"/>
    </row>
    <row r="327" spans="1:10">
      <c r="A327" s="91"/>
      <c r="B327" s="91"/>
      <c r="C327" s="91"/>
      <c r="D327" s="91"/>
      <c r="E327" s="91"/>
      <c r="F327" s="91"/>
      <c r="G327" s="91"/>
      <c r="H327" s="91"/>
      <c r="I327" s="91"/>
      <c r="J327" s="91"/>
    </row>
    <row r="328" spans="1:10" ht="16.5" customHeight="1">
      <c r="A328" s="91"/>
      <c r="B328" s="91"/>
      <c r="C328" s="91"/>
      <c r="D328" s="91"/>
      <c r="E328" s="91"/>
      <c r="F328" s="91"/>
      <c r="G328" s="91"/>
      <c r="H328" s="91"/>
      <c r="I328" s="91"/>
      <c r="J328" s="91"/>
    </row>
    <row r="329" spans="1:10">
      <c r="A329" s="91"/>
      <c r="B329" s="91"/>
      <c r="C329" s="91"/>
      <c r="D329" s="91"/>
      <c r="E329" s="91"/>
      <c r="F329" s="91"/>
      <c r="G329" s="91"/>
      <c r="H329" s="91"/>
      <c r="I329" s="91"/>
      <c r="J329" s="91"/>
    </row>
    <row r="330" spans="1:10" ht="16.5" customHeight="1">
      <c r="A330" s="91"/>
      <c r="B330" s="91"/>
      <c r="C330" s="91"/>
      <c r="D330" s="91"/>
      <c r="E330" s="91"/>
      <c r="F330" s="91"/>
      <c r="G330" s="91"/>
      <c r="H330" s="91"/>
      <c r="I330" s="91"/>
      <c r="J330" s="91"/>
    </row>
    <row r="331" spans="1:10" ht="16.5" customHeight="1">
      <c r="A331" s="91"/>
      <c r="B331" s="91"/>
      <c r="C331" s="91"/>
      <c r="D331" s="91"/>
      <c r="E331" s="91"/>
      <c r="F331" s="91"/>
      <c r="G331" s="91"/>
      <c r="H331" s="91"/>
      <c r="I331" s="91"/>
      <c r="J331" s="91"/>
    </row>
    <row r="332" spans="1:10" ht="17.25" customHeight="1">
      <c r="A332" s="91"/>
      <c r="B332" s="91"/>
      <c r="C332" s="91"/>
      <c r="D332" s="91"/>
      <c r="E332" s="91"/>
      <c r="F332" s="91"/>
      <c r="G332" s="91"/>
      <c r="H332" s="91"/>
      <c r="I332" s="91"/>
      <c r="J332" s="91"/>
    </row>
    <row r="333" spans="1:10">
      <c r="A333" s="91"/>
      <c r="B333" s="91"/>
      <c r="C333" s="91"/>
      <c r="D333" s="91"/>
      <c r="E333" s="91"/>
      <c r="F333" s="91"/>
      <c r="G333" s="91"/>
      <c r="H333" s="91"/>
      <c r="I333" s="91"/>
      <c r="J333" s="91"/>
    </row>
    <row r="334" spans="1:10">
      <c r="A334" s="91"/>
      <c r="B334" s="91"/>
      <c r="C334" s="91"/>
      <c r="D334" s="91"/>
      <c r="E334" s="91"/>
      <c r="F334" s="91"/>
      <c r="G334" s="91"/>
      <c r="H334" s="91"/>
      <c r="I334" s="91"/>
      <c r="J334" s="91"/>
    </row>
    <row r="335" spans="1:10" ht="16.5" customHeight="1">
      <c r="A335" s="91"/>
      <c r="B335" s="91"/>
      <c r="C335" s="91"/>
      <c r="D335" s="91"/>
      <c r="E335" s="91"/>
      <c r="F335" s="91"/>
      <c r="G335" s="91"/>
      <c r="H335" s="91"/>
      <c r="I335" s="91"/>
      <c r="J335" s="91"/>
    </row>
    <row r="336" spans="1:10">
      <c r="A336" s="91"/>
      <c r="B336" s="91"/>
      <c r="C336" s="91"/>
      <c r="D336" s="91"/>
      <c r="E336" s="91"/>
      <c r="F336" s="91"/>
      <c r="G336" s="91"/>
      <c r="H336" s="91"/>
      <c r="I336" s="91"/>
      <c r="J336" s="91"/>
    </row>
    <row r="337" spans="1:10">
      <c r="A337" s="91"/>
      <c r="B337" s="91"/>
      <c r="C337" s="91"/>
      <c r="D337" s="91"/>
      <c r="E337" s="91"/>
      <c r="F337" s="91"/>
      <c r="G337" s="91"/>
      <c r="H337" s="91"/>
      <c r="I337" s="91"/>
      <c r="J337" s="91"/>
    </row>
    <row r="338" spans="1:10">
      <c r="A338" s="91"/>
      <c r="B338" s="91"/>
      <c r="C338" s="91"/>
      <c r="D338" s="91"/>
      <c r="E338" s="91"/>
      <c r="F338" s="91"/>
      <c r="G338" s="91"/>
      <c r="H338" s="91"/>
      <c r="I338" s="91"/>
      <c r="J338" s="91"/>
    </row>
    <row r="339" spans="1:10">
      <c r="A339" s="91"/>
      <c r="B339" s="91"/>
      <c r="C339" s="91"/>
      <c r="D339" s="91"/>
      <c r="E339" s="91"/>
      <c r="F339" s="91"/>
      <c r="G339" s="91"/>
      <c r="H339" s="91"/>
      <c r="I339" s="91"/>
      <c r="J339" s="91"/>
    </row>
    <row r="340" spans="1:10">
      <c r="A340" s="91"/>
      <c r="B340" s="91"/>
      <c r="C340" s="91"/>
      <c r="D340" s="91"/>
      <c r="E340" s="91"/>
      <c r="F340" s="91"/>
      <c r="G340" s="91"/>
      <c r="H340" s="91"/>
      <c r="I340" s="91"/>
      <c r="J340" s="91"/>
    </row>
    <row r="341" spans="1:10">
      <c r="A341" s="91"/>
      <c r="B341" s="91"/>
      <c r="C341" s="91"/>
      <c r="D341" s="91"/>
      <c r="E341" s="91"/>
      <c r="F341" s="91"/>
      <c r="G341" s="91"/>
      <c r="H341" s="91"/>
      <c r="I341" s="91"/>
      <c r="J341" s="91"/>
    </row>
    <row r="342" spans="1:10">
      <c r="A342" s="91"/>
      <c r="B342" s="91"/>
      <c r="C342" s="91"/>
      <c r="D342" s="91"/>
      <c r="E342" s="91"/>
      <c r="F342" s="91"/>
      <c r="G342" s="91"/>
      <c r="H342" s="91"/>
      <c r="I342" s="91"/>
      <c r="J342" s="91"/>
    </row>
    <row r="343" spans="1:10">
      <c r="A343" s="91"/>
      <c r="B343" s="91"/>
      <c r="C343" s="91"/>
      <c r="D343" s="91"/>
      <c r="E343" s="91"/>
      <c r="F343" s="91"/>
      <c r="G343" s="91"/>
      <c r="H343" s="91"/>
      <c r="I343" s="91"/>
      <c r="J343" s="91"/>
    </row>
    <row r="344" spans="1:10" ht="16.5" customHeight="1">
      <c r="A344" s="91"/>
      <c r="B344" s="91"/>
      <c r="C344" s="91"/>
      <c r="D344" s="91"/>
      <c r="E344" s="91"/>
      <c r="F344" s="91"/>
      <c r="G344" s="91"/>
      <c r="H344" s="91"/>
      <c r="I344" s="91"/>
      <c r="J344" s="91"/>
    </row>
    <row r="345" spans="1:10" ht="16.5" customHeight="1">
      <c r="A345" s="91"/>
      <c r="B345" s="91"/>
      <c r="C345" s="91"/>
      <c r="D345" s="91"/>
      <c r="E345" s="91"/>
      <c r="F345" s="91"/>
      <c r="G345" s="91"/>
      <c r="H345" s="91"/>
      <c r="I345" s="91"/>
      <c r="J345" s="91"/>
    </row>
    <row r="346" spans="1:10" ht="16.5" customHeight="1">
      <c r="A346" s="91"/>
      <c r="B346" s="91"/>
      <c r="C346" s="91"/>
      <c r="D346" s="91"/>
      <c r="E346" s="91"/>
      <c r="F346" s="91"/>
      <c r="G346" s="91"/>
      <c r="H346" s="91"/>
      <c r="I346" s="91"/>
      <c r="J346" s="91"/>
    </row>
    <row r="347" spans="1:10" ht="17.25" customHeight="1">
      <c r="A347" s="91"/>
      <c r="B347" s="91"/>
      <c r="C347" s="91"/>
      <c r="D347" s="91"/>
      <c r="E347" s="91"/>
      <c r="F347" s="91"/>
      <c r="G347" s="91"/>
      <c r="H347" s="91"/>
      <c r="I347" s="91"/>
      <c r="J347" s="91"/>
    </row>
    <row r="348" spans="1:10" s="99" customFormat="1" ht="15.75">
      <c r="A348" s="91"/>
      <c r="B348" s="91"/>
      <c r="C348" s="91"/>
      <c r="D348" s="91"/>
      <c r="E348" s="91"/>
      <c r="F348" s="91"/>
      <c r="G348" s="91"/>
      <c r="H348" s="91"/>
      <c r="I348" s="91"/>
      <c r="J348" s="91"/>
    </row>
    <row r="349" spans="1:10" s="91" customFormat="1"/>
    <row r="350" spans="1:10" s="91" customFormat="1"/>
    <row r="351" spans="1:10" s="91" customFormat="1"/>
    <row r="352" spans="1:10" s="91" customFormat="1"/>
    <row r="353" spans="1:10" s="91" customFormat="1"/>
    <row r="354" spans="1:10" s="91" customFormat="1"/>
    <row r="355" spans="1:10" s="91" customFormat="1"/>
    <row r="356" spans="1:10" s="91" customFormat="1"/>
    <row r="357" spans="1:10" s="91" customFormat="1"/>
    <row r="358" spans="1:10" s="91" customFormat="1"/>
    <row r="359" spans="1:10" s="91" customFormat="1">
      <c r="A359" s="1"/>
      <c r="B359" s="1"/>
      <c r="C359" s="1"/>
      <c r="D359" s="1"/>
      <c r="E359" s="1"/>
      <c r="F359" s="1"/>
      <c r="G359" s="1"/>
      <c r="H359" s="1"/>
      <c r="I359" s="1"/>
      <c r="J359" s="1"/>
    </row>
    <row r="360" spans="1:10" s="91" customFormat="1">
      <c r="A360" s="1"/>
      <c r="B360" s="1"/>
      <c r="C360" s="1"/>
      <c r="D360" s="1"/>
      <c r="E360" s="1"/>
      <c r="F360" s="1"/>
      <c r="G360" s="1"/>
      <c r="H360" s="1"/>
      <c r="I360" s="1"/>
      <c r="J360" s="1"/>
    </row>
    <row r="361" spans="1:10" s="91" customFormat="1">
      <c r="A361" s="1"/>
      <c r="B361" s="1"/>
      <c r="C361" s="1"/>
      <c r="D361" s="1"/>
      <c r="E361" s="1"/>
      <c r="F361" s="1"/>
      <c r="G361" s="1"/>
      <c r="H361" s="1"/>
      <c r="I361" s="1"/>
      <c r="J361" s="1"/>
    </row>
    <row r="362" spans="1:10" s="91" customFormat="1">
      <c r="A362" s="1"/>
      <c r="B362" s="1"/>
      <c r="C362" s="1"/>
      <c r="D362" s="1"/>
      <c r="E362" s="1"/>
      <c r="F362" s="1"/>
      <c r="G362" s="1"/>
      <c r="H362" s="1"/>
      <c r="I362" s="1"/>
      <c r="J362" s="1"/>
    </row>
    <row r="363" spans="1:10" s="91" customFormat="1">
      <c r="A363" s="1"/>
      <c r="B363" s="1"/>
      <c r="C363" s="1"/>
      <c r="D363" s="1"/>
      <c r="E363" s="1"/>
      <c r="F363" s="1"/>
      <c r="G363" s="1"/>
      <c r="H363" s="1"/>
      <c r="I363" s="1"/>
      <c r="J363" s="1"/>
    </row>
    <row r="364" spans="1:10" s="91" customFormat="1">
      <c r="A364" s="1"/>
      <c r="B364" s="1"/>
      <c r="C364" s="1"/>
      <c r="D364" s="1"/>
      <c r="E364" s="1"/>
      <c r="F364" s="1"/>
      <c r="G364" s="1"/>
      <c r="H364" s="1"/>
      <c r="I364" s="1"/>
      <c r="J364" s="1"/>
    </row>
    <row r="365" spans="1:10" s="91" customFormat="1">
      <c r="A365" s="1"/>
      <c r="B365" s="1"/>
      <c r="C365" s="1"/>
      <c r="D365" s="1"/>
      <c r="E365" s="1"/>
      <c r="F365" s="1"/>
      <c r="G365" s="1"/>
      <c r="H365" s="1"/>
      <c r="I365" s="1"/>
      <c r="J365" s="1"/>
    </row>
    <row r="366" spans="1:10" s="91" customFormat="1">
      <c r="A366" s="1"/>
      <c r="B366" s="1"/>
      <c r="C366" s="1"/>
      <c r="D366" s="1"/>
      <c r="E366" s="1"/>
      <c r="F366" s="1"/>
      <c r="G366" s="1"/>
      <c r="H366" s="1"/>
      <c r="I366" s="1"/>
      <c r="J366" s="1"/>
    </row>
    <row r="367" spans="1:10" s="91" customFormat="1">
      <c r="A367" s="1"/>
      <c r="B367" s="1"/>
      <c r="C367" s="1"/>
      <c r="D367" s="1"/>
      <c r="E367" s="1"/>
      <c r="F367" s="1"/>
      <c r="G367" s="1"/>
      <c r="H367" s="1"/>
      <c r="I367" s="1"/>
      <c r="J367" s="1"/>
    </row>
    <row r="368" spans="1:10" s="91" customFormat="1">
      <c r="A368" s="1"/>
      <c r="B368" s="1"/>
      <c r="C368" s="1"/>
      <c r="D368" s="1"/>
      <c r="E368" s="1"/>
      <c r="F368" s="1"/>
      <c r="G368" s="1"/>
      <c r="H368" s="1"/>
      <c r="I368" s="1"/>
      <c r="J368" s="1"/>
    </row>
    <row r="369" spans="1:10" s="91" customFormat="1">
      <c r="A369" s="1"/>
      <c r="B369" s="1"/>
      <c r="C369" s="1"/>
      <c r="D369" s="1"/>
      <c r="E369" s="1"/>
      <c r="F369" s="1"/>
      <c r="G369" s="1"/>
      <c r="H369" s="1"/>
      <c r="I369" s="1"/>
      <c r="J369" s="1"/>
    </row>
    <row r="370" spans="1:10" s="91" customFormat="1">
      <c r="A370" s="1"/>
      <c r="B370" s="1"/>
      <c r="C370" s="1"/>
      <c r="D370" s="1"/>
      <c r="E370" s="1"/>
      <c r="F370" s="1"/>
      <c r="G370" s="1"/>
      <c r="H370" s="1"/>
      <c r="I370" s="1"/>
      <c r="J370" s="1"/>
    </row>
    <row r="371" spans="1:10" s="91" customFormat="1">
      <c r="A371" s="1"/>
      <c r="B371" s="1"/>
      <c r="C371" s="1"/>
      <c r="D371" s="1"/>
      <c r="E371" s="1"/>
      <c r="F371" s="1"/>
      <c r="G371" s="1"/>
      <c r="H371" s="1"/>
      <c r="I371" s="1"/>
      <c r="J371" s="1"/>
    </row>
    <row r="372" spans="1:10" s="91" customFormat="1">
      <c r="A372" s="1"/>
      <c r="B372" s="1"/>
      <c r="C372" s="1"/>
      <c r="D372" s="1"/>
      <c r="E372" s="1"/>
      <c r="F372" s="1"/>
      <c r="G372" s="1"/>
      <c r="H372" s="1"/>
      <c r="I372" s="1"/>
      <c r="J372" s="1"/>
    </row>
    <row r="373" spans="1:10" s="91" customFormat="1">
      <c r="A373" s="1"/>
      <c r="B373" s="1"/>
      <c r="C373" s="1"/>
      <c r="D373" s="1"/>
      <c r="E373" s="1"/>
      <c r="F373" s="1"/>
      <c r="G373" s="1"/>
      <c r="H373" s="1"/>
      <c r="I373" s="1"/>
      <c r="J373" s="1"/>
    </row>
    <row r="374" spans="1:10" s="91" customFormat="1">
      <c r="A374" s="1"/>
      <c r="B374" s="1"/>
      <c r="C374" s="1"/>
      <c r="D374" s="1"/>
      <c r="E374" s="1"/>
      <c r="F374" s="1"/>
      <c r="G374" s="1"/>
      <c r="H374" s="1"/>
      <c r="I374" s="1"/>
      <c r="J374" s="1"/>
    </row>
    <row r="375" spans="1:10" s="91" customFormat="1">
      <c r="A375" s="1"/>
      <c r="B375" s="1"/>
      <c r="C375" s="1"/>
      <c r="D375" s="1"/>
      <c r="E375" s="1"/>
      <c r="F375" s="1"/>
      <c r="G375" s="1"/>
      <c r="H375" s="1"/>
      <c r="I375" s="1"/>
      <c r="J375" s="1"/>
    </row>
    <row r="376" spans="1:10" s="91" customFormat="1">
      <c r="A376" s="1"/>
      <c r="B376" s="1"/>
      <c r="C376" s="1"/>
      <c r="D376" s="1"/>
      <c r="E376" s="1"/>
      <c r="F376" s="1"/>
      <c r="G376" s="1"/>
      <c r="H376" s="1"/>
      <c r="I376" s="1"/>
      <c r="J376" s="1"/>
    </row>
    <row r="377" spans="1:10" s="91" customFormat="1">
      <c r="A377" s="1"/>
      <c r="B377" s="1"/>
      <c r="C377" s="1"/>
      <c r="D377" s="1"/>
      <c r="E377" s="1"/>
      <c r="F377" s="1"/>
      <c r="G377" s="1"/>
      <c r="H377" s="1"/>
      <c r="I377" s="1"/>
      <c r="J377" s="1"/>
    </row>
    <row r="378" spans="1:10" s="91" customFormat="1">
      <c r="A378" s="1"/>
      <c r="B378" s="1"/>
      <c r="C378" s="1"/>
      <c r="D378" s="1"/>
      <c r="E378" s="1"/>
      <c r="F378" s="1"/>
      <c r="G378" s="1"/>
      <c r="H378" s="1"/>
      <c r="I378" s="1"/>
      <c r="J378" s="1"/>
    </row>
    <row r="379" spans="1:10" s="91" customFormat="1">
      <c r="A379" s="1"/>
      <c r="B379" s="1"/>
      <c r="C379" s="1"/>
      <c r="D379" s="1"/>
      <c r="E379" s="1"/>
      <c r="F379" s="1"/>
      <c r="G379" s="1"/>
      <c r="H379" s="1"/>
      <c r="I379" s="1"/>
      <c r="J379" s="1"/>
    </row>
    <row r="380" spans="1:10" s="91" customFormat="1">
      <c r="A380" s="1"/>
      <c r="B380" s="1"/>
      <c r="C380" s="1"/>
      <c r="D380" s="1"/>
      <c r="E380" s="1"/>
      <c r="F380" s="1"/>
      <c r="G380" s="1"/>
      <c r="H380" s="1"/>
      <c r="I380" s="1"/>
      <c r="J380" s="1"/>
    </row>
    <row r="381" spans="1:10" s="91" customFormat="1">
      <c r="A381" s="1"/>
      <c r="B381" s="1"/>
      <c r="C381" s="1"/>
      <c r="D381" s="1"/>
      <c r="E381" s="1"/>
      <c r="F381" s="1"/>
      <c r="G381" s="1"/>
      <c r="H381" s="1"/>
      <c r="I381" s="1"/>
      <c r="J381" s="1"/>
    </row>
    <row r="382" spans="1:10" s="91" customFormat="1">
      <c r="A382" s="1"/>
      <c r="B382" s="1"/>
      <c r="C382" s="1"/>
      <c r="D382" s="1"/>
      <c r="E382" s="1"/>
      <c r="F382" s="1"/>
      <c r="G382" s="1"/>
      <c r="H382" s="1"/>
      <c r="I382" s="1"/>
      <c r="J382" s="1"/>
    </row>
    <row r="383" spans="1:10" s="91" customFormat="1">
      <c r="A383" s="1"/>
      <c r="B383" s="1"/>
      <c r="C383" s="1"/>
      <c r="D383" s="1"/>
      <c r="E383" s="1"/>
      <c r="F383" s="1"/>
      <c r="G383" s="1"/>
      <c r="H383" s="1"/>
      <c r="I383" s="1"/>
      <c r="J383" s="1"/>
    </row>
    <row r="384" spans="1:10" s="91" customFormat="1">
      <c r="A384" s="1"/>
      <c r="B384" s="1"/>
      <c r="C384" s="1"/>
      <c r="D384" s="1"/>
      <c r="E384" s="1"/>
      <c r="F384" s="1"/>
      <c r="G384" s="1"/>
      <c r="H384" s="1"/>
      <c r="I384" s="1"/>
      <c r="J384" s="1"/>
    </row>
    <row r="385" spans="1:10" s="91" customFormat="1">
      <c r="A385" s="1"/>
      <c r="B385" s="1"/>
      <c r="C385" s="1"/>
      <c r="D385" s="1"/>
      <c r="E385" s="1"/>
      <c r="F385" s="1"/>
      <c r="G385" s="1"/>
      <c r="H385" s="1"/>
      <c r="I385" s="1"/>
      <c r="J385" s="1"/>
    </row>
    <row r="386" spans="1:10" s="91" customFormat="1">
      <c r="A386" s="1"/>
      <c r="B386" s="1"/>
      <c r="C386" s="1"/>
      <c r="D386" s="1"/>
      <c r="E386" s="1"/>
      <c r="F386" s="1"/>
      <c r="G386" s="1"/>
      <c r="H386" s="1"/>
      <c r="I386" s="1"/>
      <c r="J386" s="1"/>
    </row>
    <row r="387" spans="1:10" s="91" customFormat="1">
      <c r="A387" s="1"/>
      <c r="B387" s="1"/>
      <c r="C387" s="1"/>
      <c r="D387" s="1"/>
      <c r="E387" s="1"/>
      <c r="F387" s="1"/>
      <c r="G387" s="1"/>
      <c r="H387" s="1"/>
      <c r="I387" s="1"/>
      <c r="J387" s="1"/>
    </row>
    <row r="388" spans="1:10" s="91" customFormat="1">
      <c r="A388" s="1"/>
      <c r="B388" s="1"/>
      <c r="C388" s="1"/>
      <c r="D388" s="1"/>
      <c r="E388" s="1"/>
      <c r="F388" s="1"/>
      <c r="G388" s="1"/>
      <c r="H388" s="1"/>
      <c r="I388" s="1"/>
      <c r="J388" s="1"/>
    </row>
    <row r="389" spans="1:10" s="91" customFormat="1">
      <c r="A389" s="1"/>
      <c r="B389" s="1"/>
      <c r="C389" s="1"/>
      <c r="D389" s="1"/>
      <c r="E389" s="1"/>
      <c r="F389" s="1"/>
      <c r="G389" s="1"/>
      <c r="H389" s="1"/>
      <c r="I389" s="1"/>
      <c r="J389" s="1"/>
    </row>
    <row r="390" spans="1:10" s="91" customFormat="1">
      <c r="A390" s="1"/>
      <c r="B390" s="1"/>
      <c r="C390" s="1"/>
      <c r="D390" s="1"/>
      <c r="E390" s="1"/>
      <c r="F390" s="1"/>
      <c r="G390" s="1"/>
      <c r="H390" s="1"/>
      <c r="I390" s="1"/>
      <c r="J390" s="1"/>
    </row>
    <row r="391" spans="1:10" s="91" customFormat="1">
      <c r="A391" s="1"/>
      <c r="B391" s="1"/>
      <c r="C391" s="1"/>
      <c r="D391" s="1"/>
      <c r="E391" s="1"/>
      <c r="F391" s="1"/>
      <c r="G391" s="1"/>
      <c r="H391" s="1"/>
      <c r="I391" s="1"/>
      <c r="J391" s="1"/>
    </row>
    <row r="392" spans="1:10" s="91" customFormat="1">
      <c r="A392" s="1"/>
      <c r="B392" s="1"/>
      <c r="C392" s="1"/>
      <c r="D392" s="1"/>
      <c r="E392" s="1"/>
      <c r="F392" s="1"/>
      <c r="G392" s="1"/>
      <c r="H392" s="1"/>
      <c r="I392" s="1"/>
      <c r="J392" s="1"/>
    </row>
    <row r="393" spans="1:10" s="91" customFormat="1">
      <c r="A393" s="1"/>
      <c r="B393" s="1"/>
      <c r="C393" s="1"/>
      <c r="D393" s="1"/>
      <c r="E393" s="1"/>
      <c r="F393" s="1"/>
      <c r="G393" s="1"/>
      <c r="H393" s="1"/>
      <c r="I393" s="1"/>
      <c r="J393" s="1"/>
    </row>
    <row r="394" spans="1:10" s="91" customFormat="1">
      <c r="A394" s="1"/>
      <c r="B394" s="1"/>
      <c r="C394" s="1"/>
      <c r="D394" s="1"/>
      <c r="E394" s="1"/>
      <c r="F394" s="1"/>
      <c r="G394" s="1"/>
      <c r="H394" s="1"/>
      <c r="I394" s="1"/>
      <c r="J394" s="1"/>
    </row>
    <row r="395" spans="1:10" s="91" customFormat="1">
      <c r="A395" s="1"/>
      <c r="B395" s="1"/>
      <c r="C395" s="1"/>
      <c r="D395" s="1"/>
      <c r="E395" s="1"/>
      <c r="F395" s="1"/>
      <c r="G395" s="1"/>
      <c r="H395" s="1"/>
      <c r="I395" s="1"/>
      <c r="J395" s="1"/>
    </row>
    <row r="396" spans="1:10" s="91" customFormat="1">
      <c r="A396" s="1"/>
      <c r="B396" s="1"/>
      <c r="C396" s="1"/>
      <c r="D396" s="1"/>
      <c r="E396" s="1"/>
      <c r="F396" s="1"/>
      <c r="G396" s="1"/>
      <c r="H396" s="1"/>
      <c r="I396" s="1"/>
      <c r="J396" s="1"/>
    </row>
    <row r="397" spans="1:10" s="91" customFormat="1">
      <c r="A397" s="1"/>
      <c r="B397" s="1"/>
      <c r="C397" s="1"/>
      <c r="D397" s="1"/>
      <c r="E397" s="1"/>
      <c r="F397" s="1"/>
      <c r="G397" s="1"/>
      <c r="H397" s="1"/>
      <c r="I397" s="1"/>
      <c r="J397" s="1"/>
    </row>
    <row r="398" spans="1:10" s="91" customFormat="1">
      <c r="A398" s="1"/>
      <c r="B398" s="1"/>
      <c r="C398" s="1"/>
      <c r="D398" s="1"/>
      <c r="E398" s="1"/>
      <c r="F398" s="1"/>
      <c r="G398" s="1"/>
      <c r="H398" s="1"/>
      <c r="I398" s="1"/>
      <c r="J398" s="1"/>
    </row>
    <row r="399" spans="1:10" s="91" customFormat="1">
      <c r="A399" s="1"/>
      <c r="B399" s="1"/>
      <c r="C399" s="1"/>
      <c r="D399" s="1"/>
      <c r="E399" s="1"/>
      <c r="F399" s="1"/>
      <c r="G399" s="1"/>
      <c r="H399" s="1"/>
      <c r="I399" s="1"/>
      <c r="J399" s="1"/>
    </row>
    <row r="400" spans="1:10" s="91" customFormat="1">
      <c r="A400" s="1"/>
      <c r="B400" s="1"/>
      <c r="C400" s="1"/>
      <c r="D400" s="1"/>
      <c r="E400" s="1"/>
      <c r="F400" s="1"/>
      <c r="G400" s="1"/>
      <c r="H400" s="1"/>
      <c r="I400" s="1"/>
      <c r="J400" s="1"/>
    </row>
    <row r="401" spans="1:10" s="91" customFormat="1">
      <c r="A401" s="1"/>
      <c r="B401" s="1"/>
      <c r="C401" s="1"/>
      <c r="D401" s="1"/>
      <c r="E401" s="1"/>
      <c r="F401" s="1"/>
      <c r="G401" s="1"/>
      <c r="H401" s="1"/>
      <c r="I401" s="1"/>
      <c r="J401" s="1"/>
    </row>
    <row r="402" spans="1:10" s="91" customFormat="1">
      <c r="A402" s="1"/>
      <c r="B402" s="1"/>
      <c r="C402" s="1"/>
      <c r="D402" s="1"/>
      <c r="E402" s="1"/>
      <c r="F402" s="1"/>
      <c r="G402" s="1"/>
      <c r="H402" s="1"/>
      <c r="I402" s="1"/>
      <c r="J402" s="1"/>
    </row>
    <row r="403" spans="1:10" s="91" customFormat="1">
      <c r="A403" s="1"/>
      <c r="B403" s="1"/>
      <c r="C403" s="1"/>
      <c r="D403" s="1"/>
      <c r="E403" s="1"/>
      <c r="F403" s="1"/>
      <c r="G403" s="1"/>
      <c r="H403" s="1"/>
      <c r="I403" s="1"/>
      <c r="J403" s="1"/>
    </row>
    <row r="404" spans="1:10" s="91" customFormat="1">
      <c r="A404" s="1"/>
      <c r="B404" s="1"/>
      <c r="C404" s="1"/>
      <c r="D404" s="1"/>
      <c r="E404" s="1"/>
      <c r="F404" s="1"/>
      <c r="G404" s="1"/>
      <c r="H404" s="1"/>
      <c r="I404" s="1"/>
      <c r="J404" s="1"/>
    </row>
  </sheetData>
  <sheetProtection password="A541" sheet="1" objects="1" scenarios="1" selectLockedCells="1"/>
  <customSheetViews>
    <customSheetView guid="{A316F603-36BB-45F0-8A3D-94F56F16B8BC}" fitToPage="1" hiddenRows="1">
      <selection activeCell="B4" sqref="B4"/>
      <rowBreaks count="8" manualBreakCount="8">
        <brk id="43" max="9" man="1"/>
        <brk id="51" max="9" man="1"/>
        <brk id="81" max="9" man="1"/>
        <brk id="111" max="9" man="1"/>
        <brk id="191" max="9" man="1"/>
        <brk id="209" max="9" man="1"/>
        <brk id="255" max="9" man="1"/>
        <brk id="285" max="9" man="1"/>
      </rowBreaks>
      <pageMargins left="0.5" right="0.5" top="0.75" bottom="0.75" header="0.25" footer="0.25"/>
      <printOptions horizontalCentered="1"/>
      <pageSetup scale="90" fitToHeight="0" orientation="portrait" r:id="rId1"/>
      <headerFooter>
        <oddHeader>&amp;L&amp;"Arial,Regular"&amp;8Texas Department of Aging
and Disability Services&amp;C&amp;"Arial,Bold"&amp;12CONSUMER DIRECTED SERVICES (CDS)
MONITORING WORKBOOK&amp;R&amp;"Arial,Regular"&amp;8Form TBD
Page &amp;P</oddHeader>
      </headerFooter>
    </customSheetView>
    <customSheetView guid="{99F5D17F-5AC0-418F-9D70-825920124F2C}" fitToPage="1">
      <selection activeCell="A2" sqref="A2:E2"/>
      <pageMargins left="0.5" right="0.5" top="0.75" bottom="0.75" header="0.25" footer="0.25"/>
      <printOptions horizontalCentered="1"/>
      <pageSetup fitToHeight="15" orientation="portrait" r:id="rId2"/>
      <headerFooter>
        <oddHeader>&amp;L&amp;"Arial,Regular"&amp;8Texas Department of Aging
and Disability Services&amp;C&amp;"Arial,Bold"&amp;12CONSUMER DIRECTED SERVICES (CDS)
MONITORING WORKBOOK&amp;R&amp;"Arial,Regular"&amp;8Form TBD
Page &amp;P</oddHeader>
      </headerFooter>
    </customSheetView>
    <customSheetView guid="{341C6106-BE79-4CDE-A40C-FC24AA59D1EA}" fitToPage="1" hiddenRows="1">
      <selection activeCell="B4" sqref="B4"/>
      <rowBreaks count="8" manualBreakCount="8">
        <brk id="43" max="9" man="1"/>
        <brk id="51" max="9" man="1"/>
        <brk id="81" max="9" man="1"/>
        <brk id="111" max="9" man="1"/>
        <brk id="191" max="9" man="1"/>
        <brk id="209" max="9" man="1"/>
        <brk id="255" max="9" man="1"/>
        <brk id="285" max="9" man="1"/>
      </rowBreaks>
      <pageMargins left="0.5" right="0.5" top="0.75" bottom="0.75" header="0.25" footer="0.25"/>
      <printOptions horizontalCentered="1"/>
      <pageSetup scale="90" fitToHeight="0" orientation="portrait" r:id="rId3"/>
      <headerFooter>
        <oddHeader>&amp;L&amp;"Arial,Regular"&amp;8Texas Department of Aging
and Disability Services&amp;C&amp;"Arial,Bold"&amp;12CONSUMER DIRECTED SERVICES (CDS)
MONITORING WORKBOOK&amp;R&amp;"Arial,Regular"&amp;8Form TBD
Page &amp;P</oddHeader>
      </headerFooter>
    </customSheetView>
  </customSheetViews>
  <mergeCells count="281">
    <mergeCell ref="A224:E225"/>
    <mergeCell ref="A226:E235"/>
    <mergeCell ref="A236:A237"/>
    <mergeCell ref="B236:F237"/>
    <mergeCell ref="G236:H236"/>
    <mergeCell ref="I236:J236"/>
    <mergeCell ref="G237:H237"/>
    <mergeCell ref="I237:J237"/>
    <mergeCell ref="H15:J15"/>
    <mergeCell ref="H16:J16"/>
    <mergeCell ref="H17:J17"/>
    <mergeCell ref="C16:E16"/>
    <mergeCell ref="C17:E17"/>
    <mergeCell ref="A222:A223"/>
    <mergeCell ref="B222:F223"/>
    <mergeCell ref="G222:H222"/>
    <mergeCell ref="I222:J222"/>
    <mergeCell ref="G223:H223"/>
    <mergeCell ref="I223:J223"/>
    <mergeCell ref="G204:H204"/>
    <mergeCell ref="I204:J204"/>
    <mergeCell ref="G205:H205"/>
    <mergeCell ref="I205:J205"/>
    <mergeCell ref="A204:A205"/>
    <mergeCell ref="A287:J287"/>
    <mergeCell ref="A286:J286"/>
    <mergeCell ref="A209:J209"/>
    <mergeCell ref="A208:J208"/>
    <mergeCell ref="A177:J177"/>
    <mergeCell ref="A176:J176"/>
    <mergeCell ref="F18:J18"/>
    <mergeCell ref="A128:E131"/>
    <mergeCell ref="A132:E139"/>
    <mergeCell ref="G140:H140"/>
    <mergeCell ref="I140:J140"/>
    <mergeCell ref="G141:H141"/>
    <mergeCell ref="I141:J141"/>
    <mergeCell ref="G142:H142"/>
    <mergeCell ref="I142:J142"/>
    <mergeCell ref="G143:H143"/>
    <mergeCell ref="I143:J143"/>
    <mergeCell ref="B126:F127"/>
    <mergeCell ref="A126:A127"/>
    <mergeCell ref="B140:F141"/>
    <mergeCell ref="A256:E258"/>
    <mergeCell ref="C18:E18"/>
    <mergeCell ref="I268:J268"/>
    <mergeCell ref="G269:H269"/>
    <mergeCell ref="A11:B11"/>
    <mergeCell ref="A10:B10"/>
    <mergeCell ref="F7:G7"/>
    <mergeCell ref="H7:J7"/>
    <mergeCell ref="F8:G8"/>
    <mergeCell ref="H8:J8"/>
    <mergeCell ref="F9:G9"/>
    <mergeCell ref="F10:G10"/>
    <mergeCell ref="F11:G11"/>
    <mergeCell ref="F12:G12"/>
    <mergeCell ref="F13:G13"/>
    <mergeCell ref="F14:G14"/>
    <mergeCell ref="F15:G15"/>
    <mergeCell ref="F16:G16"/>
    <mergeCell ref="F17:G17"/>
    <mergeCell ref="H9:J9"/>
    <mergeCell ref="H10:J10"/>
    <mergeCell ref="H11:J11"/>
    <mergeCell ref="H12:J12"/>
    <mergeCell ref="H13:J13"/>
    <mergeCell ref="H14:J14"/>
    <mergeCell ref="A300:A301"/>
    <mergeCell ref="B300:F301"/>
    <mergeCell ref="G300:H300"/>
    <mergeCell ref="I300:J300"/>
    <mergeCell ref="G301:H301"/>
    <mergeCell ref="I301:J301"/>
    <mergeCell ref="A288:E288"/>
    <mergeCell ref="A289:E299"/>
    <mergeCell ref="C6:E6"/>
    <mergeCell ref="F6:G6"/>
    <mergeCell ref="H6:J6"/>
    <mergeCell ref="C9:E9"/>
    <mergeCell ref="A9:B9"/>
    <mergeCell ref="A12:B12"/>
    <mergeCell ref="A13:B13"/>
    <mergeCell ref="A14:B14"/>
    <mergeCell ref="A15:B15"/>
    <mergeCell ref="A16:B16"/>
    <mergeCell ref="A17:B17"/>
    <mergeCell ref="A18:B18"/>
    <mergeCell ref="C12:E12"/>
    <mergeCell ref="C13:E13"/>
    <mergeCell ref="C14:E14"/>
    <mergeCell ref="C15:E15"/>
    <mergeCell ref="I269:J269"/>
    <mergeCell ref="A259:E267"/>
    <mergeCell ref="G284:H284"/>
    <mergeCell ref="I284:J284"/>
    <mergeCell ref="A275:E281"/>
    <mergeCell ref="A282:A283"/>
    <mergeCell ref="B282:F283"/>
    <mergeCell ref="A284:F285"/>
    <mergeCell ref="G285:H285"/>
    <mergeCell ref="I285:J285"/>
    <mergeCell ref="G282:H282"/>
    <mergeCell ref="I282:J282"/>
    <mergeCell ref="G283:H283"/>
    <mergeCell ref="I283:J283"/>
    <mergeCell ref="A270:E274"/>
    <mergeCell ref="A268:A269"/>
    <mergeCell ref="B268:F269"/>
    <mergeCell ref="G268:H268"/>
    <mergeCell ref="G238:H238"/>
    <mergeCell ref="I238:J238"/>
    <mergeCell ref="G239:H239"/>
    <mergeCell ref="I239:J239"/>
    <mergeCell ref="A238:F239"/>
    <mergeCell ref="A240:J240"/>
    <mergeCell ref="A241:J241"/>
    <mergeCell ref="A242:E243"/>
    <mergeCell ref="A254:A255"/>
    <mergeCell ref="B254:F255"/>
    <mergeCell ref="G254:H254"/>
    <mergeCell ref="I254:J254"/>
    <mergeCell ref="G255:H255"/>
    <mergeCell ref="I255:J255"/>
    <mergeCell ref="A244:E253"/>
    <mergeCell ref="A206:F207"/>
    <mergeCell ref="G206:H206"/>
    <mergeCell ref="I206:J206"/>
    <mergeCell ref="G207:H207"/>
    <mergeCell ref="A210:E211"/>
    <mergeCell ref="A212:E221"/>
    <mergeCell ref="G175:H175"/>
    <mergeCell ref="I175:J175"/>
    <mergeCell ref="I207:J207"/>
    <mergeCell ref="A195:E203"/>
    <mergeCell ref="A192:E194"/>
    <mergeCell ref="G191:H191"/>
    <mergeCell ref="I191:J191"/>
    <mergeCell ref="A190:A191"/>
    <mergeCell ref="B190:F191"/>
    <mergeCell ref="A178:E180"/>
    <mergeCell ref="I190:J190"/>
    <mergeCell ref="G190:H190"/>
    <mergeCell ref="A181:E189"/>
    <mergeCell ref="B204:F205"/>
    <mergeCell ref="A146:E149"/>
    <mergeCell ref="A158:A159"/>
    <mergeCell ref="B158:F159"/>
    <mergeCell ref="G158:H158"/>
    <mergeCell ref="I158:J158"/>
    <mergeCell ref="G159:H159"/>
    <mergeCell ref="I159:J159"/>
    <mergeCell ref="A150:E157"/>
    <mergeCell ref="G174:H174"/>
    <mergeCell ref="I174:J174"/>
    <mergeCell ref="A164:E171"/>
    <mergeCell ref="A160:E163"/>
    <mergeCell ref="G172:H172"/>
    <mergeCell ref="I172:J172"/>
    <mergeCell ref="G173:H173"/>
    <mergeCell ref="I173:J173"/>
    <mergeCell ref="A172:A173"/>
    <mergeCell ref="B172:F173"/>
    <mergeCell ref="A174:F175"/>
    <mergeCell ref="G127:H127"/>
    <mergeCell ref="I127:J127"/>
    <mergeCell ref="A144:J144"/>
    <mergeCell ref="A145:J145"/>
    <mergeCell ref="A112:J112"/>
    <mergeCell ref="A113:J113"/>
    <mergeCell ref="G126:H126"/>
    <mergeCell ref="I126:J126"/>
    <mergeCell ref="A114:E117"/>
    <mergeCell ref="A118:E125"/>
    <mergeCell ref="A140:A141"/>
    <mergeCell ref="A142:F143"/>
    <mergeCell ref="G95:H95"/>
    <mergeCell ref="I95:J95"/>
    <mergeCell ref="G110:H110"/>
    <mergeCell ref="I110:J110"/>
    <mergeCell ref="G111:H111"/>
    <mergeCell ref="I111:J111"/>
    <mergeCell ref="G94:H94"/>
    <mergeCell ref="B94:F95"/>
    <mergeCell ref="A82:E84"/>
    <mergeCell ref="A85:E93"/>
    <mergeCell ref="A94:A95"/>
    <mergeCell ref="A110:F111"/>
    <mergeCell ref="A108:A109"/>
    <mergeCell ref="B108:F109"/>
    <mergeCell ref="G108:H108"/>
    <mergeCell ref="I108:J108"/>
    <mergeCell ref="G109:H109"/>
    <mergeCell ref="I109:J109"/>
    <mergeCell ref="A96:E97"/>
    <mergeCell ref="A98:E107"/>
    <mergeCell ref="I94:J94"/>
    <mergeCell ref="A44:I44"/>
    <mergeCell ref="A45:I45"/>
    <mergeCell ref="J45:J49"/>
    <mergeCell ref="A40:I40"/>
    <mergeCell ref="A41:I41"/>
    <mergeCell ref="A37:I37"/>
    <mergeCell ref="A38:I38"/>
    <mergeCell ref="A34:I34"/>
    <mergeCell ref="A39:I39"/>
    <mergeCell ref="A42:I42"/>
    <mergeCell ref="A43:I43"/>
    <mergeCell ref="A19:J19"/>
    <mergeCell ref="A48:I48"/>
    <mergeCell ref="J28:J32"/>
    <mergeCell ref="A49:I49"/>
    <mergeCell ref="A27:I27"/>
    <mergeCell ref="A20:J20"/>
    <mergeCell ref="A33:I33"/>
    <mergeCell ref="A35:I35"/>
    <mergeCell ref="A36:I36"/>
    <mergeCell ref="A46:I46"/>
    <mergeCell ref="A47:I47"/>
    <mergeCell ref="A24:I24"/>
    <mergeCell ref="A25:I25"/>
    <mergeCell ref="A26:I26"/>
    <mergeCell ref="J25:J26"/>
    <mergeCell ref="B22:J22"/>
    <mergeCell ref="J34:J41"/>
    <mergeCell ref="A28:I28"/>
    <mergeCell ref="A29:I29"/>
    <mergeCell ref="A30:I30"/>
    <mergeCell ref="A31:I31"/>
    <mergeCell ref="B21:J21"/>
    <mergeCell ref="A23:J23"/>
    <mergeCell ref="A32:I32"/>
    <mergeCell ref="A1:E1"/>
    <mergeCell ref="F1:G1"/>
    <mergeCell ref="H1:J1"/>
    <mergeCell ref="A2:E2"/>
    <mergeCell ref="F2:G2"/>
    <mergeCell ref="H2:J2"/>
    <mergeCell ref="C11:E11"/>
    <mergeCell ref="C10:E10"/>
    <mergeCell ref="C8:E8"/>
    <mergeCell ref="I3:J3"/>
    <mergeCell ref="A8:B8"/>
    <mergeCell ref="A3:B3"/>
    <mergeCell ref="C3:D3"/>
    <mergeCell ref="C4:D4"/>
    <mergeCell ref="C5:D5"/>
    <mergeCell ref="E3:F3"/>
    <mergeCell ref="E4:F4"/>
    <mergeCell ref="E5:F5"/>
    <mergeCell ref="G3:H3"/>
    <mergeCell ref="G4:H4"/>
    <mergeCell ref="G5:H5"/>
    <mergeCell ref="A7:B7"/>
    <mergeCell ref="C7:E7"/>
    <mergeCell ref="A6:B6"/>
    <mergeCell ref="A51:F51"/>
    <mergeCell ref="G51:H51"/>
    <mergeCell ref="I51:J51"/>
    <mergeCell ref="B50:F50"/>
    <mergeCell ref="G50:H50"/>
    <mergeCell ref="I50:J50"/>
    <mergeCell ref="A52:J52"/>
    <mergeCell ref="A54:E58"/>
    <mergeCell ref="A59:E65"/>
    <mergeCell ref="A53:J53"/>
    <mergeCell ref="A80:A81"/>
    <mergeCell ref="B80:F81"/>
    <mergeCell ref="G80:H80"/>
    <mergeCell ref="I80:J80"/>
    <mergeCell ref="G81:H81"/>
    <mergeCell ref="I81:J81"/>
    <mergeCell ref="I66:J66"/>
    <mergeCell ref="A68:E72"/>
    <mergeCell ref="A73:E79"/>
    <mergeCell ref="A66:A67"/>
    <mergeCell ref="B66:F67"/>
    <mergeCell ref="G66:H66"/>
    <mergeCell ref="G67:H67"/>
    <mergeCell ref="I67:J67"/>
  </mergeCells>
  <conditionalFormatting sqref="F69:J69 F71:J71 F73:J73 F75:J75 F77:J77 F79:J79">
    <cfRule type="cellIs" dxfId="16" priority="23" operator="equal">
      <formula>"E"</formula>
    </cfRule>
  </conditionalFormatting>
  <conditionalFormatting sqref="F83:J83 F85:J85 F87:J87 F89:J89 F91:J91 F93:J93">
    <cfRule type="cellIs" dxfId="15" priority="22" operator="equal">
      <formula>"E"</formula>
    </cfRule>
  </conditionalFormatting>
  <conditionalFormatting sqref="F97:J97 F99:J99 F101:J101 F103:J103 F105:J105 F107:J107">
    <cfRule type="cellIs" dxfId="14" priority="21" operator="equal">
      <formula>"E"</formula>
    </cfRule>
  </conditionalFormatting>
  <conditionalFormatting sqref="F115:J115 F117:J117 F119:J119 F121:J121 F123:J123 F125:J125">
    <cfRule type="cellIs" dxfId="13" priority="20" operator="equal">
      <formula>"E"</formula>
    </cfRule>
  </conditionalFormatting>
  <conditionalFormatting sqref="F147:J147 F149:J149 F151:J151 F153:J153 F155:J155 F157:J157">
    <cfRule type="cellIs" dxfId="12" priority="19" operator="equal">
      <formula>"E"</formula>
    </cfRule>
  </conditionalFormatting>
  <conditionalFormatting sqref="F161:J161 F163:J163 F165:J165 F167:J167 F169:J169 F171:J171">
    <cfRule type="cellIs" dxfId="11" priority="17" operator="equal">
      <formula>"E"</formula>
    </cfRule>
  </conditionalFormatting>
  <conditionalFormatting sqref="F179:J179 F181:J181 F183:J183 F185:J185 F187:J187 F189:J189">
    <cfRule type="cellIs" dxfId="10" priority="13" operator="equal">
      <formula>"E"</formula>
    </cfRule>
  </conditionalFormatting>
  <conditionalFormatting sqref="F193:J193 F195:J195 F197:J197 F199:J199 F201:J201 F203:J203">
    <cfRule type="cellIs" dxfId="9" priority="12" operator="equal">
      <formula>"E"</formula>
    </cfRule>
  </conditionalFormatting>
  <conditionalFormatting sqref="F211:J211 F213:J213 F215:J215 F217:J217 F219:J219 F221:J221">
    <cfRule type="cellIs" dxfId="8" priority="10" operator="equal">
      <formula>"E"</formula>
    </cfRule>
  </conditionalFormatting>
  <conditionalFormatting sqref="F243:J243 F245:J245 F247:J247 F249:J249 F251:J251 F253:J253">
    <cfRule type="cellIs" dxfId="7" priority="9" operator="equal">
      <formula>"E"</formula>
    </cfRule>
  </conditionalFormatting>
  <conditionalFormatting sqref="F257:J257 F259:J259 F261:J261 F263:J263 F265:J265 F267:J267">
    <cfRule type="cellIs" dxfId="6" priority="8" operator="equal">
      <formula>"E"</formula>
    </cfRule>
  </conditionalFormatting>
  <conditionalFormatting sqref="F271:J271 F273:J273 F275:J275 F277:J277 F279:J279 F281:J281">
    <cfRule type="cellIs" dxfId="5" priority="7" operator="equal">
      <formula>"E"</formula>
    </cfRule>
  </conditionalFormatting>
  <conditionalFormatting sqref="F289:J289 F291:J291 F293:J293 F295:J295 F297:J297 F299:J299">
    <cfRule type="cellIs" dxfId="4" priority="6" operator="equal">
      <formula>"E"</formula>
    </cfRule>
  </conditionalFormatting>
  <conditionalFormatting sqref="F55:J55 F57:J57 F59:J59 F61:J61 F63:J63 F65:J65">
    <cfRule type="cellIs" dxfId="3" priority="3" operator="equal">
      <formula>"E"</formula>
    </cfRule>
  </conditionalFormatting>
  <conditionalFormatting sqref="F129:J129 F131:J131 F133:J133 F135:J135 F137:J137 F139:J139">
    <cfRule type="cellIs" dxfId="2" priority="2" operator="equal">
      <formula>"E"</formula>
    </cfRule>
  </conditionalFormatting>
  <conditionalFormatting sqref="F225:J225 F227:J227 F229:J229 F231:J231 F233:J233 F235:J235">
    <cfRule type="cellIs" dxfId="1" priority="1" operator="equal">
      <formula>"E"</formula>
    </cfRule>
  </conditionalFormatting>
  <dataValidations count="12">
    <dataValidation type="textLength" operator="lessThanOrEqual" allowBlank="1" showInputMessage="1" showErrorMessage="1" sqref="B50:F50 B80:F81 B94 B126 B158 B172 B108:F109 B300 B282 B268 A238 B190 B204 B222 B254 A284 B66:F67 B140 B236">
      <formula1>1024</formula1>
    </dataValidation>
    <dataValidation type="list" allowBlank="1" showInputMessage="1" showErrorMessage="1" sqref="J25">
      <formula1>"Y,N,NA"</formula1>
    </dataValidation>
    <dataValidation type="list" showInputMessage="1" showErrorMessage="1" sqref="J45:J49 J34:J41">
      <formula1>"Y,N,NA"</formula1>
    </dataValidation>
    <dataValidation type="whole" showInputMessage="1" showErrorMessage="1" sqref="I6:J6">
      <formula1>1</formula1>
      <formula2>999999999999</formula2>
    </dataValidation>
    <dataValidation type="list" showInputMessage="1" showErrorMessage="1" sqref="H2:J2">
      <formula1>"PROVISIONAL-FORMAL,PROVISIONAL-INTERMITTENT,STANDARD-FORMAL,STANDARD-INTERMITTENT,ADMINISTRATIVE,COMPLAINT,CLOSE OUT"</formula1>
    </dataValidation>
    <dataValidation type="list" allowBlank="1" showInputMessage="1" showErrorMessage="1" sqref="F2:G2">
      <formula1>"FULL,TARGETED"</formula1>
    </dataValidation>
    <dataValidation type="textLength" operator="equal" allowBlank="1" showInputMessage="1" showErrorMessage="1" errorTitle="Contract Number Length" error="Contractor number must be 9 digits, including leading zeros." sqref="C9:C18 C7:E8 D10:E11 H7:H17">
      <formula1>9</formula1>
    </dataValidation>
    <dataValidation type="textLength" operator="lessThanOrEqual" showInputMessage="1" showErrorMessage="1" sqref="A2:E2 B4:B5">
      <formula1>255</formula1>
    </dataValidation>
    <dataValidation type="date" operator="greaterThan" allowBlank="1" showInputMessage="1" showErrorMessage="1" sqref="C5">
      <formula1>1</formula1>
    </dataValidation>
    <dataValidation type="date" operator="greaterThanOrEqual" allowBlank="1" showInputMessage="1" showErrorMessage="1" errorTitle="Date Error" error="Date of Exit cannot be earlier than Date of Entrance." sqref="E5:F5">
      <formula1>C5</formula1>
    </dataValidation>
    <dataValidation type="date" operator="greaterThanOrEqual" allowBlank="1" showInputMessage="1" showErrorMessage="1" errorTitle="Date Error" error="Date of Exit (Revised) cannot be earlier than Date of Exit." sqref="G5:H5">
      <formula1>E5</formula1>
    </dataValidation>
    <dataValidation type="list" showInputMessage="1" showErrorMessage="1" sqref="J28:J32 J43">
      <formula1>"Y,N"</formula1>
    </dataValidation>
  </dataValidations>
  <printOptions horizontalCentered="1"/>
  <pageMargins left="0.5" right="0.5" top="0.75" bottom="0.75" header="0.25" footer="0.25"/>
  <pageSetup scale="90" fitToHeight="0" orientation="portrait" r:id="rId4"/>
  <headerFooter>
    <oddHeader>&amp;L&amp;"Arial,Regular"&amp;8Texas Department of Aging
and Disability Services&amp;C&amp;"Arial,Bold"&amp;12CONSUMER DIRECTED SERVICES (CDS)
MONITORING WORKBOOK&amp;R&amp;"Arial,Regular"&amp;8Form TBD
Page &amp;P</oddHeader>
  </headerFooter>
  <rowBreaks count="8" manualBreakCount="8">
    <brk id="43" max="9" man="1"/>
    <brk id="51" max="9" man="1"/>
    <brk id="81" max="9" man="1"/>
    <brk id="111" max="9" man="1"/>
    <brk id="191" max="9" man="1"/>
    <brk id="209" max="9" man="1"/>
    <brk id="255" max="9" man="1"/>
    <brk id="285" max="9" man="1"/>
  </rowBreaks>
  <drawing r:id="rId5"/>
  <legacyDrawing r:id="rId6"/>
  <mc:AlternateContent xmlns:mc="http://schemas.openxmlformats.org/markup-compatibility/2006">
    <mc:Choice Requires="x14">
      <controls>
        <mc:AlternateContent xmlns:mc="http://schemas.openxmlformats.org/markup-compatibility/2006">
          <mc:Choice Requires="x14">
            <control shapeId="5125" r:id="rId7" name="Check Box 5">
              <controlPr defaultSize="0" autoFill="0" autoLine="0" autoPict="0">
                <anchor moveWithCells="1">
                  <from>
                    <xdr:col>0</xdr:col>
                    <xdr:colOff>209550</xdr:colOff>
                    <xdr:row>21</xdr:row>
                    <xdr:rowOff>47625</xdr:rowOff>
                  </from>
                  <to>
                    <xdr:col>0</xdr:col>
                    <xdr:colOff>514350</xdr:colOff>
                    <xdr:row>21</xdr:row>
                    <xdr:rowOff>266700</xdr:rowOff>
                  </to>
                </anchor>
              </controlPr>
            </control>
          </mc:Choice>
        </mc:AlternateContent>
        <mc:AlternateContent xmlns:mc="http://schemas.openxmlformats.org/markup-compatibility/2006">
          <mc:Choice Requires="x14">
            <control shapeId="5126" r:id="rId8" name="Check Box 6">
              <controlPr defaultSize="0" autoFill="0" autoLine="0" autoPict="0">
                <anchor moveWithCells="1">
                  <from>
                    <xdr:col>0</xdr:col>
                    <xdr:colOff>209550</xdr:colOff>
                    <xdr:row>20</xdr:row>
                    <xdr:rowOff>66675</xdr:rowOff>
                  </from>
                  <to>
                    <xdr:col>0</xdr:col>
                    <xdr:colOff>514350</xdr:colOff>
                    <xdr:row>20</xdr:row>
                    <xdr:rowOff>285750</xdr:rowOff>
                  </to>
                </anchor>
              </controlPr>
            </control>
          </mc:Choice>
        </mc:AlternateContent>
        <mc:AlternateContent xmlns:mc="http://schemas.openxmlformats.org/markup-compatibility/2006">
          <mc:Choice Requires="x14">
            <control shapeId="5127" r:id="rId9" name="Check Box 7">
              <controlPr defaultSize="0" autoFill="0" autoLine="0" autoPict="0">
                <anchor moveWithCells="1">
                  <from>
                    <xdr:col>0</xdr:col>
                    <xdr:colOff>209550</xdr:colOff>
                    <xdr:row>21</xdr:row>
                    <xdr:rowOff>47625</xdr:rowOff>
                  </from>
                  <to>
                    <xdr:col>0</xdr:col>
                    <xdr:colOff>514350</xdr:colOff>
                    <xdr:row>21</xdr:row>
                    <xdr:rowOff>266700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8</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0" t="s">
        <v>157</v>
      </c>
      <c r="R180" s="359"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ErJKAFDw4Khg3dG89aPq2UReMSK9j49dPJcao6n6Xhb+d5JLqbboq/2t7v83F4LdP3MM+W2avwomqtTFhIq7XQ==" saltValue="Z9ix2J1axQe7X6a0UCJh8g=="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6:I246"/>
    <mergeCell ref="J246:K246"/>
    <mergeCell ref="L246:M246"/>
    <mergeCell ref="A247:B247"/>
    <mergeCell ref="C247:D247"/>
    <mergeCell ref="H247:I247"/>
    <mergeCell ref="J247:K247"/>
    <mergeCell ref="L247:M247"/>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8:B248"/>
    <mergeCell ref="C248:D248"/>
    <mergeCell ref="H248:I248"/>
    <mergeCell ref="J248:K248"/>
    <mergeCell ref="L248:M248"/>
    <mergeCell ref="A244:B244"/>
    <mergeCell ref="C244:D244"/>
    <mergeCell ref="H244:I244"/>
    <mergeCell ref="J244:K244"/>
    <mergeCell ref="L244:M244"/>
    <mergeCell ref="A245:B245"/>
    <mergeCell ref="C245:D245"/>
    <mergeCell ref="H245:I245"/>
    <mergeCell ref="J245:K245"/>
    <mergeCell ref="L245:M245"/>
    <mergeCell ref="A246:B246"/>
    <mergeCell ref="C246:D246"/>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9</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0" t="s">
        <v>157</v>
      </c>
      <c r="R180" s="359"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2aOPJRSol2gCsi9Gp1C8zq8GtOMt3UX5pFXnuI0GVbN9ViuvDih8jJIBwWgMhe0ttTB0JHBz6UoNKBBU8tSRPA==" saltValue="Rr7huARfoMv/SltpY+rLzg=="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6:I246"/>
    <mergeCell ref="J246:K246"/>
    <mergeCell ref="L246:M246"/>
    <mergeCell ref="A247:B247"/>
    <mergeCell ref="C247:D247"/>
    <mergeCell ref="H247:I247"/>
    <mergeCell ref="J247:K247"/>
    <mergeCell ref="L247:M247"/>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8:B248"/>
    <mergeCell ref="C248:D248"/>
    <mergeCell ref="H248:I248"/>
    <mergeCell ref="J248:K248"/>
    <mergeCell ref="L248:M248"/>
    <mergeCell ref="A244:B244"/>
    <mergeCell ref="C244:D244"/>
    <mergeCell ref="H244:I244"/>
    <mergeCell ref="J244:K244"/>
    <mergeCell ref="L244:M244"/>
    <mergeCell ref="A245:B245"/>
    <mergeCell ref="C245:D245"/>
    <mergeCell ref="H245:I245"/>
    <mergeCell ref="J245:K245"/>
    <mergeCell ref="L245:M245"/>
    <mergeCell ref="A246:B246"/>
    <mergeCell ref="C246:D246"/>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10</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0" t="s">
        <v>157</v>
      </c>
      <c r="R180" s="359"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6QYkwSgsy3nFUjmI81CfIj+t/9Y3DHsLMydYcCiRurbbMx0BE++waXT/0ur0f+AsWxhpaQFUV0Q25tNCPZS+5w==" saltValue="yFG1T4wLyQ/kW77uwG+6VQ=="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7:I247"/>
    <mergeCell ref="J247:K247"/>
    <mergeCell ref="L247:M247"/>
    <mergeCell ref="A248:B248"/>
    <mergeCell ref="C248:D248"/>
    <mergeCell ref="H248:I248"/>
    <mergeCell ref="J248:K248"/>
    <mergeCell ref="L248:M248"/>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4:B244"/>
    <mergeCell ref="C244:D244"/>
    <mergeCell ref="H244:I244"/>
    <mergeCell ref="J244:K244"/>
    <mergeCell ref="L244:M244"/>
    <mergeCell ref="A245:B245"/>
    <mergeCell ref="C245:D245"/>
    <mergeCell ref="H245:I245"/>
    <mergeCell ref="J245:K245"/>
    <mergeCell ref="L245:M245"/>
    <mergeCell ref="A246:B246"/>
    <mergeCell ref="C246:D246"/>
    <mergeCell ref="H246:I246"/>
    <mergeCell ref="J246:K246"/>
    <mergeCell ref="L246:M246"/>
    <mergeCell ref="A247:B247"/>
    <mergeCell ref="C247:D247"/>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11</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599" t="s">
        <v>620</v>
      </c>
      <c r="L149" s="599"/>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599" t="s">
        <v>620</v>
      </c>
      <c r="L150" s="600"/>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599" t="s">
        <v>620</v>
      </c>
      <c r="L151" s="600"/>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595" t="s">
        <v>620</v>
      </c>
      <c r="L152" s="596"/>
      <c r="M152" s="23"/>
      <c r="N152" s="24"/>
      <c r="O152" s="24"/>
      <c r="P152" s="24"/>
      <c r="Q152" s="24"/>
    </row>
    <row r="153" spans="1:18" ht="15" hidden="1" customHeight="1" thickTop="1" thickBot="1">
      <c r="A153" s="592" t="s">
        <v>126</v>
      </c>
      <c r="B153" s="593"/>
      <c r="C153" s="593"/>
      <c r="D153" s="593"/>
      <c r="E153" s="593"/>
      <c r="F153" s="593"/>
      <c r="G153" s="593"/>
      <c r="H153" s="593"/>
      <c r="I153" s="593"/>
      <c r="J153" s="594"/>
      <c r="K153" s="590"/>
      <c r="L153" s="59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5"/>
      <c r="M154" s="23"/>
      <c r="N154" s="24"/>
      <c r="O154" s="24"/>
      <c r="P154" s="24"/>
      <c r="Q154" s="24"/>
    </row>
    <row r="155" spans="1:18" ht="15" hidden="1" customHeight="1" thickTop="1" thickBot="1">
      <c r="A155" s="668" t="s">
        <v>625</v>
      </c>
      <c r="B155" s="669"/>
      <c r="C155" s="669"/>
      <c r="D155" s="669"/>
      <c r="E155" s="669"/>
      <c r="F155" s="669"/>
      <c r="G155" s="669"/>
      <c r="H155" s="669"/>
      <c r="I155" s="669"/>
      <c r="J155" s="670"/>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2" t="s">
        <v>157</v>
      </c>
      <c r="R180" s="373"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zIQ+UoCac0zBZrIE9IvcF2Q4dOWmg2JyAu/3bou3xDMbLBeZKF3XT+QVtdcd5fvIXiWO3GR1NRyJaKurSvD/Zw==" saltValue="IMQcwJoo5umTAJJsSbfwfg=="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7:I247"/>
    <mergeCell ref="J247:K247"/>
    <mergeCell ref="L247:M247"/>
    <mergeCell ref="A248:B248"/>
    <mergeCell ref="C248:D248"/>
    <mergeCell ref="H248:I248"/>
    <mergeCell ref="J248:K248"/>
    <mergeCell ref="L248:M248"/>
    <mergeCell ref="L52:M54"/>
    <mergeCell ref="H53:I60"/>
    <mergeCell ref="L55:M60"/>
    <mergeCell ref="N49:N60"/>
    <mergeCell ref="O49:O60"/>
    <mergeCell ref="P49:P60"/>
    <mergeCell ref="A71:B71"/>
    <mergeCell ref="C71:D71"/>
    <mergeCell ref="A72:B72"/>
    <mergeCell ref="C72:D72"/>
    <mergeCell ref="A69:B69"/>
    <mergeCell ref="C69:D69"/>
    <mergeCell ref="A70:B70"/>
    <mergeCell ref="C70:D70"/>
    <mergeCell ref="A67:B67"/>
    <mergeCell ref="C67:D67"/>
    <mergeCell ref="A68:B68"/>
    <mergeCell ref="C68:D68"/>
    <mergeCell ref="L72:M72"/>
    <mergeCell ref="A77:B77"/>
    <mergeCell ref="C77:D77"/>
    <mergeCell ref="A78:B78"/>
    <mergeCell ref="C78:D78"/>
    <mergeCell ref="A75:B75"/>
    <mergeCell ref="C75:D75"/>
    <mergeCell ref="S59:V59"/>
    <mergeCell ref="S60:U60"/>
    <mergeCell ref="L61:M61"/>
    <mergeCell ref="L62:M62"/>
    <mergeCell ref="L63:M63"/>
    <mergeCell ref="L64:M64"/>
    <mergeCell ref="L65:M65"/>
    <mergeCell ref="L66:M66"/>
    <mergeCell ref="L67:M67"/>
    <mergeCell ref="L68:M68"/>
    <mergeCell ref="L69:M69"/>
    <mergeCell ref="L70:M70"/>
    <mergeCell ref="L71:M71"/>
    <mergeCell ref="A15:L15"/>
    <mergeCell ref="A16:L16"/>
    <mergeCell ref="A17:L17"/>
    <mergeCell ref="A18:L18"/>
    <mergeCell ref="A19:L19"/>
    <mergeCell ref="A20:L20"/>
    <mergeCell ref="A36:L36"/>
    <mergeCell ref="A37:L37"/>
    <mergeCell ref="A38:L38"/>
    <mergeCell ref="J49:J60"/>
    <mergeCell ref="A54:E60"/>
    <mergeCell ref="A45:L45"/>
    <mergeCell ref="A46:L46"/>
    <mergeCell ref="A47:L47"/>
    <mergeCell ref="A48:E48"/>
    <mergeCell ref="A39:L39"/>
    <mergeCell ref="A40:L40"/>
    <mergeCell ref="A41:L41"/>
    <mergeCell ref="A42:L42"/>
    <mergeCell ref="A5:L5"/>
    <mergeCell ref="B6:L6"/>
    <mergeCell ref="A11:L11"/>
    <mergeCell ref="A12:L12"/>
    <mergeCell ref="A13:L13"/>
    <mergeCell ref="A14:L14"/>
    <mergeCell ref="B1:C1"/>
    <mergeCell ref="E1:H1"/>
    <mergeCell ref="B2:C2"/>
    <mergeCell ref="A3:B4"/>
    <mergeCell ref="D3:F3"/>
    <mergeCell ref="G3:J3"/>
    <mergeCell ref="D4:F4"/>
    <mergeCell ref="G4:J4"/>
    <mergeCell ref="A33:L33"/>
    <mergeCell ref="A34:L34"/>
    <mergeCell ref="A35:L35"/>
    <mergeCell ref="A27:L27"/>
    <mergeCell ref="A28:L28"/>
    <mergeCell ref="A29:L29"/>
    <mergeCell ref="A30:L30"/>
    <mergeCell ref="A31:L31"/>
    <mergeCell ref="A32:L32"/>
    <mergeCell ref="A21:L21"/>
    <mergeCell ref="A22:L22"/>
    <mergeCell ref="A23:L23"/>
    <mergeCell ref="A24:L24"/>
    <mergeCell ref="A25:L25"/>
    <mergeCell ref="A26:L26"/>
    <mergeCell ref="A43:L43"/>
    <mergeCell ref="A44:L44"/>
    <mergeCell ref="F48:G48"/>
    <mergeCell ref="H48:I48"/>
    <mergeCell ref="L48:M48"/>
    <mergeCell ref="G49:G60"/>
    <mergeCell ref="H49:I52"/>
    <mergeCell ref="K49:K60"/>
    <mergeCell ref="L49:M51"/>
    <mergeCell ref="A65:B65"/>
    <mergeCell ref="C65:D65"/>
    <mergeCell ref="A66:B66"/>
    <mergeCell ref="C66:D66"/>
    <mergeCell ref="A63:B63"/>
    <mergeCell ref="C63:D63"/>
    <mergeCell ref="A64:B64"/>
    <mergeCell ref="C64:D64"/>
    <mergeCell ref="A61:B61"/>
    <mergeCell ref="C61:D61"/>
    <mergeCell ref="A62:B62"/>
    <mergeCell ref="C62:D62"/>
    <mergeCell ref="A50:E50"/>
    <mergeCell ref="A51:E51"/>
    <mergeCell ref="A52:E52"/>
    <mergeCell ref="A53:E53"/>
    <mergeCell ref="A49:E49"/>
    <mergeCell ref="F49:F60"/>
    <mergeCell ref="A76:B76"/>
    <mergeCell ref="C76:D76"/>
    <mergeCell ref="A73:B73"/>
    <mergeCell ref="C73:D73"/>
    <mergeCell ref="A74:B74"/>
    <mergeCell ref="C74:D74"/>
    <mergeCell ref="L73:M73"/>
    <mergeCell ref="L74:M74"/>
    <mergeCell ref="L75:M75"/>
    <mergeCell ref="L76:M76"/>
    <mergeCell ref="L77:M77"/>
    <mergeCell ref="L78:M78"/>
    <mergeCell ref="B10:J10"/>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K155:L155"/>
    <mergeCell ref="A155:J155"/>
    <mergeCell ref="K154:L154"/>
    <mergeCell ref="A154:J154"/>
    <mergeCell ref="K153:L153"/>
    <mergeCell ref="A153:J153"/>
    <mergeCell ref="K152:L152"/>
    <mergeCell ref="A152:J152"/>
    <mergeCell ref="K151:L151"/>
    <mergeCell ref="A151:J151"/>
    <mergeCell ref="K150:L150"/>
    <mergeCell ref="A150:J150"/>
    <mergeCell ref="K149:L149"/>
    <mergeCell ref="A149:J149"/>
    <mergeCell ref="A148:L148"/>
    <mergeCell ref="A159:J159"/>
    <mergeCell ref="K159:L161"/>
    <mergeCell ref="A160:J160"/>
    <mergeCell ref="A161:J161"/>
    <mergeCell ref="A162:L162"/>
    <mergeCell ref="A157:J157"/>
    <mergeCell ref="K157:L157"/>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4:B244"/>
    <mergeCell ref="C244:D244"/>
    <mergeCell ref="H244:I244"/>
    <mergeCell ref="J244:K244"/>
    <mergeCell ref="L244:M244"/>
    <mergeCell ref="A245:B245"/>
    <mergeCell ref="C245:D245"/>
    <mergeCell ref="H245:I245"/>
    <mergeCell ref="J245:K245"/>
    <mergeCell ref="L245:M245"/>
    <mergeCell ref="A246:B246"/>
    <mergeCell ref="C246:D246"/>
    <mergeCell ref="H246:I246"/>
    <mergeCell ref="J246:K246"/>
    <mergeCell ref="L246:M246"/>
    <mergeCell ref="A247:B247"/>
    <mergeCell ref="C247:D247"/>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H595:H596"/>
    <mergeCell ref="J595:K597"/>
    <mergeCell ref="E596:F596"/>
    <mergeCell ref="L596:M597"/>
    <mergeCell ref="E597:H597"/>
    <mergeCell ref="B598:C598"/>
    <mergeCell ref="E598:G598"/>
    <mergeCell ref="J598:K598"/>
    <mergeCell ref="A156:L156"/>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 ref="H611:H612"/>
    <mergeCell ref="J611:K613"/>
    <mergeCell ref="E612:F612"/>
    <mergeCell ref="L612:M613"/>
    <mergeCell ref="E613:H613"/>
    <mergeCell ref="A614:L614"/>
    <mergeCell ref="E606:F606"/>
    <mergeCell ref="E607:F607"/>
    <mergeCell ref="E608:F608"/>
    <mergeCell ref="E609:F609"/>
    <mergeCell ref="E610:F610"/>
    <mergeCell ref="E611:F611"/>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12</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2" t="s">
        <v>157</v>
      </c>
      <c r="R180" s="373"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CFjLExV9mee6T4bA2jEBpFi3GA70L6YZ8YIfE0+70lvyF/ubeYtOVIWtf8A7jtfEdnfpDVhauT2mRMm6VErmwQ==" saltValue="MaUgysYKgR6pQcWlLIinNA=="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7:I247"/>
    <mergeCell ref="J247:K247"/>
    <mergeCell ref="L247:M247"/>
    <mergeCell ref="A248:B248"/>
    <mergeCell ref="C248:D248"/>
    <mergeCell ref="H248:I248"/>
    <mergeCell ref="J248:K248"/>
    <mergeCell ref="L248:M248"/>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4:B244"/>
    <mergeCell ref="C244:D244"/>
    <mergeCell ref="H244:I244"/>
    <mergeCell ref="J244:K244"/>
    <mergeCell ref="L244:M244"/>
    <mergeCell ref="A245:B245"/>
    <mergeCell ref="C245:D245"/>
    <mergeCell ref="H245:I245"/>
    <mergeCell ref="J245:K245"/>
    <mergeCell ref="L245:M245"/>
    <mergeCell ref="A246:B246"/>
    <mergeCell ref="C246:D246"/>
    <mergeCell ref="H246:I246"/>
    <mergeCell ref="J246:K246"/>
    <mergeCell ref="L246:M246"/>
    <mergeCell ref="A247:B247"/>
    <mergeCell ref="C247:D247"/>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13</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2" t="s">
        <v>157</v>
      </c>
      <c r="R180" s="373"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983" t="s">
        <v>808</v>
      </c>
      <c r="B259" s="984"/>
      <c r="C259" s="984"/>
      <c r="D259" s="984"/>
      <c r="E259" s="984"/>
      <c r="F259" s="984"/>
      <c r="G259" s="984"/>
      <c r="H259" s="984"/>
      <c r="I259" s="984"/>
      <c r="J259" s="1068"/>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JYXLDMWA4YbDMyx40ZSioJGflrBIPqOZVW7/0aI5GW9e9hxS2OWwfLWXBmD5zYInVwzpsMnYRqFx0dg3zaEXxw==" saltValue="b6i9LhOkYEFBRxtgnUUVkg=="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7:I247"/>
    <mergeCell ref="J247:K247"/>
    <mergeCell ref="L247:M247"/>
    <mergeCell ref="A248:B248"/>
    <mergeCell ref="C248:D248"/>
    <mergeCell ref="H248:I248"/>
    <mergeCell ref="J248:K248"/>
    <mergeCell ref="L248:M248"/>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4:B244"/>
    <mergeCell ref="C244:D244"/>
    <mergeCell ref="H244:I244"/>
    <mergeCell ref="J244:K244"/>
    <mergeCell ref="L244:M244"/>
    <mergeCell ref="A245:B245"/>
    <mergeCell ref="C245:D245"/>
    <mergeCell ref="H245:I245"/>
    <mergeCell ref="J245:K245"/>
    <mergeCell ref="L245:M245"/>
    <mergeCell ref="A246:B246"/>
    <mergeCell ref="C246:D246"/>
    <mergeCell ref="H246:I246"/>
    <mergeCell ref="J246:K246"/>
    <mergeCell ref="L246:M246"/>
    <mergeCell ref="A247:B247"/>
    <mergeCell ref="C247:D247"/>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14</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2" t="s">
        <v>157</v>
      </c>
      <c r="R180" s="373"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9bhHduHo8HY9vWVoLn56r91ZpmA0lgVIru7LAkJ5qaaBLlXecmXmwo4YBDlkTX2aRUA6rCnqNamEztK/qgKyXA==" saltValue="UdaeNlcwdiiCBkAwq6mfgA=="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7:I247"/>
    <mergeCell ref="J247:K247"/>
    <mergeCell ref="L247:M247"/>
    <mergeCell ref="A248:B248"/>
    <mergeCell ref="C248:D248"/>
    <mergeCell ref="H248:I248"/>
    <mergeCell ref="J248:K248"/>
    <mergeCell ref="L248:M248"/>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4:B244"/>
    <mergeCell ref="C244:D244"/>
    <mergeCell ref="H244:I244"/>
    <mergeCell ref="J244:K244"/>
    <mergeCell ref="L244:M244"/>
    <mergeCell ref="A245:B245"/>
    <mergeCell ref="C245:D245"/>
    <mergeCell ref="H245:I245"/>
    <mergeCell ref="J245:K245"/>
    <mergeCell ref="L245:M245"/>
    <mergeCell ref="A246:B246"/>
    <mergeCell ref="C246:D246"/>
    <mergeCell ref="H246:I246"/>
    <mergeCell ref="J246:K246"/>
    <mergeCell ref="L246:M246"/>
    <mergeCell ref="A247:B247"/>
    <mergeCell ref="C247:D247"/>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15</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2" t="s">
        <v>157</v>
      </c>
      <c r="R180" s="373"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UB0JO9wpQXjXsyUbBtEFxb1c0tY2Orh+u6UtcB38oyfeRyNm6Vveo3V8HuXwtaY+gyYZ0nYdf5bKh8McoBhAgg==" saltValue="a66oAKg8qAwLrWexuNN61Q=="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7:I247"/>
    <mergeCell ref="J247:K247"/>
    <mergeCell ref="L247:M247"/>
    <mergeCell ref="A248:B248"/>
    <mergeCell ref="C248:D248"/>
    <mergeCell ref="H248:I248"/>
    <mergeCell ref="J248:K248"/>
    <mergeCell ref="L248:M248"/>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4:B244"/>
    <mergeCell ref="C244:D244"/>
    <mergeCell ref="H244:I244"/>
    <mergeCell ref="J244:K244"/>
    <mergeCell ref="L244:M244"/>
    <mergeCell ref="A245:B245"/>
    <mergeCell ref="C245:D245"/>
    <mergeCell ref="H245:I245"/>
    <mergeCell ref="J245:K245"/>
    <mergeCell ref="L245:M245"/>
    <mergeCell ref="A246:B246"/>
    <mergeCell ref="C246:D246"/>
    <mergeCell ref="H246:I246"/>
    <mergeCell ref="J246:K246"/>
    <mergeCell ref="L246:M246"/>
    <mergeCell ref="A247:B247"/>
    <mergeCell ref="C247:D247"/>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16</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4.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2" t="s">
        <v>157</v>
      </c>
      <c r="R180" s="373"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gejkdPWpUJv69D7PG7MSoF/R1LQlbMU6apYlB6O5iE5o8jonlk4Vd2AhPvtM6nK/XT6ermi0+mw8ID7DWlWBqw==" saltValue="72wFAunKHm2Hu0wAjvdjjg=="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7:I247"/>
    <mergeCell ref="J247:K247"/>
    <mergeCell ref="L247:M247"/>
    <mergeCell ref="A248:B248"/>
    <mergeCell ref="C248:D248"/>
    <mergeCell ref="H248:I248"/>
    <mergeCell ref="J248:K248"/>
    <mergeCell ref="L248:M248"/>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4:B244"/>
    <mergeCell ref="C244:D244"/>
    <mergeCell ref="H244:I244"/>
    <mergeCell ref="J244:K244"/>
    <mergeCell ref="L244:M244"/>
    <mergeCell ref="A245:B245"/>
    <mergeCell ref="C245:D245"/>
    <mergeCell ref="H245:I245"/>
    <mergeCell ref="J245:K245"/>
    <mergeCell ref="L245:M245"/>
    <mergeCell ref="A246:B246"/>
    <mergeCell ref="C246:D246"/>
    <mergeCell ref="H246:I246"/>
    <mergeCell ref="J246:K246"/>
    <mergeCell ref="L246:M246"/>
    <mergeCell ref="A247:B247"/>
    <mergeCell ref="C247:D247"/>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17</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4.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2" t="s">
        <v>157</v>
      </c>
      <c r="R180" s="373"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URu1NfnkoeThUYX1rNYCUzP504wsi2QMZA7JaphSDxhQoHgRpkvtirLRfqeDrqab2qy8gCyHnGVxSJILtf/aDA==" saltValue="33qOP9L/ocofCJrMjjKUOQ=="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7:I247"/>
    <mergeCell ref="J247:K247"/>
    <mergeCell ref="L247:M247"/>
    <mergeCell ref="A248:B248"/>
    <mergeCell ref="C248:D248"/>
    <mergeCell ref="H248:I248"/>
    <mergeCell ref="J248:K248"/>
    <mergeCell ref="L248:M248"/>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4:B244"/>
    <mergeCell ref="C244:D244"/>
    <mergeCell ref="H244:I244"/>
    <mergeCell ref="J244:K244"/>
    <mergeCell ref="L244:M244"/>
    <mergeCell ref="A245:B245"/>
    <mergeCell ref="C245:D245"/>
    <mergeCell ref="H245:I245"/>
    <mergeCell ref="J245:K245"/>
    <mergeCell ref="L245:M245"/>
    <mergeCell ref="A246:B246"/>
    <mergeCell ref="C246:D246"/>
    <mergeCell ref="H246:I246"/>
    <mergeCell ref="J246:K246"/>
    <mergeCell ref="L246:M246"/>
    <mergeCell ref="A247:B247"/>
    <mergeCell ref="C247:D247"/>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L60"/>
  <sheetViews>
    <sheetView workbookViewId="0">
      <selection activeCell="D29" sqref="D29:G29"/>
    </sheetView>
  </sheetViews>
  <sheetFormatPr defaultColWidth="10.28515625" defaultRowHeight="15" customHeight="1"/>
  <cols>
    <col min="1" max="16384" width="10.28515625" style="278"/>
  </cols>
  <sheetData>
    <row r="1" spans="1:12" ht="15" customHeight="1" thickBot="1">
      <c r="A1" s="548" t="s">
        <v>0</v>
      </c>
      <c r="B1" s="548"/>
      <c r="C1" s="548"/>
      <c r="D1" s="548"/>
      <c r="E1" s="545" t="s">
        <v>1</v>
      </c>
      <c r="F1" s="545"/>
      <c r="G1" s="545"/>
      <c r="H1" s="545" t="s">
        <v>2</v>
      </c>
      <c r="I1" s="545"/>
      <c r="J1" s="545"/>
      <c r="K1" s="545"/>
      <c r="L1" s="277"/>
    </row>
    <row r="2" spans="1:12" ht="15" customHeight="1" thickBot="1">
      <c r="A2" s="549" t="str">
        <f>IF(NameOfLegalEntity="","",NameOfLegalEntity)</f>
        <v/>
      </c>
      <c r="B2" s="549"/>
      <c r="C2" s="549"/>
      <c r="D2" s="549"/>
      <c r="E2" s="537" t="str">
        <f>IF(ReviewLevel="","",ReviewLevel)</f>
        <v/>
      </c>
      <c r="F2" s="537"/>
      <c r="G2" s="537"/>
      <c r="H2" s="537" t="str">
        <f>IF(ReviewType="","",ReviewType)</f>
        <v/>
      </c>
      <c r="I2" s="537"/>
      <c r="J2" s="537"/>
      <c r="K2" s="537"/>
    </row>
    <row r="3" spans="1:12" ht="30" customHeight="1" thickBot="1">
      <c r="A3" s="545" t="s">
        <v>3</v>
      </c>
      <c r="B3" s="545"/>
      <c r="C3" s="545"/>
      <c r="D3" s="545" t="s">
        <v>4</v>
      </c>
      <c r="E3" s="545"/>
      <c r="F3" s="545" t="s">
        <v>5</v>
      </c>
      <c r="G3" s="545"/>
      <c r="H3" s="545" t="s">
        <v>5</v>
      </c>
      <c r="I3" s="545"/>
      <c r="J3" s="545" t="s">
        <v>607</v>
      </c>
      <c r="K3" s="545"/>
    </row>
    <row r="4" spans="1:12" ht="15" customHeight="1" thickBot="1">
      <c r="A4" s="299" t="s">
        <v>7</v>
      </c>
      <c r="B4" s="537" t="str">
        <f>IF(CompletedByLastName="","",CompletedByLastName)</f>
        <v/>
      </c>
      <c r="C4" s="537"/>
      <c r="D4" s="545" t="s">
        <v>8</v>
      </c>
      <c r="E4" s="545"/>
      <c r="F4" s="545" t="s">
        <v>9</v>
      </c>
      <c r="G4" s="545"/>
      <c r="H4" s="545" t="s">
        <v>630</v>
      </c>
      <c r="I4" s="545"/>
      <c r="J4" s="300" t="s">
        <v>10</v>
      </c>
      <c r="K4" s="290" t="str">
        <f>IF(MonitoringPeriodBeginDate="","",MonitoringPeriodBeginDate)</f>
        <v/>
      </c>
    </row>
    <row r="5" spans="1:12" ht="15" customHeight="1" thickBot="1">
      <c r="A5" s="299" t="s">
        <v>11</v>
      </c>
      <c r="B5" s="537" t="str">
        <f>IF(CompletedByFirstName="","",CompletedByFirstName)</f>
        <v/>
      </c>
      <c r="C5" s="537"/>
      <c r="D5" s="536" t="str">
        <f>IF(DateOfEntrance="","",DateOfEntrance)</f>
        <v/>
      </c>
      <c r="E5" s="536"/>
      <c r="F5" s="536" t="str">
        <f>IF(DateOfExit="","",DateOfExit)</f>
        <v/>
      </c>
      <c r="G5" s="536"/>
      <c r="H5" s="536" t="str">
        <f>IF(DateOfExitRevised="","",DateOfExitRevised)</f>
        <v/>
      </c>
      <c r="I5" s="536"/>
      <c r="J5" s="300" t="s">
        <v>12</v>
      </c>
      <c r="K5" s="290" t="str">
        <f>IF(MonitoringPeriodEndDate="","",MonitoringPeriodEndDate)</f>
        <v/>
      </c>
    </row>
    <row r="6" spans="1:12" ht="15" customHeight="1" thickBot="1">
      <c r="A6" s="545" t="s">
        <v>13</v>
      </c>
      <c r="B6" s="545"/>
      <c r="C6" s="545" t="s">
        <v>78</v>
      </c>
      <c r="D6" s="545"/>
      <c r="E6" s="545"/>
      <c r="F6" s="545" t="s">
        <v>13</v>
      </c>
      <c r="G6" s="545"/>
      <c r="H6" s="545" t="s">
        <v>78</v>
      </c>
      <c r="I6" s="545"/>
      <c r="J6" s="545"/>
      <c r="K6" s="298"/>
    </row>
    <row r="7" spans="1:12" s="147" customFormat="1" ht="15" customHeight="1" thickBot="1">
      <c r="A7" s="439" t="s">
        <v>67</v>
      </c>
      <c r="B7" s="429"/>
      <c r="C7" s="541" t="str">
        <f>IF(CdsCbaContractNumber="","",CdsCbaContractNumber)</f>
        <v/>
      </c>
      <c r="D7" s="541"/>
      <c r="E7" s="541"/>
      <c r="F7" s="439" t="s">
        <v>72</v>
      </c>
      <c r="G7" s="429"/>
      <c r="H7" s="542" t="str">
        <f>IF(CdsHcsContractNumber08="","",CdsHcsContractNumber08)</f>
        <v/>
      </c>
      <c r="I7" s="543"/>
      <c r="J7" s="544"/>
    </row>
    <row r="8" spans="1:12" s="147" customFormat="1" ht="15" customHeight="1" thickBot="1">
      <c r="A8" s="429" t="s">
        <v>71</v>
      </c>
      <c r="B8" s="429"/>
      <c r="C8" s="546" t="str">
        <f>IF(CdsClassContractNumber="","",CdsClassContractNumber)</f>
        <v/>
      </c>
      <c r="D8" s="546"/>
      <c r="E8" s="547"/>
      <c r="F8" s="439" t="s">
        <v>72</v>
      </c>
      <c r="G8" s="429"/>
      <c r="H8" s="538" t="str">
        <f>IF(CdsHcsContractNumber09="","",CdsHcsContractNumber09)</f>
        <v/>
      </c>
      <c r="I8" s="539"/>
      <c r="J8" s="540"/>
    </row>
    <row r="9" spans="1:12" s="147" customFormat="1" ht="15" customHeight="1" thickBot="1">
      <c r="A9" s="525" t="s">
        <v>70</v>
      </c>
      <c r="B9" s="526"/>
      <c r="C9" s="542" t="str">
        <f>IF(CdsDbmdContractNumber="","",CdsDbmdContractNumber)</f>
        <v/>
      </c>
      <c r="D9" s="543"/>
      <c r="E9" s="544"/>
      <c r="F9" s="439" t="s">
        <v>73</v>
      </c>
      <c r="G9" s="429"/>
      <c r="H9" s="538" t="str">
        <f>IF(CdsTxHmlContractNumber01="","",CdsTxHmlContractNumber01)</f>
        <v/>
      </c>
      <c r="I9" s="539"/>
      <c r="J9" s="540"/>
    </row>
    <row r="10" spans="1:12" s="147" customFormat="1" ht="15" customHeight="1" thickBot="1">
      <c r="A10" s="439" t="s">
        <v>68</v>
      </c>
      <c r="B10" s="429"/>
      <c r="C10" s="546" t="str">
        <f>IF(CdsMdcpContractNumber="","",CdsMdcpContractNumber)</f>
        <v/>
      </c>
      <c r="D10" s="546"/>
      <c r="E10" s="538"/>
      <c r="F10" s="439" t="s">
        <v>73</v>
      </c>
      <c r="G10" s="429"/>
      <c r="H10" s="538" t="str">
        <f>IF(CdsTxHmlContractNumber02="","",CdsTxHmlContractNumber02)</f>
        <v/>
      </c>
      <c r="I10" s="539"/>
      <c r="J10" s="540"/>
    </row>
    <row r="11" spans="1:12" s="147" customFormat="1" ht="15" customHeight="1" thickBot="1">
      <c r="A11" s="439" t="s">
        <v>779</v>
      </c>
      <c r="B11" s="429"/>
      <c r="C11" s="546" t="str">
        <f>IF(CdsPhcFcCasContractNumber="","",CdsPhcFcCasContractNumber)</f>
        <v/>
      </c>
      <c r="D11" s="546"/>
      <c r="E11" s="538"/>
      <c r="F11" s="439" t="s">
        <v>73</v>
      </c>
      <c r="G11" s="429"/>
      <c r="H11" s="538" t="str">
        <f>IF(CdsTxHmlContractNumber03="","",CdsTxHmlContractNumber03)</f>
        <v/>
      </c>
      <c r="I11" s="539"/>
      <c r="J11" s="540"/>
    </row>
    <row r="12" spans="1:12" s="147" customFormat="1" ht="15" customHeight="1" thickBot="1">
      <c r="A12" s="439" t="s">
        <v>72</v>
      </c>
      <c r="B12" s="429"/>
      <c r="C12" s="542" t="str">
        <f>IF(CdsHcsContractNumber01="","",CdsHcsContractNumber01)</f>
        <v/>
      </c>
      <c r="D12" s="543"/>
      <c r="E12" s="544"/>
      <c r="F12" s="439" t="s">
        <v>73</v>
      </c>
      <c r="G12" s="429"/>
      <c r="H12" s="538" t="str">
        <f>IF(CdsTxHmlContractNumber04="","",CdsTxHmlContractNumber04)</f>
        <v/>
      </c>
      <c r="I12" s="539"/>
      <c r="J12" s="540"/>
    </row>
    <row r="13" spans="1:12" s="147" customFormat="1" ht="15" customHeight="1" thickBot="1">
      <c r="A13" s="439" t="s">
        <v>72</v>
      </c>
      <c r="B13" s="429"/>
      <c r="C13" s="542" t="str">
        <f>IF(CdsHcsContractNumber02="","",CdsHcsContractNumber02)</f>
        <v/>
      </c>
      <c r="D13" s="543"/>
      <c r="E13" s="544"/>
      <c r="F13" s="439" t="s">
        <v>73</v>
      </c>
      <c r="G13" s="429"/>
      <c r="H13" s="538" t="str">
        <f>IF(CdsTxHmlContractNumber05="","",CdsTxHmlContractNumber05)</f>
        <v/>
      </c>
      <c r="I13" s="539"/>
      <c r="J13" s="540"/>
    </row>
    <row r="14" spans="1:12" s="147" customFormat="1" ht="15" customHeight="1" thickBot="1">
      <c r="A14" s="439" t="s">
        <v>72</v>
      </c>
      <c r="B14" s="429"/>
      <c r="C14" s="542" t="str">
        <f>IF(CdsHcsContractNumber03="","",CdsHcsContractNumber03)</f>
        <v/>
      </c>
      <c r="D14" s="543"/>
      <c r="E14" s="544"/>
      <c r="F14" s="439" t="s">
        <v>73</v>
      </c>
      <c r="G14" s="429"/>
      <c r="H14" s="538" t="str">
        <f>IF(CdsTxHmlContractNumber06="","",CdsTxHmlContractNumber06)</f>
        <v/>
      </c>
      <c r="I14" s="539"/>
      <c r="J14" s="540"/>
    </row>
    <row r="15" spans="1:12" s="147" customFormat="1" ht="15" customHeight="1" thickBot="1">
      <c r="A15" s="439" t="s">
        <v>72</v>
      </c>
      <c r="B15" s="429"/>
      <c r="C15" s="542" t="str">
        <f>IF(CdsHcsContractNumber04="","",CdsHcsContractNumber04)</f>
        <v/>
      </c>
      <c r="D15" s="543"/>
      <c r="E15" s="544"/>
      <c r="F15" s="439" t="s">
        <v>73</v>
      </c>
      <c r="G15" s="429"/>
      <c r="H15" s="538" t="str">
        <f>IF(CdsTxHmlContractNumber07="","",CdsTxHmlContractNumber07)</f>
        <v/>
      </c>
      <c r="I15" s="539"/>
      <c r="J15" s="540"/>
    </row>
    <row r="16" spans="1:12" s="147" customFormat="1" ht="15" customHeight="1" thickBot="1">
      <c r="A16" s="439" t="s">
        <v>72</v>
      </c>
      <c r="B16" s="429"/>
      <c r="C16" s="542" t="str">
        <f>IF(CdsHcsContractNumber05="","",CdsHcsContractNumber05)</f>
        <v/>
      </c>
      <c r="D16" s="543"/>
      <c r="E16" s="544"/>
      <c r="F16" s="439" t="s">
        <v>73</v>
      </c>
      <c r="G16" s="429"/>
      <c r="H16" s="538" t="str">
        <f>IF(CdsTxHmlContractNumber08="","",CdsTxHmlContractNumber08)</f>
        <v/>
      </c>
      <c r="I16" s="539"/>
      <c r="J16" s="540"/>
    </row>
    <row r="17" spans="1:12" s="147" customFormat="1" ht="15" customHeight="1" thickBot="1">
      <c r="A17" s="439" t="s">
        <v>72</v>
      </c>
      <c r="B17" s="429"/>
      <c r="C17" s="542" t="str">
        <f>IF(CdsHcsContractNumber06="","",CdsHcsContractNumber06)</f>
        <v/>
      </c>
      <c r="D17" s="543"/>
      <c r="E17" s="544"/>
      <c r="F17" s="439" t="s">
        <v>73</v>
      </c>
      <c r="G17" s="429"/>
      <c r="H17" s="538" t="str">
        <f>IF(CdsTxHmlContractNumber09="","",CdsTxHmlContractNumber09)</f>
        <v/>
      </c>
      <c r="I17" s="539"/>
      <c r="J17" s="540"/>
      <c r="L17" s="39"/>
    </row>
    <row r="18" spans="1:12" s="147" customFormat="1" ht="15" customHeight="1" thickBot="1">
      <c r="A18" s="439" t="s">
        <v>72</v>
      </c>
      <c r="B18" s="429"/>
      <c r="C18" s="538" t="str">
        <f>IF(CdsHcsContractNumber07="","",CdsHcsContractNumber07)</f>
        <v/>
      </c>
      <c r="D18" s="539"/>
      <c r="E18" s="540"/>
      <c r="F18" s="530"/>
      <c r="G18" s="531"/>
      <c r="H18" s="531"/>
      <c r="I18" s="531"/>
      <c r="J18" s="532"/>
    </row>
    <row r="19" spans="1:12" ht="20.100000000000001" customHeight="1" thickBot="1">
      <c r="A19" s="561" t="s">
        <v>650</v>
      </c>
      <c r="B19" s="562"/>
      <c r="C19" s="562"/>
      <c r="D19" s="562"/>
      <c r="E19" s="562"/>
      <c r="F19" s="562"/>
      <c r="G19" s="562"/>
      <c r="H19" s="562"/>
      <c r="I19" s="562"/>
      <c r="J19" s="562"/>
      <c r="K19" s="563"/>
    </row>
    <row r="20" spans="1:12" ht="20.100000000000001" customHeight="1" thickBot="1">
      <c r="A20" s="568" t="s">
        <v>682</v>
      </c>
      <c r="B20" s="569"/>
      <c r="C20" s="569"/>
      <c r="D20" s="569"/>
      <c r="E20" s="569"/>
      <c r="F20" s="569"/>
      <c r="G20" s="569"/>
      <c r="H20" s="569"/>
      <c r="I20" s="569"/>
      <c r="J20" s="569"/>
      <c r="K20" s="570"/>
    </row>
    <row r="21" spans="1:12" ht="30" customHeight="1" thickBot="1">
      <c r="A21" s="559" t="s">
        <v>651</v>
      </c>
      <c r="B21" s="560"/>
      <c r="C21" s="560"/>
      <c r="D21" s="560"/>
      <c r="E21" s="560"/>
      <c r="F21" s="560"/>
      <c r="G21" s="560"/>
      <c r="H21" s="560"/>
      <c r="I21" s="560"/>
      <c r="J21" s="564"/>
      <c r="K21" s="279"/>
    </row>
    <row r="22" spans="1:12" ht="15" customHeight="1">
      <c r="A22" s="565" t="s">
        <v>652</v>
      </c>
      <c r="B22" s="566"/>
      <c r="C22" s="566"/>
      <c r="D22" s="566"/>
      <c r="E22" s="566"/>
      <c r="F22" s="566"/>
      <c r="G22" s="566"/>
      <c r="H22" s="566"/>
      <c r="I22" s="566"/>
      <c r="J22" s="567"/>
      <c r="K22" s="556"/>
    </row>
    <row r="23" spans="1:12" ht="15" customHeight="1">
      <c r="A23" s="553" t="s">
        <v>653</v>
      </c>
      <c r="B23" s="554"/>
      <c r="C23" s="554"/>
      <c r="D23" s="554"/>
      <c r="E23" s="554"/>
      <c r="F23" s="554"/>
      <c r="G23" s="554"/>
      <c r="H23" s="554"/>
      <c r="I23" s="554"/>
      <c r="J23" s="555"/>
      <c r="K23" s="557"/>
    </row>
    <row r="24" spans="1:12" ht="15" customHeight="1">
      <c r="A24" s="553" t="s">
        <v>654</v>
      </c>
      <c r="B24" s="554"/>
      <c r="C24" s="554"/>
      <c r="D24" s="554"/>
      <c r="E24" s="554"/>
      <c r="F24" s="554"/>
      <c r="G24" s="554"/>
      <c r="H24" s="554"/>
      <c r="I24" s="554"/>
      <c r="J24" s="555"/>
      <c r="K24" s="557"/>
    </row>
    <row r="25" spans="1:12" ht="15" customHeight="1">
      <c r="A25" s="553" t="s">
        <v>832</v>
      </c>
      <c r="B25" s="554"/>
      <c r="C25" s="554"/>
      <c r="D25" s="554"/>
      <c r="E25" s="554"/>
      <c r="F25" s="554"/>
      <c r="G25" s="554"/>
      <c r="H25" s="554"/>
      <c r="I25" s="554"/>
      <c r="J25" s="555"/>
      <c r="K25" s="557"/>
    </row>
    <row r="26" spans="1:12" ht="15" customHeight="1" thickBot="1">
      <c r="A26" s="550" t="s">
        <v>655</v>
      </c>
      <c r="B26" s="551"/>
      <c r="C26" s="551"/>
      <c r="D26" s="551"/>
      <c r="E26" s="551"/>
      <c r="F26" s="551"/>
      <c r="G26" s="551"/>
      <c r="H26" s="551"/>
      <c r="I26" s="551"/>
      <c r="J26" s="552"/>
      <c r="K26" s="558"/>
    </row>
    <row r="27" spans="1:12" s="280" customFormat="1" ht="45" customHeight="1" thickBot="1">
      <c r="A27" s="559" t="s">
        <v>833</v>
      </c>
      <c r="B27" s="560"/>
      <c r="C27" s="560"/>
      <c r="D27" s="560"/>
      <c r="E27" s="560"/>
      <c r="F27" s="560"/>
      <c r="G27" s="560"/>
      <c r="H27" s="560"/>
      <c r="I27" s="560"/>
      <c r="J27" s="560"/>
      <c r="K27" s="286"/>
    </row>
    <row r="28" spans="1:12" ht="15" customHeight="1" thickBot="1">
      <c r="A28" s="574" t="s">
        <v>43</v>
      </c>
      <c r="B28" s="575"/>
      <c r="C28" s="575"/>
      <c r="D28" s="575" t="s">
        <v>656</v>
      </c>
      <c r="E28" s="575"/>
      <c r="F28" s="575"/>
      <c r="G28" s="575"/>
      <c r="H28" s="575" t="s">
        <v>657</v>
      </c>
      <c r="I28" s="575"/>
      <c r="J28" s="575"/>
      <c r="K28" s="576"/>
    </row>
    <row r="29" spans="1:12" ht="15" customHeight="1">
      <c r="A29" s="571">
        <v>1</v>
      </c>
      <c r="B29" s="577"/>
      <c r="C29" s="577"/>
      <c r="D29" s="578"/>
      <c r="E29" s="578"/>
      <c r="F29" s="578"/>
      <c r="G29" s="578"/>
      <c r="H29" s="578"/>
      <c r="I29" s="578"/>
      <c r="J29" s="578"/>
      <c r="K29" s="579"/>
    </row>
    <row r="30" spans="1:12" ht="15" customHeight="1">
      <c r="A30" s="571">
        <v>2</v>
      </c>
      <c r="B30" s="571"/>
      <c r="C30" s="571"/>
      <c r="D30" s="572"/>
      <c r="E30" s="572"/>
      <c r="F30" s="572"/>
      <c r="G30" s="572"/>
      <c r="H30" s="572"/>
      <c r="I30" s="572"/>
      <c r="J30" s="572"/>
      <c r="K30" s="573"/>
    </row>
    <row r="31" spans="1:12" ht="15" customHeight="1">
      <c r="A31" s="571">
        <v>3</v>
      </c>
      <c r="B31" s="571"/>
      <c r="C31" s="571"/>
      <c r="D31" s="572"/>
      <c r="E31" s="572"/>
      <c r="F31" s="572"/>
      <c r="G31" s="572"/>
      <c r="H31" s="572"/>
      <c r="I31" s="572"/>
      <c r="J31" s="572"/>
      <c r="K31" s="573"/>
    </row>
    <row r="32" spans="1:12" ht="15" customHeight="1">
      <c r="A32" s="571">
        <v>4</v>
      </c>
      <c r="B32" s="571"/>
      <c r="C32" s="571"/>
      <c r="D32" s="572"/>
      <c r="E32" s="572"/>
      <c r="F32" s="572"/>
      <c r="G32" s="572"/>
      <c r="H32" s="572"/>
      <c r="I32" s="572"/>
      <c r="J32" s="572"/>
      <c r="K32" s="573"/>
    </row>
    <row r="33" spans="1:11" ht="15" customHeight="1">
      <c r="A33" s="571">
        <v>5</v>
      </c>
      <c r="B33" s="571"/>
      <c r="C33" s="571"/>
      <c r="D33" s="572"/>
      <c r="E33" s="572"/>
      <c r="F33" s="572"/>
      <c r="G33" s="572"/>
      <c r="H33" s="572"/>
      <c r="I33" s="572"/>
      <c r="J33" s="572"/>
      <c r="K33" s="573"/>
    </row>
    <row r="34" spans="1:11" ht="15" customHeight="1">
      <c r="A34" s="571">
        <v>6</v>
      </c>
      <c r="B34" s="571"/>
      <c r="C34" s="571"/>
      <c r="D34" s="572"/>
      <c r="E34" s="572"/>
      <c r="F34" s="572"/>
      <c r="G34" s="572"/>
      <c r="H34" s="572"/>
      <c r="I34" s="572"/>
      <c r="J34" s="572"/>
      <c r="K34" s="573"/>
    </row>
    <row r="35" spans="1:11" ht="15" customHeight="1">
      <c r="A35" s="571">
        <v>7</v>
      </c>
      <c r="B35" s="571"/>
      <c r="C35" s="571"/>
      <c r="D35" s="572"/>
      <c r="E35" s="572"/>
      <c r="F35" s="572"/>
      <c r="G35" s="572"/>
      <c r="H35" s="572"/>
      <c r="I35" s="572"/>
      <c r="J35" s="572"/>
      <c r="K35" s="573"/>
    </row>
    <row r="36" spans="1:11" ht="15" customHeight="1">
      <c r="A36" s="571">
        <v>8</v>
      </c>
      <c r="B36" s="571"/>
      <c r="C36" s="571"/>
      <c r="D36" s="572"/>
      <c r="E36" s="572"/>
      <c r="F36" s="572"/>
      <c r="G36" s="572"/>
      <c r="H36" s="572"/>
      <c r="I36" s="572"/>
      <c r="J36" s="572"/>
      <c r="K36" s="573"/>
    </row>
    <row r="37" spans="1:11" ht="15" customHeight="1">
      <c r="A37" s="571">
        <v>9</v>
      </c>
      <c r="B37" s="571"/>
      <c r="C37" s="571"/>
      <c r="D37" s="572"/>
      <c r="E37" s="572"/>
      <c r="F37" s="572"/>
      <c r="G37" s="572"/>
      <c r="H37" s="572"/>
      <c r="I37" s="572"/>
      <c r="J37" s="572"/>
      <c r="K37" s="573"/>
    </row>
    <row r="38" spans="1:11" ht="15" customHeight="1">
      <c r="A38" s="571">
        <v>10</v>
      </c>
      <c r="B38" s="571"/>
      <c r="C38" s="571"/>
      <c r="D38" s="572"/>
      <c r="E38" s="572"/>
      <c r="F38" s="572"/>
      <c r="G38" s="572"/>
      <c r="H38" s="572"/>
      <c r="I38" s="572"/>
      <c r="J38" s="572"/>
      <c r="K38" s="573"/>
    </row>
    <row r="39" spans="1:11" ht="15" customHeight="1">
      <c r="A39" s="571">
        <v>11</v>
      </c>
      <c r="B39" s="571"/>
      <c r="C39" s="571"/>
      <c r="D39" s="572"/>
      <c r="E39" s="572"/>
      <c r="F39" s="572"/>
      <c r="G39" s="572"/>
      <c r="H39" s="572"/>
      <c r="I39" s="572"/>
      <c r="J39" s="572"/>
      <c r="K39" s="573"/>
    </row>
    <row r="40" spans="1:11" ht="15" customHeight="1">
      <c r="A40" s="571">
        <v>12</v>
      </c>
      <c r="B40" s="571"/>
      <c r="C40" s="571"/>
      <c r="D40" s="572"/>
      <c r="E40" s="572"/>
      <c r="F40" s="572"/>
      <c r="G40" s="572"/>
      <c r="H40" s="572"/>
      <c r="I40" s="572"/>
      <c r="J40" s="572"/>
      <c r="K40" s="573"/>
    </row>
    <row r="41" spans="1:11" ht="15" customHeight="1">
      <c r="A41" s="571">
        <v>13</v>
      </c>
      <c r="B41" s="571"/>
      <c r="C41" s="571"/>
      <c r="D41" s="572"/>
      <c r="E41" s="572"/>
      <c r="F41" s="572"/>
      <c r="G41" s="572"/>
      <c r="H41" s="572"/>
      <c r="I41" s="572"/>
      <c r="J41" s="572"/>
      <c r="K41" s="573"/>
    </row>
    <row r="42" spans="1:11" ht="15" customHeight="1">
      <c r="A42" s="571">
        <v>14</v>
      </c>
      <c r="B42" s="571"/>
      <c r="C42" s="571"/>
      <c r="D42" s="572"/>
      <c r="E42" s="572"/>
      <c r="F42" s="572"/>
      <c r="G42" s="572"/>
      <c r="H42" s="572"/>
      <c r="I42" s="572"/>
      <c r="J42" s="572"/>
      <c r="K42" s="573"/>
    </row>
    <row r="43" spans="1:11" ht="15" customHeight="1">
      <c r="A43" s="571">
        <v>15</v>
      </c>
      <c r="B43" s="571"/>
      <c r="C43" s="571"/>
      <c r="D43" s="572"/>
      <c r="E43" s="572"/>
      <c r="F43" s="572"/>
      <c r="G43" s="572"/>
      <c r="H43" s="572"/>
      <c r="I43" s="572"/>
      <c r="J43" s="572"/>
      <c r="K43" s="573"/>
    </row>
    <row r="44" spans="1:11" ht="15" customHeight="1">
      <c r="A44" s="571">
        <v>16</v>
      </c>
      <c r="B44" s="571"/>
      <c r="C44" s="571"/>
      <c r="D44" s="572"/>
      <c r="E44" s="572"/>
      <c r="F44" s="572"/>
      <c r="G44" s="572"/>
      <c r="H44" s="572"/>
      <c r="I44" s="572"/>
      <c r="J44" s="572"/>
      <c r="K44" s="573"/>
    </row>
    <row r="45" spans="1:11" ht="15" customHeight="1">
      <c r="A45" s="571">
        <v>17</v>
      </c>
      <c r="B45" s="571"/>
      <c r="C45" s="571"/>
      <c r="D45" s="572"/>
      <c r="E45" s="572"/>
      <c r="F45" s="572"/>
      <c r="G45" s="572"/>
      <c r="H45" s="572"/>
      <c r="I45" s="572"/>
      <c r="J45" s="572"/>
      <c r="K45" s="573"/>
    </row>
    <row r="46" spans="1:11" ht="15" customHeight="1">
      <c r="A46" s="571">
        <v>18</v>
      </c>
      <c r="B46" s="571"/>
      <c r="C46" s="571"/>
      <c r="D46" s="572"/>
      <c r="E46" s="572"/>
      <c r="F46" s="572"/>
      <c r="G46" s="572"/>
      <c r="H46" s="572"/>
      <c r="I46" s="572"/>
      <c r="J46" s="572"/>
      <c r="K46" s="573"/>
    </row>
    <row r="47" spans="1:11" ht="15" customHeight="1">
      <c r="A47" s="571">
        <v>19</v>
      </c>
      <c r="B47" s="571"/>
      <c r="C47" s="571"/>
      <c r="D47" s="572"/>
      <c r="E47" s="572"/>
      <c r="F47" s="572"/>
      <c r="G47" s="572"/>
      <c r="H47" s="572"/>
      <c r="I47" s="572"/>
      <c r="J47" s="572"/>
      <c r="K47" s="573"/>
    </row>
    <row r="48" spans="1:11" ht="15" customHeight="1">
      <c r="A48" s="571">
        <v>20</v>
      </c>
      <c r="B48" s="571"/>
      <c r="C48" s="571"/>
      <c r="D48" s="572"/>
      <c r="E48" s="572"/>
      <c r="F48" s="572"/>
      <c r="G48" s="572"/>
      <c r="H48" s="572"/>
      <c r="I48" s="572"/>
      <c r="J48" s="572"/>
      <c r="K48" s="573"/>
    </row>
    <row r="49" spans="1:11" ht="15" customHeight="1">
      <c r="A49" s="571">
        <v>21</v>
      </c>
      <c r="B49" s="571"/>
      <c r="C49" s="571"/>
      <c r="D49" s="572"/>
      <c r="E49" s="572"/>
      <c r="F49" s="572"/>
      <c r="G49" s="572"/>
      <c r="H49" s="572"/>
      <c r="I49" s="572"/>
      <c r="J49" s="572"/>
      <c r="K49" s="573"/>
    </row>
    <row r="50" spans="1:11" ht="15" customHeight="1">
      <c r="A50" s="571">
        <v>22</v>
      </c>
      <c r="B50" s="571"/>
      <c r="C50" s="571"/>
      <c r="D50" s="572"/>
      <c r="E50" s="572"/>
      <c r="F50" s="572"/>
      <c r="G50" s="572"/>
      <c r="H50" s="572"/>
      <c r="I50" s="572"/>
      <c r="J50" s="572"/>
      <c r="K50" s="573"/>
    </row>
    <row r="51" spans="1:11" ht="15" customHeight="1">
      <c r="A51" s="571">
        <v>23</v>
      </c>
      <c r="B51" s="571"/>
      <c r="C51" s="571"/>
      <c r="D51" s="572"/>
      <c r="E51" s="572"/>
      <c r="F51" s="572"/>
      <c r="G51" s="572"/>
      <c r="H51" s="572"/>
      <c r="I51" s="572"/>
      <c r="J51" s="572"/>
      <c r="K51" s="573"/>
    </row>
    <row r="52" spans="1:11" ht="15" customHeight="1">
      <c r="A52" s="571">
        <v>24</v>
      </c>
      <c r="B52" s="571"/>
      <c r="C52" s="571"/>
      <c r="D52" s="572"/>
      <c r="E52" s="572"/>
      <c r="F52" s="572"/>
      <c r="G52" s="572"/>
      <c r="H52" s="572"/>
      <c r="I52" s="572"/>
      <c r="J52" s="572"/>
      <c r="K52" s="573"/>
    </row>
    <row r="53" spans="1:11" ht="15" customHeight="1">
      <c r="A53" s="571">
        <v>25</v>
      </c>
      <c r="B53" s="571"/>
      <c r="C53" s="571"/>
      <c r="D53" s="572"/>
      <c r="E53" s="572"/>
      <c r="F53" s="572"/>
      <c r="G53" s="572"/>
      <c r="H53" s="572"/>
      <c r="I53" s="572"/>
      <c r="J53" s="572"/>
      <c r="K53" s="573"/>
    </row>
    <row r="54" spans="1:11" ht="15" customHeight="1">
      <c r="A54" s="571">
        <v>26</v>
      </c>
      <c r="B54" s="571"/>
      <c r="C54" s="571"/>
      <c r="D54" s="572"/>
      <c r="E54" s="572"/>
      <c r="F54" s="572"/>
      <c r="G54" s="572"/>
      <c r="H54" s="572"/>
      <c r="I54" s="572"/>
      <c r="J54" s="572"/>
      <c r="K54" s="573"/>
    </row>
    <row r="55" spans="1:11" ht="15" customHeight="1">
      <c r="A55" s="571">
        <v>27</v>
      </c>
      <c r="B55" s="571"/>
      <c r="C55" s="571"/>
      <c r="D55" s="572"/>
      <c r="E55" s="572"/>
      <c r="F55" s="572"/>
      <c r="G55" s="572"/>
      <c r="H55" s="572"/>
      <c r="I55" s="572"/>
      <c r="J55" s="572"/>
      <c r="K55" s="573"/>
    </row>
    <row r="56" spans="1:11" ht="15" customHeight="1">
      <c r="A56" s="571">
        <v>28</v>
      </c>
      <c r="B56" s="571"/>
      <c r="C56" s="571"/>
      <c r="D56" s="572"/>
      <c r="E56" s="572"/>
      <c r="F56" s="572"/>
      <c r="G56" s="572"/>
      <c r="H56" s="572"/>
      <c r="I56" s="572"/>
      <c r="J56" s="572"/>
      <c r="K56" s="573"/>
    </row>
    <row r="57" spans="1:11" ht="15" customHeight="1">
      <c r="A57" s="571">
        <v>29</v>
      </c>
      <c r="B57" s="571"/>
      <c r="C57" s="571"/>
      <c r="D57" s="572"/>
      <c r="E57" s="572"/>
      <c r="F57" s="572"/>
      <c r="G57" s="572"/>
      <c r="H57" s="572"/>
      <c r="I57" s="572"/>
      <c r="J57" s="572"/>
      <c r="K57" s="573"/>
    </row>
    <row r="58" spans="1:11" ht="15" customHeight="1" thickBot="1">
      <c r="A58" s="571">
        <v>30</v>
      </c>
      <c r="B58" s="571"/>
      <c r="C58" s="571"/>
      <c r="D58" s="584"/>
      <c r="E58" s="584"/>
      <c r="F58" s="584"/>
      <c r="G58" s="584"/>
      <c r="H58" s="584"/>
      <c r="I58" s="584"/>
      <c r="J58" s="584"/>
      <c r="K58" s="585"/>
    </row>
    <row r="59" spans="1:11" ht="15" customHeight="1">
      <c r="D59" s="281" t="s">
        <v>17</v>
      </c>
      <c r="E59" s="282" t="s">
        <v>18</v>
      </c>
      <c r="F59" s="581" t="s">
        <v>658</v>
      </c>
      <c r="G59" s="581"/>
      <c r="H59" s="282" t="s">
        <v>17</v>
      </c>
      <c r="I59" s="282" t="s">
        <v>18</v>
      </c>
      <c r="J59" s="581" t="s">
        <v>658</v>
      </c>
      <c r="K59" s="582"/>
    </row>
    <row r="60" spans="1:11" ht="15" customHeight="1" thickBot="1">
      <c r="D60" s="283">
        <f>COUNTIF(D29:D58,"Y")</f>
        <v>0</v>
      </c>
      <c r="E60" s="284">
        <f>COUNTIF(D29:D58,"N")</f>
        <v>0</v>
      </c>
      <c r="F60" s="580">
        <f>COUNTIF(D29:D58,"NA")</f>
        <v>0</v>
      </c>
      <c r="G60" s="580"/>
      <c r="H60" s="284">
        <f>COUNTIF(H29:H58,"Y")</f>
        <v>0</v>
      </c>
      <c r="I60" s="284">
        <f>COUNTIF(H29:H58,"N")</f>
        <v>0</v>
      </c>
      <c r="J60" s="580">
        <f>COUNTIF(H29:H58,"NA")</f>
        <v>0</v>
      </c>
      <c r="K60" s="583"/>
    </row>
  </sheetData>
  <sheetProtection algorithmName="SHA-512" hashValue="rD6H6puCzCGgHdTN8M1lViPZ9aEoCeR5jKgKR36c2HM20xg2w7Zu53Qd5jpZ3adLIgn6RTaYquhdYt2kdr5OFQ==" saltValue="UR+CiJllhFp0UTqArxeliA==" spinCount="100000" sheet="1" objects="1" scenarios="1" selectLockedCells="1"/>
  <customSheetViews>
    <customSheetView guid="{A316F603-36BB-45F0-8A3D-94F56F16B8BC}">
      <selection activeCell="D29" sqref="D29:G29"/>
      <pageMargins left="0.7" right="0.7" top="0.75" bottom="0.75" header="0.3" footer="0.3"/>
      <pageSetup orientation="portrait" r:id="rId1"/>
    </customSheetView>
    <customSheetView guid="{341C6106-BE79-4CDE-A40C-FC24AA59D1EA}">
      <selection activeCell="D29" sqref="D29:G29"/>
      <pageMargins left="0.7" right="0.7" top="0.75" bottom="0.75" header="0.3" footer="0.3"/>
      <pageSetup orientation="portrait" r:id="rId2"/>
    </customSheetView>
  </customSheetViews>
  <mergeCells count="177">
    <mergeCell ref="A12:B12"/>
    <mergeCell ref="C12:E12"/>
    <mergeCell ref="F12:G12"/>
    <mergeCell ref="H12:J12"/>
    <mergeCell ref="H16:J16"/>
    <mergeCell ref="H17:J17"/>
    <mergeCell ref="F18:J18"/>
    <mergeCell ref="A13:B13"/>
    <mergeCell ref="C13:E13"/>
    <mergeCell ref="F13:G13"/>
    <mergeCell ref="H13:J13"/>
    <mergeCell ref="A14:B14"/>
    <mergeCell ref="C14:E14"/>
    <mergeCell ref="F14:G14"/>
    <mergeCell ref="H14:J14"/>
    <mergeCell ref="A15:B15"/>
    <mergeCell ref="C15:E15"/>
    <mergeCell ref="F15:G15"/>
    <mergeCell ref="H15:J15"/>
    <mergeCell ref="A9:B9"/>
    <mergeCell ref="C9:E9"/>
    <mergeCell ref="F9:G9"/>
    <mergeCell ref="H9:J9"/>
    <mergeCell ref="A10:B10"/>
    <mergeCell ref="C10:E10"/>
    <mergeCell ref="F10:G10"/>
    <mergeCell ref="H10:J10"/>
    <mergeCell ref="A11:B11"/>
    <mergeCell ref="C11:E11"/>
    <mergeCell ref="F11:G11"/>
    <mergeCell ref="H11:J11"/>
    <mergeCell ref="A54:C54"/>
    <mergeCell ref="D54:G54"/>
    <mergeCell ref="H54:K54"/>
    <mergeCell ref="A55:C55"/>
    <mergeCell ref="D55:G55"/>
    <mergeCell ref="H55:K55"/>
    <mergeCell ref="A52:C52"/>
    <mergeCell ref="D52:G52"/>
    <mergeCell ref="H52:K52"/>
    <mergeCell ref="A53:C53"/>
    <mergeCell ref="D53:G53"/>
    <mergeCell ref="H53:K53"/>
    <mergeCell ref="F60:G60"/>
    <mergeCell ref="J59:K59"/>
    <mergeCell ref="J60:K60"/>
    <mergeCell ref="A58:C58"/>
    <mergeCell ref="D58:G58"/>
    <mergeCell ref="H58:K58"/>
    <mergeCell ref="F59:G59"/>
    <mergeCell ref="A56:C56"/>
    <mergeCell ref="D56:G56"/>
    <mergeCell ref="H56:K56"/>
    <mergeCell ref="A57:C57"/>
    <mergeCell ref="D57:G57"/>
    <mergeCell ref="H57:K57"/>
    <mergeCell ref="A50:C50"/>
    <mergeCell ref="D50:G50"/>
    <mergeCell ref="H50:K50"/>
    <mergeCell ref="A51:C51"/>
    <mergeCell ref="D51:G51"/>
    <mergeCell ref="H51:K51"/>
    <mergeCell ref="A48:C48"/>
    <mergeCell ref="D48:G48"/>
    <mergeCell ref="H48:K48"/>
    <mergeCell ref="A49:C49"/>
    <mergeCell ref="D49:G49"/>
    <mergeCell ref="H49:K49"/>
    <mergeCell ref="A46:C46"/>
    <mergeCell ref="D46:G46"/>
    <mergeCell ref="H46:K46"/>
    <mergeCell ref="A47:C47"/>
    <mergeCell ref="D47:G47"/>
    <mergeCell ref="H47:K47"/>
    <mergeCell ref="A44:C44"/>
    <mergeCell ref="D44:G44"/>
    <mergeCell ref="H44:K44"/>
    <mergeCell ref="A45:C45"/>
    <mergeCell ref="D45:G45"/>
    <mergeCell ref="H45:K45"/>
    <mergeCell ref="A42:C42"/>
    <mergeCell ref="D42:G42"/>
    <mergeCell ref="H42:K42"/>
    <mergeCell ref="A43:C43"/>
    <mergeCell ref="D43:G43"/>
    <mergeCell ref="H43:K43"/>
    <mergeCell ref="A40:C40"/>
    <mergeCell ref="D40:G40"/>
    <mergeCell ref="H40:K40"/>
    <mergeCell ref="A41:C41"/>
    <mergeCell ref="D41:G41"/>
    <mergeCell ref="H41:K41"/>
    <mergeCell ref="A38:C38"/>
    <mergeCell ref="D38:G38"/>
    <mergeCell ref="H38:K38"/>
    <mergeCell ref="A39:C39"/>
    <mergeCell ref="D39:G39"/>
    <mergeCell ref="H39:K39"/>
    <mergeCell ref="A36:C36"/>
    <mergeCell ref="D36:G36"/>
    <mergeCell ref="H36:K36"/>
    <mergeCell ref="A37:C37"/>
    <mergeCell ref="D37:G37"/>
    <mergeCell ref="H37:K37"/>
    <mergeCell ref="A34:C34"/>
    <mergeCell ref="D34:G34"/>
    <mergeCell ref="H34:K34"/>
    <mergeCell ref="A35:C35"/>
    <mergeCell ref="D35:G35"/>
    <mergeCell ref="H35:K35"/>
    <mergeCell ref="A32:C32"/>
    <mergeCell ref="D32:G32"/>
    <mergeCell ref="H32:K32"/>
    <mergeCell ref="A33:C33"/>
    <mergeCell ref="D33:G33"/>
    <mergeCell ref="H33:K33"/>
    <mergeCell ref="A30:C30"/>
    <mergeCell ref="D30:G30"/>
    <mergeCell ref="H30:K30"/>
    <mergeCell ref="A31:C31"/>
    <mergeCell ref="D31:G31"/>
    <mergeCell ref="H31:K31"/>
    <mergeCell ref="A28:C28"/>
    <mergeCell ref="D28:G28"/>
    <mergeCell ref="H28:K28"/>
    <mergeCell ref="A29:C29"/>
    <mergeCell ref="D29:G29"/>
    <mergeCell ref="H29:K29"/>
    <mergeCell ref="A26:J26"/>
    <mergeCell ref="A25:J25"/>
    <mergeCell ref="A24:J24"/>
    <mergeCell ref="A23:J23"/>
    <mergeCell ref="K22:K26"/>
    <mergeCell ref="A27:J27"/>
    <mergeCell ref="A19:K19"/>
    <mergeCell ref="A21:J21"/>
    <mergeCell ref="A22:J22"/>
    <mergeCell ref="A20:K20"/>
    <mergeCell ref="H1:K1"/>
    <mergeCell ref="H2:K2"/>
    <mergeCell ref="J3:K3"/>
    <mergeCell ref="D3:E3"/>
    <mergeCell ref="D4:E4"/>
    <mergeCell ref="F3:G3"/>
    <mergeCell ref="F4:G4"/>
    <mergeCell ref="H3:I3"/>
    <mergeCell ref="H4:I4"/>
    <mergeCell ref="A1:D1"/>
    <mergeCell ref="A2:D2"/>
    <mergeCell ref="E1:G1"/>
    <mergeCell ref="E2:G2"/>
    <mergeCell ref="A3:C3"/>
    <mergeCell ref="B4:C4"/>
    <mergeCell ref="D5:E5"/>
    <mergeCell ref="F5:G5"/>
    <mergeCell ref="H5:I5"/>
    <mergeCell ref="B5:C5"/>
    <mergeCell ref="A18:B18"/>
    <mergeCell ref="C18:E18"/>
    <mergeCell ref="A7:B7"/>
    <mergeCell ref="C7:E7"/>
    <mergeCell ref="F7:G7"/>
    <mergeCell ref="A16:B16"/>
    <mergeCell ref="C16:E16"/>
    <mergeCell ref="A17:B17"/>
    <mergeCell ref="C17:E17"/>
    <mergeCell ref="F17:G17"/>
    <mergeCell ref="F16:G16"/>
    <mergeCell ref="A6:B6"/>
    <mergeCell ref="C6:E6"/>
    <mergeCell ref="F6:G6"/>
    <mergeCell ref="H6:J6"/>
    <mergeCell ref="H7:J7"/>
    <mergeCell ref="A8:B8"/>
    <mergeCell ref="C8:E8"/>
    <mergeCell ref="F8:G8"/>
    <mergeCell ref="H8:J8"/>
  </mergeCells>
  <dataValidations count="2">
    <dataValidation type="list" allowBlank="1" showInputMessage="1" showErrorMessage="1" sqref="D29:K58">
      <formula1>"Y, N, NA"</formula1>
    </dataValidation>
    <dataValidation operator="equal" allowBlank="1" showInputMessage="1" showErrorMessage="1" errorTitle="Contract Number Length" error="Contractor number must be 9 digits, including leading zeros." sqref="C7:E18 H7:J17"/>
  </dataValidations>
  <pageMargins left="0.7" right="0.7" top="0.75" bottom="0.75" header="0.3" footer="0.3"/>
  <pageSetup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18</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2" t="s">
        <v>157</v>
      </c>
      <c r="R180" s="373"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JrdN8VZ2inx4Sr+a2Fa7nLXk/hoJyXFB9pD8Y11G3KvQXxN3hVpH5BL9LvLkDq28KipR8DgRmBZ/XCeU3oNLnA==" saltValue="ps0ZyoQqb/0Fe0H64r7Ikg=="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7:I247"/>
    <mergeCell ref="J247:K247"/>
    <mergeCell ref="L247:M247"/>
    <mergeCell ref="A248:B248"/>
    <mergeCell ref="C248:D248"/>
    <mergeCell ref="H248:I248"/>
    <mergeCell ref="J248:K248"/>
    <mergeCell ref="L248:M248"/>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4:B244"/>
    <mergeCell ref="C244:D244"/>
    <mergeCell ref="H244:I244"/>
    <mergeCell ref="J244:K244"/>
    <mergeCell ref="L244:M244"/>
    <mergeCell ref="A245:B245"/>
    <mergeCell ref="C245:D245"/>
    <mergeCell ref="H245:I245"/>
    <mergeCell ref="J245:K245"/>
    <mergeCell ref="L245:M245"/>
    <mergeCell ref="A246:B246"/>
    <mergeCell ref="C246:D246"/>
    <mergeCell ref="H246:I246"/>
    <mergeCell ref="J246:K246"/>
    <mergeCell ref="L246:M246"/>
    <mergeCell ref="A247:B247"/>
    <mergeCell ref="C247:D247"/>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19</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4.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2" t="s">
        <v>157</v>
      </c>
      <c r="R180" s="373"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NUhe/CC0alYz5m73fUI3xwlPx8Dr0Af6iRr++imAzRsNxu8yhR6xSSPV3R65GDRdlHXnLxiMw2TRO/p8VpFTOA==" saltValue="5fIYrD+CUh6t1RXhkX37qA=="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7:I247"/>
    <mergeCell ref="J247:K247"/>
    <mergeCell ref="L247:M247"/>
    <mergeCell ref="A248:B248"/>
    <mergeCell ref="C248:D248"/>
    <mergeCell ref="H248:I248"/>
    <mergeCell ref="J248:K248"/>
    <mergeCell ref="L248:M248"/>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4:B244"/>
    <mergeCell ref="C244:D244"/>
    <mergeCell ref="H244:I244"/>
    <mergeCell ref="J244:K244"/>
    <mergeCell ref="L244:M244"/>
    <mergeCell ref="A245:B245"/>
    <mergeCell ref="C245:D245"/>
    <mergeCell ref="H245:I245"/>
    <mergeCell ref="J245:K245"/>
    <mergeCell ref="L245:M245"/>
    <mergeCell ref="A246:B246"/>
    <mergeCell ref="C246:D246"/>
    <mergeCell ref="H246:I246"/>
    <mergeCell ref="J246:K246"/>
    <mergeCell ref="L246:M246"/>
    <mergeCell ref="A247:B247"/>
    <mergeCell ref="C247:D247"/>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20</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2" t="s">
        <v>157</v>
      </c>
      <c r="R180" s="373"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cHOXAJOJrT5DowqOlBXLSuCMMRpuWlqknR3taXRTZIbnru0q78xOOXjQYhvVImI3ihy66nx0DD+x13s6u2nv0w==" saltValue="yUjoAV0sr0zkdf7BGcSlSg=="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7:I247"/>
    <mergeCell ref="J247:K247"/>
    <mergeCell ref="L247:M247"/>
    <mergeCell ref="A248:B248"/>
    <mergeCell ref="C248:D248"/>
    <mergeCell ref="H248:I248"/>
    <mergeCell ref="J248:K248"/>
    <mergeCell ref="L248:M248"/>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4:B244"/>
    <mergeCell ref="C244:D244"/>
    <mergeCell ref="H244:I244"/>
    <mergeCell ref="J244:K244"/>
    <mergeCell ref="L244:M244"/>
    <mergeCell ref="A245:B245"/>
    <mergeCell ref="C245:D245"/>
    <mergeCell ref="H245:I245"/>
    <mergeCell ref="J245:K245"/>
    <mergeCell ref="L245:M245"/>
    <mergeCell ref="A246:B246"/>
    <mergeCell ref="C246:D246"/>
    <mergeCell ref="H246:I246"/>
    <mergeCell ref="J246:K246"/>
    <mergeCell ref="L246:M246"/>
    <mergeCell ref="A247:B247"/>
    <mergeCell ref="C247:D247"/>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21</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2" t="s">
        <v>157</v>
      </c>
      <c r="R180" s="373"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2Vnh59BQOrv9RHEOrdGmm2PWfrIx/JXYd9V2YipaHN52J40EePnW0F7NEi1zZKa38vmuRCeZciPc14n3hK3YTw==" saltValue="RFqjMUyN2G/LfZCXpNhJnQ=="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7:I247"/>
    <mergeCell ref="J247:K247"/>
    <mergeCell ref="L247:M247"/>
    <mergeCell ref="A248:B248"/>
    <mergeCell ref="C248:D248"/>
    <mergeCell ref="H248:I248"/>
    <mergeCell ref="J248:K248"/>
    <mergeCell ref="L248:M248"/>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4:B244"/>
    <mergeCell ref="C244:D244"/>
    <mergeCell ref="H244:I244"/>
    <mergeCell ref="J244:K244"/>
    <mergeCell ref="L244:M244"/>
    <mergeCell ref="A245:B245"/>
    <mergeCell ref="C245:D245"/>
    <mergeCell ref="H245:I245"/>
    <mergeCell ref="J245:K245"/>
    <mergeCell ref="L245:M245"/>
    <mergeCell ref="A246:B246"/>
    <mergeCell ref="C246:D246"/>
    <mergeCell ref="H246:I246"/>
    <mergeCell ref="J246:K246"/>
    <mergeCell ref="L246:M246"/>
    <mergeCell ref="A247:B247"/>
    <mergeCell ref="C247:D247"/>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22</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2" t="s">
        <v>157</v>
      </c>
      <c r="R180" s="373"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KlfAMvprciqZf9Ko3R6BQOUjENlaXpNxJtGiV7w6FxRSrwLjtvwxxESa/N7So9ZHJSWxx+3TPfqG/1PU5Mwlrg==" saltValue="3uZ25EvXJSPnw9IbPcjz8Q=="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7:I247"/>
    <mergeCell ref="J247:K247"/>
    <mergeCell ref="L247:M247"/>
    <mergeCell ref="A248:B248"/>
    <mergeCell ref="C248:D248"/>
    <mergeCell ref="H248:I248"/>
    <mergeCell ref="J248:K248"/>
    <mergeCell ref="L248:M248"/>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4:B244"/>
    <mergeCell ref="C244:D244"/>
    <mergeCell ref="H244:I244"/>
    <mergeCell ref="J244:K244"/>
    <mergeCell ref="L244:M244"/>
    <mergeCell ref="A245:B245"/>
    <mergeCell ref="C245:D245"/>
    <mergeCell ref="H245:I245"/>
    <mergeCell ref="J245:K245"/>
    <mergeCell ref="L245:M245"/>
    <mergeCell ref="A246:B246"/>
    <mergeCell ref="C246:D246"/>
    <mergeCell ref="H246:I246"/>
    <mergeCell ref="J246:K246"/>
    <mergeCell ref="L246:M246"/>
    <mergeCell ref="A247:B247"/>
    <mergeCell ref="C247:D247"/>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23</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2" t="s">
        <v>157</v>
      </c>
      <c r="R180" s="373"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bh4JCHWC5M37wbuCyUChs9/gU3CePgO7YSScADMscsKKkGcdUeFNz1f1YlGmlhgrbM/hvRUVSP0dJJsmvrrxUg==" saltValue="3oJ7Au20EzJVmSSW+8BU4A=="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7:I247"/>
    <mergeCell ref="J247:K247"/>
    <mergeCell ref="L247:M247"/>
    <mergeCell ref="A248:B248"/>
    <mergeCell ref="C248:D248"/>
    <mergeCell ref="H248:I248"/>
    <mergeCell ref="J248:K248"/>
    <mergeCell ref="L248:M248"/>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4:B244"/>
    <mergeCell ref="C244:D244"/>
    <mergeCell ref="H244:I244"/>
    <mergeCell ref="J244:K244"/>
    <mergeCell ref="L244:M244"/>
    <mergeCell ref="A245:B245"/>
    <mergeCell ref="C245:D245"/>
    <mergeCell ref="H245:I245"/>
    <mergeCell ref="J245:K245"/>
    <mergeCell ref="L245:M245"/>
    <mergeCell ref="A246:B246"/>
    <mergeCell ref="C246:D246"/>
    <mergeCell ref="H246:I246"/>
    <mergeCell ref="J246:K246"/>
    <mergeCell ref="L246:M246"/>
    <mergeCell ref="A247:B247"/>
    <mergeCell ref="C247:D247"/>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24</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2" t="s">
        <v>157</v>
      </c>
      <c r="R180" s="373"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MkaVfBeExlvfLqF6d037ADT1i+2zgkk4Os5tuQbmMhXcJjytbEy7L030OsCV3ND8U/j30KPGogMsD4kRUmGSHw==" saltValue="8BldFmXTUl6w5iYFDGhtZg=="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7:I247"/>
    <mergeCell ref="J247:K247"/>
    <mergeCell ref="L247:M247"/>
    <mergeCell ref="A248:B248"/>
    <mergeCell ref="C248:D248"/>
    <mergeCell ref="H248:I248"/>
    <mergeCell ref="J248:K248"/>
    <mergeCell ref="L248:M248"/>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4:B244"/>
    <mergeCell ref="C244:D244"/>
    <mergeCell ref="H244:I244"/>
    <mergeCell ref="J244:K244"/>
    <mergeCell ref="L244:M244"/>
    <mergeCell ref="A245:B245"/>
    <mergeCell ref="C245:D245"/>
    <mergeCell ref="H245:I245"/>
    <mergeCell ref="J245:K245"/>
    <mergeCell ref="L245:M245"/>
    <mergeCell ref="A246:B246"/>
    <mergeCell ref="C246:D246"/>
    <mergeCell ref="H246:I246"/>
    <mergeCell ref="J246:K246"/>
    <mergeCell ref="L246:M246"/>
    <mergeCell ref="A247:B247"/>
    <mergeCell ref="C247:D247"/>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25</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2" t="s">
        <v>157</v>
      </c>
      <c r="R180" s="373"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o9XiUmtccK6R33NvSK6PWfgtMWtb+H6ZcfQwAaYCZu36HplXu9yBdQqys/Wl/QB+1udF4TRsEwAAJ/9AgYdJLg==" saltValue="WUi7w+QkrB7hv59Kx6ylXA=="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7:I247"/>
    <mergeCell ref="J247:K247"/>
    <mergeCell ref="L247:M247"/>
    <mergeCell ref="A248:B248"/>
    <mergeCell ref="C248:D248"/>
    <mergeCell ref="H248:I248"/>
    <mergeCell ref="J248:K248"/>
    <mergeCell ref="L248:M248"/>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4:B244"/>
    <mergeCell ref="C244:D244"/>
    <mergeCell ref="H244:I244"/>
    <mergeCell ref="J244:K244"/>
    <mergeCell ref="L244:M244"/>
    <mergeCell ref="A245:B245"/>
    <mergeCell ref="C245:D245"/>
    <mergeCell ref="H245:I245"/>
    <mergeCell ref="J245:K245"/>
    <mergeCell ref="L245:M245"/>
    <mergeCell ref="A246:B246"/>
    <mergeCell ref="C246:D246"/>
    <mergeCell ref="H246:I246"/>
    <mergeCell ref="J246:K246"/>
    <mergeCell ref="L246:M246"/>
    <mergeCell ref="A247:B247"/>
    <mergeCell ref="C247:D247"/>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26</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2" t="s">
        <v>157</v>
      </c>
      <c r="R180" s="373"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ICvw8q/V+oUfEq4pulINBcIxMiFjQKDv0U6N6cW/rLUdnREidmx2fadi0HpOHx+dPl6yegB9lMVR1F2WhNc1VA==" saltValue="6ME0O2RO5P8dcPfLrCEtWw=="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7:I247"/>
    <mergeCell ref="J247:K247"/>
    <mergeCell ref="L247:M247"/>
    <mergeCell ref="A248:B248"/>
    <mergeCell ref="C248:D248"/>
    <mergeCell ref="H248:I248"/>
    <mergeCell ref="J248:K248"/>
    <mergeCell ref="L248:M248"/>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4:B244"/>
    <mergeCell ref="C244:D244"/>
    <mergeCell ref="H244:I244"/>
    <mergeCell ref="J244:K244"/>
    <mergeCell ref="L244:M244"/>
    <mergeCell ref="A245:B245"/>
    <mergeCell ref="C245:D245"/>
    <mergeCell ref="H245:I245"/>
    <mergeCell ref="J245:K245"/>
    <mergeCell ref="L245:M245"/>
    <mergeCell ref="A246:B246"/>
    <mergeCell ref="C246:D246"/>
    <mergeCell ref="H246:I246"/>
    <mergeCell ref="J246:K246"/>
    <mergeCell ref="L246:M246"/>
    <mergeCell ref="A247:B247"/>
    <mergeCell ref="C247:D247"/>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27</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2" t="s">
        <v>157</v>
      </c>
      <c r="R180" s="373"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tAWHjIAqnWiOWE30W/bSWmNZbOQNO70xjtrd94K9WmigDUduU6AxwZdE9LNHsiBRJVKATWpfXcg6UkdeKVhonw==" saltValue="CWNyfOLvPsZz+u2r5UlJsA=="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7:I247"/>
    <mergeCell ref="J247:K247"/>
    <mergeCell ref="L247:M247"/>
    <mergeCell ref="A248:B248"/>
    <mergeCell ref="C248:D248"/>
    <mergeCell ref="H248:I248"/>
    <mergeCell ref="J248:K248"/>
    <mergeCell ref="L248:M248"/>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4:B244"/>
    <mergeCell ref="C244:D244"/>
    <mergeCell ref="H244:I244"/>
    <mergeCell ref="J244:K244"/>
    <mergeCell ref="L244:M244"/>
    <mergeCell ref="A245:B245"/>
    <mergeCell ref="C245:D245"/>
    <mergeCell ref="H245:I245"/>
    <mergeCell ref="J245:K245"/>
    <mergeCell ref="L245:M245"/>
    <mergeCell ref="A246:B246"/>
    <mergeCell ref="C246:D246"/>
    <mergeCell ref="H246:I246"/>
    <mergeCell ref="J246:K246"/>
    <mergeCell ref="L246:M246"/>
    <mergeCell ref="A247:B247"/>
    <mergeCell ref="C247:D247"/>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K631"/>
  <sheetViews>
    <sheetView zoomScale="85" zoomScaleNormal="85" workbookViewId="0">
      <selection activeCell="D2" sqref="D2"/>
    </sheetView>
  </sheetViews>
  <sheetFormatPr defaultRowHeight="15"/>
  <cols>
    <col min="3" max="3" width="10.140625" bestFit="1" customWidth="1"/>
    <col min="5" max="6" width="10.140625" bestFit="1" customWidth="1"/>
    <col min="7" max="7" width="10.5703125" bestFit="1" customWidth="1"/>
    <col min="8" max="8" width="10.140625" bestFit="1" customWidth="1"/>
    <col min="9" max="10" width="10.7109375" customWidth="1"/>
    <col min="11" max="11" width="10.7109375" bestFit="1" customWidth="1"/>
    <col min="12" max="12" width="11.42578125" customWidth="1"/>
    <col min="13" max="15" width="11.7109375" customWidth="1"/>
    <col min="16" max="16" width="11.85546875" customWidth="1"/>
    <col min="17" max="17" width="12" customWidth="1"/>
    <col min="18" max="18" width="10.7109375" style="354" customWidth="1"/>
    <col min="19" max="19" width="9.140625" hidden="1" customWidth="1"/>
    <col min="20" max="20" width="10.5703125" hidden="1" customWidth="1"/>
    <col min="21" max="21" width="9.140625" hidden="1" customWidth="1"/>
    <col min="22" max="22" width="13.140625" hidden="1" customWidth="1"/>
    <col min="23" max="23" width="12.5703125" hidden="1" customWidth="1"/>
    <col min="24" max="24" width="26" style="311" hidden="1" customWidth="1"/>
    <col min="25" max="25" width="11.5703125" hidden="1" customWidth="1"/>
    <col min="26" max="27" width="12.42578125" style="311" hidden="1" customWidth="1"/>
    <col min="28" max="28" width="11.42578125" hidden="1" customWidth="1"/>
    <col min="29" max="29" width="11.28515625" hidden="1" customWidth="1"/>
    <col min="30" max="30" width="13.5703125" hidden="1" customWidth="1"/>
  </cols>
  <sheetData>
    <row r="1" spans="1:32" s="50" customFormat="1" ht="27" customHeight="1" thickTop="1">
      <c r="A1" s="71" t="s">
        <v>43</v>
      </c>
      <c r="B1" s="917" t="s">
        <v>44</v>
      </c>
      <c r="C1" s="918"/>
      <c r="D1" s="72" t="s">
        <v>13</v>
      </c>
      <c r="E1" s="940" t="s">
        <v>6</v>
      </c>
      <c r="F1" s="941"/>
      <c r="G1" s="941"/>
      <c r="H1" s="941"/>
      <c r="I1" s="229"/>
      <c r="J1" s="230"/>
      <c r="K1" s="232"/>
      <c r="L1" s="73"/>
      <c r="R1" s="361"/>
      <c r="T1" s="239" t="s">
        <v>237</v>
      </c>
      <c r="X1" s="97"/>
      <c r="Z1" s="97"/>
      <c r="AA1" s="97"/>
    </row>
    <row r="2" spans="1:32" ht="15.75" thickBot="1">
      <c r="A2" s="5">
        <f>'Samples (PRINT)'!A5</f>
        <v>1</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1" t="b">
        <f ca="1">IF(AND(Std2ColBOutsideReviewPeriodCount&gt;0,Std2ColBInsideReviewPeriodCount=0),TRUE,FALSE)</f>
        <v>0</v>
      </c>
      <c r="Z7" s="311" t="b">
        <f>IF(COUNTIF(STD_II_COL_CE,"=N")&gt;0,TRUE,FALSE)</f>
        <v>0</v>
      </c>
      <c r="AA7" s="241">
        <f>Std2ColFYesCount+COUNTIF(STD_II_COL_F,"=NA")</f>
        <v>0</v>
      </c>
      <c r="AD7"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1">
        <f>COUNTIF(STD_II_COL_CE,"=Y")</f>
        <v>0</v>
      </c>
      <c r="AA8" s="311">
        <f>COUNTIF(STD_II_COL_F,"=N")</f>
        <v>0</v>
      </c>
      <c r="AD8"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1">
        <f>COUNTIF(STD_II_COL_CE,"=NA")</f>
        <v>0</v>
      </c>
      <c r="AA9" s="311">
        <f>COUNTIF(STD_II_COL_F,"=E")</f>
        <v>0</v>
      </c>
      <c r="AD9">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1" t="b">
        <f>IF(AND(Std2ColCEYCount&gt;0,SUM(Std2ColCENACount,Std2ColCEYCount,Std2ColCEBlanks)=20),TRUE,FALSE)</f>
        <v>0</v>
      </c>
      <c r="AA10" s="311">
        <f>COUNTIF(STD_II_COL_F,"=~?")</f>
        <v>0</v>
      </c>
      <c r="AD10">
        <f>COUNTIF(STD_II_COL_GHI,"=~?")</f>
        <v>0</v>
      </c>
    </row>
    <row r="11" spans="1:32" s="311"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ht="26.25" customHeight="1">
      <c r="A12" s="613" t="s">
        <v>834</v>
      </c>
      <c r="B12" s="614"/>
      <c r="C12" s="614"/>
      <c r="D12" s="614"/>
      <c r="E12" s="614"/>
      <c r="F12" s="614"/>
      <c r="G12" s="614"/>
      <c r="H12" s="614"/>
      <c r="I12" s="614"/>
      <c r="J12" s="614"/>
      <c r="K12" s="614"/>
      <c r="L12" s="615"/>
      <c r="M12" s="27"/>
      <c r="N12" s="27"/>
      <c r="O12" s="27"/>
      <c r="P12" s="27"/>
      <c r="Q12" s="27"/>
      <c r="T12" s="241"/>
    </row>
    <row r="13" spans="1:32" ht="16.5" customHeight="1">
      <c r="A13" s="684" t="s">
        <v>621</v>
      </c>
      <c r="B13" s="685"/>
      <c r="C13" s="685"/>
      <c r="D13" s="685"/>
      <c r="E13" s="685"/>
      <c r="F13" s="685"/>
      <c r="G13" s="685"/>
      <c r="H13" s="685"/>
      <c r="I13" s="685"/>
      <c r="J13" s="685"/>
      <c r="K13" s="685"/>
      <c r="L13" s="686"/>
      <c r="M13" s="27"/>
      <c r="N13" s="27"/>
      <c r="O13" s="27"/>
      <c r="P13" s="27"/>
      <c r="Q13" s="27"/>
    </row>
    <row r="14" spans="1:32" ht="16.5" customHeight="1">
      <c r="A14" s="684" t="s">
        <v>91</v>
      </c>
      <c r="B14" s="685"/>
      <c r="C14" s="685"/>
      <c r="D14" s="685"/>
      <c r="E14" s="685"/>
      <c r="F14" s="685"/>
      <c r="G14" s="685"/>
      <c r="H14" s="685"/>
      <c r="I14" s="685"/>
      <c r="J14" s="685"/>
      <c r="K14" s="685"/>
      <c r="L14" s="686"/>
      <c r="M14" s="27"/>
      <c r="N14" s="27"/>
      <c r="O14" s="27"/>
      <c r="P14" s="27"/>
      <c r="Q14" s="27"/>
    </row>
    <row r="15" spans="1:32" ht="26.25" customHeight="1">
      <c r="A15" s="613" t="s">
        <v>782</v>
      </c>
      <c r="B15" s="614"/>
      <c r="C15" s="614"/>
      <c r="D15" s="614"/>
      <c r="E15" s="614"/>
      <c r="F15" s="614"/>
      <c r="G15" s="614"/>
      <c r="H15" s="614"/>
      <c r="I15" s="614"/>
      <c r="J15" s="614"/>
      <c r="K15" s="614"/>
      <c r="L15" s="615"/>
      <c r="M15" s="27"/>
      <c r="N15" s="27"/>
      <c r="O15" s="27"/>
      <c r="P15" s="27"/>
      <c r="Q15" s="27"/>
    </row>
    <row r="16" spans="1:32" ht="26.25" customHeight="1">
      <c r="A16" s="684" t="s">
        <v>835</v>
      </c>
      <c r="B16" s="685"/>
      <c r="C16" s="685"/>
      <c r="D16" s="685"/>
      <c r="E16" s="685"/>
      <c r="F16" s="685"/>
      <c r="G16" s="685"/>
      <c r="H16" s="685"/>
      <c r="I16" s="685"/>
      <c r="J16" s="685"/>
      <c r="K16" s="685"/>
      <c r="L16" s="686"/>
      <c r="M16" s="30"/>
      <c r="N16" s="30"/>
      <c r="O16" s="31"/>
      <c r="P16" s="8"/>
      <c r="Q16" s="9"/>
    </row>
    <row r="17" spans="1:17" ht="15.75">
      <c r="A17" s="684" t="s">
        <v>720</v>
      </c>
      <c r="B17" s="685"/>
      <c r="C17" s="685"/>
      <c r="D17" s="685"/>
      <c r="E17" s="685"/>
      <c r="F17" s="685"/>
      <c r="G17" s="685"/>
      <c r="H17" s="685"/>
      <c r="I17" s="685"/>
      <c r="J17" s="685"/>
      <c r="K17" s="685"/>
      <c r="L17" s="686"/>
      <c r="M17" s="30"/>
      <c r="N17" s="30"/>
      <c r="O17" s="31"/>
      <c r="P17" s="8"/>
      <c r="Q17" s="9"/>
    </row>
    <row r="18" spans="1:17" ht="29.25" hidden="1" customHeight="1">
      <c r="A18" s="937" t="s">
        <v>783</v>
      </c>
      <c r="B18" s="938"/>
      <c r="C18" s="938"/>
      <c r="D18" s="938"/>
      <c r="E18" s="938"/>
      <c r="F18" s="938"/>
      <c r="G18" s="938"/>
      <c r="H18" s="938"/>
      <c r="I18" s="938"/>
      <c r="J18" s="938"/>
      <c r="K18" s="938"/>
      <c r="L18" s="939"/>
      <c r="M18" s="30"/>
      <c r="N18" s="30"/>
      <c r="O18" s="31"/>
      <c r="P18" s="8"/>
      <c r="Q18" s="9"/>
    </row>
    <row r="19" spans="1:17" ht="53.25" customHeight="1">
      <c r="A19" s="741" t="s">
        <v>721</v>
      </c>
      <c r="B19" s="742"/>
      <c r="C19" s="742"/>
      <c r="D19" s="742"/>
      <c r="E19" s="742"/>
      <c r="F19" s="742"/>
      <c r="G19" s="742"/>
      <c r="H19" s="742"/>
      <c r="I19" s="742"/>
      <c r="J19" s="742"/>
      <c r="K19" s="742"/>
      <c r="L19" s="743"/>
      <c r="M19" s="30"/>
      <c r="N19" s="30"/>
      <c r="O19" s="31"/>
      <c r="P19" s="8"/>
      <c r="Q19" s="9"/>
    </row>
    <row r="20" spans="1:17" ht="16.5" customHeight="1">
      <c r="A20" s="684" t="s">
        <v>92</v>
      </c>
      <c r="B20" s="685"/>
      <c r="C20" s="685"/>
      <c r="D20" s="685"/>
      <c r="E20" s="685"/>
      <c r="F20" s="685"/>
      <c r="G20" s="685"/>
      <c r="H20" s="685"/>
      <c r="I20" s="685"/>
      <c r="J20" s="685"/>
      <c r="K20" s="685"/>
      <c r="L20" s="686"/>
      <c r="M20" s="30"/>
      <c r="N20" s="30"/>
      <c r="O20" s="31"/>
      <c r="P20" s="8"/>
      <c r="Q20" s="9"/>
    </row>
    <row r="21" spans="1:17" ht="26.25" customHeight="1">
      <c r="A21" s="613" t="s">
        <v>722</v>
      </c>
      <c r="B21" s="614"/>
      <c r="C21" s="614"/>
      <c r="D21" s="614"/>
      <c r="E21" s="614"/>
      <c r="F21" s="614"/>
      <c r="G21" s="614"/>
      <c r="H21" s="614"/>
      <c r="I21" s="614"/>
      <c r="J21" s="614"/>
      <c r="K21" s="614"/>
      <c r="L21" s="615"/>
      <c r="M21" s="30"/>
      <c r="N21" s="30"/>
      <c r="O21" s="31"/>
      <c r="P21" s="8"/>
      <c r="Q21" s="9"/>
    </row>
    <row r="22" spans="1:17" ht="16.5" hidden="1" customHeight="1">
      <c r="A22" s="684" t="s">
        <v>92</v>
      </c>
      <c r="B22" s="685"/>
      <c r="C22" s="685"/>
      <c r="D22" s="685"/>
      <c r="E22" s="685"/>
      <c r="F22" s="685"/>
      <c r="G22" s="685"/>
      <c r="H22" s="685"/>
      <c r="I22" s="685"/>
      <c r="J22" s="685"/>
      <c r="K22" s="685"/>
      <c r="L22" s="686"/>
      <c r="M22" s="30"/>
      <c r="N22" s="30"/>
      <c r="O22" s="31"/>
      <c r="P22" s="8"/>
      <c r="Q22" s="9"/>
    </row>
    <row r="23" spans="1:17" ht="16.5" customHeight="1">
      <c r="A23" s="613" t="s">
        <v>637</v>
      </c>
      <c r="B23" s="614"/>
      <c r="C23" s="614"/>
      <c r="D23" s="614"/>
      <c r="E23" s="614"/>
      <c r="F23" s="614"/>
      <c r="G23" s="614"/>
      <c r="H23" s="614"/>
      <c r="I23" s="614"/>
      <c r="J23" s="614"/>
      <c r="K23" s="614"/>
      <c r="L23" s="615"/>
      <c r="M23" s="30"/>
      <c r="N23" s="30"/>
      <c r="O23" s="31"/>
      <c r="P23" s="8"/>
      <c r="Q23" s="9"/>
    </row>
    <row r="24" spans="1:17" ht="15.75">
      <c r="A24" s="684" t="s">
        <v>723</v>
      </c>
      <c r="B24" s="685"/>
      <c r="C24" s="685"/>
      <c r="D24" s="685"/>
      <c r="E24" s="685"/>
      <c r="F24" s="685"/>
      <c r="G24" s="685"/>
      <c r="H24" s="685"/>
      <c r="I24" s="685"/>
      <c r="J24" s="685"/>
      <c r="K24" s="685"/>
      <c r="L24" s="686"/>
      <c r="M24" s="10"/>
      <c r="N24" s="10"/>
      <c r="O24" s="10"/>
      <c r="P24" s="8"/>
      <c r="Q24" s="9"/>
    </row>
    <row r="25" spans="1:17" ht="16.5" customHeight="1">
      <c r="A25" s="684" t="s">
        <v>724</v>
      </c>
      <c r="B25" s="685"/>
      <c r="C25" s="685"/>
      <c r="D25" s="685"/>
      <c r="E25" s="685"/>
      <c r="F25" s="685"/>
      <c r="G25" s="685"/>
      <c r="H25" s="685"/>
      <c r="I25" s="685"/>
      <c r="J25" s="685"/>
      <c r="K25" s="685"/>
      <c r="L25" s="686"/>
      <c r="M25" s="11"/>
      <c r="N25" s="11"/>
      <c r="O25" s="11"/>
      <c r="P25" s="8"/>
      <c r="Q25" s="9"/>
    </row>
    <row r="26" spans="1:17" ht="29.25" customHeight="1">
      <c r="A26" s="741" t="s">
        <v>759</v>
      </c>
      <c r="B26" s="742"/>
      <c r="C26" s="742"/>
      <c r="D26" s="742"/>
      <c r="E26" s="742"/>
      <c r="F26" s="742"/>
      <c r="G26" s="742"/>
      <c r="H26" s="742"/>
      <c r="I26" s="742"/>
      <c r="J26" s="742"/>
      <c r="K26" s="742"/>
      <c r="L26" s="743"/>
      <c r="M26" s="12"/>
      <c r="N26" s="12"/>
      <c r="O26" s="12"/>
      <c r="P26" s="8"/>
      <c r="Q26" s="9"/>
    </row>
    <row r="27" spans="1:17" ht="26.25" customHeight="1">
      <c r="A27" s="684" t="s">
        <v>784</v>
      </c>
      <c r="B27" s="685"/>
      <c r="C27" s="685"/>
      <c r="D27" s="685"/>
      <c r="E27" s="685"/>
      <c r="F27" s="685"/>
      <c r="G27" s="685"/>
      <c r="H27" s="685"/>
      <c r="I27" s="685"/>
      <c r="J27" s="685"/>
      <c r="K27" s="685"/>
      <c r="L27" s="686"/>
      <c r="M27" s="24"/>
      <c r="N27" s="24"/>
      <c r="O27" s="24"/>
      <c r="P27" s="8"/>
      <c r="Q27" s="9"/>
    </row>
    <row r="28" spans="1:17" ht="41.25" customHeight="1">
      <c r="A28" s="639" t="s">
        <v>785</v>
      </c>
      <c r="B28" s="640"/>
      <c r="C28" s="640"/>
      <c r="D28" s="640"/>
      <c r="E28" s="640"/>
      <c r="F28" s="640"/>
      <c r="G28" s="640"/>
      <c r="H28" s="640"/>
      <c r="I28" s="640"/>
      <c r="J28" s="640"/>
      <c r="K28" s="640"/>
      <c r="L28" s="641"/>
      <c r="M28" s="13"/>
      <c r="N28" s="24"/>
      <c r="O28" s="24"/>
      <c r="P28" s="8"/>
      <c r="Q28" s="9"/>
    </row>
    <row r="29" spans="1:17" ht="15.75">
      <c r="A29" s="613" t="s">
        <v>725</v>
      </c>
      <c r="B29" s="614"/>
      <c r="C29" s="614"/>
      <c r="D29" s="614"/>
      <c r="E29" s="614"/>
      <c r="F29" s="614"/>
      <c r="G29" s="614"/>
      <c r="H29" s="614"/>
      <c r="I29" s="614"/>
      <c r="J29" s="614"/>
      <c r="K29" s="614"/>
      <c r="L29" s="615"/>
      <c r="M29" s="32"/>
      <c r="N29" s="24"/>
      <c r="O29" s="24"/>
      <c r="P29" s="8"/>
      <c r="Q29" s="9"/>
    </row>
    <row r="30" spans="1:17" ht="26.25" customHeight="1">
      <c r="A30" s="684" t="s">
        <v>726</v>
      </c>
      <c r="B30" s="685"/>
      <c r="C30" s="685"/>
      <c r="D30" s="685"/>
      <c r="E30" s="685"/>
      <c r="F30" s="685"/>
      <c r="G30" s="685"/>
      <c r="H30" s="685"/>
      <c r="I30" s="685"/>
      <c r="J30" s="685"/>
      <c r="K30" s="685"/>
      <c r="L30" s="686"/>
      <c r="M30" s="33"/>
      <c r="N30" s="33"/>
      <c r="O30" s="33"/>
      <c r="P30" s="33"/>
      <c r="Q30" s="27"/>
    </row>
    <row r="31" spans="1:17" ht="26.25" customHeight="1">
      <c r="A31" s="684" t="s">
        <v>93</v>
      </c>
      <c r="B31" s="685"/>
      <c r="C31" s="685"/>
      <c r="D31" s="685"/>
      <c r="E31" s="685"/>
      <c r="F31" s="685"/>
      <c r="G31" s="685"/>
      <c r="H31" s="685"/>
      <c r="I31" s="685"/>
      <c r="J31" s="685"/>
      <c r="K31" s="685"/>
      <c r="L31" s="686"/>
      <c r="M31" s="17"/>
      <c r="N31" s="33"/>
      <c r="O31" s="33"/>
      <c r="P31" s="33"/>
      <c r="Q31" s="27"/>
    </row>
    <row r="32" spans="1:17" ht="39" customHeight="1">
      <c r="A32" s="684" t="s">
        <v>836</v>
      </c>
      <c r="B32" s="685"/>
      <c r="C32" s="685"/>
      <c r="D32" s="685"/>
      <c r="E32" s="685"/>
      <c r="F32" s="685"/>
      <c r="G32" s="685"/>
      <c r="H32" s="685"/>
      <c r="I32" s="685"/>
      <c r="J32" s="685"/>
      <c r="K32" s="685"/>
      <c r="L32" s="686"/>
      <c r="M32" s="14"/>
      <c r="N32" s="27"/>
      <c r="O32" s="27"/>
      <c r="P32" s="27"/>
      <c r="Q32" s="27"/>
    </row>
    <row r="33" spans="1:27" ht="15.75" customHeight="1">
      <c r="A33" s="613" t="s">
        <v>786</v>
      </c>
      <c r="B33" s="614"/>
      <c r="C33" s="614"/>
      <c r="D33" s="614"/>
      <c r="E33" s="614"/>
      <c r="F33" s="614"/>
      <c r="G33" s="614"/>
      <c r="H33" s="614"/>
      <c r="I33" s="614"/>
      <c r="J33" s="614"/>
      <c r="K33" s="614"/>
      <c r="L33" s="615"/>
      <c r="M33" s="15"/>
      <c r="N33" s="15"/>
      <c r="O33" s="15"/>
      <c r="P33" s="15"/>
      <c r="Q33" s="29"/>
    </row>
    <row r="34" spans="1:27" ht="20.100000000000001" customHeight="1">
      <c r="A34" s="639" t="s">
        <v>787</v>
      </c>
      <c r="B34" s="640"/>
      <c r="C34" s="640"/>
      <c r="D34" s="640"/>
      <c r="E34" s="640"/>
      <c r="F34" s="640"/>
      <c r="G34" s="640"/>
      <c r="H34" s="640"/>
      <c r="I34" s="640"/>
      <c r="J34" s="640"/>
      <c r="K34" s="640"/>
      <c r="L34" s="641"/>
      <c r="M34" s="29"/>
      <c r="N34" s="27"/>
      <c r="O34" s="27"/>
      <c r="P34" s="27"/>
      <c r="Q34" s="27"/>
    </row>
    <row r="35" spans="1:27" ht="20.100000000000001" customHeight="1">
      <c r="A35" s="639" t="s">
        <v>788</v>
      </c>
      <c r="B35" s="640"/>
      <c r="C35" s="640"/>
      <c r="D35" s="640"/>
      <c r="E35" s="640"/>
      <c r="F35" s="640"/>
      <c r="G35" s="640"/>
      <c r="H35" s="640"/>
      <c r="I35" s="640"/>
      <c r="J35" s="640"/>
      <c r="K35" s="640"/>
      <c r="L35" s="641"/>
      <c r="M35" s="16"/>
      <c r="N35" s="27"/>
      <c r="O35" s="27"/>
      <c r="P35" s="27"/>
      <c r="Q35" s="27"/>
    </row>
    <row r="36" spans="1:27" s="168" customFormat="1" ht="20.100000000000001" customHeight="1">
      <c r="A36" s="639" t="s">
        <v>727</v>
      </c>
      <c r="B36" s="640"/>
      <c r="C36" s="640"/>
      <c r="D36" s="640"/>
      <c r="E36" s="640"/>
      <c r="F36" s="640"/>
      <c r="G36" s="640"/>
      <c r="H36" s="640"/>
      <c r="I36" s="640"/>
      <c r="J36" s="640"/>
      <c r="K36" s="640"/>
      <c r="L36" s="641"/>
      <c r="M36" s="10"/>
      <c r="N36" s="27"/>
      <c r="O36" s="27"/>
      <c r="P36" s="27"/>
      <c r="Q36" s="27"/>
      <c r="R36" s="354"/>
      <c r="X36" s="311"/>
      <c r="Z36" s="311"/>
      <c r="AA36" s="311"/>
    </row>
    <row r="37" spans="1:27" ht="39" customHeight="1">
      <c r="A37" s="684" t="s">
        <v>700</v>
      </c>
      <c r="B37" s="685"/>
      <c r="C37" s="685"/>
      <c r="D37" s="685"/>
      <c r="E37" s="685"/>
      <c r="F37" s="685"/>
      <c r="G37" s="685"/>
      <c r="H37" s="685"/>
      <c r="I37" s="685"/>
      <c r="J37" s="685"/>
      <c r="K37" s="685"/>
      <c r="L37" s="686"/>
      <c r="M37" s="27"/>
      <c r="N37" s="27"/>
      <c r="O37" s="27"/>
      <c r="P37" s="27"/>
      <c r="Q37" s="27"/>
    </row>
    <row r="38" spans="1:27">
      <c r="A38" s="613" t="s">
        <v>789</v>
      </c>
      <c r="B38" s="614"/>
      <c r="C38" s="614"/>
      <c r="D38" s="614"/>
      <c r="E38" s="614"/>
      <c r="F38" s="614"/>
      <c r="G38" s="614"/>
      <c r="H38" s="614"/>
      <c r="I38" s="614"/>
      <c r="J38" s="614"/>
      <c r="K38" s="614"/>
      <c r="L38" s="615"/>
      <c r="M38" s="27"/>
      <c r="N38" s="27"/>
      <c r="O38" s="27"/>
      <c r="P38" s="27"/>
      <c r="Q38" s="27"/>
    </row>
    <row r="39" spans="1:27"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27"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27"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27"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27"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27"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27"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27"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27" ht="15.75" customHeight="1" thickTop="1" thickBot="1">
      <c r="A47" s="952" t="s">
        <v>94</v>
      </c>
      <c r="B47" s="953"/>
      <c r="C47" s="953"/>
      <c r="D47" s="953"/>
      <c r="E47" s="953"/>
      <c r="F47" s="953"/>
      <c r="G47" s="953"/>
      <c r="H47" s="953"/>
      <c r="I47" s="953"/>
      <c r="J47" s="953"/>
      <c r="K47" s="953"/>
      <c r="L47" s="954"/>
      <c r="M47" s="27"/>
      <c r="N47" s="27"/>
      <c r="O47" s="27"/>
      <c r="P47" s="27"/>
      <c r="Q47" s="27"/>
    </row>
    <row r="48" spans="1:27" s="42" customFormat="1" ht="15.75" customHeight="1" thickTop="1" thickBot="1">
      <c r="A48" s="874" t="s">
        <v>23</v>
      </c>
      <c r="B48" s="875"/>
      <c r="C48" s="875"/>
      <c r="D48" s="875"/>
      <c r="E48" s="876"/>
      <c r="F48" s="642" t="s">
        <v>24</v>
      </c>
      <c r="G48" s="957"/>
      <c r="H48" s="642" t="s">
        <v>25</v>
      </c>
      <c r="I48" s="643"/>
      <c r="J48" s="307" t="s">
        <v>26</v>
      </c>
      <c r="K48" s="306" t="s">
        <v>48</v>
      </c>
      <c r="L48" s="642" t="s">
        <v>49</v>
      </c>
      <c r="M48" s="643"/>
      <c r="N48" s="306" t="s">
        <v>52</v>
      </c>
      <c r="O48" s="306" t="s">
        <v>53</v>
      </c>
      <c r="P48" s="342"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736"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736"/>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736"/>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736"/>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736"/>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736"/>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736"/>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736"/>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736"/>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736"/>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736"/>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736"/>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02" t="s">
        <v>96</v>
      </c>
      <c r="F61" s="329" t="s">
        <v>100</v>
      </c>
      <c r="G61" s="302" t="s">
        <v>100</v>
      </c>
      <c r="H61" s="45"/>
      <c r="I61" s="302" t="s">
        <v>100</v>
      </c>
      <c r="J61" s="302" t="s">
        <v>100</v>
      </c>
      <c r="K61" s="45"/>
      <c r="L61" s="648"/>
      <c r="M61" s="648"/>
      <c r="N61" s="45"/>
      <c r="O61" s="45"/>
      <c r="P61" s="346"/>
      <c r="Q61" s="357"/>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ht="15.75" customHeight="1" thickBot="1">
      <c r="A62" s="747"/>
      <c r="B62" s="748"/>
      <c r="C62" s="748"/>
      <c r="D62" s="748"/>
      <c r="E62" s="374"/>
      <c r="F62" s="330"/>
      <c r="G62" s="376"/>
      <c r="H62" s="374"/>
      <c r="I62" s="376"/>
      <c r="J62" s="376"/>
      <c r="K62" s="374"/>
      <c r="L62" s="649"/>
      <c r="M62" s="649"/>
      <c r="N62" s="374"/>
      <c r="O62" s="374"/>
      <c r="P62" s="347"/>
      <c r="Q62" s="358"/>
      <c r="R62" s="251" t="str">
        <f t="shared" ref="R62:R81" si="0">IF(A62="","",IF(Z62="E","E",IF(Z62="Y","Y","")))</f>
        <v/>
      </c>
      <c r="S62" s="310" t="str">
        <f t="shared" ref="S62:S81" si="1">IF($A62="",IF(K62="","","E"),IF($Z62="E","E",IF(AND($Z62="Y",AC62="Y"),IF(K62="","E",K62),"")))</f>
        <v/>
      </c>
      <c r="T62" s="310" t="str">
        <f t="shared" ref="T62:T81" si="2">IF($A62="",IF(L62="","","E"),IF($Z62="E","E",IF($Z62="Y",IF(L62="","E",L62),"")))</f>
        <v/>
      </c>
      <c r="U62" s="310" t="str">
        <f t="shared" ref="U62:U81" si="3">IF($A62="",IF(O62="","","E"),IF($W62="E","E",IF($W62="Y",IF(O62="","E",O62),"")))</f>
        <v/>
      </c>
      <c r="V62" s="310" t="str">
        <f t="shared" ref="V62:V81" si="4">IF($A62="",IF(N62="","","E"),IF($Z62="E","E",IF($Z62="Y",IF(N62="","E",N62),"")))</f>
        <v/>
      </c>
      <c r="W62" s="310"/>
      <c r="X62" s="310" t="str">
        <f t="shared" ref="X62:X81" si="5">IF($A62="",IF(P62="","","E"),IF($Z62="E","E",IF($Z62="Y",IF(P62="","E",P62),"")))</f>
        <v/>
      </c>
      <c r="Y62" s="310" t="str">
        <f t="shared" ref="Y62:Y81" ca="1" si="6">IF(AND(OR(A62&lt;&gt;"",C62&lt;&gt;""),OR(G62&lt;$F$2,G62&gt;$H$2)),"Y",IF(G62="","","N"))</f>
        <v/>
      </c>
      <c r="Z62" s="310" t="str">
        <f>IF(AND(G62&lt;&gt;"",OR(H62="",K62="")),"E",IF(AND(G62="",OR(H62&lt;&gt;"",K62&lt;&gt;"")),"EE",IF(AND(G62="",H62="",K62=""),"",IF(AND(H62&lt;&gt;"",K62="N"),"N",IF(AND(H62="NA",K62=""),"NA","Y")))))</f>
        <v/>
      </c>
      <c r="AA62" s="310" t="str">
        <f>IF(AND(G62&lt;&gt;"",OR(H62="",K62="")),"E",IF(AND(G62="",OR(H62&lt;&gt;"",K62&lt;&gt;"")),"EE",IF(AND(G62="",H62="",K62=""),"",IF(AND(H62&lt;&gt;"",K62="N"),"N",IF(AND(H62="NA",K62=""),"NA","Y")))))</f>
        <v/>
      </c>
      <c r="AB62" s="310" t="str">
        <f>IF(AND(G62&lt;&gt;"",L62=""),"E",IF(AND(G62="",L62&lt;&gt;""),"EE",IF(L62="","",L62)))</f>
        <v/>
      </c>
      <c r="AC62" s="310" t="str">
        <f t="shared" ref="AC62:AC81" si="7">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310"/>
      <c r="AG62" s="241"/>
      <c r="AH62" s="241"/>
      <c r="AI62" s="250"/>
      <c r="AJ62" s="250"/>
      <c r="AK62" s="250"/>
    </row>
    <row r="63" spans="1:37" ht="15.75" customHeight="1" thickBot="1">
      <c r="A63" s="747"/>
      <c r="B63" s="748"/>
      <c r="C63" s="748"/>
      <c r="D63" s="748"/>
      <c r="E63" s="374"/>
      <c r="F63" s="330"/>
      <c r="G63" s="376"/>
      <c r="H63" s="374"/>
      <c r="I63" s="376"/>
      <c r="J63" s="376"/>
      <c r="K63" s="374"/>
      <c r="L63" s="649"/>
      <c r="M63" s="649"/>
      <c r="N63" s="374"/>
      <c r="O63" s="374"/>
      <c r="P63" s="347"/>
      <c r="Q63" s="358"/>
      <c r="R63" s="251" t="str">
        <f t="shared" si="0"/>
        <v/>
      </c>
      <c r="S63" s="310" t="str">
        <f t="shared" si="1"/>
        <v/>
      </c>
      <c r="T63" s="310" t="str">
        <f t="shared" si="2"/>
        <v/>
      </c>
      <c r="U63" s="310" t="str">
        <f t="shared" si="3"/>
        <v/>
      </c>
      <c r="V63" s="310" t="str">
        <f t="shared" si="4"/>
        <v/>
      </c>
      <c r="W63" s="310"/>
      <c r="X63" s="310" t="str">
        <f t="shared" si="5"/>
        <v/>
      </c>
      <c r="Y63" s="310" t="str">
        <f t="shared" ca="1" si="6"/>
        <v/>
      </c>
      <c r="Z63" s="310" t="str">
        <f t="shared" ref="Z63:Z81" si="8">IF($A63="",IF(G63="","","E"),IF($G63="","E",IF($F$2="","E",IF($G63&lt;$F$2, "NA", IF(AND($G63&gt;=$F$2,$G63&lt;=$H$2),"Y","N")))))</f>
        <v/>
      </c>
      <c r="AA63" s="310" t="str">
        <f t="shared" ref="AA63:AA81" si="9">IF(AND(G63&lt;&gt;"",OR(H63="",K63="")),"E",IF(AND(G63="",OR(H63&lt;&gt;"",K63&lt;&gt;"")),"EE",IF(AND(G63="",H63="",K63=""),"",IF(AND(H63&lt;&gt;"",K63="N"),"N",IF(AND(H63="NA",K63=""),"NA","Y")))))</f>
        <v/>
      </c>
      <c r="AB63" s="310" t="str">
        <f t="shared" ref="AB63:AB81" si="10">IF(AND(G63&lt;&gt;"",L63=""),"E",IF(AND(G63="",L63&lt;&gt;""),"EE",IF(L63="","",L63)))</f>
        <v/>
      </c>
      <c r="AC63" s="310" t="str">
        <f t="shared" si="7"/>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310"/>
      <c r="AG63" s="241"/>
      <c r="AH63" s="241"/>
      <c r="AI63" s="250"/>
      <c r="AJ63" s="250"/>
      <c r="AK63" s="250"/>
    </row>
    <row r="64" spans="1:37" ht="15.75" customHeight="1" thickBot="1">
      <c r="A64" s="747"/>
      <c r="B64" s="748"/>
      <c r="C64" s="748"/>
      <c r="D64" s="748"/>
      <c r="E64" s="374"/>
      <c r="F64" s="330"/>
      <c r="G64" s="376"/>
      <c r="H64" s="374"/>
      <c r="I64" s="376"/>
      <c r="J64" s="376"/>
      <c r="K64" s="374"/>
      <c r="L64" s="649"/>
      <c r="M64" s="649"/>
      <c r="N64" s="374"/>
      <c r="O64" s="374"/>
      <c r="P64" s="347"/>
      <c r="Q64" s="358"/>
      <c r="R64" s="251" t="str">
        <f t="shared" si="0"/>
        <v/>
      </c>
      <c r="S64" s="310" t="str">
        <f t="shared" si="1"/>
        <v/>
      </c>
      <c r="T64" s="310" t="str">
        <f t="shared" si="2"/>
        <v/>
      </c>
      <c r="U64" s="310" t="str">
        <f t="shared" si="3"/>
        <v/>
      </c>
      <c r="V64" s="310" t="str">
        <f t="shared" si="4"/>
        <v/>
      </c>
      <c r="W64" s="310"/>
      <c r="X64" s="310" t="str">
        <f t="shared" si="5"/>
        <v/>
      </c>
      <c r="Y64" s="310" t="str">
        <f t="shared" ca="1" si="6"/>
        <v/>
      </c>
      <c r="Z64" s="310" t="str">
        <f t="shared" si="8"/>
        <v/>
      </c>
      <c r="AA64" s="310" t="str">
        <f t="shared" si="9"/>
        <v/>
      </c>
      <c r="AB64" s="310" t="str">
        <f t="shared" si="10"/>
        <v/>
      </c>
      <c r="AC64" s="310" t="str">
        <f t="shared" si="7"/>
        <v/>
      </c>
      <c r="AD64" s="241" t="str">
        <f t="shared" si="11"/>
        <v/>
      </c>
      <c r="AE64" s="354" t="str">
        <f t="shared" si="12"/>
        <v/>
      </c>
      <c r="AF64" s="310"/>
      <c r="AG64" s="241"/>
      <c r="AH64" s="241"/>
      <c r="AI64" s="250"/>
      <c r="AJ64" s="250"/>
      <c r="AK64" s="250"/>
    </row>
    <row r="65" spans="1:37" ht="15.75" customHeight="1" thickBot="1">
      <c r="A65" s="747"/>
      <c r="B65" s="748"/>
      <c r="C65" s="748"/>
      <c r="D65" s="748"/>
      <c r="E65" s="374"/>
      <c r="F65" s="330"/>
      <c r="G65" s="376"/>
      <c r="H65" s="374"/>
      <c r="I65" s="376"/>
      <c r="J65" s="376"/>
      <c r="K65" s="374"/>
      <c r="L65" s="649"/>
      <c r="M65" s="649"/>
      <c r="N65" s="374"/>
      <c r="O65" s="374"/>
      <c r="P65" s="347"/>
      <c r="Q65" s="358"/>
      <c r="R65" s="251" t="str">
        <f t="shared" si="0"/>
        <v/>
      </c>
      <c r="S65" s="310" t="str">
        <f t="shared" si="1"/>
        <v/>
      </c>
      <c r="T65" s="310" t="str">
        <f t="shared" si="2"/>
        <v/>
      </c>
      <c r="U65" s="310" t="str">
        <f t="shared" si="3"/>
        <v/>
      </c>
      <c r="V65" s="310" t="str">
        <f t="shared" si="4"/>
        <v/>
      </c>
      <c r="W65" s="310"/>
      <c r="X65" s="310" t="str">
        <f t="shared" si="5"/>
        <v/>
      </c>
      <c r="Y65" s="310" t="str">
        <f t="shared" ca="1" si="6"/>
        <v/>
      </c>
      <c r="Z65" s="310" t="str">
        <f t="shared" si="8"/>
        <v/>
      </c>
      <c r="AA65" s="310" t="str">
        <f t="shared" si="9"/>
        <v/>
      </c>
      <c r="AB65" s="310" t="str">
        <f t="shared" si="10"/>
        <v/>
      </c>
      <c r="AC65" s="310" t="str">
        <f t="shared" si="7"/>
        <v/>
      </c>
      <c r="AD65" s="241" t="str">
        <f t="shared" si="11"/>
        <v/>
      </c>
      <c r="AE65" s="354" t="str">
        <f t="shared" si="12"/>
        <v/>
      </c>
      <c r="AF65" s="310"/>
      <c r="AG65" s="241"/>
      <c r="AH65" s="241"/>
      <c r="AI65" s="250"/>
      <c r="AJ65" s="250"/>
      <c r="AK65" s="250"/>
    </row>
    <row r="66" spans="1:37" ht="15.75" customHeight="1" thickBot="1">
      <c r="A66" s="747"/>
      <c r="B66" s="748"/>
      <c r="C66" s="748"/>
      <c r="D66" s="748"/>
      <c r="E66" s="374"/>
      <c r="F66" s="330"/>
      <c r="G66" s="376"/>
      <c r="H66" s="374"/>
      <c r="I66" s="376"/>
      <c r="J66" s="376"/>
      <c r="K66" s="374"/>
      <c r="L66" s="649"/>
      <c r="M66" s="649"/>
      <c r="N66" s="374"/>
      <c r="O66" s="374"/>
      <c r="P66" s="347"/>
      <c r="Q66" s="358"/>
      <c r="R66" s="251" t="str">
        <f t="shared" si="0"/>
        <v/>
      </c>
      <c r="S66" s="310" t="str">
        <f t="shared" si="1"/>
        <v/>
      </c>
      <c r="T66" s="310" t="str">
        <f t="shared" si="2"/>
        <v/>
      </c>
      <c r="U66" s="310" t="str">
        <f t="shared" si="3"/>
        <v/>
      </c>
      <c r="V66" s="310" t="str">
        <f t="shared" si="4"/>
        <v/>
      </c>
      <c r="W66" s="310"/>
      <c r="X66" s="310" t="str">
        <f t="shared" si="5"/>
        <v/>
      </c>
      <c r="Y66" s="310" t="str">
        <f t="shared" ca="1" si="6"/>
        <v/>
      </c>
      <c r="Z66" s="310" t="str">
        <f t="shared" si="8"/>
        <v/>
      </c>
      <c r="AA66" s="310" t="str">
        <f t="shared" si="9"/>
        <v/>
      </c>
      <c r="AB66" s="310" t="str">
        <f t="shared" si="10"/>
        <v/>
      </c>
      <c r="AC66" s="310" t="str">
        <f t="shared" si="7"/>
        <v/>
      </c>
      <c r="AD66" s="241" t="str">
        <f t="shared" si="11"/>
        <v/>
      </c>
      <c r="AE66" s="354" t="str">
        <f t="shared" si="12"/>
        <v/>
      </c>
      <c r="AF66" s="310"/>
      <c r="AG66" s="241"/>
      <c r="AH66" s="241"/>
      <c r="AI66" s="250"/>
      <c r="AJ66" s="250"/>
      <c r="AK66" s="250"/>
    </row>
    <row r="67" spans="1:37" ht="15.75" customHeight="1" thickBot="1">
      <c r="A67" s="747"/>
      <c r="B67" s="748"/>
      <c r="C67" s="748"/>
      <c r="D67" s="748"/>
      <c r="E67" s="374"/>
      <c r="F67" s="330"/>
      <c r="G67" s="376"/>
      <c r="H67" s="374"/>
      <c r="I67" s="376"/>
      <c r="J67" s="376"/>
      <c r="K67" s="374"/>
      <c r="L67" s="649"/>
      <c r="M67" s="649"/>
      <c r="N67" s="374"/>
      <c r="O67" s="374"/>
      <c r="P67" s="347"/>
      <c r="Q67" s="358"/>
      <c r="R67" s="251" t="str">
        <f t="shared" si="0"/>
        <v/>
      </c>
      <c r="S67" s="310" t="str">
        <f t="shared" si="1"/>
        <v/>
      </c>
      <c r="T67" s="310" t="str">
        <f t="shared" si="2"/>
        <v/>
      </c>
      <c r="U67" s="310" t="str">
        <f t="shared" si="3"/>
        <v/>
      </c>
      <c r="V67" s="310" t="str">
        <f t="shared" si="4"/>
        <v/>
      </c>
      <c r="W67" s="310"/>
      <c r="X67" s="310" t="str">
        <f t="shared" si="5"/>
        <v/>
      </c>
      <c r="Y67" s="310" t="str">
        <f t="shared" ca="1" si="6"/>
        <v/>
      </c>
      <c r="Z67" s="310" t="str">
        <f t="shared" si="8"/>
        <v/>
      </c>
      <c r="AA67" s="310" t="str">
        <f t="shared" si="9"/>
        <v/>
      </c>
      <c r="AB67" s="310" t="str">
        <f t="shared" si="10"/>
        <v/>
      </c>
      <c r="AC67" s="310" t="str">
        <f t="shared" si="7"/>
        <v/>
      </c>
      <c r="AD67" s="241" t="str">
        <f t="shared" si="11"/>
        <v/>
      </c>
      <c r="AE67" s="354" t="str">
        <f t="shared" si="12"/>
        <v/>
      </c>
      <c r="AF67" s="310"/>
      <c r="AG67" s="241"/>
      <c r="AH67" s="241"/>
      <c r="AI67" s="250"/>
      <c r="AJ67" s="250"/>
      <c r="AK67" s="250"/>
    </row>
    <row r="68" spans="1:37" ht="15.75" customHeight="1" thickBot="1">
      <c r="A68" s="747"/>
      <c r="B68" s="748"/>
      <c r="C68" s="748"/>
      <c r="D68" s="748"/>
      <c r="E68" s="374"/>
      <c r="F68" s="330"/>
      <c r="G68" s="376"/>
      <c r="H68" s="374"/>
      <c r="I68" s="376"/>
      <c r="J68" s="376"/>
      <c r="K68" s="374"/>
      <c r="L68" s="649"/>
      <c r="M68" s="649"/>
      <c r="N68" s="374"/>
      <c r="O68" s="374"/>
      <c r="P68" s="347"/>
      <c r="Q68" s="358"/>
      <c r="R68" s="251" t="str">
        <f t="shared" si="0"/>
        <v/>
      </c>
      <c r="S68" s="310" t="str">
        <f t="shared" si="1"/>
        <v/>
      </c>
      <c r="T68" s="310" t="str">
        <f t="shared" si="2"/>
        <v/>
      </c>
      <c r="U68" s="310" t="str">
        <f t="shared" si="3"/>
        <v/>
      </c>
      <c r="V68" s="310" t="str">
        <f t="shared" si="4"/>
        <v/>
      </c>
      <c r="W68" s="310"/>
      <c r="X68" s="310" t="str">
        <f t="shared" si="5"/>
        <v/>
      </c>
      <c r="Y68" s="310" t="str">
        <f t="shared" ca="1" si="6"/>
        <v/>
      </c>
      <c r="Z68" s="310" t="str">
        <f t="shared" si="8"/>
        <v/>
      </c>
      <c r="AA68" s="310" t="str">
        <f t="shared" si="9"/>
        <v/>
      </c>
      <c r="AB68" s="310" t="str">
        <f t="shared" si="10"/>
        <v/>
      </c>
      <c r="AC68" s="310" t="str">
        <f t="shared" si="7"/>
        <v/>
      </c>
      <c r="AD68" s="241" t="str">
        <f t="shared" si="11"/>
        <v/>
      </c>
      <c r="AE68" s="354" t="str">
        <f t="shared" si="12"/>
        <v/>
      </c>
      <c r="AF68" s="310"/>
      <c r="AG68" s="241"/>
      <c r="AH68" s="241"/>
      <c r="AI68" s="250"/>
      <c r="AJ68" s="250"/>
      <c r="AK68" s="250"/>
    </row>
    <row r="69" spans="1:37" ht="15.75" customHeight="1" thickBot="1">
      <c r="A69" s="747"/>
      <c r="B69" s="748"/>
      <c r="C69" s="748"/>
      <c r="D69" s="748"/>
      <c r="E69" s="374"/>
      <c r="F69" s="330"/>
      <c r="G69" s="376"/>
      <c r="H69" s="374"/>
      <c r="I69" s="376"/>
      <c r="J69" s="376"/>
      <c r="K69" s="374"/>
      <c r="L69" s="649"/>
      <c r="M69" s="649"/>
      <c r="N69" s="374"/>
      <c r="O69" s="374"/>
      <c r="P69" s="347"/>
      <c r="Q69" s="358"/>
      <c r="R69" s="251" t="str">
        <f t="shared" si="0"/>
        <v/>
      </c>
      <c r="S69" s="310" t="str">
        <f t="shared" si="1"/>
        <v/>
      </c>
      <c r="T69" s="310" t="str">
        <f t="shared" si="2"/>
        <v/>
      </c>
      <c r="U69" s="310" t="str">
        <f t="shared" si="3"/>
        <v/>
      </c>
      <c r="V69" s="310" t="str">
        <f t="shared" si="4"/>
        <v/>
      </c>
      <c r="W69" s="310"/>
      <c r="X69" s="310" t="str">
        <f t="shared" si="5"/>
        <v/>
      </c>
      <c r="Y69" s="310" t="str">
        <f t="shared" ca="1" si="6"/>
        <v/>
      </c>
      <c r="Z69" s="310" t="str">
        <f t="shared" si="8"/>
        <v/>
      </c>
      <c r="AA69" s="310" t="str">
        <f t="shared" si="9"/>
        <v/>
      </c>
      <c r="AB69" s="310" t="str">
        <f t="shared" si="10"/>
        <v/>
      </c>
      <c r="AC69" s="310" t="str">
        <f t="shared" si="7"/>
        <v/>
      </c>
      <c r="AD69" s="241" t="str">
        <f t="shared" si="11"/>
        <v/>
      </c>
      <c r="AE69" s="354" t="str">
        <f t="shared" si="12"/>
        <v/>
      </c>
      <c r="AF69" s="310"/>
      <c r="AG69" s="241"/>
      <c r="AH69" s="241"/>
      <c r="AI69" s="250"/>
      <c r="AJ69" s="250"/>
      <c r="AK69" s="250"/>
    </row>
    <row r="70" spans="1:37" ht="15.75" customHeight="1" thickBot="1">
      <c r="A70" s="747"/>
      <c r="B70" s="748"/>
      <c r="C70" s="748"/>
      <c r="D70" s="748"/>
      <c r="E70" s="374"/>
      <c r="F70" s="330"/>
      <c r="G70" s="376"/>
      <c r="H70" s="374"/>
      <c r="I70" s="376"/>
      <c r="J70" s="376"/>
      <c r="K70" s="374"/>
      <c r="L70" s="649"/>
      <c r="M70" s="649"/>
      <c r="N70" s="374"/>
      <c r="O70" s="374"/>
      <c r="P70" s="347"/>
      <c r="Q70" s="358"/>
      <c r="R70" s="251" t="str">
        <f t="shared" si="0"/>
        <v/>
      </c>
      <c r="S70" s="310" t="str">
        <f t="shared" si="1"/>
        <v/>
      </c>
      <c r="T70" s="310" t="str">
        <f t="shared" si="2"/>
        <v/>
      </c>
      <c r="U70" s="310" t="str">
        <f t="shared" si="3"/>
        <v/>
      </c>
      <c r="V70" s="310" t="str">
        <f t="shared" si="4"/>
        <v/>
      </c>
      <c r="W70" s="310"/>
      <c r="X70" s="310" t="str">
        <f t="shared" si="5"/>
        <v/>
      </c>
      <c r="Y70" s="310" t="str">
        <f t="shared" ca="1" si="6"/>
        <v/>
      </c>
      <c r="Z70" s="310" t="str">
        <f t="shared" si="8"/>
        <v/>
      </c>
      <c r="AA70" s="310" t="str">
        <f t="shared" si="9"/>
        <v/>
      </c>
      <c r="AB70" s="310" t="str">
        <f t="shared" si="10"/>
        <v/>
      </c>
      <c r="AC70" s="310" t="str">
        <f t="shared" si="7"/>
        <v/>
      </c>
      <c r="AD70" s="241" t="str">
        <f t="shared" si="11"/>
        <v/>
      </c>
      <c r="AE70" s="354" t="str">
        <f t="shared" si="12"/>
        <v/>
      </c>
      <c r="AF70" s="310"/>
      <c r="AG70" s="241"/>
      <c r="AH70" s="241"/>
      <c r="AI70" s="250"/>
      <c r="AJ70" s="250"/>
      <c r="AK70" s="250"/>
    </row>
    <row r="71" spans="1:37" ht="15.75" customHeight="1" thickBot="1">
      <c r="A71" s="747"/>
      <c r="B71" s="748"/>
      <c r="C71" s="748"/>
      <c r="D71" s="748"/>
      <c r="E71" s="374"/>
      <c r="F71" s="330"/>
      <c r="G71" s="376"/>
      <c r="H71" s="374"/>
      <c r="I71" s="376"/>
      <c r="J71" s="376"/>
      <c r="K71" s="374"/>
      <c r="L71" s="649"/>
      <c r="M71" s="649"/>
      <c r="N71" s="374"/>
      <c r="O71" s="374"/>
      <c r="P71" s="347"/>
      <c r="Q71" s="358"/>
      <c r="R71" s="251" t="str">
        <f t="shared" si="0"/>
        <v/>
      </c>
      <c r="S71" s="310" t="str">
        <f t="shared" si="1"/>
        <v/>
      </c>
      <c r="T71" s="310" t="str">
        <f t="shared" si="2"/>
        <v/>
      </c>
      <c r="U71" s="310" t="str">
        <f t="shared" si="3"/>
        <v/>
      </c>
      <c r="V71" s="310" t="str">
        <f t="shared" si="4"/>
        <v/>
      </c>
      <c r="W71" s="310"/>
      <c r="X71" s="310" t="str">
        <f t="shared" si="5"/>
        <v/>
      </c>
      <c r="Y71" s="310" t="str">
        <f t="shared" ca="1" si="6"/>
        <v/>
      </c>
      <c r="Z71" s="310" t="str">
        <f t="shared" si="8"/>
        <v/>
      </c>
      <c r="AA71" s="310" t="str">
        <f t="shared" si="9"/>
        <v/>
      </c>
      <c r="AB71" s="310" t="str">
        <f t="shared" si="10"/>
        <v/>
      </c>
      <c r="AC71" s="310" t="str">
        <f t="shared" si="7"/>
        <v/>
      </c>
      <c r="AD71" s="241" t="str">
        <f t="shared" si="11"/>
        <v/>
      </c>
      <c r="AE71" s="354" t="str">
        <f t="shared" si="12"/>
        <v/>
      </c>
      <c r="AF71" s="310"/>
      <c r="AG71" s="241"/>
      <c r="AH71" s="241"/>
      <c r="AI71" s="250"/>
      <c r="AJ71" s="250"/>
      <c r="AK71" s="250"/>
    </row>
    <row r="72" spans="1:37" ht="15.75" customHeight="1" thickBot="1">
      <c r="A72" s="747"/>
      <c r="B72" s="748"/>
      <c r="C72" s="748"/>
      <c r="D72" s="748"/>
      <c r="E72" s="374"/>
      <c r="F72" s="330"/>
      <c r="G72" s="376"/>
      <c r="H72" s="374"/>
      <c r="I72" s="376"/>
      <c r="J72" s="376"/>
      <c r="K72" s="374"/>
      <c r="L72" s="649"/>
      <c r="M72" s="649"/>
      <c r="N72" s="374"/>
      <c r="O72" s="374"/>
      <c r="P72" s="347"/>
      <c r="Q72" s="358"/>
      <c r="R72" s="251" t="str">
        <f t="shared" si="0"/>
        <v/>
      </c>
      <c r="S72" s="310" t="str">
        <f t="shared" si="1"/>
        <v/>
      </c>
      <c r="T72" s="310" t="str">
        <f t="shared" si="2"/>
        <v/>
      </c>
      <c r="U72" s="310" t="str">
        <f t="shared" si="3"/>
        <v/>
      </c>
      <c r="V72" s="310" t="str">
        <f t="shared" si="4"/>
        <v/>
      </c>
      <c r="W72" s="310"/>
      <c r="X72" s="310" t="str">
        <f t="shared" si="5"/>
        <v/>
      </c>
      <c r="Y72" s="310" t="str">
        <f t="shared" ca="1" si="6"/>
        <v/>
      </c>
      <c r="Z72" s="310" t="str">
        <f t="shared" si="8"/>
        <v/>
      </c>
      <c r="AA72" s="310" t="str">
        <f t="shared" si="9"/>
        <v/>
      </c>
      <c r="AB72" s="310" t="str">
        <f t="shared" si="10"/>
        <v/>
      </c>
      <c r="AC72" s="310" t="str">
        <f t="shared" si="7"/>
        <v/>
      </c>
      <c r="AD72" s="241" t="str">
        <f t="shared" si="11"/>
        <v/>
      </c>
      <c r="AE72" s="354" t="str">
        <f t="shared" si="12"/>
        <v/>
      </c>
      <c r="AF72" s="310"/>
      <c r="AG72" s="241"/>
      <c r="AH72" s="241"/>
      <c r="AI72" s="250"/>
      <c r="AJ72" s="250"/>
      <c r="AK72" s="250"/>
    </row>
    <row r="73" spans="1:37" ht="15.75" customHeight="1" thickBot="1">
      <c r="A73" s="747"/>
      <c r="B73" s="748"/>
      <c r="C73" s="748"/>
      <c r="D73" s="748"/>
      <c r="E73" s="374"/>
      <c r="F73" s="330"/>
      <c r="G73" s="376"/>
      <c r="H73" s="374"/>
      <c r="I73" s="376"/>
      <c r="J73" s="376"/>
      <c r="K73" s="374"/>
      <c r="L73" s="649"/>
      <c r="M73" s="649"/>
      <c r="N73" s="374"/>
      <c r="O73" s="374"/>
      <c r="P73" s="347"/>
      <c r="Q73" s="358"/>
      <c r="R73" s="251" t="str">
        <f t="shared" si="0"/>
        <v/>
      </c>
      <c r="S73" s="310" t="str">
        <f t="shared" si="1"/>
        <v/>
      </c>
      <c r="T73" s="310" t="str">
        <f t="shared" si="2"/>
        <v/>
      </c>
      <c r="U73" s="310" t="str">
        <f t="shared" si="3"/>
        <v/>
      </c>
      <c r="V73" s="310" t="str">
        <f t="shared" si="4"/>
        <v/>
      </c>
      <c r="W73" s="310"/>
      <c r="X73" s="310" t="str">
        <f t="shared" si="5"/>
        <v/>
      </c>
      <c r="Y73" s="310" t="str">
        <f t="shared" ca="1" si="6"/>
        <v/>
      </c>
      <c r="Z73" s="310" t="str">
        <f t="shared" si="8"/>
        <v/>
      </c>
      <c r="AA73" s="310" t="str">
        <f t="shared" si="9"/>
        <v/>
      </c>
      <c r="AB73" s="310" t="str">
        <f t="shared" si="10"/>
        <v/>
      </c>
      <c r="AC73" s="310" t="str">
        <f t="shared" si="7"/>
        <v/>
      </c>
      <c r="AD73" s="241" t="str">
        <f t="shared" si="11"/>
        <v/>
      </c>
      <c r="AE73" s="354" t="str">
        <f t="shared" si="12"/>
        <v/>
      </c>
      <c r="AF73" s="310"/>
      <c r="AG73" s="241"/>
      <c r="AH73" s="241"/>
      <c r="AI73" s="250"/>
      <c r="AJ73" s="250"/>
      <c r="AK73" s="250"/>
    </row>
    <row r="74" spans="1:37" ht="15.75" customHeight="1" thickBot="1">
      <c r="A74" s="747"/>
      <c r="B74" s="748"/>
      <c r="C74" s="748"/>
      <c r="D74" s="748"/>
      <c r="E74" s="374"/>
      <c r="F74" s="330"/>
      <c r="G74" s="376"/>
      <c r="H74" s="374"/>
      <c r="I74" s="376"/>
      <c r="J74" s="376"/>
      <c r="K74" s="374"/>
      <c r="L74" s="649"/>
      <c r="M74" s="649"/>
      <c r="N74" s="374"/>
      <c r="O74" s="374"/>
      <c r="P74" s="347"/>
      <c r="Q74" s="358"/>
      <c r="R74" s="251" t="str">
        <f t="shared" si="0"/>
        <v/>
      </c>
      <c r="S74" s="310" t="str">
        <f t="shared" si="1"/>
        <v/>
      </c>
      <c r="T74" s="310" t="str">
        <f t="shared" si="2"/>
        <v/>
      </c>
      <c r="U74" s="310" t="str">
        <f t="shared" si="3"/>
        <v/>
      </c>
      <c r="V74" s="310" t="str">
        <f t="shared" si="4"/>
        <v/>
      </c>
      <c r="W74" s="310"/>
      <c r="X74" s="310" t="str">
        <f t="shared" si="5"/>
        <v/>
      </c>
      <c r="Y74" s="310" t="str">
        <f t="shared" ca="1" si="6"/>
        <v/>
      </c>
      <c r="Z74" s="310" t="str">
        <f t="shared" si="8"/>
        <v/>
      </c>
      <c r="AA74" s="310" t="str">
        <f t="shared" si="9"/>
        <v/>
      </c>
      <c r="AB74" s="310" t="str">
        <f t="shared" si="10"/>
        <v/>
      </c>
      <c r="AC74" s="310" t="str">
        <f t="shared" si="7"/>
        <v/>
      </c>
      <c r="AD74" s="241" t="str">
        <f t="shared" si="11"/>
        <v/>
      </c>
      <c r="AE74" s="354" t="str">
        <f t="shared" si="12"/>
        <v/>
      </c>
      <c r="AF74" s="310"/>
      <c r="AG74" s="241"/>
      <c r="AH74" s="241"/>
      <c r="AI74" s="250"/>
      <c r="AJ74" s="250"/>
      <c r="AK74" s="250"/>
    </row>
    <row r="75" spans="1:37" ht="15.75" customHeight="1" thickBot="1">
      <c r="A75" s="747"/>
      <c r="B75" s="748"/>
      <c r="C75" s="748"/>
      <c r="D75" s="748"/>
      <c r="E75" s="374"/>
      <c r="F75" s="330"/>
      <c r="G75" s="376"/>
      <c r="H75" s="374"/>
      <c r="I75" s="376"/>
      <c r="J75" s="376"/>
      <c r="K75" s="374"/>
      <c r="L75" s="649"/>
      <c r="M75" s="649"/>
      <c r="N75" s="374"/>
      <c r="O75" s="374"/>
      <c r="P75" s="347"/>
      <c r="Q75" s="358"/>
      <c r="R75" s="251" t="str">
        <f t="shared" si="0"/>
        <v/>
      </c>
      <c r="S75" s="310" t="str">
        <f t="shared" si="1"/>
        <v/>
      </c>
      <c r="T75" s="310" t="str">
        <f t="shared" si="2"/>
        <v/>
      </c>
      <c r="U75" s="310" t="str">
        <f t="shared" si="3"/>
        <v/>
      </c>
      <c r="V75" s="310" t="str">
        <f t="shared" si="4"/>
        <v/>
      </c>
      <c r="W75" s="310"/>
      <c r="X75" s="310" t="str">
        <f t="shared" si="5"/>
        <v/>
      </c>
      <c r="Y75" s="310" t="str">
        <f t="shared" ca="1" si="6"/>
        <v/>
      </c>
      <c r="Z75" s="310" t="str">
        <f t="shared" si="8"/>
        <v/>
      </c>
      <c r="AA75" s="310" t="str">
        <f t="shared" si="9"/>
        <v/>
      </c>
      <c r="AB75" s="310" t="str">
        <f t="shared" si="10"/>
        <v/>
      </c>
      <c r="AC75" s="310" t="str">
        <f t="shared" si="7"/>
        <v/>
      </c>
      <c r="AD75" s="241" t="str">
        <f t="shared" si="11"/>
        <v/>
      </c>
      <c r="AE75" s="354" t="str">
        <f t="shared" si="12"/>
        <v/>
      </c>
      <c r="AF75" s="310"/>
      <c r="AG75" s="241"/>
      <c r="AH75" s="241"/>
      <c r="AI75" s="250"/>
      <c r="AJ75" s="250"/>
      <c r="AK75" s="250"/>
    </row>
    <row r="76" spans="1:37" ht="15.75" customHeight="1" thickBot="1">
      <c r="A76" s="747"/>
      <c r="B76" s="748"/>
      <c r="C76" s="748"/>
      <c r="D76" s="748"/>
      <c r="E76" s="374"/>
      <c r="F76" s="330"/>
      <c r="G76" s="376"/>
      <c r="H76" s="374"/>
      <c r="I76" s="376"/>
      <c r="J76" s="376"/>
      <c r="K76" s="374"/>
      <c r="L76" s="649"/>
      <c r="M76" s="649"/>
      <c r="N76" s="374"/>
      <c r="O76" s="374"/>
      <c r="P76" s="347"/>
      <c r="Q76" s="358"/>
      <c r="R76" s="251" t="str">
        <f t="shared" si="0"/>
        <v/>
      </c>
      <c r="S76" s="310" t="str">
        <f t="shared" si="1"/>
        <v/>
      </c>
      <c r="T76" s="310" t="str">
        <f t="shared" si="2"/>
        <v/>
      </c>
      <c r="U76" s="310" t="str">
        <f t="shared" si="3"/>
        <v/>
      </c>
      <c r="V76" s="310" t="str">
        <f t="shared" si="4"/>
        <v/>
      </c>
      <c r="W76" s="310"/>
      <c r="X76" s="310" t="str">
        <f t="shared" si="5"/>
        <v/>
      </c>
      <c r="Y76" s="310" t="str">
        <f t="shared" ca="1" si="6"/>
        <v/>
      </c>
      <c r="Z76" s="310" t="str">
        <f t="shared" si="8"/>
        <v/>
      </c>
      <c r="AA76" s="310" t="str">
        <f t="shared" si="9"/>
        <v/>
      </c>
      <c r="AB76" s="310" t="str">
        <f t="shared" si="10"/>
        <v/>
      </c>
      <c r="AC76" s="310" t="str">
        <f t="shared" si="7"/>
        <v/>
      </c>
      <c r="AD76" s="241" t="str">
        <f t="shared" si="11"/>
        <v/>
      </c>
      <c r="AE76" s="354" t="str">
        <f t="shared" si="12"/>
        <v/>
      </c>
      <c r="AF76" s="310"/>
      <c r="AG76" s="241"/>
      <c r="AH76" s="241"/>
      <c r="AI76" s="250"/>
      <c r="AJ76" s="250"/>
      <c r="AK76" s="250"/>
    </row>
    <row r="77" spans="1:37" ht="15.75" customHeight="1" thickBot="1">
      <c r="A77" s="747"/>
      <c r="B77" s="748"/>
      <c r="C77" s="748"/>
      <c r="D77" s="748"/>
      <c r="E77" s="374"/>
      <c r="F77" s="330"/>
      <c r="G77" s="376"/>
      <c r="H77" s="374"/>
      <c r="I77" s="376"/>
      <c r="J77" s="376"/>
      <c r="K77" s="374"/>
      <c r="L77" s="649"/>
      <c r="M77" s="649"/>
      <c r="N77" s="374"/>
      <c r="O77" s="374"/>
      <c r="P77" s="347"/>
      <c r="Q77" s="358"/>
      <c r="R77" s="251" t="str">
        <f t="shared" si="0"/>
        <v/>
      </c>
      <c r="S77" s="310" t="str">
        <f t="shared" si="1"/>
        <v/>
      </c>
      <c r="T77" s="310" t="str">
        <f t="shared" si="2"/>
        <v/>
      </c>
      <c r="U77" s="310" t="str">
        <f t="shared" si="3"/>
        <v/>
      </c>
      <c r="V77" s="310" t="str">
        <f t="shared" si="4"/>
        <v/>
      </c>
      <c r="W77" s="310"/>
      <c r="X77" s="310" t="str">
        <f t="shared" si="5"/>
        <v/>
      </c>
      <c r="Y77" s="310" t="str">
        <f t="shared" ca="1" si="6"/>
        <v/>
      </c>
      <c r="Z77" s="310" t="str">
        <f t="shared" si="8"/>
        <v/>
      </c>
      <c r="AA77" s="310" t="str">
        <f t="shared" si="9"/>
        <v/>
      </c>
      <c r="AB77" s="310" t="str">
        <f t="shared" si="10"/>
        <v/>
      </c>
      <c r="AC77" s="310" t="str">
        <f t="shared" si="7"/>
        <v/>
      </c>
      <c r="AD77" s="241" t="str">
        <f t="shared" si="11"/>
        <v/>
      </c>
      <c r="AE77" s="354" t="str">
        <f t="shared" si="12"/>
        <v/>
      </c>
      <c r="AF77" s="310"/>
      <c r="AG77" s="241"/>
      <c r="AH77" s="241"/>
      <c r="AI77" s="250"/>
      <c r="AJ77" s="250"/>
      <c r="AK77" s="250"/>
    </row>
    <row r="78" spans="1:37" ht="15.75" customHeight="1" thickBot="1">
      <c r="A78" s="747"/>
      <c r="B78" s="748"/>
      <c r="C78" s="748"/>
      <c r="D78" s="748"/>
      <c r="E78" s="374"/>
      <c r="F78" s="330"/>
      <c r="G78" s="376"/>
      <c r="H78" s="374"/>
      <c r="I78" s="376"/>
      <c r="J78" s="376"/>
      <c r="K78" s="374"/>
      <c r="L78" s="649"/>
      <c r="M78" s="649"/>
      <c r="N78" s="374"/>
      <c r="O78" s="374"/>
      <c r="P78" s="347"/>
      <c r="Q78" s="358"/>
      <c r="R78" s="251" t="str">
        <f t="shared" si="0"/>
        <v/>
      </c>
      <c r="S78" s="310" t="str">
        <f t="shared" si="1"/>
        <v/>
      </c>
      <c r="T78" s="310" t="str">
        <f t="shared" si="2"/>
        <v/>
      </c>
      <c r="U78" s="310" t="str">
        <f t="shared" si="3"/>
        <v/>
      </c>
      <c r="V78" s="310" t="str">
        <f t="shared" si="4"/>
        <v/>
      </c>
      <c r="W78" s="310"/>
      <c r="X78" s="310" t="str">
        <f t="shared" si="5"/>
        <v/>
      </c>
      <c r="Y78" s="310" t="str">
        <f t="shared" ca="1" si="6"/>
        <v/>
      </c>
      <c r="Z78" s="310" t="str">
        <f t="shared" si="8"/>
        <v/>
      </c>
      <c r="AA78" s="310" t="str">
        <f t="shared" si="9"/>
        <v/>
      </c>
      <c r="AB78" s="310" t="str">
        <f t="shared" si="10"/>
        <v/>
      </c>
      <c r="AC78" s="310" t="str">
        <f t="shared" si="7"/>
        <v/>
      </c>
      <c r="AD78" s="241" t="str">
        <f t="shared" si="11"/>
        <v/>
      </c>
      <c r="AE78" s="354" t="str">
        <f t="shared" si="12"/>
        <v/>
      </c>
      <c r="AF78" s="310"/>
      <c r="AG78" s="241"/>
      <c r="AH78" s="241"/>
      <c r="AI78" s="250"/>
      <c r="AJ78" s="250"/>
      <c r="AK78" s="250"/>
    </row>
    <row r="79" spans="1:37" ht="15.75" customHeight="1" thickBot="1">
      <c r="A79" s="747"/>
      <c r="B79" s="748"/>
      <c r="C79" s="748"/>
      <c r="D79" s="748"/>
      <c r="E79" s="374"/>
      <c r="F79" s="330"/>
      <c r="G79" s="376"/>
      <c r="H79" s="374"/>
      <c r="I79" s="376"/>
      <c r="J79" s="376"/>
      <c r="K79" s="374"/>
      <c r="L79" s="649"/>
      <c r="M79" s="649"/>
      <c r="N79" s="374"/>
      <c r="O79" s="374"/>
      <c r="P79" s="347"/>
      <c r="Q79" s="358"/>
      <c r="R79" s="251" t="str">
        <f t="shared" si="0"/>
        <v/>
      </c>
      <c r="S79" s="310" t="str">
        <f t="shared" si="1"/>
        <v/>
      </c>
      <c r="T79" s="310" t="str">
        <f t="shared" si="2"/>
        <v/>
      </c>
      <c r="U79" s="310" t="str">
        <f t="shared" si="3"/>
        <v/>
      </c>
      <c r="V79" s="310" t="str">
        <f t="shared" si="4"/>
        <v/>
      </c>
      <c r="W79" s="310"/>
      <c r="X79" s="310" t="str">
        <f t="shared" si="5"/>
        <v/>
      </c>
      <c r="Y79" s="310" t="str">
        <f t="shared" ca="1" si="6"/>
        <v/>
      </c>
      <c r="Z79" s="310" t="str">
        <f t="shared" si="8"/>
        <v/>
      </c>
      <c r="AA79" s="310" t="str">
        <f t="shared" si="9"/>
        <v/>
      </c>
      <c r="AB79" s="310" t="str">
        <f t="shared" si="10"/>
        <v/>
      </c>
      <c r="AC79" s="310" t="str">
        <f t="shared" si="7"/>
        <v/>
      </c>
      <c r="AD79" s="241" t="str">
        <f t="shared" si="11"/>
        <v/>
      </c>
      <c r="AE79" s="354" t="str">
        <f t="shared" si="12"/>
        <v/>
      </c>
      <c r="AF79" s="310"/>
      <c r="AG79" s="241"/>
      <c r="AH79" s="241"/>
      <c r="AI79" s="250"/>
      <c r="AJ79" s="250"/>
      <c r="AK79" s="250"/>
    </row>
    <row r="80" spans="1:37" ht="15.75" customHeight="1" thickBot="1">
      <c r="A80" s="747"/>
      <c r="B80" s="748"/>
      <c r="C80" s="748"/>
      <c r="D80" s="748"/>
      <c r="E80" s="374"/>
      <c r="F80" s="330"/>
      <c r="G80" s="376"/>
      <c r="H80" s="374"/>
      <c r="I80" s="376"/>
      <c r="J80" s="376"/>
      <c r="K80" s="374"/>
      <c r="L80" s="649"/>
      <c r="M80" s="649"/>
      <c r="N80" s="374"/>
      <c r="O80" s="374"/>
      <c r="P80" s="347"/>
      <c r="Q80" s="358"/>
      <c r="R80" s="251" t="str">
        <f t="shared" si="0"/>
        <v/>
      </c>
      <c r="S80" s="310" t="str">
        <f t="shared" si="1"/>
        <v/>
      </c>
      <c r="T80" s="310" t="str">
        <f t="shared" si="2"/>
        <v/>
      </c>
      <c r="U80" s="310" t="str">
        <f t="shared" si="3"/>
        <v/>
      </c>
      <c r="V80" s="310" t="str">
        <f t="shared" si="4"/>
        <v/>
      </c>
      <c r="W80" s="310"/>
      <c r="X80" s="310" t="str">
        <f t="shared" si="5"/>
        <v/>
      </c>
      <c r="Y80" s="310" t="str">
        <f t="shared" ca="1" si="6"/>
        <v/>
      </c>
      <c r="Z80" s="310" t="str">
        <f t="shared" si="8"/>
        <v/>
      </c>
      <c r="AA80" s="310" t="str">
        <f t="shared" si="9"/>
        <v/>
      </c>
      <c r="AB80" s="310" t="str">
        <f t="shared" si="10"/>
        <v/>
      </c>
      <c r="AC80" s="310" t="str">
        <f t="shared" si="7"/>
        <v/>
      </c>
      <c r="AD80" s="241" t="str">
        <f t="shared" si="11"/>
        <v/>
      </c>
      <c r="AE80" s="354" t="str">
        <f t="shared" si="12"/>
        <v/>
      </c>
      <c r="AF80" s="310"/>
      <c r="AG80" s="241"/>
      <c r="AH80" s="241"/>
      <c r="AI80" s="250"/>
      <c r="AJ80" s="250"/>
      <c r="AK80" s="250"/>
    </row>
    <row r="81" spans="1:37" ht="15.75" customHeight="1" thickBot="1">
      <c r="A81" s="958"/>
      <c r="B81" s="959"/>
      <c r="C81" s="959"/>
      <c r="D81" s="959"/>
      <c r="E81" s="375"/>
      <c r="F81" s="331"/>
      <c r="G81" s="376"/>
      <c r="H81" s="375"/>
      <c r="I81" s="376"/>
      <c r="J81" s="376"/>
      <c r="K81" s="374"/>
      <c r="L81" s="884"/>
      <c r="M81" s="884"/>
      <c r="N81" s="374"/>
      <c r="O81" s="374"/>
      <c r="P81" s="347"/>
      <c r="Q81" s="358"/>
      <c r="R81" s="251" t="str">
        <f t="shared" si="0"/>
        <v/>
      </c>
      <c r="S81" s="310" t="str">
        <f t="shared" si="1"/>
        <v/>
      </c>
      <c r="T81" s="310" t="str">
        <f t="shared" si="2"/>
        <v/>
      </c>
      <c r="U81" s="310" t="str">
        <f t="shared" si="3"/>
        <v/>
      </c>
      <c r="V81" s="310" t="str">
        <f t="shared" si="4"/>
        <v/>
      </c>
      <c r="W81" s="310"/>
      <c r="X81" s="310" t="str">
        <f t="shared" si="5"/>
        <v/>
      </c>
      <c r="Y81" s="310" t="str">
        <f t="shared" ca="1" si="6"/>
        <v/>
      </c>
      <c r="Z81" s="310" t="str">
        <f t="shared" si="8"/>
        <v/>
      </c>
      <c r="AA81" s="310" t="str">
        <f t="shared" si="9"/>
        <v/>
      </c>
      <c r="AB81" s="310" t="str">
        <f t="shared" si="10"/>
        <v/>
      </c>
      <c r="AC81" s="310" t="str">
        <f t="shared" si="7"/>
        <v/>
      </c>
      <c r="AD81" s="241" t="str">
        <f t="shared" si="11"/>
        <v/>
      </c>
      <c r="AE81" s="354" t="str">
        <f t="shared" si="12"/>
        <v/>
      </c>
      <c r="AF81" s="310"/>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 ca="1">COUNTIF(Std2ColBOutsideReviewPeriod,"=Y")</f>
        <v>0</v>
      </c>
      <c r="Y82" s="241">
        <f>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 ca="1">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102"/>
      <c r="N84" s="27"/>
      <c r="O84" s="27"/>
      <c r="P84" s="27"/>
      <c r="Q84" s="27"/>
      <c r="Z84" s="311">
        <f>COUNTIF(STD_II_COL_CE,"=E")</f>
        <v>0</v>
      </c>
      <c r="AA84" s="311"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102"/>
      <c r="O85" s="27"/>
      <c r="P85" s="27"/>
      <c r="Q85" s="27"/>
      <c r="Z85" s="311">
        <f>COUNTIF(STD_II_COL_CE,"=~?")</f>
        <v>0</v>
      </c>
      <c r="AA85" s="311"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102"/>
      <c r="N86" s="27"/>
      <c r="O86" s="27"/>
      <c r="P86" s="27"/>
      <c r="Q86" s="27"/>
      <c r="AA86" s="311" t="b">
        <f>IF(Std2ColFNoCount&gt;0,TRUE,FALSE)</f>
        <v>0</v>
      </c>
    </row>
    <row r="87" spans="1:37" ht="15.75" hidden="1" thickBot="1">
      <c r="A87" s="914" t="s">
        <v>799</v>
      </c>
      <c r="B87" s="915"/>
      <c r="C87" s="915"/>
      <c r="D87" s="915"/>
      <c r="E87" s="915"/>
      <c r="F87" s="915"/>
      <c r="G87" s="915"/>
      <c r="H87" s="915"/>
      <c r="I87" s="915"/>
      <c r="J87" s="916"/>
      <c r="K87" s="912"/>
      <c r="L87" s="913"/>
      <c r="M87" s="102"/>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102"/>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ht="33.75" customHeight="1" thickBot="1">
      <c r="A103" s="893" t="s">
        <v>811</v>
      </c>
      <c r="B103" s="894"/>
      <c r="C103" s="894"/>
      <c r="D103" s="894"/>
      <c r="E103" s="894"/>
      <c r="F103" s="894"/>
      <c r="G103" s="894"/>
      <c r="H103" s="894"/>
      <c r="I103" s="894"/>
      <c r="J103" s="894"/>
      <c r="K103" s="894"/>
      <c r="L103" s="895"/>
      <c r="M103" s="17"/>
      <c r="N103" s="17"/>
      <c r="O103" s="17"/>
      <c r="P103" s="17"/>
      <c r="Q103" s="17"/>
    </row>
    <row r="104" spans="1:18"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ht="16.5" customHeight="1" thickBot="1">
      <c r="A106" s="653"/>
      <c r="B106" s="654"/>
      <c r="C106" s="654"/>
      <c r="D106" s="674"/>
      <c r="E106" s="654"/>
      <c r="F106" s="675"/>
      <c r="G106" s="674"/>
      <c r="H106" s="654"/>
      <c r="I106" s="675"/>
      <c r="J106" s="155"/>
      <c r="K106" s="155"/>
      <c r="L106" s="326"/>
      <c r="M106" s="327"/>
      <c r="N106" s="17"/>
      <c r="O106" s="17"/>
      <c r="P106" s="17"/>
      <c r="Q106" s="344" t="str">
        <f>IF(AND(A106&lt;&gt;"",M106=""),"E",IF(AND(M106&lt;&gt;"",A106=""),"E",""))</f>
        <v/>
      </c>
    </row>
    <row r="107" spans="1:18" ht="16.5" customHeight="1" thickBot="1">
      <c r="A107" s="653"/>
      <c r="B107" s="654"/>
      <c r="C107" s="654"/>
      <c r="D107" s="674"/>
      <c r="E107" s="654"/>
      <c r="F107" s="675"/>
      <c r="G107" s="674"/>
      <c r="H107" s="654"/>
      <c r="I107" s="675"/>
      <c r="J107" s="155"/>
      <c r="K107" s="155"/>
      <c r="L107" s="326"/>
      <c r="M107" s="327"/>
      <c r="N107" s="17"/>
      <c r="O107" s="17"/>
      <c r="P107" s="17"/>
      <c r="Q107" s="344" t="str">
        <f t="shared" ref="Q107:Q119" si="13">IF(AND(A107&lt;&gt;"",M107=""),"E",IF(AND(M107&lt;&gt;"",A107=""),"E",""))</f>
        <v/>
      </c>
    </row>
    <row r="108" spans="1:18" ht="16.5" customHeight="1" thickBot="1">
      <c r="A108" s="653"/>
      <c r="B108" s="654"/>
      <c r="C108" s="654"/>
      <c r="D108" s="674"/>
      <c r="E108" s="654"/>
      <c r="F108" s="675"/>
      <c r="G108" s="674"/>
      <c r="H108" s="654"/>
      <c r="I108" s="675"/>
      <c r="J108" s="155"/>
      <c r="K108" s="155"/>
      <c r="L108" s="326"/>
      <c r="M108" s="327"/>
      <c r="N108" s="17"/>
      <c r="O108" s="17"/>
      <c r="P108" s="17"/>
      <c r="Q108" s="344" t="str">
        <f t="shared" si="13"/>
        <v/>
      </c>
    </row>
    <row r="109" spans="1:18" ht="16.5" customHeight="1" thickBot="1">
      <c r="A109" s="653"/>
      <c r="B109" s="654"/>
      <c r="C109" s="654"/>
      <c r="D109" s="674"/>
      <c r="E109" s="654"/>
      <c r="F109" s="675"/>
      <c r="G109" s="674"/>
      <c r="H109" s="654"/>
      <c r="I109" s="675"/>
      <c r="J109" s="155"/>
      <c r="K109" s="155"/>
      <c r="L109" s="326"/>
      <c r="M109" s="327"/>
      <c r="N109" s="17"/>
      <c r="O109" s="17"/>
      <c r="P109" s="17"/>
      <c r="Q109" s="344" t="str">
        <f t="shared" si="13"/>
        <v/>
      </c>
    </row>
    <row r="110" spans="1:18" ht="16.5" customHeight="1" thickBot="1">
      <c r="A110" s="653"/>
      <c r="B110" s="654"/>
      <c r="C110" s="654"/>
      <c r="D110" s="674"/>
      <c r="E110" s="654"/>
      <c r="F110" s="675"/>
      <c r="G110" s="674"/>
      <c r="H110" s="654"/>
      <c r="I110" s="675"/>
      <c r="J110" s="155"/>
      <c r="K110" s="155"/>
      <c r="L110" s="326"/>
      <c r="M110" s="327"/>
      <c r="N110" s="17"/>
      <c r="O110" s="17"/>
      <c r="P110" s="17"/>
      <c r="Q110" s="344" t="str">
        <f t="shared" si="13"/>
        <v/>
      </c>
    </row>
    <row r="111" spans="1:18" ht="16.5" customHeight="1" thickBot="1">
      <c r="A111" s="653"/>
      <c r="B111" s="654"/>
      <c r="C111" s="654"/>
      <c r="D111" s="674"/>
      <c r="E111" s="654"/>
      <c r="F111" s="675"/>
      <c r="G111" s="674"/>
      <c r="H111" s="654"/>
      <c r="I111" s="675"/>
      <c r="J111" s="155"/>
      <c r="K111" s="155"/>
      <c r="L111" s="326"/>
      <c r="M111" s="327"/>
      <c r="N111" s="17"/>
      <c r="O111" s="17"/>
      <c r="P111" s="17"/>
      <c r="Q111" s="344" t="str">
        <f t="shared" si="13"/>
        <v/>
      </c>
    </row>
    <row r="112" spans="1:18" ht="16.5" customHeight="1" thickBot="1">
      <c r="A112" s="653"/>
      <c r="B112" s="654"/>
      <c r="C112" s="654"/>
      <c r="D112" s="674"/>
      <c r="E112" s="654"/>
      <c r="F112" s="675"/>
      <c r="G112" s="674"/>
      <c r="H112" s="654"/>
      <c r="I112" s="675"/>
      <c r="J112" s="155"/>
      <c r="K112" s="155"/>
      <c r="L112" s="326"/>
      <c r="M112" s="327"/>
      <c r="N112" s="17"/>
      <c r="O112" s="17"/>
      <c r="P112" s="17"/>
      <c r="Q112" s="344" t="str">
        <f t="shared" si="13"/>
        <v/>
      </c>
    </row>
    <row r="113" spans="1:18" ht="16.5" customHeight="1" thickBot="1">
      <c r="A113" s="653"/>
      <c r="B113" s="654"/>
      <c r="C113" s="654"/>
      <c r="D113" s="674"/>
      <c r="E113" s="654"/>
      <c r="F113" s="675"/>
      <c r="G113" s="674"/>
      <c r="H113" s="654"/>
      <c r="I113" s="675"/>
      <c r="J113" s="155"/>
      <c r="K113" s="155"/>
      <c r="L113" s="326"/>
      <c r="M113" s="327"/>
      <c r="N113" s="17"/>
      <c r="O113" s="17"/>
      <c r="P113" s="17"/>
      <c r="Q113" s="344" t="str">
        <f t="shared" si="13"/>
        <v/>
      </c>
    </row>
    <row r="114" spans="1:18" ht="16.5" customHeight="1" thickBot="1">
      <c r="A114" s="653"/>
      <c r="B114" s="654"/>
      <c r="C114" s="654"/>
      <c r="D114" s="674"/>
      <c r="E114" s="654"/>
      <c r="F114" s="675"/>
      <c r="G114" s="674"/>
      <c r="H114" s="654"/>
      <c r="I114" s="675"/>
      <c r="J114" s="155"/>
      <c r="K114" s="155"/>
      <c r="L114" s="326"/>
      <c r="M114" s="327"/>
      <c r="N114" s="17"/>
      <c r="O114" s="17"/>
      <c r="P114" s="17"/>
      <c r="Q114" s="344" t="str">
        <f t="shared" si="13"/>
        <v/>
      </c>
    </row>
    <row r="115" spans="1:18" ht="16.5" customHeight="1" thickBot="1">
      <c r="A115" s="653"/>
      <c r="B115" s="654"/>
      <c r="C115" s="654"/>
      <c r="D115" s="674"/>
      <c r="E115" s="654"/>
      <c r="F115" s="675"/>
      <c r="G115" s="674"/>
      <c r="H115" s="654"/>
      <c r="I115" s="675"/>
      <c r="J115" s="155"/>
      <c r="K115" s="155"/>
      <c r="L115" s="326"/>
      <c r="M115" s="327"/>
      <c r="N115" s="17"/>
      <c r="O115" s="17"/>
      <c r="P115" s="17"/>
      <c r="Q115" s="344" t="str">
        <f t="shared" si="13"/>
        <v/>
      </c>
    </row>
    <row r="116" spans="1:18" ht="16.5" customHeight="1" thickBot="1">
      <c r="A116" s="653"/>
      <c r="B116" s="654"/>
      <c r="C116" s="654"/>
      <c r="D116" s="674"/>
      <c r="E116" s="654"/>
      <c r="F116" s="675"/>
      <c r="G116" s="674"/>
      <c r="H116" s="654"/>
      <c r="I116" s="675"/>
      <c r="J116" s="155"/>
      <c r="K116" s="155"/>
      <c r="L116" s="326"/>
      <c r="M116" s="327"/>
      <c r="N116" s="17"/>
      <c r="O116" s="17"/>
      <c r="P116" s="17"/>
      <c r="Q116" s="344" t="str">
        <f t="shared" si="13"/>
        <v/>
      </c>
    </row>
    <row r="117" spans="1:18" ht="16.5" customHeight="1" thickBot="1">
      <c r="A117" s="653"/>
      <c r="B117" s="654"/>
      <c r="C117" s="654"/>
      <c r="D117" s="674"/>
      <c r="E117" s="654"/>
      <c r="F117" s="675"/>
      <c r="G117" s="674"/>
      <c r="H117" s="654"/>
      <c r="I117" s="675"/>
      <c r="J117" s="155"/>
      <c r="K117" s="155"/>
      <c r="L117" s="326"/>
      <c r="M117" s="327"/>
      <c r="N117" s="17"/>
      <c r="O117" s="17"/>
      <c r="P117" s="17"/>
      <c r="Q117" s="344" t="str">
        <f t="shared" si="13"/>
        <v/>
      </c>
    </row>
    <row r="118" spans="1:18" ht="16.5" customHeight="1" thickBot="1">
      <c r="A118" s="653"/>
      <c r="B118" s="654"/>
      <c r="C118" s="654"/>
      <c r="D118" s="674"/>
      <c r="E118" s="654"/>
      <c r="F118" s="675"/>
      <c r="G118" s="674"/>
      <c r="H118" s="654"/>
      <c r="I118" s="675"/>
      <c r="J118" s="155"/>
      <c r="K118" s="155"/>
      <c r="L118" s="326"/>
      <c r="M118" s="327"/>
      <c r="N118" s="17"/>
      <c r="O118" s="17"/>
      <c r="P118" s="17"/>
      <c r="Q118" s="344" t="str">
        <f t="shared" si="13"/>
        <v/>
      </c>
    </row>
    <row r="119" spans="1:18" ht="16.5" customHeight="1" thickBot="1">
      <c r="A119" s="653"/>
      <c r="B119" s="654"/>
      <c r="C119" s="654"/>
      <c r="D119" s="674"/>
      <c r="E119" s="654"/>
      <c r="F119" s="675"/>
      <c r="G119" s="674"/>
      <c r="H119" s="654"/>
      <c r="I119" s="675"/>
      <c r="J119" s="155"/>
      <c r="K119" s="155"/>
      <c r="L119" s="326"/>
      <c r="M119" s="327"/>
      <c r="N119" s="17"/>
      <c r="O119" s="17"/>
      <c r="P119" s="17"/>
      <c r="Q119" s="344" t="str">
        <f t="shared" si="13"/>
        <v/>
      </c>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791"/>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2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2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27" ht="16.5" customHeight="1" thickBot="1">
      <c r="A131" s="592" t="s">
        <v>841</v>
      </c>
      <c r="B131" s="593"/>
      <c r="C131" s="593"/>
      <c r="D131" s="593"/>
      <c r="E131" s="593"/>
      <c r="F131" s="593"/>
      <c r="G131" s="593"/>
      <c r="H131" s="593"/>
      <c r="I131" s="593"/>
      <c r="J131" s="593"/>
      <c r="K131" s="737"/>
      <c r="L131" s="621"/>
      <c r="M131" s="26"/>
      <c r="N131" s="26"/>
      <c r="O131" s="26"/>
      <c r="P131" s="26"/>
      <c r="Q131" s="26"/>
    </row>
    <row r="132" spans="1:27" ht="31.5" customHeight="1" thickBot="1">
      <c r="A132" s="592" t="s">
        <v>842</v>
      </c>
      <c r="B132" s="593"/>
      <c r="C132" s="593"/>
      <c r="D132" s="593"/>
      <c r="E132" s="593"/>
      <c r="F132" s="593"/>
      <c r="G132" s="593"/>
      <c r="H132" s="593"/>
      <c r="I132" s="593"/>
      <c r="J132" s="593"/>
      <c r="K132" s="737"/>
      <c r="L132" s="621"/>
      <c r="M132" s="26"/>
      <c r="N132" s="26"/>
      <c r="O132" s="26"/>
      <c r="P132" s="26"/>
      <c r="Q132" s="26"/>
    </row>
    <row r="133" spans="1:27" ht="16.5" customHeight="1" thickBot="1">
      <c r="A133" s="592" t="s">
        <v>745</v>
      </c>
      <c r="B133" s="593"/>
      <c r="C133" s="593"/>
      <c r="D133" s="593"/>
      <c r="E133" s="593"/>
      <c r="F133" s="593"/>
      <c r="G133" s="593"/>
      <c r="H133" s="593"/>
      <c r="I133" s="593"/>
      <c r="J133" s="593"/>
      <c r="K133" s="737"/>
      <c r="L133" s="621"/>
      <c r="M133" s="15"/>
      <c r="N133" s="15"/>
      <c r="O133" s="15"/>
      <c r="P133" s="15"/>
      <c r="Q133" s="15"/>
    </row>
    <row r="134" spans="1:27" s="168" customFormat="1" ht="16.5" customHeight="1" thickBot="1">
      <c r="A134" s="592" t="s">
        <v>768</v>
      </c>
      <c r="B134" s="593"/>
      <c r="C134" s="593"/>
      <c r="D134" s="593"/>
      <c r="E134" s="593"/>
      <c r="F134" s="593"/>
      <c r="G134" s="593"/>
      <c r="H134" s="593"/>
      <c r="I134" s="593"/>
      <c r="J134" s="593"/>
      <c r="K134" s="737"/>
      <c r="L134" s="621"/>
      <c r="M134" s="15"/>
      <c r="N134" s="15"/>
      <c r="O134" s="15"/>
      <c r="P134" s="15"/>
      <c r="Q134" s="15"/>
      <c r="R134" s="354"/>
      <c r="X134" s="311"/>
      <c r="Z134" s="311"/>
      <c r="AA134" s="311"/>
    </row>
    <row r="135" spans="1:2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2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27" ht="16.5" hidden="1" customHeight="1" thickBot="1">
      <c r="A137" s="40" t="s">
        <v>50</v>
      </c>
      <c r="B137" s="841" t="s">
        <v>117</v>
      </c>
      <c r="C137" s="842"/>
      <c r="D137" s="842"/>
      <c r="E137" s="842"/>
      <c r="F137" s="842"/>
      <c r="G137" s="842"/>
      <c r="H137" s="842"/>
      <c r="I137" s="842"/>
      <c r="J137" s="842"/>
      <c r="K137" s="842"/>
      <c r="L137" s="843"/>
      <c r="M137" s="24"/>
      <c r="N137" s="24"/>
      <c r="O137" s="24"/>
      <c r="P137" s="24"/>
      <c r="Q137" s="24"/>
    </row>
    <row r="138" spans="1:27" ht="26.25" hidden="1" customHeight="1" thickTop="1" thickBot="1">
      <c r="A138" s="847" t="s">
        <v>118</v>
      </c>
      <c r="B138" s="848"/>
      <c r="C138" s="848"/>
      <c r="D138" s="848"/>
      <c r="E138" s="848"/>
      <c r="F138" s="848"/>
      <c r="G138" s="848"/>
      <c r="H138" s="848"/>
      <c r="I138" s="848"/>
      <c r="J138" s="849"/>
      <c r="K138" s="776" t="s">
        <v>620</v>
      </c>
      <c r="L138" s="777"/>
      <c r="M138" s="10"/>
      <c r="N138" s="10"/>
      <c r="O138" s="10"/>
      <c r="P138" s="10"/>
      <c r="Q138" s="10"/>
    </row>
    <row r="139" spans="1:27" ht="15.75" hidden="1" customHeight="1" thickBot="1">
      <c r="A139" s="592" t="s">
        <v>119</v>
      </c>
      <c r="B139" s="593"/>
      <c r="C139" s="593"/>
      <c r="D139" s="593"/>
      <c r="E139" s="593"/>
      <c r="F139" s="593"/>
      <c r="G139" s="593"/>
      <c r="H139" s="593"/>
      <c r="I139" s="593"/>
      <c r="J139" s="594"/>
      <c r="K139" s="737" t="s">
        <v>620</v>
      </c>
      <c r="L139" s="621"/>
      <c r="M139" s="10"/>
      <c r="N139" s="10"/>
      <c r="O139" s="10"/>
      <c r="P139" s="10"/>
      <c r="Q139" s="10"/>
    </row>
    <row r="140" spans="1:27" ht="16.5" hidden="1" customHeight="1" thickBot="1">
      <c r="A140" s="592" t="s">
        <v>120</v>
      </c>
      <c r="B140" s="593"/>
      <c r="C140" s="593"/>
      <c r="D140" s="593"/>
      <c r="E140" s="593"/>
      <c r="F140" s="593"/>
      <c r="G140" s="593"/>
      <c r="H140" s="593"/>
      <c r="I140" s="593"/>
      <c r="J140" s="594"/>
      <c r="K140" s="737" t="s">
        <v>620</v>
      </c>
      <c r="L140" s="621"/>
      <c r="M140" s="31"/>
      <c r="N140" s="31"/>
      <c r="O140" s="31"/>
      <c r="P140" s="31"/>
      <c r="Q140" s="31"/>
    </row>
    <row r="141" spans="1:27" ht="16.5" hidden="1" customHeight="1" thickBot="1">
      <c r="A141" s="668" t="s">
        <v>121</v>
      </c>
      <c r="B141" s="669"/>
      <c r="C141" s="669"/>
      <c r="D141" s="669"/>
      <c r="E141" s="669"/>
      <c r="F141" s="669"/>
      <c r="G141" s="669"/>
      <c r="H141" s="669"/>
      <c r="I141" s="669"/>
      <c r="J141" s="670"/>
      <c r="K141" s="590" t="s">
        <v>620</v>
      </c>
      <c r="L141" s="591"/>
      <c r="M141" s="31"/>
      <c r="N141" s="31"/>
      <c r="O141" s="31"/>
      <c r="P141" s="31"/>
      <c r="Q141" s="31"/>
    </row>
    <row r="142" spans="1:27" ht="32.25" hidden="1" customHeight="1" thickTop="1" thickBot="1">
      <c r="A142" s="671" t="s">
        <v>686</v>
      </c>
      <c r="B142" s="672"/>
      <c r="C142" s="672"/>
      <c r="D142" s="672"/>
      <c r="E142" s="672"/>
      <c r="F142" s="672"/>
      <c r="G142" s="672"/>
      <c r="H142" s="672"/>
      <c r="I142" s="672"/>
      <c r="J142" s="673"/>
      <c r="K142" s="722" t="str">
        <f>IF(TRUE, "NA",IF(Std4NotCalc="","",IF(Std4NotCalc="N","NA", IF(COUNTIF(K138:K141, "") &gt; 0, "", IF(COUNTIF(K138:K141, "N") &gt; 0, "N", IF(COUNTIF(K138:K141, "Y") &gt; 0, "Y", ""))))))</f>
        <v>NA</v>
      </c>
      <c r="L142" s="723"/>
      <c r="M142" s="18"/>
      <c r="N142" s="15"/>
      <c r="O142" s="15"/>
      <c r="P142" s="15"/>
      <c r="Q142" s="15"/>
    </row>
    <row r="143" spans="1:27" ht="30" customHeight="1" thickTop="1" thickBot="1">
      <c r="A143" s="655" t="s">
        <v>802</v>
      </c>
      <c r="B143" s="786" t="s">
        <v>770</v>
      </c>
      <c r="C143" s="787"/>
      <c r="D143" s="787"/>
      <c r="E143" s="787"/>
      <c r="F143" s="787"/>
      <c r="G143" s="787"/>
      <c r="H143" s="787"/>
      <c r="I143" s="787"/>
      <c r="J143" s="788"/>
      <c r="K143" s="624" t="s">
        <v>272</v>
      </c>
      <c r="L143" s="625"/>
      <c r="M143" s="18"/>
      <c r="N143" s="15"/>
      <c r="O143" s="15"/>
      <c r="P143" s="15"/>
      <c r="Q143" s="15"/>
    </row>
    <row r="144" spans="1:27" ht="30" customHeight="1" thickTop="1" thickBot="1">
      <c r="A144" s="656"/>
      <c r="B144" s="786"/>
      <c r="C144" s="787"/>
      <c r="D144" s="787"/>
      <c r="E144" s="787"/>
      <c r="F144" s="787"/>
      <c r="G144" s="787"/>
      <c r="H144" s="787"/>
      <c r="I144" s="787"/>
      <c r="J144" s="788"/>
      <c r="K144" s="662"/>
      <c r="L144" s="663"/>
      <c r="M144" s="18"/>
      <c r="N144" s="15"/>
      <c r="O144" s="15"/>
      <c r="P144" s="15"/>
      <c r="Q144" s="15"/>
    </row>
    <row r="145" spans="1:27" ht="14.25" customHeight="1" thickTop="1">
      <c r="A145" s="657"/>
      <c r="B145" s="659" t="s">
        <v>844</v>
      </c>
      <c r="C145" s="660"/>
      <c r="D145" s="660"/>
      <c r="E145" s="660"/>
      <c r="F145" s="660"/>
      <c r="G145" s="660"/>
      <c r="H145" s="660"/>
      <c r="I145" s="660"/>
      <c r="J145" s="661"/>
      <c r="K145" s="664"/>
      <c r="L145" s="665"/>
      <c r="M145" s="18"/>
      <c r="N145" s="15"/>
      <c r="O145" s="15"/>
      <c r="P145" s="15"/>
      <c r="Q145" s="15"/>
    </row>
    <row r="146" spans="1:27" ht="12.75" customHeight="1" thickBot="1">
      <c r="A146" s="658"/>
      <c r="B146" s="899" t="s">
        <v>804</v>
      </c>
      <c r="C146" s="900"/>
      <c r="D146" s="900"/>
      <c r="E146" s="900"/>
      <c r="F146" s="900"/>
      <c r="G146" s="900"/>
      <c r="H146" s="900"/>
      <c r="I146" s="900"/>
      <c r="J146" s="901"/>
      <c r="K146" s="666"/>
      <c r="L146" s="667"/>
      <c r="M146" s="18"/>
      <c r="N146" s="15"/>
      <c r="O146" s="15"/>
      <c r="P146" s="15"/>
      <c r="Q146" s="15"/>
    </row>
    <row r="147" spans="1:27"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27" ht="26.25" hidden="1" customHeight="1" thickBot="1">
      <c r="A148" s="905" t="s">
        <v>746</v>
      </c>
      <c r="B148" s="475"/>
      <c r="C148" s="475"/>
      <c r="D148" s="475"/>
      <c r="E148" s="475"/>
      <c r="F148" s="475"/>
      <c r="G148" s="475"/>
      <c r="H148" s="475"/>
      <c r="I148" s="475"/>
      <c r="J148" s="475"/>
      <c r="K148" s="475"/>
      <c r="L148" s="476"/>
      <c r="M148" s="18"/>
      <c r="N148" s="15"/>
      <c r="O148" s="15"/>
      <c r="P148" s="15"/>
      <c r="Q148" s="15"/>
    </row>
    <row r="149" spans="1:27" ht="17.25" hidden="1" customHeight="1" thickTop="1" thickBot="1">
      <c r="A149" s="682" t="s">
        <v>123</v>
      </c>
      <c r="B149" s="683"/>
      <c r="C149" s="683"/>
      <c r="D149" s="683"/>
      <c r="E149" s="683"/>
      <c r="F149" s="683"/>
      <c r="G149" s="683"/>
      <c r="H149" s="683"/>
      <c r="I149" s="683"/>
      <c r="J149" s="683"/>
      <c r="K149" s="599" t="s">
        <v>620</v>
      </c>
      <c r="L149" s="599"/>
      <c r="M149" s="24"/>
      <c r="N149" s="24"/>
      <c r="O149" s="24"/>
      <c r="P149" s="24"/>
      <c r="Q149" s="24"/>
    </row>
    <row r="150" spans="1:27" ht="16.5" hidden="1" customHeight="1" thickTop="1" thickBot="1">
      <c r="A150" s="597" t="s">
        <v>124</v>
      </c>
      <c r="B150" s="598"/>
      <c r="C150" s="598"/>
      <c r="D150" s="598"/>
      <c r="E150" s="598"/>
      <c r="F150" s="598"/>
      <c r="G150" s="598"/>
      <c r="H150" s="598"/>
      <c r="I150" s="598"/>
      <c r="J150" s="598"/>
      <c r="K150" s="599" t="s">
        <v>620</v>
      </c>
      <c r="L150" s="600"/>
      <c r="M150" s="18"/>
      <c r="N150" s="15"/>
      <c r="O150" s="15"/>
      <c r="P150" s="15"/>
      <c r="Q150" s="15"/>
    </row>
    <row r="151" spans="1:27" ht="16.5" hidden="1" customHeight="1" thickTop="1" thickBot="1">
      <c r="A151" s="597" t="s">
        <v>125</v>
      </c>
      <c r="B151" s="598"/>
      <c r="C151" s="598"/>
      <c r="D151" s="598"/>
      <c r="E151" s="598"/>
      <c r="F151" s="598"/>
      <c r="G151" s="598"/>
      <c r="H151" s="598"/>
      <c r="I151" s="598"/>
      <c r="J151" s="598"/>
      <c r="K151" s="599" t="s">
        <v>620</v>
      </c>
      <c r="L151" s="600"/>
      <c r="M151" s="18"/>
      <c r="N151" s="15"/>
      <c r="O151" s="15"/>
      <c r="P151" s="15"/>
      <c r="Q151" s="15"/>
    </row>
    <row r="152" spans="1:27" ht="16.5" hidden="1" customHeight="1" thickTop="1" thickBot="1">
      <c r="A152" s="597" t="s">
        <v>635</v>
      </c>
      <c r="B152" s="598"/>
      <c r="C152" s="598"/>
      <c r="D152" s="598"/>
      <c r="E152" s="598"/>
      <c r="F152" s="598"/>
      <c r="G152" s="598"/>
      <c r="H152" s="598"/>
      <c r="I152" s="598"/>
      <c r="J152" s="598"/>
      <c r="K152" s="595" t="s">
        <v>620</v>
      </c>
      <c r="L152" s="596"/>
      <c r="M152" s="23"/>
      <c r="N152" s="24"/>
      <c r="O152" s="24"/>
      <c r="P152" s="24"/>
      <c r="Q152" s="24"/>
    </row>
    <row r="153" spans="1:27" ht="15" hidden="1" customHeight="1" thickBot="1">
      <c r="A153" s="592" t="s">
        <v>126</v>
      </c>
      <c r="B153" s="593"/>
      <c r="C153" s="593"/>
      <c r="D153" s="593"/>
      <c r="E153" s="593"/>
      <c r="F153" s="593"/>
      <c r="G153" s="593"/>
      <c r="H153" s="593"/>
      <c r="I153" s="593"/>
      <c r="J153" s="594"/>
      <c r="K153" s="590"/>
      <c r="L153" s="591"/>
      <c r="M153" s="23"/>
      <c r="N153" s="24"/>
      <c r="O153" s="24"/>
      <c r="P153" s="24"/>
      <c r="Q153" s="24"/>
    </row>
    <row r="154" spans="1:27" s="168" customFormat="1" ht="15" hidden="1" customHeight="1" thickTop="1">
      <c r="A154" s="597" t="s">
        <v>624</v>
      </c>
      <c r="B154" s="598"/>
      <c r="C154" s="598"/>
      <c r="D154" s="598"/>
      <c r="E154" s="598"/>
      <c r="F154" s="598"/>
      <c r="G154" s="598"/>
      <c r="H154" s="598"/>
      <c r="I154" s="598"/>
      <c r="J154" s="598"/>
      <c r="K154" s="734" t="s">
        <v>620</v>
      </c>
      <c r="L154" s="735"/>
      <c r="M154" s="23"/>
      <c r="N154" s="24"/>
      <c r="O154" s="24"/>
      <c r="P154" s="24"/>
      <c r="Q154" s="24"/>
      <c r="R154" s="354"/>
      <c r="X154" s="311"/>
      <c r="Z154" s="311"/>
      <c r="AA154" s="311"/>
    </row>
    <row r="155" spans="1:27" s="168" customFormat="1" ht="15" hidden="1" customHeight="1" thickBot="1">
      <c r="A155" s="668" t="s">
        <v>625</v>
      </c>
      <c r="B155" s="669"/>
      <c r="C155" s="669"/>
      <c r="D155" s="669"/>
      <c r="E155" s="669"/>
      <c r="F155" s="669"/>
      <c r="G155" s="669"/>
      <c r="H155" s="669"/>
      <c r="I155" s="669"/>
      <c r="J155" s="670"/>
      <c r="K155" s="666"/>
      <c r="L155" s="667"/>
      <c r="M155" s="23"/>
      <c r="N155" s="24"/>
      <c r="O155" s="24"/>
      <c r="P155" s="24"/>
      <c r="Q155" s="24"/>
      <c r="R155" s="354"/>
      <c r="X155" s="311"/>
      <c r="Z155" s="311"/>
      <c r="AA155" s="311"/>
    </row>
    <row r="156" spans="1:27"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27" ht="32.25" customHeight="1" thickTop="1" thickBot="1">
      <c r="A157" s="902" t="s">
        <v>803</v>
      </c>
      <c r="B157" s="903"/>
      <c r="C157" s="903"/>
      <c r="D157" s="903"/>
      <c r="E157" s="903"/>
      <c r="F157" s="903"/>
      <c r="G157" s="903"/>
      <c r="H157" s="903"/>
      <c r="I157" s="903"/>
      <c r="J157" s="904"/>
      <c r="K157" s="839"/>
      <c r="L157" s="840"/>
      <c r="M157" s="23"/>
      <c r="N157" s="24"/>
      <c r="O157" s="24"/>
      <c r="P157" s="24"/>
      <c r="Q157" s="24"/>
    </row>
    <row r="158" spans="1:27" ht="17.25" hidden="1" customHeight="1" thickBot="1">
      <c r="A158" s="965" t="s">
        <v>636</v>
      </c>
      <c r="B158" s="966"/>
      <c r="C158" s="966"/>
      <c r="D158" s="966"/>
      <c r="E158" s="966"/>
      <c r="F158" s="966"/>
      <c r="G158" s="966"/>
      <c r="H158" s="966"/>
      <c r="I158" s="966"/>
      <c r="J158" s="966"/>
      <c r="K158" s="966"/>
      <c r="L158" s="967"/>
      <c r="M158" s="25"/>
      <c r="N158" s="26"/>
      <c r="O158" s="26"/>
      <c r="P158" s="26"/>
      <c r="Q158" s="26"/>
    </row>
    <row r="159" spans="1:27"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27"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Top="1" thickBot="1">
      <c r="A162" s="697" t="s">
        <v>127</v>
      </c>
      <c r="B162" s="698"/>
      <c r="C162" s="698"/>
      <c r="D162" s="698"/>
      <c r="E162" s="698"/>
      <c r="F162" s="698"/>
      <c r="G162" s="698"/>
      <c r="H162" s="698"/>
      <c r="I162" s="698"/>
      <c r="J162" s="698"/>
      <c r="K162" s="698"/>
      <c r="L162" s="699"/>
      <c r="M162" s="18"/>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18"/>
      <c r="N163" s="15"/>
      <c r="O163" s="15"/>
      <c r="P163" s="15"/>
      <c r="Q163" s="15"/>
    </row>
    <row r="164" spans="1:17" ht="16.5" customHeight="1" thickBot="1">
      <c r="A164" s="752"/>
      <c r="B164" s="795" t="s">
        <v>129</v>
      </c>
      <c r="C164" s="796"/>
      <c r="D164" s="796"/>
      <c r="E164" s="796"/>
      <c r="F164" s="796"/>
      <c r="G164" s="796"/>
      <c r="H164" s="796"/>
      <c r="I164" s="796"/>
      <c r="J164" s="796"/>
      <c r="K164" s="796"/>
      <c r="L164" s="797"/>
      <c r="M164" s="18"/>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18"/>
      <c r="N165" s="15"/>
      <c r="O165" s="15"/>
      <c r="P165" s="15"/>
      <c r="Q165" s="15"/>
    </row>
    <row r="166" spans="1:17" ht="16.5" customHeight="1" thickTop="1" thickBot="1">
      <c r="A166" s="819" t="s">
        <v>131</v>
      </c>
      <c r="B166" s="608"/>
      <c r="C166" s="608"/>
      <c r="D166" s="609"/>
      <c r="E166" s="607" t="s">
        <v>132</v>
      </c>
      <c r="F166" s="608"/>
      <c r="G166" s="609"/>
      <c r="H166" s="607" t="s">
        <v>133</v>
      </c>
      <c r="I166" s="608"/>
      <c r="J166" s="608"/>
      <c r="K166" s="608"/>
      <c r="L166" s="960"/>
      <c r="M166" s="18"/>
      <c r="N166" s="15"/>
      <c r="O166" s="15"/>
      <c r="P166" s="15"/>
      <c r="Q166" s="15"/>
    </row>
    <row r="167" spans="1:17" ht="48" customHeight="1" thickBot="1">
      <c r="A167" s="962" t="s">
        <v>134</v>
      </c>
      <c r="B167" s="793"/>
      <c r="C167" s="793"/>
      <c r="D167" s="794"/>
      <c r="E167" s="792" t="s">
        <v>135</v>
      </c>
      <c r="F167" s="793"/>
      <c r="G167" s="794"/>
      <c r="H167" s="792" t="s">
        <v>747</v>
      </c>
      <c r="I167" s="793"/>
      <c r="J167" s="793"/>
      <c r="K167" s="793"/>
      <c r="L167" s="961"/>
      <c r="M167" s="18"/>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18"/>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18"/>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18"/>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18"/>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18"/>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18"/>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18"/>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18"/>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27" ht="16.5" customHeight="1" thickBot="1">
      <c r="A177" s="657"/>
      <c r="B177" s="836" t="s">
        <v>273</v>
      </c>
      <c r="C177" s="837"/>
      <c r="D177" s="837"/>
      <c r="E177" s="837"/>
      <c r="F177" s="837"/>
      <c r="G177" s="837"/>
      <c r="H177" s="837"/>
      <c r="I177" s="837"/>
      <c r="J177" s="838"/>
      <c r="K177" s="756"/>
      <c r="L177" s="757"/>
      <c r="M177" s="34"/>
      <c r="N177" s="34"/>
      <c r="O177" s="34"/>
      <c r="P177" s="34"/>
      <c r="Q177" s="34"/>
    </row>
    <row r="178" spans="1:27"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27" s="50"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c r="X179" s="97"/>
      <c r="Z179" s="97"/>
      <c r="AA179" s="97"/>
    </row>
    <row r="180" spans="1:27" s="50" customFormat="1" ht="16.5" customHeight="1" thickBot="1">
      <c r="A180" s="810"/>
      <c r="B180" s="811"/>
      <c r="C180" s="811"/>
      <c r="D180" s="811"/>
      <c r="E180" s="811"/>
      <c r="F180" s="811"/>
      <c r="G180" s="811"/>
      <c r="H180" s="811"/>
      <c r="I180" s="811"/>
      <c r="J180" s="812"/>
      <c r="K180" s="51" t="s">
        <v>157</v>
      </c>
      <c r="L180" s="52" t="s">
        <v>158</v>
      </c>
      <c r="M180" s="51" t="s">
        <v>157</v>
      </c>
      <c r="N180" s="52" t="s">
        <v>158</v>
      </c>
      <c r="O180" s="51" t="s">
        <v>157</v>
      </c>
      <c r="P180" s="52" t="s">
        <v>158</v>
      </c>
      <c r="Q180" s="370" t="s">
        <v>157</v>
      </c>
      <c r="R180" s="359" t="s">
        <v>158</v>
      </c>
      <c r="X180" s="97"/>
      <c r="Z180" s="97"/>
      <c r="AA180" s="97"/>
    </row>
    <row r="181" spans="1:27" s="50" customFormat="1" ht="16.5" customHeight="1" thickBot="1">
      <c r="A181" s="810"/>
      <c r="B181" s="811"/>
      <c r="C181" s="811"/>
      <c r="D181" s="811"/>
      <c r="E181" s="811"/>
      <c r="F181" s="811"/>
      <c r="G181" s="811"/>
      <c r="H181" s="811"/>
      <c r="I181" s="811"/>
      <c r="J181" s="812"/>
      <c r="K181" s="156"/>
      <c r="L181" s="157"/>
      <c r="M181" s="156"/>
      <c r="N181" s="157"/>
      <c r="O181" s="156"/>
      <c r="P181" s="157"/>
      <c r="Q181" s="371"/>
      <c r="R181" s="360"/>
      <c r="X181" s="97"/>
      <c r="Z181" s="97"/>
      <c r="AA181" s="97"/>
    </row>
    <row r="182" spans="1:27" s="50"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c r="X182" s="97"/>
      <c r="Z182" s="97"/>
      <c r="AA182" s="97"/>
    </row>
    <row r="183" spans="1:27" s="50"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c r="X183" s="97"/>
      <c r="Z183" s="97"/>
      <c r="AA183" s="97"/>
    </row>
    <row r="184" spans="1:27" s="50"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c r="X184" s="97"/>
      <c r="Z184" s="97"/>
      <c r="AA184" s="97"/>
    </row>
    <row r="185" spans="1:27" s="50"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c r="X185" s="97"/>
      <c r="Z185" s="97"/>
      <c r="AA185" s="97"/>
    </row>
    <row r="186" spans="1:27" s="50"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c r="X186" s="97"/>
      <c r="Z186" s="97"/>
      <c r="AA186" s="97"/>
    </row>
    <row r="187" spans="1:27" s="50"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c r="X187" s="97"/>
      <c r="Z187" s="97"/>
      <c r="AA187" s="97"/>
    </row>
    <row r="188" spans="1:27" s="50"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c r="X188" s="97"/>
      <c r="Z188" s="97"/>
      <c r="AA188" s="97"/>
    </row>
    <row r="189" spans="1:27" s="50"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c r="X189" s="97"/>
      <c r="Z189" s="97"/>
      <c r="AA189" s="97"/>
    </row>
    <row r="190" spans="1:27" s="50"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c r="X190" s="97"/>
      <c r="Z190" s="97"/>
      <c r="AA190" s="97"/>
    </row>
    <row r="191" spans="1:27"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27"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7"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7" ht="47.25"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7" ht="19.5" customHeight="1" thickTop="1">
      <c r="A195" s="656"/>
      <c r="B195" s="833" t="s">
        <v>754</v>
      </c>
      <c r="C195" s="963"/>
      <c r="D195" s="963"/>
      <c r="E195" s="963"/>
      <c r="F195" s="963"/>
      <c r="G195" s="963"/>
      <c r="H195" s="963"/>
      <c r="I195" s="963"/>
      <c r="J195" s="964"/>
      <c r="K195" s="662"/>
      <c r="L195" s="663"/>
      <c r="M195" s="14"/>
      <c r="N195" s="21"/>
      <c r="O195" s="21"/>
      <c r="P195" s="21"/>
      <c r="Q195" s="21"/>
    </row>
    <row r="196" spans="1:17" ht="28.5" customHeight="1" thickBot="1">
      <c r="A196" s="658"/>
      <c r="B196" s="836" t="s">
        <v>771</v>
      </c>
      <c r="C196" s="837"/>
      <c r="D196" s="837"/>
      <c r="E196" s="837"/>
      <c r="F196" s="837"/>
      <c r="G196" s="837"/>
      <c r="H196" s="837"/>
      <c r="I196" s="837"/>
      <c r="J196" s="838"/>
      <c r="K196" s="666"/>
      <c r="L196" s="667"/>
      <c r="M196" s="14"/>
      <c r="N196" s="21"/>
      <c r="O196" s="21"/>
      <c r="P196" s="21"/>
      <c r="Q196" s="21"/>
    </row>
    <row r="197" spans="1:17"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7"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7" ht="26.25" customHeight="1" thickBot="1">
      <c r="A199" s="592" t="s">
        <v>755</v>
      </c>
      <c r="B199" s="593"/>
      <c r="C199" s="593"/>
      <c r="D199" s="593"/>
      <c r="E199" s="593"/>
      <c r="F199" s="593"/>
      <c r="G199" s="593"/>
      <c r="H199" s="593"/>
      <c r="I199" s="593"/>
      <c r="J199" s="593"/>
      <c r="K199" s="737"/>
      <c r="L199" s="621"/>
      <c r="M199" s="20"/>
      <c r="N199" s="17"/>
      <c r="O199" s="17"/>
      <c r="P199" s="17"/>
      <c r="Q199" s="17"/>
    </row>
    <row r="200" spans="1:17" ht="15.75" hidden="1" customHeight="1" thickBot="1">
      <c r="A200" s="592" t="s">
        <v>690</v>
      </c>
      <c r="B200" s="593"/>
      <c r="C200" s="593"/>
      <c r="D200" s="593"/>
      <c r="E200" s="593"/>
      <c r="F200" s="593"/>
      <c r="G200" s="593"/>
      <c r="H200" s="593"/>
      <c r="I200" s="593"/>
      <c r="J200" s="594"/>
      <c r="K200" s="993" t="s">
        <v>620</v>
      </c>
      <c r="L200" s="994"/>
      <c r="M200" s="20"/>
      <c r="N200" s="17"/>
      <c r="O200" s="17"/>
      <c r="P200" s="17"/>
      <c r="Q200" s="17"/>
    </row>
    <row r="201" spans="1:17" ht="15.75" hidden="1" customHeight="1" thickBot="1">
      <c r="A201" s="592" t="s">
        <v>169</v>
      </c>
      <c r="B201" s="593"/>
      <c r="C201" s="593"/>
      <c r="D201" s="593"/>
      <c r="E201" s="593"/>
      <c r="F201" s="593"/>
      <c r="G201" s="593"/>
      <c r="H201" s="593"/>
      <c r="I201" s="593"/>
      <c r="J201" s="594"/>
      <c r="K201" s="993" t="s">
        <v>620</v>
      </c>
      <c r="L201" s="994"/>
      <c r="M201" s="20"/>
      <c r="N201" s="17"/>
      <c r="O201" s="17"/>
      <c r="P201" s="17"/>
      <c r="Q201" s="17"/>
    </row>
    <row r="202" spans="1:17" ht="16.5" hidden="1" customHeight="1" thickBot="1">
      <c r="A202" s="668" t="s">
        <v>691</v>
      </c>
      <c r="B202" s="669"/>
      <c r="C202" s="669"/>
      <c r="D202" s="669"/>
      <c r="E202" s="669"/>
      <c r="F202" s="669"/>
      <c r="G202" s="669"/>
      <c r="H202" s="669"/>
      <c r="I202" s="669"/>
      <c r="J202" s="670"/>
      <c r="K202" s="995" t="s">
        <v>620</v>
      </c>
      <c r="L202" s="996"/>
      <c r="M202" s="25"/>
      <c r="N202" s="26"/>
      <c r="O202" s="28"/>
      <c r="P202" s="28"/>
      <c r="Q202" s="28"/>
    </row>
    <row r="203" spans="1:17"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18"/>
      <c r="N203" s="15"/>
      <c r="O203" s="15"/>
      <c r="P203" s="15"/>
      <c r="Q203" s="15"/>
    </row>
    <row r="204" spans="1:17" ht="18" customHeight="1" thickTop="1" thickBot="1">
      <c r="A204" s="697" t="s">
        <v>846</v>
      </c>
      <c r="B204" s="698"/>
      <c r="C204" s="698"/>
      <c r="D204" s="698"/>
      <c r="E204" s="698"/>
      <c r="F204" s="698"/>
      <c r="G204" s="698"/>
      <c r="H204" s="698"/>
      <c r="I204" s="698"/>
      <c r="J204" s="698"/>
      <c r="K204" s="698"/>
      <c r="L204" s="699"/>
      <c r="M204" s="35"/>
      <c r="N204" s="26"/>
      <c r="O204" s="26"/>
      <c r="P204" s="26"/>
      <c r="Q204" s="26"/>
    </row>
    <row r="205" spans="1:17"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row>
    <row r="206" spans="1:17"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7"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7"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27" ht="26.25" customHeight="1" thickTop="1">
      <c r="A209" s="719" t="s">
        <v>617</v>
      </c>
      <c r="B209" s="850"/>
      <c r="C209" s="850"/>
      <c r="D209" s="850"/>
      <c r="E209" s="850"/>
      <c r="F209" s="850"/>
      <c r="G209" s="850"/>
      <c r="H209" s="850"/>
      <c r="I209" s="850"/>
      <c r="J209" s="850"/>
      <c r="K209" s="850"/>
      <c r="L209" s="851"/>
      <c r="M209" s="35"/>
      <c r="N209" s="26"/>
      <c r="O209" s="26"/>
      <c r="P209" s="26"/>
      <c r="Q209" s="26"/>
    </row>
    <row r="210" spans="1:27" ht="16.5" hidden="1" customHeight="1">
      <c r="A210" s="613" t="s">
        <v>807</v>
      </c>
      <c r="B210" s="614"/>
      <c r="C210" s="614"/>
      <c r="D210" s="614"/>
      <c r="E210" s="614"/>
      <c r="F210" s="614"/>
      <c r="G210" s="614"/>
      <c r="H210" s="614"/>
      <c r="I210" s="614"/>
      <c r="J210" s="614"/>
      <c r="K210" s="614"/>
      <c r="L210" s="615"/>
      <c r="M210" s="35"/>
      <c r="N210" s="26"/>
      <c r="O210" s="26"/>
      <c r="P210" s="26"/>
      <c r="Q210" s="26"/>
    </row>
    <row r="211" spans="1:27" ht="16.5" hidden="1" customHeight="1">
      <c r="A211" s="871" t="s">
        <v>618</v>
      </c>
      <c r="B211" s="872"/>
      <c r="C211" s="872"/>
      <c r="D211" s="872"/>
      <c r="E211" s="872"/>
      <c r="F211" s="872"/>
      <c r="G211" s="872"/>
      <c r="H211" s="872"/>
      <c r="I211" s="872"/>
      <c r="J211" s="872"/>
      <c r="K211" s="872"/>
      <c r="L211" s="873"/>
      <c r="M211" s="35"/>
      <c r="N211" s="26"/>
      <c r="O211" s="26"/>
      <c r="P211" s="26"/>
      <c r="Q211" s="26"/>
    </row>
    <row r="212" spans="1:27" ht="15.75">
      <c r="A212" s="613" t="s">
        <v>850</v>
      </c>
      <c r="B212" s="614"/>
      <c r="C212" s="614"/>
      <c r="D212" s="614"/>
      <c r="E212" s="614"/>
      <c r="F212" s="614"/>
      <c r="G212" s="614"/>
      <c r="H212" s="614"/>
      <c r="I212" s="614"/>
      <c r="J212" s="614"/>
      <c r="K212" s="614"/>
      <c r="L212" s="615"/>
      <c r="M212" s="35"/>
      <c r="N212" s="26"/>
      <c r="O212" s="26"/>
      <c r="P212" s="26"/>
      <c r="Q212" s="26"/>
    </row>
    <row r="213" spans="1:27" ht="26.25" hidden="1" customHeight="1">
      <c r="A213" s="613" t="s">
        <v>170</v>
      </c>
      <c r="B213" s="614"/>
      <c r="C213" s="614"/>
      <c r="D213" s="614"/>
      <c r="E213" s="614"/>
      <c r="F213" s="614"/>
      <c r="G213" s="614"/>
      <c r="H213" s="614"/>
      <c r="I213" s="614"/>
      <c r="J213" s="614"/>
      <c r="K213" s="614"/>
      <c r="L213" s="615"/>
      <c r="M213" s="35"/>
      <c r="N213" s="26"/>
      <c r="O213" s="26"/>
      <c r="P213" s="26"/>
      <c r="Q213" s="26"/>
    </row>
    <row r="214" spans="1:27" ht="16.5" hidden="1" customHeight="1">
      <c r="A214" s="684" t="s">
        <v>171</v>
      </c>
      <c r="B214" s="685"/>
      <c r="C214" s="685"/>
      <c r="D214" s="685"/>
      <c r="E214" s="685"/>
      <c r="F214" s="685"/>
      <c r="G214" s="685"/>
      <c r="H214" s="685"/>
      <c r="I214" s="685"/>
      <c r="J214" s="685"/>
      <c r="K214" s="685"/>
      <c r="L214" s="686"/>
      <c r="M214" s="35"/>
      <c r="N214" s="26"/>
      <c r="O214" s="26"/>
      <c r="P214" s="26"/>
      <c r="Q214" s="26"/>
    </row>
    <row r="215" spans="1:27" ht="16.5" customHeight="1">
      <c r="A215" s="613" t="s">
        <v>851</v>
      </c>
      <c r="B215" s="614"/>
      <c r="C215" s="614"/>
      <c r="D215" s="614"/>
      <c r="E215" s="614"/>
      <c r="F215" s="614"/>
      <c r="G215" s="614"/>
      <c r="H215" s="614"/>
      <c r="I215" s="614"/>
      <c r="J215" s="614"/>
      <c r="K215" s="614"/>
      <c r="L215" s="615"/>
      <c r="M215" s="35"/>
      <c r="N215" s="26"/>
      <c r="O215" s="26"/>
      <c r="P215" s="26"/>
      <c r="Q215" s="26"/>
    </row>
    <row r="216" spans="1:27" ht="26.25" hidden="1" customHeight="1">
      <c r="A216" s="684" t="s">
        <v>172</v>
      </c>
      <c r="B216" s="685"/>
      <c r="C216" s="685"/>
      <c r="D216" s="685"/>
      <c r="E216" s="685"/>
      <c r="F216" s="685"/>
      <c r="G216" s="685"/>
      <c r="H216" s="685"/>
      <c r="I216" s="685"/>
      <c r="J216" s="685"/>
      <c r="K216" s="685"/>
      <c r="L216" s="686"/>
      <c r="M216" s="35"/>
      <c r="N216" s="26"/>
      <c r="O216" s="26"/>
      <c r="P216" s="26"/>
      <c r="Q216" s="26"/>
    </row>
    <row r="217" spans="1:27" ht="26.25" hidden="1" customHeight="1">
      <c r="A217" s="684" t="s">
        <v>173</v>
      </c>
      <c r="B217" s="685"/>
      <c r="C217" s="685"/>
      <c r="D217" s="685"/>
      <c r="E217" s="685"/>
      <c r="F217" s="685"/>
      <c r="G217" s="685"/>
      <c r="H217" s="685"/>
      <c r="I217" s="685"/>
      <c r="J217" s="685"/>
      <c r="K217" s="685"/>
      <c r="L217" s="686"/>
      <c r="M217" s="35"/>
      <c r="N217" s="26"/>
      <c r="O217" s="26"/>
      <c r="P217" s="26"/>
      <c r="Q217" s="26"/>
    </row>
    <row r="218" spans="1:27" ht="16.5" hidden="1" customHeight="1">
      <c r="A218" s="613" t="s">
        <v>772</v>
      </c>
      <c r="B218" s="614"/>
      <c r="C218" s="614"/>
      <c r="D218" s="614"/>
      <c r="E218" s="614"/>
      <c r="F218" s="614"/>
      <c r="G218" s="614"/>
      <c r="H218" s="614"/>
      <c r="I218" s="614"/>
      <c r="J218" s="614"/>
      <c r="K218" s="614"/>
      <c r="L218" s="615"/>
      <c r="M218" s="35"/>
      <c r="N218" s="26"/>
      <c r="O218" s="26"/>
      <c r="P218" s="26"/>
      <c r="Q218" s="26"/>
    </row>
    <row r="219" spans="1:27" ht="29.25" customHeight="1">
      <c r="A219" s="613" t="s">
        <v>852</v>
      </c>
      <c r="B219" s="614"/>
      <c r="C219" s="614"/>
      <c r="D219" s="614"/>
      <c r="E219" s="614"/>
      <c r="F219" s="614"/>
      <c r="G219" s="614"/>
      <c r="H219" s="614"/>
      <c r="I219" s="614"/>
      <c r="J219" s="614"/>
      <c r="K219" s="614"/>
      <c r="L219" s="615"/>
      <c r="M219" s="35"/>
      <c r="N219" s="26"/>
      <c r="O219" s="26"/>
      <c r="P219" s="26"/>
      <c r="Q219" s="26"/>
    </row>
    <row r="220" spans="1:27" ht="26.25" hidden="1" customHeight="1">
      <c r="A220" s="744" t="s">
        <v>757</v>
      </c>
      <c r="B220" s="745"/>
      <c r="C220" s="745"/>
      <c r="D220" s="745"/>
      <c r="E220" s="745"/>
      <c r="F220" s="745"/>
      <c r="G220" s="745"/>
      <c r="H220" s="745"/>
      <c r="I220" s="745"/>
      <c r="J220" s="745"/>
      <c r="K220" s="745"/>
      <c r="L220" s="746"/>
      <c r="M220" s="35"/>
      <c r="N220" s="26"/>
      <c r="O220" s="26"/>
      <c r="P220" s="26"/>
      <c r="Q220" s="26"/>
    </row>
    <row r="221" spans="1:27" ht="16.5" customHeight="1">
      <c r="A221" s="744" t="s">
        <v>174</v>
      </c>
      <c r="B221" s="745"/>
      <c r="C221" s="745"/>
      <c r="D221" s="745"/>
      <c r="E221" s="745"/>
      <c r="F221" s="745"/>
      <c r="G221" s="745"/>
      <c r="H221" s="745"/>
      <c r="I221" s="745"/>
      <c r="J221" s="745"/>
      <c r="K221" s="745"/>
      <c r="L221" s="746"/>
      <c r="M221" s="35"/>
      <c r="N221" s="26"/>
      <c r="O221" s="26"/>
      <c r="P221" s="26"/>
      <c r="Q221" s="26"/>
    </row>
    <row r="222" spans="1:27" ht="16.5" customHeight="1">
      <c r="A222" s="744" t="s">
        <v>175</v>
      </c>
      <c r="B222" s="745"/>
      <c r="C222" s="745"/>
      <c r="D222" s="745"/>
      <c r="E222" s="745"/>
      <c r="F222" s="745"/>
      <c r="G222" s="745"/>
      <c r="H222" s="745"/>
      <c r="I222" s="745"/>
      <c r="J222" s="745"/>
      <c r="K222" s="745"/>
      <c r="L222" s="746"/>
      <c r="M222" s="35"/>
      <c r="N222" s="26"/>
      <c r="O222" s="26"/>
      <c r="P222" s="26"/>
      <c r="Q222" s="26"/>
    </row>
    <row r="223" spans="1:27" s="168" customFormat="1" ht="16.5" customHeight="1">
      <c r="A223" s="741" t="s">
        <v>853</v>
      </c>
      <c r="B223" s="742"/>
      <c r="C223" s="742"/>
      <c r="D223" s="742"/>
      <c r="E223" s="742"/>
      <c r="F223" s="742"/>
      <c r="G223" s="742"/>
      <c r="H223" s="742"/>
      <c r="I223" s="742"/>
      <c r="J223" s="742"/>
      <c r="K223" s="742"/>
      <c r="L223" s="743"/>
      <c r="M223" s="35"/>
      <c r="N223" s="26"/>
      <c r="O223" s="26"/>
      <c r="P223" s="26"/>
      <c r="Q223" s="26"/>
      <c r="R223" s="354"/>
      <c r="X223" s="311"/>
      <c r="Z223" s="311"/>
      <c r="AA223" s="311"/>
    </row>
    <row r="224" spans="1:27" s="168" customFormat="1" ht="16.5" customHeight="1">
      <c r="A224" s="744" t="s">
        <v>174</v>
      </c>
      <c r="B224" s="745"/>
      <c r="C224" s="745"/>
      <c r="D224" s="745"/>
      <c r="E224" s="745"/>
      <c r="F224" s="745"/>
      <c r="G224" s="745"/>
      <c r="H224" s="745"/>
      <c r="I224" s="745"/>
      <c r="J224" s="745"/>
      <c r="K224" s="745"/>
      <c r="L224" s="746"/>
      <c r="M224" s="35"/>
      <c r="N224" s="26"/>
      <c r="O224" s="26"/>
      <c r="P224" s="26"/>
      <c r="Q224" s="26"/>
      <c r="R224" s="354"/>
      <c r="X224" s="311"/>
      <c r="Z224" s="311"/>
      <c r="AA224" s="311"/>
    </row>
    <row r="225" spans="1:27" s="168"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c r="X225" s="311"/>
      <c r="Z225" s="311"/>
      <c r="AA225" s="311"/>
    </row>
    <row r="226" spans="1:27"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row>
    <row r="227" spans="1:27" s="58"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c r="X227" s="107"/>
      <c r="Z227" s="107"/>
      <c r="AA227" s="107"/>
    </row>
    <row r="228" spans="1:27" ht="16.5" customHeight="1">
      <c r="A228" s="467"/>
      <c r="B228" s="468"/>
      <c r="C228" s="468"/>
      <c r="D228" s="468"/>
      <c r="E228" s="1051"/>
      <c r="F228" s="1052"/>
      <c r="G228" s="1053"/>
      <c r="H228" s="1057"/>
      <c r="I228" s="1056"/>
      <c r="J228" s="1057"/>
      <c r="K228" s="1060"/>
      <c r="L228" s="1056"/>
      <c r="M228" s="1062"/>
      <c r="N228" s="26"/>
      <c r="O228" s="26"/>
      <c r="P228" s="26"/>
      <c r="Q228" s="26"/>
    </row>
    <row r="229" spans="1:27" ht="16.5" customHeight="1">
      <c r="A229" s="467"/>
      <c r="B229" s="468"/>
      <c r="C229" s="468"/>
      <c r="D229" s="468"/>
      <c r="E229" s="1051"/>
      <c r="F229" s="1052"/>
      <c r="G229" s="1053"/>
      <c r="H229" s="1057"/>
      <c r="I229" s="1056"/>
      <c r="J229" s="1057"/>
      <c r="K229" s="1060"/>
      <c r="L229" s="1056"/>
      <c r="M229" s="1062"/>
      <c r="N229" s="26"/>
      <c r="O229" s="26"/>
      <c r="P229" s="26"/>
      <c r="Q229" s="26"/>
    </row>
    <row r="230" spans="1:27" ht="16.5" hidden="1" customHeight="1" thickBot="1">
      <c r="A230" s="467"/>
      <c r="B230" s="468"/>
      <c r="C230" s="468"/>
      <c r="D230" s="468"/>
      <c r="E230" s="1051"/>
      <c r="F230" s="1052"/>
      <c r="G230" s="1053"/>
      <c r="H230" s="1057"/>
      <c r="I230" s="1056"/>
      <c r="J230" s="1057"/>
      <c r="K230" s="1060"/>
      <c r="L230" s="1056"/>
      <c r="M230" s="1062"/>
      <c r="N230" s="26"/>
      <c r="O230" s="26"/>
      <c r="P230" s="26"/>
      <c r="Q230" s="26"/>
    </row>
    <row r="231" spans="1:27" ht="16.5" hidden="1" customHeight="1">
      <c r="A231" s="467"/>
      <c r="B231" s="468"/>
      <c r="C231" s="468"/>
      <c r="D231" s="468"/>
      <c r="E231" s="1051"/>
      <c r="F231" s="1052"/>
      <c r="G231" s="1053"/>
      <c r="H231" s="1057"/>
      <c r="I231" s="1056"/>
      <c r="J231" s="1057"/>
      <c r="K231" s="1060"/>
      <c r="L231" s="1056"/>
      <c r="M231" s="1062"/>
      <c r="N231" s="26"/>
      <c r="O231" s="26"/>
      <c r="P231" s="26"/>
      <c r="Q231" s="26"/>
    </row>
    <row r="232" spans="1:27" ht="16.5" hidden="1" customHeight="1">
      <c r="A232" s="467"/>
      <c r="B232" s="468"/>
      <c r="C232" s="468"/>
      <c r="D232" s="468"/>
      <c r="E232" s="1051"/>
      <c r="F232" s="1052"/>
      <c r="G232" s="1053"/>
      <c r="H232" s="1057"/>
      <c r="I232" s="1056"/>
      <c r="J232" s="1057"/>
      <c r="K232" s="1060"/>
      <c r="L232" s="1056"/>
      <c r="M232" s="1062"/>
      <c r="N232" s="26"/>
      <c r="O232" s="26"/>
      <c r="P232" s="26"/>
      <c r="Q232" s="26"/>
    </row>
    <row r="233" spans="1:27" ht="16.5" hidden="1" customHeight="1">
      <c r="A233" s="467"/>
      <c r="B233" s="468"/>
      <c r="C233" s="468"/>
      <c r="D233" s="468"/>
      <c r="E233" s="1051"/>
      <c r="F233" s="1052"/>
      <c r="G233" s="1053"/>
      <c r="H233" s="1057"/>
      <c r="I233" s="1056"/>
      <c r="J233" s="1057"/>
      <c r="K233" s="1060"/>
      <c r="L233" s="1056"/>
      <c r="M233" s="1062"/>
      <c r="N233" s="26"/>
      <c r="O233" s="26"/>
      <c r="P233" s="26"/>
      <c r="Q233" s="26"/>
    </row>
    <row r="234" spans="1:27" ht="16.5" hidden="1" customHeight="1">
      <c r="A234" s="467"/>
      <c r="B234" s="468"/>
      <c r="C234" s="468"/>
      <c r="D234" s="468"/>
      <c r="E234" s="1051"/>
      <c r="F234" s="1052"/>
      <c r="G234" s="1053"/>
      <c r="H234" s="1057"/>
      <c r="I234" s="1056"/>
      <c r="J234" s="1057"/>
      <c r="K234" s="1060"/>
      <c r="L234" s="1056"/>
      <c r="M234" s="1062"/>
      <c r="N234" s="26"/>
      <c r="O234" s="26"/>
      <c r="P234" s="26"/>
      <c r="Q234" s="26"/>
    </row>
    <row r="235" spans="1:27" ht="16.5" hidden="1" customHeight="1">
      <c r="A235" s="467"/>
      <c r="B235" s="468"/>
      <c r="C235" s="468"/>
      <c r="D235" s="468"/>
      <c r="E235" s="1051"/>
      <c r="F235" s="1052"/>
      <c r="G235" s="1053"/>
      <c r="H235" s="1057"/>
      <c r="I235" s="1056"/>
      <c r="J235" s="1057"/>
      <c r="K235" s="1060"/>
      <c r="L235" s="1056"/>
      <c r="M235" s="1062"/>
      <c r="N235" s="26"/>
      <c r="O235" s="26"/>
      <c r="P235" s="26"/>
      <c r="Q235" s="26"/>
    </row>
    <row r="236" spans="1:27" ht="16.5" hidden="1" customHeight="1">
      <c r="A236" s="467"/>
      <c r="B236" s="468"/>
      <c r="C236" s="468"/>
      <c r="D236" s="468"/>
      <c r="E236" s="1051"/>
      <c r="F236" s="1052"/>
      <c r="G236" s="1053"/>
      <c r="H236" s="1057"/>
      <c r="I236" s="1056"/>
      <c r="J236" s="1057"/>
      <c r="K236" s="1060"/>
      <c r="L236" s="1056"/>
      <c r="M236" s="1062"/>
      <c r="N236" s="26"/>
      <c r="O236" s="26"/>
      <c r="P236" s="26"/>
      <c r="Q236" s="26"/>
    </row>
    <row r="237" spans="1:27" ht="16.5" hidden="1" customHeight="1">
      <c r="A237" s="467"/>
      <c r="B237" s="468"/>
      <c r="C237" s="468"/>
      <c r="D237" s="468"/>
      <c r="E237" s="1051"/>
      <c r="F237" s="1052"/>
      <c r="G237" s="1053"/>
      <c r="H237" s="1057"/>
      <c r="I237" s="1056"/>
      <c r="J237" s="1057"/>
      <c r="K237" s="1060"/>
      <c r="L237" s="1056"/>
      <c r="M237" s="1062"/>
      <c r="N237" s="26"/>
      <c r="O237" s="26"/>
      <c r="P237" s="26"/>
      <c r="Q237" s="26"/>
    </row>
    <row r="238" spans="1:27" ht="15.75" customHeight="1" thickBot="1">
      <c r="A238" s="852" t="s">
        <v>41</v>
      </c>
      <c r="B238" s="853"/>
      <c r="C238" s="853" t="s">
        <v>42</v>
      </c>
      <c r="D238" s="854"/>
      <c r="E238" s="713"/>
      <c r="F238" s="1054"/>
      <c r="G238" s="1055"/>
      <c r="H238" s="1058"/>
      <c r="I238" s="1059"/>
      <c r="J238" s="1058"/>
      <c r="K238" s="1061"/>
      <c r="L238" s="1059"/>
      <c r="M238" s="1063"/>
      <c r="N238" s="26"/>
      <c r="O238" s="26"/>
      <c r="P238" s="26"/>
      <c r="Q238" s="26"/>
    </row>
    <row r="239" spans="1:27" s="336"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27" s="336"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36"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36"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56" t="s">
        <v>51</v>
      </c>
      <c r="B262" s="632" t="s">
        <v>178</v>
      </c>
      <c r="C262" s="633"/>
      <c r="D262" s="633"/>
      <c r="E262" s="633"/>
      <c r="F262" s="633"/>
      <c r="G262" s="634"/>
      <c r="H262" s="634"/>
      <c r="I262" s="634"/>
      <c r="J262" s="634"/>
      <c r="K262" s="634"/>
      <c r="L262" s="635"/>
      <c r="M262" s="18"/>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61" t="str">
        <f>IF(Budget1BeginDate = 0, "", Budget1BeginDate)</f>
        <v/>
      </c>
      <c r="D266" s="63" t="s">
        <v>181</v>
      </c>
      <c r="E266" s="631" t="str">
        <f>IF(Budget1EndDate = 0, "", Budget1EndDate)</f>
        <v/>
      </c>
      <c r="F266" s="631"/>
      <c r="G266" s="167"/>
      <c r="H266" s="716"/>
      <c r="I266" s="717"/>
      <c r="J266" s="717"/>
      <c r="K266" s="717"/>
      <c r="L266" s="718"/>
      <c r="M266" s="35"/>
      <c r="N266" s="26"/>
      <c r="O266" s="26"/>
      <c r="P266" s="26"/>
      <c r="Q266" s="26"/>
      <c r="R266" s="354"/>
    </row>
    <row r="267" spans="1:18" s="27" customFormat="1" ht="16.5" customHeight="1" thickBot="1">
      <c r="A267" s="62" t="s">
        <v>155</v>
      </c>
      <c r="B267" s="63" t="s">
        <v>180</v>
      </c>
      <c r="C267" s="61" t="str">
        <f>IF(Budget2BeginDate = 0, "", Budget2BeginDate)</f>
        <v/>
      </c>
      <c r="D267" s="63" t="s">
        <v>181</v>
      </c>
      <c r="E267" s="631" t="str">
        <f>IF(Budget2EndDate = 0, "", Budget2EndDate)</f>
        <v/>
      </c>
      <c r="F267" s="631"/>
      <c r="G267" s="167"/>
      <c r="H267" s="716"/>
      <c r="I267" s="717"/>
      <c r="J267" s="717"/>
      <c r="K267" s="717"/>
      <c r="L267" s="718"/>
      <c r="M267" s="35"/>
      <c r="N267" s="26"/>
      <c r="O267" s="26"/>
      <c r="P267" s="26"/>
      <c r="Q267" s="26"/>
      <c r="R267" s="354"/>
    </row>
    <row r="268" spans="1:18" s="27" customFormat="1" ht="16.5" customHeight="1" thickBot="1">
      <c r="A268" s="62" t="s">
        <v>156</v>
      </c>
      <c r="B268" s="63" t="s">
        <v>180</v>
      </c>
      <c r="C268" s="61" t="str">
        <f>IF(Budget3BeginDate = 0, "", Budget3BeginDate)</f>
        <v/>
      </c>
      <c r="D268" s="63" t="s">
        <v>181</v>
      </c>
      <c r="E268" s="631" t="str">
        <f>IF(Budget3EndDate = 0, "", Budget3EndDate)</f>
        <v/>
      </c>
      <c r="F268" s="631"/>
      <c r="G268" s="167"/>
      <c r="H268" s="716"/>
      <c r="I268" s="717"/>
      <c r="J268" s="717"/>
      <c r="K268" s="717"/>
      <c r="L268" s="718"/>
      <c r="M268" s="35"/>
      <c r="N268" s="26"/>
      <c r="O268" s="26"/>
      <c r="P268" s="26"/>
      <c r="Q268" s="26"/>
      <c r="R268" s="354"/>
    </row>
    <row r="269" spans="1:18" s="27" customFormat="1" ht="16.5" customHeight="1" thickBot="1">
      <c r="A269" s="64" t="s">
        <v>153</v>
      </c>
      <c r="B269" s="65" t="s">
        <v>180</v>
      </c>
      <c r="C269" s="61" t="str">
        <f>IF(Budget4BeginDate = 0, "", Budget4BeginDate)</f>
        <v/>
      </c>
      <c r="D269" s="65" t="s">
        <v>181</v>
      </c>
      <c r="E269" s="631" t="str">
        <f>IF(Budget4EndDate = 0, "", Budget4EndDate)</f>
        <v/>
      </c>
      <c r="F269" s="631"/>
      <c r="G269" s="167"/>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ht="27.75" customHeight="1" thickTop="1">
      <c r="A271" s="709" t="s">
        <v>186</v>
      </c>
      <c r="B271" s="702" t="s">
        <v>858</v>
      </c>
      <c r="C271" s="731"/>
      <c r="D271" s="731"/>
      <c r="E271" s="731"/>
      <c r="F271" s="731"/>
      <c r="G271" s="731"/>
      <c r="H271" s="731"/>
      <c r="I271" s="731"/>
      <c r="J271" s="732"/>
      <c r="K271" s="624" t="s">
        <v>272</v>
      </c>
      <c r="L271" s="625"/>
      <c r="M271" s="18"/>
      <c r="N271" s="15"/>
      <c r="O271" s="15"/>
      <c r="P271" s="15"/>
      <c r="Q271" s="15"/>
    </row>
    <row r="272" spans="1:18" ht="16.5" customHeight="1" thickBot="1">
      <c r="A272" s="710"/>
      <c r="B272" s="728" t="s">
        <v>859</v>
      </c>
      <c r="C272" s="729"/>
      <c r="D272" s="729"/>
      <c r="E272" s="729"/>
      <c r="F272" s="729"/>
      <c r="G272" s="729"/>
      <c r="H272" s="729"/>
      <c r="I272" s="729"/>
      <c r="J272" s="730"/>
      <c r="K272" s="626"/>
      <c r="L272" s="627"/>
      <c r="M272" s="35"/>
      <c r="N272" s="26"/>
      <c r="O272" s="26"/>
      <c r="P272" s="26"/>
      <c r="Q272" s="26"/>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155"/>
      <c r="D277" s="63" t="s">
        <v>181</v>
      </c>
      <c r="E277" s="155"/>
      <c r="F277" s="167"/>
      <c r="G277" s="167"/>
      <c r="H277" s="716"/>
      <c r="I277" s="717"/>
      <c r="J277" s="717"/>
      <c r="K277" s="717"/>
      <c r="L277" s="718"/>
      <c r="M277" s="35"/>
      <c r="N277" s="26"/>
      <c r="O277" s="26"/>
      <c r="P277" s="26"/>
      <c r="Q277" s="26"/>
      <c r="R277" s="354"/>
    </row>
    <row r="278" spans="1:18" ht="15.75" customHeight="1" thickBot="1">
      <c r="A278" s="62" t="s">
        <v>188</v>
      </c>
      <c r="B278" s="63" t="s">
        <v>180</v>
      </c>
      <c r="C278" s="155"/>
      <c r="D278" s="63" t="s">
        <v>181</v>
      </c>
      <c r="E278" s="155"/>
      <c r="F278" s="167"/>
      <c r="G278" s="167"/>
      <c r="H278" s="716"/>
      <c r="I278" s="717"/>
      <c r="J278" s="717"/>
      <c r="K278" s="717"/>
      <c r="L278" s="718"/>
      <c r="M278" s="18"/>
      <c r="N278" s="15"/>
      <c r="O278" s="15"/>
      <c r="P278" s="15"/>
      <c r="Q278" s="15"/>
    </row>
    <row r="279" spans="1:18" ht="16.5" customHeight="1" thickBot="1">
      <c r="A279" s="62" t="s">
        <v>189</v>
      </c>
      <c r="B279" s="63" t="s">
        <v>180</v>
      </c>
      <c r="C279" s="155"/>
      <c r="D279" s="63" t="s">
        <v>181</v>
      </c>
      <c r="E279" s="155"/>
      <c r="F279" s="167"/>
      <c r="G279" s="167"/>
      <c r="H279" s="716"/>
      <c r="I279" s="717"/>
      <c r="J279" s="717"/>
      <c r="K279" s="717"/>
      <c r="L279" s="718"/>
      <c r="M279" s="18"/>
      <c r="N279" s="15"/>
      <c r="O279" s="15"/>
      <c r="P279" s="15"/>
      <c r="Q279" s="15"/>
    </row>
    <row r="280" spans="1:18" ht="16.5" customHeight="1" thickBot="1">
      <c r="A280" s="64" t="s">
        <v>190</v>
      </c>
      <c r="B280" s="65" t="s">
        <v>180</v>
      </c>
      <c r="C280" s="155"/>
      <c r="D280" s="65" t="s">
        <v>181</v>
      </c>
      <c r="E280" s="155"/>
      <c r="F280" s="167"/>
      <c r="G280" s="167"/>
      <c r="H280" s="866"/>
      <c r="I280" s="867"/>
      <c r="J280" s="867"/>
      <c r="K280" s="867"/>
      <c r="L280" s="868"/>
      <c r="M280" s="18"/>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18"/>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57" t="s">
        <v>24</v>
      </c>
      <c r="J285" s="5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167"/>
      <c r="J287" s="158"/>
      <c r="K287" s="693"/>
      <c r="L287" s="694"/>
      <c r="M287" s="26"/>
      <c r="N287" s="26"/>
      <c r="O287" s="26"/>
      <c r="P287" s="26"/>
      <c r="Q287" s="26"/>
    </row>
    <row r="288" spans="1:18" ht="16.5" customHeight="1" thickBot="1">
      <c r="A288" s="689" t="s">
        <v>196</v>
      </c>
      <c r="B288" s="690"/>
      <c r="C288" s="690"/>
      <c r="D288" s="690"/>
      <c r="E288" s="690"/>
      <c r="F288" s="690"/>
      <c r="G288" s="690"/>
      <c r="H288" s="690"/>
      <c r="I288" s="167"/>
      <c r="J288" s="158"/>
      <c r="K288" s="693"/>
      <c r="L288" s="694"/>
      <c r="M288" s="26"/>
      <c r="N288" s="26"/>
      <c r="O288" s="26"/>
      <c r="P288" s="26"/>
      <c r="Q288" s="26"/>
    </row>
    <row r="289" spans="1:27" ht="16.5" customHeight="1" thickBot="1">
      <c r="A289" s="689" t="s">
        <v>197</v>
      </c>
      <c r="B289" s="690"/>
      <c r="C289" s="690"/>
      <c r="D289" s="690"/>
      <c r="E289" s="690"/>
      <c r="F289" s="690"/>
      <c r="G289" s="690"/>
      <c r="H289" s="690"/>
      <c r="I289" s="167"/>
      <c r="J289" s="158"/>
      <c r="K289" s="693"/>
      <c r="L289" s="694"/>
      <c r="M289" s="26"/>
      <c r="N289" s="26"/>
      <c r="O289" s="26"/>
      <c r="P289" s="26"/>
      <c r="Q289" s="26"/>
    </row>
    <row r="290" spans="1:27" ht="16.5" customHeight="1" thickBot="1">
      <c r="A290" s="689" t="s">
        <v>198</v>
      </c>
      <c r="B290" s="690"/>
      <c r="C290" s="690"/>
      <c r="D290" s="690"/>
      <c r="E290" s="690"/>
      <c r="F290" s="690"/>
      <c r="G290" s="690"/>
      <c r="H290" s="690"/>
      <c r="I290" s="167"/>
      <c r="J290" s="158"/>
      <c r="K290" s="693"/>
      <c r="L290" s="694"/>
      <c r="M290" s="26"/>
      <c r="N290" s="26"/>
      <c r="O290" s="26"/>
      <c r="P290" s="26"/>
      <c r="Q290" s="26"/>
    </row>
    <row r="291" spans="1:27" ht="16.5" customHeight="1" thickBot="1">
      <c r="A291" s="689" t="s">
        <v>199</v>
      </c>
      <c r="B291" s="690"/>
      <c r="C291" s="690"/>
      <c r="D291" s="690"/>
      <c r="E291" s="690"/>
      <c r="F291" s="690"/>
      <c r="G291" s="690"/>
      <c r="H291" s="690"/>
      <c r="I291" s="167"/>
      <c r="J291" s="158"/>
      <c r="K291" s="693"/>
      <c r="L291" s="694"/>
      <c r="M291" s="26"/>
      <c r="N291" s="26"/>
      <c r="O291" s="26"/>
      <c r="P291" s="26"/>
      <c r="Q291" s="26"/>
    </row>
    <row r="292" spans="1:27" ht="26.25" customHeight="1" thickBot="1">
      <c r="A292" s="691" t="s">
        <v>200</v>
      </c>
      <c r="B292" s="692"/>
      <c r="C292" s="692"/>
      <c r="D292" s="692"/>
      <c r="E292" s="692"/>
      <c r="F292" s="692"/>
      <c r="G292" s="692"/>
      <c r="H292" s="692"/>
      <c r="I292" s="167"/>
      <c r="J292" s="158"/>
      <c r="K292" s="695"/>
      <c r="L292" s="696"/>
      <c r="M292" s="26"/>
      <c r="N292" s="26"/>
      <c r="O292" s="26"/>
      <c r="P292" s="26"/>
      <c r="Q292" s="26"/>
    </row>
    <row r="293" spans="1:2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2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27" ht="44.25" hidden="1" customHeight="1" thickTop="1">
      <c r="A295" s="709" t="s">
        <v>205</v>
      </c>
      <c r="B295" s="719" t="s">
        <v>622</v>
      </c>
      <c r="C295" s="720"/>
      <c r="D295" s="720"/>
      <c r="E295" s="720"/>
      <c r="F295" s="720"/>
      <c r="G295" s="720"/>
      <c r="H295" s="720"/>
      <c r="I295" s="720"/>
      <c r="J295" s="720"/>
      <c r="K295" s="720"/>
      <c r="L295" s="721"/>
    </row>
    <row r="296" spans="1:27" s="168" customFormat="1" ht="30" hidden="1" customHeight="1">
      <c r="A296" s="710"/>
      <c r="B296" s="741" t="s">
        <v>694</v>
      </c>
      <c r="C296" s="742"/>
      <c r="D296" s="742"/>
      <c r="E296" s="742"/>
      <c r="F296" s="742"/>
      <c r="G296" s="742"/>
      <c r="H296" s="742"/>
      <c r="I296" s="742"/>
      <c r="J296" s="742"/>
      <c r="K296" s="742"/>
      <c r="L296" s="743"/>
      <c r="R296" s="354"/>
      <c r="X296" s="311"/>
      <c r="Z296" s="311"/>
      <c r="AA296" s="311"/>
    </row>
    <row r="297" spans="1:2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2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2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27" ht="16.5" hidden="1" customHeight="1">
      <c r="A300" s="613" t="s">
        <v>591</v>
      </c>
      <c r="B300" s="614"/>
      <c r="C300" s="614"/>
      <c r="D300" s="614"/>
      <c r="E300" s="614"/>
      <c r="F300" s="614"/>
      <c r="G300" s="614"/>
      <c r="H300" s="614"/>
      <c r="I300" s="614"/>
      <c r="J300" s="614"/>
      <c r="K300" s="614"/>
      <c r="L300" s="615"/>
      <c r="M300" s="26"/>
      <c r="N300" s="26"/>
      <c r="O300" s="26"/>
      <c r="P300" s="26"/>
      <c r="Q300" s="26"/>
    </row>
    <row r="301" spans="1:27" ht="16.5" hidden="1" customHeight="1">
      <c r="A301" s="613" t="s">
        <v>592</v>
      </c>
      <c r="B301" s="614"/>
      <c r="C301" s="614"/>
      <c r="D301" s="614"/>
      <c r="E301" s="614"/>
      <c r="F301" s="614"/>
      <c r="G301" s="614"/>
      <c r="H301" s="614"/>
      <c r="I301" s="614"/>
      <c r="J301" s="614"/>
      <c r="K301" s="614"/>
      <c r="L301" s="615"/>
      <c r="M301" s="26"/>
      <c r="N301" s="26"/>
      <c r="O301" s="26"/>
      <c r="P301" s="26"/>
      <c r="Q301" s="26"/>
    </row>
    <row r="302" spans="1:27" ht="16.5" hidden="1" customHeight="1">
      <c r="A302" s="613" t="s">
        <v>593</v>
      </c>
      <c r="B302" s="614"/>
      <c r="C302" s="614"/>
      <c r="D302" s="614"/>
      <c r="E302" s="614"/>
      <c r="F302" s="614"/>
      <c r="G302" s="614"/>
      <c r="H302" s="614"/>
      <c r="I302" s="614"/>
      <c r="J302" s="614"/>
      <c r="K302" s="614"/>
      <c r="L302" s="615"/>
      <c r="M302" s="26"/>
      <c r="N302" s="26"/>
      <c r="O302" s="26"/>
      <c r="P302" s="26"/>
      <c r="Q302" s="26"/>
    </row>
    <row r="303" spans="1:27" ht="26.25" hidden="1" customHeight="1">
      <c r="A303" s="937" t="s">
        <v>208</v>
      </c>
      <c r="B303" s="938"/>
      <c r="C303" s="938"/>
      <c r="D303" s="938"/>
      <c r="E303" s="938"/>
      <c r="F303" s="938"/>
      <c r="G303" s="938"/>
      <c r="H303" s="938"/>
      <c r="I303" s="938"/>
      <c r="J303" s="938"/>
      <c r="K303" s="938"/>
      <c r="L303" s="939"/>
      <c r="M303" s="26"/>
      <c r="N303" s="26"/>
      <c r="O303" s="26"/>
      <c r="P303" s="26"/>
      <c r="Q303" s="26"/>
    </row>
    <row r="304" spans="1:2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27" s="146" customFormat="1" ht="16.5" hidden="1" customHeight="1">
      <c r="A321" s="684" t="s">
        <v>217</v>
      </c>
      <c r="B321" s="685"/>
      <c r="C321" s="685"/>
      <c r="D321" s="685"/>
      <c r="E321" s="685"/>
      <c r="F321" s="685"/>
      <c r="G321" s="685"/>
      <c r="H321" s="685"/>
      <c r="I321" s="685"/>
      <c r="J321" s="685"/>
      <c r="K321" s="685"/>
      <c r="L321" s="686"/>
      <c r="M321" s="26"/>
      <c r="N321" s="26"/>
      <c r="O321" s="26"/>
      <c r="P321" s="26"/>
      <c r="Q321" s="26"/>
      <c r="R321" s="354"/>
      <c r="X321" s="311"/>
      <c r="Z321" s="311"/>
      <c r="AA321" s="311"/>
    </row>
    <row r="322" spans="1:27" s="146" customFormat="1" ht="16.5" hidden="1" customHeight="1">
      <c r="A322" s="684" t="s">
        <v>218</v>
      </c>
      <c r="B322" s="685"/>
      <c r="C322" s="685"/>
      <c r="D322" s="685"/>
      <c r="E322" s="685"/>
      <c r="F322" s="685"/>
      <c r="G322" s="685"/>
      <c r="H322" s="685"/>
      <c r="I322" s="685"/>
      <c r="J322" s="685"/>
      <c r="K322" s="685"/>
      <c r="L322" s="686"/>
      <c r="M322" s="26"/>
      <c r="N322" s="26"/>
      <c r="O322" s="26"/>
      <c r="P322" s="26"/>
      <c r="Q322" s="26"/>
      <c r="R322" s="354"/>
      <c r="X322" s="311"/>
      <c r="Z322" s="311"/>
      <c r="AA322" s="311"/>
    </row>
    <row r="323" spans="1:27" ht="16.5" hidden="1" customHeight="1">
      <c r="A323" s="613" t="s">
        <v>404</v>
      </c>
      <c r="B323" s="614"/>
      <c r="C323" s="614"/>
      <c r="D323" s="614"/>
      <c r="E323" s="614"/>
      <c r="F323" s="614"/>
      <c r="G323" s="614"/>
      <c r="H323" s="614"/>
      <c r="I323" s="614"/>
      <c r="J323" s="614"/>
      <c r="K323" s="614"/>
      <c r="L323" s="615"/>
      <c r="M323" s="26"/>
      <c r="N323" s="26"/>
      <c r="O323" s="26"/>
      <c r="P323" s="26"/>
      <c r="Q323" s="26"/>
    </row>
    <row r="324" spans="1:27" ht="16.5" hidden="1" customHeight="1">
      <c r="A324" s="684" t="s">
        <v>221</v>
      </c>
      <c r="B324" s="685"/>
      <c r="C324" s="685"/>
      <c r="D324" s="685"/>
      <c r="E324" s="685"/>
      <c r="F324" s="685"/>
      <c r="G324" s="685"/>
      <c r="H324" s="685"/>
      <c r="I324" s="685"/>
      <c r="J324" s="685"/>
      <c r="K324" s="685"/>
      <c r="L324" s="686"/>
      <c r="M324" s="26"/>
      <c r="N324" s="26"/>
      <c r="O324" s="26"/>
      <c r="P324" s="26"/>
      <c r="Q324" s="26"/>
    </row>
    <row r="325" spans="1:27"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27"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27"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27"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27" s="50" customFormat="1" ht="16.5" hidden="1" customHeight="1" thickBot="1">
      <c r="A329" s="159"/>
      <c r="B329" s="155"/>
      <c r="C329" s="155"/>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c r="X329" s="97"/>
      <c r="Z329" s="97"/>
      <c r="AA329" s="97"/>
    </row>
    <row r="330" spans="1:27"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27"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27" ht="15.75" hidden="1" thickBot="1">
      <c r="A332" s="1021"/>
      <c r="B332" s="1022"/>
      <c r="C332" s="1022"/>
      <c r="D332" s="1023"/>
      <c r="E332" s="1011"/>
      <c r="F332" s="1012"/>
      <c r="G332" s="204"/>
      <c r="H332" s="204"/>
      <c r="I332" s="205">
        <f t="shared" si="18"/>
        <v>0</v>
      </c>
      <c r="J332" s="160"/>
      <c r="K332" s="204"/>
      <c r="L332" s="205">
        <f t="shared" si="16"/>
        <v>0</v>
      </c>
      <c r="M332" s="206">
        <f t="shared" si="17"/>
        <v>0</v>
      </c>
    </row>
    <row r="333" spans="1:27" ht="15.75" hidden="1" thickBot="1">
      <c r="A333" s="1021"/>
      <c r="B333" s="1022"/>
      <c r="C333" s="1022"/>
      <c r="D333" s="1023"/>
      <c r="E333" s="1011"/>
      <c r="F333" s="1012"/>
      <c r="G333" s="204"/>
      <c r="H333" s="204"/>
      <c r="I333" s="205">
        <f t="shared" si="18"/>
        <v>0</v>
      </c>
      <c r="J333" s="160"/>
      <c r="K333" s="204"/>
      <c r="L333" s="205">
        <f t="shared" si="16"/>
        <v>0</v>
      </c>
      <c r="M333" s="206">
        <f t="shared" si="17"/>
        <v>0</v>
      </c>
    </row>
    <row r="334" spans="1:27" ht="15.75" hidden="1" thickBot="1">
      <c r="A334" s="1021"/>
      <c r="B334" s="1022"/>
      <c r="C334" s="1022"/>
      <c r="D334" s="1023"/>
      <c r="E334" s="1011"/>
      <c r="F334" s="1012"/>
      <c r="G334" s="204"/>
      <c r="H334" s="204"/>
      <c r="I334" s="205">
        <f t="shared" si="18"/>
        <v>0</v>
      </c>
      <c r="J334" s="160"/>
      <c r="K334" s="204"/>
      <c r="L334" s="205">
        <f t="shared" si="16"/>
        <v>0</v>
      </c>
      <c r="M334" s="206">
        <f t="shared" si="17"/>
        <v>0</v>
      </c>
    </row>
    <row r="335" spans="1:27" ht="15.75" hidden="1" thickBot="1">
      <c r="A335" s="1021"/>
      <c r="B335" s="1022"/>
      <c r="C335" s="1022"/>
      <c r="D335" s="1023"/>
      <c r="E335" s="1011"/>
      <c r="F335" s="1012"/>
      <c r="G335" s="204"/>
      <c r="H335" s="204"/>
      <c r="I335" s="205">
        <f t="shared" si="18"/>
        <v>0</v>
      </c>
      <c r="J335" s="160"/>
      <c r="K335" s="204"/>
      <c r="L335" s="205">
        <f t="shared" si="16"/>
        <v>0</v>
      </c>
      <c r="M335" s="206">
        <f t="shared" si="17"/>
        <v>0</v>
      </c>
    </row>
    <row r="336" spans="1:27" ht="15.75" hidden="1" thickBot="1">
      <c r="A336" s="1021"/>
      <c r="B336" s="1022"/>
      <c r="C336" s="1022"/>
      <c r="D336" s="1023"/>
      <c r="E336" s="1011"/>
      <c r="F336" s="1012"/>
      <c r="G336" s="204"/>
      <c r="H336" s="204"/>
      <c r="I336" s="205">
        <f t="shared" si="18"/>
        <v>0</v>
      </c>
      <c r="J336" s="160"/>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60"/>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155"/>
      <c r="C345" s="155"/>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155"/>
      <c r="C361" s="155"/>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155"/>
      <c r="C377" s="155"/>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155"/>
      <c r="C393" s="155"/>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155"/>
      <c r="C409" s="155"/>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155"/>
      <c r="C425" s="155"/>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155"/>
      <c r="C441" s="155"/>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155"/>
      <c r="C457" s="155"/>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155"/>
      <c r="C473" s="155"/>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155"/>
      <c r="C489" s="155"/>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155"/>
      <c r="C505" s="155"/>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155"/>
      <c r="C521" s="155"/>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155"/>
      <c r="C537" s="155"/>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155"/>
      <c r="C553" s="155"/>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155"/>
      <c r="C569" s="155"/>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155"/>
      <c r="C585" s="155"/>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155"/>
      <c r="C601" s="155"/>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59"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HULcHJqhibBo5K3szjK/htMegxwbQlpiGo1hpJ3o7yxOrjetyhapad0AQiOBeXMgJVxEuSJ1fFAsqhlLACg9kw==" saltValue="ik5wbY4U2aQBuSsuMtiZJg=="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99F5D17F-5AC0-418F-9D70-825920124F2C}" fitToPage="1" hiddenRows="1" hiddenColumns="1">
      <selection activeCell="D2" sqref="D2"/>
      <pageMargins left="0.5" right="0.5" top="0.75" bottom="0.75" header="0.25" footer="0.25"/>
      <printOptions horizontalCentered="1"/>
      <pageSetup scale="72"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L255:M255"/>
    <mergeCell ref="L256:M256"/>
    <mergeCell ref="E250:G250"/>
    <mergeCell ref="A254:B254"/>
    <mergeCell ref="A255:B255"/>
    <mergeCell ref="A256:B256"/>
    <mergeCell ref="E255:G255"/>
    <mergeCell ref="J255:K255"/>
    <mergeCell ref="J256:K256"/>
    <mergeCell ref="H241:I241"/>
    <mergeCell ref="H242:I242"/>
    <mergeCell ref="E253:G253"/>
    <mergeCell ref="E254:G254"/>
    <mergeCell ref="H245:I245"/>
    <mergeCell ref="H246:I246"/>
    <mergeCell ref="J240:K240"/>
    <mergeCell ref="B284:J284"/>
    <mergeCell ref="H247:I247"/>
    <mergeCell ref="H248:I248"/>
    <mergeCell ref="H249:I249"/>
    <mergeCell ref="H250:I250"/>
    <mergeCell ref="H251:I251"/>
    <mergeCell ref="H252:I252"/>
    <mergeCell ref="H253:I253"/>
    <mergeCell ref="H254:I254"/>
    <mergeCell ref="H255:I255"/>
    <mergeCell ref="H256:I256"/>
    <mergeCell ref="H227:I238"/>
    <mergeCell ref="J227:K238"/>
    <mergeCell ref="L227:M238"/>
    <mergeCell ref="J241:K241"/>
    <mergeCell ref="J242:K242"/>
    <mergeCell ref="J243:K243"/>
    <mergeCell ref="J244:K244"/>
    <mergeCell ref="J245:K245"/>
    <mergeCell ref="J246:K246"/>
    <mergeCell ref="J247:K247"/>
    <mergeCell ref="J248:K248"/>
    <mergeCell ref="J249:K249"/>
    <mergeCell ref="J250:K250"/>
    <mergeCell ref="J251:K251"/>
    <mergeCell ref="J252:K252"/>
    <mergeCell ref="J253:K253"/>
    <mergeCell ref="J254:K254"/>
    <mergeCell ref="L241:M241"/>
    <mergeCell ref="L242:M242"/>
    <mergeCell ref="L243:M243"/>
    <mergeCell ref="L244:M244"/>
    <mergeCell ref="L245:M245"/>
    <mergeCell ref="L246:M246"/>
    <mergeCell ref="L247:M247"/>
    <mergeCell ref="L248:M248"/>
    <mergeCell ref="L249:M249"/>
    <mergeCell ref="L250:M250"/>
    <mergeCell ref="L251:M251"/>
    <mergeCell ref="L252:M252"/>
    <mergeCell ref="L253:M253"/>
    <mergeCell ref="L254:M254"/>
    <mergeCell ref="L535:L536"/>
    <mergeCell ref="M535:M536"/>
    <mergeCell ref="L532:M533"/>
    <mergeCell ref="J518:K518"/>
    <mergeCell ref="E457:F457"/>
    <mergeCell ref="E458:F458"/>
    <mergeCell ref="E459:F459"/>
    <mergeCell ref="E460:F460"/>
    <mergeCell ref="E461:F461"/>
    <mergeCell ref="E462:F462"/>
    <mergeCell ref="E463:F463"/>
    <mergeCell ref="E464:F464"/>
    <mergeCell ref="E465:F465"/>
    <mergeCell ref="E466:F466"/>
    <mergeCell ref="L455:L456"/>
    <mergeCell ref="M455:M456"/>
    <mergeCell ref="E441:F441"/>
    <mergeCell ref="L519:L520"/>
    <mergeCell ref="M519:M520"/>
    <mergeCell ref="M503:M504"/>
    <mergeCell ref="E504:F504"/>
    <mergeCell ref="E481:F481"/>
    <mergeCell ref="E482:F482"/>
    <mergeCell ref="A503:A504"/>
    <mergeCell ref="E485:H485"/>
    <mergeCell ref="J503:K504"/>
    <mergeCell ref="L503:L504"/>
    <mergeCell ref="E489:F489"/>
    <mergeCell ref="E490:F490"/>
    <mergeCell ref="E226:G226"/>
    <mergeCell ref="E227:G238"/>
    <mergeCell ref="E239:G239"/>
    <mergeCell ref="E240:G240"/>
    <mergeCell ref="E257:G257"/>
    <mergeCell ref="E241:G241"/>
    <mergeCell ref="E242:G242"/>
    <mergeCell ref="E248:G248"/>
    <mergeCell ref="E243:G243"/>
    <mergeCell ref="E244:G244"/>
    <mergeCell ref="E245:G245"/>
    <mergeCell ref="E246:G246"/>
    <mergeCell ref="E247:G247"/>
    <mergeCell ref="E249:G249"/>
    <mergeCell ref="E435:F435"/>
    <mergeCell ref="C241:D241"/>
    <mergeCell ref="A490:D501"/>
    <mergeCell ref="A362:D373"/>
    <mergeCell ref="A378:D389"/>
    <mergeCell ref="E483:F483"/>
    <mergeCell ref="H483:H484"/>
    <mergeCell ref="E484:F484"/>
    <mergeCell ref="C248:D248"/>
    <mergeCell ref="C249:D249"/>
    <mergeCell ref="C250:D250"/>
    <mergeCell ref="C251:D251"/>
    <mergeCell ref="E546:F546"/>
    <mergeCell ref="D535:D536"/>
    <mergeCell ref="E535:G535"/>
    <mergeCell ref="I535:I536"/>
    <mergeCell ref="J535:K536"/>
    <mergeCell ref="E505:F505"/>
    <mergeCell ref="H535:H536"/>
    <mergeCell ref="E510:F510"/>
    <mergeCell ref="E511:F511"/>
    <mergeCell ref="E512:F512"/>
    <mergeCell ref="B470:C470"/>
    <mergeCell ref="E470:G470"/>
    <mergeCell ref="J470:K470"/>
    <mergeCell ref="E491:F491"/>
    <mergeCell ref="E492:F492"/>
    <mergeCell ref="E493:F493"/>
    <mergeCell ref="E494:F494"/>
    <mergeCell ref="E495:F495"/>
    <mergeCell ref="E496:F496"/>
    <mergeCell ref="E497:F497"/>
    <mergeCell ref="E498:F498"/>
    <mergeCell ref="J499:K501"/>
    <mergeCell ref="E499:F499"/>
    <mergeCell ref="H499:H500"/>
    <mergeCell ref="J519:K520"/>
    <mergeCell ref="D503:D504"/>
    <mergeCell ref="E503:G503"/>
    <mergeCell ref="E500:F500"/>
    <mergeCell ref="E501:H501"/>
    <mergeCell ref="E573:F573"/>
    <mergeCell ref="E574:F574"/>
    <mergeCell ref="E575:F575"/>
    <mergeCell ref="E576:F576"/>
    <mergeCell ref="E577:F577"/>
    <mergeCell ref="E578:F578"/>
    <mergeCell ref="E537:F537"/>
    <mergeCell ref="E538:F538"/>
    <mergeCell ref="A258:B258"/>
    <mergeCell ref="E566:G566"/>
    <mergeCell ref="B502:C502"/>
    <mergeCell ref="E502:G502"/>
    <mergeCell ref="J502:K502"/>
    <mergeCell ref="H503:H504"/>
    <mergeCell ref="I503:I504"/>
    <mergeCell ref="J534:K534"/>
    <mergeCell ref="J531:K533"/>
    <mergeCell ref="E553:F553"/>
    <mergeCell ref="E554:F554"/>
    <mergeCell ref="E555:F555"/>
    <mergeCell ref="E556:F556"/>
    <mergeCell ref="B503:C503"/>
    <mergeCell ref="E536:F536"/>
    <mergeCell ref="B518:C518"/>
    <mergeCell ref="E518:G518"/>
    <mergeCell ref="E506:F506"/>
    <mergeCell ref="E531:F531"/>
    <mergeCell ref="H531:H532"/>
    <mergeCell ref="E532:F532"/>
    <mergeCell ref="A567:A568"/>
    <mergeCell ref="E548:F548"/>
    <mergeCell ref="E549:H549"/>
    <mergeCell ref="E583:G583"/>
    <mergeCell ref="H583:H584"/>
    <mergeCell ref="E533:H533"/>
    <mergeCell ref="B534:C534"/>
    <mergeCell ref="E534:G534"/>
    <mergeCell ref="E521:F521"/>
    <mergeCell ref="E522:F522"/>
    <mergeCell ref="E523:F523"/>
    <mergeCell ref="E526:F526"/>
    <mergeCell ref="E567:G567"/>
    <mergeCell ref="H567:H568"/>
    <mergeCell ref="E550:G550"/>
    <mergeCell ref="E602:F602"/>
    <mergeCell ref="E603:F603"/>
    <mergeCell ref="J435:K437"/>
    <mergeCell ref="L436:M437"/>
    <mergeCell ref="J451:K453"/>
    <mergeCell ref="L452:M453"/>
    <mergeCell ref="J467:K469"/>
    <mergeCell ref="L468:M469"/>
    <mergeCell ref="J483:K485"/>
    <mergeCell ref="L484:M485"/>
    <mergeCell ref="E508:F508"/>
    <mergeCell ref="E509:F509"/>
    <mergeCell ref="E520:F520"/>
    <mergeCell ref="B567:C567"/>
    <mergeCell ref="D567:D568"/>
    <mergeCell ref="E559:F559"/>
    <mergeCell ref="E560:F560"/>
    <mergeCell ref="E561:F561"/>
    <mergeCell ref="E562:F562"/>
    <mergeCell ref="J563:K565"/>
    <mergeCell ref="E611:F611"/>
    <mergeCell ref="E557:F557"/>
    <mergeCell ref="E558:F558"/>
    <mergeCell ref="E547:F547"/>
    <mergeCell ref="H547:H548"/>
    <mergeCell ref="E529:F529"/>
    <mergeCell ref="E530:F530"/>
    <mergeCell ref="M599:M600"/>
    <mergeCell ref="E600:F600"/>
    <mergeCell ref="E585:F585"/>
    <mergeCell ref="E586:F586"/>
    <mergeCell ref="E587:F587"/>
    <mergeCell ref="E588:F588"/>
    <mergeCell ref="E589:F589"/>
    <mergeCell ref="E590:F590"/>
    <mergeCell ref="J567:K568"/>
    <mergeCell ref="L567:L568"/>
    <mergeCell ref="E591:F591"/>
    <mergeCell ref="H611:H612"/>
    <mergeCell ref="E597:H597"/>
    <mergeCell ref="E582:G582"/>
    <mergeCell ref="M567:M568"/>
    <mergeCell ref="E568:F568"/>
    <mergeCell ref="J598:K598"/>
    <mergeCell ref="I551:I552"/>
    <mergeCell ref="J551:K552"/>
    <mergeCell ref="L551:L552"/>
    <mergeCell ref="M551:M552"/>
    <mergeCell ref="E552:F552"/>
    <mergeCell ref="J566:K566"/>
    <mergeCell ref="J547:K549"/>
    <mergeCell ref="L548:M549"/>
    <mergeCell ref="A626:J626"/>
    <mergeCell ref="K626:L630"/>
    <mergeCell ref="A627:J627"/>
    <mergeCell ref="A628:J628"/>
    <mergeCell ref="A629:J629"/>
    <mergeCell ref="A630:J630"/>
    <mergeCell ref="A616:J616"/>
    <mergeCell ref="K616:L620"/>
    <mergeCell ref="A617:J617"/>
    <mergeCell ref="A620:J620"/>
    <mergeCell ref="A619:J619"/>
    <mergeCell ref="A618:J618"/>
    <mergeCell ref="A614:L614"/>
    <mergeCell ref="A621:J621"/>
    <mergeCell ref="K621:L625"/>
    <mergeCell ref="A622:J622"/>
    <mergeCell ref="A623:J623"/>
    <mergeCell ref="B615:L615"/>
    <mergeCell ref="A624:J624"/>
    <mergeCell ref="A625:J625"/>
    <mergeCell ref="A583:A584"/>
    <mergeCell ref="E569:F569"/>
    <mergeCell ref="E570:F570"/>
    <mergeCell ref="E571:F571"/>
    <mergeCell ref="E572:F572"/>
    <mergeCell ref="E593:F593"/>
    <mergeCell ref="E610:F610"/>
    <mergeCell ref="J611:K613"/>
    <mergeCell ref="L599:L600"/>
    <mergeCell ref="E592:F592"/>
    <mergeCell ref="J595:K597"/>
    <mergeCell ref="L583:L584"/>
    <mergeCell ref="M583:M584"/>
    <mergeCell ref="E584:F584"/>
    <mergeCell ref="E604:F604"/>
    <mergeCell ref="E605:F605"/>
    <mergeCell ref="A602:D613"/>
    <mergeCell ref="E606:F606"/>
    <mergeCell ref="E607:F607"/>
    <mergeCell ref="E609:F609"/>
    <mergeCell ref="J579:K581"/>
    <mergeCell ref="L580:M581"/>
    <mergeCell ref="E612:F612"/>
    <mergeCell ref="E613:H613"/>
    <mergeCell ref="L596:M597"/>
    <mergeCell ref="A570:D581"/>
    <mergeCell ref="E608:F608"/>
    <mergeCell ref="E601:F601"/>
    <mergeCell ref="A586:D597"/>
    <mergeCell ref="B582:C582"/>
    <mergeCell ref="B598:C598"/>
    <mergeCell ref="E598:G598"/>
    <mergeCell ref="A599:A600"/>
    <mergeCell ref="B599:C599"/>
    <mergeCell ref="D599:D600"/>
    <mergeCell ref="E599:G599"/>
    <mergeCell ref="H599:H600"/>
    <mergeCell ref="I599:I600"/>
    <mergeCell ref="J599:K600"/>
    <mergeCell ref="E540:F540"/>
    <mergeCell ref="E541:F541"/>
    <mergeCell ref="E542:F542"/>
    <mergeCell ref="B566:C566"/>
    <mergeCell ref="E594:F594"/>
    <mergeCell ref="E579:F579"/>
    <mergeCell ref="H579:H580"/>
    <mergeCell ref="E580:F580"/>
    <mergeCell ref="E581:H581"/>
    <mergeCell ref="E595:F595"/>
    <mergeCell ref="H595:H596"/>
    <mergeCell ref="E596:F596"/>
    <mergeCell ref="J582:K582"/>
    <mergeCell ref="B583:C583"/>
    <mergeCell ref="D583:D584"/>
    <mergeCell ref="I583:I584"/>
    <mergeCell ref="J583:K584"/>
    <mergeCell ref="A554:D565"/>
    <mergeCell ref="B550:C550"/>
    <mergeCell ref="J550:K550"/>
    <mergeCell ref="A551:A552"/>
    <mergeCell ref="B551:C551"/>
    <mergeCell ref="D551:D552"/>
    <mergeCell ref="E551:G551"/>
    <mergeCell ref="H551:H552"/>
    <mergeCell ref="E563:F563"/>
    <mergeCell ref="H563:H564"/>
    <mergeCell ref="E564:F564"/>
    <mergeCell ref="E565:H565"/>
    <mergeCell ref="A538:D549"/>
    <mergeCell ref="E545:F545"/>
    <mergeCell ref="E539:F539"/>
    <mergeCell ref="I567:I568"/>
    <mergeCell ref="E513:F513"/>
    <mergeCell ref="E514:F514"/>
    <mergeCell ref="J515:K517"/>
    <mergeCell ref="E515:F515"/>
    <mergeCell ref="H515:H516"/>
    <mergeCell ref="E516:F516"/>
    <mergeCell ref="E517:H517"/>
    <mergeCell ref="E524:F524"/>
    <mergeCell ref="A522:D533"/>
    <mergeCell ref="E527:F527"/>
    <mergeCell ref="E528:F528"/>
    <mergeCell ref="E543:F543"/>
    <mergeCell ref="E544:F544"/>
    <mergeCell ref="A506:D517"/>
    <mergeCell ref="E507:F507"/>
    <mergeCell ref="E525:F525"/>
    <mergeCell ref="A535:A536"/>
    <mergeCell ref="B535:C535"/>
    <mergeCell ref="A519:A520"/>
    <mergeCell ref="B519:C519"/>
    <mergeCell ref="D519:D520"/>
    <mergeCell ref="E519:G519"/>
    <mergeCell ref="H519:H520"/>
    <mergeCell ref="I519:I520"/>
    <mergeCell ref="A471:A472"/>
    <mergeCell ref="B471:C471"/>
    <mergeCell ref="D471:D472"/>
    <mergeCell ref="E471:G471"/>
    <mergeCell ref="H471:H472"/>
    <mergeCell ref="I471:I472"/>
    <mergeCell ref="J471:K472"/>
    <mergeCell ref="L471:L472"/>
    <mergeCell ref="M471:M472"/>
    <mergeCell ref="E472:F472"/>
    <mergeCell ref="B486:C486"/>
    <mergeCell ref="E486:G486"/>
    <mergeCell ref="J486:K486"/>
    <mergeCell ref="A487:A488"/>
    <mergeCell ref="B487:C487"/>
    <mergeCell ref="D487:D488"/>
    <mergeCell ref="E487:G487"/>
    <mergeCell ref="H487:H488"/>
    <mergeCell ref="I487:I488"/>
    <mergeCell ref="J487:K488"/>
    <mergeCell ref="L487:L488"/>
    <mergeCell ref="M487:M488"/>
    <mergeCell ref="E488:F488"/>
    <mergeCell ref="A474:D485"/>
    <mergeCell ref="E473:F473"/>
    <mergeCell ref="E474:F474"/>
    <mergeCell ref="E475:F475"/>
    <mergeCell ref="E476:F476"/>
    <mergeCell ref="E477:F477"/>
    <mergeCell ref="E478:F478"/>
    <mergeCell ref="E479:F479"/>
    <mergeCell ref="E480:F480"/>
    <mergeCell ref="A458:D469"/>
    <mergeCell ref="E451:F451"/>
    <mergeCell ref="H451:H452"/>
    <mergeCell ref="E452:F452"/>
    <mergeCell ref="E453:H453"/>
    <mergeCell ref="B454:C454"/>
    <mergeCell ref="E454:G454"/>
    <mergeCell ref="E467:F467"/>
    <mergeCell ref="H467:H468"/>
    <mergeCell ref="E468:F468"/>
    <mergeCell ref="E469:H469"/>
    <mergeCell ref="J454:K454"/>
    <mergeCell ref="A455:A456"/>
    <mergeCell ref="B455:C455"/>
    <mergeCell ref="D455:D456"/>
    <mergeCell ref="E455:G455"/>
    <mergeCell ref="H455:H456"/>
    <mergeCell ref="I455:I456"/>
    <mergeCell ref="J455:K456"/>
    <mergeCell ref="E456:F456"/>
    <mergeCell ref="A442:D453"/>
    <mergeCell ref="E442:F442"/>
    <mergeCell ref="E443:F443"/>
    <mergeCell ref="E444:F444"/>
    <mergeCell ref="E445:F445"/>
    <mergeCell ref="E446:F446"/>
    <mergeCell ref="E447:F447"/>
    <mergeCell ref="E448:F448"/>
    <mergeCell ref="E449:F449"/>
    <mergeCell ref="E450:F450"/>
    <mergeCell ref="B438:C438"/>
    <mergeCell ref="E438:G438"/>
    <mergeCell ref="J438:K438"/>
    <mergeCell ref="A426:D437"/>
    <mergeCell ref="A439:A440"/>
    <mergeCell ref="B439:C439"/>
    <mergeCell ref="D439:D440"/>
    <mergeCell ref="E439:G439"/>
    <mergeCell ref="H439:H440"/>
    <mergeCell ref="I439:I440"/>
    <mergeCell ref="J439:K440"/>
    <mergeCell ref="L439:L440"/>
    <mergeCell ref="M439:M440"/>
    <mergeCell ref="E440:F440"/>
    <mergeCell ref="E425:F425"/>
    <mergeCell ref="E426:F426"/>
    <mergeCell ref="E427:F427"/>
    <mergeCell ref="E428:F428"/>
    <mergeCell ref="E429:F429"/>
    <mergeCell ref="E430:F430"/>
    <mergeCell ref="E431:F431"/>
    <mergeCell ref="E432:F432"/>
    <mergeCell ref="E433:F433"/>
    <mergeCell ref="E434:F434"/>
    <mergeCell ref="H435:H436"/>
    <mergeCell ref="E436:F436"/>
    <mergeCell ref="E437:H437"/>
    <mergeCell ref="B422:C422"/>
    <mergeCell ref="E422:G422"/>
    <mergeCell ref="J422:K422"/>
    <mergeCell ref="J419:K421"/>
    <mergeCell ref="A423:A424"/>
    <mergeCell ref="B423:C423"/>
    <mergeCell ref="D423:D424"/>
    <mergeCell ref="E423:G423"/>
    <mergeCell ref="H423:H424"/>
    <mergeCell ref="I423:I424"/>
    <mergeCell ref="J423:K424"/>
    <mergeCell ref="L423:L424"/>
    <mergeCell ref="M423:M424"/>
    <mergeCell ref="E424:F424"/>
    <mergeCell ref="E409:F409"/>
    <mergeCell ref="E410:F410"/>
    <mergeCell ref="E411:F411"/>
    <mergeCell ref="E412:F412"/>
    <mergeCell ref="E413:F413"/>
    <mergeCell ref="E414:F414"/>
    <mergeCell ref="E415:F415"/>
    <mergeCell ref="E416:F416"/>
    <mergeCell ref="E417:F417"/>
    <mergeCell ref="E418:F418"/>
    <mergeCell ref="A410:D421"/>
    <mergeCell ref="L420:M421"/>
    <mergeCell ref="E419:F419"/>
    <mergeCell ref="H419:H420"/>
    <mergeCell ref="E420:F420"/>
    <mergeCell ref="E421:H421"/>
    <mergeCell ref="E403:F403"/>
    <mergeCell ref="H403:H404"/>
    <mergeCell ref="E404:F404"/>
    <mergeCell ref="E405:H405"/>
    <mergeCell ref="B406:C406"/>
    <mergeCell ref="E406:G406"/>
    <mergeCell ref="J406:K406"/>
    <mergeCell ref="A407:A408"/>
    <mergeCell ref="B407:C407"/>
    <mergeCell ref="D407:D408"/>
    <mergeCell ref="E407:G407"/>
    <mergeCell ref="H407:H408"/>
    <mergeCell ref="I407:I408"/>
    <mergeCell ref="J407:K408"/>
    <mergeCell ref="L407:L408"/>
    <mergeCell ref="M407:M408"/>
    <mergeCell ref="E408:F408"/>
    <mergeCell ref="A394:D405"/>
    <mergeCell ref="J403:K405"/>
    <mergeCell ref="L404:M405"/>
    <mergeCell ref="E393:F393"/>
    <mergeCell ref="E394:F394"/>
    <mergeCell ref="E395:F395"/>
    <mergeCell ref="E396:F396"/>
    <mergeCell ref="E397:F397"/>
    <mergeCell ref="E398:F398"/>
    <mergeCell ref="E399:F399"/>
    <mergeCell ref="E400:F400"/>
    <mergeCell ref="E401:F401"/>
    <mergeCell ref="E402:F402"/>
    <mergeCell ref="J374:K374"/>
    <mergeCell ref="E387:F387"/>
    <mergeCell ref="H387:H388"/>
    <mergeCell ref="E388:F388"/>
    <mergeCell ref="E389:H389"/>
    <mergeCell ref="B390:C390"/>
    <mergeCell ref="E390:G390"/>
    <mergeCell ref="J390:K390"/>
    <mergeCell ref="I375:I376"/>
    <mergeCell ref="J375:K376"/>
    <mergeCell ref="J387:K389"/>
    <mergeCell ref="A391:A392"/>
    <mergeCell ref="B391:C391"/>
    <mergeCell ref="D391:D392"/>
    <mergeCell ref="E391:G391"/>
    <mergeCell ref="H391:H392"/>
    <mergeCell ref="I391:I392"/>
    <mergeCell ref="J391:K392"/>
    <mergeCell ref="L391:L392"/>
    <mergeCell ref="M391:M392"/>
    <mergeCell ref="E392:F392"/>
    <mergeCell ref="E370:F370"/>
    <mergeCell ref="E377:F377"/>
    <mergeCell ref="E378:F378"/>
    <mergeCell ref="E379:F379"/>
    <mergeCell ref="E380:F380"/>
    <mergeCell ref="E381:F381"/>
    <mergeCell ref="E382:F382"/>
    <mergeCell ref="E383:F383"/>
    <mergeCell ref="E384:F384"/>
    <mergeCell ref="E385:F385"/>
    <mergeCell ref="E386:F386"/>
    <mergeCell ref="E371:F371"/>
    <mergeCell ref="H371:H372"/>
    <mergeCell ref="E372:F372"/>
    <mergeCell ref="E373:H373"/>
    <mergeCell ref="B374:C374"/>
    <mergeCell ref="E374:G374"/>
    <mergeCell ref="A375:A376"/>
    <mergeCell ref="B375:C375"/>
    <mergeCell ref="D375:D376"/>
    <mergeCell ref="E375:G375"/>
    <mergeCell ref="H375:H376"/>
    <mergeCell ref="L375:L376"/>
    <mergeCell ref="M375:M376"/>
    <mergeCell ref="E376:F376"/>
    <mergeCell ref="E361:F361"/>
    <mergeCell ref="E362:F362"/>
    <mergeCell ref="E363:F363"/>
    <mergeCell ref="E364:F364"/>
    <mergeCell ref="E365:F365"/>
    <mergeCell ref="E366:F366"/>
    <mergeCell ref="E367:F367"/>
    <mergeCell ref="E368:F368"/>
    <mergeCell ref="E369:F369"/>
    <mergeCell ref="L343:L344"/>
    <mergeCell ref="M343:M344"/>
    <mergeCell ref="E344:F344"/>
    <mergeCell ref="H339:H340"/>
    <mergeCell ref="E341:H341"/>
    <mergeCell ref="L340:M341"/>
    <mergeCell ref="L356:M357"/>
    <mergeCell ref="J371:K373"/>
    <mergeCell ref="L372:M373"/>
    <mergeCell ref="E339:F339"/>
    <mergeCell ref="E340:F340"/>
    <mergeCell ref="E342:G342"/>
    <mergeCell ref="J342:K342"/>
    <mergeCell ref="A359:A360"/>
    <mergeCell ref="B359:C359"/>
    <mergeCell ref="D359:D360"/>
    <mergeCell ref="E359:G359"/>
    <mergeCell ref="H359:H360"/>
    <mergeCell ref="I359:I360"/>
    <mergeCell ref="J359:K360"/>
    <mergeCell ref="L359:L360"/>
    <mergeCell ref="M359:M360"/>
    <mergeCell ref="E360:F360"/>
    <mergeCell ref="E345:F345"/>
    <mergeCell ref="E346:F346"/>
    <mergeCell ref="E347:F347"/>
    <mergeCell ref="E348:F348"/>
    <mergeCell ref="E349:F349"/>
    <mergeCell ref="E350:F350"/>
    <mergeCell ref="E351:F351"/>
    <mergeCell ref="E352:F352"/>
    <mergeCell ref="E353:F353"/>
    <mergeCell ref="E354:F354"/>
    <mergeCell ref="J355:K357"/>
    <mergeCell ref="A346:D357"/>
    <mergeCell ref="E355:F355"/>
    <mergeCell ref="H355:H356"/>
    <mergeCell ref="E356:F356"/>
    <mergeCell ref="E357:H357"/>
    <mergeCell ref="B358:C358"/>
    <mergeCell ref="E358:G358"/>
    <mergeCell ref="J358:K358"/>
    <mergeCell ref="A343:A344"/>
    <mergeCell ref="B343:C343"/>
    <mergeCell ref="D343:D344"/>
    <mergeCell ref="E343:G343"/>
    <mergeCell ref="H343:H344"/>
    <mergeCell ref="I343:I344"/>
    <mergeCell ref="J343:K344"/>
    <mergeCell ref="A323:L323"/>
    <mergeCell ref="A324:L324"/>
    <mergeCell ref="A320:L320"/>
    <mergeCell ref="A303:L303"/>
    <mergeCell ref="A304:L304"/>
    <mergeCell ref="A305:L305"/>
    <mergeCell ref="A306:L306"/>
    <mergeCell ref="A307:L307"/>
    <mergeCell ref="B342:C342"/>
    <mergeCell ref="A310:L310"/>
    <mergeCell ref="A311:L311"/>
    <mergeCell ref="A313:L313"/>
    <mergeCell ref="E335:F335"/>
    <mergeCell ref="E336:F336"/>
    <mergeCell ref="E337:F337"/>
    <mergeCell ref="E338:F338"/>
    <mergeCell ref="J339:K341"/>
    <mergeCell ref="A330:D341"/>
    <mergeCell ref="E330:F330"/>
    <mergeCell ref="E331:F331"/>
    <mergeCell ref="E332:F332"/>
    <mergeCell ref="E333:F333"/>
    <mergeCell ref="E334:F334"/>
    <mergeCell ref="L327:L328"/>
    <mergeCell ref="A321:L321"/>
    <mergeCell ref="A299:L299"/>
    <mergeCell ref="A282:A284"/>
    <mergeCell ref="A300:L300"/>
    <mergeCell ref="K195:L196"/>
    <mergeCell ref="K206:L207"/>
    <mergeCell ref="B196:J196"/>
    <mergeCell ref="E326:G326"/>
    <mergeCell ref="E327:G327"/>
    <mergeCell ref="D327:D328"/>
    <mergeCell ref="H327:H328"/>
    <mergeCell ref="I327:I328"/>
    <mergeCell ref="A302:L302"/>
    <mergeCell ref="E329:F329"/>
    <mergeCell ref="B296:L296"/>
    <mergeCell ref="A325:L325"/>
    <mergeCell ref="C252:D252"/>
    <mergeCell ref="C253:D253"/>
    <mergeCell ref="C254:D254"/>
    <mergeCell ref="C255:D255"/>
    <mergeCell ref="C256:D256"/>
    <mergeCell ref="A241:B241"/>
    <mergeCell ref="A242:B242"/>
    <mergeCell ref="A243:B243"/>
    <mergeCell ref="A244:B244"/>
    <mergeCell ref="A245:B245"/>
    <mergeCell ref="A246:B246"/>
    <mergeCell ref="A247:B247"/>
    <mergeCell ref="A248:B248"/>
    <mergeCell ref="A249:B249"/>
    <mergeCell ref="H243:I243"/>
    <mergeCell ref="H244:I244"/>
    <mergeCell ref="E256:G256"/>
    <mergeCell ref="A298:L298"/>
    <mergeCell ref="K285:L285"/>
    <mergeCell ref="A285:H285"/>
    <mergeCell ref="A286:H286"/>
    <mergeCell ref="K286:L286"/>
    <mergeCell ref="A293:J293"/>
    <mergeCell ref="A318:L318"/>
    <mergeCell ref="A319:L319"/>
    <mergeCell ref="A308:L308"/>
    <mergeCell ref="A309:L309"/>
    <mergeCell ref="M327:M328"/>
    <mergeCell ref="J326:K326"/>
    <mergeCell ref="J327:K328"/>
    <mergeCell ref="A198:J198"/>
    <mergeCell ref="K198:L198"/>
    <mergeCell ref="A199:J199"/>
    <mergeCell ref="K199:L199"/>
    <mergeCell ref="A200:J200"/>
    <mergeCell ref="K200:L200"/>
    <mergeCell ref="A201:J201"/>
    <mergeCell ref="K201:L201"/>
    <mergeCell ref="A202:J202"/>
    <mergeCell ref="K202:L202"/>
    <mergeCell ref="A203:J203"/>
    <mergeCell ref="A327:A328"/>
    <mergeCell ref="B326:C326"/>
    <mergeCell ref="B327:C327"/>
    <mergeCell ref="E328:F328"/>
    <mergeCell ref="B282:J282"/>
    <mergeCell ref="A314:L314"/>
    <mergeCell ref="A315:L315"/>
    <mergeCell ref="A295:A297"/>
    <mergeCell ref="K259:L259"/>
    <mergeCell ref="A239:B239"/>
    <mergeCell ref="A222:L222"/>
    <mergeCell ref="B205:J205"/>
    <mergeCell ref="K205:L205"/>
    <mergeCell ref="A240:B240"/>
    <mergeCell ref="C240:D240"/>
    <mergeCell ref="C239:D239"/>
    <mergeCell ref="L239:M239"/>
    <mergeCell ref="J226:K226"/>
    <mergeCell ref="L226:M226"/>
    <mergeCell ref="J258:K258"/>
    <mergeCell ref="L258:M258"/>
    <mergeCell ref="C258:D258"/>
    <mergeCell ref="A227:D237"/>
    <mergeCell ref="H269:L269"/>
    <mergeCell ref="A212:L212"/>
    <mergeCell ref="A213:L213"/>
    <mergeCell ref="A221:L221"/>
    <mergeCell ref="A214:L214"/>
    <mergeCell ref="A215:L215"/>
    <mergeCell ref="A216:L216"/>
    <mergeCell ref="A220:L220"/>
    <mergeCell ref="J239:K239"/>
    <mergeCell ref="A226:D226"/>
    <mergeCell ref="H226:I226"/>
    <mergeCell ref="E251:G251"/>
    <mergeCell ref="E252:G252"/>
    <mergeCell ref="A250:B250"/>
    <mergeCell ref="A251:B251"/>
    <mergeCell ref="A252:B252"/>
    <mergeCell ref="A253:B253"/>
    <mergeCell ref="A204:L204"/>
    <mergeCell ref="A316:L316"/>
    <mergeCell ref="A151:J151"/>
    <mergeCell ref="K151:L151"/>
    <mergeCell ref="C257:D257"/>
    <mergeCell ref="H166:L166"/>
    <mergeCell ref="H168:L168"/>
    <mergeCell ref="E169:G169"/>
    <mergeCell ref="H169:L169"/>
    <mergeCell ref="A170:D170"/>
    <mergeCell ref="H167:L167"/>
    <mergeCell ref="A167:D167"/>
    <mergeCell ref="E168:G168"/>
    <mergeCell ref="A169:D169"/>
    <mergeCell ref="H240:I240"/>
    <mergeCell ref="A173:D173"/>
    <mergeCell ref="K184:L184"/>
    <mergeCell ref="A188:J188"/>
    <mergeCell ref="A185:J185"/>
    <mergeCell ref="B194:J194"/>
    <mergeCell ref="A194:A196"/>
    <mergeCell ref="B195:J195"/>
    <mergeCell ref="A187:J187"/>
    <mergeCell ref="K187:L187"/>
    <mergeCell ref="A158:L158"/>
    <mergeCell ref="A159:J159"/>
    <mergeCell ref="K203:L203"/>
    <mergeCell ref="A294:L294"/>
    <mergeCell ref="A312:L312"/>
    <mergeCell ref="L240:M240"/>
    <mergeCell ref="J257:K257"/>
    <mergeCell ref="A197:J197"/>
    <mergeCell ref="A34:L34"/>
    <mergeCell ref="A35:L35"/>
    <mergeCell ref="A37:L37"/>
    <mergeCell ref="A40:L40"/>
    <mergeCell ref="J49:J60"/>
    <mergeCell ref="A47:L47"/>
    <mergeCell ref="A41:L41"/>
    <mergeCell ref="A27:L27"/>
    <mergeCell ref="A28:L28"/>
    <mergeCell ref="A38:L38"/>
    <mergeCell ref="A39:L39"/>
    <mergeCell ref="O49:O60"/>
    <mergeCell ref="N49:N60"/>
    <mergeCell ref="C62:D62"/>
    <mergeCell ref="C75:D75"/>
    <mergeCell ref="C77:D77"/>
    <mergeCell ref="K94:L96"/>
    <mergeCell ref="B96:J96"/>
    <mergeCell ref="A71:B71"/>
    <mergeCell ref="F48:G48"/>
    <mergeCell ref="C80:D80"/>
    <mergeCell ref="A81:B81"/>
    <mergeCell ref="C81:D81"/>
    <mergeCell ref="C68:D68"/>
    <mergeCell ref="A69:B69"/>
    <mergeCell ref="C71:D71"/>
    <mergeCell ref="A72:B72"/>
    <mergeCell ref="C72:D72"/>
    <mergeCell ref="A73:B73"/>
    <mergeCell ref="C73:D73"/>
    <mergeCell ref="A76:B76"/>
    <mergeCell ref="A36:L36"/>
    <mergeCell ref="A23:L23"/>
    <mergeCell ref="A115:C115"/>
    <mergeCell ref="A118:C118"/>
    <mergeCell ref="A119:C119"/>
    <mergeCell ref="D115:F115"/>
    <mergeCell ref="D118:F118"/>
    <mergeCell ref="D119:F119"/>
    <mergeCell ref="A32:L32"/>
    <mergeCell ref="A33:L33"/>
    <mergeCell ref="A92:L92"/>
    <mergeCell ref="A99:L99"/>
    <mergeCell ref="A85:J85"/>
    <mergeCell ref="A86:J86"/>
    <mergeCell ref="G115:I115"/>
    <mergeCell ref="G118:I118"/>
    <mergeCell ref="G119:I119"/>
    <mergeCell ref="A25:L25"/>
    <mergeCell ref="A63:B63"/>
    <mergeCell ref="C63:D63"/>
    <mergeCell ref="A64:B64"/>
    <mergeCell ref="C64:D64"/>
    <mergeCell ref="A65:B65"/>
    <mergeCell ref="C65:D65"/>
    <mergeCell ref="A66:B66"/>
    <mergeCell ref="C61:D61"/>
    <mergeCell ref="A62:B62"/>
    <mergeCell ref="A50:E50"/>
    <mergeCell ref="A51:E51"/>
    <mergeCell ref="A83:O83"/>
    <mergeCell ref="H48:I48"/>
    <mergeCell ref="K49:K60"/>
    <mergeCell ref="A80:B80"/>
    <mergeCell ref="B1:C1"/>
    <mergeCell ref="B2:C2"/>
    <mergeCell ref="A3:B4"/>
    <mergeCell ref="D3:F3"/>
    <mergeCell ref="G3:J3"/>
    <mergeCell ref="D4:F4"/>
    <mergeCell ref="G4:J4"/>
    <mergeCell ref="A5:L5"/>
    <mergeCell ref="B6:L6"/>
    <mergeCell ref="A12:L12"/>
    <mergeCell ref="A20:L20"/>
    <mergeCell ref="A21:L21"/>
    <mergeCell ref="A18:L18"/>
    <mergeCell ref="A19:L19"/>
    <mergeCell ref="E1:H1"/>
    <mergeCell ref="A15:L15"/>
    <mergeCell ref="A16:L16"/>
    <mergeCell ref="A17:L17"/>
    <mergeCell ref="A11:L11"/>
    <mergeCell ref="B9:J9"/>
    <mergeCell ref="B10:J10"/>
    <mergeCell ref="A7:A10"/>
    <mergeCell ref="K7:L7"/>
    <mergeCell ref="B7:J8"/>
    <mergeCell ref="K8:L10"/>
    <mergeCell ref="A29:L29"/>
    <mergeCell ref="A30:L30"/>
    <mergeCell ref="A31:L31"/>
    <mergeCell ref="C76:D76"/>
    <mergeCell ref="A13:L13"/>
    <mergeCell ref="A14:L14"/>
    <mergeCell ref="A22:L22"/>
    <mergeCell ref="F49:F60"/>
    <mergeCell ref="H49:I52"/>
    <mergeCell ref="A24:L24"/>
    <mergeCell ref="A26:L26"/>
    <mergeCell ref="C66:D66"/>
    <mergeCell ref="A67:B67"/>
    <mergeCell ref="C67:D67"/>
    <mergeCell ref="A53:E53"/>
    <mergeCell ref="G108:I108"/>
    <mergeCell ref="K89:L89"/>
    <mergeCell ref="D105:F105"/>
    <mergeCell ref="H53:I60"/>
    <mergeCell ref="A68:B68"/>
    <mergeCell ref="A74:B74"/>
    <mergeCell ref="C74:D74"/>
    <mergeCell ref="C78:D78"/>
    <mergeCell ref="A89:J89"/>
    <mergeCell ref="C69:D69"/>
    <mergeCell ref="A70:B70"/>
    <mergeCell ref="C70:D70"/>
    <mergeCell ref="A78:B78"/>
    <mergeCell ref="A84:J84"/>
    <mergeCell ref="K84:L87"/>
    <mergeCell ref="A87:J87"/>
    <mergeCell ref="C79:D79"/>
    <mergeCell ref="B143:J144"/>
    <mergeCell ref="B146:J146"/>
    <mergeCell ref="A157:J157"/>
    <mergeCell ref="K143:L143"/>
    <mergeCell ref="E173:G173"/>
    <mergeCell ref="A175:A177"/>
    <mergeCell ref="K175:L175"/>
    <mergeCell ref="A148:L148"/>
    <mergeCell ref="G112:I112"/>
    <mergeCell ref="A123:L123"/>
    <mergeCell ref="A133:J133"/>
    <mergeCell ref="A129:J129"/>
    <mergeCell ref="B127:J127"/>
    <mergeCell ref="A121:J121"/>
    <mergeCell ref="K132:L132"/>
    <mergeCell ref="G116:I116"/>
    <mergeCell ref="A117:C117"/>
    <mergeCell ref="D117:F117"/>
    <mergeCell ref="G117:I117"/>
    <mergeCell ref="A122:J122"/>
    <mergeCell ref="D113:F113"/>
    <mergeCell ref="E171:G171"/>
    <mergeCell ref="A168:D168"/>
    <mergeCell ref="L81:M81"/>
    <mergeCell ref="G49:G60"/>
    <mergeCell ref="A82:O82"/>
    <mergeCell ref="D106:F106"/>
    <mergeCell ref="D107:F107"/>
    <mergeCell ref="G105:I105"/>
    <mergeCell ref="A104:C104"/>
    <mergeCell ref="A54:E60"/>
    <mergeCell ref="A103:L103"/>
    <mergeCell ref="K90:L90"/>
    <mergeCell ref="A79:B79"/>
    <mergeCell ref="A91:L91"/>
    <mergeCell ref="A88:J88"/>
    <mergeCell ref="K88:L88"/>
    <mergeCell ref="A77:B77"/>
    <mergeCell ref="K140:L140"/>
    <mergeCell ref="K139:L139"/>
    <mergeCell ref="A210:L210"/>
    <mergeCell ref="A211:L211"/>
    <mergeCell ref="A48:E48"/>
    <mergeCell ref="A61:B61"/>
    <mergeCell ref="A107:C107"/>
    <mergeCell ref="A108:C108"/>
    <mergeCell ref="A109:C109"/>
    <mergeCell ref="A110:C110"/>
    <mergeCell ref="A100:L100"/>
    <mergeCell ref="A102:L102"/>
    <mergeCell ref="A101:L101"/>
    <mergeCell ref="A52:E52"/>
    <mergeCell ref="A113:C113"/>
    <mergeCell ref="D111:F111"/>
    <mergeCell ref="D112:F112"/>
    <mergeCell ref="A111:C111"/>
    <mergeCell ref="A112:C112"/>
    <mergeCell ref="G106:I106"/>
    <mergeCell ref="G107:I107"/>
    <mergeCell ref="A90:J90"/>
    <mergeCell ref="A49:E49"/>
    <mergeCell ref="D109:F109"/>
    <mergeCell ref="D110:F110"/>
    <mergeCell ref="L72:M72"/>
    <mergeCell ref="L73:M73"/>
    <mergeCell ref="L74:M74"/>
    <mergeCell ref="L75:M75"/>
    <mergeCell ref="L76:M76"/>
    <mergeCell ref="L77:M77"/>
    <mergeCell ref="L78:M78"/>
    <mergeCell ref="L79:M79"/>
    <mergeCell ref="L80:M80"/>
    <mergeCell ref="A190:J190"/>
    <mergeCell ref="K190:L190"/>
    <mergeCell ref="M190:N190"/>
    <mergeCell ref="O190:P190"/>
    <mergeCell ref="Q190:R190"/>
    <mergeCell ref="M184:N184"/>
    <mergeCell ref="Q187:R187"/>
    <mergeCell ref="Q191:R191"/>
    <mergeCell ref="O189:P189"/>
    <mergeCell ref="O191:P191"/>
    <mergeCell ref="O185:P185"/>
    <mergeCell ref="O183:P183"/>
    <mergeCell ref="K147:L147"/>
    <mergeCell ref="A140:J140"/>
    <mergeCell ref="A138:J138"/>
    <mergeCell ref="A301:L301"/>
    <mergeCell ref="A209:L209"/>
    <mergeCell ref="A238:B238"/>
    <mergeCell ref="C238:D238"/>
    <mergeCell ref="A205:A207"/>
    <mergeCell ref="B206:J206"/>
    <mergeCell ref="B207:J207"/>
    <mergeCell ref="A208:L208"/>
    <mergeCell ref="K197:L197"/>
    <mergeCell ref="A257:B257"/>
    <mergeCell ref="K282:L283"/>
    <mergeCell ref="K284:L284"/>
    <mergeCell ref="A287:H287"/>
    <mergeCell ref="K287:L287"/>
    <mergeCell ref="C242:D242"/>
    <mergeCell ref="C243:D243"/>
    <mergeCell ref="C244:D244"/>
    <mergeCell ref="Q189:R189"/>
    <mergeCell ref="M189:N189"/>
    <mergeCell ref="M183:N183"/>
    <mergeCell ref="B128:L128"/>
    <mergeCell ref="K131:L131"/>
    <mergeCell ref="A132:J132"/>
    <mergeCell ref="A139:J139"/>
    <mergeCell ref="A165:L165"/>
    <mergeCell ref="A166:D166"/>
    <mergeCell ref="A135:J135"/>
    <mergeCell ref="K129:L129"/>
    <mergeCell ref="A136:J136"/>
    <mergeCell ref="A130:J130"/>
    <mergeCell ref="K141:L141"/>
    <mergeCell ref="A160:J160"/>
    <mergeCell ref="A161:J161"/>
    <mergeCell ref="A162:L162"/>
    <mergeCell ref="B175:J175"/>
    <mergeCell ref="B176:J176"/>
    <mergeCell ref="B177:J177"/>
    <mergeCell ref="M182:N182"/>
    <mergeCell ref="E170:G170"/>
    <mergeCell ref="H170:L170"/>
    <mergeCell ref="K144:L146"/>
    <mergeCell ref="K133:L133"/>
    <mergeCell ref="K135:L135"/>
    <mergeCell ref="K142:L142"/>
    <mergeCell ref="K157:L157"/>
    <mergeCell ref="K136:L136"/>
    <mergeCell ref="B137:L137"/>
    <mergeCell ref="A174:D174"/>
    <mergeCell ref="E174:G174"/>
    <mergeCell ref="H171:L171"/>
    <mergeCell ref="K138:L138"/>
    <mergeCell ref="A193:J193"/>
    <mergeCell ref="K188:L188"/>
    <mergeCell ref="A93:A96"/>
    <mergeCell ref="B95:J95"/>
    <mergeCell ref="K124:L124"/>
    <mergeCell ref="A116:C116"/>
    <mergeCell ref="D116:F116"/>
    <mergeCell ref="D114:F114"/>
    <mergeCell ref="G113:I113"/>
    <mergeCell ref="K121:L121"/>
    <mergeCell ref="G114:I114"/>
    <mergeCell ref="B124:J125"/>
    <mergeCell ref="K130:L130"/>
    <mergeCell ref="A124:A127"/>
    <mergeCell ref="B126:J126"/>
    <mergeCell ref="A131:J131"/>
    <mergeCell ref="G109:I109"/>
    <mergeCell ref="G110:I110"/>
    <mergeCell ref="G111:I111"/>
    <mergeCell ref="K122:L122"/>
    <mergeCell ref="E167:G167"/>
    <mergeCell ref="B164:L164"/>
    <mergeCell ref="K159:L161"/>
    <mergeCell ref="B93:J94"/>
    <mergeCell ref="A184:J184"/>
    <mergeCell ref="A179:J183"/>
    <mergeCell ref="K189:L189"/>
    <mergeCell ref="K193:L193"/>
    <mergeCell ref="A191:J191"/>
    <mergeCell ref="K191:L191"/>
    <mergeCell ref="O188:P188"/>
    <mergeCell ref="Q188:R188"/>
    <mergeCell ref="O182:P182"/>
    <mergeCell ref="Q182:R182"/>
    <mergeCell ref="K183:L183"/>
    <mergeCell ref="Q179:R179"/>
    <mergeCell ref="O179:P179"/>
    <mergeCell ref="M179:N179"/>
    <mergeCell ref="K179:L179"/>
    <mergeCell ref="Q183:R183"/>
    <mergeCell ref="M187:N187"/>
    <mergeCell ref="O187:P187"/>
    <mergeCell ref="M188:N188"/>
    <mergeCell ref="K182:L182"/>
    <mergeCell ref="K185:L185"/>
    <mergeCell ref="E172:G172"/>
    <mergeCell ref="H172:L172"/>
    <mergeCell ref="A178:R178"/>
    <mergeCell ref="H174:L174"/>
    <mergeCell ref="S60:U60"/>
    <mergeCell ref="S59:V59"/>
    <mergeCell ref="A154:J154"/>
    <mergeCell ref="A155:J155"/>
    <mergeCell ref="K154:L154"/>
    <mergeCell ref="K155:L155"/>
    <mergeCell ref="P49:P60"/>
    <mergeCell ref="K134:L134"/>
    <mergeCell ref="A225:L225"/>
    <mergeCell ref="A223:L223"/>
    <mergeCell ref="A224:L224"/>
    <mergeCell ref="L65:M65"/>
    <mergeCell ref="L66:M66"/>
    <mergeCell ref="L67:M67"/>
    <mergeCell ref="L68:M68"/>
    <mergeCell ref="L69:M69"/>
    <mergeCell ref="L70:M70"/>
    <mergeCell ref="L71:M71"/>
    <mergeCell ref="A75:B75"/>
    <mergeCell ref="K194:L194"/>
    <mergeCell ref="M191:N191"/>
    <mergeCell ref="A147:J147"/>
    <mergeCell ref="A163:A164"/>
    <mergeCell ref="B163:L163"/>
    <mergeCell ref="K176:L177"/>
    <mergeCell ref="A97:L97"/>
    <mergeCell ref="A98:L98"/>
    <mergeCell ref="Q185:R185"/>
    <mergeCell ref="O186:P186"/>
    <mergeCell ref="Q186:R186"/>
    <mergeCell ref="O184:P184"/>
    <mergeCell ref="Q184:R184"/>
    <mergeCell ref="B295:L295"/>
    <mergeCell ref="A288:H288"/>
    <mergeCell ref="A289:H289"/>
    <mergeCell ref="A290:H290"/>
    <mergeCell ref="K293:L293"/>
    <mergeCell ref="K281:L281"/>
    <mergeCell ref="H268:L268"/>
    <mergeCell ref="H278:L278"/>
    <mergeCell ref="A217:L217"/>
    <mergeCell ref="A218:L218"/>
    <mergeCell ref="A219:L219"/>
    <mergeCell ref="H266:L266"/>
    <mergeCell ref="H267:L267"/>
    <mergeCell ref="H239:I239"/>
    <mergeCell ref="E268:F268"/>
    <mergeCell ref="E258:G258"/>
    <mergeCell ref="B272:J272"/>
    <mergeCell ref="B271:J271"/>
    <mergeCell ref="E269:F269"/>
    <mergeCell ref="H257:I257"/>
    <mergeCell ref="H258:I258"/>
    <mergeCell ref="C245:D245"/>
    <mergeCell ref="C246:D246"/>
    <mergeCell ref="C247:D247"/>
    <mergeCell ref="B273:J273"/>
    <mergeCell ref="A259:J259"/>
    <mergeCell ref="A270:J270"/>
    <mergeCell ref="H279:L279"/>
    <mergeCell ref="H280:L280"/>
    <mergeCell ref="H264:L264"/>
    <mergeCell ref="H265:L265"/>
    <mergeCell ref="A274:E274"/>
    <mergeCell ref="K291:L291"/>
    <mergeCell ref="K292:L292"/>
    <mergeCell ref="A260:J260"/>
    <mergeCell ref="K260:L260"/>
    <mergeCell ref="A261:L261"/>
    <mergeCell ref="A264:F264"/>
    <mergeCell ref="A263:F263"/>
    <mergeCell ref="G264:G265"/>
    <mergeCell ref="H274:L274"/>
    <mergeCell ref="G275:G276"/>
    <mergeCell ref="A271:A273"/>
    <mergeCell ref="E267:F267"/>
    <mergeCell ref="H263:L263"/>
    <mergeCell ref="H275:L275"/>
    <mergeCell ref="H276:L276"/>
    <mergeCell ref="H277:L277"/>
    <mergeCell ref="A281:J281"/>
    <mergeCell ref="A275:E276"/>
    <mergeCell ref="F275:F276"/>
    <mergeCell ref="B283:J283"/>
    <mergeCell ref="A42:L42"/>
    <mergeCell ref="A43:L43"/>
    <mergeCell ref="A44:L44"/>
    <mergeCell ref="A45:L45"/>
    <mergeCell ref="A46:L46"/>
    <mergeCell ref="L48:M48"/>
    <mergeCell ref="L49:M51"/>
    <mergeCell ref="L52:M54"/>
    <mergeCell ref="L55:M60"/>
    <mergeCell ref="L61:M61"/>
    <mergeCell ref="L62:M62"/>
    <mergeCell ref="L63:M63"/>
    <mergeCell ref="L64:M64"/>
    <mergeCell ref="M185:N185"/>
    <mergeCell ref="A186:J186"/>
    <mergeCell ref="K186:L186"/>
    <mergeCell ref="M186:N186"/>
    <mergeCell ref="D104:F104"/>
    <mergeCell ref="G104:I104"/>
    <mergeCell ref="A106:C106"/>
    <mergeCell ref="A143:A146"/>
    <mergeCell ref="B145:J145"/>
    <mergeCell ref="A114:C114"/>
    <mergeCell ref="K125:L127"/>
    <mergeCell ref="A141:J141"/>
    <mergeCell ref="A142:J142"/>
    <mergeCell ref="D108:F108"/>
    <mergeCell ref="A105:C105"/>
    <mergeCell ref="A120:L120"/>
    <mergeCell ref="A149:J149"/>
    <mergeCell ref="K93:L93"/>
    <mergeCell ref="A134:J134"/>
    <mergeCell ref="L612:M613"/>
    <mergeCell ref="L564:M565"/>
    <mergeCell ref="L516:M517"/>
    <mergeCell ref="L500:M501"/>
    <mergeCell ref="L388:M389"/>
    <mergeCell ref="K153:L153"/>
    <mergeCell ref="A153:J153"/>
    <mergeCell ref="K152:L152"/>
    <mergeCell ref="A152:J152"/>
    <mergeCell ref="K150:L150"/>
    <mergeCell ref="A150:J150"/>
    <mergeCell ref="K149:L149"/>
    <mergeCell ref="A171:D172"/>
    <mergeCell ref="E166:G166"/>
    <mergeCell ref="H173:L173"/>
    <mergeCell ref="A189:J189"/>
    <mergeCell ref="A317:L317"/>
    <mergeCell ref="A156:L156"/>
    <mergeCell ref="L257:M257"/>
    <mergeCell ref="K270:L270"/>
    <mergeCell ref="K271:L272"/>
    <mergeCell ref="K273:L273"/>
    <mergeCell ref="A265:F265"/>
    <mergeCell ref="E266:F266"/>
    <mergeCell ref="B262:L262"/>
    <mergeCell ref="A322:L322"/>
    <mergeCell ref="B297:L297"/>
    <mergeCell ref="A291:H291"/>
    <mergeCell ref="A292:H292"/>
    <mergeCell ref="K288:L288"/>
    <mergeCell ref="K289:L289"/>
    <mergeCell ref="K290:L290"/>
  </mergeCells>
  <dataValidations count="20">
    <dataValidation type="list" allowBlank="1" showInputMessage="1" showErrorMessage="1" sqref="K184:R191 K159:L161 I287:I292 K614:L630 H152 G136:H136 H140 K129:L130 K138:L141 H201 K157:L157 K294:L294 K262:L262 K287:L292 K62:L81 N62:Q81 M106:M119 E238 K134:L135 K257:K258 I257:I258 K239:K240 H239:H258 J239:J258 I239:I240 L239:L258 M239:M240 M257:M258">
      <formula1>"Y,N,NA"</formula1>
    </dataValidation>
    <dataValidation type="date" operator="greaterThan" allowBlank="1" showInputMessage="1" showErrorMessage="1" errorTitle="DateError" error="End date must be later than begin date." sqref="L181">
      <formula1>K181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quot;From&quot; date must be later than previous &quot;To&quot; date." sqref="C278:C280">
      <formula1>E277</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sqref="B585 G62:G81 K181 K197:L197 B377 J106:J119 G4:J4 B601 K147:L147 K183:R183 C277 L2 B569 B553 B537 B521 B505 B489 B473 B457 B441 B425 B409 B393 B361 B345 B329 I62:J81 J2">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textLength" operator="greaterThan" allowBlank="1" showInputMessage="1" showErrorMessage="1" sqref="D3:F4">
      <formula1>1</formula1>
    </dataValidation>
    <dataValidation type="whole" allowBlank="1" showInputMessage="1" showErrorMessage="1" sqref="A2">
      <formula1>1</formula1>
      <formula2>99</formula2>
    </dataValidation>
    <dataValidation type="list" allowBlank="1" showInputMessage="1" showErrorMessage="1" sqref="D2">
      <formula1>"CBA,PHC,MDCP,DBMD,CLASS,HCS,TxHmL"</formula1>
    </dataValidation>
    <dataValidation type="list" allowBlank="1" showInputMessage="1" showErrorMessage="1" sqref="E62:E81">
      <formula1>"A,DR,LVN,RN,T,SE,EA"</formula1>
    </dataValidation>
    <dataValidation type="textLength" operator="lessThanOrEqual" allowBlank="1" showInputMessage="1" showErrorMessage="1" sqref="E601:F610 A106:I119 A62:D81 H266:L269 H277:L280 E329:F338 E345:F354 E361:F370 E377:F386 E393:F402 E409:F418 E425:F434 E441:F450 E457:F466 E473:F482 E489:F498 E505:F514 E521:F530 E537:F546 E553:F562 E569:F578 E585:F594 A239:D258">
      <formula1>255</formula1>
    </dataValidation>
    <dataValidation type="date" operator="greaterThanOrEqual" allowBlank="1" showInputMessage="1" showErrorMessage="1" sqref="J287:J292">
      <formula1>1</formula1>
    </dataValidation>
    <dataValidation type="date" operator="greaterThan" allowBlank="1" showInputMessage="1" showErrorMessage="1" errorTitle="Date Error" error="License expiration date must be later than begin date." sqref="K106:K119">
      <formula1>J106</formula1>
    </dataValidation>
    <dataValidation type="textLength" operator="lessThanOrEqual" allowBlank="1" showInputMessage="1" showErrorMessage="1" sqref="A329 A345 A361 A377 A393 A409 A425 A441 A457 A473 A489 A505 A521 A537 A553 A569 A585 A601">
      <formula1>10</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list" allowBlank="1" showInputMessage="1" showErrorMessage="1" sqref="H62:H81">
      <formula1>"Y,NA"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4"/>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28</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2" t="s">
        <v>157</v>
      </c>
      <c r="R180" s="373"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Mg9zHn855rKFIQQNALKbaIZavHUhHeEGHkoHpMVOpUNwnDiwe2ILyxa59LBBjwqkRVrglPR/Y592U3aNh9X1Cg==" saltValue="krcAX8WiT5/4RmOtWFih0A=="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7:I247"/>
    <mergeCell ref="J247:K247"/>
    <mergeCell ref="L247:M247"/>
    <mergeCell ref="A248:B248"/>
    <mergeCell ref="C248:D248"/>
    <mergeCell ref="H248:I248"/>
    <mergeCell ref="J248:K248"/>
    <mergeCell ref="L248:M248"/>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4:B244"/>
    <mergeCell ref="C244:D244"/>
    <mergeCell ref="H244:I244"/>
    <mergeCell ref="J244:K244"/>
    <mergeCell ref="L244:M244"/>
    <mergeCell ref="A245:B245"/>
    <mergeCell ref="C245:D245"/>
    <mergeCell ref="H245:I245"/>
    <mergeCell ref="J245:K245"/>
    <mergeCell ref="L245:M245"/>
    <mergeCell ref="A246:B246"/>
    <mergeCell ref="C246:D246"/>
    <mergeCell ref="H246:I246"/>
    <mergeCell ref="J246:K246"/>
    <mergeCell ref="L246:M246"/>
    <mergeCell ref="A247:B247"/>
    <mergeCell ref="C247:D247"/>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29</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2" t="s">
        <v>157</v>
      </c>
      <c r="R180" s="373"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wHeVa3b7SmPq9N3d5Fa0DotTdZC4EAApy1HxzCofSEkk0wTRVM7FhsBQ6AvbE0xzfUfDz1Z5SBXp/NYeEYOxQQ==" saltValue="XVySraF30EJ2dlS5/snHMA=="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7:I247"/>
    <mergeCell ref="J247:K247"/>
    <mergeCell ref="L247:M247"/>
    <mergeCell ref="A248:B248"/>
    <mergeCell ref="C248:D248"/>
    <mergeCell ref="H248:I248"/>
    <mergeCell ref="J248:K248"/>
    <mergeCell ref="L248:M248"/>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4:B244"/>
    <mergeCell ref="C244:D244"/>
    <mergeCell ref="H244:I244"/>
    <mergeCell ref="J244:K244"/>
    <mergeCell ref="L244:M244"/>
    <mergeCell ref="A245:B245"/>
    <mergeCell ref="C245:D245"/>
    <mergeCell ref="H245:I245"/>
    <mergeCell ref="J245:K245"/>
    <mergeCell ref="L245:M245"/>
    <mergeCell ref="A246:B246"/>
    <mergeCell ref="C246:D246"/>
    <mergeCell ref="H246:I246"/>
    <mergeCell ref="J246:K246"/>
    <mergeCell ref="L246:M246"/>
    <mergeCell ref="A247:B247"/>
    <mergeCell ref="C247:D247"/>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30</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722" t="str">
        <f>IF(Std2NotCalc="","",IF(Std2NotCalc="N","NA",IF(COUNTIF(STD_II_COL_F,"E")&gt;0,"",IF(COUNTIF(STD_II_COL_F,"EE")&gt;0,"",IF(COUNTIF(STD_II_COL_F,"N")&gt;0,"N",IF((COUNTIF(STD_II_COL_F,"NA")+COUNTBLANK(STD_II_COL_F))=20,"NA","Y"))))))</f>
        <v/>
      </c>
      <c r="L88" s="7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2" t="s">
        <v>157</v>
      </c>
      <c r="R180" s="373"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tvQ9cPfCCIDvfJmHAaYcFCB2oe17IIwFV24URJH8AhgGc5DKEusUT1240fe1V8Bs+D9z6ttW2TOKXQ86PssLHA==" saltValue="dF5e/+6uPCKxXCX1hogtew=="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7:I247"/>
    <mergeCell ref="J247:K247"/>
    <mergeCell ref="L247:M247"/>
    <mergeCell ref="A248:B248"/>
    <mergeCell ref="C248:D248"/>
    <mergeCell ref="H248:I248"/>
    <mergeCell ref="J248:K248"/>
    <mergeCell ref="L248:M248"/>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4:B244"/>
    <mergeCell ref="C244:D244"/>
    <mergeCell ref="H244:I244"/>
    <mergeCell ref="J244:K244"/>
    <mergeCell ref="L244:M244"/>
    <mergeCell ref="A245:B245"/>
    <mergeCell ref="C245:D245"/>
    <mergeCell ref="H245:I245"/>
    <mergeCell ref="J245:K245"/>
    <mergeCell ref="L245:M245"/>
    <mergeCell ref="A246:B246"/>
    <mergeCell ref="C246:D246"/>
    <mergeCell ref="H246:I246"/>
    <mergeCell ref="J246:K246"/>
    <mergeCell ref="L246:M246"/>
    <mergeCell ref="A247:B247"/>
    <mergeCell ref="C247:D247"/>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N47"/>
  <sheetViews>
    <sheetView zoomScaleNormal="100" workbookViewId="0">
      <selection activeCell="A2" sqref="A2:E2"/>
    </sheetView>
  </sheetViews>
  <sheetFormatPr defaultRowHeight="15"/>
  <cols>
    <col min="2" max="2" width="18.42578125" customWidth="1"/>
    <col min="7" max="7" width="10.140625" bestFit="1" customWidth="1"/>
    <col min="10" max="10" width="15" customWidth="1"/>
    <col min="13" max="13" width="19.7109375" customWidth="1"/>
  </cols>
  <sheetData>
    <row r="1" spans="1:13" s="1" customFormat="1" ht="16.5" thickTop="1" thickBot="1">
      <c r="A1" s="1086" t="s">
        <v>0</v>
      </c>
      <c r="B1" s="1087"/>
      <c r="C1" s="1087"/>
      <c r="D1" s="1087"/>
      <c r="E1" s="1087"/>
      <c r="F1" s="1087" t="s">
        <v>1</v>
      </c>
      <c r="G1" s="1087"/>
      <c r="H1" s="1087" t="s">
        <v>2</v>
      </c>
      <c r="I1" s="1087"/>
      <c r="J1" s="1088"/>
    </row>
    <row r="2" spans="1:13" s="1" customFormat="1" ht="15.75" thickBot="1">
      <c r="A2" s="1089" t="str">
        <f>IF(NameOfLegalEntity="","",NameOfLegalEntity)</f>
        <v/>
      </c>
      <c r="B2" s="1090"/>
      <c r="C2" s="1090"/>
      <c r="D2" s="1090"/>
      <c r="E2" s="1090"/>
      <c r="F2" s="1091" t="str">
        <f>IF(ReviewLevel="","",ReviewLevel)</f>
        <v/>
      </c>
      <c r="G2" s="1091"/>
      <c r="H2" s="1091" t="str">
        <f>IF(ReviewType="","",ReviewType)</f>
        <v/>
      </c>
      <c r="I2" s="1091"/>
      <c r="J2" s="1092"/>
    </row>
    <row r="3" spans="1:13" s="1" customFormat="1" ht="16.5" customHeight="1" thickBot="1">
      <c r="A3" s="1093" t="s">
        <v>3</v>
      </c>
      <c r="B3" s="1094"/>
      <c r="C3" s="1094" t="s">
        <v>4</v>
      </c>
      <c r="D3" s="1094"/>
      <c r="E3" s="1094" t="s">
        <v>5</v>
      </c>
      <c r="F3" s="1094"/>
      <c r="G3" s="1094" t="s">
        <v>5</v>
      </c>
      <c r="H3" s="1094"/>
      <c r="I3" s="1094" t="s">
        <v>607</v>
      </c>
      <c r="J3" s="1131"/>
    </row>
    <row r="4" spans="1:13" s="1" customFormat="1" ht="16.5" customHeight="1" thickBot="1">
      <c r="A4" s="292" t="s">
        <v>7</v>
      </c>
      <c r="B4" s="291" t="str">
        <f>IF(CompletedByLastName="","",CompletedByLastName)</f>
        <v/>
      </c>
      <c r="C4" s="1094" t="s">
        <v>8</v>
      </c>
      <c r="D4" s="1094"/>
      <c r="E4" s="1094" t="s">
        <v>9</v>
      </c>
      <c r="F4" s="1094"/>
      <c r="G4" s="1094" t="s">
        <v>630</v>
      </c>
      <c r="H4" s="1094"/>
      <c r="I4" s="288" t="s">
        <v>10</v>
      </c>
      <c r="J4" s="293" t="str">
        <f>IF(MonitoringPeriodBeginDate="","",MonitoringPeriodBeginDate)</f>
        <v/>
      </c>
    </row>
    <row r="5" spans="1:13" s="1" customFormat="1" ht="15.75" thickBot="1">
      <c r="A5" s="292" t="s">
        <v>11</v>
      </c>
      <c r="B5" s="291" t="str">
        <f>IF(CompletedByFirstName="","",CompletedByFirstName)</f>
        <v/>
      </c>
      <c r="C5" s="1115" t="str">
        <f>IF(DateOfEntrance="","",DateOfEntrance)</f>
        <v/>
      </c>
      <c r="D5" s="1115"/>
      <c r="E5" s="1115" t="str">
        <f>IF(DateOfExit="","",DateOfExit)</f>
        <v/>
      </c>
      <c r="F5" s="1115"/>
      <c r="G5" s="1115" t="str">
        <f>IF(DateOfExitRevised="","",DateOfExitRevised)</f>
        <v/>
      </c>
      <c r="H5" s="1115"/>
      <c r="I5" s="288" t="s">
        <v>12</v>
      </c>
      <c r="J5" s="293" t="str">
        <f>IF(MonitoringPeriodEndDate="","",MonitoringPeriodEndDate)</f>
        <v/>
      </c>
    </row>
    <row r="6" spans="1:13" s="147" customFormat="1" ht="15.75" customHeight="1" thickBot="1">
      <c r="A6" s="1135" t="s">
        <v>13</v>
      </c>
      <c r="B6" s="548"/>
      <c r="C6" s="548" t="s">
        <v>78</v>
      </c>
      <c r="D6" s="548"/>
      <c r="E6" s="548"/>
      <c r="F6" s="1136" t="s">
        <v>242</v>
      </c>
      <c r="G6" s="1137"/>
      <c r="H6" s="548" t="s">
        <v>13</v>
      </c>
      <c r="I6" s="548"/>
      <c r="J6" s="548" t="s">
        <v>78</v>
      </c>
      <c r="K6" s="548"/>
      <c r="L6" s="1138"/>
      <c r="M6" s="337" t="s">
        <v>242</v>
      </c>
    </row>
    <row r="7" spans="1:13" s="147" customFormat="1" ht="15" customHeight="1" thickBot="1">
      <c r="A7" s="439" t="s">
        <v>67</v>
      </c>
      <c r="B7" s="429"/>
      <c r="C7" s="1116" t="str">
        <f>IF(CdsCbaContractNumber="","",CdsCbaContractNumber)</f>
        <v/>
      </c>
      <c r="D7" s="1116"/>
      <c r="E7" s="1116"/>
      <c r="F7" s="1095">
        <f>IF(CdsCbaAmountDue="","",CdsCbaAmountDue)</f>
        <v>0</v>
      </c>
      <c r="G7" s="1096"/>
      <c r="H7" s="439" t="s">
        <v>72</v>
      </c>
      <c r="I7" s="429"/>
      <c r="J7" s="542" t="str">
        <f>IF(CdsHcsContractNumber08="","",CdsHcsContractNumber08)</f>
        <v/>
      </c>
      <c r="K7" s="543"/>
      <c r="L7" s="543"/>
      <c r="M7" s="338">
        <f>IF(CdsHcsAmountDue08="","",CdsHcsAmountDue08)</f>
        <v>0</v>
      </c>
    </row>
    <row r="8" spans="1:13" s="147" customFormat="1" ht="15" customHeight="1" thickBot="1">
      <c r="A8" s="429" t="s">
        <v>71</v>
      </c>
      <c r="B8" s="429"/>
      <c r="C8" s="546" t="str">
        <f>IF(CdsClassContractNumber="","",CdsClassContractNumber)</f>
        <v/>
      </c>
      <c r="D8" s="546"/>
      <c r="E8" s="538"/>
      <c r="F8" s="1095">
        <f>IF(CdsClassAmountDue="","",CdsClassAmountDue)</f>
        <v>0</v>
      </c>
      <c r="G8" s="1096"/>
      <c r="H8" s="439" t="s">
        <v>72</v>
      </c>
      <c r="I8" s="429"/>
      <c r="J8" s="538" t="str">
        <f>IF(CdsHcsContractNumber09="","",CdsHcsContractNumber09)</f>
        <v/>
      </c>
      <c r="K8" s="539"/>
      <c r="L8" s="539"/>
      <c r="M8" s="338">
        <f>IF(CdsHcsAmountDue09="","",CdsHcsAmountDue09)</f>
        <v>0</v>
      </c>
    </row>
    <row r="9" spans="1:13" s="147" customFormat="1" ht="15" customHeight="1" thickBot="1">
      <c r="A9" s="525" t="s">
        <v>70</v>
      </c>
      <c r="B9" s="526"/>
      <c r="C9" s="542" t="str">
        <f>IF(CdsDbmdContractNumber="","",CdsDbmdContractNumber)</f>
        <v/>
      </c>
      <c r="D9" s="543"/>
      <c r="E9" s="543"/>
      <c r="F9" s="1095">
        <f>IF(CdsDbmdAmountDue="","",CdsDbmdAmountDue)</f>
        <v>0</v>
      </c>
      <c r="G9" s="1096"/>
      <c r="H9" s="439" t="s">
        <v>73</v>
      </c>
      <c r="I9" s="429"/>
      <c r="J9" s="538" t="str">
        <f>IF(CdsTxHmlContractNumber01="","",CdsTxHmlContractNumber01)</f>
        <v/>
      </c>
      <c r="K9" s="539"/>
      <c r="L9" s="539"/>
      <c r="M9" s="338">
        <f>IF(CdsTxhmlAmountDue01="","",CdsTxhmlAmountDue01)</f>
        <v>0</v>
      </c>
    </row>
    <row r="10" spans="1:13" s="147" customFormat="1" ht="15" customHeight="1" thickBot="1">
      <c r="A10" s="439" t="s">
        <v>68</v>
      </c>
      <c r="B10" s="429"/>
      <c r="C10" s="546" t="str">
        <f>IF(CdsMdcpContractNumber="","",CdsMdcpContractNumber)</f>
        <v/>
      </c>
      <c r="D10" s="546"/>
      <c r="E10" s="538"/>
      <c r="F10" s="1095">
        <f>IF(CdsMdcpAmountDue="","",CdsMdcpAmountDue)</f>
        <v>0</v>
      </c>
      <c r="G10" s="1096"/>
      <c r="H10" s="439" t="s">
        <v>73</v>
      </c>
      <c r="I10" s="429"/>
      <c r="J10" s="538" t="str">
        <f>IF(CdsTxHmlContractNumber02="","",CdsTxHmlContractNumber02)</f>
        <v/>
      </c>
      <c r="K10" s="539"/>
      <c r="L10" s="539"/>
      <c r="M10" s="338">
        <f>IF(CdsTxhmlAmountDue02="","",CdsTxhmlAmountDue02)</f>
        <v>0</v>
      </c>
    </row>
    <row r="11" spans="1:13" s="147" customFormat="1" ht="15" customHeight="1" thickBot="1">
      <c r="A11" s="439" t="s">
        <v>779</v>
      </c>
      <c r="B11" s="429"/>
      <c r="C11" s="546" t="str">
        <f>IF(CdsPhcFcCasContractNumber="","",CdsPhcFcCasContractNumber)</f>
        <v/>
      </c>
      <c r="D11" s="546"/>
      <c r="E11" s="538"/>
      <c r="F11" s="1095">
        <f>IF(CdsPhcAmountDue="","",CdsPhcAmountDue)</f>
        <v>0</v>
      </c>
      <c r="G11" s="1096"/>
      <c r="H11" s="439" t="s">
        <v>73</v>
      </c>
      <c r="I11" s="429"/>
      <c r="J11" s="538" t="str">
        <f>IF(CdsTxHmlContractNumber03="","",CdsTxHmlContractNumber03)</f>
        <v/>
      </c>
      <c r="K11" s="539"/>
      <c r="L11" s="539"/>
      <c r="M11" s="338">
        <f>IF(CdsTxhmlAmountDue03="","",CdsTxhmlAmountDue03)</f>
        <v>0</v>
      </c>
    </row>
    <row r="12" spans="1:13" s="147" customFormat="1" ht="15" customHeight="1" thickBot="1">
      <c r="A12" s="439" t="s">
        <v>72</v>
      </c>
      <c r="B12" s="429"/>
      <c r="C12" s="542" t="str">
        <f>IF(CdsHcsContractNumber01="","",CdsHcsContractNumber01)</f>
        <v/>
      </c>
      <c r="D12" s="543"/>
      <c r="E12" s="543"/>
      <c r="F12" s="1095">
        <f>IF(CdsHcsAmountDue01="","",CdsHcsAmountDue01)</f>
        <v>0</v>
      </c>
      <c r="G12" s="1096"/>
      <c r="H12" s="439" t="s">
        <v>73</v>
      </c>
      <c r="I12" s="429"/>
      <c r="J12" s="538" t="str">
        <f>IF(CdsTxHmlContractNumber04="","",CdsTxHmlContractNumber04)</f>
        <v/>
      </c>
      <c r="K12" s="539"/>
      <c r="L12" s="539"/>
      <c r="M12" s="338">
        <f>IF(CdsTxhmlAmountDue04="","",CdsTxhmlAmountDue04)</f>
        <v>0</v>
      </c>
    </row>
    <row r="13" spans="1:13" s="147" customFormat="1" ht="15" customHeight="1" thickBot="1">
      <c r="A13" s="439" t="s">
        <v>72</v>
      </c>
      <c r="B13" s="429"/>
      <c r="C13" s="542" t="str">
        <f>IF(CdsHcsContractNumber02="","",CdsHcsContractNumber02)</f>
        <v/>
      </c>
      <c r="D13" s="543"/>
      <c r="E13" s="543"/>
      <c r="F13" s="1095">
        <f>IF(CdsHcsAmountDue02="","",CdsHcsAmountDue02)</f>
        <v>0</v>
      </c>
      <c r="G13" s="1096"/>
      <c r="H13" s="439" t="s">
        <v>73</v>
      </c>
      <c r="I13" s="429"/>
      <c r="J13" s="538" t="str">
        <f>IF(CdsTxHmlContractNumber05="","",CdsTxHmlContractNumber05)</f>
        <v/>
      </c>
      <c r="K13" s="539"/>
      <c r="L13" s="539"/>
      <c r="M13" s="338">
        <f>IF(CdsTxhmlAmountDue05="","",CdsTxhmlAmountDue05)</f>
        <v>0</v>
      </c>
    </row>
    <row r="14" spans="1:13" s="147" customFormat="1" ht="15" customHeight="1" thickBot="1">
      <c r="A14" s="439" t="s">
        <v>72</v>
      </c>
      <c r="B14" s="429"/>
      <c r="C14" s="542" t="str">
        <f>IF(CdsHcsContractNumber03="","",CdsHcsContractNumber03)</f>
        <v/>
      </c>
      <c r="D14" s="543"/>
      <c r="E14" s="543"/>
      <c r="F14" s="1095">
        <f>IF(CdsHcsAmountDue03="","",CdsHcsAmountDue03)</f>
        <v>0</v>
      </c>
      <c r="G14" s="1096"/>
      <c r="H14" s="439" t="s">
        <v>73</v>
      </c>
      <c r="I14" s="429"/>
      <c r="J14" s="538" t="str">
        <f>IF(CdsTxHmlContractNumber06="","",CdsTxHmlContractNumber06)</f>
        <v/>
      </c>
      <c r="K14" s="539"/>
      <c r="L14" s="539"/>
      <c r="M14" s="338">
        <f>IF(CdsTxhmlAmountDue06="","",CdsTxhmlAmountDue06)</f>
        <v>0</v>
      </c>
    </row>
    <row r="15" spans="1:13" s="147" customFormat="1" ht="15" customHeight="1" thickBot="1">
      <c r="A15" s="439" t="s">
        <v>72</v>
      </c>
      <c r="B15" s="429"/>
      <c r="C15" s="542" t="str">
        <f>IF(CdsHcsContractNumber04="","",CdsHcsContractNumber04)</f>
        <v/>
      </c>
      <c r="D15" s="543"/>
      <c r="E15" s="543"/>
      <c r="F15" s="1095">
        <f>IF(CdsHcsAmountDue04="","",CdsHcsAmountDue04)</f>
        <v>0</v>
      </c>
      <c r="G15" s="1096"/>
      <c r="H15" s="439" t="s">
        <v>73</v>
      </c>
      <c r="I15" s="429"/>
      <c r="J15" s="538" t="str">
        <f>IF(CdsTxHmlContractNumber07="","",CdsTxHmlContractNumber07)</f>
        <v/>
      </c>
      <c r="K15" s="539"/>
      <c r="L15" s="539"/>
      <c r="M15" s="338">
        <f>IF(CdsTxhmlAmountDue07="","",CdsTxhmlAmountDue07)</f>
        <v>0</v>
      </c>
    </row>
    <row r="16" spans="1:13" s="147" customFormat="1" ht="15" customHeight="1" thickBot="1">
      <c r="A16" s="439" t="s">
        <v>72</v>
      </c>
      <c r="B16" s="429"/>
      <c r="C16" s="542" t="str">
        <f>IF(CdsHcsContractNumber05="","",CdsHcsContractNumber05)</f>
        <v/>
      </c>
      <c r="D16" s="543"/>
      <c r="E16" s="543"/>
      <c r="F16" s="1095">
        <f>IF(CdsHcsAmountDue05="","",CdsHcsAmountDue05)</f>
        <v>0</v>
      </c>
      <c r="G16" s="1096"/>
      <c r="H16" s="439" t="s">
        <v>73</v>
      </c>
      <c r="I16" s="429"/>
      <c r="J16" s="538" t="str">
        <f>IF(CdsTxHmlContractNumber08="","",CdsTxHmlContractNumber08)</f>
        <v/>
      </c>
      <c r="K16" s="539"/>
      <c r="L16" s="539"/>
      <c r="M16" s="338">
        <f>IF(CdsTxhmlAmountDue08="","",CdsTxhmlAmountDue08)</f>
        <v>0</v>
      </c>
    </row>
    <row r="17" spans="1:14" s="147" customFormat="1" ht="15" customHeight="1" thickBot="1">
      <c r="A17" s="439" t="s">
        <v>72</v>
      </c>
      <c r="B17" s="429"/>
      <c r="C17" s="542" t="str">
        <f>IF(CdsHcsContractNumber06="","",CdsHcsContractNumber06)</f>
        <v/>
      </c>
      <c r="D17" s="543"/>
      <c r="E17" s="543"/>
      <c r="F17" s="1095">
        <f>IF(CdsHcsAmountDue06="","",CdsHcsAmountDue06)</f>
        <v>0</v>
      </c>
      <c r="G17" s="1096"/>
      <c r="H17" s="439" t="s">
        <v>73</v>
      </c>
      <c r="I17" s="429"/>
      <c r="J17" s="538" t="str">
        <f>IF(CdsTxHmlContractNumber09="","",CdsTxHmlContractNumber09)</f>
        <v/>
      </c>
      <c r="K17" s="539"/>
      <c r="L17" s="539"/>
      <c r="M17" s="338">
        <f>IF(CdsTxhmlAmountDue09="","",CdsTxhmlAmountDue09)</f>
        <v>0</v>
      </c>
      <c r="N17" s="39"/>
    </row>
    <row r="18" spans="1:14" s="147" customFormat="1" ht="15" customHeight="1" thickBot="1">
      <c r="A18" s="439" t="s">
        <v>72</v>
      </c>
      <c r="B18" s="429"/>
      <c r="C18" s="538" t="str">
        <f>IF(CdsHcsContractNumber07="","",CdsHcsContractNumber07)</f>
        <v/>
      </c>
      <c r="D18" s="539"/>
      <c r="E18" s="539"/>
      <c r="F18" s="1095">
        <f>IF(CdsHcsAmountDue07="","",CdsHcsAmountDue07)</f>
        <v>0</v>
      </c>
      <c r="G18" s="1096"/>
      <c r="H18" s="1132"/>
      <c r="I18" s="1133"/>
      <c r="J18" s="1133"/>
      <c r="K18" s="1133"/>
      <c r="L18" s="1133"/>
      <c r="M18" s="1134"/>
    </row>
    <row r="19" spans="1:14" s="1" customFormat="1" ht="15.75" customHeight="1" thickTop="1">
      <c r="A19" s="1117" t="s">
        <v>22</v>
      </c>
      <c r="B19" s="1118"/>
      <c r="C19" s="1118"/>
      <c r="D19" s="1118"/>
      <c r="E19" s="1118"/>
      <c r="F19" s="1119"/>
      <c r="G19" s="122" t="s">
        <v>23</v>
      </c>
      <c r="H19" s="122" t="s">
        <v>24</v>
      </c>
      <c r="I19" s="122" t="s">
        <v>25</v>
      </c>
      <c r="J19" s="122" t="s">
        <v>26</v>
      </c>
    </row>
    <row r="20" spans="1:14" s="1" customFormat="1" ht="17.25" customHeight="1">
      <c r="A20" s="1120"/>
      <c r="B20" s="1121"/>
      <c r="C20" s="1121"/>
      <c r="D20" s="1121"/>
      <c r="E20" s="1121"/>
      <c r="F20" s="1122"/>
      <c r="G20" s="1126" t="s">
        <v>17</v>
      </c>
      <c r="H20" s="1126" t="s">
        <v>18</v>
      </c>
      <c r="I20" s="123" t="s">
        <v>27</v>
      </c>
      <c r="J20" s="123" t="s">
        <v>28</v>
      </c>
    </row>
    <row r="21" spans="1:14" s="1" customFormat="1" ht="25.5" customHeight="1" thickBot="1">
      <c r="A21" s="1123"/>
      <c r="B21" s="1124"/>
      <c r="C21" s="1124"/>
      <c r="D21" s="1124"/>
      <c r="E21" s="1124"/>
      <c r="F21" s="1125"/>
      <c r="G21" s="1127"/>
      <c r="H21" s="1127"/>
      <c r="I21" s="124" t="s">
        <v>29</v>
      </c>
      <c r="J21" s="124" t="s">
        <v>30</v>
      </c>
    </row>
    <row r="22" spans="1:14" s="1" customFormat="1" ht="15.75" customHeight="1" thickTop="1">
      <c r="A22" s="1128" t="s">
        <v>31</v>
      </c>
      <c r="B22" s="1129"/>
      <c r="C22" s="1129"/>
      <c r="D22" s="1129"/>
      <c r="E22" s="1129"/>
      <c r="F22" s="1130"/>
      <c r="G22" s="1076">
        <f xml:space="preserve"> Standard_I_Total_Yes</f>
        <v>0</v>
      </c>
      <c r="H22" s="1076">
        <f>Standard_I_Total_No</f>
        <v>0</v>
      </c>
      <c r="I22" s="1076">
        <f xml:space="preserve"> Standard_I_Total_Yes + Standard_I_Total_No</f>
        <v>0</v>
      </c>
      <c r="J22" s="1078" t="str">
        <f>IF(I22 &lt;&gt; 0, G22/I22, "")</f>
        <v/>
      </c>
    </row>
    <row r="23" spans="1:14" s="1" customFormat="1" ht="15.75" customHeight="1" thickBot="1">
      <c r="A23" s="1073" t="s">
        <v>266</v>
      </c>
      <c r="B23" s="1074"/>
      <c r="C23" s="1074"/>
      <c r="D23" s="1074"/>
      <c r="E23" s="1074"/>
      <c r="F23" s="1075"/>
      <c r="G23" s="1077"/>
      <c r="H23" s="1077"/>
      <c r="I23" s="1077"/>
      <c r="J23" s="1079"/>
    </row>
    <row r="24" spans="1:14" s="1" customFormat="1" ht="15.75" customHeight="1" thickTop="1">
      <c r="A24" s="1080" t="s">
        <v>32</v>
      </c>
      <c r="B24" s="1081"/>
      <c r="C24" s="1081"/>
      <c r="D24" s="1081"/>
      <c r="E24" s="1081"/>
      <c r="F24" s="1082"/>
      <c r="G24" s="1076">
        <f ca="1" xml:space="preserve"> Standard_II_Total_Yes</f>
        <v>0</v>
      </c>
      <c r="H24" s="1076">
        <f ca="1">Standard_II_Total_No</f>
        <v>0</v>
      </c>
      <c r="I24" s="1076">
        <f ca="1" xml:space="preserve"> Standard_II_Total_Yes + Standard_II_Total_No</f>
        <v>0</v>
      </c>
      <c r="J24" s="1078" t="str">
        <f ca="1">IF(I24 &lt;&gt; 0, G24/I24, "")</f>
        <v/>
      </c>
    </row>
    <row r="25" spans="1:14" s="1" customFormat="1" ht="15.75" customHeight="1" thickBot="1">
      <c r="A25" s="1073" t="s">
        <v>60</v>
      </c>
      <c r="B25" s="1074"/>
      <c r="C25" s="1074"/>
      <c r="D25" s="1074"/>
      <c r="E25" s="1074"/>
      <c r="F25" s="1075"/>
      <c r="G25" s="1077"/>
      <c r="H25" s="1077"/>
      <c r="I25" s="1077"/>
      <c r="J25" s="1079"/>
    </row>
    <row r="26" spans="1:14" s="1" customFormat="1" ht="15.75" customHeight="1" thickTop="1">
      <c r="A26" s="1080" t="s">
        <v>33</v>
      </c>
      <c r="B26" s="1081"/>
      <c r="C26" s="1081"/>
      <c r="D26" s="1081"/>
      <c r="E26" s="1081"/>
      <c r="F26" s="1082"/>
      <c r="G26" s="1076">
        <f ca="1" xml:space="preserve"> Standard_III_Total_Yes</f>
        <v>0</v>
      </c>
      <c r="H26" s="1076">
        <f ca="1">Standard_III_Total_No</f>
        <v>0</v>
      </c>
      <c r="I26" s="1076">
        <f ca="1" xml:space="preserve"> Standard_III_Total_Yes + Standard_III_Total_No</f>
        <v>0</v>
      </c>
      <c r="J26" s="1078" t="str">
        <f ca="1">IF(I26 &lt;&gt; 0, G26/I26, "")</f>
        <v/>
      </c>
    </row>
    <row r="27" spans="1:14" s="1" customFormat="1" ht="15.75" customHeight="1" thickBot="1">
      <c r="A27" s="1073" t="s">
        <v>61</v>
      </c>
      <c r="B27" s="1074"/>
      <c r="C27" s="1074"/>
      <c r="D27" s="1074"/>
      <c r="E27" s="1074"/>
      <c r="F27" s="1075"/>
      <c r="G27" s="1077"/>
      <c r="H27" s="1077"/>
      <c r="I27" s="1077"/>
      <c r="J27" s="1079"/>
    </row>
    <row r="28" spans="1:14" s="1" customFormat="1" ht="15.75" customHeight="1" thickTop="1">
      <c r="A28" s="1080" t="s">
        <v>34</v>
      </c>
      <c r="B28" s="1081"/>
      <c r="C28" s="1081"/>
      <c r="D28" s="1081"/>
      <c r="E28" s="1081"/>
      <c r="F28" s="1082"/>
      <c r="G28" s="1076">
        <f ca="1">Standard_IV_Total_Yes</f>
        <v>0</v>
      </c>
      <c r="H28" s="1076">
        <f ca="1">Standard_IV_Total_No</f>
        <v>0</v>
      </c>
      <c r="I28" s="1076">
        <f ca="1" xml:space="preserve"> Standard_IV_Total_Yes + Standard_IV_Total_No</f>
        <v>0</v>
      </c>
      <c r="J28" s="1078" t="str">
        <f ca="1">IF(I28 &lt;&gt; 0, G28/I28, "")</f>
        <v/>
      </c>
    </row>
    <row r="29" spans="1:14" s="1" customFormat="1" ht="15.75" customHeight="1" thickBot="1">
      <c r="A29" s="1073" t="s">
        <v>62</v>
      </c>
      <c r="B29" s="1074"/>
      <c r="C29" s="1074"/>
      <c r="D29" s="1074"/>
      <c r="E29" s="1074"/>
      <c r="F29" s="1075"/>
      <c r="G29" s="1077"/>
      <c r="H29" s="1077"/>
      <c r="I29" s="1077"/>
      <c r="J29" s="1079"/>
    </row>
    <row r="30" spans="1:14" s="1" customFormat="1" ht="15.75" customHeight="1" thickTop="1">
      <c r="A30" s="1080" t="s">
        <v>35</v>
      </c>
      <c r="B30" s="1081"/>
      <c r="C30" s="1081"/>
      <c r="D30" s="1081"/>
      <c r="E30" s="1081"/>
      <c r="F30" s="1082"/>
      <c r="G30" s="1076">
        <f ca="1">Standard_VI_Total_Yes</f>
        <v>0</v>
      </c>
      <c r="H30" s="1076">
        <f ca="1">Standard_VI_Total_No</f>
        <v>0</v>
      </c>
      <c r="I30" s="1076">
        <f ca="1" xml:space="preserve"> Standard_VI_Total_Yes + Standard_VI_Total_No</f>
        <v>0</v>
      </c>
      <c r="J30" s="1078" t="str">
        <f ca="1">IF(I30 &lt;&gt; 0, G30/I30, "")</f>
        <v/>
      </c>
    </row>
    <row r="31" spans="1:14" s="1" customFormat="1" ht="15.75" customHeight="1" thickBot="1">
      <c r="A31" s="1073" t="s">
        <v>63</v>
      </c>
      <c r="B31" s="1074"/>
      <c r="C31" s="1074"/>
      <c r="D31" s="1074"/>
      <c r="E31" s="1074"/>
      <c r="F31" s="1075"/>
      <c r="G31" s="1077"/>
      <c r="H31" s="1077"/>
      <c r="I31" s="1077"/>
      <c r="J31" s="1079"/>
    </row>
    <row r="32" spans="1:14" s="1" customFormat="1" ht="15.75" customHeight="1" thickTop="1">
      <c r="A32" s="1080" t="s">
        <v>36</v>
      </c>
      <c r="B32" s="1081"/>
      <c r="C32" s="1081"/>
      <c r="D32" s="1081"/>
      <c r="E32" s="1081"/>
      <c r="F32" s="1082"/>
      <c r="G32" s="1076">
        <f ca="1">Standard_VII_Total_Yes</f>
        <v>0</v>
      </c>
      <c r="H32" s="1076">
        <f ca="1">Standard_VII_Total_No</f>
        <v>0</v>
      </c>
      <c r="I32" s="1076">
        <f ca="1" xml:space="preserve"> Standard_VII_Total_Yes + Standard_VII_Total_No</f>
        <v>0</v>
      </c>
      <c r="J32" s="1078" t="str">
        <f ca="1">IF(I32 &lt;&gt; 0, G32/I32, "")</f>
        <v/>
      </c>
    </row>
    <row r="33" spans="1:10" s="1" customFormat="1" ht="15.75" customHeight="1" thickBot="1">
      <c r="A33" s="1073" t="s">
        <v>64</v>
      </c>
      <c r="B33" s="1074"/>
      <c r="C33" s="1074"/>
      <c r="D33" s="1074"/>
      <c r="E33" s="1074"/>
      <c r="F33" s="1075"/>
      <c r="G33" s="1077"/>
      <c r="H33" s="1077"/>
      <c r="I33" s="1077"/>
      <c r="J33" s="1079"/>
    </row>
    <row r="34" spans="1:10" s="1" customFormat="1" ht="15.75" customHeight="1" thickTop="1">
      <c r="A34" s="1080" t="s">
        <v>37</v>
      </c>
      <c r="B34" s="1081"/>
      <c r="C34" s="1081"/>
      <c r="D34" s="1081"/>
      <c r="E34" s="1081"/>
      <c r="F34" s="1082"/>
      <c r="G34" s="1076">
        <f ca="1">Standard_VIII_Total_Yes</f>
        <v>0</v>
      </c>
      <c r="H34" s="1076">
        <f ca="1">Standard_VIII_Total_No</f>
        <v>0</v>
      </c>
      <c r="I34" s="1076">
        <f ca="1" xml:space="preserve"> Standard_VIII_Total_Yes + Standard_VIII_Total_No</f>
        <v>0</v>
      </c>
      <c r="J34" s="1078" t="str">
        <f ca="1">IF(I34 &lt;&gt; 0, G34/I34, "")</f>
        <v/>
      </c>
    </row>
    <row r="35" spans="1:10" s="1" customFormat="1" ht="15.75" customHeight="1" thickBot="1">
      <c r="A35" s="1073" t="s">
        <v>65</v>
      </c>
      <c r="B35" s="1074"/>
      <c r="C35" s="1074"/>
      <c r="D35" s="1074"/>
      <c r="E35" s="1074"/>
      <c r="F35" s="1075"/>
      <c r="G35" s="1077"/>
      <c r="H35" s="1077"/>
      <c r="I35" s="1077"/>
      <c r="J35" s="1079"/>
    </row>
    <row r="36" spans="1:10" s="1" customFormat="1" ht="16.5" customHeight="1" thickTop="1" thickBot="1">
      <c r="A36" s="1083" t="s">
        <v>38</v>
      </c>
      <c r="B36" s="1084"/>
      <c r="C36" s="1084"/>
      <c r="D36" s="1084"/>
      <c r="E36" s="1084"/>
      <c r="F36" s="1085"/>
      <c r="G36" s="132">
        <f ca="1">SUM(G22:G35)</f>
        <v>0</v>
      </c>
      <c r="H36" s="132">
        <f ca="1">SUM(H22:H35)</f>
        <v>0</v>
      </c>
      <c r="I36" s="132">
        <f ca="1">SUM(I22:I35)</f>
        <v>0</v>
      </c>
      <c r="J36" s="133" t="str">
        <f>IF(ReviewLevel="FULL",IF(Overall_Total &lt;&gt; 0, Overall_Total_Yes/Overall_Total, ""),"")</f>
        <v/>
      </c>
    </row>
    <row r="37" spans="1:10" ht="16.5" thickTop="1">
      <c r="A37" s="1097" t="s">
        <v>238</v>
      </c>
      <c r="B37" s="1098"/>
      <c r="C37" s="1098"/>
      <c r="D37" s="1099"/>
      <c r="E37" s="1099"/>
      <c r="F37" s="1099"/>
      <c r="G37" s="1100">
        <f>'Demand for Payment (PRINT)'!H22</f>
        <v>0</v>
      </c>
      <c r="H37" s="1101"/>
      <c r="I37" s="1101"/>
      <c r="J37" s="1102"/>
    </row>
    <row r="38" spans="1:10" ht="15.75" thickBot="1">
      <c r="A38" s="1106" t="s">
        <v>671</v>
      </c>
      <c r="B38" s="1107"/>
      <c r="C38" s="1107"/>
      <c r="D38" s="1108"/>
      <c r="E38" s="1108"/>
      <c r="F38" s="1108"/>
      <c r="G38" s="1103"/>
      <c r="H38" s="1104"/>
      <c r="I38" s="1104"/>
      <c r="J38" s="1105"/>
    </row>
    <row r="39" spans="1:10" s="146" customFormat="1" ht="16.5" hidden="1" thickTop="1" thickBot="1">
      <c r="A39" s="1109"/>
      <c r="B39" s="1109"/>
      <c r="C39" s="1112"/>
      <c r="D39" s="1113"/>
      <c r="E39" s="1114"/>
      <c r="F39" s="1109" t="s">
        <v>70</v>
      </c>
      <c r="G39" s="1109"/>
      <c r="H39" s="1112">
        <f>'Demand for Payment (PRINT)'!TotalDueCdsDbmd</f>
        <v>0</v>
      </c>
      <c r="I39" s="1113"/>
      <c r="J39" s="1114"/>
    </row>
    <row r="40" spans="1:10" s="146" customFormat="1" ht="16.5" hidden="1" thickTop="1" thickBot="1">
      <c r="A40" s="1109" t="s">
        <v>66</v>
      </c>
      <c r="B40" s="1109"/>
      <c r="C40" s="1112">
        <f>'Demand for Payment (PRINT)'!TotalDueCdsPhc</f>
        <v>0</v>
      </c>
      <c r="D40" s="1113"/>
      <c r="E40" s="1114"/>
      <c r="F40" s="1109" t="s">
        <v>71</v>
      </c>
      <c r="G40" s="1109"/>
      <c r="H40" s="1112">
        <f>'Demand for Payment (PRINT)'!TotalDueCdsClass</f>
        <v>0</v>
      </c>
      <c r="I40" s="1113"/>
      <c r="J40" s="1114"/>
    </row>
    <row r="41" spans="1:10" s="146" customFormat="1" ht="16.5" hidden="1" thickTop="1" thickBot="1">
      <c r="A41" s="1109" t="s">
        <v>68</v>
      </c>
      <c r="B41" s="1109"/>
      <c r="C41" s="1112">
        <f>'Demand for Payment (PRINT)'!TotalDueCdsMdcp</f>
        <v>0</v>
      </c>
      <c r="D41" s="1113"/>
      <c r="E41" s="1114"/>
      <c r="F41" s="1109" t="s">
        <v>72</v>
      </c>
      <c r="G41" s="1109"/>
      <c r="H41" s="1112">
        <f>'Demand for Payment (PRINT)'!TotalDueCdsHcs</f>
        <v>0</v>
      </c>
      <c r="I41" s="1113"/>
      <c r="J41" s="1114"/>
    </row>
    <row r="42" spans="1:10" s="146" customFormat="1" ht="16.5" hidden="1" thickTop="1" thickBot="1">
      <c r="A42" s="1109" t="s">
        <v>69</v>
      </c>
      <c r="B42" s="1109"/>
      <c r="C42" s="1112">
        <f>'Demand for Payment (PRINT)'!TotalDueCdsCmpas</f>
        <v>0</v>
      </c>
      <c r="D42" s="1113"/>
      <c r="E42" s="1114"/>
      <c r="F42" s="1110" t="s">
        <v>73</v>
      </c>
      <c r="G42" s="1111"/>
      <c r="H42" s="1112">
        <f>'Demand for Payment (PRINT)'!TotalDueCdsTxhml</f>
        <v>0</v>
      </c>
      <c r="I42" s="1113"/>
      <c r="J42" s="1114"/>
    </row>
    <row r="43" spans="1:10" s="89" customFormat="1" ht="16.5" hidden="1" thickTop="1">
      <c r="A43" s="1097" t="s">
        <v>239</v>
      </c>
      <c r="B43" s="1098"/>
      <c r="C43" s="1098"/>
      <c r="D43" s="1099"/>
      <c r="E43" s="1099"/>
      <c r="F43" s="1099"/>
      <c r="G43" s="1100">
        <f>'Amt Due Emp Employer (PRINT)'!AmtDueEmployees</f>
        <v>0</v>
      </c>
      <c r="H43" s="1101"/>
      <c r="I43" s="1101"/>
      <c r="J43" s="1102"/>
    </row>
    <row r="44" spans="1:10" s="89" customFormat="1" ht="15.75" hidden="1" thickBot="1">
      <c r="A44" s="1106" t="s">
        <v>284</v>
      </c>
      <c r="B44" s="1107"/>
      <c r="C44" s="1107"/>
      <c r="D44" s="1108"/>
      <c r="E44" s="1108"/>
      <c r="F44" s="1108"/>
      <c r="G44" s="1103"/>
      <c r="H44" s="1104"/>
      <c r="I44" s="1104"/>
      <c r="J44" s="1105"/>
    </row>
    <row r="45" spans="1:10" s="96" customFormat="1" ht="16.5" hidden="1" thickTop="1">
      <c r="A45" s="1097" t="s">
        <v>243</v>
      </c>
      <c r="B45" s="1098"/>
      <c r="C45" s="1098"/>
      <c r="D45" s="1099"/>
      <c r="E45" s="1099"/>
      <c r="F45" s="1099"/>
      <c r="G45" s="1100">
        <f>'Amt Due Emp Employer (PRINT)'!AmtDueEmployer</f>
        <v>0</v>
      </c>
      <c r="H45" s="1101"/>
      <c r="I45" s="1101"/>
      <c r="J45" s="1102"/>
    </row>
    <row r="46" spans="1:10" s="96" customFormat="1" ht="15.75" hidden="1" thickBot="1">
      <c r="A46" s="1106" t="s">
        <v>284</v>
      </c>
      <c r="B46" s="1107"/>
      <c r="C46" s="1107"/>
      <c r="D46" s="1108"/>
      <c r="E46" s="1108"/>
      <c r="F46" s="1108"/>
      <c r="G46" s="1103"/>
      <c r="H46" s="1104"/>
      <c r="I46" s="1104"/>
      <c r="J46" s="1105"/>
    </row>
    <row r="47" spans="1:10" ht="15.75" thickTop="1"/>
  </sheetData>
  <sheetProtection algorithmName="SHA-512" hashValue="imQ/Ja8N7nhrYR1v6Z977F/pQdUTZhby0ZO3CkTAtIWywFKlH+HE/1e1eY7t9A4OOzw1C5qvQGjgBtuPzKT+CA==" saltValue="FMJO6eFU8LUkfqvL+uAdnw==" spinCount="100000" sheet="1" objects="1" scenarios="1" selectLockedCells="1"/>
  <customSheetViews>
    <customSheetView guid="{A316F603-36BB-45F0-8A3D-94F56F16B8BC}" fitToPage="1" hiddenRows="1">
      <selection activeCell="A2" sqref="A2:E2"/>
      <pageMargins left="0.5" right="0.5" top="0.75" bottom="0.75" header="0.3" footer="0.3"/>
      <printOptions horizontalCentered="1"/>
      <pageSetup scale="88" orientation="portrait" r:id="rId1"/>
      <headerFooter>
        <oddHeader>&amp;L&amp;"Arial,Regular"&amp;8Texas Department of Aging
and Disability Services&amp;C&amp;"Arial,Bold"&amp;12CDS COMPLIANCE SUMMARY&amp;R&amp;"Arial,Regular"&amp;8Form TBD
Page &amp;P</oddHeader>
      </headerFooter>
    </customSheetView>
    <customSheetView guid="{99F5D17F-5AC0-418F-9D70-825920124F2C}" fitToPage="1">
      <selection activeCell="K1" sqref="K1"/>
      <pageMargins left="0.5" right="0.5" top="0.75" bottom="0.75" header="0.3" footer="0.3"/>
      <printOptions horizontalCentered="1"/>
      <pageSetup scale="99" orientation="portrait" r:id="rId2"/>
      <headerFooter>
        <oddHeader>&amp;L&amp;"Arial,Regular"&amp;8Texas Department of Aging
and Disability Services&amp;C&amp;"Arial,Bold"&amp;12CDS COMPLIANCE SUMMARY&amp;R&amp;"Arial,Regular"&amp;8Form TBD
Page &amp;P</oddHeader>
      </headerFooter>
    </customSheetView>
    <customSheetView guid="{341C6106-BE79-4CDE-A40C-FC24AA59D1EA}" fitToPage="1" hiddenRows="1">
      <selection activeCell="A2" sqref="A2:E2"/>
      <pageMargins left="0.5" right="0.5" top="0.75" bottom="0.75" header="0.3" footer="0.3"/>
      <printOptions horizontalCentered="1"/>
      <pageSetup scale="88" orientation="portrait" r:id="rId3"/>
      <headerFooter>
        <oddHeader>&amp;L&amp;"Arial,Regular"&amp;8Texas Department of Aging
and Disability Services&amp;C&amp;"Arial,Bold"&amp;12CDS COMPLIANCE SUMMARY&amp;R&amp;"Arial,Regular"&amp;8Form TBD
Page &amp;P</oddHeader>
      </headerFooter>
    </customSheetView>
  </customSheetViews>
  <mergeCells count="152">
    <mergeCell ref="A6:B6"/>
    <mergeCell ref="C6:E6"/>
    <mergeCell ref="F6:G6"/>
    <mergeCell ref="A7:B7"/>
    <mergeCell ref="A8:B8"/>
    <mergeCell ref="C8:E8"/>
    <mergeCell ref="F8:G8"/>
    <mergeCell ref="A9:B9"/>
    <mergeCell ref="J14:L14"/>
    <mergeCell ref="C11:E11"/>
    <mergeCell ref="J6:L6"/>
    <mergeCell ref="H7:I7"/>
    <mergeCell ref="J7:L7"/>
    <mergeCell ref="H8:I8"/>
    <mergeCell ref="J8:L8"/>
    <mergeCell ref="H9:I9"/>
    <mergeCell ref="J9:L9"/>
    <mergeCell ref="H10:I10"/>
    <mergeCell ref="J10:L10"/>
    <mergeCell ref="J16:L16"/>
    <mergeCell ref="H17:I17"/>
    <mergeCell ref="J17:L17"/>
    <mergeCell ref="H18:M18"/>
    <mergeCell ref="F7:G7"/>
    <mergeCell ref="F16:G16"/>
    <mergeCell ref="F15:G15"/>
    <mergeCell ref="H14:I14"/>
    <mergeCell ref="F12:G12"/>
    <mergeCell ref="J11:L11"/>
    <mergeCell ref="H12:I12"/>
    <mergeCell ref="J12:L12"/>
    <mergeCell ref="H13:I13"/>
    <mergeCell ref="J13:L13"/>
    <mergeCell ref="F11:G11"/>
    <mergeCell ref="F13:G13"/>
    <mergeCell ref="G5:H5"/>
    <mergeCell ref="I3:J3"/>
    <mergeCell ref="H6:I6"/>
    <mergeCell ref="H41:J41"/>
    <mergeCell ref="A38:F38"/>
    <mergeCell ref="A37:F37"/>
    <mergeCell ref="G37:J38"/>
    <mergeCell ref="A16:B16"/>
    <mergeCell ref="C16:E16"/>
    <mergeCell ref="F17:G17"/>
    <mergeCell ref="A17:B17"/>
    <mergeCell ref="C17:E17"/>
    <mergeCell ref="F18:G18"/>
    <mergeCell ref="I24:I25"/>
    <mergeCell ref="J24:J25"/>
    <mergeCell ref="A30:F30"/>
    <mergeCell ref="G30:G31"/>
    <mergeCell ref="H28:H29"/>
    <mergeCell ref="I28:I29"/>
    <mergeCell ref="J28:J29"/>
    <mergeCell ref="G26:G27"/>
    <mergeCell ref="G24:G25"/>
    <mergeCell ref="H15:I15"/>
    <mergeCell ref="J15:L15"/>
    <mergeCell ref="H26:H27"/>
    <mergeCell ref="A28:F28"/>
    <mergeCell ref="G28:G29"/>
    <mergeCell ref="A29:F29"/>
    <mergeCell ref="A26:F26"/>
    <mergeCell ref="H42:J42"/>
    <mergeCell ref="C5:D5"/>
    <mergeCell ref="G43:J44"/>
    <mergeCell ref="A44:F44"/>
    <mergeCell ref="E5:F5"/>
    <mergeCell ref="H22:H23"/>
    <mergeCell ref="C9:E9"/>
    <mergeCell ref="F9:G9"/>
    <mergeCell ref="C7:E7"/>
    <mergeCell ref="A19:F21"/>
    <mergeCell ref="G20:G21"/>
    <mergeCell ref="H20:H21"/>
    <mergeCell ref="H24:H25"/>
    <mergeCell ref="A22:F22"/>
    <mergeCell ref="G22:G23"/>
    <mergeCell ref="A10:B10"/>
    <mergeCell ref="C10:E10"/>
    <mergeCell ref="F10:G10"/>
    <mergeCell ref="A11:B11"/>
    <mergeCell ref="A45:F45"/>
    <mergeCell ref="G45:J46"/>
    <mergeCell ref="A46:F46"/>
    <mergeCell ref="A39:B39"/>
    <mergeCell ref="A40:B40"/>
    <mergeCell ref="A41:B41"/>
    <mergeCell ref="A42:B42"/>
    <mergeCell ref="F39:G39"/>
    <mergeCell ref="F40:G40"/>
    <mergeCell ref="F41:G41"/>
    <mergeCell ref="F42:G42"/>
    <mergeCell ref="C39:E39"/>
    <mergeCell ref="C40:E40"/>
    <mergeCell ref="C41:E41"/>
    <mergeCell ref="C42:E42"/>
    <mergeCell ref="H39:J39"/>
    <mergeCell ref="H40:J40"/>
    <mergeCell ref="A43:F43"/>
    <mergeCell ref="A23:F23"/>
    <mergeCell ref="F14:G14"/>
    <mergeCell ref="A15:B15"/>
    <mergeCell ref="C15:E15"/>
    <mergeCell ref="A18:B18"/>
    <mergeCell ref="C18:E18"/>
    <mergeCell ref="A12:B12"/>
    <mergeCell ref="H11:I11"/>
    <mergeCell ref="C12:E12"/>
    <mergeCell ref="H16:I16"/>
    <mergeCell ref="A13:B13"/>
    <mergeCell ref="C13:E13"/>
    <mergeCell ref="A14:B14"/>
    <mergeCell ref="C14:E14"/>
    <mergeCell ref="A1:E1"/>
    <mergeCell ref="F1:G1"/>
    <mergeCell ref="H1:J1"/>
    <mergeCell ref="A2:E2"/>
    <mergeCell ref="F2:G2"/>
    <mergeCell ref="H2:J2"/>
    <mergeCell ref="A3:B3"/>
    <mergeCell ref="C3:D3"/>
    <mergeCell ref="C4:D4"/>
    <mergeCell ref="E4:F4"/>
    <mergeCell ref="E3:F3"/>
    <mergeCell ref="G3:H3"/>
    <mergeCell ref="G4:H4"/>
    <mergeCell ref="A35:F35"/>
    <mergeCell ref="I22:I23"/>
    <mergeCell ref="J22:J23"/>
    <mergeCell ref="J30:J31"/>
    <mergeCell ref="A31:F31"/>
    <mergeCell ref="A27:F27"/>
    <mergeCell ref="A24:F24"/>
    <mergeCell ref="A36:F36"/>
    <mergeCell ref="A32:F32"/>
    <mergeCell ref="G32:G33"/>
    <mergeCell ref="H32:H33"/>
    <mergeCell ref="I32:I33"/>
    <mergeCell ref="J32:J33"/>
    <mergeCell ref="A33:F33"/>
    <mergeCell ref="A34:F34"/>
    <mergeCell ref="G34:G35"/>
    <mergeCell ref="H34:H35"/>
    <mergeCell ref="I34:I35"/>
    <mergeCell ref="J34:J35"/>
    <mergeCell ref="J26:J27"/>
    <mergeCell ref="A25:F25"/>
    <mergeCell ref="H30:H31"/>
    <mergeCell ref="I30:I31"/>
    <mergeCell ref="I26:I27"/>
  </mergeCells>
  <conditionalFormatting sqref="J22:J36">
    <cfRule type="cellIs" dxfId="0" priority="1" operator="lessThan">
      <formula>0.9</formula>
    </cfRule>
  </conditionalFormatting>
  <dataValidations count="2">
    <dataValidation type="whole" showInputMessage="1" showErrorMessage="1" sqref="K6:L6">
      <formula1>1</formula1>
      <formula2>999999999999</formula2>
    </dataValidation>
    <dataValidation operator="equal" allowBlank="1" showInputMessage="1" showErrorMessage="1" errorTitle="Contract Number Length" error="Contractor number must be 9 digits, including leading zeros." sqref="J7:L17 C7:F18"/>
  </dataValidations>
  <printOptions horizontalCentered="1"/>
  <pageMargins left="0.5" right="0.5" top="0.75" bottom="0.75" header="0.3" footer="0.3"/>
  <pageSetup scale="88" orientation="portrait" r:id="rId4"/>
  <headerFooter>
    <oddHeader>&amp;L&amp;"Arial,Regular"&amp;8Texas Department of Aging
and Disability Services&amp;C&amp;"Arial,Bold"&amp;12CDS COMPLIANCE SUMMARY&amp;R&amp;"Arial,Regular"&amp;8Form TBD
Page &amp;P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N183"/>
  <sheetViews>
    <sheetView zoomScaleNormal="100" workbookViewId="0">
      <selection activeCell="B5" sqref="B5:C5"/>
    </sheetView>
  </sheetViews>
  <sheetFormatPr defaultRowHeight="15"/>
  <cols>
    <col min="1" max="1" width="9" customWidth="1"/>
    <col min="2" max="2" width="12.140625" customWidth="1"/>
    <col min="3" max="3" width="8.7109375" customWidth="1"/>
    <col min="4" max="4" width="13.7109375" customWidth="1"/>
    <col min="5" max="5" width="5.7109375" customWidth="1"/>
    <col min="6" max="6" width="6.7109375" customWidth="1"/>
    <col min="7" max="9" width="8.7109375" customWidth="1"/>
    <col min="10" max="10" width="9.7109375" customWidth="1"/>
    <col min="11" max="11" width="9" customWidth="1"/>
    <col min="13" max="13" width="38.7109375" customWidth="1"/>
  </cols>
  <sheetData>
    <row r="1" spans="1:13" s="96" customFormat="1" ht="17.25" customHeight="1" thickTop="1" thickBot="1">
      <c r="A1" s="1161" t="s">
        <v>265</v>
      </c>
      <c r="B1" s="1162"/>
      <c r="C1" s="1162"/>
      <c r="D1" s="1162"/>
      <c r="E1" s="1162"/>
      <c r="F1" s="1162"/>
      <c r="G1" s="1162"/>
      <c r="H1" s="1162"/>
      <c r="I1" s="1162"/>
      <c r="J1" s="1162"/>
      <c r="K1" s="1163"/>
    </row>
    <row r="2" spans="1:13" s="1" customFormat="1" ht="16.5" customHeight="1" thickBot="1">
      <c r="A2" s="1093" t="s">
        <v>0</v>
      </c>
      <c r="B2" s="1094"/>
      <c r="C2" s="1094"/>
      <c r="D2" s="1094"/>
      <c r="E2" s="1094"/>
      <c r="F2" s="1094" t="s">
        <v>1</v>
      </c>
      <c r="G2" s="1094"/>
      <c r="H2" s="1094"/>
      <c r="I2" s="1094" t="s">
        <v>2</v>
      </c>
      <c r="J2" s="1094"/>
      <c r="K2" s="1131"/>
    </row>
    <row r="3" spans="1:13" s="1" customFormat="1" ht="17.25" customHeight="1" thickBot="1">
      <c r="A3" s="1164" t="str">
        <f>IF(NameOfLegalEntity="","",NameOfLegalEntity)</f>
        <v/>
      </c>
      <c r="B3" s="1091"/>
      <c r="C3" s="1091"/>
      <c r="D3" s="1091"/>
      <c r="E3" s="1091"/>
      <c r="F3" s="1091" t="str">
        <f>IF(ReviewLevel="","",ReviewLevel)</f>
        <v/>
      </c>
      <c r="G3" s="1091"/>
      <c r="H3" s="1091"/>
      <c r="I3" s="1091" t="str">
        <f>IF(ReviewType="","",ReviewType)</f>
        <v/>
      </c>
      <c r="J3" s="1091"/>
      <c r="K3" s="1092"/>
    </row>
    <row r="4" spans="1:13" s="1" customFormat="1" ht="24.95" customHeight="1" thickBot="1">
      <c r="A4" s="1093" t="s">
        <v>3</v>
      </c>
      <c r="B4" s="1094"/>
      <c r="C4" s="1094"/>
      <c r="D4" s="1094" t="s">
        <v>4</v>
      </c>
      <c r="E4" s="1094"/>
      <c r="F4" s="1094" t="s">
        <v>5</v>
      </c>
      <c r="G4" s="1094"/>
      <c r="H4" s="1094" t="s">
        <v>5</v>
      </c>
      <c r="I4" s="1094"/>
      <c r="J4" s="1094" t="s">
        <v>607</v>
      </c>
      <c r="K4" s="1131"/>
    </row>
    <row r="5" spans="1:13" s="1" customFormat="1" ht="16.5" customHeight="1" thickBot="1">
      <c r="A5" s="292" t="s">
        <v>7</v>
      </c>
      <c r="B5" s="1190"/>
      <c r="C5" s="1190"/>
      <c r="D5" s="1094" t="s">
        <v>8</v>
      </c>
      <c r="E5" s="1094"/>
      <c r="F5" s="1094" t="s">
        <v>9</v>
      </c>
      <c r="G5" s="1094"/>
      <c r="H5" s="1094" t="s">
        <v>630</v>
      </c>
      <c r="I5" s="1094"/>
      <c r="J5" s="288" t="s">
        <v>10</v>
      </c>
      <c r="K5" s="294" t="str">
        <f>IF(MonitoringPeriodBeginDate="","",MonitoringPeriodBeginDate)</f>
        <v/>
      </c>
    </row>
    <row r="6" spans="1:13" s="1" customFormat="1" ht="15.75" thickBot="1">
      <c r="A6" s="292" t="s">
        <v>11</v>
      </c>
      <c r="B6" s="1190"/>
      <c r="C6" s="1190"/>
      <c r="D6" s="1115" t="str">
        <f>IF(DateOfEntrance="","",DateOfEntrance)</f>
        <v/>
      </c>
      <c r="E6" s="1115"/>
      <c r="F6" s="1115" t="str">
        <f>IF(DateOfExit="","",DateOfExit)</f>
        <v/>
      </c>
      <c r="G6" s="1115"/>
      <c r="H6" s="1115" t="str">
        <f>IF(DateOfExitRevised="","",DateOfExitRevised)</f>
        <v/>
      </c>
      <c r="I6" s="1115"/>
      <c r="J6" s="288" t="s">
        <v>12</v>
      </c>
      <c r="K6" s="294" t="str">
        <f>IF(MonitoringPeriodEndDate="","",MonitoringPeriodEndDate)</f>
        <v/>
      </c>
    </row>
    <row r="7" spans="1:13" s="147" customFormat="1" ht="15.75" thickBot="1">
      <c r="A7" s="1199" t="s">
        <v>810</v>
      </c>
      <c r="B7" s="1200"/>
      <c r="C7" s="1200"/>
      <c r="D7" s="1200"/>
      <c r="E7" s="1200"/>
      <c r="F7" s="1200"/>
      <c r="G7" s="1201"/>
      <c r="H7" s="1194">
        <f>SUM(F9:G20)+SUM(M9:M19)</f>
        <v>0</v>
      </c>
      <c r="I7" s="1195"/>
      <c r="J7" s="1195"/>
      <c r="K7" s="1196"/>
    </row>
    <row r="8" spans="1:13" s="147" customFormat="1" ht="15.75" customHeight="1" thickBot="1">
      <c r="A8" s="1135" t="s">
        <v>13</v>
      </c>
      <c r="B8" s="548"/>
      <c r="C8" s="548" t="s">
        <v>78</v>
      </c>
      <c r="D8" s="548"/>
      <c r="E8" s="548"/>
      <c r="F8" s="1136" t="s">
        <v>242</v>
      </c>
      <c r="G8" s="1137"/>
      <c r="H8" s="548" t="s">
        <v>13</v>
      </c>
      <c r="I8" s="548"/>
      <c r="J8" s="548" t="s">
        <v>78</v>
      </c>
      <c r="K8" s="548"/>
      <c r="L8" s="1138"/>
      <c r="M8" s="337" t="s">
        <v>242</v>
      </c>
    </row>
    <row r="9" spans="1:13" s="147" customFormat="1" ht="15" customHeight="1" thickBot="1">
      <c r="A9" s="439" t="s">
        <v>67</v>
      </c>
      <c r="B9" s="429"/>
      <c r="C9" s="1116" t="str">
        <f>IF(CdsCbaContractNumber="","",CdsCbaContractNumber)</f>
        <v/>
      </c>
      <c r="D9" s="1116"/>
      <c r="E9" s="1116"/>
      <c r="F9" s="1144">
        <f>SUMIF($B$33:$B$182, CdsCbaContractNumber,$K33:$K$182)</f>
        <v>0</v>
      </c>
      <c r="G9" s="1145"/>
      <c r="H9" s="439" t="s">
        <v>72</v>
      </c>
      <c r="I9" s="429"/>
      <c r="J9" s="542" t="str">
        <f>IF(CdsHcsContractNumber08="","",CdsHcsContractNumber08)</f>
        <v/>
      </c>
      <c r="K9" s="543"/>
      <c r="L9" s="543"/>
      <c r="M9" s="339">
        <f>SUMIF($B$33:$B$182, CdsHcsContractNumber08,$K33:$K$182)</f>
        <v>0</v>
      </c>
    </row>
    <row r="10" spans="1:13" s="147" customFormat="1" ht="15" customHeight="1" thickBot="1">
      <c r="A10" s="429" t="s">
        <v>71</v>
      </c>
      <c r="B10" s="429"/>
      <c r="C10" s="546" t="str">
        <f>IF(CdsClassContractNumber="","",CdsClassContractNumber)</f>
        <v/>
      </c>
      <c r="D10" s="546"/>
      <c r="E10" s="538"/>
      <c r="F10" s="1144">
        <f>SUMIF($B$33:$B$182, CdsClassContractNumber,$K33:$K$182)</f>
        <v>0</v>
      </c>
      <c r="G10" s="1145"/>
      <c r="H10" s="439" t="s">
        <v>72</v>
      </c>
      <c r="I10" s="429"/>
      <c r="J10" s="538" t="str">
        <f>IF(CdsHcsContractNumber09="","",CdsHcsContractNumber09)</f>
        <v/>
      </c>
      <c r="K10" s="539"/>
      <c r="L10" s="539"/>
      <c r="M10" s="339">
        <f>SUMIF($B$33:$B$182, CdsHcsContractNumber09,$K33:$K$182)</f>
        <v>0</v>
      </c>
    </row>
    <row r="11" spans="1:13" s="147" customFormat="1" ht="15" customHeight="1" thickBot="1">
      <c r="A11" s="525" t="s">
        <v>70</v>
      </c>
      <c r="B11" s="526"/>
      <c r="C11" s="542" t="str">
        <f>IF(CdsDbmdContractNumber="","",CdsDbmdContractNumber)</f>
        <v/>
      </c>
      <c r="D11" s="543"/>
      <c r="E11" s="543"/>
      <c r="F11" s="1144">
        <f>SUMIF($B$33:$B$182, CdsDbmdContractNumber,$K33:$K$182)</f>
        <v>0</v>
      </c>
      <c r="G11" s="1145"/>
      <c r="H11" s="439" t="s">
        <v>73</v>
      </c>
      <c r="I11" s="429"/>
      <c r="J11" s="538" t="str">
        <f>IF(CdsTxHmlContractNumber01="","",CdsTxHmlContractNumber01)</f>
        <v/>
      </c>
      <c r="K11" s="539"/>
      <c r="L11" s="539"/>
      <c r="M11" s="339">
        <f>SUMIF($B$33:$B$182, CdsTxHmlContractNumber01,$K33:$K$182)</f>
        <v>0</v>
      </c>
    </row>
    <row r="12" spans="1:13" s="147" customFormat="1" ht="15" customHeight="1" thickBot="1">
      <c r="A12" s="439" t="s">
        <v>68</v>
      </c>
      <c r="B12" s="429"/>
      <c r="C12" s="546" t="str">
        <f>IF(CdsMdcpContractNumber="","",CdsMdcpContractNumber)</f>
        <v/>
      </c>
      <c r="D12" s="546"/>
      <c r="E12" s="538"/>
      <c r="F12" s="1144">
        <f>SUMIF($B$33:$B$182, CdsMdcpContractNumber,$K33:$K$182)</f>
        <v>0</v>
      </c>
      <c r="G12" s="1145"/>
      <c r="H12" s="439" t="s">
        <v>73</v>
      </c>
      <c r="I12" s="429"/>
      <c r="J12" s="538" t="str">
        <f>IF(CdsTxHmlContractNumber02="","",CdsTxHmlContractNumber02)</f>
        <v/>
      </c>
      <c r="K12" s="539"/>
      <c r="L12" s="539"/>
      <c r="M12" s="339">
        <f>SUMIF($B$33:$B$182, CdsTxHmlContractNumber02,$K33:$K$182)</f>
        <v>0</v>
      </c>
    </row>
    <row r="13" spans="1:13" s="147" customFormat="1" ht="15" customHeight="1" thickBot="1">
      <c r="A13" s="439" t="s">
        <v>779</v>
      </c>
      <c r="B13" s="429"/>
      <c r="C13" s="546" t="str">
        <f>IF(CdsPhcFcCasContractNumber="","",CdsPhcFcCasContractNumber)</f>
        <v/>
      </c>
      <c r="D13" s="546"/>
      <c r="E13" s="538"/>
      <c r="F13" s="1144">
        <f>SUMIF($B$33:$B$182, CdsPhcFcCasContractNumber,$K33:$K$182)</f>
        <v>0</v>
      </c>
      <c r="G13" s="1145"/>
      <c r="H13" s="439" t="s">
        <v>73</v>
      </c>
      <c r="I13" s="429"/>
      <c r="J13" s="538" t="str">
        <f>IF(CdsTxHmlContractNumber03="","",CdsTxHmlContractNumber03)</f>
        <v/>
      </c>
      <c r="K13" s="539"/>
      <c r="L13" s="539"/>
      <c r="M13" s="339">
        <f>SUMIF($B$33:$B$182, CdsTxHmlContractNumber03,$K33:$K$182)</f>
        <v>0</v>
      </c>
    </row>
    <row r="14" spans="1:13" s="147" customFormat="1" ht="15" customHeight="1" thickBot="1">
      <c r="A14" s="439" t="s">
        <v>72</v>
      </c>
      <c r="B14" s="429"/>
      <c r="C14" s="542" t="str">
        <f>IF(CdsHcsContractNumber01="","",CdsHcsContractNumber01)</f>
        <v/>
      </c>
      <c r="D14" s="543"/>
      <c r="E14" s="543"/>
      <c r="F14" s="1144">
        <f>SUMIF($B$33:$B$182, CdsHcsContractNumber01,$K33:$K$182)</f>
        <v>0</v>
      </c>
      <c r="G14" s="1145"/>
      <c r="H14" s="439" t="s">
        <v>73</v>
      </c>
      <c r="I14" s="429"/>
      <c r="J14" s="538" t="str">
        <f>IF(CdsTxHmlContractNumber04="","",CdsTxHmlContractNumber04)</f>
        <v/>
      </c>
      <c r="K14" s="539"/>
      <c r="L14" s="539"/>
      <c r="M14" s="339">
        <f>SUMIF($B$33:$B$182, CdsTxHmlContractNumber04,$K33:$K$182)</f>
        <v>0</v>
      </c>
    </row>
    <row r="15" spans="1:13" s="147" customFormat="1" ht="15" customHeight="1" thickBot="1">
      <c r="A15" s="439" t="s">
        <v>72</v>
      </c>
      <c r="B15" s="429"/>
      <c r="C15" s="542" t="str">
        <f>IF(CdsHcsContractNumber02="","",CdsHcsContractNumber02)</f>
        <v/>
      </c>
      <c r="D15" s="543"/>
      <c r="E15" s="543"/>
      <c r="F15" s="1144">
        <f>SUMIF($B$33:$B$182, CdsHcsContractNumber02,$K33:$K$182)</f>
        <v>0</v>
      </c>
      <c r="G15" s="1145"/>
      <c r="H15" s="439" t="s">
        <v>73</v>
      </c>
      <c r="I15" s="429"/>
      <c r="J15" s="538" t="str">
        <f>IF(CdsTxHmlContractNumber05="","",CdsTxHmlContractNumber05)</f>
        <v/>
      </c>
      <c r="K15" s="539"/>
      <c r="L15" s="539"/>
      <c r="M15" s="339">
        <f>SUMIF($B$33:$B$182, CdsTxHmlContractNumber05,$K33:$K$182)</f>
        <v>0</v>
      </c>
    </row>
    <row r="16" spans="1:13" s="147" customFormat="1" ht="15" customHeight="1" thickBot="1">
      <c r="A16" s="439" t="s">
        <v>72</v>
      </c>
      <c r="B16" s="429"/>
      <c r="C16" s="542" t="str">
        <f>IF(CdsHcsContractNumber03="","",CdsHcsContractNumber03)</f>
        <v/>
      </c>
      <c r="D16" s="543"/>
      <c r="E16" s="543"/>
      <c r="F16" s="1144">
        <f>SUMIF($B$33:$B$182, CdsHcsContractNumber03,$K33:$K$182)</f>
        <v>0</v>
      </c>
      <c r="G16" s="1145"/>
      <c r="H16" s="439" t="s">
        <v>73</v>
      </c>
      <c r="I16" s="429"/>
      <c r="J16" s="538" t="str">
        <f>IF(CdsTxHmlContractNumber06="","",CdsTxHmlContractNumber06)</f>
        <v/>
      </c>
      <c r="K16" s="539"/>
      <c r="L16" s="539"/>
      <c r="M16" s="339">
        <f>SUMIF($B$33:$B$182, CdsTxHmlContractNumber06,$K33:$K$182)</f>
        <v>0</v>
      </c>
    </row>
    <row r="17" spans="1:14" s="147" customFormat="1" ht="15" customHeight="1" thickBot="1">
      <c r="A17" s="439" t="s">
        <v>72</v>
      </c>
      <c r="B17" s="429"/>
      <c r="C17" s="542" t="str">
        <f>IF(CdsHcsContractNumber04="","",CdsHcsContractNumber04)</f>
        <v/>
      </c>
      <c r="D17" s="543"/>
      <c r="E17" s="543"/>
      <c r="F17" s="1144">
        <f>SUMIF($B$33:$B$182, CdsHcsContractNumber04,$K33:$K$182)</f>
        <v>0</v>
      </c>
      <c r="G17" s="1145"/>
      <c r="H17" s="439" t="s">
        <v>73</v>
      </c>
      <c r="I17" s="429"/>
      <c r="J17" s="538" t="str">
        <f>IF(CdsTxHmlContractNumber07="","",CdsTxHmlContractNumber07)</f>
        <v/>
      </c>
      <c r="K17" s="539"/>
      <c r="L17" s="539"/>
      <c r="M17" s="339">
        <f>SUMIF($B$33:$B$182, CdsTxHmlContractNumber07,$K33:$K$182)</f>
        <v>0</v>
      </c>
    </row>
    <row r="18" spans="1:14" s="147" customFormat="1" ht="15" customHeight="1" thickBot="1">
      <c r="A18" s="439" t="s">
        <v>72</v>
      </c>
      <c r="B18" s="429"/>
      <c r="C18" s="542" t="str">
        <f>IF(CdsHcsContractNumber05="","",CdsHcsContractNumber05)</f>
        <v/>
      </c>
      <c r="D18" s="543"/>
      <c r="E18" s="543"/>
      <c r="F18" s="1144">
        <f>SUMIF($B$33:$B$182, CdsHcsContractNumber05,$K33:$K$182)</f>
        <v>0</v>
      </c>
      <c r="G18" s="1145"/>
      <c r="H18" s="439" t="s">
        <v>73</v>
      </c>
      <c r="I18" s="429"/>
      <c r="J18" s="538" t="str">
        <f>IF(CdsTxHmlContractNumber08="","",CdsTxHmlContractNumber08)</f>
        <v/>
      </c>
      <c r="K18" s="539"/>
      <c r="L18" s="539"/>
      <c r="M18" s="339">
        <f>SUMIF($B$33:$B$182, CdsTxHmlContractNumber08,$K33:$K$182)</f>
        <v>0</v>
      </c>
    </row>
    <row r="19" spans="1:14" s="147" customFormat="1" ht="15" customHeight="1" thickBot="1">
      <c r="A19" s="439" t="s">
        <v>72</v>
      </c>
      <c r="B19" s="429"/>
      <c r="C19" s="542" t="str">
        <f>IF(CdsHcsContractNumber06="","",CdsHcsContractNumber06)</f>
        <v/>
      </c>
      <c r="D19" s="543"/>
      <c r="E19" s="543"/>
      <c r="F19" s="1144">
        <f>SUMIF($B$33:$B$182, CdsHcsContractNumber06,$K33:$K$182)</f>
        <v>0</v>
      </c>
      <c r="G19" s="1145"/>
      <c r="H19" s="439" t="s">
        <v>73</v>
      </c>
      <c r="I19" s="429"/>
      <c r="J19" s="538" t="str">
        <f>IF(CdsTxHmlContractNumber09="","",CdsTxHmlContractNumber09)</f>
        <v/>
      </c>
      <c r="K19" s="539"/>
      <c r="L19" s="539"/>
      <c r="M19" s="339">
        <f>SUMIF($B$33:$B$182, CdsTxHmlContractNumber09,$K33:$K$182)</f>
        <v>0</v>
      </c>
      <c r="N19" s="39"/>
    </row>
    <row r="20" spans="1:14" s="147" customFormat="1" ht="15" customHeight="1" thickBot="1">
      <c r="A20" s="439" t="s">
        <v>72</v>
      </c>
      <c r="B20" s="429"/>
      <c r="C20" s="538" t="str">
        <f>IF(CdsHcsContractNumber07="","",CdsHcsContractNumber07)</f>
        <v/>
      </c>
      <c r="D20" s="539"/>
      <c r="E20" s="539"/>
      <c r="F20" s="1144">
        <f>SUMIF($B$33:$B$182, CdsHcsContractNumber07,$K33:$K$182)</f>
        <v>0</v>
      </c>
      <c r="G20" s="1145"/>
      <c r="H20" s="1132"/>
      <c r="I20" s="1133"/>
      <c r="J20" s="1133"/>
      <c r="K20" s="1133"/>
      <c r="L20" s="1133"/>
      <c r="M20" s="1134"/>
    </row>
    <row r="21" spans="1:14" s="147" customFormat="1" ht="15" customHeight="1" thickBot="1">
      <c r="A21" s="1151"/>
      <c r="B21" s="1152"/>
      <c r="C21" s="1152"/>
      <c r="D21" s="1152"/>
      <c r="E21" s="1152"/>
      <c r="F21" s="1152"/>
      <c r="G21" s="1152"/>
      <c r="H21" s="1152"/>
      <c r="I21" s="1152"/>
      <c r="J21" s="1152"/>
      <c r="K21" s="1153"/>
    </row>
    <row r="22" spans="1:14" ht="16.5" customHeight="1" thickTop="1" thickBot="1">
      <c r="A22" s="1187" t="s">
        <v>395</v>
      </c>
      <c r="B22" s="1188"/>
      <c r="C22" s="1188"/>
      <c r="D22" s="1188"/>
      <c r="E22" s="1188"/>
      <c r="F22" s="1188"/>
      <c r="G22" s="1189"/>
      <c r="H22" s="1154">
        <f>SUM(F9:G20)+SUM(M9:M19)</f>
        <v>0</v>
      </c>
      <c r="I22" s="1154"/>
      <c r="J22" s="1154"/>
      <c r="K22" s="1155"/>
    </row>
    <row r="23" spans="1:14" s="147" customFormat="1" ht="15" hidden="1" customHeight="1" thickBot="1">
      <c r="A23" s="1146"/>
      <c r="B23" s="1147"/>
      <c r="C23" s="1148"/>
      <c r="D23" s="1149"/>
      <c r="E23" s="1150"/>
      <c r="F23" s="1147" t="s">
        <v>70</v>
      </c>
      <c r="G23" s="1147"/>
      <c r="H23" s="1156">
        <f>SUMIF($A$33:$A$182, "DBMD",$K33:$K$182)</f>
        <v>0</v>
      </c>
      <c r="I23" s="1156"/>
      <c r="J23" s="1156"/>
      <c r="K23" s="1157"/>
    </row>
    <row r="24" spans="1:14" s="147" customFormat="1" ht="15" hidden="1" customHeight="1" thickBot="1">
      <c r="A24" s="1146" t="s">
        <v>66</v>
      </c>
      <c r="B24" s="1147"/>
      <c r="C24" s="1148">
        <f>SUMIF($A$33:$A$182, "PHC",$K33:$K$182)</f>
        <v>0</v>
      </c>
      <c r="D24" s="1149"/>
      <c r="E24" s="1150"/>
      <c r="F24" s="1147" t="s">
        <v>71</v>
      </c>
      <c r="G24" s="1147"/>
      <c r="H24" s="1156">
        <f>SUMIF($A$33:$A$182, "CLASS",$K33:$K$182)</f>
        <v>0</v>
      </c>
      <c r="I24" s="1156"/>
      <c r="J24" s="1156"/>
      <c r="K24" s="1157"/>
    </row>
    <row r="25" spans="1:14" s="147" customFormat="1" ht="15" hidden="1" customHeight="1" thickBot="1">
      <c r="A25" s="1146" t="s">
        <v>68</v>
      </c>
      <c r="B25" s="1147"/>
      <c r="C25" s="1148">
        <f>SUMIF($A$33:$A$182, "MDCP",$K33:$K$182)</f>
        <v>0</v>
      </c>
      <c r="D25" s="1149"/>
      <c r="E25" s="1150"/>
      <c r="F25" s="1147" t="s">
        <v>72</v>
      </c>
      <c r="G25" s="1147"/>
      <c r="H25" s="1156">
        <f>SUMIF($A$33:$A$182, "HCS",$K33:$K$182)</f>
        <v>0</v>
      </c>
      <c r="I25" s="1156"/>
      <c r="J25" s="1156"/>
      <c r="K25" s="1157"/>
    </row>
    <row r="26" spans="1:14" s="147" customFormat="1" ht="15" hidden="1" customHeight="1" thickBot="1">
      <c r="A26" s="1177"/>
      <c r="B26" s="1178"/>
      <c r="C26" s="1179"/>
      <c r="D26" s="1180"/>
      <c r="E26" s="1181"/>
      <c r="F26" s="1178" t="s">
        <v>73</v>
      </c>
      <c r="G26" s="1178"/>
      <c r="H26" s="1185">
        <f>SUMIF($A$33:$A$182, "TxHml",$K33:$K$182)</f>
        <v>0</v>
      </c>
      <c r="I26" s="1185"/>
      <c r="J26" s="1185"/>
      <c r="K26" s="1186"/>
      <c r="L26" s="39"/>
    </row>
    <row r="27" spans="1:14" s="143" customFormat="1" ht="30" customHeight="1" thickBot="1">
      <c r="A27" s="1182" t="s">
        <v>396</v>
      </c>
      <c r="B27" s="1183"/>
      <c r="C27" s="1183"/>
      <c r="D27" s="1183"/>
      <c r="E27" s="1183"/>
      <c r="F27" s="1183"/>
      <c r="G27" s="1183"/>
      <c r="H27" s="1183"/>
      <c r="I27" s="1183"/>
      <c r="J27" s="1183"/>
      <c r="K27" s="1184"/>
      <c r="L27" s="145"/>
    </row>
    <row r="28" spans="1:14" s="96" customFormat="1" ht="47.45" customHeight="1" thickTop="1">
      <c r="A28" s="1169" t="s">
        <v>632</v>
      </c>
      <c r="B28" s="1170"/>
      <c r="C28" s="1170"/>
      <c r="D28" s="1170"/>
      <c r="E28" s="1170"/>
      <c r="F28" s="1170"/>
      <c r="G28" s="1170"/>
      <c r="H28" s="1170"/>
      <c r="I28" s="1171"/>
      <c r="J28" s="267" t="s">
        <v>247</v>
      </c>
      <c r="K28" s="268" t="s">
        <v>248</v>
      </c>
      <c r="L28" s="145"/>
    </row>
    <row r="29" spans="1:14" s="96" customFormat="1" ht="15" customHeight="1" thickBot="1">
      <c r="A29" s="1172"/>
      <c r="B29" s="1173"/>
      <c r="C29" s="1173"/>
      <c r="D29" s="1173"/>
      <c r="E29" s="1173"/>
      <c r="F29" s="1173"/>
      <c r="G29" s="1173"/>
      <c r="H29" s="1173"/>
      <c r="I29" s="1174"/>
      <c r="J29" s="265" t="s">
        <v>602</v>
      </c>
      <c r="K29" s="266"/>
      <c r="L29" s="145"/>
    </row>
    <row r="30" spans="1:14" s="96" customFormat="1" ht="16.5" thickTop="1" thickBot="1">
      <c r="A30" s="1158" t="s">
        <v>647</v>
      </c>
      <c r="B30" s="1175" t="s">
        <v>78</v>
      </c>
      <c r="C30" s="248" t="s">
        <v>249</v>
      </c>
      <c r="D30" s="246" t="s">
        <v>250</v>
      </c>
      <c r="E30" s="245" t="s">
        <v>251</v>
      </c>
      <c r="F30" s="245" t="s">
        <v>252</v>
      </c>
      <c r="G30" s="245" t="s">
        <v>253</v>
      </c>
      <c r="H30" s="245" t="s">
        <v>254</v>
      </c>
      <c r="I30" s="245" t="s">
        <v>255</v>
      </c>
      <c r="J30" s="245" t="s">
        <v>256</v>
      </c>
      <c r="K30" s="144" t="s">
        <v>257</v>
      </c>
      <c r="L30" s="377" t="s">
        <v>631</v>
      </c>
      <c r="M30" s="1191" t="s">
        <v>866</v>
      </c>
    </row>
    <row r="31" spans="1:14" s="96" customFormat="1" ht="20.100000000000001" customHeight="1" thickBot="1">
      <c r="A31" s="1159"/>
      <c r="B31" s="1197"/>
      <c r="C31" s="1175" t="s">
        <v>43</v>
      </c>
      <c r="D31" s="1141" t="s">
        <v>611</v>
      </c>
      <c r="E31" s="1142" t="s">
        <v>41</v>
      </c>
      <c r="F31" s="1142" t="s">
        <v>258</v>
      </c>
      <c r="G31" s="1142" t="s">
        <v>259</v>
      </c>
      <c r="H31" s="1142" t="s">
        <v>260</v>
      </c>
      <c r="I31" s="1142" t="s">
        <v>261</v>
      </c>
      <c r="J31" s="1142" t="s">
        <v>262</v>
      </c>
      <c r="K31" s="1142" t="s">
        <v>263</v>
      </c>
      <c r="L31" s="1139" t="s">
        <v>264</v>
      </c>
      <c r="M31" s="1192"/>
    </row>
    <row r="32" spans="1:14" s="96" customFormat="1" ht="20.100000000000001" customHeight="1" thickBot="1">
      <c r="A32" s="1160"/>
      <c r="B32" s="1198"/>
      <c r="C32" s="1176"/>
      <c r="D32" s="1141"/>
      <c r="E32" s="1143"/>
      <c r="F32" s="1143"/>
      <c r="G32" s="1143"/>
      <c r="H32" s="1143"/>
      <c r="I32" s="1143"/>
      <c r="J32" s="1143"/>
      <c r="K32" s="1143"/>
      <c r="L32" s="1140"/>
      <c r="M32" s="1193"/>
    </row>
    <row r="33" spans="1:13" s="94" customFormat="1" ht="16.5" customHeight="1" thickBot="1">
      <c r="A33" s="355"/>
      <c r="B33" s="356"/>
      <c r="C33" s="249"/>
      <c r="D33" s="247"/>
      <c r="E33" s="200"/>
      <c r="F33" s="199"/>
      <c r="G33" s="201"/>
      <c r="H33" s="202"/>
      <c r="I33" s="202"/>
      <c r="J33" s="203"/>
      <c r="K33" s="203"/>
      <c r="L33" s="378"/>
      <c r="M33" s="379"/>
    </row>
    <row r="34" spans="1:13" s="94" customFormat="1" ht="16.5" customHeight="1" thickBot="1">
      <c r="A34" s="355"/>
      <c r="B34" s="356"/>
      <c r="C34" s="249"/>
      <c r="D34" s="247"/>
      <c r="E34" s="200"/>
      <c r="F34" s="199"/>
      <c r="G34" s="201"/>
      <c r="H34" s="202"/>
      <c r="I34" s="202"/>
      <c r="J34" s="203"/>
      <c r="K34" s="203"/>
      <c r="L34" s="378"/>
      <c r="M34" s="379"/>
    </row>
    <row r="35" spans="1:13" s="94" customFormat="1" ht="16.5" customHeight="1" thickBot="1">
      <c r="A35" s="355"/>
      <c r="B35" s="356"/>
      <c r="C35" s="249"/>
      <c r="D35" s="247"/>
      <c r="E35" s="200"/>
      <c r="F35" s="199"/>
      <c r="G35" s="201"/>
      <c r="H35" s="202"/>
      <c r="I35" s="202"/>
      <c r="J35" s="203"/>
      <c r="K35" s="203"/>
      <c r="L35" s="378"/>
      <c r="M35" s="379"/>
    </row>
    <row r="36" spans="1:13" s="94" customFormat="1" ht="16.5" customHeight="1" thickBot="1">
      <c r="A36" s="355"/>
      <c r="B36" s="356"/>
      <c r="C36" s="249"/>
      <c r="D36" s="247"/>
      <c r="E36" s="200"/>
      <c r="F36" s="199"/>
      <c r="G36" s="201"/>
      <c r="H36" s="202"/>
      <c r="I36" s="202"/>
      <c r="J36" s="203"/>
      <c r="K36" s="203"/>
      <c r="L36" s="378"/>
      <c r="M36" s="379"/>
    </row>
    <row r="37" spans="1:13" s="94" customFormat="1" ht="16.5" customHeight="1" thickBot="1">
      <c r="A37" s="355"/>
      <c r="B37" s="356"/>
      <c r="C37" s="249"/>
      <c r="D37" s="247"/>
      <c r="E37" s="200"/>
      <c r="F37" s="199"/>
      <c r="G37" s="201"/>
      <c r="H37" s="202"/>
      <c r="I37" s="202"/>
      <c r="J37" s="203"/>
      <c r="K37" s="203"/>
      <c r="L37" s="378"/>
      <c r="M37" s="379"/>
    </row>
    <row r="38" spans="1:13" s="94" customFormat="1" ht="16.5" customHeight="1" thickBot="1">
      <c r="A38" s="355"/>
      <c r="B38" s="356"/>
      <c r="C38" s="249"/>
      <c r="D38" s="247"/>
      <c r="E38" s="200"/>
      <c r="F38" s="199"/>
      <c r="G38" s="201"/>
      <c r="H38" s="202"/>
      <c r="I38" s="202"/>
      <c r="J38" s="203"/>
      <c r="K38" s="203"/>
      <c r="L38" s="378"/>
      <c r="M38" s="379"/>
    </row>
    <row r="39" spans="1:13" s="94" customFormat="1" ht="16.5" customHeight="1" thickBot="1">
      <c r="A39" s="355"/>
      <c r="B39" s="356"/>
      <c r="C39" s="249"/>
      <c r="D39" s="247"/>
      <c r="E39" s="200"/>
      <c r="F39" s="199"/>
      <c r="G39" s="201"/>
      <c r="H39" s="202"/>
      <c r="I39" s="202"/>
      <c r="J39" s="203"/>
      <c r="K39" s="203"/>
      <c r="L39" s="378"/>
      <c r="M39" s="379"/>
    </row>
    <row r="40" spans="1:13" s="94" customFormat="1" ht="16.5" customHeight="1" thickBot="1">
      <c r="A40" s="355"/>
      <c r="B40" s="356"/>
      <c r="C40" s="249"/>
      <c r="D40" s="247"/>
      <c r="E40" s="200"/>
      <c r="F40" s="199"/>
      <c r="G40" s="201"/>
      <c r="H40" s="202"/>
      <c r="I40" s="202"/>
      <c r="J40" s="203"/>
      <c r="K40" s="203"/>
      <c r="L40" s="378"/>
      <c r="M40" s="379"/>
    </row>
    <row r="41" spans="1:13" s="94" customFormat="1" ht="16.5" customHeight="1" thickBot="1">
      <c r="A41" s="355"/>
      <c r="B41" s="356"/>
      <c r="C41" s="249"/>
      <c r="D41" s="247"/>
      <c r="E41" s="200"/>
      <c r="F41" s="199"/>
      <c r="G41" s="201"/>
      <c r="H41" s="202"/>
      <c r="I41" s="202"/>
      <c r="J41" s="203"/>
      <c r="K41" s="203"/>
      <c r="L41" s="378"/>
      <c r="M41" s="379"/>
    </row>
    <row r="42" spans="1:13" s="94" customFormat="1" ht="16.5" customHeight="1" thickBot="1">
      <c r="A42" s="355"/>
      <c r="B42" s="356"/>
      <c r="C42" s="249"/>
      <c r="D42" s="247"/>
      <c r="E42" s="200"/>
      <c r="F42" s="199"/>
      <c r="G42" s="201"/>
      <c r="H42" s="202"/>
      <c r="I42" s="202"/>
      <c r="J42" s="203"/>
      <c r="K42" s="203"/>
      <c r="L42" s="378"/>
      <c r="M42" s="379"/>
    </row>
    <row r="43" spans="1:13" s="94" customFormat="1" ht="16.5" customHeight="1" thickBot="1">
      <c r="A43" s="355"/>
      <c r="B43" s="356"/>
      <c r="C43" s="249"/>
      <c r="D43" s="247"/>
      <c r="E43" s="200"/>
      <c r="F43" s="199"/>
      <c r="G43" s="201"/>
      <c r="H43" s="202"/>
      <c r="I43" s="202"/>
      <c r="J43" s="203"/>
      <c r="K43" s="203"/>
      <c r="L43" s="378"/>
      <c r="M43" s="379"/>
    </row>
    <row r="44" spans="1:13" s="94" customFormat="1" ht="16.5" customHeight="1" thickBot="1">
      <c r="A44" s="355"/>
      <c r="B44" s="356"/>
      <c r="C44" s="249"/>
      <c r="D44" s="247"/>
      <c r="E44" s="200"/>
      <c r="F44" s="199"/>
      <c r="G44" s="201"/>
      <c r="H44" s="202"/>
      <c r="I44" s="202"/>
      <c r="J44" s="203"/>
      <c r="K44" s="203"/>
      <c r="L44" s="378"/>
      <c r="M44" s="379"/>
    </row>
    <row r="45" spans="1:13" s="94" customFormat="1" ht="16.5" customHeight="1" thickBot="1">
      <c r="A45" s="355"/>
      <c r="B45" s="356"/>
      <c r="C45" s="249"/>
      <c r="D45" s="247"/>
      <c r="E45" s="200"/>
      <c r="F45" s="199"/>
      <c r="G45" s="201"/>
      <c r="H45" s="202"/>
      <c r="I45" s="202"/>
      <c r="J45" s="203"/>
      <c r="K45" s="203"/>
      <c r="L45" s="378"/>
      <c r="M45" s="379"/>
    </row>
    <row r="46" spans="1:13" s="94" customFormat="1" ht="16.5" customHeight="1" thickBot="1">
      <c r="A46" s="355"/>
      <c r="B46" s="356"/>
      <c r="C46" s="249"/>
      <c r="D46" s="247"/>
      <c r="E46" s="200"/>
      <c r="F46" s="199"/>
      <c r="G46" s="201"/>
      <c r="H46" s="202"/>
      <c r="I46" s="202"/>
      <c r="J46" s="203"/>
      <c r="K46" s="203"/>
      <c r="L46" s="378"/>
      <c r="M46" s="379"/>
    </row>
    <row r="47" spans="1:13" s="94" customFormat="1" ht="16.5" customHeight="1" thickBot="1">
      <c r="A47" s="355"/>
      <c r="B47" s="356"/>
      <c r="C47" s="249"/>
      <c r="D47" s="247"/>
      <c r="E47" s="200"/>
      <c r="F47" s="199"/>
      <c r="G47" s="201"/>
      <c r="H47" s="202"/>
      <c r="I47" s="202"/>
      <c r="J47" s="203"/>
      <c r="K47" s="203"/>
      <c r="L47" s="378"/>
      <c r="M47" s="379"/>
    </row>
    <row r="48" spans="1:13" s="94" customFormat="1" ht="16.5" customHeight="1" thickBot="1">
      <c r="A48" s="355"/>
      <c r="B48" s="356"/>
      <c r="C48" s="249"/>
      <c r="D48" s="247"/>
      <c r="E48" s="200"/>
      <c r="F48" s="199"/>
      <c r="G48" s="201"/>
      <c r="H48" s="202"/>
      <c r="I48" s="202"/>
      <c r="J48" s="203"/>
      <c r="K48" s="203"/>
      <c r="L48" s="378"/>
      <c r="M48" s="379"/>
    </row>
    <row r="49" spans="1:13" s="94" customFormat="1" ht="16.5" customHeight="1" thickBot="1">
      <c r="A49" s="355"/>
      <c r="B49" s="356"/>
      <c r="C49" s="249"/>
      <c r="D49" s="247"/>
      <c r="E49" s="200"/>
      <c r="F49" s="199"/>
      <c r="G49" s="201"/>
      <c r="H49" s="202"/>
      <c r="I49" s="202"/>
      <c r="J49" s="203"/>
      <c r="K49" s="203"/>
      <c r="L49" s="378"/>
      <c r="M49" s="379"/>
    </row>
    <row r="50" spans="1:13" s="94" customFormat="1" ht="16.5" customHeight="1" thickBot="1">
      <c r="A50" s="355"/>
      <c r="B50" s="356"/>
      <c r="C50" s="249"/>
      <c r="D50" s="247"/>
      <c r="E50" s="200"/>
      <c r="F50" s="199"/>
      <c r="G50" s="201"/>
      <c r="H50" s="202"/>
      <c r="I50" s="202"/>
      <c r="J50" s="203"/>
      <c r="K50" s="203"/>
      <c r="L50" s="378"/>
      <c r="M50" s="379"/>
    </row>
    <row r="51" spans="1:13" s="94" customFormat="1" ht="16.5" customHeight="1" thickBot="1">
      <c r="A51" s="355"/>
      <c r="B51" s="356"/>
      <c r="C51" s="249"/>
      <c r="D51" s="247"/>
      <c r="E51" s="200"/>
      <c r="F51" s="199"/>
      <c r="G51" s="201"/>
      <c r="H51" s="202"/>
      <c r="I51" s="202"/>
      <c r="J51" s="203"/>
      <c r="K51" s="203"/>
      <c r="L51" s="378"/>
      <c r="M51" s="379"/>
    </row>
    <row r="52" spans="1:13" s="94" customFormat="1" ht="16.5" customHeight="1" thickBot="1">
      <c r="A52" s="355"/>
      <c r="B52" s="356"/>
      <c r="C52" s="249"/>
      <c r="D52" s="247"/>
      <c r="E52" s="200"/>
      <c r="F52" s="199"/>
      <c r="G52" s="201"/>
      <c r="H52" s="202"/>
      <c r="I52" s="202"/>
      <c r="J52" s="203"/>
      <c r="K52" s="203"/>
      <c r="L52" s="378"/>
      <c r="M52" s="379"/>
    </row>
    <row r="53" spans="1:13" s="94" customFormat="1" ht="16.5" customHeight="1" thickBot="1">
      <c r="A53" s="355"/>
      <c r="B53" s="356"/>
      <c r="C53" s="249"/>
      <c r="D53" s="247"/>
      <c r="E53" s="200"/>
      <c r="F53" s="199"/>
      <c r="G53" s="201"/>
      <c r="H53" s="202"/>
      <c r="I53" s="202"/>
      <c r="J53" s="203"/>
      <c r="K53" s="203"/>
      <c r="L53" s="378"/>
      <c r="M53" s="379"/>
    </row>
    <row r="54" spans="1:13" s="94" customFormat="1" ht="16.5" customHeight="1" thickBot="1">
      <c r="A54" s="355"/>
      <c r="B54" s="356"/>
      <c r="C54" s="249"/>
      <c r="D54" s="247"/>
      <c r="E54" s="200"/>
      <c r="F54" s="199"/>
      <c r="G54" s="201"/>
      <c r="H54" s="202"/>
      <c r="I54" s="202"/>
      <c r="J54" s="203"/>
      <c r="K54" s="203"/>
      <c r="L54" s="378"/>
      <c r="M54" s="379"/>
    </row>
    <row r="55" spans="1:13" s="94" customFormat="1" ht="16.5" customHeight="1" thickBot="1">
      <c r="A55" s="355"/>
      <c r="B55" s="356"/>
      <c r="C55" s="249"/>
      <c r="D55" s="247"/>
      <c r="E55" s="200"/>
      <c r="F55" s="199"/>
      <c r="G55" s="201"/>
      <c r="H55" s="202"/>
      <c r="I55" s="202"/>
      <c r="J55" s="203"/>
      <c r="K55" s="203"/>
      <c r="L55" s="378"/>
      <c r="M55" s="379"/>
    </row>
    <row r="56" spans="1:13" s="94" customFormat="1" ht="16.5" customHeight="1" thickBot="1">
      <c r="A56" s="355"/>
      <c r="B56" s="356"/>
      <c r="C56" s="249"/>
      <c r="D56" s="247"/>
      <c r="E56" s="200"/>
      <c r="F56" s="199"/>
      <c r="G56" s="201"/>
      <c r="H56" s="202"/>
      <c r="I56" s="202"/>
      <c r="J56" s="203"/>
      <c r="K56" s="203"/>
      <c r="L56" s="378"/>
      <c r="M56" s="379"/>
    </row>
    <row r="57" spans="1:13" s="94" customFormat="1" ht="16.5" customHeight="1" thickBot="1">
      <c r="A57" s="355"/>
      <c r="B57" s="356"/>
      <c r="C57" s="249"/>
      <c r="D57" s="247"/>
      <c r="E57" s="200"/>
      <c r="F57" s="199"/>
      <c r="G57" s="201"/>
      <c r="H57" s="202"/>
      <c r="I57" s="202"/>
      <c r="J57" s="203"/>
      <c r="K57" s="203"/>
      <c r="L57" s="378"/>
      <c r="M57" s="379"/>
    </row>
    <row r="58" spans="1:13" s="94" customFormat="1" ht="16.5" customHeight="1" thickBot="1">
      <c r="A58" s="355"/>
      <c r="B58" s="356"/>
      <c r="C58" s="249"/>
      <c r="D58" s="247"/>
      <c r="E58" s="200"/>
      <c r="F58" s="199"/>
      <c r="G58" s="201"/>
      <c r="H58" s="202"/>
      <c r="I58" s="202"/>
      <c r="J58" s="203"/>
      <c r="K58" s="203"/>
      <c r="L58" s="378"/>
      <c r="M58" s="379"/>
    </row>
    <row r="59" spans="1:13" s="94" customFormat="1" ht="16.5" customHeight="1" thickBot="1">
      <c r="A59" s="355"/>
      <c r="B59" s="356"/>
      <c r="C59" s="249"/>
      <c r="D59" s="247"/>
      <c r="E59" s="200"/>
      <c r="F59" s="199"/>
      <c r="G59" s="201"/>
      <c r="H59" s="202"/>
      <c r="I59" s="202"/>
      <c r="J59" s="203"/>
      <c r="K59" s="203"/>
      <c r="L59" s="378"/>
      <c r="M59" s="379"/>
    </row>
    <row r="60" spans="1:13" s="94" customFormat="1" ht="16.5" customHeight="1" thickBot="1">
      <c r="A60" s="355"/>
      <c r="B60" s="356"/>
      <c r="C60" s="249"/>
      <c r="D60" s="247"/>
      <c r="E60" s="200"/>
      <c r="F60" s="199"/>
      <c r="G60" s="201"/>
      <c r="H60" s="202"/>
      <c r="I60" s="202"/>
      <c r="J60" s="203"/>
      <c r="K60" s="203"/>
      <c r="L60" s="378"/>
      <c r="M60" s="379"/>
    </row>
    <row r="61" spans="1:13" s="94" customFormat="1" ht="16.5" customHeight="1" thickBot="1">
      <c r="A61" s="355"/>
      <c r="B61" s="356"/>
      <c r="C61" s="249"/>
      <c r="D61" s="247"/>
      <c r="E61" s="200"/>
      <c r="F61" s="199"/>
      <c r="G61" s="201"/>
      <c r="H61" s="202"/>
      <c r="I61" s="202"/>
      <c r="J61" s="203"/>
      <c r="K61" s="203"/>
      <c r="L61" s="378"/>
      <c r="M61" s="379"/>
    </row>
    <row r="62" spans="1:13" s="94" customFormat="1" ht="16.5" customHeight="1" thickBot="1">
      <c r="A62" s="355"/>
      <c r="B62" s="356"/>
      <c r="C62" s="249"/>
      <c r="D62" s="247"/>
      <c r="E62" s="200"/>
      <c r="F62" s="199"/>
      <c r="G62" s="201"/>
      <c r="H62" s="202"/>
      <c r="I62" s="202"/>
      <c r="J62" s="203"/>
      <c r="K62" s="203"/>
      <c r="L62" s="378"/>
      <c r="M62" s="379"/>
    </row>
    <row r="63" spans="1:13" s="94" customFormat="1" ht="16.5" customHeight="1" thickBot="1">
      <c r="A63" s="355"/>
      <c r="B63" s="356"/>
      <c r="C63" s="249"/>
      <c r="D63" s="247"/>
      <c r="E63" s="200"/>
      <c r="F63" s="199"/>
      <c r="G63" s="201"/>
      <c r="H63" s="202"/>
      <c r="I63" s="202"/>
      <c r="J63" s="203"/>
      <c r="K63" s="203"/>
      <c r="L63" s="378"/>
      <c r="M63" s="379"/>
    </row>
    <row r="64" spans="1:13" s="94" customFormat="1" ht="16.5" customHeight="1" thickBot="1">
      <c r="A64" s="355"/>
      <c r="B64" s="356"/>
      <c r="C64" s="249"/>
      <c r="D64" s="247"/>
      <c r="E64" s="200"/>
      <c r="F64" s="199"/>
      <c r="G64" s="201"/>
      <c r="H64" s="202"/>
      <c r="I64" s="202"/>
      <c r="J64" s="203"/>
      <c r="K64" s="203"/>
      <c r="L64" s="378"/>
      <c r="M64" s="379"/>
    </row>
    <row r="65" spans="1:13" s="94" customFormat="1" ht="16.5" customHeight="1" thickBot="1">
      <c r="A65" s="355"/>
      <c r="B65" s="356"/>
      <c r="C65" s="249"/>
      <c r="D65" s="247"/>
      <c r="E65" s="200"/>
      <c r="F65" s="199"/>
      <c r="G65" s="201"/>
      <c r="H65" s="202"/>
      <c r="I65" s="202"/>
      <c r="J65" s="203"/>
      <c r="K65" s="203"/>
      <c r="L65" s="378"/>
      <c r="M65" s="379"/>
    </row>
    <row r="66" spans="1:13" s="94" customFormat="1" ht="16.5" customHeight="1" thickBot="1">
      <c r="A66" s="355"/>
      <c r="B66" s="356"/>
      <c r="C66" s="249"/>
      <c r="D66" s="247"/>
      <c r="E66" s="200"/>
      <c r="F66" s="199"/>
      <c r="G66" s="201"/>
      <c r="H66" s="202"/>
      <c r="I66" s="202"/>
      <c r="J66" s="203"/>
      <c r="K66" s="203"/>
      <c r="L66" s="378"/>
      <c r="M66" s="379"/>
    </row>
    <row r="67" spans="1:13" s="94" customFormat="1" ht="16.5" customHeight="1" thickBot="1">
      <c r="A67" s="355"/>
      <c r="B67" s="356"/>
      <c r="C67" s="249"/>
      <c r="D67" s="247"/>
      <c r="E67" s="200"/>
      <c r="F67" s="199"/>
      <c r="G67" s="201"/>
      <c r="H67" s="202"/>
      <c r="I67" s="202"/>
      <c r="J67" s="203"/>
      <c r="K67" s="203"/>
      <c r="L67" s="378"/>
      <c r="M67" s="379"/>
    </row>
    <row r="68" spans="1:13" s="94" customFormat="1" ht="16.5" customHeight="1" thickBot="1">
      <c r="A68" s="355"/>
      <c r="B68" s="356"/>
      <c r="C68" s="249"/>
      <c r="D68" s="247"/>
      <c r="E68" s="200"/>
      <c r="F68" s="199"/>
      <c r="G68" s="201"/>
      <c r="H68" s="202"/>
      <c r="I68" s="202"/>
      <c r="J68" s="203"/>
      <c r="K68" s="203"/>
      <c r="L68" s="378"/>
      <c r="M68" s="379"/>
    </row>
    <row r="69" spans="1:13" s="94" customFormat="1" ht="16.5" customHeight="1" thickBot="1">
      <c r="A69" s="355"/>
      <c r="B69" s="356"/>
      <c r="C69" s="249"/>
      <c r="D69" s="247"/>
      <c r="E69" s="200"/>
      <c r="F69" s="199"/>
      <c r="G69" s="201"/>
      <c r="H69" s="202"/>
      <c r="I69" s="202"/>
      <c r="J69" s="203"/>
      <c r="K69" s="203"/>
      <c r="L69" s="378"/>
      <c r="M69" s="379"/>
    </row>
    <row r="70" spans="1:13" s="94" customFormat="1" ht="16.5" customHeight="1" thickBot="1">
      <c r="A70" s="355"/>
      <c r="B70" s="356"/>
      <c r="C70" s="249"/>
      <c r="D70" s="247"/>
      <c r="E70" s="200"/>
      <c r="F70" s="199"/>
      <c r="G70" s="201"/>
      <c r="H70" s="202"/>
      <c r="I70" s="202"/>
      <c r="J70" s="203"/>
      <c r="K70" s="203"/>
      <c r="L70" s="378"/>
      <c r="M70" s="379"/>
    </row>
    <row r="71" spans="1:13" s="94" customFormat="1" ht="16.5" customHeight="1" thickBot="1">
      <c r="A71" s="355"/>
      <c r="B71" s="356"/>
      <c r="C71" s="249"/>
      <c r="D71" s="247"/>
      <c r="E71" s="200"/>
      <c r="F71" s="199"/>
      <c r="G71" s="201"/>
      <c r="H71" s="202"/>
      <c r="I71" s="202"/>
      <c r="J71" s="203"/>
      <c r="K71" s="203"/>
      <c r="L71" s="378"/>
      <c r="M71" s="379"/>
    </row>
    <row r="72" spans="1:13" s="94" customFormat="1" ht="16.5" customHeight="1" thickBot="1">
      <c r="A72" s="355"/>
      <c r="B72" s="356"/>
      <c r="C72" s="249"/>
      <c r="D72" s="247"/>
      <c r="E72" s="200"/>
      <c r="F72" s="199"/>
      <c r="G72" s="201"/>
      <c r="H72" s="202"/>
      <c r="I72" s="202"/>
      <c r="J72" s="203"/>
      <c r="K72" s="203"/>
      <c r="L72" s="378"/>
      <c r="M72" s="379"/>
    </row>
    <row r="73" spans="1:13" s="94" customFormat="1" ht="16.5" customHeight="1" thickBot="1">
      <c r="A73" s="355"/>
      <c r="B73" s="356"/>
      <c r="C73" s="249"/>
      <c r="D73" s="247"/>
      <c r="E73" s="200"/>
      <c r="F73" s="199"/>
      <c r="G73" s="201"/>
      <c r="H73" s="202"/>
      <c r="I73" s="202"/>
      <c r="J73" s="203"/>
      <c r="K73" s="203"/>
      <c r="L73" s="378"/>
      <c r="M73" s="379"/>
    </row>
    <row r="74" spans="1:13" s="94" customFormat="1" ht="16.5" customHeight="1" thickBot="1">
      <c r="A74" s="355"/>
      <c r="B74" s="356"/>
      <c r="C74" s="249"/>
      <c r="D74" s="247"/>
      <c r="E74" s="200"/>
      <c r="F74" s="199"/>
      <c r="G74" s="201"/>
      <c r="H74" s="202"/>
      <c r="I74" s="202"/>
      <c r="J74" s="203"/>
      <c r="K74" s="203"/>
      <c r="L74" s="378"/>
      <c r="M74" s="379"/>
    </row>
    <row r="75" spans="1:13" s="94" customFormat="1" ht="16.5" customHeight="1" thickBot="1">
      <c r="A75" s="355"/>
      <c r="B75" s="356"/>
      <c r="C75" s="249"/>
      <c r="D75" s="247"/>
      <c r="E75" s="200"/>
      <c r="F75" s="199"/>
      <c r="G75" s="201"/>
      <c r="H75" s="202"/>
      <c r="I75" s="202"/>
      <c r="J75" s="203"/>
      <c r="K75" s="203"/>
      <c r="L75" s="378"/>
      <c r="M75" s="379"/>
    </row>
    <row r="76" spans="1:13" s="94" customFormat="1" ht="16.5" customHeight="1" thickBot="1">
      <c r="A76" s="355"/>
      <c r="B76" s="356"/>
      <c r="C76" s="249"/>
      <c r="D76" s="247"/>
      <c r="E76" s="200"/>
      <c r="F76" s="199"/>
      <c r="G76" s="201"/>
      <c r="H76" s="202"/>
      <c r="I76" s="202"/>
      <c r="J76" s="203"/>
      <c r="K76" s="203"/>
      <c r="L76" s="378"/>
      <c r="M76" s="379"/>
    </row>
    <row r="77" spans="1:13" s="94" customFormat="1" ht="16.5" customHeight="1" thickBot="1">
      <c r="A77" s="355"/>
      <c r="B77" s="356"/>
      <c r="C77" s="249"/>
      <c r="D77" s="247"/>
      <c r="E77" s="200"/>
      <c r="F77" s="199"/>
      <c r="G77" s="201"/>
      <c r="H77" s="202"/>
      <c r="I77" s="202"/>
      <c r="J77" s="203"/>
      <c r="K77" s="203"/>
      <c r="L77" s="378"/>
      <c r="M77" s="379"/>
    </row>
    <row r="78" spans="1:13" s="94" customFormat="1" ht="16.5" customHeight="1" thickBot="1">
      <c r="A78" s="355"/>
      <c r="B78" s="356"/>
      <c r="C78" s="249"/>
      <c r="D78" s="247"/>
      <c r="E78" s="200"/>
      <c r="F78" s="199"/>
      <c r="G78" s="201"/>
      <c r="H78" s="202"/>
      <c r="I78" s="202"/>
      <c r="J78" s="203"/>
      <c r="K78" s="203"/>
      <c r="L78" s="378"/>
      <c r="M78" s="379"/>
    </row>
    <row r="79" spans="1:13" s="94" customFormat="1" ht="16.5" customHeight="1" thickBot="1">
      <c r="A79" s="355"/>
      <c r="B79" s="356"/>
      <c r="C79" s="249"/>
      <c r="D79" s="247"/>
      <c r="E79" s="200"/>
      <c r="F79" s="199"/>
      <c r="G79" s="201"/>
      <c r="H79" s="202"/>
      <c r="I79" s="202"/>
      <c r="J79" s="203"/>
      <c r="K79" s="203"/>
      <c r="L79" s="378"/>
      <c r="M79" s="379"/>
    </row>
    <row r="80" spans="1:13" s="94" customFormat="1" ht="16.5" customHeight="1" thickBot="1">
      <c r="A80" s="355"/>
      <c r="B80" s="356"/>
      <c r="C80" s="249"/>
      <c r="D80" s="247"/>
      <c r="E80" s="200"/>
      <c r="F80" s="199"/>
      <c r="G80" s="201"/>
      <c r="H80" s="202"/>
      <c r="I80" s="202"/>
      <c r="J80" s="203"/>
      <c r="K80" s="203"/>
      <c r="L80" s="378"/>
      <c r="M80" s="379"/>
    </row>
    <row r="81" spans="1:13" s="94" customFormat="1" ht="16.5" customHeight="1" thickBot="1">
      <c r="A81" s="355"/>
      <c r="B81" s="356"/>
      <c r="C81" s="249"/>
      <c r="D81" s="247"/>
      <c r="E81" s="200"/>
      <c r="F81" s="199"/>
      <c r="G81" s="201"/>
      <c r="H81" s="202"/>
      <c r="I81" s="202"/>
      <c r="J81" s="203"/>
      <c r="K81" s="203"/>
      <c r="L81" s="378"/>
      <c r="M81" s="379"/>
    </row>
    <row r="82" spans="1:13" s="94" customFormat="1" ht="16.5" customHeight="1" thickBot="1">
      <c r="A82" s="355"/>
      <c r="B82" s="356"/>
      <c r="C82" s="249"/>
      <c r="D82" s="247"/>
      <c r="E82" s="200"/>
      <c r="F82" s="199"/>
      <c r="G82" s="201"/>
      <c r="H82" s="202"/>
      <c r="I82" s="202"/>
      <c r="J82" s="203"/>
      <c r="K82" s="203"/>
      <c r="L82" s="378"/>
      <c r="M82" s="379"/>
    </row>
    <row r="83" spans="1:13" s="94" customFormat="1" ht="16.5" customHeight="1" thickBot="1">
      <c r="A83" s="355"/>
      <c r="B83" s="356"/>
      <c r="C83" s="249"/>
      <c r="D83" s="247"/>
      <c r="E83" s="200"/>
      <c r="F83" s="199"/>
      <c r="G83" s="201"/>
      <c r="H83" s="202"/>
      <c r="I83" s="202"/>
      <c r="J83" s="203"/>
      <c r="K83" s="203"/>
      <c r="L83" s="378"/>
      <c r="M83" s="379"/>
    </row>
    <row r="84" spans="1:13" s="94" customFormat="1" ht="16.5" customHeight="1" thickBot="1">
      <c r="A84" s="355"/>
      <c r="B84" s="356"/>
      <c r="C84" s="249"/>
      <c r="D84" s="247"/>
      <c r="E84" s="200"/>
      <c r="F84" s="199"/>
      <c r="G84" s="201"/>
      <c r="H84" s="202"/>
      <c r="I84" s="202"/>
      <c r="J84" s="203"/>
      <c r="K84" s="203"/>
      <c r="L84" s="378"/>
      <c r="M84" s="379"/>
    </row>
    <row r="85" spans="1:13" s="94" customFormat="1" ht="16.5" customHeight="1" thickBot="1">
      <c r="A85" s="355"/>
      <c r="B85" s="356"/>
      <c r="C85" s="249"/>
      <c r="D85" s="247"/>
      <c r="E85" s="200"/>
      <c r="F85" s="199"/>
      <c r="G85" s="201"/>
      <c r="H85" s="202"/>
      <c r="I85" s="202"/>
      <c r="J85" s="203"/>
      <c r="K85" s="203"/>
      <c r="L85" s="378"/>
      <c r="M85" s="379"/>
    </row>
    <row r="86" spans="1:13" s="94" customFormat="1" ht="16.5" customHeight="1" thickBot="1">
      <c r="A86" s="355"/>
      <c r="B86" s="356"/>
      <c r="C86" s="249"/>
      <c r="D86" s="247"/>
      <c r="E86" s="200"/>
      <c r="F86" s="199"/>
      <c r="G86" s="201"/>
      <c r="H86" s="202"/>
      <c r="I86" s="202"/>
      <c r="J86" s="203"/>
      <c r="K86" s="203"/>
      <c r="L86" s="378"/>
      <c r="M86" s="379"/>
    </row>
    <row r="87" spans="1:13" s="94" customFormat="1" ht="16.5" customHeight="1" thickBot="1">
      <c r="A87" s="355"/>
      <c r="B87" s="356"/>
      <c r="C87" s="249"/>
      <c r="D87" s="247"/>
      <c r="E87" s="200"/>
      <c r="F87" s="199"/>
      <c r="G87" s="201"/>
      <c r="H87" s="202"/>
      <c r="I87" s="202"/>
      <c r="J87" s="203"/>
      <c r="K87" s="203"/>
      <c r="L87" s="378"/>
      <c r="M87" s="379"/>
    </row>
    <row r="88" spans="1:13" s="94" customFormat="1" ht="16.5" customHeight="1" thickBot="1">
      <c r="A88" s="355"/>
      <c r="B88" s="356"/>
      <c r="C88" s="249"/>
      <c r="D88" s="247"/>
      <c r="E88" s="200"/>
      <c r="F88" s="199"/>
      <c r="G88" s="201"/>
      <c r="H88" s="202"/>
      <c r="I88" s="202"/>
      <c r="J88" s="203"/>
      <c r="K88" s="203"/>
      <c r="L88" s="378"/>
      <c r="M88" s="379"/>
    </row>
    <row r="89" spans="1:13" s="94" customFormat="1" ht="16.5" customHeight="1" thickBot="1">
      <c r="A89" s="355"/>
      <c r="B89" s="356"/>
      <c r="C89" s="249"/>
      <c r="D89" s="247"/>
      <c r="E89" s="200"/>
      <c r="F89" s="199"/>
      <c r="G89" s="201"/>
      <c r="H89" s="202"/>
      <c r="I89" s="202"/>
      <c r="J89" s="203"/>
      <c r="K89" s="203"/>
      <c r="L89" s="378"/>
      <c r="M89" s="379"/>
    </row>
    <row r="90" spans="1:13" s="94" customFormat="1" ht="16.5" customHeight="1" thickBot="1">
      <c r="A90" s="355"/>
      <c r="B90" s="356"/>
      <c r="C90" s="249"/>
      <c r="D90" s="247"/>
      <c r="E90" s="200"/>
      <c r="F90" s="199"/>
      <c r="G90" s="201"/>
      <c r="H90" s="202"/>
      <c r="I90" s="202"/>
      <c r="J90" s="203"/>
      <c r="K90" s="203"/>
      <c r="L90" s="378"/>
      <c r="M90" s="379"/>
    </row>
    <row r="91" spans="1:13" s="94" customFormat="1" ht="16.5" customHeight="1" thickBot="1">
      <c r="A91" s="355"/>
      <c r="B91" s="356"/>
      <c r="C91" s="249"/>
      <c r="D91" s="247"/>
      <c r="E91" s="200"/>
      <c r="F91" s="199"/>
      <c r="G91" s="201"/>
      <c r="H91" s="202"/>
      <c r="I91" s="202"/>
      <c r="J91" s="203"/>
      <c r="K91" s="203"/>
      <c r="L91" s="378"/>
      <c r="M91" s="379"/>
    </row>
    <row r="92" spans="1:13" s="94" customFormat="1" ht="16.5" customHeight="1" thickBot="1">
      <c r="A92" s="355"/>
      <c r="B92" s="356"/>
      <c r="C92" s="249"/>
      <c r="D92" s="247"/>
      <c r="E92" s="200"/>
      <c r="F92" s="199"/>
      <c r="G92" s="201"/>
      <c r="H92" s="202"/>
      <c r="I92" s="202"/>
      <c r="J92" s="203"/>
      <c r="K92" s="203"/>
      <c r="L92" s="378"/>
      <c r="M92" s="379"/>
    </row>
    <row r="93" spans="1:13" s="94" customFormat="1" ht="16.5" customHeight="1" thickBot="1">
      <c r="A93" s="355"/>
      <c r="B93" s="356"/>
      <c r="C93" s="249"/>
      <c r="D93" s="247"/>
      <c r="E93" s="200"/>
      <c r="F93" s="199"/>
      <c r="G93" s="201"/>
      <c r="H93" s="202"/>
      <c r="I93" s="202"/>
      <c r="J93" s="203"/>
      <c r="K93" s="203"/>
      <c r="L93" s="378"/>
      <c r="M93" s="379"/>
    </row>
    <row r="94" spans="1:13" s="94" customFormat="1" ht="16.5" customHeight="1" thickBot="1">
      <c r="A94" s="355"/>
      <c r="B94" s="356"/>
      <c r="C94" s="249"/>
      <c r="D94" s="247"/>
      <c r="E94" s="200"/>
      <c r="F94" s="199"/>
      <c r="G94" s="201"/>
      <c r="H94" s="202"/>
      <c r="I94" s="202"/>
      <c r="J94" s="203"/>
      <c r="K94" s="203"/>
      <c r="L94" s="378"/>
      <c r="M94" s="379"/>
    </row>
    <row r="95" spans="1:13" s="94" customFormat="1" ht="16.5" customHeight="1" thickBot="1">
      <c r="A95" s="355"/>
      <c r="B95" s="356"/>
      <c r="C95" s="249"/>
      <c r="D95" s="247"/>
      <c r="E95" s="200"/>
      <c r="F95" s="199"/>
      <c r="G95" s="201"/>
      <c r="H95" s="202"/>
      <c r="I95" s="202"/>
      <c r="J95" s="203"/>
      <c r="K95" s="203"/>
      <c r="L95" s="378"/>
      <c r="M95" s="379"/>
    </row>
    <row r="96" spans="1:13" s="94" customFormat="1" ht="16.5" customHeight="1" thickBot="1">
      <c r="A96" s="355"/>
      <c r="B96" s="356"/>
      <c r="C96" s="249"/>
      <c r="D96" s="247"/>
      <c r="E96" s="200"/>
      <c r="F96" s="199"/>
      <c r="G96" s="201"/>
      <c r="H96" s="202"/>
      <c r="I96" s="202"/>
      <c r="J96" s="203"/>
      <c r="K96" s="203"/>
      <c r="L96" s="378"/>
      <c r="M96" s="379"/>
    </row>
    <row r="97" spans="1:13" s="94" customFormat="1" ht="16.5" customHeight="1" thickBot="1">
      <c r="A97" s="355"/>
      <c r="B97" s="356"/>
      <c r="C97" s="249"/>
      <c r="D97" s="247"/>
      <c r="E97" s="200"/>
      <c r="F97" s="199"/>
      <c r="G97" s="201"/>
      <c r="H97" s="202"/>
      <c r="I97" s="202"/>
      <c r="J97" s="203"/>
      <c r="K97" s="203"/>
      <c r="L97" s="378"/>
      <c r="M97" s="379"/>
    </row>
    <row r="98" spans="1:13" s="94" customFormat="1" ht="16.5" customHeight="1" thickBot="1">
      <c r="A98" s="355"/>
      <c r="B98" s="356"/>
      <c r="C98" s="249"/>
      <c r="D98" s="247"/>
      <c r="E98" s="200"/>
      <c r="F98" s="199"/>
      <c r="G98" s="201"/>
      <c r="H98" s="202"/>
      <c r="I98" s="202"/>
      <c r="J98" s="203"/>
      <c r="K98" s="203"/>
      <c r="L98" s="378"/>
      <c r="M98" s="379"/>
    </row>
    <row r="99" spans="1:13" s="94" customFormat="1" ht="16.5" customHeight="1" thickBot="1">
      <c r="A99" s="355"/>
      <c r="B99" s="356"/>
      <c r="C99" s="249"/>
      <c r="D99" s="247"/>
      <c r="E99" s="200"/>
      <c r="F99" s="199"/>
      <c r="G99" s="201"/>
      <c r="H99" s="202"/>
      <c r="I99" s="202"/>
      <c r="J99" s="203"/>
      <c r="K99" s="203"/>
      <c r="L99" s="378"/>
      <c r="M99" s="379"/>
    </row>
    <row r="100" spans="1:13" s="94" customFormat="1" ht="16.5" customHeight="1" thickBot="1">
      <c r="A100" s="355"/>
      <c r="B100" s="356"/>
      <c r="C100" s="249"/>
      <c r="D100" s="247"/>
      <c r="E100" s="200"/>
      <c r="F100" s="199"/>
      <c r="G100" s="201"/>
      <c r="H100" s="202"/>
      <c r="I100" s="202"/>
      <c r="J100" s="203"/>
      <c r="K100" s="203"/>
      <c r="L100" s="378"/>
      <c r="M100" s="379"/>
    </row>
    <row r="101" spans="1:13" s="94" customFormat="1" ht="16.5" customHeight="1" thickBot="1">
      <c r="A101" s="355"/>
      <c r="B101" s="356"/>
      <c r="C101" s="249"/>
      <c r="D101" s="247"/>
      <c r="E101" s="200"/>
      <c r="F101" s="199"/>
      <c r="G101" s="201"/>
      <c r="H101" s="202"/>
      <c r="I101" s="202"/>
      <c r="J101" s="203"/>
      <c r="K101" s="203"/>
      <c r="L101" s="378"/>
      <c r="M101" s="379"/>
    </row>
    <row r="102" spans="1:13" s="94" customFormat="1" ht="16.5" customHeight="1" thickBot="1">
      <c r="A102" s="355"/>
      <c r="B102" s="356"/>
      <c r="C102" s="249"/>
      <c r="D102" s="247"/>
      <c r="E102" s="200"/>
      <c r="F102" s="199"/>
      <c r="G102" s="201"/>
      <c r="H102" s="202"/>
      <c r="I102" s="202"/>
      <c r="J102" s="203"/>
      <c r="K102" s="203"/>
      <c r="L102" s="378"/>
      <c r="M102" s="379"/>
    </row>
    <row r="103" spans="1:13" s="94" customFormat="1" ht="16.5" customHeight="1" thickBot="1">
      <c r="A103" s="355"/>
      <c r="B103" s="356"/>
      <c r="C103" s="249"/>
      <c r="D103" s="247"/>
      <c r="E103" s="200"/>
      <c r="F103" s="199"/>
      <c r="G103" s="201"/>
      <c r="H103" s="202"/>
      <c r="I103" s="202"/>
      <c r="J103" s="203"/>
      <c r="K103" s="203"/>
      <c r="L103" s="378"/>
      <c r="M103" s="379"/>
    </row>
    <row r="104" spans="1:13" s="94" customFormat="1" ht="16.5" customHeight="1" thickBot="1">
      <c r="A104" s="355"/>
      <c r="B104" s="356"/>
      <c r="C104" s="249"/>
      <c r="D104" s="247"/>
      <c r="E104" s="200"/>
      <c r="F104" s="199"/>
      <c r="G104" s="201"/>
      <c r="H104" s="202"/>
      <c r="I104" s="202"/>
      <c r="J104" s="203"/>
      <c r="K104" s="203"/>
      <c r="L104" s="378"/>
      <c r="M104" s="379"/>
    </row>
    <row r="105" spans="1:13" s="94" customFormat="1" ht="16.5" customHeight="1" thickBot="1">
      <c r="A105" s="355"/>
      <c r="B105" s="356"/>
      <c r="C105" s="249"/>
      <c r="D105" s="247"/>
      <c r="E105" s="200"/>
      <c r="F105" s="199"/>
      <c r="G105" s="201"/>
      <c r="H105" s="202"/>
      <c r="I105" s="202"/>
      <c r="J105" s="203"/>
      <c r="K105" s="203"/>
      <c r="L105" s="378"/>
      <c r="M105" s="379"/>
    </row>
    <row r="106" spans="1:13" s="94" customFormat="1" ht="16.5" customHeight="1" thickBot="1">
      <c r="A106" s="355"/>
      <c r="B106" s="356"/>
      <c r="C106" s="249"/>
      <c r="D106" s="247"/>
      <c r="E106" s="200"/>
      <c r="F106" s="199"/>
      <c r="G106" s="201"/>
      <c r="H106" s="202"/>
      <c r="I106" s="202"/>
      <c r="J106" s="203"/>
      <c r="K106" s="203"/>
      <c r="L106" s="378"/>
      <c r="M106" s="379"/>
    </row>
    <row r="107" spans="1:13" s="94" customFormat="1" ht="16.5" customHeight="1" thickBot="1">
      <c r="A107" s="355"/>
      <c r="B107" s="356"/>
      <c r="C107" s="249"/>
      <c r="D107" s="247"/>
      <c r="E107" s="200"/>
      <c r="F107" s="199"/>
      <c r="G107" s="201"/>
      <c r="H107" s="202"/>
      <c r="I107" s="202"/>
      <c r="J107" s="203"/>
      <c r="K107" s="203"/>
      <c r="L107" s="378"/>
      <c r="M107" s="379"/>
    </row>
    <row r="108" spans="1:13" s="94" customFormat="1" ht="16.5" customHeight="1" thickBot="1">
      <c r="A108" s="355"/>
      <c r="B108" s="356"/>
      <c r="C108" s="249"/>
      <c r="D108" s="247"/>
      <c r="E108" s="200"/>
      <c r="F108" s="199"/>
      <c r="G108" s="201"/>
      <c r="H108" s="202"/>
      <c r="I108" s="202"/>
      <c r="J108" s="203"/>
      <c r="K108" s="203"/>
      <c r="L108" s="378"/>
      <c r="M108" s="379"/>
    </row>
    <row r="109" spans="1:13" s="94" customFormat="1" ht="16.5" customHeight="1" thickBot="1">
      <c r="A109" s="355"/>
      <c r="B109" s="356"/>
      <c r="C109" s="249"/>
      <c r="D109" s="247"/>
      <c r="E109" s="200"/>
      <c r="F109" s="199"/>
      <c r="G109" s="201"/>
      <c r="H109" s="202"/>
      <c r="I109" s="202"/>
      <c r="J109" s="203"/>
      <c r="K109" s="203"/>
      <c r="L109" s="378"/>
      <c r="M109" s="379"/>
    </row>
    <row r="110" spans="1:13" s="94" customFormat="1" ht="16.5" customHeight="1" thickBot="1">
      <c r="A110" s="355"/>
      <c r="B110" s="356"/>
      <c r="C110" s="249"/>
      <c r="D110" s="247"/>
      <c r="E110" s="200"/>
      <c r="F110" s="199"/>
      <c r="G110" s="201"/>
      <c r="H110" s="202"/>
      <c r="I110" s="202"/>
      <c r="J110" s="203"/>
      <c r="K110" s="203"/>
      <c r="L110" s="378"/>
      <c r="M110" s="379"/>
    </row>
    <row r="111" spans="1:13" s="94" customFormat="1" ht="16.5" customHeight="1" thickBot="1">
      <c r="A111" s="355"/>
      <c r="B111" s="356"/>
      <c r="C111" s="249"/>
      <c r="D111" s="247"/>
      <c r="E111" s="200"/>
      <c r="F111" s="199"/>
      <c r="G111" s="201"/>
      <c r="H111" s="202"/>
      <c r="I111" s="202"/>
      <c r="J111" s="203"/>
      <c r="K111" s="203"/>
      <c r="L111" s="378"/>
      <c r="M111" s="379"/>
    </row>
    <row r="112" spans="1:13" s="94" customFormat="1" ht="16.5" customHeight="1" thickBot="1">
      <c r="A112" s="355"/>
      <c r="B112" s="356"/>
      <c r="C112" s="249"/>
      <c r="D112" s="247"/>
      <c r="E112" s="200"/>
      <c r="F112" s="199"/>
      <c r="G112" s="201"/>
      <c r="H112" s="202"/>
      <c r="I112" s="202"/>
      <c r="J112" s="203"/>
      <c r="K112" s="203"/>
      <c r="L112" s="378"/>
      <c r="M112" s="379"/>
    </row>
    <row r="113" spans="1:13" s="94" customFormat="1" ht="16.5" customHeight="1" thickBot="1">
      <c r="A113" s="355"/>
      <c r="B113" s="356"/>
      <c r="C113" s="249"/>
      <c r="D113" s="247"/>
      <c r="E113" s="200"/>
      <c r="F113" s="199"/>
      <c r="G113" s="201"/>
      <c r="H113" s="202"/>
      <c r="I113" s="202"/>
      <c r="J113" s="203"/>
      <c r="K113" s="203"/>
      <c r="L113" s="378"/>
      <c r="M113" s="379"/>
    </row>
    <row r="114" spans="1:13" s="94" customFormat="1" ht="16.5" customHeight="1" thickBot="1">
      <c r="A114" s="355"/>
      <c r="B114" s="356"/>
      <c r="C114" s="249"/>
      <c r="D114" s="247"/>
      <c r="E114" s="200"/>
      <c r="F114" s="199"/>
      <c r="G114" s="201"/>
      <c r="H114" s="202"/>
      <c r="I114" s="202"/>
      <c r="J114" s="203"/>
      <c r="K114" s="203"/>
      <c r="L114" s="378"/>
      <c r="M114" s="379"/>
    </row>
    <row r="115" spans="1:13" s="94" customFormat="1" ht="16.5" customHeight="1" thickBot="1">
      <c r="A115" s="355"/>
      <c r="B115" s="356"/>
      <c r="C115" s="249"/>
      <c r="D115" s="247"/>
      <c r="E115" s="200"/>
      <c r="F115" s="199"/>
      <c r="G115" s="201"/>
      <c r="H115" s="202"/>
      <c r="I115" s="202"/>
      <c r="J115" s="203"/>
      <c r="K115" s="203"/>
      <c r="L115" s="378"/>
      <c r="M115" s="379"/>
    </row>
    <row r="116" spans="1:13" s="94" customFormat="1" ht="16.5" customHeight="1" thickBot="1">
      <c r="A116" s="355"/>
      <c r="B116" s="356"/>
      <c r="C116" s="249"/>
      <c r="D116" s="247"/>
      <c r="E116" s="200"/>
      <c r="F116" s="199"/>
      <c r="G116" s="201"/>
      <c r="H116" s="202"/>
      <c r="I116" s="202"/>
      <c r="J116" s="203"/>
      <c r="K116" s="203"/>
      <c r="L116" s="378"/>
      <c r="M116" s="379"/>
    </row>
    <row r="117" spans="1:13" s="94" customFormat="1" ht="16.5" customHeight="1" thickBot="1">
      <c r="A117" s="355"/>
      <c r="B117" s="356"/>
      <c r="C117" s="249"/>
      <c r="D117" s="247"/>
      <c r="E117" s="200"/>
      <c r="F117" s="199"/>
      <c r="G117" s="201"/>
      <c r="H117" s="202"/>
      <c r="I117" s="202"/>
      <c r="J117" s="203"/>
      <c r="K117" s="203"/>
      <c r="L117" s="378"/>
      <c r="M117" s="379"/>
    </row>
    <row r="118" spans="1:13" s="94" customFormat="1" ht="16.5" customHeight="1" thickBot="1">
      <c r="A118" s="355"/>
      <c r="B118" s="356"/>
      <c r="C118" s="249"/>
      <c r="D118" s="247"/>
      <c r="E118" s="200"/>
      <c r="F118" s="199"/>
      <c r="G118" s="201"/>
      <c r="H118" s="202"/>
      <c r="I118" s="202"/>
      <c r="J118" s="203"/>
      <c r="K118" s="203"/>
      <c r="L118" s="378"/>
      <c r="M118" s="379"/>
    </row>
    <row r="119" spans="1:13" s="94" customFormat="1" ht="16.5" customHeight="1" thickBot="1">
      <c r="A119" s="355"/>
      <c r="B119" s="356"/>
      <c r="C119" s="249"/>
      <c r="D119" s="247"/>
      <c r="E119" s="200"/>
      <c r="F119" s="199"/>
      <c r="G119" s="201"/>
      <c r="H119" s="202"/>
      <c r="I119" s="202"/>
      <c r="J119" s="203"/>
      <c r="K119" s="203"/>
      <c r="L119" s="378"/>
      <c r="M119" s="379"/>
    </row>
    <row r="120" spans="1:13" s="94" customFormat="1" ht="16.5" customHeight="1" thickBot="1">
      <c r="A120" s="355"/>
      <c r="B120" s="356"/>
      <c r="C120" s="249"/>
      <c r="D120" s="247"/>
      <c r="E120" s="200"/>
      <c r="F120" s="199"/>
      <c r="G120" s="201"/>
      <c r="H120" s="202"/>
      <c r="I120" s="202"/>
      <c r="J120" s="203"/>
      <c r="K120" s="203"/>
      <c r="L120" s="378"/>
      <c r="M120" s="379"/>
    </row>
    <row r="121" spans="1:13" s="94" customFormat="1" ht="16.5" customHeight="1" thickBot="1">
      <c r="A121" s="355"/>
      <c r="B121" s="356"/>
      <c r="C121" s="249"/>
      <c r="D121" s="247"/>
      <c r="E121" s="200"/>
      <c r="F121" s="199"/>
      <c r="G121" s="201"/>
      <c r="H121" s="202"/>
      <c r="I121" s="202"/>
      <c r="J121" s="203"/>
      <c r="K121" s="203"/>
      <c r="L121" s="378"/>
      <c r="M121" s="379"/>
    </row>
    <row r="122" spans="1:13" s="94" customFormat="1" ht="16.5" customHeight="1" thickBot="1">
      <c r="A122" s="355"/>
      <c r="B122" s="356"/>
      <c r="C122" s="249"/>
      <c r="D122" s="247"/>
      <c r="E122" s="200"/>
      <c r="F122" s="199"/>
      <c r="G122" s="201"/>
      <c r="H122" s="202"/>
      <c r="I122" s="202"/>
      <c r="J122" s="203"/>
      <c r="K122" s="203"/>
      <c r="L122" s="378"/>
      <c r="M122" s="379"/>
    </row>
    <row r="123" spans="1:13" s="94" customFormat="1" ht="16.5" customHeight="1" thickBot="1">
      <c r="A123" s="355"/>
      <c r="B123" s="356"/>
      <c r="C123" s="249"/>
      <c r="D123" s="247"/>
      <c r="E123" s="200"/>
      <c r="F123" s="199"/>
      <c r="G123" s="201"/>
      <c r="H123" s="202"/>
      <c r="I123" s="202"/>
      <c r="J123" s="203"/>
      <c r="K123" s="203"/>
      <c r="L123" s="378"/>
      <c r="M123" s="379"/>
    </row>
    <row r="124" spans="1:13" s="94" customFormat="1" ht="16.5" customHeight="1" thickBot="1">
      <c r="A124" s="355"/>
      <c r="B124" s="356"/>
      <c r="C124" s="249"/>
      <c r="D124" s="247"/>
      <c r="E124" s="200"/>
      <c r="F124" s="199"/>
      <c r="G124" s="201"/>
      <c r="H124" s="202"/>
      <c r="I124" s="202"/>
      <c r="J124" s="203"/>
      <c r="K124" s="203"/>
      <c r="L124" s="378"/>
      <c r="M124" s="379"/>
    </row>
    <row r="125" spans="1:13" s="94" customFormat="1" ht="16.5" customHeight="1" thickBot="1">
      <c r="A125" s="355"/>
      <c r="B125" s="356"/>
      <c r="C125" s="249"/>
      <c r="D125" s="247"/>
      <c r="E125" s="200"/>
      <c r="F125" s="199"/>
      <c r="G125" s="201"/>
      <c r="H125" s="202"/>
      <c r="I125" s="202"/>
      <c r="J125" s="203"/>
      <c r="K125" s="203"/>
      <c r="L125" s="378"/>
      <c r="M125" s="379"/>
    </row>
    <row r="126" spans="1:13" s="94" customFormat="1" ht="16.5" customHeight="1" thickBot="1">
      <c r="A126" s="355"/>
      <c r="B126" s="356"/>
      <c r="C126" s="249"/>
      <c r="D126" s="247"/>
      <c r="E126" s="200"/>
      <c r="F126" s="199"/>
      <c r="G126" s="201"/>
      <c r="H126" s="202"/>
      <c r="I126" s="202"/>
      <c r="J126" s="203"/>
      <c r="K126" s="203"/>
      <c r="L126" s="378"/>
      <c r="M126" s="379"/>
    </row>
    <row r="127" spans="1:13" s="94" customFormat="1" ht="16.5" customHeight="1" thickBot="1">
      <c r="A127" s="355"/>
      <c r="B127" s="356"/>
      <c r="C127" s="249"/>
      <c r="D127" s="247"/>
      <c r="E127" s="200"/>
      <c r="F127" s="199"/>
      <c r="G127" s="201"/>
      <c r="H127" s="202"/>
      <c r="I127" s="202"/>
      <c r="J127" s="203"/>
      <c r="K127" s="203"/>
      <c r="L127" s="378"/>
      <c r="M127" s="379"/>
    </row>
    <row r="128" spans="1:13" s="94" customFormat="1" ht="16.5" customHeight="1" thickBot="1">
      <c r="A128" s="355"/>
      <c r="B128" s="356"/>
      <c r="C128" s="249"/>
      <c r="D128" s="247"/>
      <c r="E128" s="200"/>
      <c r="F128" s="199"/>
      <c r="G128" s="201"/>
      <c r="H128" s="202"/>
      <c r="I128" s="202"/>
      <c r="J128" s="203"/>
      <c r="K128" s="203"/>
      <c r="L128" s="378"/>
      <c r="M128" s="379"/>
    </row>
    <row r="129" spans="1:13" s="94" customFormat="1" ht="16.5" customHeight="1" thickBot="1">
      <c r="A129" s="355"/>
      <c r="B129" s="356"/>
      <c r="C129" s="249"/>
      <c r="D129" s="247"/>
      <c r="E129" s="200"/>
      <c r="F129" s="199"/>
      <c r="G129" s="201"/>
      <c r="H129" s="202"/>
      <c r="I129" s="202"/>
      <c r="J129" s="203"/>
      <c r="K129" s="203"/>
      <c r="L129" s="378"/>
      <c r="M129" s="379"/>
    </row>
    <row r="130" spans="1:13" s="94" customFormat="1" ht="16.5" customHeight="1" thickBot="1">
      <c r="A130" s="355"/>
      <c r="B130" s="356"/>
      <c r="C130" s="249"/>
      <c r="D130" s="247"/>
      <c r="E130" s="200"/>
      <c r="F130" s="199"/>
      <c r="G130" s="201"/>
      <c r="H130" s="202"/>
      <c r="I130" s="202"/>
      <c r="J130" s="203"/>
      <c r="K130" s="203"/>
      <c r="L130" s="378"/>
      <c r="M130" s="379"/>
    </row>
    <row r="131" spans="1:13" s="94" customFormat="1" ht="16.5" customHeight="1" thickBot="1">
      <c r="A131" s="355"/>
      <c r="B131" s="356"/>
      <c r="C131" s="249"/>
      <c r="D131" s="247"/>
      <c r="E131" s="200"/>
      <c r="F131" s="199"/>
      <c r="G131" s="201"/>
      <c r="H131" s="202"/>
      <c r="I131" s="202"/>
      <c r="J131" s="203"/>
      <c r="K131" s="203"/>
      <c r="L131" s="378"/>
      <c r="M131" s="379"/>
    </row>
    <row r="132" spans="1:13" s="94" customFormat="1" ht="16.5" customHeight="1" thickBot="1">
      <c r="A132" s="355"/>
      <c r="B132" s="356"/>
      <c r="C132" s="249"/>
      <c r="D132" s="247"/>
      <c r="E132" s="200"/>
      <c r="F132" s="199"/>
      <c r="G132" s="201"/>
      <c r="H132" s="202"/>
      <c r="I132" s="202"/>
      <c r="J132" s="203"/>
      <c r="K132" s="203"/>
      <c r="L132" s="378"/>
      <c r="M132" s="379"/>
    </row>
    <row r="133" spans="1:13" s="94" customFormat="1" ht="16.5" customHeight="1" thickBot="1">
      <c r="A133" s="355"/>
      <c r="B133" s="356"/>
      <c r="C133" s="249"/>
      <c r="D133" s="247"/>
      <c r="E133" s="200"/>
      <c r="F133" s="199"/>
      <c r="G133" s="201"/>
      <c r="H133" s="202"/>
      <c r="I133" s="202"/>
      <c r="J133" s="203"/>
      <c r="K133" s="203"/>
      <c r="L133" s="378"/>
      <c r="M133" s="379"/>
    </row>
    <row r="134" spans="1:13" s="94" customFormat="1" ht="16.5" customHeight="1" thickBot="1">
      <c r="A134" s="355"/>
      <c r="B134" s="356"/>
      <c r="C134" s="249"/>
      <c r="D134" s="247"/>
      <c r="E134" s="200"/>
      <c r="F134" s="199"/>
      <c r="G134" s="201"/>
      <c r="H134" s="202"/>
      <c r="I134" s="202"/>
      <c r="J134" s="203"/>
      <c r="K134" s="203"/>
      <c r="L134" s="378"/>
      <c r="M134" s="379"/>
    </row>
    <row r="135" spans="1:13" s="94" customFormat="1" ht="16.5" customHeight="1" thickBot="1">
      <c r="A135" s="355"/>
      <c r="B135" s="356"/>
      <c r="C135" s="249"/>
      <c r="D135" s="247"/>
      <c r="E135" s="200"/>
      <c r="F135" s="199"/>
      <c r="G135" s="201"/>
      <c r="H135" s="202"/>
      <c r="I135" s="202"/>
      <c r="J135" s="203"/>
      <c r="K135" s="203"/>
      <c r="L135" s="378"/>
      <c r="M135" s="379"/>
    </row>
    <row r="136" spans="1:13" s="94" customFormat="1" ht="16.5" customHeight="1" thickBot="1">
      <c r="A136" s="355"/>
      <c r="B136" s="356"/>
      <c r="C136" s="249"/>
      <c r="D136" s="247"/>
      <c r="E136" s="200"/>
      <c r="F136" s="199"/>
      <c r="G136" s="201"/>
      <c r="H136" s="202"/>
      <c r="I136" s="202"/>
      <c r="J136" s="203"/>
      <c r="K136" s="203"/>
      <c r="L136" s="378"/>
      <c r="M136" s="379"/>
    </row>
    <row r="137" spans="1:13" s="94" customFormat="1" ht="16.5" customHeight="1" thickBot="1">
      <c r="A137" s="355"/>
      <c r="B137" s="356"/>
      <c r="C137" s="249"/>
      <c r="D137" s="247"/>
      <c r="E137" s="200"/>
      <c r="F137" s="199"/>
      <c r="G137" s="201"/>
      <c r="H137" s="202"/>
      <c r="I137" s="202"/>
      <c r="J137" s="203"/>
      <c r="K137" s="203"/>
      <c r="L137" s="378"/>
      <c r="M137" s="379"/>
    </row>
    <row r="138" spans="1:13" s="94" customFormat="1" ht="16.5" customHeight="1" thickBot="1">
      <c r="A138" s="355"/>
      <c r="B138" s="356"/>
      <c r="C138" s="249"/>
      <c r="D138" s="247"/>
      <c r="E138" s="200"/>
      <c r="F138" s="199"/>
      <c r="G138" s="201"/>
      <c r="H138" s="202"/>
      <c r="I138" s="202"/>
      <c r="J138" s="203"/>
      <c r="K138" s="203"/>
      <c r="L138" s="378"/>
      <c r="M138" s="379"/>
    </row>
    <row r="139" spans="1:13" s="94" customFormat="1" ht="16.5" customHeight="1" thickBot="1">
      <c r="A139" s="355"/>
      <c r="B139" s="356"/>
      <c r="C139" s="249"/>
      <c r="D139" s="247"/>
      <c r="E139" s="200"/>
      <c r="F139" s="199"/>
      <c r="G139" s="201"/>
      <c r="H139" s="202"/>
      <c r="I139" s="202"/>
      <c r="J139" s="203"/>
      <c r="K139" s="203"/>
      <c r="L139" s="378"/>
      <c r="M139" s="379"/>
    </row>
    <row r="140" spans="1:13" s="94" customFormat="1" ht="16.5" customHeight="1" thickBot="1">
      <c r="A140" s="355"/>
      <c r="B140" s="356"/>
      <c r="C140" s="249"/>
      <c r="D140" s="247"/>
      <c r="E140" s="200"/>
      <c r="F140" s="199"/>
      <c r="G140" s="201"/>
      <c r="H140" s="202"/>
      <c r="I140" s="202"/>
      <c r="J140" s="203"/>
      <c r="K140" s="203"/>
      <c r="L140" s="378"/>
      <c r="M140" s="379"/>
    </row>
    <row r="141" spans="1:13" s="94" customFormat="1" ht="16.5" customHeight="1" thickBot="1">
      <c r="A141" s="355"/>
      <c r="B141" s="356"/>
      <c r="C141" s="249"/>
      <c r="D141" s="247"/>
      <c r="E141" s="200"/>
      <c r="F141" s="199"/>
      <c r="G141" s="201"/>
      <c r="H141" s="202"/>
      <c r="I141" s="202"/>
      <c r="J141" s="203"/>
      <c r="K141" s="203"/>
      <c r="L141" s="378"/>
      <c r="M141" s="379"/>
    </row>
    <row r="142" spans="1:13" s="94" customFormat="1" ht="16.5" customHeight="1" thickBot="1">
      <c r="A142" s="355"/>
      <c r="B142" s="356"/>
      <c r="C142" s="249"/>
      <c r="D142" s="247"/>
      <c r="E142" s="200"/>
      <c r="F142" s="199"/>
      <c r="G142" s="201"/>
      <c r="H142" s="202"/>
      <c r="I142" s="202"/>
      <c r="J142" s="203"/>
      <c r="K142" s="203"/>
      <c r="L142" s="378"/>
      <c r="M142" s="379"/>
    </row>
    <row r="143" spans="1:13" s="94" customFormat="1" ht="16.5" customHeight="1" thickBot="1">
      <c r="A143" s="355"/>
      <c r="B143" s="356"/>
      <c r="C143" s="249"/>
      <c r="D143" s="247"/>
      <c r="E143" s="200"/>
      <c r="F143" s="199"/>
      <c r="G143" s="201"/>
      <c r="H143" s="202"/>
      <c r="I143" s="202"/>
      <c r="J143" s="203"/>
      <c r="K143" s="203"/>
      <c r="L143" s="378"/>
      <c r="M143" s="379"/>
    </row>
    <row r="144" spans="1:13" s="94" customFormat="1" ht="16.5" customHeight="1" thickBot="1">
      <c r="A144" s="355"/>
      <c r="B144" s="356"/>
      <c r="C144" s="249"/>
      <c r="D144" s="247"/>
      <c r="E144" s="200"/>
      <c r="F144" s="199"/>
      <c r="G144" s="201"/>
      <c r="H144" s="202"/>
      <c r="I144" s="202"/>
      <c r="J144" s="203"/>
      <c r="K144" s="203"/>
      <c r="L144" s="378"/>
      <c r="M144" s="379"/>
    </row>
    <row r="145" spans="1:13" s="94" customFormat="1" ht="16.5" customHeight="1" thickBot="1">
      <c r="A145" s="355"/>
      <c r="B145" s="356"/>
      <c r="C145" s="249"/>
      <c r="D145" s="247"/>
      <c r="E145" s="200"/>
      <c r="F145" s="199"/>
      <c r="G145" s="201"/>
      <c r="H145" s="202"/>
      <c r="I145" s="202"/>
      <c r="J145" s="203"/>
      <c r="K145" s="203"/>
      <c r="L145" s="378"/>
      <c r="M145" s="379"/>
    </row>
    <row r="146" spans="1:13" s="94" customFormat="1" ht="16.5" customHeight="1" thickBot="1">
      <c r="A146" s="355"/>
      <c r="B146" s="356"/>
      <c r="C146" s="249"/>
      <c r="D146" s="247"/>
      <c r="E146" s="200"/>
      <c r="F146" s="199"/>
      <c r="G146" s="201"/>
      <c r="H146" s="202"/>
      <c r="I146" s="202"/>
      <c r="J146" s="203"/>
      <c r="K146" s="203"/>
      <c r="L146" s="378"/>
      <c r="M146" s="379"/>
    </row>
    <row r="147" spans="1:13" s="94" customFormat="1" ht="16.5" customHeight="1" thickBot="1">
      <c r="A147" s="355"/>
      <c r="B147" s="356"/>
      <c r="C147" s="249"/>
      <c r="D147" s="247"/>
      <c r="E147" s="200"/>
      <c r="F147" s="199"/>
      <c r="G147" s="201"/>
      <c r="H147" s="202"/>
      <c r="I147" s="202"/>
      <c r="J147" s="203"/>
      <c r="K147" s="203"/>
      <c r="L147" s="378"/>
      <c r="M147" s="379"/>
    </row>
    <row r="148" spans="1:13" s="94" customFormat="1" ht="16.5" customHeight="1" thickBot="1">
      <c r="A148" s="355"/>
      <c r="B148" s="356"/>
      <c r="C148" s="249"/>
      <c r="D148" s="247"/>
      <c r="E148" s="200"/>
      <c r="F148" s="199"/>
      <c r="G148" s="201"/>
      <c r="H148" s="202"/>
      <c r="I148" s="202"/>
      <c r="J148" s="203"/>
      <c r="K148" s="203"/>
      <c r="L148" s="378"/>
      <c r="M148" s="379"/>
    </row>
    <row r="149" spans="1:13" s="94" customFormat="1" ht="16.5" customHeight="1" thickBot="1">
      <c r="A149" s="355"/>
      <c r="B149" s="356"/>
      <c r="C149" s="249"/>
      <c r="D149" s="247"/>
      <c r="E149" s="200"/>
      <c r="F149" s="199"/>
      <c r="G149" s="201"/>
      <c r="H149" s="202"/>
      <c r="I149" s="202"/>
      <c r="J149" s="203"/>
      <c r="K149" s="203"/>
      <c r="L149" s="378"/>
      <c r="M149" s="379"/>
    </row>
    <row r="150" spans="1:13" s="94" customFormat="1" ht="16.5" customHeight="1" thickBot="1">
      <c r="A150" s="355"/>
      <c r="B150" s="356"/>
      <c r="C150" s="249"/>
      <c r="D150" s="247"/>
      <c r="E150" s="200"/>
      <c r="F150" s="199"/>
      <c r="G150" s="201"/>
      <c r="H150" s="202"/>
      <c r="I150" s="202"/>
      <c r="J150" s="203"/>
      <c r="K150" s="203"/>
      <c r="L150" s="378"/>
      <c r="M150" s="379"/>
    </row>
    <row r="151" spans="1:13" s="94" customFormat="1" ht="16.5" customHeight="1" thickBot="1">
      <c r="A151" s="355"/>
      <c r="B151" s="356"/>
      <c r="C151" s="249"/>
      <c r="D151" s="247"/>
      <c r="E151" s="200"/>
      <c r="F151" s="199"/>
      <c r="G151" s="201"/>
      <c r="H151" s="202"/>
      <c r="I151" s="202"/>
      <c r="J151" s="203"/>
      <c r="K151" s="203"/>
      <c r="L151" s="378"/>
      <c r="M151" s="379"/>
    </row>
    <row r="152" spans="1:13" s="94" customFormat="1" ht="16.5" customHeight="1" thickBot="1">
      <c r="A152" s="355"/>
      <c r="B152" s="356"/>
      <c r="C152" s="249"/>
      <c r="D152" s="247"/>
      <c r="E152" s="200"/>
      <c r="F152" s="199"/>
      <c r="G152" s="201"/>
      <c r="H152" s="202"/>
      <c r="I152" s="202"/>
      <c r="J152" s="203"/>
      <c r="K152" s="203"/>
      <c r="L152" s="378"/>
      <c r="M152" s="379"/>
    </row>
    <row r="153" spans="1:13" s="94" customFormat="1" ht="16.5" customHeight="1" thickBot="1">
      <c r="A153" s="355"/>
      <c r="B153" s="356"/>
      <c r="C153" s="249"/>
      <c r="D153" s="247"/>
      <c r="E153" s="200"/>
      <c r="F153" s="199"/>
      <c r="G153" s="201"/>
      <c r="H153" s="202"/>
      <c r="I153" s="202"/>
      <c r="J153" s="203"/>
      <c r="K153" s="203"/>
      <c r="L153" s="378"/>
      <c r="M153" s="379"/>
    </row>
    <row r="154" spans="1:13" s="94" customFormat="1" ht="16.5" customHeight="1" thickBot="1">
      <c r="A154" s="355"/>
      <c r="B154" s="356"/>
      <c r="C154" s="249"/>
      <c r="D154" s="247"/>
      <c r="E154" s="200"/>
      <c r="F154" s="199"/>
      <c r="G154" s="201"/>
      <c r="H154" s="202"/>
      <c r="I154" s="202"/>
      <c r="J154" s="203"/>
      <c r="K154" s="203"/>
      <c r="L154" s="378"/>
      <c r="M154" s="379"/>
    </row>
    <row r="155" spans="1:13" s="94" customFormat="1" ht="16.5" customHeight="1" thickBot="1">
      <c r="A155" s="355"/>
      <c r="B155" s="356"/>
      <c r="C155" s="249"/>
      <c r="D155" s="247"/>
      <c r="E155" s="200"/>
      <c r="F155" s="199"/>
      <c r="G155" s="201"/>
      <c r="H155" s="202"/>
      <c r="I155" s="202"/>
      <c r="J155" s="203"/>
      <c r="K155" s="203"/>
      <c r="L155" s="378"/>
      <c r="M155" s="379"/>
    </row>
    <row r="156" spans="1:13" s="94" customFormat="1" ht="16.5" customHeight="1" thickBot="1">
      <c r="A156" s="355"/>
      <c r="B156" s="356"/>
      <c r="C156" s="249"/>
      <c r="D156" s="247"/>
      <c r="E156" s="200"/>
      <c r="F156" s="199"/>
      <c r="G156" s="201"/>
      <c r="H156" s="202"/>
      <c r="I156" s="202"/>
      <c r="J156" s="203"/>
      <c r="K156" s="203"/>
      <c r="L156" s="378"/>
      <c r="M156" s="379"/>
    </row>
    <row r="157" spans="1:13" s="94" customFormat="1" ht="16.5" customHeight="1" thickBot="1">
      <c r="A157" s="355"/>
      <c r="B157" s="356"/>
      <c r="C157" s="249"/>
      <c r="D157" s="247"/>
      <c r="E157" s="200"/>
      <c r="F157" s="199"/>
      <c r="G157" s="201"/>
      <c r="H157" s="202"/>
      <c r="I157" s="202"/>
      <c r="J157" s="203"/>
      <c r="K157" s="203"/>
      <c r="L157" s="378"/>
      <c r="M157" s="379"/>
    </row>
    <row r="158" spans="1:13" s="94" customFormat="1" ht="16.5" customHeight="1" thickBot="1">
      <c r="A158" s="355"/>
      <c r="B158" s="356"/>
      <c r="C158" s="249"/>
      <c r="D158" s="247"/>
      <c r="E158" s="200"/>
      <c r="F158" s="199"/>
      <c r="G158" s="201"/>
      <c r="H158" s="202"/>
      <c r="I158" s="202"/>
      <c r="J158" s="203"/>
      <c r="K158" s="203"/>
      <c r="L158" s="378"/>
      <c r="M158" s="379"/>
    </row>
    <row r="159" spans="1:13" s="94" customFormat="1" ht="16.5" customHeight="1" thickBot="1">
      <c r="A159" s="355"/>
      <c r="B159" s="356"/>
      <c r="C159" s="249"/>
      <c r="D159" s="247"/>
      <c r="E159" s="200"/>
      <c r="F159" s="199"/>
      <c r="G159" s="201"/>
      <c r="H159" s="202"/>
      <c r="I159" s="202"/>
      <c r="J159" s="203"/>
      <c r="K159" s="203"/>
      <c r="L159" s="378"/>
      <c r="M159" s="379"/>
    </row>
    <row r="160" spans="1:13" s="94" customFormat="1" ht="16.5" customHeight="1" thickBot="1">
      <c r="A160" s="355"/>
      <c r="B160" s="356"/>
      <c r="C160" s="249"/>
      <c r="D160" s="247"/>
      <c r="E160" s="200"/>
      <c r="F160" s="199"/>
      <c r="G160" s="201"/>
      <c r="H160" s="202"/>
      <c r="I160" s="202"/>
      <c r="J160" s="203"/>
      <c r="K160" s="203"/>
      <c r="L160" s="378"/>
      <c r="M160" s="379"/>
    </row>
    <row r="161" spans="1:13" s="94" customFormat="1" ht="16.5" customHeight="1" thickBot="1">
      <c r="A161" s="355"/>
      <c r="B161" s="356"/>
      <c r="C161" s="249"/>
      <c r="D161" s="247"/>
      <c r="E161" s="200"/>
      <c r="F161" s="199"/>
      <c r="G161" s="201"/>
      <c r="H161" s="202"/>
      <c r="I161" s="202"/>
      <c r="J161" s="203"/>
      <c r="K161" s="203"/>
      <c r="L161" s="378"/>
      <c r="M161" s="379"/>
    </row>
    <row r="162" spans="1:13" s="94" customFormat="1" ht="16.5" customHeight="1" thickBot="1">
      <c r="A162" s="355"/>
      <c r="B162" s="356"/>
      <c r="C162" s="249"/>
      <c r="D162" s="247"/>
      <c r="E162" s="200"/>
      <c r="F162" s="199"/>
      <c r="G162" s="201"/>
      <c r="H162" s="202"/>
      <c r="I162" s="202"/>
      <c r="J162" s="203"/>
      <c r="K162" s="203"/>
      <c r="L162" s="378"/>
      <c r="M162" s="379"/>
    </row>
    <row r="163" spans="1:13" s="94" customFormat="1" ht="16.5" customHeight="1" thickBot="1">
      <c r="A163" s="355"/>
      <c r="B163" s="356"/>
      <c r="C163" s="249"/>
      <c r="D163" s="247"/>
      <c r="E163" s="200"/>
      <c r="F163" s="199"/>
      <c r="G163" s="201"/>
      <c r="H163" s="202"/>
      <c r="I163" s="202"/>
      <c r="J163" s="203"/>
      <c r="K163" s="203"/>
      <c r="L163" s="378"/>
      <c r="M163" s="379"/>
    </row>
    <row r="164" spans="1:13" s="94" customFormat="1" ht="16.5" customHeight="1" thickBot="1">
      <c r="A164" s="355"/>
      <c r="B164" s="356"/>
      <c r="C164" s="249"/>
      <c r="D164" s="247"/>
      <c r="E164" s="200"/>
      <c r="F164" s="199"/>
      <c r="G164" s="201"/>
      <c r="H164" s="202"/>
      <c r="I164" s="202"/>
      <c r="J164" s="203"/>
      <c r="K164" s="203"/>
      <c r="L164" s="378"/>
      <c r="M164" s="379"/>
    </row>
    <row r="165" spans="1:13" s="94" customFormat="1" ht="16.5" customHeight="1" thickBot="1">
      <c r="A165" s="355"/>
      <c r="B165" s="356"/>
      <c r="C165" s="249"/>
      <c r="D165" s="247"/>
      <c r="E165" s="200"/>
      <c r="F165" s="199"/>
      <c r="G165" s="201"/>
      <c r="H165" s="202"/>
      <c r="I165" s="202"/>
      <c r="J165" s="203"/>
      <c r="K165" s="203"/>
      <c r="L165" s="378"/>
      <c r="M165" s="379"/>
    </row>
    <row r="166" spans="1:13" s="94" customFormat="1" ht="16.5" customHeight="1" thickBot="1">
      <c r="A166" s="355"/>
      <c r="B166" s="356"/>
      <c r="C166" s="249"/>
      <c r="D166" s="247"/>
      <c r="E166" s="200"/>
      <c r="F166" s="199"/>
      <c r="G166" s="201"/>
      <c r="H166" s="202"/>
      <c r="I166" s="202"/>
      <c r="J166" s="203"/>
      <c r="K166" s="203"/>
      <c r="L166" s="378"/>
      <c r="M166" s="379"/>
    </row>
    <row r="167" spans="1:13" s="94" customFormat="1" ht="16.5" customHeight="1" thickBot="1">
      <c r="A167" s="355"/>
      <c r="B167" s="356"/>
      <c r="C167" s="249"/>
      <c r="D167" s="247"/>
      <c r="E167" s="200"/>
      <c r="F167" s="199"/>
      <c r="G167" s="201"/>
      <c r="H167" s="202"/>
      <c r="I167" s="202"/>
      <c r="J167" s="203"/>
      <c r="K167" s="203"/>
      <c r="L167" s="378"/>
      <c r="M167" s="379"/>
    </row>
    <row r="168" spans="1:13" s="94" customFormat="1" ht="16.5" customHeight="1" thickBot="1">
      <c r="A168" s="355"/>
      <c r="B168" s="356"/>
      <c r="C168" s="249"/>
      <c r="D168" s="247"/>
      <c r="E168" s="200"/>
      <c r="F168" s="199"/>
      <c r="G168" s="201"/>
      <c r="H168" s="202"/>
      <c r="I168" s="202"/>
      <c r="J168" s="203"/>
      <c r="K168" s="203"/>
      <c r="L168" s="378"/>
      <c r="M168" s="379"/>
    </row>
    <row r="169" spans="1:13" s="94" customFormat="1" ht="16.5" customHeight="1" thickBot="1">
      <c r="A169" s="355"/>
      <c r="B169" s="356"/>
      <c r="C169" s="249"/>
      <c r="D169" s="247"/>
      <c r="E169" s="200"/>
      <c r="F169" s="199"/>
      <c r="G169" s="201"/>
      <c r="H169" s="202"/>
      <c r="I169" s="202"/>
      <c r="J169" s="203"/>
      <c r="K169" s="203"/>
      <c r="L169" s="378"/>
      <c r="M169" s="379"/>
    </row>
    <row r="170" spans="1:13" s="94" customFormat="1" ht="16.5" customHeight="1" thickBot="1">
      <c r="A170" s="355"/>
      <c r="B170" s="356"/>
      <c r="C170" s="249"/>
      <c r="D170" s="247"/>
      <c r="E170" s="200"/>
      <c r="F170" s="199"/>
      <c r="G170" s="201"/>
      <c r="H170" s="202"/>
      <c r="I170" s="202"/>
      <c r="J170" s="203"/>
      <c r="K170" s="203"/>
      <c r="L170" s="378"/>
      <c r="M170" s="379"/>
    </row>
    <row r="171" spans="1:13" s="94" customFormat="1" ht="16.5" customHeight="1" thickBot="1">
      <c r="A171" s="355"/>
      <c r="B171" s="356"/>
      <c r="C171" s="249"/>
      <c r="D171" s="247"/>
      <c r="E171" s="200"/>
      <c r="F171" s="199"/>
      <c r="G171" s="201"/>
      <c r="H171" s="202"/>
      <c r="I171" s="202"/>
      <c r="J171" s="203"/>
      <c r="K171" s="203"/>
      <c r="L171" s="378"/>
      <c r="M171" s="379"/>
    </row>
    <row r="172" spans="1:13" s="94" customFormat="1" ht="16.5" customHeight="1" thickBot="1">
      <c r="A172" s="355"/>
      <c r="B172" s="356"/>
      <c r="C172" s="249"/>
      <c r="D172" s="247"/>
      <c r="E172" s="200"/>
      <c r="F172" s="199"/>
      <c r="G172" s="201"/>
      <c r="H172" s="202"/>
      <c r="I172" s="202"/>
      <c r="J172" s="203"/>
      <c r="K172" s="203"/>
      <c r="L172" s="378"/>
      <c r="M172" s="379"/>
    </row>
    <row r="173" spans="1:13" s="94" customFormat="1" ht="16.5" customHeight="1" thickBot="1">
      <c r="A173" s="355"/>
      <c r="B173" s="356"/>
      <c r="C173" s="249"/>
      <c r="D173" s="247"/>
      <c r="E173" s="200"/>
      <c r="F173" s="199"/>
      <c r="G173" s="201"/>
      <c r="H173" s="202"/>
      <c r="I173" s="202"/>
      <c r="J173" s="203"/>
      <c r="K173" s="203"/>
      <c r="L173" s="378"/>
      <c r="M173" s="379"/>
    </row>
    <row r="174" spans="1:13" s="94" customFormat="1" ht="16.5" customHeight="1" thickBot="1">
      <c r="A174" s="355"/>
      <c r="B174" s="356"/>
      <c r="C174" s="249"/>
      <c r="D174" s="247"/>
      <c r="E174" s="200"/>
      <c r="F174" s="199"/>
      <c r="G174" s="201"/>
      <c r="H174" s="202"/>
      <c r="I174" s="202"/>
      <c r="J174" s="203"/>
      <c r="K174" s="203"/>
      <c r="L174" s="378"/>
      <c r="M174" s="379"/>
    </row>
    <row r="175" spans="1:13" s="94" customFormat="1" ht="16.5" customHeight="1" thickBot="1">
      <c r="A175" s="355"/>
      <c r="B175" s="356"/>
      <c r="C175" s="249"/>
      <c r="D175" s="247"/>
      <c r="E175" s="200"/>
      <c r="F175" s="199"/>
      <c r="G175" s="201"/>
      <c r="H175" s="202"/>
      <c r="I175" s="202"/>
      <c r="J175" s="203"/>
      <c r="K175" s="203"/>
      <c r="L175" s="378"/>
      <c r="M175" s="379"/>
    </row>
    <row r="176" spans="1:13" s="94" customFormat="1" ht="16.5" customHeight="1" thickBot="1">
      <c r="A176" s="355"/>
      <c r="B176" s="356"/>
      <c r="C176" s="249"/>
      <c r="D176" s="247"/>
      <c r="E176" s="200"/>
      <c r="F176" s="199"/>
      <c r="G176" s="201"/>
      <c r="H176" s="202"/>
      <c r="I176" s="202"/>
      <c r="J176" s="203"/>
      <c r="K176" s="203"/>
      <c r="L176" s="378"/>
      <c r="M176" s="379"/>
    </row>
    <row r="177" spans="1:13" s="94" customFormat="1" ht="16.5" customHeight="1" thickBot="1">
      <c r="A177" s="355"/>
      <c r="B177" s="356"/>
      <c r="C177" s="249"/>
      <c r="D177" s="247"/>
      <c r="E177" s="200"/>
      <c r="F177" s="199"/>
      <c r="G177" s="201"/>
      <c r="H177" s="202"/>
      <c r="I177" s="202"/>
      <c r="J177" s="203"/>
      <c r="K177" s="203"/>
      <c r="L177" s="378"/>
      <c r="M177" s="379"/>
    </row>
    <row r="178" spans="1:13" s="94" customFormat="1" ht="16.5" customHeight="1" thickBot="1">
      <c r="A178" s="355"/>
      <c r="B178" s="356"/>
      <c r="C178" s="249"/>
      <c r="D178" s="247"/>
      <c r="E178" s="200"/>
      <c r="F178" s="199"/>
      <c r="G178" s="201"/>
      <c r="H178" s="202"/>
      <c r="I178" s="202"/>
      <c r="J178" s="203"/>
      <c r="K178" s="203"/>
      <c r="L178" s="378"/>
      <c r="M178" s="379"/>
    </row>
    <row r="179" spans="1:13" s="94" customFormat="1" ht="16.5" customHeight="1" thickBot="1">
      <c r="A179" s="355"/>
      <c r="B179" s="356"/>
      <c r="C179" s="249"/>
      <c r="D179" s="247"/>
      <c r="E179" s="200"/>
      <c r="F179" s="199"/>
      <c r="G179" s="201"/>
      <c r="H179" s="202"/>
      <c r="I179" s="202"/>
      <c r="J179" s="203"/>
      <c r="K179" s="203"/>
      <c r="L179" s="378"/>
      <c r="M179" s="379"/>
    </row>
    <row r="180" spans="1:13" s="94" customFormat="1" ht="16.5" customHeight="1" thickBot="1">
      <c r="A180" s="355"/>
      <c r="B180" s="356"/>
      <c r="C180" s="249"/>
      <c r="D180" s="247"/>
      <c r="E180" s="200"/>
      <c r="F180" s="199"/>
      <c r="G180" s="201"/>
      <c r="H180" s="202"/>
      <c r="I180" s="202"/>
      <c r="J180" s="203"/>
      <c r="K180" s="203"/>
      <c r="L180" s="378"/>
      <c r="M180" s="379"/>
    </row>
    <row r="181" spans="1:13" s="94" customFormat="1" ht="16.5" customHeight="1" thickBot="1">
      <c r="A181" s="355"/>
      <c r="B181" s="356"/>
      <c r="C181" s="249"/>
      <c r="D181" s="247"/>
      <c r="E181" s="200"/>
      <c r="F181" s="199"/>
      <c r="G181" s="201"/>
      <c r="H181" s="202"/>
      <c r="I181" s="202"/>
      <c r="J181" s="203"/>
      <c r="K181" s="203"/>
      <c r="L181" s="378"/>
      <c r="M181" s="379"/>
    </row>
    <row r="182" spans="1:13" s="94" customFormat="1" ht="16.5" customHeight="1" thickBot="1">
      <c r="A182" s="355"/>
      <c r="B182" s="356"/>
      <c r="C182" s="249"/>
      <c r="D182" s="247"/>
      <c r="E182" s="200"/>
      <c r="F182" s="199"/>
      <c r="G182" s="201"/>
      <c r="H182" s="202"/>
      <c r="I182" s="202"/>
      <c r="J182" s="203"/>
      <c r="K182" s="203"/>
      <c r="L182" s="378"/>
      <c r="M182" s="379"/>
    </row>
    <row r="183" spans="1:13" s="96" customFormat="1" ht="45" customHeight="1" thickBot="1">
      <c r="A183" s="1165" t="s">
        <v>604</v>
      </c>
      <c r="B183" s="1166"/>
      <c r="C183" s="1167"/>
      <c r="D183" s="1167"/>
      <c r="E183" s="1167"/>
      <c r="F183" s="1167"/>
      <c r="G183" s="1167"/>
      <c r="H183" s="1167"/>
      <c r="I183" s="1167"/>
      <c r="J183" s="1167"/>
      <c r="K183" s="1168"/>
    </row>
  </sheetData>
  <sheetProtection algorithmName="SHA-512" hashValue="Ck3qyCJ3GWGxsMEGMmSRc7O6VMLeEsUjV77H8y4XWck00LCF89naWmS+JLUq3Vm7bPh3Kl8cwTnEpxp52GV+ow==" saltValue="ArLPLEMXN+Qd0CD8qVzDmw==" spinCount="100000" sheet="1" objects="1" scenarios="1" selectLockedCells="1"/>
  <customSheetViews>
    <customSheetView guid="{A316F603-36BB-45F0-8A3D-94F56F16B8BC}" fitToPage="1" hiddenRows="1">
      <selection activeCell="B5" sqref="B5:C5"/>
      <pageMargins left="0.75" right="0.75" top="0.75" bottom="0.75" header="0.25" footer="0.25"/>
      <printOptions horizontalCentered="1"/>
      <pageSetup scale="12" fitToHeight="3" orientation="portrait" r:id="rId1"/>
      <headerFooter>
        <oddHeader>&amp;L&amp;"Arial,Regular"&amp;8Texas Department of Aging
and Disability Services&amp;C&amp;"Arial,Bold"&amp;12CONSUMER DIRECTED SERVICES (CDS)
DEMAND FOR PAYMENT NOTICE&amp;R&amp;"Arial,Regular"&amp;8Form TBD
Page &amp;P</oddHeader>
      </headerFooter>
    </customSheetView>
    <customSheetView guid="{99F5D17F-5AC0-418F-9D70-825920124F2C}" fitToPage="1">
      <selection activeCell="B5" sqref="B5:C5"/>
      <pageMargins left="0.75" right="0.75" top="0.75" bottom="0.75" header="0.25" footer="0.25"/>
      <printOptions horizontalCentered="1"/>
      <pageSetup scale="76" fitToHeight="3" orientation="portrait" r:id="rId2"/>
      <headerFooter>
        <oddHeader>&amp;L&amp;"Arial,Regular"&amp;8Texas Department of Aging
and Disability Services&amp;C&amp;"Arial,Bold"&amp;12CONSUMER DIRECTED SERVICES (CDS)
DEMAND FOR PAYMENT NOTICE&amp;R&amp;"Arial,Regular"&amp;8Form TBD
Page &amp;P</oddHeader>
      </headerFooter>
    </customSheetView>
    <customSheetView guid="{341C6106-BE79-4CDE-A40C-FC24AA59D1EA}" fitToPage="1" hiddenRows="1">
      <selection activeCell="B5" sqref="B5:C5"/>
      <pageMargins left="0.75" right="0.75" top="0.75" bottom="0.75" header="0.25" footer="0.25"/>
      <printOptions horizontalCentered="1"/>
      <pageSetup scale="12" fitToHeight="3" orientation="portrait" r:id="rId3"/>
      <headerFooter>
        <oddHeader>&amp;L&amp;"Arial,Regular"&amp;8Texas Department of Aging
and Disability Services&amp;C&amp;"Arial,Bold"&amp;12CONSUMER DIRECTED SERVICES (CDS)
DEMAND FOR PAYMENT NOTICE&amp;R&amp;"Arial,Regular"&amp;8Form TBD
Page &amp;P</oddHeader>
      </headerFooter>
    </customSheetView>
  </customSheetViews>
  <mergeCells count="121">
    <mergeCell ref="M30:M32"/>
    <mergeCell ref="H20:M20"/>
    <mergeCell ref="H7:K7"/>
    <mergeCell ref="B30:B32"/>
    <mergeCell ref="A7:G7"/>
    <mergeCell ref="F8:G8"/>
    <mergeCell ref="F9:G9"/>
    <mergeCell ref="F10:G10"/>
    <mergeCell ref="F11:G11"/>
    <mergeCell ref="A17:B17"/>
    <mergeCell ref="C17:E17"/>
    <mergeCell ref="H17:I17"/>
    <mergeCell ref="J17:L17"/>
    <mergeCell ref="J18:L18"/>
    <mergeCell ref="F17:G17"/>
    <mergeCell ref="F18:G18"/>
    <mergeCell ref="A15:B15"/>
    <mergeCell ref="C15:E15"/>
    <mergeCell ref="H15:I15"/>
    <mergeCell ref="J15:L15"/>
    <mergeCell ref="A16:B16"/>
    <mergeCell ref="C16:E16"/>
    <mergeCell ref="H16:I16"/>
    <mergeCell ref="J16:L16"/>
    <mergeCell ref="F15:G15"/>
    <mergeCell ref="F16:G16"/>
    <mergeCell ref="A13:B13"/>
    <mergeCell ref="C13:E13"/>
    <mergeCell ref="H13:I13"/>
    <mergeCell ref="J13:L13"/>
    <mergeCell ref="A14:B14"/>
    <mergeCell ref="C14:E14"/>
    <mergeCell ref="H14:I14"/>
    <mergeCell ref="J14:L14"/>
    <mergeCell ref="F13:G13"/>
    <mergeCell ref="F14:G14"/>
    <mergeCell ref="A4:C4"/>
    <mergeCell ref="B5:C5"/>
    <mergeCell ref="B6:C6"/>
    <mergeCell ref="J4:K4"/>
    <mergeCell ref="H4:I4"/>
    <mergeCell ref="H5:I5"/>
    <mergeCell ref="H6:I6"/>
    <mergeCell ref="F4:G4"/>
    <mergeCell ref="F5:G5"/>
    <mergeCell ref="F6:G6"/>
    <mergeCell ref="D4:E4"/>
    <mergeCell ref="D5:E5"/>
    <mergeCell ref="D6:E6"/>
    <mergeCell ref="A22:G22"/>
    <mergeCell ref="F23:G23"/>
    <mergeCell ref="H8:I8"/>
    <mergeCell ref="H18:I18"/>
    <mergeCell ref="A9:B9"/>
    <mergeCell ref="C9:E9"/>
    <mergeCell ref="H9:I9"/>
    <mergeCell ref="J8:L8"/>
    <mergeCell ref="J9:L9"/>
    <mergeCell ref="A10:B10"/>
    <mergeCell ref="C10:E10"/>
    <mergeCell ref="H10:I10"/>
    <mergeCell ref="J10:L10"/>
    <mergeCell ref="A8:B8"/>
    <mergeCell ref="C8:E8"/>
    <mergeCell ref="A11:B11"/>
    <mergeCell ref="C11:E11"/>
    <mergeCell ref="H11:I11"/>
    <mergeCell ref="J11:L11"/>
    <mergeCell ref="A12:B12"/>
    <mergeCell ref="C12:E12"/>
    <mergeCell ref="H12:I12"/>
    <mergeCell ref="J12:L12"/>
    <mergeCell ref="F12:G12"/>
    <mergeCell ref="A1:K1"/>
    <mergeCell ref="I2:K2"/>
    <mergeCell ref="I3:K3"/>
    <mergeCell ref="F2:H2"/>
    <mergeCell ref="F3:H3"/>
    <mergeCell ref="A2:E2"/>
    <mergeCell ref="A3:E3"/>
    <mergeCell ref="A183:K183"/>
    <mergeCell ref="A28:I29"/>
    <mergeCell ref="C31:C32"/>
    <mergeCell ref="A24:B24"/>
    <mergeCell ref="C24:E24"/>
    <mergeCell ref="A25:B25"/>
    <mergeCell ref="C25:E25"/>
    <mergeCell ref="A26:B26"/>
    <mergeCell ref="C26:E26"/>
    <mergeCell ref="F26:G26"/>
    <mergeCell ref="F24:G24"/>
    <mergeCell ref="A27:K27"/>
    <mergeCell ref="H26:K26"/>
    <mergeCell ref="G31:G32"/>
    <mergeCell ref="H31:H32"/>
    <mergeCell ref="H23:K23"/>
    <mergeCell ref="H24:K24"/>
    <mergeCell ref="L31:L32"/>
    <mergeCell ref="D31:D32"/>
    <mergeCell ref="E31:E32"/>
    <mergeCell ref="F31:F32"/>
    <mergeCell ref="I31:I32"/>
    <mergeCell ref="C18:E18"/>
    <mergeCell ref="H19:I19"/>
    <mergeCell ref="F19:G19"/>
    <mergeCell ref="A23:B23"/>
    <mergeCell ref="C23:E23"/>
    <mergeCell ref="A18:B18"/>
    <mergeCell ref="A19:B19"/>
    <mergeCell ref="C19:E19"/>
    <mergeCell ref="A21:K21"/>
    <mergeCell ref="H22:K22"/>
    <mergeCell ref="J19:L19"/>
    <mergeCell ref="A20:B20"/>
    <mergeCell ref="C20:E20"/>
    <mergeCell ref="F20:G20"/>
    <mergeCell ref="F25:G25"/>
    <mergeCell ref="J31:J32"/>
    <mergeCell ref="K31:K32"/>
    <mergeCell ref="H25:K25"/>
    <mergeCell ref="A30:A32"/>
  </mergeCells>
  <dataValidations count="11">
    <dataValidation type="whole" operator="greaterThan" allowBlank="1" showInputMessage="1" showErrorMessage="1" sqref="C33:D182">
      <formula1>0</formula1>
    </dataValidation>
    <dataValidation type="textLength" operator="lessThanOrEqual" allowBlank="1" showInputMessage="1" showErrorMessage="1" sqref="E33:E182 L33:L182">
      <formula1>255</formula1>
    </dataValidation>
    <dataValidation type="textLength" operator="lessThanOrEqual" allowBlank="1" showInputMessage="1" showErrorMessage="1" sqref="F33:G182">
      <formula1>10</formula1>
    </dataValidation>
    <dataValidation type="date" operator="greaterThanOrEqual" allowBlank="1" showInputMessage="1" showErrorMessage="1" sqref="H33:H182">
      <formula1>1</formula1>
    </dataValidation>
    <dataValidation type="decimal" allowBlank="1" showInputMessage="1" showErrorMessage="1" sqref="J33:K182">
      <formula1>-1000000</formula1>
      <formula2>1000000</formula2>
    </dataValidation>
    <dataValidation operator="equal" allowBlank="1" showInputMessage="1" showErrorMessage="1" errorTitle="Contract Number Length" error="Contractor number must be 9 digits, including leading zeros." sqref="J9:L19 C9:F20"/>
    <dataValidation type="whole" showInputMessage="1" showErrorMessage="1" sqref="K8:L8">
      <formula1>1</formula1>
      <formula2>999999999999</formula2>
    </dataValidation>
    <dataValidation type="textLength" operator="equal" allowBlank="1" showInputMessage="1" showErrorMessage="1" errorTitle="Contract No. Length" error="Contract number must be 9 digits, including leading zeros." sqref="B33:B182">
      <formula1>9</formula1>
    </dataValidation>
    <dataValidation type="list" allowBlank="1" showInputMessage="1" showErrorMessage="1" sqref="A33:A182">
      <formula1>"PHC,MDCP,DBMD,CLASS,HCS,TxHmL,CBA"</formula1>
    </dataValidation>
    <dataValidation type="date" operator="greaterThanOrEqual" allowBlank="1" showInputMessage="1" showErrorMessage="1" errorTitle="Date Error" error="Service end date cannot be earlier than begin date." sqref="I33:I182">
      <formula1>H33</formula1>
    </dataValidation>
    <dataValidation type="textLength" allowBlank="1" showInputMessage="1" showErrorMessage="1" error="Text length should be between 0 and 25 characters." sqref="M33:M182">
      <formula1>0</formula1>
      <formula2>25</formula2>
    </dataValidation>
  </dataValidations>
  <printOptions horizontalCentered="1"/>
  <pageMargins left="0.75" right="0.75" top="0.75" bottom="0.75" header="0.25" footer="0.25"/>
  <pageSetup scale="12" fitToHeight="3" orientation="portrait" r:id="rId4"/>
  <headerFooter>
    <oddHeader>&amp;L&amp;"Arial,Regular"&amp;8Texas Department of Aging
and Disability Services&amp;C&amp;"Arial,Bold"&amp;12CONSUMER DIRECTED SERVICES (CDS)
DEMAND FOR PAYMENT NOTICE&amp;R&amp;"Arial,Regular"&amp;8Form TBD
Page &amp;P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P43"/>
  <sheetViews>
    <sheetView workbookViewId="0">
      <selection activeCell="C14" sqref="C14:D14"/>
    </sheetView>
  </sheetViews>
  <sheetFormatPr defaultRowHeight="15"/>
  <cols>
    <col min="1" max="1" width="15.7109375" customWidth="1"/>
    <col min="2" max="2" width="19.140625" customWidth="1"/>
    <col min="7" max="7" width="10.140625" bestFit="1" customWidth="1"/>
    <col min="10" max="10" width="18.5703125" customWidth="1"/>
    <col min="13" max="13" width="17.42578125" customWidth="1"/>
  </cols>
  <sheetData>
    <row r="1" spans="1:13" s="147" customFormat="1" ht="16.5" thickTop="1" thickBot="1">
      <c r="A1" s="1239" t="s">
        <v>0</v>
      </c>
      <c r="B1" s="1240"/>
      <c r="C1" s="1240"/>
      <c r="D1" s="1240"/>
      <c r="E1" s="1240"/>
      <c r="F1" s="1240" t="s">
        <v>1</v>
      </c>
      <c r="G1" s="1240"/>
      <c r="H1" s="1240" t="s">
        <v>2</v>
      </c>
      <c r="I1" s="1240"/>
      <c r="J1" s="1241"/>
    </row>
    <row r="2" spans="1:13" s="147" customFormat="1" ht="15.75" thickBot="1">
      <c r="A2" s="1242" t="str">
        <f>IF(NameOfLegalEntity="","",NameOfLegalEntity)</f>
        <v/>
      </c>
      <c r="B2" s="1243"/>
      <c r="C2" s="1243"/>
      <c r="D2" s="1243"/>
      <c r="E2" s="1243"/>
      <c r="F2" s="1243" t="str">
        <f>IF(ReviewLevel="","",ReviewLevel)</f>
        <v/>
      </c>
      <c r="G2" s="1243"/>
      <c r="H2" s="1243" t="str">
        <f>IF(ReviewType="","",ReviewType)</f>
        <v/>
      </c>
      <c r="I2" s="1243"/>
      <c r="J2" s="1244"/>
    </row>
    <row r="3" spans="1:13" s="147" customFormat="1" ht="15.75" thickBot="1">
      <c r="A3" s="1245" t="s">
        <v>3</v>
      </c>
      <c r="B3" s="1237"/>
      <c r="C3" s="1237" t="s">
        <v>4</v>
      </c>
      <c r="D3" s="1237"/>
      <c r="E3" s="1237" t="s">
        <v>5</v>
      </c>
      <c r="F3" s="1237"/>
      <c r="G3" s="1237" t="s">
        <v>5</v>
      </c>
      <c r="H3" s="1237"/>
      <c r="I3" s="1237" t="s">
        <v>607</v>
      </c>
      <c r="J3" s="1238"/>
    </row>
    <row r="4" spans="1:13" s="147" customFormat="1" ht="15.75" thickBot="1">
      <c r="A4" s="295" t="s">
        <v>7</v>
      </c>
      <c r="B4" s="289"/>
      <c r="C4" s="1237" t="s">
        <v>8</v>
      </c>
      <c r="D4" s="1237"/>
      <c r="E4" s="1237" t="s">
        <v>9</v>
      </c>
      <c r="F4" s="1237"/>
      <c r="G4" s="1237" t="s">
        <v>630</v>
      </c>
      <c r="H4" s="1237"/>
      <c r="I4" s="288" t="s">
        <v>10</v>
      </c>
      <c r="J4" s="293" t="str">
        <f>IF(MonitoringPeriodBeginDate="","",MonitoringPeriodBeginDate)</f>
        <v/>
      </c>
    </row>
    <row r="5" spans="1:13" s="147" customFormat="1" ht="15.75" thickBot="1">
      <c r="A5" s="295" t="s">
        <v>11</v>
      </c>
      <c r="B5" s="289"/>
      <c r="C5" s="1249" t="str">
        <f>IF(DateOfEntrance="","",DateOfEntrance)</f>
        <v/>
      </c>
      <c r="D5" s="1249"/>
      <c r="E5" s="1249" t="str">
        <f>IF(DateOfExit="","",DateOfExit)</f>
        <v/>
      </c>
      <c r="F5" s="1249"/>
      <c r="G5" s="1249" t="str">
        <f>IF(DateOfExitRevised="","",DateOfExitRevised)</f>
        <v/>
      </c>
      <c r="H5" s="1249"/>
      <c r="I5" s="288" t="s">
        <v>12</v>
      </c>
      <c r="J5" s="293" t="str">
        <f>IF(MonitoringPeriodEndDate="","",MonitoringPeriodEndDate)</f>
        <v/>
      </c>
    </row>
    <row r="6" spans="1:13" s="147" customFormat="1" ht="15.75" customHeight="1" thickBot="1">
      <c r="A6" s="1246" t="s">
        <v>13</v>
      </c>
      <c r="B6" s="1247"/>
      <c r="C6" s="1247" t="s">
        <v>78</v>
      </c>
      <c r="D6" s="1247"/>
      <c r="E6" s="1247"/>
      <c r="F6" s="1247" t="s">
        <v>13</v>
      </c>
      <c r="G6" s="1247"/>
      <c r="H6" s="1247" t="s">
        <v>78</v>
      </c>
      <c r="I6" s="1247"/>
      <c r="J6" s="1248"/>
    </row>
    <row r="7" spans="1:13" s="147" customFormat="1" ht="15" customHeight="1" thickBot="1">
      <c r="A7" s="1250"/>
      <c r="B7" s="1251"/>
      <c r="C7" s="1252"/>
      <c r="D7" s="1252"/>
      <c r="E7" s="1252"/>
      <c r="F7" s="1251" t="s">
        <v>70</v>
      </c>
      <c r="G7" s="1251"/>
      <c r="H7" s="1253" t="str">
        <f>IF(CdsDbmdContractNumber="","",CdsDbmdContractNumber)</f>
        <v/>
      </c>
      <c r="I7" s="1253"/>
      <c r="J7" s="1254"/>
    </row>
    <row r="8" spans="1:13" s="147" customFormat="1" ht="15" customHeight="1" thickBot="1">
      <c r="A8" s="1250"/>
      <c r="B8" s="1251"/>
      <c r="C8" s="1253"/>
      <c r="D8" s="1253"/>
      <c r="E8" s="1253"/>
      <c r="F8" s="1251" t="s">
        <v>71</v>
      </c>
      <c r="G8" s="1251"/>
      <c r="H8" s="1253" t="str">
        <f>IF(CdsClassContractNumber="","",CdsClassContractNumber)</f>
        <v/>
      </c>
      <c r="I8" s="1253"/>
      <c r="J8" s="1254"/>
    </row>
    <row r="9" spans="1:13" s="147" customFormat="1" ht="80.099999999999994" customHeight="1" thickBot="1">
      <c r="A9" s="1250" t="s">
        <v>66</v>
      </c>
      <c r="B9" s="1251"/>
      <c r="C9" s="1253" t="str">
        <f>IF(CdsPhcFcCasContractNumber="","",CdsPhcFcCasContractNumber)</f>
        <v/>
      </c>
      <c r="D9" s="1253"/>
      <c r="E9" s="1253"/>
      <c r="F9" s="1251" t="s">
        <v>72</v>
      </c>
      <c r="G9" s="1251"/>
      <c r="H9" s="1258" t="e">
        <f>IF(CdsHcdContractNumber09="","",CdsHcdContractNumber09)</f>
        <v>#NAME?</v>
      </c>
      <c r="I9" s="1258"/>
      <c r="J9" s="1259"/>
    </row>
    <row r="10" spans="1:13" s="147" customFormat="1" ht="80.099999999999994" customHeight="1" thickBot="1">
      <c r="A10" s="1250" t="s">
        <v>68</v>
      </c>
      <c r="B10" s="1251"/>
      <c r="C10" s="1253" t="str">
        <f>IF(CdsMdcpContractNumber="","",CdsMdcpContractNumber)</f>
        <v/>
      </c>
      <c r="D10" s="1253"/>
      <c r="E10" s="1253"/>
      <c r="F10" s="1251" t="s">
        <v>73</v>
      </c>
      <c r="G10" s="1251"/>
      <c r="H10" s="1258" t="e">
        <f>IF(CdsTxHmlContractNumber="","",CdsTxHmlContractNumber)</f>
        <v>#NAME?</v>
      </c>
      <c r="I10" s="1258"/>
      <c r="J10" s="1259"/>
      <c r="L10" s="39"/>
    </row>
    <row r="11" spans="1:13" s="147" customFormat="1" ht="15" customHeight="1" thickBot="1">
      <c r="A11" s="1255"/>
      <c r="B11" s="1256"/>
      <c r="C11" s="1257"/>
      <c r="D11" s="1257"/>
      <c r="E11" s="1257"/>
      <c r="F11" s="1256"/>
      <c r="G11" s="1256"/>
      <c r="H11" s="1260"/>
      <c r="I11" s="1260"/>
      <c r="J11" s="1261"/>
    </row>
    <row r="12" spans="1:13" ht="15.75" thickTop="1">
      <c r="A12" s="464" t="s">
        <v>239</v>
      </c>
      <c r="B12" s="652"/>
      <c r="C12" s="1202" t="s">
        <v>176</v>
      </c>
      <c r="D12" s="1203"/>
      <c r="E12" s="1203"/>
      <c r="F12" s="1204"/>
      <c r="G12" s="1202" t="s">
        <v>223</v>
      </c>
      <c r="H12" s="1205"/>
      <c r="I12" s="1202" t="s">
        <v>241</v>
      </c>
      <c r="J12" s="1206"/>
      <c r="K12" s="1206"/>
      <c r="L12" s="1205"/>
      <c r="M12" s="1210" t="s">
        <v>242</v>
      </c>
    </row>
    <row r="13" spans="1:13" ht="15.75" thickBot="1">
      <c r="A13" s="1212" t="s">
        <v>240</v>
      </c>
      <c r="B13" s="1213"/>
      <c r="C13" s="1214" t="s">
        <v>41</v>
      </c>
      <c r="D13" s="1214"/>
      <c r="E13" s="1214" t="s">
        <v>42</v>
      </c>
      <c r="F13" s="1214"/>
      <c r="G13" s="92" t="s">
        <v>157</v>
      </c>
      <c r="H13" s="93" t="s">
        <v>158</v>
      </c>
      <c r="I13" s="1207"/>
      <c r="J13" s="1208"/>
      <c r="K13" s="1208"/>
      <c r="L13" s="1209"/>
      <c r="M13" s="1211"/>
    </row>
    <row r="14" spans="1:13" ht="15.75" thickBot="1">
      <c r="A14" s="1212"/>
      <c r="B14" s="1213"/>
      <c r="C14" s="1215"/>
      <c r="D14" s="1216"/>
      <c r="E14" s="1216"/>
      <c r="F14" s="1217"/>
      <c r="G14" s="161"/>
      <c r="H14" s="162"/>
      <c r="I14" s="716"/>
      <c r="J14" s="717"/>
      <c r="K14" s="717"/>
      <c r="L14" s="1218"/>
      <c r="M14" s="218"/>
    </row>
    <row r="15" spans="1:13" ht="15.75" thickBot="1">
      <c r="A15" s="1212"/>
      <c r="B15" s="1213"/>
      <c r="C15" s="1215"/>
      <c r="D15" s="1216"/>
      <c r="E15" s="1216"/>
      <c r="F15" s="1217"/>
      <c r="G15" s="161"/>
      <c r="H15" s="162"/>
      <c r="I15" s="716"/>
      <c r="J15" s="717"/>
      <c r="K15" s="717"/>
      <c r="L15" s="1218"/>
      <c r="M15" s="218"/>
    </row>
    <row r="16" spans="1:13" ht="15.75" thickBot="1">
      <c r="A16" s="1212"/>
      <c r="B16" s="1213"/>
      <c r="C16" s="1215"/>
      <c r="D16" s="1216"/>
      <c r="E16" s="1216"/>
      <c r="F16" s="1217"/>
      <c r="G16" s="161"/>
      <c r="H16" s="162"/>
      <c r="I16" s="716"/>
      <c r="J16" s="717"/>
      <c r="K16" s="717"/>
      <c r="L16" s="1218"/>
      <c r="M16" s="218"/>
    </row>
    <row r="17" spans="1:13" ht="15.75" thickBot="1">
      <c r="A17" s="1212"/>
      <c r="B17" s="1213"/>
      <c r="C17" s="1215"/>
      <c r="D17" s="1216"/>
      <c r="E17" s="1216"/>
      <c r="F17" s="1217"/>
      <c r="G17" s="161"/>
      <c r="H17" s="162"/>
      <c r="I17" s="716"/>
      <c r="J17" s="717"/>
      <c r="K17" s="717"/>
      <c r="L17" s="1218"/>
      <c r="M17" s="218"/>
    </row>
    <row r="18" spans="1:13" ht="15.75" thickBot="1">
      <c r="A18" s="1212"/>
      <c r="B18" s="1213"/>
      <c r="C18" s="1215"/>
      <c r="D18" s="1216"/>
      <c r="E18" s="1216"/>
      <c r="F18" s="1217"/>
      <c r="G18" s="161"/>
      <c r="H18" s="162"/>
      <c r="I18" s="716"/>
      <c r="J18" s="717"/>
      <c r="K18" s="717"/>
      <c r="L18" s="1218"/>
      <c r="M18" s="218"/>
    </row>
    <row r="19" spans="1:13" ht="15.75" thickBot="1">
      <c r="A19" s="1212"/>
      <c r="B19" s="1213"/>
      <c r="C19" s="1215"/>
      <c r="D19" s="1216"/>
      <c r="E19" s="1216"/>
      <c r="F19" s="1217"/>
      <c r="G19" s="161"/>
      <c r="H19" s="162"/>
      <c r="I19" s="716"/>
      <c r="J19" s="717"/>
      <c r="K19" s="717"/>
      <c r="L19" s="1218"/>
      <c r="M19" s="218"/>
    </row>
    <row r="20" spans="1:13" ht="15.75" thickBot="1">
      <c r="A20" s="1212"/>
      <c r="B20" s="1213"/>
      <c r="C20" s="1215"/>
      <c r="D20" s="1216"/>
      <c r="E20" s="1216"/>
      <c r="F20" s="1217"/>
      <c r="G20" s="161"/>
      <c r="H20" s="162"/>
      <c r="I20" s="716"/>
      <c r="J20" s="717"/>
      <c r="K20" s="717"/>
      <c r="L20" s="1218"/>
      <c r="M20" s="218"/>
    </row>
    <row r="21" spans="1:13" ht="15.75" thickBot="1">
      <c r="A21" s="1212"/>
      <c r="B21" s="1213"/>
      <c r="C21" s="1224"/>
      <c r="D21" s="1225"/>
      <c r="E21" s="1225"/>
      <c r="F21" s="1226"/>
      <c r="G21" s="161"/>
      <c r="H21" s="162"/>
      <c r="I21" s="925"/>
      <c r="J21" s="1227"/>
      <c r="K21" s="1227"/>
      <c r="L21" s="1228"/>
      <c r="M21" s="219"/>
    </row>
    <row r="22" spans="1:13" ht="15.75" thickBot="1">
      <c r="A22" s="1229" t="s">
        <v>245</v>
      </c>
      <c r="B22" s="1230"/>
      <c r="C22" s="1231">
        <f>SUM(M14:M21)</f>
        <v>0</v>
      </c>
      <c r="D22" s="1232"/>
      <c r="E22" s="1232"/>
      <c r="F22" s="1232"/>
      <c r="G22" s="1232"/>
      <c r="H22" s="1232"/>
      <c r="I22" s="1232"/>
      <c r="J22" s="1232"/>
      <c r="K22" s="1232"/>
      <c r="L22" s="1232"/>
      <c r="M22" s="1233"/>
    </row>
    <row r="23" spans="1:13" ht="15.75" thickTop="1">
      <c r="A23" s="464" t="s">
        <v>243</v>
      </c>
      <c r="B23" s="652"/>
      <c r="C23" s="1219" t="s">
        <v>43</v>
      </c>
      <c r="D23" s="1202" t="s">
        <v>223</v>
      </c>
      <c r="E23" s="1205"/>
      <c r="F23" s="1202" t="s">
        <v>241</v>
      </c>
      <c r="G23" s="1206"/>
      <c r="H23" s="1206"/>
      <c r="I23" s="1206"/>
      <c r="J23" s="1206"/>
      <c r="K23" s="1206"/>
      <c r="L23" s="1205"/>
      <c r="M23" s="1210" t="s">
        <v>242</v>
      </c>
    </row>
    <row r="24" spans="1:13" ht="15.75" thickBot="1">
      <c r="A24" s="1212" t="s">
        <v>244</v>
      </c>
      <c r="B24" s="1213"/>
      <c r="C24" s="1220"/>
      <c r="D24" s="92" t="s">
        <v>157</v>
      </c>
      <c r="E24" s="93" t="s">
        <v>158</v>
      </c>
      <c r="F24" s="1221"/>
      <c r="G24" s="1222"/>
      <c r="H24" s="1222"/>
      <c r="I24" s="1222"/>
      <c r="J24" s="1222"/>
      <c r="K24" s="1222"/>
      <c r="L24" s="1223"/>
      <c r="M24" s="1211"/>
    </row>
    <row r="25" spans="1:13" ht="15.75" thickBot="1">
      <c r="A25" s="1212"/>
      <c r="B25" s="1213"/>
      <c r="C25" s="163"/>
      <c r="D25" s="161"/>
      <c r="E25" s="161"/>
      <c r="F25" s="716"/>
      <c r="G25" s="717"/>
      <c r="H25" s="717"/>
      <c r="I25" s="717"/>
      <c r="J25" s="717"/>
      <c r="K25" s="717"/>
      <c r="L25" s="1218"/>
      <c r="M25" s="218"/>
    </row>
    <row r="26" spans="1:13" ht="15.75" thickBot="1">
      <c r="A26" s="1212"/>
      <c r="B26" s="1213"/>
      <c r="C26" s="163"/>
      <c r="D26" s="161"/>
      <c r="E26" s="161"/>
      <c r="F26" s="716"/>
      <c r="G26" s="717"/>
      <c r="H26" s="717"/>
      <c r="I26" s="717"/>
      <c r="J26" s="717"/>
      <c r="K26" s="717"/>
      <c r="L26" s="1218"/>
      <c r="M26" s="218"/>
    </row>
    <row r="27" spans="1:13" ht="15.75" thickBot="1">
      <c r="A27" s="1212"/>
      <c r="B27" s="1213"/>
      <c r="C27" s="163"/>
      <c r="D27" s="161"/>
      <c r="E27" s="161"/>
      <c r="F27" s="716"/>
      <c r="G27" s="717"/>
      <c r="H27" s="717"/>
      <c r="I27" s="717"/>
      <c r="J27" s="717"/>
      <c r="K27" s="717"/>
      <c r="L27" s="1218"/>
      <c r="M27" s="218"/>
    </row>
    <row r="28" spans="1:13" ht="15.75" thickBot="1">
      <c r="A28" s="1212"/>
      <c r="B28" s="1213"/>
      <c r="C28" s="163"/>
      <c r="D28" s="161"/>
      <c r="E28" s="161"/>
      <c r="F28" s="716"/>
      <c r="G28" s="717"/>
      <c r="H28" s="717"/>
      <c r="I28" s="717"/>
      <c r="J28" s="717"/>
      <c r="K28" s="717"/>
      <c r="L28" s="1218"/>
      <c r="M28" s="218"/>
    </row>
    <row r="29" spans="1:13" ht="15.75" thickBot="1">
      <c r="A29" s="1212"/>
      <c r="B29" s="1213"/>
      <c r="C29" s="163"/>
      <c r="D29" s="161"/>
      <c r="E29" s="161"/>
      <c r="F29" s="716"/>
      <c r="G29" s="717"/>
      <c r="H29" s="717"/>
      <c r="I29" s="717"/>
      <c r="J29" s="717"/>
      <c r="K29" s="717"/>
      <c r="L29" s="1218"/>
      <c r="M29" s="218"/>
    </row>
    <row r="30" spans="1:13" ht="15.75" thickBot="1">
      <c r="A30" s="1212"/>
      <c r="B30" s="1213"/>
      <c r="C30" s="163"/>
      <c r="D30" s="161"/>
      <c r="E30" s="161"/>
      <c r="F30" s="716"/>
      <c r="G30" s="717"/>
      <c r="H30" s="717"/>
      <c r="I30" s="717"/>
      <c r="J30" s="717"/>
      <c r="K30" s="717"/>
      <c r="L30" s="1218"/>
      <c r="M30" s="218"/>
    </row>
    <row r="31" spans="1:13" ht="15.75" thickBot="1">
      <c r="A31" s="1212"/>
      <c r="B31" s="1213"/>
      <c r="C31" s="163"/>
      <c r="D31" s="161"/>
      <c r="E31" s="161"/>
      <c r="F31" s="716"/>
      <c r="G31" s="717"/>
      <c r="H31" s="717"/>
      <c r="I31" s="717"/>
      <c r="J31" s="717"/>
      <c r="K31" s="717"/>
      <c r="L31" s="1218"/>
      <c r="M31" s="218"/>
    </row>
    <row r="32" spans="1:13" ht="15.75" thickBot="1">
      <c r="A32" s="1212"/>
      <c r="B32" s="1213"/>
      <c r="C32" s="163"/>
      <c r="D32" s="161"/>
      <c r="E32" s="161"/>
      <c r="F32" s="716"/>
      <c r="G32" s="717"/>
      <c r="H32" s="717"/>
      <c r="I32" s="717"/>
      <c r="J32" s="717"/>
      <c r="K32" s="717"/>
      <c r="L32" s="1218"/>
      <c r="M32" s="219"/>
    </row>
    <row r="33" spans="1:16" ht="15.75" thickBot="1">
      <c r="A33" s="1229" t="s">
        <v>245</v>
      </c>
      <c r="B33" s="1230"/>
      <c r="C33" s="1231">
        <f>SUM(M25:M32)</f>
        <v>0</v>
      </c>
      <c r="D33" s="1232"/>
      <c r="E33" s="1232"/>
      <c r="F33" s="1232"/>
      <c r="G33" s="1232"/>
      <c r="H33" s="1232"/>
      <c r="I33" s="1232"/>
      <c r="J33" s="1232"/>
      <c r="K33" s="1232"/>
      <c r="L33" s="1232"/>
      <c r="M33" s="1233"/>
    </row>
    <row r="34" spans="1:16" ht="25.5" customHeight="1" thickTop="1" thickBot="1">
      <c r="A34" s="1234" t="s">
        <v>246</v>
      </c>
      <c r="B34" s="1235"/>
      <c r="C34" s="1235"/>
      <c r="D34" s="1235"/>
      <c r="E34" s="1235"/>
      <c r="F34" s="1235"/>
      <c r="G34" s="1235"/>
      <c r="H34" s="1235"/>
      <c r="I34" s="1235"/>
      <c r="J34" s="1235"/>
      <c r="K34" s="1235"/>
      <c r="L34" s="1235"/>
      <c r="M34" s="1236"/>
    </row>
    <row r="35" spans="1:16" s="96" customFormat="1" ht="25.5" customHeight="1" thickTop="1">
      <c r="A35" s="95"/>
      <c r="B35" s="95"/>
      <c r="C35" s="95"/>
      <c r="D35" s="95"/>
      <c r="E35" s="95"/>
      <c r="F35" s="95"/>
      <c r="G35" s="95"/>
      <c r="H35" s="95"/>
      <c r="I35" s="95"/>
      <c r="J35" s="95"/>
      <c r="K35" s="95"/>
      <c r="L35" s="95"/>
      <c r="M35" s="95"/>
    </row>
    <row r="36" spans="1:16">
      <c r="A36" s="98" t="s">
        <v>283</v>
      </c>
      <c r="B36" s="96"/>
      <c r="C36" s="96"/>
      <c r="D36" s="96"/>
      <c r="E36" s="96"/>
      <c r="F36" s="96"/>
      <c r="G36" s="96"/>
      <c r="H36" s="96"/>
      <c r="I36" s="96"/>
      <c r="J36" s="96"/>
      <c r="K36" s="96"/>
      <c r="L36" s="96"/>
      <c r="M36" s="96"/>
      <c r="N36" s="96"/>
      <c r="O36" s="96"/>
      <c r="P36" s="89"/>
    </row>
    <row r="37" spans="1:16" s="96" customFormat="1">
      <c r="A37" s="98"/>
    </row>
    <row r="38" spans="1:16" s="96" customFormat="1">
      <c r="A38" s="98"/>
    </row>
    <row r="39" spans="1:16" s="96" customFormat="1">
      <c r="A39" s="98"/>
    </row>
    <row r="40" spans="1:16" s="96" customFormat="1">
      <c r="A40" s="98"/>
    </row>
    <row r="41" spans="1:16" s="96" customFormat="1">
      <c r="A41" s="98" t="s">
        <v>282</v>
      </c>
    </row>
    <row r="42" spans="1:16" s="96" customFormat="1">
      <c r="A42" s="98"/>
    </row>
    <row r="43" spans="1:16">
      <c r="A43" s="98" t="s">
        <v>281</v>
      </c>
      <c r="B43" s="96"/>
      <c r="C43" s="96"/>
      <c r="D43" s="96"/>
      <c r="E43" s="96"/>
      <c r="F43" s="96"/>
      <c r="G43" s="96"/>
      <c r="H43" s="96"/>
      <c r="I43" s="96"/>
      <c r="J43" s="96"/>
      <c r="K43" s="96"/>
      <c r="L43" s="96"/>
      <c r="M43" s="96"/>
      <c r="N43" s="96"/>
      <c r="O43" s="96"/>
      <c r="P43" s="89"/>
    </row>
  </sheetData>
  <sheetProtection password="A541" sheet="1" objects="1" scenarios="1" selectLockedCells="1"/>
  <customSheetViews>
    <customSheetView guid="{A316F603-36BB-45F0-8A3D-94F56F16B8BC}" fitToPage="1" state="hidden">
      <selection activeCell="C14" sqref="C14:D14"/>
      <pageMargins left="0.7" right="0.7" top="0.75" bottom="0.75" header="0.3" footer="0.3"/>
      <pageSetup scale="58" fitToHeight="4" orientation="portrait" r:id="rId1"/>
      <headerFooter>
        <oddHeader>&amp;L&amp;"Arial,Regular"&amp;8Texas Department of Aging
and Disability Services&amp;C&amp;"Arial,Bold"&amp;12CONSUMER DIRECTED SERVICES (CDS)
AMOUNTS DUE EMPLOYEE(S) AND EMPLOYER&amp;R&amp;"Arial,Regular"&amp;8Form TBD
Page &amp;P</oddHeader>
      </headerFooter>
    </customSheetView>
    <customSheetView guid="{99F5D17F-5AC0-418F-9D70-825920124F2C}" fitToPage="1">
      <selection activeCell="B4" sqref="B4:C4"/>
      <pageMargins left="0.7" right="0.7" top="0.75" bottom="0.75" header="0.3" footer="0.3"/>
      <pageSetup scale="64" fitToHeight="4" orientation="portrait" r:id="rId2"/>
      <headerFooter>
        <oddHeader>&amp;L&amp;"Arial,Regular"&amp;8Texas Department of Aging
and Disability Services&amp;C&amp;"Arial,Bold"&amp;12CONSUMER DIRECTED SERVICES (CDS)
AMOUNTS DUE EMPLOYEE(S) AND EMPLOYER&amp;R&amp;"Arial,Regular"&amp;8Form TBD
Page &amp;P</oddHeader>
      </headerFooter>
    </customSheetView>
    <customSheetView guid="{341C6106-BE79-4CDE-A40C-FC24AA59D1EA}" fitToPage="1" state="hidden">
      <selection activeCell="C14" sqref="C14:D14"/>
      <pageMargins left="0.7" right="0.7" top="0.75" bottom="0.75" header="0.3" footer="0.3"/>
      <pageSetup scale="58" fitToHeight="4" orientation="portrait" r:id="rId3"/>
      <headerFooter>
        <oddHeader>&amp;L&amp;"Arial,Regular"&amp;8Texas Department of Aging
and Disability Services&amp;C&amp;"Arial,Bold"&amp;12CONSUMER DIRECTED SERVICES (CDS)
AMOUNTS DUE EMPLOYEE(S) AND EMPLOYER&amp;R&amp;"Arial,Regular"&amp;8Form TBD
Page &amp;P</oddHeader>
      </headerFooter>
    </customSheetView>
  </customSheetViews>
  <mergeCells count="92">
    <mergeCell ref="A9:B9"/>
    <mergeCell ref="C9:E9"/>
    <mergeCell ref="F9:G9"/>
    <mergeCell ref="H9:J9"/>
    <mergeCell ref="A10:B10"/>
    <mergeCell ref="C10:E10"/>
    <mergeCell ref="A11:B11"/>
    <mergeCell ref="C11:E11"/>
    <mergeCell ref="F10:G10"/>
    <mergeCell ref="H10:J10"/>
    <mergeCell ref="F11:G11"/>
    <mergeCell ref="H11:J11"/>
    <mergeCell ref="A7:B7"/>
    <mergeCell ref="C7:E7"/>
    <mergeCell ref="F7:G7"/>
    <mergeCell ref="H7:J7"/>
    <mergeCell ref="A8:B8"/>
    <mergeCell ref="C8:E8"/>
    <mergeCell ref="F8:G8"/>
    <mergeCell ref="H8:J8"/>
    <mergeCell ref="A6:B6"/>
    <mergeCell ref="C6:E6"/>
    <mergeCell ref="F6:G6"/>
    <mergeCell ref="H6:J6"/>
    <mergeCell ref="C5:D5"/>
    <mergeCell ref="E5:F5"/>
    <mergeCell ref="G5:H5"/>
    <mergeCell ref="G3:H3"/>
    <mergeCell ref="G4:H4"/>
    <mergeCell ref="I3:J3"/>
    <mergeCell ref="A1:E1"/>
    <mergeCell ref="F1:G1"/>
    <mergeCell ref="H1:J1"/>
    <mergeCell ref="A2:E2"/>
    <mergeCell ref="F2:G2"/>
    <mergeCell ref="H2:J2"/>
    <mergeCell ref="A3:B3"/>
    <mergeCell ref="C3:D3"/>
    <mergeCell ref="C4:D4"/>
    <mergeCell ref="E3:F3"/>
    <mergeCell ref="E4:F4"/>
    <mergeCell ref="A33:B33"/>
    <mergeCell ref="C33:M33"/>
    <mergeCell ref="A34:M34"/>
    <mergeCell ref="A24:B32"/>
    <mergeCell ref="F25:L25"/>
    <mergeCell ref="F26:L26"/>
    <mergeCell ref="F27:L27"/>
    <mergeCell ref="F28:L28"/>
    <mergeCell ref="F29:L29"/>
    <mergeCell ref="F30:L30"/>
    <mergeCell ref="F31:L31"/>
    <mergeCell ref="F32:L32"/>
    <mergeCell ref="C21:D21"/>
    <mergeCell ref="E21:F21"/>
    <mergeCell ref="I21:L21"/>
    <mergeCell ref="A22:B22"/>
    <mergeCell ref="C22:M22"/>
    <mergeCell ref="A23:B23"/>
    <mergeCell ref="C23:C24"/>
    <mergeCell ref="D23:E23"/>
    <mergeCell ref="F23:L24"/>
    <mergeCell ref="M23:M24"/>
    <mergeCell ref="C19:D19"/>
    <mergeCell ref="E19:F19"/>
    <mergeCell ref="I19:L19"/>
    <mergeCell ref="C20:D20"/>
    <mergeCell ref="E20:F20"/>
    <mergeCell ref="I20:L20"/>
    <mergeCell ref="I16:L16"/>
    <mergeCell ref="C17:D17"/>
    <mergeCell ref="E17:F17"/>
    <mergeCell ref="I17:L17"/>
    <mergeCell ref="C18:D18"/>
    <mergeCell ref="E18:F18"/>
    <mergeCell ref="I18:L18"/>
    <mergeCell ref="A12:B12"/>
    <mergeCell ref="C12:F12"/>
    <mergeCell ref="G12:H12"/>
    <mergeCell ref="I12:L13"/>
    <mergeCell ref="M12:M13"/>
    <mergeCell ref="A13:B21"/>
    <mergeCell ref="C13:D13"/>
    <mergeCell ref="E13:F13"/>
    <mergeCell ref="C14:D14"/>
    <mergeCell ref="E14:F14"/>
    <mergeCell ref="I14:L14"/>
    <mergeCell ref="C15:D15"/>
    <mergeCell ref="E15:F15"/>
    <mergeCell ref="I15:L15"/>
    <mergeCell ref="C16:D16"/>
    <mergeCell ref="E16:F16"/>
  </mergeCells>
  <dataValidations count="6">
    <dataValidation type="date" operator="greaterThan" allowBlank="1" showInputMessage="1" showErrorMessage="1" errorTitle="Date Error" error="End date must be later than Begin date." sqref="H14:H21 E25:E32">
      <formula1>D14</formula1>
    </dataValidation>
    <dataValidation type="whole" allowBlank="1" showInputMessage="1" showErrorMessage="1" sqref="C25:C32">
      <formula1>1</formula1>
      <formula2>99</formula2>
    </dataValidation>
    <dataValidation type="textLength" operator="lessThanOrEqual" allowBlank="1" showInputMessage="1" showErrorMessage="1" sqref="C14:F21 I14:L21 F25:L32">
      <formula1>255</formula1>
    </dataValidation>
    <dataValidation type="date" operator="greaterThanOrEqual" allowBlank="1" showInputMessage="1" showErrorMessage="1" sqref="D25:D32 G14:G21">
      <formula1>1</formula1>
    </dataValidation>
    <dataValidation type="decimal" operator="greaterThanOrEqual" allowBlank="1" showInputMessage="1" showErrorMessage="1" sqref="M14:M21 M25:M32">
      <formula1>0</formula1>
    </dataValidation>
    <dataValidation type="whole" showInputMessage="1" showErrorMessage="1" sqref="I6:J6">
      <formula1>1</formula1>
      <formula2>999999999999</formula2>
    </dataValidation>
  </dataValidations>
  <pageMargins left="0.7" right="0.7" top="0.75" bottom="0.75" header="0.3" footer="0.3"/>
  <pageSetup scale="58" fitToHeight="4" orientation="portrait" r:id="rId4"/>
  <headerFooter>
    <oddHeader>&amp;L&amp;"Arial,Regular"&amp;8Texas Department of Aging
and Disability Services&amp;C&amp;"Arial,Bold"&amp;12CONSUMER DIRECTED SERVICES (CDS)
AMOUNTS DUE EMPLOYEE(S) AND EMPLOYER&amp;R&amp;"Arial,Regular"&amp;8Form TBD
Page &amp;P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E35"/>
  <sheetViews>
    <sheetView workbookViewId="0">
      <selection activeCell="B5" sqref="B5"/>
    </sheetView>
  </sheetViews>
  <sheetFormatPr defaultRowHeight="15"/>
  <cols>
    <col min="1" max="1" width="12.28515625" customWidth="1"/>
    <col min="2" max="2" width="20.7109375" customWidth="1"/>
    <col min="3" max="3" width="19.85546875" customWidth="1"/>
    <col min="4" max="4" width="20.42578125" customWidth="1"/>
    <col min="5" max="5" width="19.42578125" customWidth="1"/>
  </cols>
  <sheetData>
    <row r="1" spans="1:5" ht="15.75" thickBot="1">
      <c r="A1" s="1262" t="s">
        <v>607</v>
      </c>
      <c r="B1" s="1263"/>
      <c r="C1" s="1263"/>
      <c r="D1" s="1264"/>
      <c r="E1" s="2"/>
    </row>
    <row r="2" spans="1:5" ht="15.75" thickBot="1">
      <c r="A2" s="3" t="s">
        <v>10</v>
      </c>
      <c r="B2" s="164"/>
      <c r="C2" s="3" t="s">
        <v>12</v>
      </c>
      <c r="D2" s="165"/>
      <c r="E2" s="2"/>
    </row>
    <row r="3" spans="1:5" ht="16.5" thickBot="1">
      <c r="A3" s="1265"/>
      <c r="B3" s="1266"/>
      <c r="C3" s="1266"/>
      <c r="D3" s="1266"/>
      <c r="E3" s="1267"/>
    </row>
    <row r="4" spans="1:5" s="4" customFormat="1" ht="27" thickBot="1">
      <c r="A4" s="75" t="s">
        <v>39</v>
      </c>
      <c r="B4" s="75" t="s">
        <v>40</v>
      </c>
      <c r="C4" s="75" t="s">
        <v>608</v>
      </c>
      <c r="D4" s="221" t="s">
        <v>609</v>
      </c>
      <c r="E4" s="221" t="s">
        <v>610</v>
      </c>
    </row>
    <row r="5" spans="1:5" ht="15.75" thickBot="1">
      <c r="A5" s="74">
        <v>1</v>
      </c>
      <c r="B5" s="285"/>
      <c r="C5" s="166"/>
      <c r="D5" s="164"/>
      <c r="E5" s="165"/>
    </row>
    <row r="6" spans="1:5" ht="15.75" thickBot="1">
      <c r="A6" s="74">
        <v>2</v>
      </c>
      <c r="B6" s="285"/>
      <c r="C6" s="166"/>
      <c r="D6" s="220"/>
      <c r="E6" s="220"/>
    </row>
    <row r="7" spans="1:5" ht="15.75" thickBot="1">
      <c r="A7" s="74">
        <v>3</v>
      </c>
      <c r="B7" s="285"/>
      <c r="C7" s="166"/>
      <c r="D7" s="220"/>
      <c r="E7" s="220"/>
    </row>
    <row r="8" spans="1:5" ht="15.75" thickBot="1">
      <c r="A8" s="74">
        <v>4</v>
      </c>
      <c r="B8" s="285"/>
      <c r="C8" s="166"/>
      <c r="D8" s="220"/>
      <c r="E8" s="220"/>
    </row>
    <row r="9" spans="1:5" ht="15.75" thickBot="1">
      <c r="A9" s="74">
        <v>5</v>
      </c>
      <c r="B9" s="285"/>
      <c r="C9" s="166"/>
      <c r="D9" s="220"/>
      <c r="E9" s="220"/>
    </row>
    <row r="10" spans="1:5" ht="15.75" thickBot="1">
      <c r="A10" s="74">
        <v>6</v>
      </c>
      <c r="B10" s="285"/>
      <c r="C10" s="166"/>
      <c r="D10" s="220"/>
      <c r="E10" s="220"/>
    </row>
    <row r="11" spans="1:5" ht="15.75" thickBot="1">
      <c r="A11" s="74">
        <v>7</v>
      </c>
      <c r="B11" s="285"/>
      <c r="C11" s="166"/>
      <c r="D11" s="220"/>
      <c r="E11" s="220"/>
    </row>
    <row r="12" spans="1:5" ht="15.75" thickBot="1">
      <c r="A12" s="74">
        <v>8</v>
      </c>
      <c r="B12" s="285"/>
      <c r="C12" s="166"/>
      <c r="D12" s="220"/>
      <c r="E12" s="220"/>
    </row>
    <row r="13" spans="1:5" ht="15.75" thickBot="1">
      <c r="A13" s="74">
        <v>9</v>
      </c>
      <c r="B13" s="285"/>
      <c r="C13" s="166"/>
      <c r="D13" s="220"/>
      <c r="E13" s="220"/>
    </row>
    <row r="14" spans="1:5" ht="15.75" thickBot="1">
      <c r="A14" s="74">
        <v>10</v>
      </c>
      <c r="B14" s="285"/>
      <c r="C14" s="166"/>
      <c r="D14" s="220"/>
      <c r="E14" s="220"/>
    </row>
    <row r="15" spans="1:5" ht="15.75" thickBot="1">
      <c r="A15" s="74">
        <v>11</v>
      </c>
      <c r="B15" s="285"/>
      <c r="C15" s="166"/>
      <c r="D15" s="220"/>
      <c r="E15" s="220"/>
    </row>
    <row r="16" spans="1:5" ht="15.75" thickBot="1">
      <c r="A16" s="74">
        <v>12</v>
      </c>
      <c r="B16" s="285"/>
      <c r="C16" s="166"/>
      <c r="D16" s="220"/>
      <c r="E16" s="220"/>
    </row>
    <row r="17" spans="1:5" ht="15.75" thickBot="1">
      <c r="A17" s="74">
        <v>13</v>
      </c>
      <c r="B17" s="285"/>
      <c r="C17" s="166"/>
      <c r="D17" s="220"/>
      <c r="E17" s="220"/>
    </row>
    <row r="18" spans="1:5" ht="15.75" thickBot="1">
      <c r="A18" s="74">
        <v>14</v>
      </c>
      <c r="B18" s="285"/>
      <c r="C18" s="166"/>
      <c r="D18" s="220"/>
      <c r="E18" s="220"/>
    </row>
    <row r="19" spans="1:5" ht="15.75" thickBot="1">
      <c r="A19" s="74">
        <v>15</v>
      </c>
      <c r="B19" s="285"/>
      <c r="C19" s="166"/>
      <c r="D19" s="220"/>
      <c r="E19" s="220"/>
    </row>
    <row r="20" spans="1:5" ht="15.75" thickBot="1">
      <c r="A20" s="74">
        <v>16</v>
      </c>
      <c r="B20" s="285"/>
      <c r="C20" s="166"/>
      <c r="D20" s="220"/>
      <c r="E20" s="220"/>
    </row>
    <row r="21" spans="1:5" ht="15.75" thickBot="1">
      <c r="A21" s="74">
        <v>17</v>
      </c>
      <c r="B21" s="285"/>
      <c r="C21" s="166"/>
      <c r="D21" s="220"/>
      <c r="E21" s="220"/>
    </row>
    <row r="22" spans="1:5" ht="15.75" thickBot="1">
      <c r="A22" s="74">
        <v>18</v>
      </c>
      <c r="B22" s="285"/>
      <c r="C22" s="166"/>
      <c r="D22" s="220"/>
      <c r="E22" s="220"/>
    </row>
    <row r="23" spans="1:5" ht="15.75" thickBot="1">
      <c r="A23" s="74">
        <v>19</v>
      </c>
      <c r="B23" s="285"/>
      <c r="C23" s="166"/>
      <c r="D23" s="220"/>
      <c r="E23" s="220"/>
    </row>
    <row r="24" spans="1:5" ht="15.75" thickBot="1">
      <c r="A24" s="74">
        <v>20</v>
      </c>
      <c r="B24" s="285"/>
      <c r="C24" s="166"/>
      <c r="D24" s="220"/>
      <c r="E24" s="220"/>
    </row>
    <row r="25" spans="1:5" ht="15.75" thickBot="1">
      <c r="A25" s="74">
        <v>21</v>
      </c>
      <c r="B25" s="285"/>
      <c r="C25" s="166"/>
      <c r="D25" s="220"/>
      <c r="E25" s="220"/>
    </row>
    <row r="26" spans="1:5" ht="15.75" thickBot="1">
      <c r="A26" s="74">
        <v>22</v>
      </c>
      <c r="B26" s="285"/>
      <c r="C26" s="166"/>
      <c r="D26" s="220"/>
      <c r="E26" s="220"/>
    </row>
    <row r="27" spans="1:5" ht="15.75" thickBot="1">
      <c r="A27" s="74">
        <v>23</v>
      </c>
      <c r="B27" s="285"/>
      <c r="C27" s="166"/>
      <c r="D27" s="220"/>
      <c r="E27" s="220"/>
    </row>
    <row r="28" spans="1:5" ht="15.75" thickBot="1">
      <c r="A28" s="74">
        <v>24</v>
      </c>
      <c r="B28" s="285"/>
      <c r="C28" s="166"/>
      <c r="D28" s="220"/>
      <c r="E28" s="220"/>
    </row>
    <row r="29" spans="1:5" ht="15.75" thickBot="1">
      <c r="A29" s="74">
        <v>25</v>
      </c>
      <c r="B29" s="285"/>
      <c r="C29" s="166"/>
      <c r="D29" s="220"/>
      <c r="E29" s="220"/>
    </row>
    <row r="30" spans="1:5" ht="15.75" thickBot="1">
      <c r="A30" s="74">
        <v>26</v>
      </c>
      <c r="B30" s="285"/>
      <c r="C30" s="166"/>
      <c r="D30" s="220"/>
      <c r="E30" s="220"/>
    </row>
    <row r="31" spans="1:5" ht="15.75" thickBot="1">
      <c r="A31" s="74">
        <v>27</v>
      </c>
      <c r="B31" s="285"/>
      <c r="C31" s="166"/>
      <c r="D31" s="220"/>
      <c r="E31" s="220"/>
    </row>
    <row r="32" spans="1:5" ht="15.75" thickBot="1">
      <c r="A32" s="74">
        <v>28</v>
      </c>
      <c r="B32" s="285"/>
      <c r="C32" s="166"/>
      <c r="D32" s="220"/>
      <c r="E32" s="220"/>
    </row>
    <row r="33" spans="1:5" ht="15.75" thickBot="1">
      <c r="A33" s="74">
        <v>29</v>
      </c>
      <c r="B33" s="285"/>
      <c r="C33" s="166"/>
      <c r="D33" s="220"/>
      <c r="E33" s="220"/>
    </row>
    <row r="34" spans="1:5" ht="15.75" thickBot="1">
      <c r="A34" s="74">
        <v>30</v>
      </c>
      <c r="B34" s="285"/>
      <c r="C34" s="166"/>
      <c r="D34" s="220"/>
      <c r="E34" s="220"/>
    </row>
    <row r="35" spans="1:5">
      <c r="A35" s="146"/>
    </row>
  </sheetData>
  <sheetProtection algorithmName="SHA-512" hashValue="R0RrZlOl4GceYpVH0KSiHljX/suxyZGs9ixZY5mZ6ZEwVko3u+bWXRg5ICT0plIj8e9hmSAp+WXxllrlhOLyag==" saltValue="HZQVwNYEuUCErADL66pcLg==" spinCount="100000" sheet="1" objects="1" scenarios="1" selectLockedCells="1"/>
  <customSheetViews>
    <customSheetView guid="{A316F603-36BB-45F0-8A3D-94F56F16B8BC}" fitToPage="1">
      <selection activeCell="B5" sqref="B5"/>
      <pageMargins left="0.7" right="0.7" top="0.75" bottom="0.75" header="0.3" footer="0.3"/>
      <pageSetup scale="97" orientation="portrait" r:id="rId1"/>
    </customSheetView>
    <customSheetView guid="{99F5D17F-5AC0-418F-9D70-825920124F2C}">
      <selection activeCell="B2" sqref="B2"/>
      <pageMargins left="0.7" right="0.7" top="0.75" bottom="0.75" header="0.3" footer="0.3"/>
      <pageSetup orientation="portrait" r:id="rId2"/>
    </customSheetView>
    <customSheetView guid="{341C6106-BE79-4CDE-A40C-FC24AA59D1EA}" fitToPage="1">
      <selection activeCell="B5" sqref="B5"/>
      <pageMargins left="0.7" right="0.7" top="0.75" bottom="0.75" header="0.3" footer="0.3"/>
      <pageSetup scale="97" orientation="portrait" r:id="rId3"/>
    </customSheetView>
  </customSheetViews>
  <mergeCells count="2">
    <mergeCell ref="A1:D1"/>
    <mergeCell ref="A3:E3"/>
  </mergeCells>
  <dataValidations count="5">
    <dataValidation type="date" operator="greaterThan" allowBlank="1" showInputMessage="1" showErrorMessage="1" sqref="B2 D5:D34">
      <formula1>1</formula1>
    </dataValidation>
    <dataValidation type="textLength" operator="equal" allowBlank="1" showInputMessage="1" showErrorMessage="1" errorTitle="Contract Number Length" error="Contract number must be 9 digits, including leading zeros." sqref="B5:B34">
      <formula1>9</formula1>
    </dataValidation>
    <dataValidation type="whole" operator="greaterThan" allowBlank="1" showInputMessage="1" showErrorMessage="1" sqref="C5:C34">
      <formula1>0</formula1>
    </dataValidation>
    <dataValidation type="date" operator="greaterThanOrEqual" allowBlank="1" showInputMessage="1" showErrorMessage="1" errorTitle="Date Error" error="End date cannot be earlier than begin date." sqref="D2">
      <formula1>B2</formula1>
    </dataValidation>
    <dataValidation type="date" operator="greaterThanOrEqual" allowBlank="1" showInputMessage="1" showErrorMessage="1" errorTitle="Date Error" error="End date cannot be earlier than begin date." sqref="E5:E34">
      <formula1>D5</formula1>
    </dataValidation>
  </dataValidations>
  <pageMargins left="0.7" right="0.7" top="0.75" bottom="0.75" header="0.3" footer="0.3"/>
  <pageSetup scale="97" orientation="portrait"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L41"/>
  <sheetViews>
    <sheetView zoomScaleNormal="100" workbookViewId="0">
      <selection activeCell="A20" sqref="A20:B20"/>
    </sheetView>
  </sheetViews>
  <sheetFormatPr defaultRowHeight="15" customHeight="1"/>
  <cols>
    <col min="1" max="16384" width="9.140625" style="275"/>
  </cols>
  <sheetData>
    <row r="1" spans="1:12" ht="15" customHeight="1" thickTop="1" thickBot="1">
      <c r="A1" s="1279" t="s">
        <v>0</v>
      </c>
      <c r="B1" s="1280"/>
      <c r="C1" s="1280"/>
      <c r="D1" s="1280"/>
      <c r="E1" s="1280"/>
      <c r="F1" s="1280"/>
      <c r="G1" s="1285" t="s">
        <v>1</v>
      </c>
      <c r="H1" s="1285"/>
      <c r="I1" s="1285"/>
      <c r="J1" s="1285" t="s">
        <v>2</v>
      </c>
      <c r="K1" s="1285"/>
      <c r="L1" s="1289"/>
    </row>
    <row r="2" spans="1:12" ht="15" customHeight="1" thickBot="1">
      <c r="A2" s="1281" t="str">
        <f>IF(NameOfLegalEntity="","",NameOfLegalEntity)</f>
        <v/>
      </c>
      <c r="B2" s="549"/>
      <c r="C2" s="549"/>
      <c r="D2" s="549"/>
      <c r="E2" s="549"/>
      <c r="F2" s="549"/>
      <c r="G2" s="537" t="str">
        <f>IF(ReviewLevel="","",ReviewLevel)</f>
        <v/>
      </c>
      <c r="H2" s="537"/>
      <c r="I2" s="537"/>
      <c r="J2" s="537" t="str">
        <f>IF(ReviewType="","",ReviewType)</f>
        <v/>
      </c>
      <c r="K2" s="537"/>
      <c r="L2" s="1284"/>
    </row>
    <row r="3" spans="1:12" ht="15" customHeight="1" thickBot="1">
      <c r="A3" s="1282" t="s">
        <v>3</v>
      </c>
      <c r="B3" s="545"/>
      <c r="C3" s="545"/>
      <c r="D3" s="545" t="s">
        <v>4</v>
      </c>
      <c r="E3" s="545"/>
      <c r="F3" s="545" t="s">
        <v>5</v>
      </c>
      <c r="G3" s="545"/>
      <c r="H3" s="545" t="s">
        <v>5</v>
      </c>
      <c r="I3" s="545"/>
      <c r="J3" s="545" t="s">
        <v>607</v>
      </c>
      <c r="K3" s="545"/>
      <c r="L3" s="1286"/>
    </row>
    <row r="4" spans="1:12" ht="15" customHeight="1" thickBot="1">
      <c r="A4" s="296" t="s">
        <v>7</v>
      </c>
      <c r="B4" s="1283" t="str">
        <f>IF(CompletedByLastName="","",CompletedByLastName)</f>
        <v/>
      </c>
      <c r="C4" s="1283"/>
      <c r="D4" s="545" t="s">
        <v>8</v>
      </c>
      <c r="E4" s="545"/>
      <c r="F4" s="545" t="s">
        <v>9</v>
      </c>
      <c r="G4" s="545"/>
      <c r="H4" s="545" t="s">
        <v>630</v>
      </c>
      <c r="I4" s="545"/>
      <c r="J4" s="297" t="s">
        <v>10</v>
      </c>
      <c r="K4" s="1287" t="str">
        <f>IF(MonitoringPeriodBeginDate="","",MonitoringPeriodBeginDate)</f>
        <v/>
      </c>
      <c r="L4" s="1288"/>
    </row>
    <row r="5" spans="1:12" ht="15" customHeight="1" thickBot="1">
      <c r="A5" s="296" t="s">
        <v>11</v>
      </c>
      <c r="B5" s="1283" t="str">
        <f>IF(CompletedByFirstName="","",CompletedByFirstName)</f>
        <v/>
      </c>
      <c r="C5" s="1283"/>
      <c r="D5" s="536" t="str">
        <f>IF(DateOfEntrance="","",DateOfEntrance)</f>
        <v/>
      </c>
      <c r="E5" s="536"/>
      <c r="F5" s="536" t="str">
        <f>IF(DateOfExit="","",DateOfExit)</f>
        <v/>
      </c>
      <c r="G5" s="536"/>
      <c r="H5" s="536" t="str">
        <f>IF(DateOfExitRevised="","",DateOfExitRevised)</f>
        <v/>
      </c>
      <c r="I5" s="536"/>
      <c r="J5" s="297" t="s">
        <v>12</v>
      </c>
      <c r="K5" s="1287" t="str">
        <f>IF(MonitoringPeriodEndDate="","",MonitoringPeriodEndDate)</f>
        <v/>
      </c>
      <c r="L5" s="1288"/>
    </row>
    <row r="6" spans="1:12" s="147" customFormat="1" ht="15.75" customHeight="1" thickBot="1">
      <c r="A6" s="1135" t="s">
        <v>13</v>
      </c>
      <c r="B6" s="548"/>
      <c r="C6" s="548" t="s">
        <v>78</v>
      </c>
      <c r="D6" s="548"/>
      <c r="E6" s="548"/>
      <c r="F6" s="548" t="s">
        <v>13</v>
      </c>
      <c r="G6" s="548"/>
      <c r="H6" s="548" t="s">
        <v>78</v>
      </c>
      <c r="I6" s="548"/>
      <c r="J6" s="1290"/>
    </row>
    <row r="7" spans="1:12" s="147" customFormat="1" ht="15" customHeight="1" thickBot="1">
      <c r="A7" s="439" t="s">
        <v>67</v>
      </c>
      <c r="B7" s="429"/>
      <c r="C7" s="541" t="str">
        <f>IF(CdsCbaContractNumber="","",CdsCbaContractNumber)</f>
        <v/>
      </c>
      <c r="D7" s="541"/>
      <c r="E7" s="541"/>
      <c r="F7" s="439" t="s">
        <v>72</v>
      </c>
      <c r="G7" s="429"/>
      <c r="H7" s="542" t="str">
        <f>IF(CdsHcsContractNumber08="","",CdsHcsContractNumber08)</f>
        <v/>
      </c>
      <c r="I7" s="543"/>
      <c r="J7" s="544"/>
    </row>
    <row r="8" spans="1:12" s="147" customFormat="1" ht="15" customHeight="1" thickBot="1">
      <c r="A8" s="429" t="s">
        <v>71</v>
      </c>
      <c r="B8" s="429"/>
      <c r="C8" s="546" t="str">
        <f>IF(CdsClassContractNumber="","",CdsClassContractNumber)</f>
        <v/>
      </c>
      <c r="D8" s="546"/>
      <c r="E8" s="547"/>
      <c r="F8" s="439" t="s">
        <v>72</v>
      </c>
      <c r="G8" s="429"/>
      <c r="H8" s="538" t="str">
        <f>IF(CdsHcsContractNumber09="","",CdsHcsContractNumber09)</f>
        <v/>
      </c>
      <c r="I8" s="539"/>
      <c r="J8" s="540"/>
    </row>
    <row r="9" spans="1:12" s="147" customFormat="1" ht="15" customHeight="1" thickBot="1">
      <c r="A9" s="525" t="s">
        <v>70</v>
      </c>
      <c r="B9" s="526"/>
      <c r="C9" s="542" t="str">
        <f>IF(CdsDbmdContractNumber="","",CdsDbmdContractNumber)</f>
        <v/>
      </c>
      <c r="D9" s="543"/>
      <c r="E9" s="544"/>
      <c r="F9" s="439" t="s">
        <v>73</v>
      </c>
      <c r="G9" s="429"/>
      <c r="H9" s="538" t="str">
        <f>IF(CdsTxHmlContractNumber01="","",CdsTxHmlContractNumber01)</f>
        <v/>
      </c>
      <c r="I9" s="539"/>
      <c r="J9" s="540"/>
    </row>
    <row r="10" spans="1:12" s="147" customFormat="1" ht="15" customHeight="1" thickBot="1">
      <c r="A10" s="439" t="s">
        <v>68</v>
      </c>
      <c r="B10" s="429"/>
      <c r="C10" s="546" t="str">
        <f>IF(CdsMdcpContractNumber="","",CdsMdcpContractNumber)</f>
        <v/>
      </c>
      <c r="D10" s="546"/>
      <c r="E10" s="538"/>
      <c r="F10" s="439" t="s">
        <v>73</v>
      </c>
      <c r="G10" s="429"/>
      <c r="H10" s="538" t="str">
        <f>IF(CdsTxHmlContractNumber02="","",CdsTxHmlContractNumber02)</f>
        <v/>
      </c>
      <c r="I10" s="539"/>
      <c r="J10" s="540"/>
    </row>
    <row r="11" spans="1:12" s="147" customFormat="1" ht="15" customHeight="1" thickBot="1">
      <c r="A11" s="439" t="s">
        <v>779</v>
      </c>
      <c r="B11" s="429"/>
      <c r="C11" s="546" t="str">
        <f>IF(CdsPhcFcCasContractNumber="","",CdsPhcFcCasContractNumber)</f>
        <v/>
      </c>
      <c r="D11" s="546"/>
      <c r="E11" s="538"/>
      <c r="F11" s="439" t="s">
        <v>73</v>
      </c>
      <c r="G11" s="429"/>
      <c r="H11" s="538" t="str">
        <f>IF(CdsTxHmlContractNumber03="","",CdsTxHmlContractNumber03)</f>
        <v/>
      </c>
      <c r="I11" s="539"/>
      <c r="J11" s="540"/>
    </row>
    <row r="12" spans="1:12" s="147" customFormat="1" ht="15" customHeight="1" thickBot="1">
      <c r="A12" s="439" t="s">
        <v>72</v>
      </c>
      <c r="B12" s="429"/>
      <c r="C12" s="542" t="str">
        <f>IF(CdsHcsContractNumber01="","",CdsHcsContractNumber01)</f>
        <v/>
      </c>
      <c r="D12" s="543"/>
      <c r="E12" s="544"/>
      <c r="F12" s="439" t="s">
        <v>73</v>
      </c>
      <c r="G12" s="429"/>
      <c r="H12" s="538" t="str">
        <f>IF(CdsTxHmlContractNumber04="","",CdsTxHmlContractNumber04)</f>
        <v/>
      </c>
      <c r="I12" s="539"/>
      <c r="J12" s="540"/>
    </row>
    <row r="13" spans="1:12" s="147" customFormat="1" ht="15" customHeight="1" thickBot="1">
      <c r="A13" s="439" t="s">
        <v>72</v>
      </c>
      <c r="B13" s="429"/>
      <c r="C13" s="542" t="str">
        <f>IF(CdsHcsContractNumber02="","",CdsHcsContractNumber02)</f>
        <v/>
      </c>
      <c r="D13" s="543"/>
      <c r="E13" s="544"/>
      <c r="F13" s="439" t="s">
        <v>73</v>
      </c>
      <c r="G13" s="429"/>
      <c r="H13" s="538" t="str">
        <f>IF(CdsTxHmlContractNumber05="","",CdsTxHmlContractNumber05)</f>
        <v/>
      </c>
      <c r="I13" s="539"/>
      <c r="J13" s="540"/>
    </row>
    <row r="14" spans="1:12" s="147" customFormat="1" ht="15" customHeight="1" thickBot="1">
      <c r="A14" s="439" t="s">
        <v>72</v>
      </c>
      <c r="B14" s="429"/>
      <c r="C14" s="542" t="str">
        <f>IF(CdsHcsContractNumber03="","",CdsHcsContractNumber03)</f>
        <v/>
      </c>
      <c r="D14" s="543"/>
      <c r="E14" s="544"/>
      <c r="F14" s="439" t="s">
        <v>73</v>
      </c>
      <c r="G14" s="429"/>
      <c r="H14" s="538" t="str">
        <f>IF(CdsTxHmlContractNumber06="","",CdsTxHmlContractNumber06)</f>
        <v/>
      </c>
      <c r="I14" s="539"/>
      <c r="J14" s="540"/>
    </row>
    <row r="15" spans="1:12" s="147" customFormat="1" ht="15" customHeight="1" thickBot="1">
      <c r="A15" s="439" t="s">
        <v>72</v>
      </c>
      <c r="B15" s="429"/>
      <c r="C15" s="542" t="str">
        <f>IF(CdsHcsContractNumber04="","",CdsHcsContractNumber04)</f>
        <v/>
      </c>
      <c r="D15" s="543"/>
      <c r="E15" s="544"/>
      <c r="F15" s="439" t="s">
        <v>73</v>
      </c>
      <c r="G15" s="429"/>
      <c r="H15" s="538" t="str">
        <f>IF(CdsTxHmlContractNumber07="","",CdsTxHmlContractNumber07)</f>
        <v/>
      </c>
      <c r="I15" s="539"/>
      <c r="J15" s="540"/>
    </row>
    <row r="16" spans="1:12" s="147" customFormat="1" ht="15" customHeight="1" thickBot="1">
      <c r="A16" s="439" t="s">
        <v>72</v>
      </c>
      <c r="B16" s="429"/>
      <c r="C16" s="542" t="str">
        <f>IF(CdsHcsContractNumber05="","",CdsHcsContractNumber05)</f>
        <v/>
      </c>
      <c r="D16" s="543"/>
      <c r="E16" s="544"/>
      <c r="F16" s="439" t="s">
        <v>73</v>
      </c>
      <c r="G16" s="429"/>
      <c r="H16" s="538" t="str">
        <f>IF(CdsTxHmlContractNumber08="","",CdsTxHmlContractNumber08)</f>
        <v/>
      </c>
      <c r="I16" s="539"/>
      <c r="J16" s="540"/>
    </row>
    <row r="17" spans="1:12" s="147" customFormat="1" ht="15" customHeight="1" thickBot="1">
      <c r="A17" s="439" t="s">
        <v>72</v>
      </c>
      <c r="B17" s="429"/>
      <c r="C17" s="542" t="str">
        <f>IF(CdsHcsContractNumber06="","",CdsHcsContractNumber06)</f>
        <v/>
      </c>
      <c r="D17" s="543"/>
      <c r="E17" s="544"/>
      <c r="F17" s="439" t="s">
        <v>73</v>
      </c>
      <c r="G17" s="429"/>
      <c r="H17" s="538" t="str">
        <f>IF(CdsTxHmlContractNumber09="","",CdsTxHmlContractNumber09)</f>
        <v/>
      </c>
      <c r="I17" s="539"/>
      <c r="J17" s="540"/>
      <c r="L17" s="39"/>
    </row>
    <row r="18" spans="1:12" s="147" customFormat="1" ht="15" customHeight="1" thickBot="1">
      <c r="A18" s="439" t="s">
        <v>72</v>
      </c>
      <c r="B18" s="429"/>
      <c r="C18" s="538" t="str">
        <f>IF(CdsHcsContractNumber07="","",CdsHcsContractNumber07)</f>
        <v/>
      </c>
      <c r="D18" s="539"/>
      <c r="E18" s="540"/>
      <c r="F18" s="530"/>
      <c r="G18" s="531"/>
      <c r="H18" s="531"/>
      <c r="I18" s="531"/>
      <c r="J18" s="532"/>
    </row>
    <row r="19" spans="1:12" ht="15" customHeight="1">
      <c r="A19" s="1276" t="s">
        <v>43</v>
      </c>
      <c r="B19" s="1277"/>
      <c r="C19" s="1277" t="s">
        <v>648</v>
      </c>
      <c r="D19" s="1277"/>
      <c r="E19" s="1277" t="s">
        <v>649</v>
      </c>
      <c r="F19" s="1277"/>
      <c r="G19" s="1277"/>
      <c r="H19" s="1277"/>
      <c r="I19" s="1277"/>
      <c r="J19" s="1277"/>
      <c r="K19" s="1277"/>
      <c r="L19" s="1278"/>
    </row>
    <row r="20" spans="1:12" ht="45" customHeight="1">
      <c r="A20" s="1268"/>
      <c r="B20" s="1269"/>
      <c r="C20" s="1269"/>
      <c r="D20" s="1269"/>
      <c r="E20" s="1270"/>
      <c r="F20" s="1270"/>
      <c r="G20" s="1270"/>
      <c r="H20" s="1270"/>
      <c r="I20" s="1270"/>
      <c r="J20" s="1270"/>
      <c r="K20" s="1270"/>
      <c r="L20" s="1271"/>
    </row>
    <row r="21" spans="1:12" ht="45" customHeight="1">
      <c r="A21" s="1268"/>
      <c r="B21" s="1269"/>
      <c r="C21" s="1269"/>
      <c r="D21" s="1269"/>
      <c r="E21" s="1270"/>
      <c r="F21" s="1270"/>
      <c r="G21" s="1270"/>
      <c r="H21" s="1270"/>
      <c r="I21" s="1270"/>
      <c r="J21" s="1270"/>
      <c r="K21" s="1270"/>
      <c r="L21" s="1271"/>
    </row>
    <row r="22" spans="1:12" ht="45" customHeight="1">
      <c r="A22" s="1268"/>
      <c r="B22" s="1269"/>
      <c r="C22" s="1269"/>
      <c r="D22" s="1269"/>
      <c r="E22" s="1270"/>
      <c r="F22" s="1270"/>
      <c r="G22" s="1270"/>
      <c r="H22" s="1270"/>
      <c r="I22" s="1270"/>
      <c r="J22" s="1270"/>
      <c r="K22" s="1270"/>
      <c r="L22" s="1271"/>
    </row>
    <row r="23" spans="1:12" ht="45" customHeight="1">
      <c r="A23" s="1268"/>
      <c r="B23" s="1269"/>
      <c r="C23" s="1269"/>
      <c r="D23" s="1269"/>
      <c r="E23" s="1270"/>
      <c r="F23" s="1270"/>
      <c r="G23" s="1270"/>
      <c r="H23" s="1270"/>
      <c r="I23" s="1270"/>
      <c r="J23" s="1270"/>
      <c r="K23" s="1270"/>
      <c r="L23" s="1271"/>
    </row>
    <row r="24" spans="1:12" ht="45" customHeight="1">
      <c r="A24" s="1268"/>
      <c r="B24" s="1269"/>
      <c r="C24" s="1269"/>
      <c r="D24" s="1269"/>
      <c r="E24" s="1270"/>
      <c r="F24" s="1270"/>
      <c r="G24" s="1270"/>
      <c r="H24" s="1270"/>
      <c r="I24" s="1270"/>
      <c r="J24" s="1270"/>
      <c r="K24" s="1270"/>
      <c r="L24" s="1271"/>
    </row>
    <row r="25" spans="1:12" ht="45" customHeight="1">
      <c r="A25" s="1268"/>
      <c r="B25" s="1269"/>
      <c r="C25" s="1269"/>
      <c r="D25" s="1269"/>
      <c r="E25" s="1270"/>
      <c r="F25" s="1270"/>
      <c r="G25" s="1270"/>
      <c r="H25" s="1270"/>
      <c r="I25" s="1270"/>
      <c r="J25" s="1270"/>
      <c r="K25" s="1270"/>
      <c r="L25" s="1271"/>
    </row>
    <row r="26" spans="1:12" ht="45" customHeight="1">
      <c r="A26" s="1268"/>
      <c r="B26" s="1269"/>
      <c r="C26" s="1269"/>
      <c r="D26" s="1269"/>
      <c r="E26" s="1270"/>
      <c r="F26" s="1270"/>
      <c r="G26" s="1270"/>
      <c r="H26" s="1270"/>
      <c r="I26" s="1270"/>
      <c r="J26" s="1270"/>
      <c r="K26" s="1270"/>
      <c r="L26" s="1271"/>
    </row>
    <row r="27" spans="1:12" ht="45" customHeight="1">
      <c r="A27" s="1268"/>
      <c r="B27" s="1269"/>
      <c r="C27" s="1269"/>
      <c r="D27" s="1269"/>
      <c r="E27" s="1270"/>
      <c r="F27" s="1270"/>
      <c r="G27" s="1270"/>
      <c r="H27" s="1270"/>
      <c r="I27" s="1270"/>
      <c r="J27" s="1270"/>
      <c r="K27" s="1270"/>
      <c r="L27" s="1271"/>
    </row>
    <row r="28" spans="1:12" ht="45" customHeight="1">
      <c r="A28" s="1268"/>
      <c r="B28" s="1269"/>
      <c r="C28" s="1269"/>
      <c r="D28" s="1269"/>
      <c r="E28" s="1270"/>
      <c r="F28" s="1270"/>
      <c r="G28" s="1270"/>
      <c r="H28" s="1270"/>
      <c r="I28" s="1270"/>
      <c r="J28" s="1270"/>
      <c r="K28" s="1270"/>
      <c r="L28" s="1271"/>
    </row>
    <row r="29" spans="1:12" ht="45" customHeight="1">
      <c r="A29" s="1268"/>
      <c r="B29" s="1269"/>
      <c r="C29" s="1269"/>
      <c r="D29" s="1269"/>
      <c r="E29" s="1270"/>
      <c r="F29" s="1270"/>
      <c r="G29" s="1270"/>
      <c r="H29" s="1270"/>
      <c r="I29" s="1270"/>
      <c r="J29" s="1270"/>
      <c r="K29" s="1270"/>
      <c r="L29" s="1271"/>
    </row>
    <row r="30" spans="1:12" ht="45" customHeight="1">
      <c r="A30" s="1268"/>
      <c r="B30" s="1269"/>
      <c r="C30" s="1269"/>
      <c r="D30" s="1269"/>
      <c r="E30" s="1270"/>
      <c r="F30" s="1270"/>
      <c r="G30" s="1270"/>
      <c r="H30" s="1270"/>
      <c r="I30" s="1270"/>
      <c r="J30" s="1270"/>
      <c r="K30" s="1270"/>
      <c r="L30" s="1271"/>
    </row>
    <row r="31" spans="1:12" ht="45" customHeight="1">
      <c r="A31" s="1268"/>
      <c r="B31" s="1269"/>
      <c r="C31" s="1269"/>
      <c r="D31" s="1269"/>
      <c r="E31" s="1270"/>
      <c r="F31" s="1270"/>
      <c r="G31" s="1270"/>
      <c r="H31" s="1270"/>
      <c r="I31" s="1270"/>
      <c r="J31" s="1270"/>
      <c r="K31" s="1270"/>
      <c r="L31" s="1271"/>
    </row>
    <row r="32" spans="1:12" ht="45" customHeight="1">
      <c r="A32" s="1268"/>
      <c r="B32" s="1269"/>
      <c r="C32" s="1269"/>
      <c r="D32" s="1269"/>
      <c r="E32" s="1270"/>
      <c r="F32" s="1270"/>
      <c r="G32" s="1270"/>
      <c r="H32" s="1270"/>
      <c r="I32" s="1270"/>
      <c r="J32" s="1270"/>
      <c r="K32" s="1270"/>
      <c r="L32" s="1271"/>
    </row>
    <row r="33" spans="1:12" ht="45" customHeight="1">
      <c r="A33" s="1268"/>
      <c r="B33" s="1269"/>
      <c r="C33" s="1269"/>
      <c r="D33" s="1269"/>
      <c r="E33" s="1270"/>
      <c r="F33" s="1270"/>
      <c r="G33" s="1270"/>
      <c r="H33" s="1270"/>
      <c r="I33" s="1270"/>
      <c r="J33" s="1270"/>
      <c r="K33" s="1270"/>
      <c r="L33" s="1271"/>
    </row>
    <row r="34" spans="1:12" ht="45" customHeight="1">
      <c r="A34" s="1268"/>
      <c r="B34" s="1269"/>
      <c r="C34" s="1269"/>
      <c r="D34" s="1269"/>
      <c r="E34" s="1270"/>
      <c r="F34" s="1270"/>
      <c r="G34" s="1270"/>
      <c r="H34" s="1270"/>
      <c r="I34" s="1270"/>
      <c r="J34" s="1270"/>
      <c r="K34" s="1270"/>
      <c r="L34" s="1271"/>
    </row>
    <row r="35" spans="1:12" ht="45" customHeight="1">
      <c r="A35" s="1268"/>
      <c r="B35" s="1269"/>
      <c r="C35" s="1269"/>
      <c r="D35" s="1269"/>
      <c r="E35" s="1270"/>
      <c r="F35" s="1270"/>
      <c r="G35" s="1270"/>
      <c r="H35" s="1270"/>
      <c r="I35" s="1270"/>
      <c r="J35" s="1270"/>
      <c r="K35" s="1270"/>
      <c r="L35" s="1271"/>
    </row>
    <row r="36" spans="1:12" ht="45" customHeight="1">
      <c r="A36" s="1268"/>
      <c r="B36" s="1269"/>
      <c r="C36" s="1269"/>
      <c r="D36" s="1269"/>
      <c r="E36" s="1270"/>
      <c r="F36" s="1270"/>
      <c r="G36" s="1270"/>
      <c r="H36" s="1270"/>
      <c r="I36" s="1270"/>
      <c r="J36" s="1270"/>
      <c r="K36" s="1270"/>
      <c r="L36" s="1271"/>
    </row>
    <row r="37" spans="1:12" ht="45" customHeight="1">
      <c r="A37" s="1268"/>
      <c r="B37" s="1269"/>
      <c r="C37" s="1269"/>
      <c r="D37" s="1269"/>
      <c r="E37" s="1270"/>
      <c r="F37" s="1270"/>
      <c r="G37" s="1270"/>
      <c r="H37" s="1270"/>
      <c r="I37" s="1270"/>
      <c r="J37" s="1270"/>
      <c r="K37" s="1270"/>
      <c r="L37" s="1271"/>
    </row>
    <row r="38" spans="1:12" ht="45" customHeight="1">
      <c r="A38" s="1268"/>
      <c r="B38" s="1269"/>
      <c r="C38" s="1269"/>
      <c r="D38" s="1269"/>
      <c r="E38" s="1270"/>
      <c r="F38" s="1270"/>
      <c r="G38" s="1270"/>
      <c r="H38" s="1270"/>
      <c r="I38" s="1270"/>
      <c r="J38" s="1270"/>
      <c r="K38" s="1270"/>
      <c r="L38" s="1271"/>
    </row>
    <row r="39" spans="1:12" ht="45" customHeight="1">
      <c r="A39" s="1268"/>
      <c r="B39" s="1269"/>
      <c r="C39" s="1269"/>
      <c r="D39" s="1269"/>
      <c r="E39" s="1270"/>
      <c r="F39" s="1270"/>
      <c r="G39" s="1270"/>
      <c r="H39" s="1270"/>
      <c r="I39" s="1270"/>
      <c r="J39" s="1270"/>
      <c r="K39" s="1270"/>
      <c r="L39" s="1271"/>
    </row>
    <row r="40" spans="1:12" ht="45" customHeight="1" thickBot="1">
      <c r="A40" s="1272"/>
      <c r="B40" s="1273"/>
      <c r="C40" s="1273"/>
      <c r="D40" s="1273"/>
      <c r="E40" s="1274"/>
      <c r="F40" s="1274"/>
      <c r="G40" s="1274"/>
      <c r="H40" s="1274"/>
      <c r="I40" s="1274"/>
      <c r="J40" s="1274"/>
      <c r="K40" s="1274"/>
      <c r="L40" s="1275"/>
    </row>
    <row r="41" spans="1:12" ht="15" customHeight="1" thickTop="1"/>
  </sheetData>
  <sheetProtection algorithmName="SHA-512" hashValue="6fsmB+lT8tEfhzQmpSCIy5BPhmhPJ5HMvJA7LbobRJxJEGlEAM95cLUpOmvayJ8gAIyWvruowZnRbzB7NbxJRw==" saltValue="w7sGzzYIYEkoXVTX+2L5ww==" spinCount="100000" sheet="1" objects="1" scenarios="1" selectLockedCells="1"/>
  <customSheetViews>
    <customSheetView guid="{A316F603-36BB-45F0-8A3D-94F56F16B8BC}">
      <selection activeCell="A20" sqref="A20:B20"/>
      <pageMargins left="0.7" right="0.7" top="0.75" bottom="0.75" header="0.3" footer="0.3"/>
      <pageSetup orientation="landscape" r:id="rId1"/>
    </customSheetView>
    <customSheetView guid="{341C6106-BE79-4CDE-A40C-FC24AA59D1EA}">
      <selection activeCell="A20" sqref="A20:B20"/>
      <pageMargins left="0.7" right="0.7" top="0.75" bottom="0.75" header="0.3" footer="0.3"/>
      <pageSetup orientation="landscape" r:id="rId2"/>
    </customSheetView>
  </customSheetViews>
  <mergeCells count="138">
    <mergeCell ref="A18:B18"/>
    <mergeCell ref="C18:E18"/>
    <mergeCell ref="F18:J18"/>
    <mergeCell ref="A6:B6"/>
    <mergeCell ref="C6:E6"/>
    <mergeCell ref="F6:G6"/>
    <mergeCell ref="H6:J6"/>
    <mergeCell ref="A15:B15"/>
    <mergeCell ref="C15:E15"/>
    <mergeCell ref="F15:G15"/>
    <mergeCell ref="H15:J15"/>
    <mergeCell ref="A16:B16"/>
    <mergeCell ref="C16:E16"/>
    <mergeCell ref="F16:G16"/>
    <mergeCell ref="H16:J16"/>
    <mergeCell ref="A17:B17"/>
    <mergeCell ref="C17:E17"/>
    <mergeCell ref="F17:G17"/>
    <mergeCell ref="H17:J17"/>
    <mergeCell ref="A12:B12"/>
    <mergeCell ref="C12:E12"/>
    <mergeCell ref="F12:G12"/>
    <mergeCell ref="H12:J12"/>
    <mergeCell ref="A13:B13"/>
    <mergeCell ref="H9:J9"/>
    <mergeCell ref="A10:B10"/>
    <mergeCell ref="C10:E10"/>
    <mergeCell ref="F10:G10"/>
    <mergeCell ref="H10:J10"/>
    <mergeCell ref="A11:B11"/>
    <mergeCell ref="C11:E11"/>
    <mergeCell ref="F11:G11"/>
    <mergeCell ref="H11:J11"/>
    <mergeCell ref="J2:L2"/>
    <mergeCell ref="G1:I1"/>
    <mergeCell ref="G2:I2"/>
    <mergeCell ref="J3:L3"/>
    <mergeCell ref="K4:L4"/>
    <mergeCell ref="K5:L5"/>
    <mergeCell ref="H5:I5"/>
    <mergeCell ref="H3:I3"/>
    <mergeCell ref="H4:I4"/>
    <mergeCell ref="J1:L1"/>
    <mergeCell ref="A1:F1"/>
    <mergeCell ref="A2:F2"/>
    <mergeCell ref="A3:C3"/>
    <mergeCell ref="B4:C4"/>
    <mergeCell ref="B5:C5"/>
    <mergeCell ref="D3:E3"/>
    <mergeCell ref="D4:E4"/>
    <mergeCell ref="D5:E5"/>
    <mergeCell ref="F3:G3"/>
    <mergeCell ref="F4:G4"/>
    <mergeCell ref="F5:G5"/>
    <mergeCell ref="A19:B19"/>
    <mergeCell ref="C19:D19"/>
    <mergeCell ref="E19:L19"/>
    <mergeCell ref="A20:B20"/>
    <mergeCell ref="C20:D20"/>
    <mergeCell ref="E20:L20"/>
    <mergeCell ref="A7:B7"/>
    <mergeCell ref="C7:E7"/>
    <mergeCell ref="A8:B8"/>
    <mergeCell ref="C8:E8"/>
    <mergeCell ref="A9:B9"/>
    <mergeCell ref="F7:G7"/>
    <mergeCell ref="H7:J7"/>
    <mergeCell ref="F8:G8"/>
    <mergeCell ref="H8:J8"/>
    <mergeCell ref="C13:E13"/>
    <mergeCell ref="F13:G13"/>
    <mergeCell ref="H13:J13"/>
    <mergeCell ref="A14:B14"/>
    <mergeCell ref="C14:E14"/>
    <mergeCell ref="F14:G14"/>
    <mergeCell ref="H14:J14"/>
    <mergeCell ref="C9:E9"/>
    <mergeCell ref="F9:G9"/>
    <mergeCell ref="A23:B23"/>
    <mergeCell ref="C23:D23"/>
    <mergeCell ref="E23:L23"/>
    <mergeCell ref="A24:B24"/>
    <mergeCell ref="C24:D24"/>
    <mergeCell ref="E24:L24"/>
    <mergeCell ref="A21:B21"/>
    <mergeCell ref="C21:D21"/>
    <mergeCell ref="E21:L21"/>
    <mergeCell ref="A22:B22"/>
    <mergeCell ref="C22:D22"/>
    <mergeCell ref="E22:L22"/>
    <mergeCell ref="A27:B27"/>
    <mergeCell ref="C27:D27"/>
    <mergeCell ref="E27:L27"/>
    <mergeCell ref="A28:B28"/>
    <mergeCell ref="C28:D28"/>
    <mergeCell ref="E28:L28"/>
    <mergeCell ref="A25:B25"/>
    <mergeCell ref="C25:D25"/>
    <mergeCell ref="E25:L25"/>
    <mergeCell ref="A26:B26"/>
    <mergeCell ref="C26:D26"/>
    <mergeCell ref="E26:L26"/>
    <mergeCell ref="A31:B31"/>
    <mergeCell ref="C31:D31"/>
    <mergeCell ref="E31:L31"/>
    <mergeCell ref="A32:B32"/>
    <mergeCell ref="C32:D32"/>
    <mergeCell ref="E32:L32"/>
    <mergeCell ref="A29:B29"/>
    <mergeCell ref="C29:D29"/>
    <mergeCell ref="E29:L29"/>
    <mergeCell ref="A30:B30"/>
    <mergeCell ref="C30:D30"/>
    <mergeCell ref="E30:L30"/>
    <mergeCell ref="A35:B35"/>
    <mergeCell ref="C35:D35"/>
    <mergeCell ref="E35:L35"/>
    <mergeCell ref="A36:B36"/>
    <mergeCell ref="C36:D36"/>
    <mergeCell ref="E36:L36"/>
    <mergeCell ref="A33:B33"/>
    <mergeCell ref="C33:D33"/>
    <mergeCell ref="E33:L33"/>
    <mergeCell ref="A34:B34"/>
    <mergeCell ref="C34:D34"/>
    <mergeCell ref="E34:L34"/>
    <mergeCell ref="A39:B39"/>
    <mergeCell ref="C39:D39"/>
    <mergeCell ref="E39:L39"/>
    <mergeCell ref="A40:B40"/>
    <mergeCell ref="C40:D40"/>
    <mergeCell ref="E40:L40"/>
    <mergeCell ref="A37:B37"/>
    <mergeCell ref="C37:D37"/>
    <mergeCell ref="E37:L37"/>
    <mergeCell ref="A38:B38"/>
    <mergeCell ref="C38:D38"/>
    <mergeCell ref="E38:L38"/>
  </mergeCells>
  <dataValidations disablePrompts="1" count="2">
    <dataValidation operator="equal" allowBlank="1" showInputMessage="1" showErrorMessage="1" errorTitle="Contract Number Length" error="Contractor number must be 9 digits, including leading zeros." sqref="C7:E18 H7:J17"/>
    <dataValidation type="whole" showInputMessage="1" showErrorMessage="1" sqref="I6:J6">
      <formula1>1</formula1>
      <formula2>999999999999</formula2>
    </dataValidation>
  </dataValidations>
  <pageMargins left="0.7" right="0.7" top="0.75" bottom="0.75" header="0.3" footer="0.3"/>
  <pageSetup orientation="landscape"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B8128"/>
  <sheetViews>
    <sheetView zoomScaleNormal="100" workbookViewId="0"/>
  </sheetViews>
  <sheetFormatPr defaultRowHeight="15"/>
  <cols>
    <col min="1" max="1" width="31.42578125" bestFit="1" customWidth="1"/>
    <col min="2" max="8" width="11.28515625" bestFit="1" customWidth="1"/>
    <col min="9" max="9" width="11.28515625" customWidth="1"/>
    <col min="11" max="11" width="9" bestFit="1" customWidth="1"/>
    <col min="12" max="12" width="10.7109375" bestFit="1" customWidth="1"/>
    <col min="13" max="13" width="11.28515625" bestFit="1" customWidth="1"/>
    <col min="15" max="15" width="9" bestFit="1" customWidth="1"/>
    <col min="16" max="16" width="8.85546875" bestFit="1" customWidth="1"/>
    <col min="17" max="17" width="9" bestFit="1" customWidth="1"/>
    <col min="20" max="22" width="8.85546875" bestFit="1" customWidth="1"/>
    <col min="24" max="24" width="9" bestFit="1" customWidth="1"/>
    <col min="25" max="32" width="8.85546875" bestFit="1" customWidth="1"/>
    <col min="33" max="33" width="11.42578125" bestFit="1" customWidth="1"/>
    <col min="34" max="34" width="10.7109375" bestFit="1" customWidth="1"/>
    <col min="35" max="35" width="8.85546875" bestFit="1" customWidth="1"/>
    <col min="36" max="36" width="9" bestFit="1" customWidth="1"/>
    <col min="37" max="38" width="8.85546875" bestFit="1" customWidth="1"/>
    <col min="39" max="39" width="9" bestFit="1" customWidth="1"/>
    <col min="40" max="41" width="8.85546875" bestFit="1" customWidth="1"/>
    <col min="42" max="42" width="9" bestFit="1" customWidth="1"/>
    <col min="43" max="44" width="8.85546875" bestFit="1" customWidth="1"/>
    <col min="45" max="45" width="9" bestFit="1" customWidth="1"/>
    <col min="46" max="46" width="10.7109375" bestFit="1" customWidth="1"/>
    <col min="47" max="49" width="8.85546875" bestFit="1" customWidth="1"/>
    <col min="50" max="50" width="9" bestFit="1" customWidth="1"/>
    <col min="51" max="52" width="8.85546875" bestFit="1" customWidth="1"/>
    <col min="53" max="53" width="9" bestFit="1" customWidth="1"/>
    <col min="54" max="55" width="8.85546875" bestFit="1" customWidth="1"/>
    <col min="56" max="56" width="9" bestFit="1" customWidth="1"/>
    <col min="57" max="58" width="8.85546875" bestFit="1" customWidth="1"/>
    <col min="59" max="59" width="9" bestFit="1" customWidth="1"/>
    <col min="60" max="63" width="8.85546875" bestFit="1" customWidth="1"/>
    <col min="64" max="64" width="9" bestFit="1" customWidth="1"/>
    <col min="65" max="66" width="8.7109375" bestFit="1" customWidth="1"/>
    <col min="67" max="67" width="9" bestFit="1" customWidth="1"/>
    <col min="68" max="69" width="8.85546875" bestFit="1" customWidth="1"/>
    <col min="70" max="70" width="9" bestFit="1" customWidth="1"/>
    <col min="71" max="72" width="8.85546875" bestFit="1" customWidth="1"/>
    <col min="73" max="74" width="8.7109375" bestFit="1" customWidth="1"/>
    <col min="75" max="75" width="9" bestFit="1" customWidth="1"/>
    <col min="76" max="77" width="8.85546875" bestFit="1" customWidth="1"/>
    <col min="78" max="78" width="9" bestFit="1" customWidth="1"/>
    <col min="79" max="80" width="8.85546875" bestFit="1" customWidth="1"/>
    <col min="81" max="82" width="8.7109375" bestFit="1" customWidth="1"/>
    <col min="83" max="83" width="9" bestFit="1" customWidth="1"/>
    <col min="84" max="85" width="8.85546875" bestFit="1" customWidth="1"/>
    <col min="86" max="86" width="9" bestFit="1" customWidth="1"/>
    <col min="87" max="88" width="8.85546875" bestFit="1" customWidth="1"/>
    <col min="89" max="89" width="9" bestFit="1" customWidth="1"/>
    <col min="90" max="91" width="8.85546875" bestFit="1" customWidth="1"/>
    <col min="92" max="93" width="8.7109375" bestFit="1" customWidth="1"/>
    <col min="94" max="94" width="9" bestFit="1" customWidth="1"/>
    <col min="95" max="96" width="8.85546875" bestFit="1" customWidth="1"/>
    <col min="97" max="97" width="9" bestFit="1" customWidth="1"/>
    <col min="98" max="99" width="8.85546875" bestFit="1" customWidth="1"/>
    <col min="100" max="100" width="9" bestFit="1" customWidth="1"/>
    <col min="101" max="102" width="8.85546875" bestFit="1" customWidth="1"/>
    <col min="103" max="104" width="8.7109375" bestFit="1" customWidth="1"/>
    <col min="105" max="105" width="8.85546875" bestFit="1" customWidth="1"/>
    <col min="106" max="106" width="10.7109375" bestFit="1" customWidth="1"/>
  </cols>
  <sheetData>
    <row r="1" spans="1:106" ht="15.75" thickBot="1">
      <c r="A1" t="s">
        <v>397</v>
      </c>
      <c r="D1" s="77" t="str">
        <f>CONCATENATE("V ",$B$3)</f>
        <v>V 5.0.8</v>
      </c>
    </row>
    <row r="2" spans="1:106" ht="30">
      <c r="A2" s="110" t="s">
        <v>285</v>
      </c>
      <c r="B2" s="111" t="s">
        <v>286</v>
      </c>
      <c r="C2" s="109" t="s">
        <v>287</v>
      </c>
    </row>
    <row r="3" spans="1:106" ht="15.75" thickBot="1">
      <c r="A3" s="125" t="s">
        <v>288</v>
      </c>
      <c r="B3" s="260" t="s">
        <v>867</v>
      </c>
      <c r="C3" s="112">
        <f>IF(DateOfEntrance=DATE(1900,1,0), DATE(1900,1,1), DateOfEntrance)</f>
        <v>1</v>
      </c>
    </row>
    <row r="5" spans="1:106" ht="15.75" thickBot="1">
      <c r="A5" t="s">
        <v>398</v>
      </c>
    </row>
    <row r="6" spans="1:106" s="107" customFormat="1" ht="30">
      <c r="A6" s="252" t="s">
        <v>289</v>
      </c>
      <c r="B6" s="255" t="s">
        <v>290</v>
      </c>
    </row>
    <row r="7" spans="1:106">
      <c r="A7" s="257" t="s">
        <v>67</v>
      </c>
      <c r="B7" s="261" t="str">
        <f>IF(CdsCbaContractNumber = 0, "", CdsCbaContractNumber)</f>
        <v/>
      </c>
    </row>
    <row r="8" spans="1:106">
      <c r="A8" s="257" t="s">
        <v>66</v>
      </c>
      <c r="B8" s="261" t="str">
        <f>IF(CdsPhcFcCasContractNumber = 0, "", CdsPhcFcCasContractNumber)</f>
        <v/>
      </c>
    </row>
    <row r="9" spans="1:106">
      <c r="A9" s="257" t="s">
        <v>68</v>
      </c>
      <c r="B9" s="261" t="str">
        <f>IF(CdsMdcpContractNumber = 0, "", CdsMdcpContractNumber)</f>
        <v/>
      </c>
    </row>
    <row r="10" spans="1:106">
      <c r="A10" s="257" t="s">
        <v>70</v>
      </c>
      <c r="B10" s="261" t="str">
        <f>IF(CdsDbmdContractNumber = 0, "", CdsDbmdContractNumber)</f>
        <v/>
      </c>
    </row>
    <row r="11" spans="1:106">
      <c r="A11" s="257" t="s">
        <v>71</v>
      </c>
      <c r="B11" s="261" t="str">
        <f>IF(CdsClassContractNumber = 0, "", CdsClassContractNumber)</f>
        <v/>
      </c>
    </row>
    <row r="12" spans="1:106">
      <c r="A12" s="257" t="s">
        <v>280</v>
      </c>
      <c r="B12" s="261" t="e">
        <f>IF(CdsHcdContractNumber09 = 0, "", CdsHcdContractNumber09)</f>
        <v>#NAME?</v>
      </c>
    </row>
    <row r="13" spans="1:106" s="146" customFormat="1" ht="15.75" thickBot="1">
      <c r="A13" s="258" t="s">
        <v>73</v>
      </c>
      <c r="B13" s="259" t="e">
        <f>IF(CdsTxHmlContractNumber = 0, "", CdsTxHmlContractNumber)</f>
        <v>#NAME?</v>
      </c>
      <c r="E13"/>
      <c r="F13"/>
    </row>
    <row r="15" spans="1:106" ht="15.75" thickBot="1">
      <c r="A15" s="130" t="s">
        <v>291</v>
      </c>
    </row>
    <row r="16" spans="1:106" s="107" customFormat="1" ht="45">
      <c r="A16" s="115" t="s">
        <v>292</v>
      </c>
      <c r="B16" s="174" t="s">
        <v>293</v>
      </c>
      <c r="C16" s="174" t="s">
        <v>294</v>
      </c>
      <c r="D16" s="174" t="s">
        <v>295</v>
      </c>
      <c r="E16" s="174" t="s">
        <v>296</v>
      </c>
      <c r="F16" s="174" t="s">
        <v>297</v>
      </c>
      <c r="G16" s="174" t="s">
        <v>298</v>
      </c>
      <c r="H16" s="222" t="s">
        <v>638</v>
      </c>
      <c r="I16" s="222" t="s">
        <v>639</v>
      </c>
      <c r="J16" s="174" t="s">
        <v>301</v>
      </c>
      <c r="K16" s="234" t="s">
        <v>302</v>
      </c>
      <c r="L16" s="174" t="s">
        <v>303</v>
      </c>
      <c r="M16" s="174" t="s">
        <v>304</v>
      </c>
      <c r="N16" s="171" t="s">
        <v>305</v>
      </c>
      <c r="O16" s="171" t="s">
        <v>306</v>
      </c>
      <c r="P16" s="171" t="s">
        <v>307</v>
      </c>
      <c r="Q16" s="171" t="s">
        <v>308</v>
      </c>
      <c r="R16" s="171" t="s">
        <v>309</v>
      </c>
      <c r="S16" s="236" t="s">
        <v>401</v>
      </c>
      <c r="T16" s="171" t="s">
        <v>310</v>
      </c>
      <c r="U16" s="171" t="s">
        <v>311</v>
      </c>
      <c r="V16" s="171" t="s">
        <v>312</v>
      </c>
      <c r="W16" s="171" t="s">
        <v>313</v>
      </c>
      <c r="X16" s="171" t="s">
        <v>314</v>
      </c>
      <c r="Y16" s="171" t="s">
        <v>315</v>
      </c>
      <c r="Z16" s="171" t="s">
        <v>316</v>
      </c>
      <c r="AA16" s="171" t="s">
        <v>317</v>
      </c>
      <c r="AB16" s="171" t="s">
        <v>318</v>
      </c>
      <c r="AC16" s="171" t="s">
        <v>319</v>
      </c>
      <c r="AD16" s="171" t="s">
        <v>320</v>
      </c>
      <c r="AE16" s="171" t="s">
        <v>321</v>
      </c>
      <c r="AF16" s="171" t="s">
        <v>322</v>
      </c>
      <c r="AG16" s="171" t="s">
        <v>323</v>
      </c>
      <c r="AH16" s="171" t="s">
        <v>324</v>
      </c>
      <c r="AI16" s="171" t="s">
        <v>325</v>
      </c>
      <c r="AJ16" s="171" t="s">
        <v>326</v>
      </c>
      <c r="AK16" s="171" t="s">
        <v>327</v>
      </c>
      <c r="AL16" s="171" t="s">
        <v>328</v>
      </c>
      <c r="AM16" s="171" t="s">
        <v>329</v>
      </c>
      <c r="AN16" s="171" t="s">
        <v>330</v>
      </c>
      <c r="AO16" s="171" t="s">
        <v>331</v>
      </c>
      <c r="AP16" s="171" t="s">
        <v>332</v>
      </c>
      <c r="AQ16" s="171" t="s">
        <v>333</v>
      </c>
      <c r="AR16" s="171" t="s">
        <v>334</v>
      </c>
      <c r="AS16" s="171" t="s">
        <v>335</v>
      </c>
      <c r="AT16" s="171" t="s">
        <v>336</v>
      </c>
      <c r="AU16" s="171" t="s">
        <v>337</v>
      </c>
      <c r="AV16" s="171" t="s">
        <v>338</v>
      </c>
      <c r="AW16" s="171" t="s">
        <v>339</v>
      </c>
      <c r="AX16" s="171" t="s">
        <v>340</v>
      </c>
      <c r="AY16" s="171" t="s">
        <v>341</v>
      </c>
      <c r="AZ16" s="171" t="s">
        <v>342</v>
      </c>
      <c r="BA16" s="171" t="s">
        <v>343</v>
      </c>
      <c r="BB16" s="171" t="s">
        <v>344</v>
      </c>
      <c r="BC16" s="171" t="s">
        <v>345</v>
      </c>
      <c r="BD16" s="171" t="s">
        <v>346</v>
      </c>
      <c r="BE16" s="171" t="s">
        <v>347</v>
      </c>
      <c r="BF16" s="171" t="s">
        <v>348</v>
      </c>
      <c r="BG16" s="171" t="s">
        <v>349</v>
      </c>
      <c r="BH16" s="171" t="s">
        <v>350</v>
      </c>
      <c r="BI16" s="171" t="s">
        <v>351</v>
      </c>
      <c r="BJ16" s="171" t="s">
        <v>352</v>
      </c>
      <c r="BK16" s="171" t="s">
        <v>353</v>
      </c>
      <c r="BL16" s="171" t="s">
        <v>354</v>
      </c>
      <c r="BM16" s="171" t="s">
        <v>362</v>
      </c>
      <c r="BN16" s="171" t="s">
        <v>363</v>
      </c>
      <c r="BO16" s="171" t="s">
        <v>355</v>
      </c>
      <c r="BP16" s="171" t="s">
        <v>356</v>
      </c>
      <c r="BQ16" s="171" t="s">
        <v>357</v>
      </c>
      <c r="BR16" s="171" t="s">
        <v>358</v>
      </c>
      <c r="BS16" s="171" t="s">
        <v>359</v>
      </c>
      <c r="BT16" s="171" t="s">
        <v>360</v>
      </c>
      <c r="BU16" s="171" t="s">
        <v>361</v>
      </c>
      <c r="BV16" s="171" t="s">
        <v>364</v>
      </c>
      <c r="BW16" s="171" t="s">
        <v>365</v>
      </c>
      <c r="BX16" s="171" t="s">
        <v>366</v>
      </c>
      <c r="BY16" s="171" t="s">
        <v>367</v>
      </c>
      <c r="BZ16" s="171" t="s">
        <v>368</v>
      </c>
      <c r="CA16" s="171" t="s">
        <v>369</v>
      </c>
      <c r="CB16" s="171" t="s">
        <v>370</v>
      </c>
      <c r="CC16" s="171" t="s">
        <v>371</v>
      </c>
      <c r="CD16" s="171" t="s">
        <v>372</v>
      </c>
      <c r="CE16" s="171" t="s">
        <v>373</v>
      </c>
      <c r="CF16" s="171" t="s">
        <v>374</v>
      </c>
      <c r="CG16" s="171" t="s">
        <v>375</v>
      </c>
      <c r="CH16" s="171" t="s">
        <v>376</v>
      </c>
      <c r="CI16" s="171" t="s">
        <v>377</v>
      </c>
      <c r="CJ16" s="171" t="s">
        <v>378</v>
      </c>
      <c r="CK16" s="171" t="s">
        <v>379</v>
      </c>
      <c r="CL16" s="171" t="s">
        <v>380</v>
      </c>
      <c r="CM16" s="171" t="s">
        <v>381</v>
      </c>
      <c r="CN16" s="171" t="s">
        <v>382</v>
      </c>
      <c r="CO16" s="171" t="s">
        <v>383</v>
      </c>
      <c r="CP16" s="171" t="s">
        <v>384</v>
      </c>
      <c r="CQ16" s="171" t="s">
        <v>385</v>
      </c>
      <c r="CR16" s="171" t="s">
        <v>386</v>
      </c>
      <c r="CS16" s="171" t="s">
        <v>387</v>
      </c>
      <c r="CT16" s="171" t="s">
        <v>388</v>
      </c>
      <c r="CU16" s="171" t="s">
        <v>389</v>
      </c>
      <c r="CV16" s="171" t="s">
        <v>390</v>
      </c>
      <c r="CW16" s="171" t="s">
        <v>391</v>
      </c>
      <c r="CX16" s="171" t="s">
        <v>392</v>
      </c>
      <c r="CY16" s="171" t="s">
        <v>393</v>
      </c>
      <c r="CZ16" s="171" t="s">
        <v>394</v>
      </c>
      <c r="DA16" s="171" t="s">
        <v>633</v>
      </c>
      <c r="DB16" s="173" t="s">
        <v>634</v>
      </c>
    </row>
    <row r="17" spans="1:106" ht="15.75" thickBot="1">
      <c r="A17" s="125" t="str">
        <f>IF(NameOfLegalEntity = 0, "", NameOfLegalEntity)</f>
        <v/>
      </c>
      <c r="B17" s="120" t="str">
        <f>IF(ReviewLevel = 0, "", ReviewLevel)</f>
        <v/>
      </c>
      <c r="C17" s="120" t="str">
        <f>IF(ReviewType = 0, "", ReviewType)</f>
        <v/>
      </c>
      <c r="D17" s="120" t="str">
        <f>IF(CompletedByLastName = 0, "", CompletedByLastName)</f>
        <v/>
      </c>
      <c r="E17" s="120" t="str">
        <f>IF(CompletedByFirstName = 0, "", CompletedByFirstName)</f>
        <v/>
      </c>
      <c r="F17" s="177">
        <f>IF(DateOfEntrance=DATE(1900,1,0), DATE(1900,1,1), DateOfEntrance)</f>
        <v>1</v>
      </c>
      <c r="G17" s="177">
        <f>IF(DateOfExit=DATE(1900,1,0), DATE(1900,1,1), DateOfExit)</f>
        <v>1</v>
      </c>
      <c r="H17" s="223">
        <f>IF(MonitoringPeriodBeginDate=DATE(1900,1,0), DATE(1900,1,1), MonitoringPeriodBeginDate)</f>
        <v>1</v>
      </c>
      <c r="I17" s="223">
        <f>IF(MonitoringPeriodEndDate=DATE(1900,1,0), DATE(1900,1,1), MonitoringPeriodEndDate)</f>
        <v>1</v>
      </c>
      <c r="J17" s="182" t="str">
        <f>IF(CdsCbaContractNumber = 0, "", CdsCbaContractNumber)</f>
        <v/>
      </c>
      <c r="K17" s="235" t="s">
        <v>626</v>
      </c>
      <c r="L17" s="182" t="str">
        <f>IF(CdsPhcFcCasContractNumber = 0, "", CdsPhcFcCasContractNumber)</f>
        <v/>
      </c>
      <c r="M17" s="182" t="str">
        <f>IF(CdsMdcpContractNumber = 0, "", CdsMdcpContractNumber)</f>
        <v/>
      </c>
      <c r="N17" s="182"/>
      <c r="O17" s="182" t="str">
        <f>IF(CdsDbmdContractNumber = 0, "", CdsDbmdContractNumber)</f>
        <v/>
      </c>
      <c r="P17" s="182" t="str">
        <f>IF(CdsClassContractNumber = 0, "", CdsClassContractNumber)</f>
        <v/>
      </c>
      <c r="Q17" s="182" t="e">
        <f>IF(CdsHcdContractNumber09 = 0, "", CdsHcdContractNumber09)</f>
        <v>#NAME?</v>
      </c>
      <c r="R17" s="182" t="e">
        <f>IF(CdsTxHmlContractNumber = 0, "", CdsTxHmlContractNumber)</f>
        <v>#NAME?</v>
      </c>
      <c r="S17" s="235" t="s">
        <v>626</v>
      </c>
      <c r="T17" s="182"/>
      <c r="U17" s="182" t="str">
        <f>IF(Standard_I_2 = 0, "", Standard_I_2)</f>
        <v/>
      </c>
      <c r="V17" s="182" t="str">
        <f>IF(Standard_I_3 = 0, "", Standard_I_3)</f>
        <v/>
      </c>
      <c r="W17" s="182"/>
      <c r="X17" s="182"/>
      <c r="Y17" s="182" t="e">
        <f>IF(Standard_I_5a = 0, "", Standard_I_5a)</f>
        <v>#NAME?</v>
      </c>
      <c r="Z17" s="182" t="e">
        <f>IF(Standard_I_5b = 0, "", Standard_I_5b)</f>
        <v>#NAME?</v>
      </c>
      <c r="AA17" s="182" t="e">
        <f>IF(Standard_I_5c = 0, "", Standard_I_5c)</f>
        <v>#NAME?</v>
      </c>
      <c r="AB17" s="182" t="e">
        <f>IF(Standard_I_5d = 0, "", Standard_I_5d)</f>
        <v>#NAME?</v>
      </c>
      <c r="AC17" s="182" t="e">
        <f>IF(Standard_I_5e = 0, "", Standard_I_5e)</f>
        <v>#NAME?</v>
      </c>
      <c r="AD17" s="182" t="e">
        <f>IF(Standard_I_5f = 0, "", Standard_I_5f)</f>
        <v>#NAME?</v>
      </c>
      <c r="AE17" s="182" t="e">
        <f>IF(Standard_I_5 = 0, "", Standard_I_5)</f>
        <v>#NAME?</v>
      </c>
      <c r="AF17" s="182" t="e">
        <f>IF(Standard_I_6 = 0, "", Standard_I_6)</f>
        <v>#NAME?</v>
      </c>
      <c r="AG17" s="182" t="e">
        <f>IF(Standard_I_6_Comments = 0, "", Standard_I_6_Comments)</f>
        <v>#NAME?</v>
      </c>
      <c r="AH17" s="185">
        <f>Standard_I_Total_Yes</f>
        <v>0</v>
      </c>
      <c r="AI17" s="185">
        <f>Standard_I_Total_No</f>
        <v>0</v>
      </c>
      <c r="AJ17" s="182"/>
      <c r="AK17" s="185"/>
      <c r="AL17" s="185"/>
      <c r="AM17" s="182" t="str">
        <f>IF(Standard_II_2_Comments = 0, "", Standard_II_2_Comments)</f>
        <v/>
      </c>
      <c r="AN17" s="185">
        <f ca="1">Standard_II_2_Number_Yes</f>
        <v>0</v>
      </c>
      <c r="AO17" s="185">
        <f ca="1">Standard_II_2_Number_No</f>
        <v>0</v>
      </c>
      <c r="AP17" s="182" t="str">
        <f>IF(Standard_II_3_Comments = 0, "", Standard_II_3_Comments)</f>
        <v/>
      </c>
      <c r="AQ17" s="185">
        <f ca="1">Standard_II_3_Number_Yes</f>
        <v>0</v>
      </c>
      <c r="AR17" s="185">
        <f ca="1">Standard_II_3_Number_No</f>
        <v>0</v>
      </c>
      <c r="AS17" s="182" t="str">
        <f>IF(Standard_II_4_Comments = 0, "", Standard_II_4_Comments)</f>
        <v/>
      </c>
      <c r="AT17" s="185">
        <f ca="1">Standard_II_4_Number_Yes</f>
        <v>0</v>
      </c>
      <c r="AU17" s="185">
        <f ca="1">Standard_II_4_Number_No</f>
        <v>0</v>
      </c>
      <c r="AV17" s="185">
        <f ca="1">Standard_II_Total_Yes</f>
        <v>0</v>
      </c>
      <c r="AW17" s="185">
        <f ca="1">Standard_II_Total_No</f>
        <v>0</v>
      </c>
      <c r="AX17" s="182" t="str">
        <f>IF(Standard_III_1_Comments = 0, "", Standard_III_1_Comments)</f>
        <v/>
      </c>
      <c r="AY17" s="185">
        <f ca="1">Standard_III_Total_Yes</f>
        <v>0</v>
      </c>
      <c r="AZ17" s="185">
        <f ca="1">Standard_III_Total_No</f>
        <v>0</v>
      </c>
      <c r="BA17" s="182" t="str">
        <f>IF(Standard_IV_1_Comments = 0, "", Standard_IV_1_Comments)</f>
        <v/>
      </c>
      <c r="BB17" s="185">
        <f ca="1">Standard_IV_1_Number_Yes</f>
        <v>0</v>
      </c>
      <c r="BC17" s="185">
        <f ca="1">Standard_IV_1_Number_No</f>
        <v>0</v>
      </c>
      <c r="BD17" s="182"/>
      <c r="BE17" s="185"/>
      <c r="BF17" s="185"/>
      <c r="BG17" s="182" t="str">
        <f>IF(Standard_IV_3_Comments = 0, "", Standard_IV_3_Comments)</f>
        <v/>
      </c>
      <c r="BH17" s="185">
        <f ca="1">Standard_IV_3_Number_Yes</f>
        <v>0</v>
      </c>
      <c r="BI17" s="185">
        <f ca="1">Standard_IV_3_Number_No</f>
        <v>0</v>
      </c>
      <c r="BJ17" s="185">
        <f ca="1">Standard_IV_Total_Yes</f>
        <v>0</v>
      </c>
      <c r="BK17" s="185">
        <f ca="1">Standard_IV_Total_No</f>
        <v>0</v>
      </c>
      <c r="BL17" s="182" t="e">
        <f>IF(Standard_V_I_Comments = 0, "", Standard_V_I_Comments)</f>
        <v>#NAME?</v>
      </c>
      <c r="BM17" s="185" t="e">
        <f>Standard_V_Total_Yes</f>
        <v>#NAME?</v>
      </c>
      <c r="BN17" s="185" t="e">
        <f>Standard_V_Total_No</f>
        <v>#NAME?</v>
      </c>
      <c r="BO17" s="182" t="str">
        <f>IF(Standard_VI_1_Comments = 0, "", Standard_VI_1_Comments)</f>
        <v/>
      </c>
      <c r="BP17" s="185">
        <f ca="1">Standard_VI_1_Number_Yes</f>
        <v>0</v>
      </c>
      <c r="BQ17" s="185">
        <f ca="1">Standard_VI_1_Number_No</f>
        <v>0</v>
      </c>
      <c r="BR17" s="182" t="str">
        <f>IF(Standard_VI_2_Comments = 0, "", Standard_VI_2_Comments)</f>
        <v/>
      </c>
      <c r="BS17" s="185">
        <f ca="1">Standard_VI_2_Number_Yes</f>
        <v>0</v>
      </c>
      <c r="BT17" s="185">
        <f ca="1">Standard_VI_2_Number_No</f>
        <v>0</v>
      </c>
      <c r="BU17" s="185">
        <f ca="1">Standard_VI_Total_Yes</f>
        <v>0</v>
      </c>
      <c r="BV17" s="185">
        <f ca="1">Standard_VI_Total_No</f>
        <v>0</v>
      </c>
      <c r="BW17" s="182" t="str">
        <f>IF(Standard_VII_1_Comments = 0, "", Standard_VII_1_Comments)</f>
        <v/>
      </c>
      <c r="BX17" s="185">
        <f ca="1">Standard_VII_1_Number_Yes</f>
        <v>0</v>
      </c>
      <c r="BY17" s="185">
        <f ca="1">Standard_VII_1_Number_No</f>
        <v>0</v>
      </c>
      <c r="BZ17" s="182" t="str">
        <f>IF(Standard_VII_2_Comments = 0, "", Standard_VII_2_Comments)</f>
        <v/>
      </c>
      <c r="CA17" s="185" t="e">
        <f>Standard_VII_2_Number_Yes</f>
        <v>#NAME?</v>
      </c>
      <c r="CB17" s="185" t="e">
        <f>Standard_VII_2_Number_No</f>
        <v>#NAME?</v>
      </c>
      <c r="CC17" s="185">
        <f ca="1">Standard_VII_Total_Yes</f>
        <v>0</v>
      </c>
      <c r="CD17" s="185">
        <f ca="1">Standard_VII_Total_No</f>
        <v>0</v>
      </c>
      <c r="CE17" s="182" t="str">
        <f>IF(Standard_VIII_1_Comments = 0, "", Standard_VIII_1_Comments)</f>
        <v/>
      </c>
      <c r="CF17" s="185">
        <f ca="1">Standard_VIII_1_Number_Yes</f>
        <v>0</v>
      </c>
      <c r="CG17" s="185">
        <f ca="1">Standard_VIII_1_Number_No</f>
        <v>0</v>
      </c>
      <c r="CH17" s="182" t="str">
        <f>IF(Standard_VIII_2_Comments = 0, "", Standard_VIII_2_Comments)</f>
        <v/>
      </c>
      <c r="CI17" s="185">
        <f ca="1">Standard_VIII_2_Number_Yes</f>
        <v>0</v>
      </c>
      <c r="CJ17" s="185">
        <f ca="1">Standard_VIII_2_Number_No</f>
        <v>0</v>
      </c>
      <c r="CK17" s="182" t="str">
        <f>IF(Standard_VIII_3_Comments = 0, "", Standard_VIII_3_Comments)</f>
        <v/>
      </c>
      <c r="CL17" s="185">
        <f ca="1">Standard_VIII_3_Number_Yes</f>
        <v>0</v>
      </c>
      <c r="CM17" s="185">
        <f ca="1">Standard_VIII_3_Number_No</f>
        <v>0</v>
      </c>
      <c r="CN17" s="185">
        <f ca="1">Standard_VIII_Total_Yes</f>
        <v>0</v>
      </c>
      <c r="CO17" s="185">
        <f ca="1">Standard_VIII_Total_No</f>
        <v>0</v>
      </c>
      <c r="CP17" s="182" t="str">
        <f>IF(Standard_IX_1_Comments = 0, "", Standard_IX_1_Comments)</f>
        <v/>
      </c>
      <c r="CQ17" s="185">
        <f ca="1">Standard_IX_1_Number_Yes</f>
        <v>0</v>
      </c>
      <c r="CR17" s="185">
        <f ca="1">Standard_IX_1_Number_No</f>
        <v>0</v>
      </c>
      <c r="CS17" s="182" t="e">
        <f>IF(Standard_IX_2_Comments = 0, "", Standard_IX_2_Comments)</f>
        <v>#NAME?</v>
      </c>
      <c r="CT17" s="185" t="e">
        <f>Standard_IX_2_Number_Yes</f>
        <v>#NAME?</v>
      </c>
      <c r="CU17" s="185" t="e">
        <f>Standard_IX_2_Number_No</f>
        <v>#NAME?</v>
      </c>
      <c r="CV17" s="182" t="e">
        <f>IF(Standard_IX_3_Comments = 0, "", Standard_IX_3_Comments)</f>
        <v>#NAME?</v>
      </c>
      <c r="CW17" s="185" t="e">
        <f>Standard_IX_3_Number_Yes</f>
        <v>#NAME?</v>
      </c>
      <c r="CX17" s="185" t="e">
        <f>Standard_IX_3_Number_No</f>
        <v>#NAME?</v>
      </c>
      <c r="CY17" s="185" t="e">
        <f>Standard_IX_Total_Yes</f>
        <v>#NAME?</v>
      </c>
      <c r="CZ17" s="185" t="e">
        <f>Standard_IX_Total_No</f>
        <v>#NAME?</v>
      </c>
      <c r="DA17" s="131" t="str">
        <f>IF(Standard_I_2b=0,"",Standard_I_2b)</f>
        <v/>
      </c>
      <c r="DB17" s="112">
        <f>IF(DateOfExitRevised=DATE(1900,1,0),DATE(1900,1,1),DateOfExitRevised)</f>
        <v>1</v>
      </c>
    </row>
    <row r="19" spans="1:106" ht="15.75" thickBot="1">
      <c r="A19" s="146" t="s">
        <v>405</v>
      </c>
      <c r="B19" s="146"/>
      <c r="C19" s="146"/>
      <c r="D19" s="146"/>
      <c r="E19" s="146"/>
      <c r="F19" s="146"/>
      <c r="G19" s="146"/>
      <c r="H19" s="146"/>
      <c r="I19" s="146"/>
      <c r="J19" s="146"/>
      <c r="K19" s="146"/>
      <c r="L19" s="146"/>
      <c r="M19" s="146"/>
      <c r="N19" s="146"/>
      <c r="O19" s="146"/>
      <c r="P19" s="146"/>
      <c r="Q19" s="146"/>
      <c r="R19" s="146"/>
      <c r="S19" s="146"/>
      <c r="T19" s="146"/>
      <c r="U19" s="146"/>
      <c r="V19" s="146"/>
      <c r="W19" s="146"/>
      <c r="X19" s="146"/>
      <c r="Y19" s="146"/>
      <c r="Z19" s="146"/>
    </row>
    <row r="20" spans="1:106" s="107" customFormat="1" ht="45">
      <c r="A20" s="148" t="s">
        <v>406</v>
      </c>
      <c r="B20" s="149" t="s">
        <v>407</v>
      </c>
      <c r="C20" s="149" t="s">
        <v>408</v>
      </c>
      <c r="D20" s="149" t="s">
        <v>409</v>
      </c>
      <c r="E20" s="149" t="s">
        <v>410</v>
      </c>
      <c r="F20" s="149" t="s">
        <v>411</v>
      </c>
      <c r="G20" s="149" t="s">
        <v>412</v>
      </c>
      <c r="H20" s="149" t="s">
        <v>413</v>
      </c>
      <c r="I20" s="149" t="s">
        <v>414</v>
      </c>
      <c r="J20" s="149" t="s">
        <v>415</v>
      </c>
      <c r="K20" s="149" t="s">
        <v>416</v>
      </c>
      <c r="L20" s="149" t="s">
        <v>417</v>
      </c>
      <c r="M20" s="149" t="s">
        <v>418</v>
      </c>
      <c r="N20" s="149" t="s">
        <v>419</v>
      </c>
      <c r="O20" s="149" t="s">
        <v>420</v>
      </c>
      <c r="P20" s="149" t="s">
        <v>421</v>
      </c>
      <c r="Q20" s="149" t="s">
        <v>422</v>
      </c>
      <c r="R20" s="149" t="s">
        <v>423</v>
      </c>
      <c r="S20" s="149" t="s">
        <v>424</v>
      </c>
      <c r="T20" s="149" t="s">
        <v>425</v>
      </c>
      <c r="U20" s="149" t="s">
        <v>426</v>
      </c>
      <c r="V20" s="149" t="s">
        <v>427</v>
      </c>
      <c r="W20" s="149" t="s">
        <v>428</v>
      </c>
      <c r="X20" s="149" t="s">
        <v>429</v>
      </c>
      <c r="Y20" s="149" t="s">
        <v>430</v>
      </c>
      <c r="Z20" s="114" t="s">
        <v>431</v>
      </c>
    </row>
    <row r="21" spans="1:106" ht="15.75" thickBot="1">
      <c r="A21" s="134">
        <f>IF('Compliance Summary (PRINT)'!Standard_I_Score = "", MINVALDBL, 'Compliance Summary (PRINT)'!Standard_I_Score)</f>
        <v>-99999.99</v>
      </c>
      <c r="B21" s="135">
        <f ca="1">IF('Compliance Summary (PRINT)'!Standard_II_Score = "", MINVALDBL, 'Compliance Summary (PRINT)'!Standard_II_Score)</f>
        <v>-99999.99</v>
      </c>
      <c r="C21" s="135">
        <f ca="1">IF('Compliance Summary (PRINT)'!Standard_III_Score = "", MINVALDBL, 'Compliance Summary (PRINT)'!Standard_III_Score)</f>
        <v>-99999.99</v>
      </c>
      <c r="D21" s="135">
        <f ca="1">IF('Compliance Summary (PRINT)'!Standard_IV_Score = "", MINVALDBL, 'Compliance Summary (PRINT)'!Standard_IV_Score)</f>
        <v>-99999.99</v>
      </c>
      <c r="E21" s="135" t="e">
        <f>IF('Compliance Summary (PRINT)'!Standard_V_Score = "", MINVALDBL, 'Compliance Summary (PRINT)'!Standard_V_Score)</f>
        <v>#REF!</v>
      </c>
      <c r="F21" s="135">
        <f ca="1">IF('Compliance Summary (PRINT)'!Standard_VI_Score = "", MINVALDBL, 'Compliance Summary (PRINT)'!Standard_VI_Score)</f>
        <v>-99999.99</v>
      </c>
      <c r="G21" s="135">
        <f ca="1">IF('Compliance Summary (PRINT)'!Standard_VII_Score = "", MINVALDBL, 'Compliance Summary (PRINT)'!Standard_VII_Score)</f>
        <v>-99999.99</v>
      </c>
      <c r="H21" s="135">
        <f ca="1">IF('Compliance Summary (PRINT)'!Standard_VIII_Score = "", MINVALDBL, 'Compliance Summary (PRINT)'!Standard_VIII_Score)</f>
        <v>-99999.99</v>
      </c>
      <c r="I21" s="135" t="e">
        <f>IF('Compliance Summary (PRINT)'!Standard_IX_Score = "", MINVALDBL, 'Compliance Summary (PRINT)'!Standard_IX_Score)</f>
        <v>#NAME?</v>
      </c>
      <c r="J21" s="151">
        <f ca="1">'Compliance Summary (PRINT)'!Overall_Total_Yes</f>
        <v>0</v>
      </c>
      <c r="K21" s="151">
        <f ca="1">'Compliance Summary (PRINT)'!Overall_Total_No</f>
        <v>0</v>
      </c>
      <c r="L21" s="151">
        <f ca="1">'Compliance Summary (PRINT)'!Overall_Total</f>
        <v>0</v>
      </c>
      <c r="M21" s="135">
        <f>IF('Compliance Summary (PRINT)'!Overall_Score = "", MINVALDBL, 'Compliance Summary (PRINT)'!Overall_Score)</f>
        <v>-99999.99</v>
      </c>
      <c r="N21" s="127">
        <f>'Demand for Payment (PRINT)'!TotalDueCdsCba</f>
        <v>0</v>
      </c>
      <c r="O21" s="127">
        <v>0</v>
      </c>
      <c r="P21" s="127">
        <f>'Demand for Payment (PRINT)'!TotalDueCdsPhc</f>
        <v>0</v>
      </c>
      <c r="Q21" s="127">
        <f>'Demand for Payment (PRINT)'!TotalDueCdsMdcp</f>
        <v>0</v>
      </c>
      <c r="R21" s="127">
        <f>'Demand for Payment (PRINT)'!TotalDueCdsCmpas</f>
        <v>0</v>
      </c>
      <c r="S21" s="127">
        <f>'Demand for Payment (PRINT)'!TotalDueCdsDbmd</f>
        <v>0</v>
      </c>
      <c r="T21" s="127">
        <f>'Demand for Payment (PRINT)'!TotalDueCdsClass</f>
        <v>0</v>
      </c>
      <c r="U21" s="127">
        <f>'Demand for Payment (PRINT)'!TotalDueCdsHcs</f>
        <v>0</v>
      </c>
      <c r="V21" s="127">
        <f>'Demand for Payment (PRINT)'!TotalDueCdsTxhml</f>
        <v>0</v>
      </c>
      <c r="W21" s="127">
        <v>0</v>
      </c>
      <c r="X21" s="127">
        <f>'Amt Due Emp Employer (PRINT)'!AmtDueEmployees</f>
        <v>0</v>
      </c>
      <c r="Y21" s="127">
        <f>'Amt Due Emp Employer (PRINT)'!AmtDueEmployer</f>
        <v>0</v>
      </c>
      <c r="Z21" s="119">
        <f>'Demand for Payment (PRINT)'!TotalDueDads</f>
        <v>0</v>
      </c>
    </row>
    <row r="22" spans="1:106" ht="15.75" thickBot="1"/>
    <row r="23" spans="1:106" s="146" customFormat="1">
      <c r="A23" s="116" t="s">
        <v>435</v>
      </c>
      <c r="B23" s="121"/>
      <c r="C23" s="121"/>
      <c r="D23" s="121"/>
      <c r="E23" s="121"/>
      <c r="F23" s="121"/>
      <c r="G23" s="138"/>
    </row>
    <row r="24" spans="1:106" s="146" customFormat="1">
      <c r="A24" s="128"/>
      <c r="B24" s="106"/>
      <c r="C24" s="106"/>
      <c r="D24" s="106"/>
      <c r="E24" s="106"/>
      <c r="F24" s="106"/>
      <c r="G24" s="129"/>
    </row>
    <row r="25" spans="1:106" s="146" customFormat="1" ht="15.75" thickBot="1">
      <c r="A25" s="128" t="s">
        <v>436</v>
      </c>
      <c r="B25" s="106"/>
      <c r="C25" s="106"/>
      <c r="D25" s="106"/>
      <c r="E25" s="106"/>
      <c r="F25" s="106"/>
      <c r="G25" s="129"/>
    </row>
    <row r="26" spans="1:106" s="107" customFormat="1" ht="30">
      <c r="A26" s="148" t="s">
        <v>433</v>
      </c>
      <c r="B26" s="149" t="s">
        <v>437</v>
      </c>
      <c r="C26" s="149" t="s">
        <v>438</v>
      </c>
      <c r="D26" s="149" t="s">
        <v>439</v>
      </c>
      <c r="E26" s="149" t="s">
        <v>241</v>
      </c>
      <c r="F26" s="114" t="s">
        <v>440</v>
      </c>
      <c r="G26" s="139"/>
    </row>
    <row r="27" spans="1:106" s="146" customFormat="1">
      <c r="A27" s="153" t="str">
        <f ca="1">IF(OFFSET('Amt Due Emp Employer (PRINT)'!AmtDueEmployeesDetails, 0, 0, 1, 1) = 0, "", OFFSET('Amt Due Emp Employer (PRINT)'!AmtDueEmployeesDetails, 0, 0, 1, 1))</f>
        <v/>
      </c>
      <c r="B27" s="152" t="str">
        <f ca="1">IF(OFFSET('Amt Due Emp Employer (PRINT)'!AmtDueEmployeesDetails, 0, 2, 1, 1) = 0, "", OFFSET('Amt Due Emp Employer (PRINT)'!AmtDueEmployeesDetails, 0, 2, 1, 1))</f>
        <v/>
      </c>
      <c r="C27" s="113">
        <f ca="1">IF(OFFSET('Amt Due Emp Employer (PRINT)'!AmtDueEmployeesDetails, 0, 4, 1, 1)=DATE(1900,1,0), DATE(1900,1,1), OFFSET('Amt Due Emp Employer (PRINT)'!AmtDueEmployeesDetails, 0, 4, 1, 1))</f>
        <v>1</v>
      </c>
      <c r="D27" s="113">
        <f ca="1">IF(OFFSET('Amt Due Emp Employer (PRINT)'!AmtDueEmployeesDetails, 0, 5, 1, 1)=DATE(1900,1,0), DATE(1900,1,1), OFFSET('Amt Due Emp Employer (PRINT)'!AmtDueEmployeesDetails, 0, 5, 1, 1))</f>
        <v>1</v>
      </c>
      <c r="E27" s="152" t="str">
        <f ca="1">IF(OFFSET('Amt Due Emp Employer (PRINT)'!AmtDueEmployeesDetails, 0, 6, 1, 1) = 0, "", OFFSET('Amt Due Emp Employer (PRINT)'!AmtDueEmployeesDetails, 0, 6, 1, 1))</f>
        <v/>
      </c>
      <c r="F27" s="118">
        <f ca="1">OFFSET('Amt Due Emp Employer (PRINT)'!AmtDueEmployeesDetails, 0, 10, 1, 1)</f>
        <v>0</v>
      </c>
      <c r="G27" s="129"/>
    </row>
    <row r="28" spans="1:106" s="146" customFormat="1">
      <c r="A28" s="153" t="str">
        <f ca="1">IF(OFFSET('Amt Due Emp Employer (PRINT)'!AmtDueEmployeesDetails, 1, 0, 1, 1) = 0, "", OFFSET('Amt Due Emp Employer (PRINT)'!AmtDueEmployeesDetails, 1, 0, 1, 1))</f>
        <v/>
      </c>
      <c r="B28" s="152" t="str">
        <f ca="1">IF(OFFSET('Amt Due Emp Employer (PRINT)'!AmtDueEmployeesDetails, 1, 2, 1, 1) = 0, "", OFFSET('Amt Due Emp Employer (PRINT)'!AmtDueEmployeesDetails, 1, 2, 1, 1))</f>
        <v/>
      </c>
      <c r="C28" s="113">
        <f ca="1">IF(OFFSET('Amt Due Emp Employer (PRINT)'!AmtDueEmployeesDetails, 1, 4, 1, 1)=DATE(1900,1,0), DATE(1900,1,1), OFFSET('Amt Due Emp Employer (PRINT)'!AmtDueEmployeesDetails, 1, 4, 1, 1))</f>
        <v>1</v>
      </c>
      <c r="D28" s="113">
        <f ca="1">IF(OFFSET('Amt Due Emp Employer (PRINT)'!AmtDueEmployeesDetails, 1, 5, 1, 1)=DATE(1900,1,0), DATE(1900,1,1), OFFSET('Amt Due Emp Employer (PRINT)'!AmtDueEmployeesDetails, 1, 5, 1, 1))</f>
        <v>1</v>
      </c>
      <c r="E28" s="152" t="str">
        <f ca="1">IF(OFFSET('Amt Due Emp Employer (PRINT)'!AmtDueEmployeesDetails, 1, 6, 1, 1) = 0, "", OFFSET('Amt Due Emp Employer (PRINT)'!AmtDueEmployeesDetails, 1, 6, 1, 1))</f>
        <v/>
      </c>
      <c r="F28" s="118">
        <f ca="1">OFFSET('Amt Due Emp Employer (PRINT)'!AmtDueEmployeesDetails, 1, 10, 1, 1)</f>
        <v>0</v>
      </c>
      <c r="G28" s="129"/>
    </row>
    <row r="29" spans="1:106" s="146" customFormat="1">
      <c r="A29" s="153" t="str">
        <f ca="1">IF(OFFSET('Amt Due Emp Employer (PRINT)'!AmtDueEmployeesDetails, 2, 0, 1, 1) = 0, "", OFFSET('Amt Due Emp Employer (PRINT)'!AmtDueEmployeesDetails, 2, 0, 1, 1))</f>
        <v/>
      </c>
      <c r="B29" s="152" t="str">
        <f ca="1">IF(OFFSET('Amt Due Emp Employer (PRINT)'!AmtDueEmployeesDetails, 2, 2, 1, 1) = 0, "", OFFSET('Amt Due Emp Employer (PRINT)'!AmtDueEmployeesDetails, 2, 2, 1, 1))</f>
        <v/>
      </c>
      <c r="C29" s="113">
        <f ca="1">IF(OFFSET('Amt Due Emp Employer (PRINT)'!AmtDueEmployeesDetails, 2, 4, 1, 1)=DATE(1900,1,0), DATE(1900,1,1), OFFSET('Amt Due Emp Employer (PRINT)'!AmtDueEmployeesDetails, 2, 4, 1, 1))</f>
        <v>1</v>
      </c>
      <c r="D29" s="113">
        <f ca="1">IF(OFFSET('Amt Due Emp Employer (PRINT)'!AmtDueEmployeesDetails, 2, 5, 1, 1)=DATE(1900,1,0), DATE(1900,1,1), OFFSET('Amt Due Emp Employer (PRINT)'!AmtDueEmployeesDetails, 2, 5, 1, 1))</f>
        <v>1</v>
      </c>
      <c r="E29" s="152" t="str">
        <f ca="1">IF(OFFSET('Amt Due Emp Employer (PRINT)'!AmtDueEmployeesDetails, 2, 6, 1, 1) = 0, "", OFFSET('Amt Due Emp Employer (PRINT)'!AmtDueEmployeesDetails, 2, 6, 1, 1))</f>
        <v/>
      </c>
      <c r="F29" s="118">
        <f ca="1">OFFSET('Amt Due Emp Employer (PRINT)'!AmtDueEmployeesDetails, 2, 10, 1, 1)</f>
        <v>0</v>
      </c>
      <c r="G29" s="129"/>
    </row>
    <row r="30" spans="1:106" s="146" customFormat="1">
      <c r="A30" s="153" t="str">
        <f ca="1">IF(OFFSET('Amt Due Emp Employer (PRINT)'!AmtDueEmployeesDetails, 3, 0, 1, 1) = 0, "", OFFSET('Amt Due Emp Employer (PRINT)'!AmtDueEmployeesDetails, 3, 0, 1, 1))</f>
        <v/>
      </c>
      <c r="B30" s="152" t="str">
        <f ca="1">IF(OFFSET('Amt Due Emp Employer (PRINT)'!AmtDueEmployeesDetails, 3, 2, 1, 1) = 0, "", OFFSET('Amt Due Emp Employer (PRINT)'!AmtDueEmployeesDetails, 3, 2, 1, 1))</f>
        <v/>
      </c>
      <c r="C30" s="113">
        <f ca="1">IF(OFFSET('Amt Due Emp Employer (PRINT)'!AmtDueEmployeesDetails, 3, 4, 1, 1)=DATE(1900,1,0), DATE(1900,1,1), OFFSET('Amt Due Emp Employer (PRINT)'!AmtDueEmployeesDetails, 3, 4, 1, 1))</f>
        <v>1</v>
      </c>
      <c r="D30" s="113">
        <f ca="1">IF(OFFSET('Amt Due Emp Employer (PRINT)'!AmtDueEmployeesDetails, 3, 5, 1, 1)=DATE(1900,1,0), DATE(1900,1,1), OFFSET('Amt Due Emp Employer (PRINT)'!AmtDueEmployeesDetails, 3, 5, 1, 1))</f>
        <v>1</v>
      </c>
      <c r="E30" s="152" t="str">
        <f ca="1">IF(OFFSET('Amt Due Emp Employer (PRINT)'!AmtDueEmployeesDetails, 3, 6, 1, 1) = 0, "", OFFSET('Amt Due Emp Employer (PRINT)'!AmtDueEmployeesDetails, 3, 6, 1, 1))</f>
        <v/>
      </c>
      <c r="F30" s="118">
        <f ca="1">OFFSET('Amt Due Emp Employer (PRINT)'!AmtDueEmployeesDetails, 3, 10, 1, 1)</f>
        <v>0</v>
      </c>
      <c r="G30" s="129"/>
    </row>
    <row r="31" spans="1:106" s="146" customFormat="1">
      <c r="A31" s="153" t="str">
        <f ca="1">IF(OFFSET('Amt Due Emp Employer (PRINT)'!AmtDueEmployeesDetails, 4, 0, 1, 1) = 0, "", OFFSET('Amt Due Emp Employer (PRINT)'!AmtDueEmployeesDetails, 4, 0, 1, 1))</f>
        <v/>
      </c>
      <c r="B31" s="152" t="str">
        <f ca="1">IF(OFFSET('Amt Due Emp Employer (PRINT)'!AmtDueEmployeesDetails, 4, 2, 1, 1) = 0, "", OFFSET('Amt Due Emp Employer (PRINT)'!AmtDueEmployeesDetails, 4, 2, 1, 1))</f>
        <v/>
      </c>
      <c r="C31" s="113">
        <f ca="1">IF(OFFSET('Amt Due Emp Employer (PRINT)'!AmtDueEmployeesDetails, 4, 4, 1, 1)=DATE(1900,1,0), DATE(1900,1,1), OFFSET('Amt Due Emp Employer (PRINT)'!AmtDueEmployeesDetails, 4, 4, 1, 1))</f>
        <v>1</v>
      </c>
      <c r="D31" s="113">
        <f ca="1">IF(OFFSET('Amt Due Emp Employer (PRINT)'!AmtDueEmployeesDetails, 4, 5, 1, 1)=DATE(1900,1,0), DATE(1900,1,1), OFFSET('Amt Due Emp Employer (PRINT)'!AmtDueEmployeesDetails, 4, 5, 1, 1))</f>
        <v>1</v>
      </c>
      <c r="E31" s="152" t="str">
        <f ca="1">IF(OFFSET('Amt Due Emp Employer (PRINT)'!AmtDueEmployeesDetails, 4, 6, 1, 1) = 0, "", OFFSET('Amt Due Emp Employer (PRINT)'!AmtDueEmployeesDetails, 4, 6, 1, 1))</f>
        <v/>
      </c>
      <c r="F31" s="118">
        <f ca="1">OFFSET('Amt Due Emp Employer (PRINT)'!AmtDueEmployeesDetails, 4, 10, 1, 1)</f>
        <v>0</v>
      </c>
      <c r="G31" s="129"/>
    </row>
    <row r="32" spans="1:106" s="146" customFormat="1">
      <c r="A32" s="153" t="str">
        <f ca="1">IF(OFFSET('Amt Due Emp Employer (PRINT)'!AmtDueEmployeesDetails, 5, 0, 1, 1) = 0, "", OFFSET('Amt Due Emp Employer (PRINT)'!AmtDueEmployeesDetails, 5, 0, 1, 1))</f>
        <v/>
      </c>
      <c r="B32" s="152" t="str">
        <f ca="1">IF(OFFSET('Amt Due Emp Employer (PRINT)'!AmtDueEmployeesDetails, 5, 2, 1, 1) = 0, "", OFFSET('Amt Due Emp Employer (PRINT)'!AmtDueEmployeesDetails, 5, 2, 1, 1))</f>
        <v/>
      </c>
      <c r="C32" s="113">
        <f ca="1">IF(OFFSET('Amt Due Emp Employer (PRINT)'!AmtDueEmployeesDetails, 5, 4, 1, 1)=DATE(1900,1,0), DATE(1900,1,1), OFFSET('Amt Due Emp Employer (PRINT)'!AmtDueEmployeesDetails, 5, 4, 1, 1))</f>
        <v>1</v>
      </c>
      <c r="D32" s="113">
        <f ca="1">IF(OFFSET('Amt Due Emp Employer (PRINT)'!AmtDueEmployeesDetails, 5, 5, 1, 1)=DATE(1900,1,0), DATE(1900,1,1), OFFSET('Amt Due Emp Employer (PRINT)'!AmtDueEmployeesDetails, 5, 5, 1, 1))</f>
        <v>1</v>
      </c>
      <c r="E32" s="152" t="str">
        <f ca="1">IF(OFFSET('Amt Due Emp Employer (PRINT)'!AmtDueEmployeesDetails, 5, 6, 1, 1) = 0, "", OFFSET('Amt Due Emp Employer (PRINT)'!AmtDueEmployeesDetails, 5, 6, 1, 1))</f>
        <v/>
      </c>
      <c r="F32" s="118">
        <f ca="1">OFFSET('Amt Due Emp Employer (PRINT)'!AmtDueEmployeesDetails, 5, 10, 1, 1)</f>
        <v>0</v>
      </c>
      <c r="G32" s="129"/>
    </row>
    <row r="33" spans="1:63" s="146" customFormat="1">
      <c r="A33" s="153" t="str">
        <f ca="1">IF(OFFSET('Amt Due Emp Employer (PRINT)'!AmtDueEmployeesDetails, 6, 0, 1, 1) = 0, "", OFFSET('Amt Due Emp Employer (PRINT)'!AmtDueEmployeesDetails, 6, 0, 1, 1))</f>
        <v/>
      </c>
      <c r="B33" s="152" t="str">
        <f ca="1">IF(OFFSET('Amt Due Emp Employer (PRINT)'!AmtDueEmployeesDetails, 6, 2, 1, 1) = 0, "", OFFSET('Amt Due Emp Employer (PRINT)'!AmtDueEmployeesDetails, 6, 2, 1, 1))</f>
        <v/>
      </c>
      <c r="C33" s="113">
        <f ca="1">IF(OFFSET('Amt Due Emp Employer (PRINT)'!AmtDueEmployeesDetails, 6, 4, 1, 1)=DATE(1900,1,0), DATE(1900,1,1), OFFSET('Amt Due Emp Employer (PRINT)'!AmtDueEmployeesDetails, 6, 4, 1, 1))</f>
        <v>1</v>
      </c>
      <c r="D33" s="113">
        <f ca="1">IF(OFFSET('Amt Due Emp Employer (PRINT)'!AmtDueEmployeesDetails, 6, 5, 1, 1)=DATE(1900,1,0), DATE(1900,1,1), OFFSET('Amt Due Emp Employer (PRINT)'!AmtDueEmployeesDetails, 6, 5, 1, 1))</f>
        <v>1</v>
      </c>
      <c r="E33" s="152" t="str">
        <f ca="1">IF(OFFSET('Amt Due Emp Employer (PRINT)'!AmtDueEmployeesDetails, 6, 6, 1, 1) = 0, "", OFFSET('Amt Due Emp Employer (PRINT)'!AmtDueEmployeesDetails, 6, 6, 1, 1))</f>
        <v/>
      </c>
      <c r="F33" s="118">
        <f ca="1">OFFSET('Amt Due Emp Employer (PRINT)'!AmtDueEmployeesDetails, 6, 10, 1, 1)</f>
        <v>0</v>
      </c>
      <c r="G33" s="129"/>
    </row>
    <row r="34" spans="1:63" s="146" customFormat="1" ht="15.75" thickBot="1">
      <c r="A34" s="126" t="str">
        <f ca="1">IF(OFFSET('Amt Due Emp Employer (PRINT)'!AmtDueEmployeesDetails, 7, 0, 1, 1) = 0, "", OFFSET('Amt Due Emp Employer (PRINT)'!AmtDueEmployeesDetails, 7, 0, 1, 1))</f>
        <v/>
      </c>
      <c r="B34" s="150" t="str">
        <f ca="1">IF(OFFSET('Amt Due Emp Employer (PRINT)'!AmtDueEmployeesDetails, 7, 2, 1, 1) = 0, "", OFFSET('Amt Due Emp Employer (PRINT)'!AmtDueEmployeesDetails, 7, 2, 1, 1))</f>
        <v/>
      </c>
      <c r="C34" s="117">
        <f ca="1">IF(OFFSET('Amt Due Emp Employer (PRINT)'!AmtDueEmployeesDetails, 7, 4, 1, 1)=DATE(1900,1,0), DATE(1900,1,1), OFFSET('Amt Due Emp Employer (PRINT)'!AmtDueEmployeesDetails, 7, 4, 1, 1))</f>
        <v>1</v>
      </c>
      <c r="D34" s="117">
        <f ca="1">IF(OFFSET('Amt Due Emp Employer (PRINT)'!AmtDueEmployeesDetails, 7, 5, 1, 1)=DATE(1900,1,0), DATE(1900,1,1), OFFSET('Amt Due Emp Employer (PRINT)'!AmtDueEmployeesDetails, 7, 5, 1, 1))</f>
        <v>1</v>
      </c>
      <c r="E34" s="150" t="str">
        <f ca="1">IF(OFFSET('Amt Due Emp Employer (PRINT)'!AmtDueEmployeesDetails, 7, 6, 1, 1) = 0, "", OFFSET('Amt Due Emp Employer (PRINT)'!AmtDueEmployeesDetails, 7, 6, 1, 1))</f>
        <v/>
      </c>
      <c r="F34" s="119">
        <f ca="1">OFFSET('Amt Due Emp Employer (PRINT)'!AmtDueEmployeesDetails, 7, 10, 1, 1)</f>
        <v>0</v>
      </c>
      <c r="G34" s="129"/>
    </row>
    <row r="35" spans="1:63" s="146" customFormat="1">
      <c r="A35" s="128"/>
      <c r="B35" s="106"/>
      <c r="C35" s="106"/>
      <c r="D35" s="106"/>
      <c r="E35" s="106"/>
      <c r="F35" s="106"/>
      <c r="G35" s="129"/>
    </row>
    <row r="36" spans="1:63" s="146" customFormat="1" ht="15.75" thickBot="1">
      <c r="A36" s="128" t="s">
        <v>441</v>
      </c>
      <c r="B36" s="106"/>
      <c r="C36" s="106"/>
      <c r="D36" s="106"/>
      <c r="E36" s="106"/>
      <c r="F36" s="106"/>
      <c r="G36" s="129"/>
    </row>
    <row r="37" spans="1:63" s="107" customFormat="1" ht="30">
      <c r="A37" s="148" t="s">
        <v>442</v>
      </c>
      <c r="B37" s="149" t="s">
        <v>438</v>
      </c>
      <c r="C37" s="149" t="s">
        <v>439</v>
      </c>
      <c r="D37" s="149" t="s">
        <v>241</v>
      </c>
      <c r="E37" s="114" t="s">
        <v>440</v>
      </c>
      <c r="F37" s="108"/>
      <c r="G37" s="139"/>
    </row>
    <row r="38" spans="1:63" s="146" customFormat="1">
      <c r="A38" s="136">
        <f ca="1">OFFSET('Amt Due Emp Employer (PRINT)'!AmtDueEmployerDetails, 0, 0, 1, 1)</f>
        <v>0</v>
      </c>
      <c r="B38" s="113">
        <f ca="1">OFFSET('Amt Due Emp Employer (PRINT)'!AmtDueEmployerDetails, 0, 1, 1, 1)</f>
        <v>0</v>
      </c>
      <c r="C38" s="113">
        <f ca="1">OFFSET('Amt Due Emp Employer (PRINT)'!AmtDueEmployerDetails, 0, 2, 1, 1)</f>
        <v>0</v>
      </c>
      <c r="D38" s="152" t="str">
        <f ca="1">IF(OFFSET('Amt Due Emp Employer (PRINT)'!AmtDueEmployerDetails, 0, 3, 1, 1) = 0, "", OFFSET('Amt Due Emp Employer (PRINT)'!AmtDueEmployerDetails, 0, 3, 1, 1))</f>
        <v/>
      </c>
      <c r="E38" s="118">
        <f ca="1">OFFSET('Amt Due Emp Employer (PRINT)'!AmtDueEmployerDetails, 0, 10, 1, 1)</f>
        <v>0</v>
      </c>
      <c r="F38" s="106"/>
      <c r="G38" s="129"/>
    </row>
    <row r="39" spans="1:63" s="146" customFormat="1">
      <c r="A39" s="136">
        <f ca="1">OFFSET('Amt Due Emp Employer (PRINT)'!AmtDueEmployerDetails, 1, 0, 1, 1)</f>
        <v>0</v>
      </c>
      <c r="B39" s="113">
        <f ca="1">OFFSET('Amt Due Emp Employer (PRINT)'!AmtDueEmployerDetails, 1, 1, 1, 1)</f>
        <v>0</v>
      </c>
      <c r="C39" s="113">
        <f ca="1">OFFSET('Amt Due Emp Employer (PRINT)'!AmtDueEmployerDetails, 1, 2, 1, 1)</f>
        <v>0</v>
      </c>
      <c r="D39" s="152" t="str">
        <f ca="1">IF(OFFSET('Amt Due Emp Employer (PRINT)'!AmtDueEmployerDetails, 1, 3, 1, 1) = 0, "", OFFSET('Amt Due Emp Employer (PRINT)'!AmtDueEmployerDetails, 1, 3, 1, 1))</f>
        <v/>
      </c>
      <c r="E39" s="118">
        <f ca="1">OFFSET('Amt Due Emp Employer (PRINT)'!AmtDueEmployerDetails, 1, 10, 1, 1)</f>
        <v>0</v>
      </c>
      <c r="F39" s="106"/>
      <c r="G39" s="129"/>
    </row>
    <row r="40" spans="1:63" s="146" customFormat="1">
      <c r="A40" s="136">
        <f ca="1">OFFSET('Amt Due Emp Employer (PRINT)'!AmtDueEmployerDetails, 2, 0, 1, 1)</f>
        <v>0</v>
      </c>
      <c r="B40" s="113">
        <f ca="1">OFFSET('Amt Due Emp Employer (PRINT)'!AmtDueEmployerDetails, 2, 1, 1, 1)</f>
        <v>0</v>
      </c>
      <c r="C40" s="113">
        <f ca="1">OFFSET('Amt Due Emp Employer (PRINT)'!AmtDueEmployerDetails, 2, 2, 1, 1)</f>
        <v>0</v>
      </c>
      <c r="D40" s="152" t="str">
        <f ca="1">IF(OFFSET('Amt Due Emp Employer (PRINT)'!AmtDueEmployerDetails, 2, 3, 1, 1) = 0, "", OFFSET('Amt Due Emp Employer (PRINT)'!AmtDueEmployerDetails, 2, 3, 1, 1))</f>
        <v/>
      </c>
      <c r="E40" s="118">
        <f ca="1">OFFSET('Amt Due Emp Employer (PRINT)'!AmtDueEmployerDetails, 2, 10, 1, 1)</f>
        <v>0</v>
      </c>
      <c r="F40" s="106"/>
      <c r="G40" s="129"/>
    </row>
    <row r="41" spans="1:63" s="146" customFormat="1">
      <c r="A41" s="136">
        <f ca="1">OFFSET('Amt Due Emp Employer (PRINT)'!AmtDueEmployerDetails, 3, 0, 1, 1)</f>
        <v>0</v>
      </c>
      <c r="B41" s="113">
        <f ca="1">OFFSET('Amt Due Emp Employer (PRINT)'!AmtDueEmployerDetails, 3, 1, 1, 1)</f>
        <v>0</v>
      </c>
      <c r="C41" s="113">
        <f ca="1">OFFSET('Amt Due Emp Employer (PRINT)'!AmtDueEmployerDetails, 3, 2, 1, 1)</f>
        <v>0</v>
      </c>
      <c r="D41" s="152" t="str">
        <f ca="1">IF(OFFSET('Amt Due Emp Employer (PRINT)'!AmtDueEmployerDetails, 3, 3, 1, 1) = 0, "", OFFSET('Amt Due Emp Employer (PRINT)'!AmtDueEmployerDetails, 3, 3, 1, 1))</f>
        <v/>
      </c>
      <c r="E41" s="118">
        <f ca="1">OFFSET('Amt Due Emp Employer (PRINT)'!AmtDueEmployerDetails, 3, 10, 1, 1)</f>
        <v>0</v>
      </c>
      <c r="F41" s="106"/>
      <c r="G41" s="129"/>
    </row>
    <row r="42" spans="1:63" s="146" customFormat="1">
      <c r="A42" s="136">
        <f ca="1">OFFSET('Amt Due Emp Employer (PRINT)'!AmtDueEmployerDetails, 4, 0, 1, 1)</f>
        <v>0</v>
      </c>
      <c r="B42" s="113">
        <f ca="1">OFFSET('Amt Due Emp Employer (PRINT)'!AmtDueEmployerDetails, 4, 1, 1, 1)</f>
        <v>0</v>
      </c>
      <c r="C42" s="113">
        <f ca="1">OFFSET('Amt Due Emp Employer (PRINT)'!AmtDueEmployerDetails, 4, 2, 1, 1)</f>
        <v>0</v>
      </c>
      <c r="D42" s="152" t="str">
        <f ca="1">IF(OFFSET('Amt Due Emp Employer (PRINT)'!AmtDueEmployerDetails, 4, 3, 1, 1) = 0, "", OFFSET('Amt Due Emp Employer (PRINT)'!AmtDueEmployerDetails, 4, 3, 1, 1))</f>
        <v/>
      </c>
      <c r="E42" s="118">
        <f ca="1">OFFSET('Amt Due Emp Employer (PRINT)'!AmtDueEmployerDetails, 4, 10, 1, 1)</f>
        <v>0</v>
      </c>
      <c r="F42" s="106"/>
      <c r="G42" s="129"/>
    </row>
    <row r="43" spans="1:63" s="146" customFormat="1">
      <c r="A43" s="136">
        <f ca="1">OFFSET('Amt Due Emp Employer (PRINT)'!AmtDueEmployerDetails, 5, 0, 1, 1)</f>
        <v>0</v>
      </c>
      <c r="B43" s="113">
        <f ca="1">OFFSET('Amt Due Emp Employer (PRINT)'!AmtDueEmployerDetails, 5, 1, 1, 1)</f>
        <v>0</v>
      </c>
      <c r="C43" s="113">
        <f ca="1">OFFSET('Amt Due Emp Employer (PRINT)'!AmtDueEmployerDetails, 5, 2, 1, 1)</f>
        <v>0</v>
      </c>
      <c r="D43" s="152" t="str">
        <f ca="1">IF(OFFSET('Amt Due Emp Employer (PRINT)'!AmtDueEmployerDetails, 5, 3, 1, 1) = 0, "", OFFSET('Amt Due Emp Employer (PRINT)'!AmtDueEmployerDetails, 5, 3, 1, 1))</f>
        <v/>
      </c>
      <c r="E43" s="118">
        <f ca="1">OFFSET('Amt Due Emp Employer (PRINT)'!AmtDueEmployerDetails, 5, 10, 1, 1)</f>
        <v>0</v>
      </c>
      <c r="F43" s="106"/>
      <c r="G43" s="129"/>
    </row>
    <row r="44" spans="1:63" s="146" customFormat="1">
      <c r="A44" s="136">
        <f ca="1">OFFSET('Amt Due Emp Employer (PRINT)'!AmtDueEmployerDetails, 6, 0, 1, 1)</f>
        <v>0</v>
      </c>
      <c r="B44" s="113">
        <f ca="1">OFFSET('Amt Due Emp Employer (PRINT)'!AmtDueEmployerDetails, 6, 1, 1, 1)</f>
        <v>0</v>
      </c>
      <c r="C44" s="113">
        <f ca="1">OFFSET('Amt Due Emp Employer (PRINT)'!AmtDueEmployerDetails, 6, 2, 1, 1)</f>
        <v>0</v>
      </c>
      <c r="D44" s="152" t="str">
        <f ca="1">IF(OFFSET('Amt Due Emp Employer (PRINT)'!AmtDueEmployerDetails, 6, 3, 1, 1) = 0, "", OFFSET('Amt Due Emp Employer (PRINT)'!AmtDueEmployerDetails, 6, 3, 1, 1))</f>
        <v/>
      </c>
      <c r="E44" s="118">
        <f ca="1">OFFSET('Amt Due Emp Employer (PRINT)'!AmtDueEmployerDetails, 6, 10, 1, 1)</f>
        <v>0</v>
      </c>
      <c r="F44" s="106"/>
      <c r="G44" s="129"/>
    </row>
    <row r="45" spans="1:63" s="146" customFormat="1" ht="15.75" thickBot="1">
      <c r="A45" s="137">
        <f ca="1">OFFSET('Amt Due Emp Employer (PRINT)'!AmtDueEmployerDetails, 7, 0, 1, 1)</f>
        <v>0</v>
      </c>
      <c r="B45" s="117">
        <f ca="1">OFFSET('Amt Due Emp Employer (PRINT)'!AmtDueEmployerDetails, 7, 1, 1, 1)</f>
        <v>0</v>
      </c>
      <c r="C45" s="117">
        <f ca="1">OFFSET('Amt Due Emp Employer (PRINT)'!AmtDueEmployerDetails, 7, 2, 1, 1)</f>
        <v>0</v>
      </c>
      <c r="D45" s="150" t="str">
        <f ca="1">IF(OFFSET('Amt Due Emp Employer (PRINT)'!AmtDueEmployerDetails, 7, 3, 1, 1) = 0, "", OFFSET('Amt Due Emp Employer (PRINT)'!AmtDueEmployerDetails, 7, 3, 1, 1))</f>
        <v/>
      </c>
      <c r="E45" s="119">
        <f ca="1">OFFSET('Amt Due Emp Employer (PRINT)'!AmtDueEmployerDetails, 7, 10, 1, 1)</f>
        <v>0</v>
      </c>
      <c r="F45" s="106"/>
      <c r="G45" s="129"/>
    </row>
    <row r="46" spans="1:63" s="146" customFormat="1" ht="15.75" thickBot="1">
      <c r="A46" s="140"/>
      <c r="B46" s="131"/>
      <c r="C46" s="131"/>
      <c r="D46" s="131"/>
      <c r="E46" s="131"/>
      <c r="F46" s="131"/>
      <c r="G46" s="141"/>
    </row>
    <row r="47" spans="1:63" s="146" customFormat="1"/>
    <row r="48" spans="1:63" ht="15.75" thickBot="1">
      <c r="A48" s="168" t="s">
        <v>529</v>
      </c>
      <c r="B48" s="168"/>
      <c r="C48" s="168"/>
      <c r="D48" s="168"/>
      <c r="E48" s="168"/>
      <c r="F48" s="168"/>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68"/>
      <c r="BI48" s="168"/>
      <c r="BJ48" s="168"/>
      <c r="BK48" s="168"/>
    </row>
    <row r="49" spans="1:63" s="107" customFormat="1" ht="45">
      <c r="A49" s="170" t="s">
        <v>443</v>
      </c>
      <c r="B49" s="171" t="s">
        <v>299</v>
      </c>
      <c r="C49" s="171" t="s">
        <v>300</v>
      </c>
      <c r="D49" s="174" t="s">
        <v>444</v>
      </c>
      <c r="E49" s="174" t="s">
        <v>432</v>
      </c>
      <c r="F49" s="234" t="s">
        <v>445</v>
      </c>
      <c r="G49" s="234" t="s">
        <v>446</v>
      </c>
      <c r="H49" s="174" t="s">
        <v>290</v>
      </c>
      <c r="I49" s="174" t="s">
        <v>289</v>
      </c>
      <c r="J49" s="174" t="s">
        <v>295</v>
      </c>
      <c r="K49" s="174" t="s">
        <v>296</v>
      </c>
      <c r="L49" s="174" t="s">
        <v>447</v>
      </c>
      <c r="M49" s="171" t="s">
        <v>448</v>
      </c>
      <c r="N49" s="171" t="s">
        <v>449</v>
      </c>
      <c r="O49" s="171" t="s">
        <v>450</v>
      </c>
      <c r="P49" s="171" t="s">
        <v>451</v>
      </c>
      <c r="Q49" s="171" t="s">
        <v>452</v>
      </c>
      <c r="R49" s="171" t="s">
        <v>453</v>
      </c>
      <c r="S49" s="171" t="s">
        <v>454</v>
      </c>
      <c r="T49" s="171" t="s">
        <v>455</v>
      </c>
      <c r="U49" s="171" t="s">
        <v>456</v>
      </c>
      <c r="V49" s="171" t="s">
        <v>457</v>
      </c>
      <c r="W49" s="171" t="s">
        <v>458</v>
      </c>
      <c r="X49" s="171" t="s">
        <v>459</v>
      </c>
      <c r="Y49" s="171" t="s">
        <v>460</v>
      </c>
      <c r="Z49" s="171" t="s">
        <v>461</v>
      </c>
      <c r="AA49" s="171" t="s">
        <v>462</v>
      </c>
      <c r="AB49" s="171" t="s">
        <v>463</v>
      </c>
      <c r="AC49" s="171" t="s">
        <v>464</v>
      </c>
      <c r="AD49" s="171" t="s">
        <v>465</v>
      </c>
      <c r="AE49" s="171" t="s">
        <v>466</v>
      </c>
      <c r="AF49" s="171" t="s">
        <v>467</v>
      </c>
      <c r="AG49" s="171" t="s">
        <v>468</v>
      </c>
      <c r="AH49" s="171" t="s">
        <v>469</v>
      </c>
      <c r="AI49" s="171" t="s">
        <v>470</v>
      </c>
      <c r="AJ49" s="171" t="s">
        <v>471</v>
      </c>
      <c r="AK49" s="171" t="s">
        <v>472</v>
      </c>
      <c r="AL49" s="171" t="s">
        <v>473</v>
      </c>
      <c r="AM49" s="171" t="s">
        <v>474</v>
      </c>
      <c r="AN49" s="171" t="s">
        <v>475</v>
      </c>
      <c r="AO49" s="171" t="s">
        <v>476</v>
      </c>
      <c r="AP49" s="171" t="s">
        <v>477</v>
      </c>
      <c r="AQ49" s="171" t="s">
        <v>478</v>
      </c>
      <c r="AR49" s="171" t="s">
        <v>479</v>
      </c>
      <c r="AS49" s="171" t="s">
        <v>480</v>
      </c>
      <c r="AT49" s="171" t="s">
        <v>481</v>
      </c>
      <c r="AU49" s="171" t="s">
        <v>482</v>
      </c>
      <c r="AV49" s="171" t="s">
        <v>483</v>
      </c>
      <c r="AW49" s="171" t="s">
        <v>484</v>
      </c>
      <c r="AX49" s="171" t="s">
        <v>485</v>
      </c>
      <c r="AY49" s="171" t="s">
        <v>486</v>
      </c>
      <c r="AZ49" s="171" t="s">
        <v>487</v>
      </c>
      <c r="BA49" s="171" t="s">
        <v>488</v>
      </c>
      <c r="BB49" s="171" t="s">
        <v>489</v>
      </c>
      <c r="BC49" s="171" t="s">
        <v>490</v>
      </c>
      <c r="BD49" s="171" t="s">
        <v>491</v>
      </c>
      <c r="BE49" s="171" t="s">
        <v>492</v>
      </c>
      <c r="BF49" s="171" t="s">
        <v>493</v>
      </c>
      <c r="BG49" s="171" t="s">
        <v>494</v>
      </c>
      <c r="BH49" s="171" t="s">
        <v>495</v>
      </c>
      <c r="BI49" s="171" t="s">
        <v>496</v>
      </c>
      <c r="BJ49" s="171" t="s">
        <v>497</v>
      </c>
      <c r="BK49" s="173" t="s">
        <v>498</v>
      </c>
    </row>
    <row r="50" spans="1:63">
      <c r="A50" s="183" t="s">
        <v>499</v>
      </c>
      <c r="B50" s="176">
        <f>IF('Samples (PRINT)'!D5=DATE(1900,1,0),DATE(1900,1,1),'Samples (PRINT)'!D5)</f>
        <v>1</v>
      </c>
      <c r="C50" s="176">
        <f>IF('Samples (PRINT)'!E5=DATE(1900,1,0),DATE(1900,1,1),'Samples (PRINT)'!E5)</f>
        <v>1</v>
      </c>
      <c r="D50" s="196">
        <f>'IWP01'!SampleNumber</f>
        <v>1</v>
      </c>
      <c r="E50" s="196">
        <f>'IWP01'!ClientID</f>
        <v>0</v>
      </c>
      <c r="F50" s="237"/>
      <c r="G50" s="237"/>
      <c r="H50" s="195" t="str">
        <f ca="1">IF('IWP01'!ContractNumber = 0, "", 'IWP01'!ContractNumber)</f>
        <v/>
      </c>
      <c r="I50" s="195" t="str">
        <f>IF('IWP01'!ContractType = 0, "", 'IWP01'!ContractType)</f>
        <v/>
      </c>
      <c r="J50" s="195" t="str">
        <f>IF('IWP01'!CompletedByLastName = 0, "", 'IWP01'!CompletedByLastName)</f>
        <v/>
      </c>
      <c r="K50" s="195" t="str">
        <f>IF('IWP01'!CompletedByFirstName = 0, "", 'IWP01'!CompletedByFirstName)</f>
        <v/>
      </c>
      <c r="L50" s="176">
        <f>IF('IWP01'!DateCompleted=DATE(1900,1,0),DATE(1900,1,1),'IWP01'!DateCompleted)</f>
        <v>1</v>
      </c>
      <c r="M50" s="195" t="str">
        <f>IF('IWP01'!Std2NotCalc = 0, "", 'IWP01'!Std2NotCalc)</f>
        <v/>
      </c>
      <c r="N50" s="195" t="str">
        <f>IF('IWP01'!Std2dot1 = 0, "", 'IWP01'!Std2dot1)</f>
        <v/>
      </c>
      <c r="O50" s="195" t="str">
        <f>IF('IWP01'!Std2dot2 = 0, "", 'IWP01'!Std2dot2)</f>
        <v/>
      </c>
      <c r="P50" s="195" t="str">
        <f>IF('IWP01'!Std2dot3 = 0, "", 'IWP01'!Std2dot3)</f>
        <v/>
      </c>
      <c r="Q50" s="195" t="str">
        <f>IF('IWP01'!Std2dot4 = 0, "", 'IWP01'!Std2dot4)</f>
        <v/>
      </c>
      <c r="R50" s="195" t="str">
        <f>IF('IWP01'!Std3NotCalc = 0, "", 'IWP01'!Std3NotCalc)</f>
        <v/>
      </c>
      <c r="S50" s="195" t="str">
        <f>IF('IWP01'!Std3dot1 = 0, "", 'IWP01'!Std3dot1)</f>
        <v/>
      </c>
      <c r="T50" s="195" t="str">
        <f>IF('IWP01'!Std4NotCalc = 0, "", 'IWP01'!Std4NotCalc)</f>
        <v/>
      </c>
      <c r="U50" s="195" t="str">
        <f>IF('IWP01'!Std4dot1a = 0, "", 'IWP01'!Std4dot1a)</f>
        <v/>
      </c>
      <c r="V50" s="195" t="str">
        <f>IF('IWP01'!Std4dot1b = 0, "", 'IWP01'!Std4dot1b)</f>
        <v>NA</v>
      </c>
      <c r="W50" s="195" t="str">
        <f>IF('IWP01'!Std4dot1c = 0, "", 'IWP01'!Std4dot1c)</f>
        <v/>
      </c>
      <c r="X50" s="195" t="str">
        <f>IF('IWP01'!Std4dot1d = 0, "", 'IWP01'!Std4dot1d)</f>
        <v/>
      </c>
      <c r="Y50" s="195" t="str">
        <f>IF('IWP01'!Std4dot1e = 0, "", 'IWP01'!Std4dot1e)</f>
        <v/>
      </c>
      <c r="Z50" s="195" t="str">
        <f>IF('IWP01'!Std4dot1f = 0, "", 'IWP01'!Std4dot1f)</f>
        <v/>
      </c>
      <c r="AA50" s="195" t="str">
        <f>IF('IWP01'!Std4dot1 = 0, "", 'IWP01'!Std4dot1)</f>
        <v/>
      </c>
      <c r="AB50" s="195" t="str">
        <f>IF('IWP01'!Std4dot2a = 0, "", 'IWP01'!Std4dot2a)</f>
        <v>NA</v>
      </c>
      <c r="AC50" s="195" t="str">
        <f>IF('IWP01'!Std4dot2b = 0, "", 'IWP01'!Std4dot2b)</f>
        <v>NA</v>
      </c>
      <c r="AD50" s="195" t="str">
        <f>IF('IWP01'!Std4dot2c = 0, "", 'IWP01'!Std4dot2c)</f>
        <v>NA</v>
      </c>
      <c r="AE50" s="195" t="str">
        <f>IF('IWP01'!Std4dot2d = 0, "", 'IWP01'!Std4dot2d)</f>
        <v>NA</v>
      </c>
      <c r="AF50" s="195" t="str">
        <f>IF('IWP01'!Std4dot2 = 0, "", 'IWP01'!Std4dot2)</f>
        <v>NA</v>
      </c>
      <c r="AG50" s="195" t="str">
        <f>IF('IWP01'!Std4dot3NotCalc = 0, "", 'IWP01'!Std4dot3NotCalc)</f>
        <v/>
      </c>
      <c r="AH50" s="172">
        <f>IF('IWP01'!Std4dot3DateOfTransfer=DATE(1900,1,0), DATE(1900,1,1), 'IWP01'!Std4dot3DateOfTransfer)</f>
        <v>1</v>
      </c>
      <c r="AI50" s="195" t="str">
        <f>IF('IWP01'!Std4dot3a = 0, "", 'IWP01'!Std4dot3a)</f>
        <v>NA</v>
      </c>
      <c r="AJ50" s="195" t="str">
        <f>IF('IWP01'!Std4dot3b = 0, "", 'IWP01'!Std4dot3b)</f>
        <v>NA</v>
      </c>
      <c r="AK50" s="195" t="str">
        <f>IF('IWP01'!Std4dot3c = 0, "", 'IWP01'!Std4dot3c)</f>
        <v>NA</v>
      </c>
      <c r="AL50" s="195" t="str">
        <f>IF('IWP01'!Std4dot3d = 0, "", 'IWP01'!Std4dot3d)</f>
        <v>NA</v>
      </c>
      <c r="AM50" s="195" t="str">
        <f>IF('IWP01'!Std4dot3e = 0, "", 'IWP01'!Std4dot3e)</f>
        <v/>
      </c>
      <c r="AN50" s="195" t="str">
        <f>IF('IWP01'!Std4dot3 = 0, "", 'IWP01'!Std4dot3)</f>
        <v/>
      </c>
      <c r="AO50" s="195"/>
      <c r="AP50" s="195" t="str">
        <f>IF('IWP01'!Std5dot1 = 0, "", 'IWP01'!Std5dot1)</f>
        <v>NA</v>
      </c>
      <c r="AQ50" s="195" t="str">
        <f>IF('IWP01'!Std6dot1NotCalc = 0, "", 'IWP01'!Std6dot1NotCalc)</f>
        <v/>
      </c>
      <c r="AR50" s="195" t="str">
        <f>IF('IWP01'!Std6dot1 = 0, "", 'IWP01'!Std6dot1)</f>
        <v/>
      </c>
      <c r="AS50" s="195" t="str">
        <f>IF('IWP01'!Std6dot2NotCalc = 0, "", 'IWP01'!Std6dot2NotCalc)</f>
        <v/>
      </c>
      <c r="AT50" s="172">
        <f>IF('IWP01'!Std6dot2DateOfNoteOfXfer=DATE(1900,1,0), DATE(1900,1,1), 'IWP01'!Std6dot2DateOfNoteOfXfer)</f>
        <v>1</v>
      </c>
      <c r="AU50" s="195" t="str">
        <f>IF('IWP01'!Std6dot2a = 0, "", 'IWP01'!Std6dot2a)</f>
        <v/>
      </c>
      <c r="AV50" s="195" t="str">
        <f>IF('IWP01'!Std6dot2b = 0, "", 'IWP01'!Std6dot2b)</f>
        <v/>
      </c>
      <c r="AW50" s="195" t="str">
        <f>IF('IWP01'!Std6dot2c = 0, "", 'IWP01'!Std6dot2c)</f>
        <v>NA</v>
      </c>
      <c r="AX50" s="195" t="str">
        <f>IF('IWP01'!Std6dot2d = 0, "", 'IWP01'!Std6dot2d)</f>
        <v>NA</v>
      </c>
      <c r="AY50" s="195" t="str">
        <f>IF('IWP01'!Std6dot2e = 0, "", 'IWP01'!Std6dot2e)</f>
        <v>NA</v>
      </c>
      <c r="AZ50" s="195" t="str">
        <f>IF('IWP01'!Std6dot2 = 0, "", 'IWP01'!Std6dot2)</f>
        <v/>
      </c>
      <c r="BA50" s="195" t="str">
        <f>IF('IWP01'!Std7NotCalc = 0, "", 'IWP01'!Std7NotCalc)</f>
        <v/>
      </c>
      <c r="BB50" s="195" t="str">
        <f>IF('IWP01'!Std7dot1 = 0, "", 'IWP01'!Std7dot1)</f>
        <v/>
      </c>
      <c r="BC50" s="195" t="str">
        <f>IF('IWP01'!Std7dot2 = 0, "", 'IWP01'!Std7dot2)</f>
        <v/>
      </c>
      <c r="BD50" s="195" t="str">
        <f>IF('IWP01'!Std8dot1 = 0, "", 'IWP01'!Std8dot1)</f>
        <v/>
      </c>
      <c r="BE50" s="195" t="str">
        <f>IF('IWP01'!Std8dot2NotCalc = 0, "", 'IWP01'!Std8dot2NotCalc)</f>
        <v/>
      </c>
      <c r="BF50" s="195" t="str">
        <f>IF('IWP01'!Std8dot2 = 0, "", 'IWP01'!Std8dot2)</f>
        <v/>
      </c>
      <c r="BG50" s="195" t="str">
        <f>IF('IWP01'!Std8dot3NotCalc = 0, "", 'IWP01'!Std8dot3NotCalc)</f>
        <v/>
      </c>
      <c r="BH50" s="195" t="str">
        <f>IF('IWP01'!Std8dot3 = 0, "", 'IWP01'!Std8dot3)</f>
        <v/>
      </c>
      <c r="BI50" s="195" t="str">
        <f>IF('IWP01'!Std9dot1 = 0, "", 'IWP01'!Std9dot1)</f>
        <v/>
      </c>
      <c r="BJ50" s="195" t="str">
        <f>IF('IWP01'!Std9dot2 = 0, "", 'IWP01'!Std9dot2)</f>
        <v/>
      </c>
      <c r="BK50" s="194" t="str">
        <f>IF('IWP01'!Std9dot3 = 0, "", 'IWP01'!Std9dot3)</f>
        <v/>
      </c>
    </row>
    <row r="51" spans="1:63">
      <c r="A51" s="183" t="s">
        <v>500</v>
      </c>
      <c r="B51" s="176">
        <f>IF('Samples (PRINT)'!D6=DATE(1900,1,0),DATE(1900,1,1),'Samples (PRINT)'!D6)</f>
        <v>1</v>
      </c>
      <c r="C51" s="176">
        <f>IF('Samples (PRINT)'!E6=DATE(1900,1,0),DATE(1900,1,1),'Samples (PRINT)'!E6)</f>
        <v>1</v>
      </c>
      <c r="D51" s="196">
        <f>'IWP02'!SampleNumber</f>
        <v>2</v>
      </c>
      <c r="E51" s="196">
        <f>'IWP02'!ClientID</f>
        <v>0</v>
      </c>
      <c r="F51" s="237"/>
      <c r="G51" s="237"/>
      <c r="H51" s="195" t="str">
        <f ca="1">IF('IWP02'!ContractNumber = 0, "", 'IWP02'!ContractNumber)</f>
        <v/>
      </c>
      <c r="I51" s="195" t="str">
        <f>IF('IWP02'!ContractType = 0, "", 'IWP02'!ContractType)</f>
        <v/>
      </c>
      <c r="J51" s="195" t="str">
        <f>IF('IWP02'!CompletedByLastName = 0, "", 'IWP02'!CompletedByLastName)</f>
        <v/>
      </c>
      <c r="K51" s="195" t="str">
        <f>IF('IWP02'!CompletedByFirstName = 0, "", 'IWP02'!CompletedByFirstName)</f>
        <v/>
      </c>
      <c r="L51" s="176">
        <f>IF('IWP02'!DateCompleted=DATE(1900,1,0),DATE(1900,1,1),'IWP02'!DateCompleted)</f>
        <v>1</v>
      </c>
      <c r="M51" s="195" t="str">
        <f>IF('IWP02'!Std2NotCalc = 0, "", 'IWP02'!Std2NotCalc)</f>
        <v/>
      </c>
      <c r="N51" s="195" t="str">
        <f>IF('IWP02'!Std2dot1 = 0, "", 'IWP02'!Std2dot1)</f>
        <v/>
      </c>
      <c r="O51" s="195" t="str">
        <f>IF('IWP02'!Std2dot2 = 0, "", 'IWP02'!Std2dot2)</f>
        <v/>
      </c>
      <c r="P51" s="195" t="str">
        <f>IF('IWP02'!Std2dot3 = 0, "", 'IWP02'!Std2dot3)</f>
        <v/>
      </c>
      <c r="Q51" s="195" t="str">
        <f>IF('IWP02'!Std2dot4 = 0, "", 'IWP02'!Std2dot4)</f>
        <v/>
      </c>
      <c r="R51" s="195" t="str">
        <f>IF('IWP02'!Std3NotCalc = 0, "", 'IWP02'!Std3NotCalc)</f>
        <v/>
      </c>
      <c r="S51" s="195" t="str">
        <f>IF('IWP02'!Std3dot1 = 0, "", 'IWP02'!Std3dot1)</f>
        <v/>
      </c>
      <c r="T51" s="195" t="str">
        <f>IF('IWP02'!Std4NotCalc = 0, "", 'IWP02'!Std4NotCalc)</f>
        <v/>
      </c>
      <c r="U51" s="195" t="str">
        <f>IF('IWP02'!Std4dot1a = 0, "", 'IWP02'!Std4dot1a)</f>
        <v/>
      </c>
      <c r="V51" s="195" t="str">
        <f>IF('IWP02'!Std4dot1b = 0, "", 'IWP02'!Std4dot1b)</f>
        <v>NA</v>
      </c>
      <c r="W51" s="195" t="str">
        <f>IF('IWP02'!Std4dot1c = 0, "", 'IWP02'!Std4dot1c)</f>
        <v/>
      </c>
      <c r="X51" s="195" t="str">
        <f>IF('IWP02'!Std4dot1d = 0, "", 'IWP02'!Std4dot1d)</f>
        <v/>
      </c>
      <c r="Y51" s="195" t="str">
        <f>IF('IWP02'!Std4dot1e = 0, "", 'IWP02'!Std4dot1e)</f>
        <v/>
      </c>
      <c r="Z51" s="195" t="str">
        <f>IF('IWP02'!Std4dot1f = 0, "", 'IWP02'!Std4dot1f)</f>
        <v/>
      </c>
      <c r="AA51" s="195" t="str">
        <f>IF('IWP02'!Std4dot1 = 0, "", 'IWP02'!Std4dot1)</f>
        <v/>
      </c>
      <c r="AB51" s="195" t="str">
        <f>IF('IWP02'!Std4dot2a = 0, "", 'IWP02'!Std4dot2a)</f>
        <v>NA</v>
      </c>
      <c r="AC51" s="195" t="str">
        <f>IF('IWP02'!Std4dot2b = 0, "", 'IWP02'!Std4dot2b)</f>
        <v>NA</v>
      </c>
      <c r="AD51" s="195" t="str">
        <f>IF('IWP02'!Std4dot2c = 0, "", 'IWP02'!Std4dot2c)</f>
        <v>NA</v>
      </c>
      <c r="AE51" s="195" t="str">
        <f>IF('IWP02'!Std4dot2d = 0, "", 'IWP02'!Std4dot2d)</f>
        <v>NA</v>
      </c>
      <c r="AF51" s="195" t="str">
        <f>IF('IWP02'!Std4dot2 = 0, "", 'IWP02'!Std4dot2)</f>
        <v>NA</v>
      </c>
      <c r="AG51" s="195" t="str">
        <f>IF('IWP02'!Std4dot3NotCalc = 0, "", 'IWP02'!Std4dot3NotCalc)</f>
        <v/>
      </c>
      <c r="AH51" s="172">
        <f>IF('IWP02'!Std4dot3DateOfTransfer=DATE(1900,1,0), DATE(1900,1,1), 'IWP02'!Std4dot3DateOfTransfer)</f>
        <v>1</v>
      </c>
      <c r="AI51" s="195" t="str">
        <f>IF('IWP02'!Std4dot3a = 0, "", 'IWP02'!Std4dot3a)</f>
        <v>NA</v>
      </c>
      <c r="AJ51" s="195" t="str">
        <f>IF('IWP02'!Std4dot3b = 0, "", 'IWP02'!Std4dot3b)</f>
        <v>NA</v>
      </c>
      <c r="AK51" s="195" t="str">
        <f>IF('IWP02'!Std4dot3c = 0, "", 'IWP02'!Std4dot3c)</f>
        <v>NA</v>
      </c>
      <c r="AL51" s="195" t="str">
        <f>IF('IWP02'!Std4dot3d = 0, "", 'IWP02'!Std4dot3d)</f>
        <v>NA</v>
      </c>
      <c r="AM51" s="195" t="str">
        <f>IF('IWP02'!Std4dot3e = 0, "", 'IWP02'!Std4dot3e)</f>
        <v/>
      </c>
      <c r="AN51" s="195" t="str">
        <f>IF('IWP02'!Std4dot3 = 0, "", 'IWP02'!Std4dot3)</f>
        <v/>
      </c>
      <c r="AO51" s="195"/>
      <c r="AP51" s="195" t="str">
        <f>IF('IWP02'!Std5dot1 = 0, "", 'IWP02'!Std5dot1)</f>
        <v>NA</v>
      </c>
      <c r="AQ51" s="195" t="str">
        <f>IF('IWP02'!Std6dot1NotCalc = 0, "", 'IWP02'!Std6dot1NotCalc)</f>
        <v/>
      </c>
      <c r="AR51" s="195" t="str">
        <f>IF('IWP02'!Std6dot1 = 0, "", 'IWP02'!Std6dot1)</f>
        <v/>
      </c>
      <c r="AS51" s="195" t="str">
        <f>IF('IWP02'!Std6dot2NotCalc = 0, "", 'IWP02'!Std6dot2NotCalc)</f>
        <v/>
      </c>
      <c r="AT51" s="172">
        <f>IF('IWP02'!Std6dot2DateOfNoteOfXfer=DATE(1900,1,0), DATE(1900,1,1), 'IWP02'!Std6dot2DateOfNoteOfXfer)</f>
        <v>1</v>
      </c>
      <c r="AU51" s="195" t="str">
        <f>IF('IWP02'!Std6dot2a = 0, "", 'IWP02'!Std6dot2a)</f>
        <v/>
      </c>
      <c r="AV51" s="195" t="str">
        <f>IF('IWP02'!Std6dot2b = 0, "", 'IWP02'!Std6dot2b)</f>
        <v/>
      </c>
      <c r="AW51" s="195" t="str">
        <f>IF('IWP02'!Std6dot2c = 0, "", 'IWP02'!Std6dot2c)</f>
        <v>NA</v>
      </c>
      <c r="AX51" s="195" t="str">
        <f>IF('IWP02'!Std6dot2d = 0, "", 'IWP02'!Std6dot2d)</f>
        <v>NA</v>
      </c>
      <c r="AY51" s="195" t="str">
        <f>IF('IWP02'!Std6dot2e = 0, "", 'IWP02'!Std6dot2e)</f>
        <v>NA</v>
      </c>
      <c r="AZ51" s="195" t="str">
        <f>IF('IWP02'!Std6dot2 = 0, "", 'IWP02'!Std6dot2)</f>
        <v/>
      </c>
      <c r="BA51" s="195" t="str">
        <f>IF('IWP02'!Std7NotCalc = 0, "", 'IWP02'!Std7NotCalc)</f>
        <v/>
      </c>
      <c r="BB51" s="195" t="str">
        <f>IF('IWP02'!Std7dot1 = 0, "", 'IWP02'!Std7dot1)</f>
        <v/>
      </c>
      <c r="BC51" s="195" t="str">
        <f>IF('IWP02'!Std7dot2 = 0, "", 'IWP02'!Std7dot2)</f>
        <v/>
      </c>
      <c r="BD51" s="195" t="str">
        <f>IF('IWP02'!Std8dot1 = 0, "", 'IWP02'!Std8dot1)</f>
        <v/>
      </c>
      <c r="BE51" s="195" t="str">
        <f>IF('IWP02'!Std8dot2NotCalc = 0, "", 'IWP02'!Std8dot2NotCalc)</f>
        <v/>
      </c>
      <c r="BF51" s="195" t="str">
        <f>IF('IWP02'!Std8dot2 = 0, "", 'IWP02'!Std8dot2)</f>
        <v/>
      </c>
      <c r="BG51" s="195" t="str">
        <f>IF('IWP02'!Std8dot3NotCalc = 0, "", 'IWP02'!Std8dot3NotCalc)</f>
        <v/>
      </c>
      <c r="BH51" s="195" t="str">
        <f>IF('IWP02'!Std8dot3 = 0, "", 'IWP02'!Std8dot3)</f>
        <v/>
      </c>
      <c r="BI51" s="195" t="str">
        <f>IF('IWP02'!Std9dot1 = 0, "", 'IWP02'!Std9dot1)</f>
        <v/>
      </c>
      <c r="BJ51" s="195" t="str">
        <f>IF('IWP02'!Std9dot2 = 0, "", 'IWP02'!Std9dot2)</f>
        <v/>
      </c>
      <c r="BK51" s="194" t="str">
        <f>IF('IWP02'!Std9dot3 = 0, "", 'IWP02'!Std9dot3)</f>
        <v/>
      </c>
    </row>
    <row r="52" spans="1:63">
      <c r="A52" s="183" t="s">
        <v>501</v>
      </c>
      <c r="B52" s="176">
        <f>IF('Samples (PRINT)'!D7=DATE(1900,1,0),DATE(1900,1,1),'Samples (PRINT)'!D7)</f>
        <v>1</v>
      </c>
      <c r="C52" s="176">
        <f>IF('Samples (PRINT)'!E7=DATE(1900,1,0),DATE(1900,1,1),'Samples (PRINT)'!E7)</f>
        <v>1</v>
      </c>
      <c r="D52" s="196">
        <f>'IWP03'!SampleNumber</f>
        <v>3</v>
      </c>
      <c r="E52" s="196">
        <f>'IWP03'!ClientID</f>
        <v>0</v>
      </c>
      <c r="F52" s="237"/>
      <c r="G52" s="237"/>
      <c r="H52" s="195" t="str">
        <f ca="1">IF('IWP03'!ContractNumber = 0, "", 'IWP03'!ContractNumber)</f>
        <v/>
      </c>
      <c r="I52" s="195" t="str">
        <f>IF('IWP03'!ContractType = 0, "", 'IWP03'!ContractType)</f>
        <v/>
      </c>
      <c r="J52" s="195" t="str">
        <f>IF('IWP03'!CompletedByLastName = 0, "", 'IWP03'!CompletedByLastName)</f>
        <v/>
      </c>
      <c r="K52" s="195" t="str">
        <f>IF('IWP03'!CompletedByFirstName = 0, "", 'IWP03'!CompletedByFirstName)</f>
        <v/>
      </c>
      <c r="L52" s="176">
        <f>IF('IWP03'!DateCompleted=DATE(1900,1,0),DATE(1900,1,1),'IWP03'!DateCompleted)</f>
        <v>1</v>
      </c>
      <c r="M52" s="195" t="str">
        <f>IF('IWP03'!Std2NotCalc = 0, "", 'IWP03'!Std2NotCalc)</f>
        <v/>
      </c>
      <c r="N52" s="195" t="str">
        <f>IF('IWP03'!Std2dot1 = 0, "", 'IWP03'!Std2dot1)</f>
        <v/>
      </c>
      <c r="O52" s="195" t="str">
        <f>IF('IWP03'!Std2dot2 = 0, "", 'IWP03'!Std2dot2)</f>
        <v/>
      </c>
      <c r="P52" s="195" t="str">
        <f>IF('IWP03'!Std2dot3 = 0, "", 'IWP03'!Std2dot3)</f>
        <v/>
      </c>
      <c r="Q52" s="195" t="str">
        <f>IF('IWP03'!Std2dot4 = 0, "", 'IWP03'!Std2dot4)</f>
        <v/>
      </c>
      <c r="R52" s="195" t="str">
        <f>IF('IWP03'!Std3NotCalc = 0, "", 'IWP03'!Std3NotCalc)</f>
        <v/>
      </c>
      <c r="S52" s="195" t="str">
        <f>IF('IWP03'!Std3dot1 = 0, "", 'IWP03'!Std3dot1)</f>
        <v/>
      </c>
      <c r="T52" s="195" t="str">
        <f>IF('IWP03'!Std4NotCalc = 0, "", 'IWP03'!Std4NotCalc)</f>
        <v/>
      </c>
      <c r="U52" s="195" t="str">
        <f>IF('IWP03'!Std4dot1a = 0, "", 'IWP03'!Std4dot1a)</f>
        <v/>
      </c>
      <c r="V52" s="195" t="str">
        <f>IF('IWP03'!Std4dot1b = 0, "", 'IWP03'!Std4dot1b)</f>
        <v>NA</v>
      </c>
      <c r="W52" s="195" t="str">
        <f>IF('IWP03'!Std4dot1c = 0, "", 'IWP03'!Std4dot1c)</f>
        <v/>
      </c>
      <c r="X52" s="195" t="str">
        <f>IF('IWP03'!Std4dot1d = 0, "", 'IWP03'!Std4dot1d)</f>
        <v/>
      </c>
      <c r="Y52" s="195" t="str">
        <f>IF('IWP03'!Std4dot1e = 0, "", 'IWP03'!Std4dot1e)</f>
        <v/>
      </c>
      <c r="Z52" s="195" t="str">
        <f>IF('IWP03'!Std4dot1f = 0, "", 'IWP03'!Std4dot1f)</f>
        <v/>
      </c>
      <c r="AA52" s="195" t="str">
        <f>IF('IWP03'!Std4dot1 = 0, "", 'IWP03'!Std4dot1)</f>
        <v/>
      </c>
      <c r="AB52" s="195" t="str">
        <f>IF('IWP03'!Std4dot2a = 0, "", 'IWP03'!Std4dot2a)</f>
        <v>NA</v>
      </c>
      <c r="AC52" s="195" t="str">
        <f>IF('IWP03'!Std4dot2b = 0, "", 'IWP03'!Std4dot2b)</f>
        <v>NA</v>
      </c>
      <c r="AD52" s="195" t="str">
        <f>IF('IWP03'!Std4dot2c = 0, "", 'IWP03'!Std4dot2c)</f>
        <v>NA</v>
      </c>
      <c r="AE52" s="195" t="str">
        <f>IF('IWP03'!Std4dot2d = 0, "", 'IWP03'!Std4dot2d)</f>
        <v>NA</v>
      </c>
      <c r="AF52" s="195" t="str">
        <f>IF('IWP03'!Std4dot2 = 0, "", 'IWP03'!Std4dot2)</f>
        <v>NA</v>
      </c>
      <c r="AG52" s="195" t="str">
        <f>IF('IWP03'!Std4dot3NotCalc = 0, "", 'IWP03'!Std4dot3NotCalc)</f>
        <v/>
      </c>
      <c r="AH52" s="172">
        <f>IF('IWP03'!Std4dot3DateOfTransfer=DATE(1900,1,0), DATE(1900,1,1), 'IWP03'!Std4dot3DateOfTransfer)</f>
        <v>1</v>
      </c>
      <c r="AI52" s="195" t="str">
        <f>IF('IWP03'!Std4dot3a = 0, "", 'IWP03'!Std4dot3a)</f>
        <v>NA</v>
      </c>
      <c r="AJ52" s="195" t="str">
        <f>IF('IWP03'!Std4dot3b = 0, "", 'IWP03'!Std4dot3b)</f>
        <v>NA</v>
      </c>
      <c r="AK52" s="195" t="str">
        <f>IF('IWP03'!Std4dot3c = 0, "", 'IWP03'!Std4dot3c)</f>
        <v>NA</v>
      </c>
      <c r="AL52" s="195" t="str">
        <f>IF('IWP03'!Std4dot3d = 0, "", 'IWP03'!Std4dot3d)</f>
        <v>NA</v>
      </c>
      <c r="AM52" s="195" t="str">
        <f>IF('IWP03'!Std4dot3e = 0, "", 'IWP03'!Std4dot3e)</f>
        <v/>
      </c>
      <c r="AN52" s="195" t="str">
        <f>IF('IWP03'!Std4dot3 = 0, "", 'IWP03'!Std4dot3)</f>
        <v/>
      </c>
      <c r="AO52" s="195"/>
      <c r="AP52" s="195" t="str">
        <f>IF('IWP03'!Std5dot1 = 0, "", 'IWP03'!Std5dot1)</f>
        <v>NA</v>
      </c>
      <c r="AQ52" s="195" t="str">
        <f>IF('IWP03'!Std6dot1NotCalc = 0, "", 'IWP03'!Std6dot1NotCalc)</f>
        <v/>
      </c>
      <c r="AR52" s="195" t="str">
        <f>IF('IWP03'!Std6dot1 = 0, "", 'IWP03'!Std6dot1)</f>
        <v/>
      </c>
      <c r="AS52" s="195" t="str">
        <f>IF('IWP03'!Std6dot2NotCalc = 0, "", 'IWP03'!Std6dot2NotCalc)</f>
        <v/>
      </c>
      <c r="AT52" s="172">
        <f>IF('IWP03'!Std6dot2DateOfNoteOfXfer=DATE(1900,1,0), DATE(1900,1,1), 'IWP03'!Std6dot2DateOfNoteOfXfer)</f>
        <v>1</v>
      </c>
      <c r="AU52" s="195" t="str">
        <f>IF('IWP03'!Std6dot2a = 0, "", 'IWP03'!Std6dot2a)</f>
        <v/>
      </c>
      <c r="AV52" s="195" t="str">
        <f>IF('IWP03'!Std6dot2b = 0, "", 'IWP03'!Std6dot2b)</f>
        <v/>
      </c>
      <c r="AW52" s="195" t="str">
        <f>IF('IWP03'!Std6dot2c = 0, "", 'IWP03'!Std6dot2c)</f>
        <v>NA</v>
      </c>
      <c r="AX52" s="195" t="str">
        <f>IF('IWP03'!Std6dot2d = 0, "", 'IWP03'!Std6dot2d)</f>
        <v>NA</v>
      </c>
      <c r="AY52" s="195" t="str">
        <f>IF('IWP03'!Std6dot2e = 0, "", 'IWP03'!Std6dot2e)</f>
        <v>NA</v>
      </c>
      <c r="AZ52" s="195" t="str">
        <f>IF('IWP03'!Std6dot2 = 0, "", 'IWP03'!Std6dot2)</f>
        <v/>
      </c>
      <c r="BA52" s="195" t="str">
        <f>IF('IWP03'!Std7NotCalc = 0, "", 'IWP03'!Std7NotCalc)</f>
        <v/>
      </c>
      <c r="BB52" s="195" t="str">
        <f>IF('IWP03'!Std7dot1 = 0, "", 'IWP03'!Std7dot1)</f>
        <v/>
      </c>
      <c r="BC52" s="195" t="str">
        <f>IF('IWP03'!Std7dot2 = 0, "", 'IWP03'!Std7dot2)</f>
        <v/>
      </c>
      <c r="BD52" s="195" t="str">
        <f>IF('IWP03'!Std8dot1 = 0, "", 'IWP03'!Std8dot1)</f>
        <v/>
      </c>
      <c r="BE52" s="195" t="str">
        <f>IF('IWP03'!Std8dot2NotCalc = 0, "", 'IWP03'!Std8dot2NotCalc)</f>
        <v/>
      </c>
      <c r="BF52" s="195" t="str">
        <f>IF('IWP03'!Std8dot2 = 0, "", 'IWP03'!Std8dot2)</f>
        <v/>
      </c>
      <c r="BG52" s="195" t="str">
        <f>IF('IWP03'!Std8dot3NotCalc = 0, "", 'IWP03'!Std8dot3NotCalc)</f>
        <v/>
      </c>
      <c r="BH52" s="195" t="str">
        <f>IF('IWP03'!Std8dot3 = 0, "", 'IWP03'!Std8dot3)</f>
        <v/>
      </c>
      <c r="BI52" s="195" t="str">
        <f>IF('IWP03'!Std9dot1 = 0, "", 'IWP03'!Std9dot1)</f>
        <v/>
      </c>
      <c r="BJ52" s="195" t="str">
        <f>IF('IWP03'!Std9dot2 = 0, "", 'IWP03'!Std9dot2)</f>
        <v/>
      </c>
      <c r="BK52" s="194" t="str">
        <f>IF('IWP03'!Std9dot3 = 0, "", 'IWP03'!Std9dot3)</f>
        <v/>
      </c>
    </row>
    <row r="53" spans="1:63">
      <c r="A53" s="183" t="s">
        <v>502</v>
      </c>
      <c r="B53" s="176">
        <f>IF('Samples (PRINT)'!D8=DATE(1900,1,0),DATE(1900,1,1),'Samples (PRINT)'!D8)</f>
        <v>1</v>
      </c>
      <c r="C53" s="176">
        <f>IF('Samples (PRINT)'!E8=DATE(1900,1,0),DATE(1900,1,1),'Samples (PRINT)'!E8)</f>
        <v>1</v>
      </c>
      <c r="D53" s="196">
        <f>'IWP04'!SampleNumber</f>
        <v>4</v>
      </c>
      <c r="E53" s="196">
        <f>'IWP04'!ClientID</f>
        <v>0</v>
      </c>
      <c r="F53" s="237"/>
      <c r="G53" s="237"/>
      <c r="H53" s="195" t="str">
        <f ca="1">IF('IWP04'!ContractNumber = 0, "", 'IWP04'!ContractNumber)</f>
        <v/>
      </c>
      <c r="I53" s="195" t="str">
        <f>IF('IWP04'!ContractType = 0, "", 'IWP04'!ContractType)</f>
        <v/>
      </c>
      <c r="J53" s="195" t="str">
        <f>IF('IWP04'!CompletedByLastName = 0, "", 'IWP04'!CompletedByLastName)</f>
        <v/>
      </c>
      <c r="K53" s="195" t="str">
        <f>IF('IWP04'!CompletedByFirstName = 0, "", 'IWP04'!CompletedByFirstName)</f>
        <v/>
      </c>
      <c r="L53" s="176">
        <f>IF('IWP04'!DateCompleted=DATE(1900,1,0),DATE(1900,1,1),'IWP04'!DateCompleted)</f>
        <v>1</v>
      </c>
      <c r="M53" s="195" t="str">
        <f>IF('IWP04'!Std2NotCalc = 0, "", 'IWP04'!Std2NotCalc)</f>
        <v/>
      </c>
      <c r="N53" s="195" t="str">
        <f>IF('IWP04'!Std2dot1 = 0, "", 'IWP04'!Std2dot1)</f>
        <v/>
      </c>
      <c r="O53" s="195" t="str">
        <f>IF('IWP04'!Std2dot2 = 0, "", 'IWP04'!Std2dot2)</f>
        <v/>
      </c>
      <c r="P53" s="195" t="str">
        <f>IF('IWP04'!Std2dot3 = 0, "", 'IWP04'!Std2dot3)</f>
        <v/>
      </c>
      <c r="Q53" s="195" t="str">
        <f>IF('IWP04'!Std2dot4 = 0, "", 'IWP04'!Std2dot4)</f>
        <v/>
      </c>
      <c r="R53" s="195" t="str">
        <f>IF('IWP04'!Std3NotCalc = 0, "", 'IWP04'!Std3NotCalc)</f>
        <v/>
      </c>
      <c r="S53" s="195" t="str">
        <f>IF('IWP04'!Std3dot1 = 0, "", 'IWP04'!Std3dot1)</f>
        <v/>
      </c>
      <c r="T53" s="195" t="str">
        <f>IF('IWP04'!Std4NotCalc = 0, "", 'IWP04'!Std4NotCalc)</f>
        <v/>
      </c>
      <c r="U53" s="195" t="str">
        <f>IF('IWP04'!Std4dot1a = 0, "", 'IWP04'!Std4dot1a)</f>
        <v/>
      </c>
      <c r="V53" s="195" t="str">
        <f>IF('IWP04'!Std4dot1b = 0, "", 'IWP04'!Std4dot1b)</f>
        <v>NA</v>
      </c>
      <c r="W53" s="195" t="str">
        <f>IF('IWP04'!Std4dot1c = 0, "", 'IWP04'!Std4dot1c)</f>
        <v/>
      </c>
      <c r="X53" s="195" t="str">
        <f>IF('IWP04'!Std4dot1d = 0, "", 'IWP04'!Std4dot1d)</f>
        <v/>
      </c>
      <c r="Y53" s="195" t="str">
        <f>IF('IWP04'!Std4dot1e = 0, "", 'IWP04'!Std4dot1e)</f>
        <v/>
      </c>
      <c r="Z53" s="195" t="str">
        <f>IF('IWP04'!Std4dot1f = 0, "", 'IWP04'!Std4dot1f)</f>
        <v/>
      </c>
      <c r="AA53" s="195" t="str">
        <f>IF('IWP04'!Std4dot1 = 0, "", 'IWP04'!Std4dot1)</f>
        <v/>
      </c>
      <c r="AB53" s="195" t="str">
        <f>IF('IWP04'!Std4dot2a = 0, "", 'IWP04'!Std4dot2a)</f>
        <v>NA</v>
      </c>
      <c r="AC53" s="195" t="str">
        <f>IF('IWP04'!Std4dot2b = 0, "", 'IWP04'!Std4dot2b)</f>
        <v>NA</v>
      </c>
      <c r="AD53" s="195" t="str">
        <f>IF('IWP04'!Std4dot2c = 0, "", 'IWP04'!Std4dot2c)</f>
        <v>NA</v>
      </c>
      <c r="AE53" s="195" t="str">
        <f>IF('IWP04'!Std4dot2d = 0, "", 'IWP04'!Std4dot2d)</f>
        <v>NA</v>
      </c>
      <c r="AF53" s="195" t="str">
        <f>IF('IWP04'!Std4dot2 = 0, "", 'IWP04'!Std4dot2)</f>
        <v>NA</v>
      </c>
      <c r="AG53" s="195" t="str">
        <f>IF('IWP04'!Std4dot3NotCalc = 0, "", 'IWP04'!Std4dot3NotCalc)</f>
        <v/>
      </c>
      <c r="AH53" s="172">
        <f>IF('IWP04'!Std4dot3DateOfTransfer=DATE(1900,1,0), DATE(1900,1,1), 'IWP04'!Std4dot3DateOfTransfer)</f>
        <v>1</v>
      </c>
      <c r="AI53" s="195" t="str">
        <f>IF('IWP04'!Std4dot3a = 0, "", 'IWP04'!Std4dot3a)</f>
        <v>NA</v>
      </c>
      <c r="AJ53" s="195" t="str">
        <f>IF('IWP04'!Std4dot3b = 0, "", 'IWP04'!Std4dot3b)</f>
        <v>NA</v>
      </c>
      <c r="AK53" s="195" t="str">
        <f>IF('IWP04'!Std4dot3c = 0, "", 'IWP04'!Std4dot3c)</f>
        <v>NA</v>
      </c>
      <c r="AL53" s="195" t="str">
        <f>IF('IWP04'!Std4dot3d = 0, "", 'IWP04'!Std4dot3d)</f>
        <v>NA</v>
      </c>
      <c r="AM53" s="195" t="str">
        <f>IF('IWP04'!Std4dot3e = 0, "", 'IWP04'!Std4dot3e)</f>
        <v/>
      </c>
      <c r="AN53" s="195" t="str">
        <f>IF('IWP04'!Std4dot3 = 0, "", 'IWP04'!Std4dot3)</f>
        <v/>
      </c>
      <c r="AO53" s="195"/>
      <c r="AP53" s="195" t="str">
        <f>IF('IWP04'!Std5dot1 = 0, "", 'IWP04'!Std5dot1)</f>
        <v>NA</v>
      </c>
      <c r="AQ53" s="195" t="str">
        <f>IF('IWP04'!Std6dot1NotCalc = 0, "", 'IWP04'!Std6dot1NotCalc)</f>
        <v/>
      </c>
      <c r="AR53" s="195" t="str">
        <f>IF('IWP04'!Std6dot1 = 0, "", 'IWP04'!Std6dot1)</f>
        <v/>
      </c>
      <c r="AS53" s="195" t="str">
        <f>IF('IWP04'!Std6dot2NotCalc = 0, "", 'IWP04'!Std6dot2NotCalc)</f>
        <v/>
      </c>
      <c r="AT53" s="172">
        <f>IF('IWP04'!Std6dot2DateOfNoteOfXfer=DATE(1900,1,0), DATE(1900,1,1), 'IWP04'!Std6dot2DateOfNoteOfXfer)</f>
        <v>1</v>
      </c>
      <c r="AU53" s="195" t="str">
        <f>IF('IWP04'!Std6dot2a = 0, "", 'IWP04'!Std6dot2a)</f>
        <v/>
      </c>
      <c r="AV53" s="195" t="str">
        <f>IF('IWP04'!Std6dot2b = 0, "", 'IWP04'!Std6dot2b)</f>
        <v/>
      </c>
      <c r="AW53" s="195" t="str">
        <f>IF('IWP04'!Std6dot2c = 0, "", 'IWP04'!Std6dot2c)</f>
        <v>NA</v>
      </c>
      <c r="AX53" s="195" t="str">
        <f>IF('IWP04'!Std6dot2d = 0, "", 'IWP04'!Std6dot2d)</f>
        <v>NA</v>
      </c>
      <c r="AY53" s="195" t="str">
        <f>IF('IWP04'!Std6dot2e = 0, "", 'IWP04'!Std6dot2e)</f>
        <v>NA</v>
      </c>
      <c r="AZ53" s="195" t="str">
        <f>IF('IWP04'!Std6dot2 = 0, "", 'IWP04'!Std6dot2)</f>
        <v/>
      </c>
      <c r="BA53" s="195" t="str">
        <f>IF('IWP04'!Std7NotCalc = 0, "", 'IWP04'!Std7NotCalc)</f>
        <v/>
      </c>
      <c r="BB53" s="195" t="str">
        <f>IF('IWP04'!Std7dot1 = 0, "", 'IWP04'!Std7dot1)</f>
        <v/>
      </c>
      <c r="BC53" s="195" t="str">
        <f>IF('IWP04'!Std7dot2 = 0, "", 'IWP04'!Std7dot2)</f>
        <v/>
      </c>
      <c r="BD53" s="195" t="str">
        <f>IF('IWP04'!Std8dot1 = 0, "", 'IWP04'!Std8dot1)</f>
        <v/>
      </c>
      <c r="BE53" s="195" t="str">
        <f>IF('IWP04'!Std8dot2NotCalc = 0, "", 'IWP04'!Std8dot2NotCalc)</f>
        <v/>
      </c>
      <c r="BF53" s="195" t="str">
        <f>IF('IWP04'!Std8dot2 = 0, "", 'IWP04'!Std8dot2)</f>
        <v/>
      </c>
      <c r="BG53" s="195" t="str">
        <f>IF('IWP04'!Std8dot3NotCalc = 0, "", 'IWP04'!Std8dot3NotCalc)</f>
        <v/>
      </c>
      <c r="BH53" s="195" t="str">
        <f>IF('IWP04'!Std8dot3 = 0, "", 'IWP04'!Std8dot3)</f>
        <v/>
      </c>
      <c r="BI53" s="195" t="str">
        <f>IF('IWP04'!Std9dot1 = 0, "", 'IWP04'!Std9dot1)</f>
        <v/>
      </c>
      <c r="BJ53" s="195" t="str">
        <f>IF('IWP04'!Std9dot2 = 0, "", 'IWP04'!Std9dot2)</f>
        <v/>
      </c>
      <c r="BK53" s="194" t="str">
        <f>IF('IWP04'!Std9dot3 = 0, "", 'IWP04'!Std9dot3)</f>
        <v/>
      </c>
    </row>
    <row r="54" spans="1:63">
      <c r="A54" s="183" t="s">
        <v>503</v>
      </c>
      <c r="B54" s="176">
        <f>IF('Samples (PRINT)'!D9=DATE(1900,1,0),DATE(1900,1,1),'Samples (PRINT)'!D9)</f>
        <v>1</v>
      </c>
      <c r="C54" s="176">
        <f>IF('Samples (PRINT)'!E9=DATE(1900,1,0),DATE(1900,1,1),'Samples (PRINT)'!E9)</f>
        <v>1</v>
      </c>
      <c r="D54" s="196">
        <f>'IWP05'!SampleNumber</f>
        <v>5</v>
      </c>
      <c r="E54" s="196">
        <f>'IWP05'!ClientID</f>
        <v>0</v>
      </c>
      <c r="F54" s="237"/>
      <c r="G54" s="237"/>
      <c r="H54" s="195" t="str">
        <f ca="1">IF('IWP05'!ContractNumber = 0, "", 'IWP05'!ContractNumber)</f>
        <v/>
      </c>
      <c r="I54" s="195" t="str">
        <f>IF('IWP05'!ContractType = 0, "", 'IWP05'!ContractType)</f>
        <v/>
      </c>
      <c r="J54" s="195" t="str">
        <f>IF('IWP05'!CompletedByLastName = 0, "", 'IWP05'!CompletedByLastName)</f>
        <v/>
      </c>
      <c r="K54" s="195" t="str">
        <f>IF('IWP05'!CompletedByFirstName = 0, "", 'IWP05'!CompletedByFirstName)</f>
        <v/>
      </c>
      <c r="L54" s="176">
        <f>IF('IWP05'!DateCompleted=DATE(1900,1,0),DATE(1900,1,1),'IWP05'!DateCompleted)</f>
        <v>1</v>
      </c>
      <c r="M54" s="195" t="str">
        <f>IF('IWP05'!Std2NotCalc = 0, "", 'IWP05'!Std2NotCalc)</f>
        <v/>
      </c>
      <c r="N54" s="195" t="str">
        <f>IF('IWP05'!Std2dot1 = 0, "", 'IWP05'!Std2dot1)</f>
        <v/>
      </c>
      <c r="O54" s="195" t="str">
        <f>IF('IWP05'!Std2dot2 = 0, "", 'IWP05'!Std2dot2)</f>
        <v/>
      </c>
      <c r="P54" s="195" t="str">
        <f>IF('IWP05'!Std2dot3 = 0, "", 'IWP05'!Std2dot3)</f>
        <v/>
      </c>
      <c r="Q54" s="195" t="str">
        <f>IF('IWP05'!Std2dot4 = 0, "", 'IWP05'!Std2dot4)</f>
        <v/>
      </c>
      <c r="R54" s="195" t="str">
        <f>IF('IWP05'!Std3NotCalc = 0, "", 'IWP05'!Std3NotCalc)</f>
        <v/>
      </c>
      <c r="S54" s="195" t="str">
        <f>IF('IWP05'!Std3dot1 = 0, "", 'IWP05'!Std3dot1)</f>
        <v/>
      </c>
      <c r="T54" s="195" t="str">
        <f>IF('IWP05'!Std4NotCalc = 0, "", 'IWP05'!Std4NotCalc)</f>
        <v/>
      </c>
      <c r="U54" s="195" t="str">
        <f>IF('IWP05'!Std4dot1a = 0, "", 'IWP05'!Std4dot1a)</f>
        <v/>
      </c>
      <c r="V54" s="195" t="str">
        <f>IF('IWP05'!Std4dot1b = 0, "", 'IWP05'!Std4dot1b)</f>
        <v>NA</v>
      </c>
      <c r="W54" s="195" t="str">
        <f>IF('IWP05'!Std4dot1c = 0, "", 'IWP05'!Std4dot1c)</f>
        <v/>
      </c>
      <c r="X54" s="195" t="str">
        <f>IF('IWP05'!Std4dot1d = 0, "", 'IWP05'!Std4dot1d)</f>
        <v/>
      </c>
      <c r="Y54" s="195" t="str">
        <f>IF('IWP05'!Std4dot1e = 0, "", 'IWP05'!Std4dot1e)</f>
        <v/>
      </c>
      <c r="Z54" s="195" t="str">
        <f>IF('IWP05'!Std4dot1f = 0, "", 'IWP05'!Std4dot1f)</f>
        <v/>
      </c>
      <c r="AA54" s="195" t="str">
        <f>IF('IWP05'!Std4dot1 = 0, "", 'IWP05'!Std4dot1)</f>
        <v/>
      </c>
      <c r="AB54" s="195" t="str">
        <f>IF('IWP05'!Std4dot2a = 0, "", 'IWP05'!Std4dot2a)</f>
        <v>NA</v>
      </c>
      <c r="AC54" s="195" t="str">
        <f>IF('IWP05'!Std4dot2b = 0, "", 'IWP05'!Std4dot2b)</f>
        <v>NA</v>
      </c>
      <c r="AD54" s="195" t="str">
        <f>IF('IWP05'!Std4dot2c = 0, "", 'IWP05'!Std4dot2c)</f>
        <v>NA</v>
      </c>
      <c r="AE54" s="195" t="str">
        <f>IF('IWP05'!Std4dot2d = 0, "", 'IWP05'!Std4dot2d)</f>
        <v>NA</v>
      </c>
      <c r="AF54" s="195" t="str">
        <f>IF('IWP05'!Std4dot2 = 0, "", 'IWP05'!Std4dot2)</f>
        <v>NA</v>
      </c>
      <c r="AG54" s="195" t="str">
        <f>IF('IWP05'!Std4dot3NotCalc = 0, "", 'IWP05'!Std4dot3NotCalc)</f>
        <v/>
      </c>
      <c r="AH54" s="172">
        <f>IF('IWP05'!Std4dot3DateOfTransfer=DATE(1900,1,0), DATE(1900,1,1), 'IWP05'!Std4dot3DateOfTransfer)</f>
        <v>1</v>
      </c>
      <c r="AI54" s="195" t="str">
        <f>IF('IWP05'!Std4dot3a = 0, "", 'IWP05'!Std4dot3a)</f>
        <v>NA</v>
      </c>
      <c r="AJ54" s="195" t="str">
        <f>IF('IWP05'!Std4dot3b = 0, "", 'IWP05'!Std4dot3b)</f>
        <v>NA</v>
      </c>
      <c r="AK54" s="195" t="str">
        <f>IF('IWP05'!Std4dot3c = 0, "", 'IWP05'!Std4dot3c)</f>
        <v>NA</v>
      </c>
      <c r="AL54" s="195" t="str">
        <f>IF('IWP05'!Std4dot3d = 0, "", 'IWP05'!Std4dot3d)</f>
        <v>NA</v>
      </c>
      <c r="AM54" s="195" t="str">
        <f>IF('IWP05'!Std4dot3e = 0, "", 'IWP05'!Std4dot3e)</f>
        <v/>
      </c>
      <c r="AN54" s="195" t="str">
        <f>IF('IWP05'!Std4dot3 = 0, "", 'IWP05'!Std4dot3)</f>
        <v/>
      </c>
      <c r="AO54" s="195"/>
      <c r="AP54" s="195" t="str">
        <f>IF('IWP05'!Std5dot1 = 0, "", 'IWP05'!Std5dot1)</f>
        <v>NA</v>
      </c>
      <c r="AQ54" s="195" t="str">
        <f>IF('IWP05'!Std6dot1NotCalc = 0, "", 'IWP05'!Std6dot1NotCalc)</f>
        <v/>
      </c>
      <c r="AR54" s="195" t="str">
        <f>IF('IWP05'!Std6dot1 = 0, "", 'IWP05'!Std6dot1)</f>
        <v/>
      </c>
      <c r="AS54" s="195" t="str">
        <f>IF('IWP05'!Std6dot2NotCalc = 0, "", 'IWP05'!Std6dot2NotCalc)</f>
        <v/>
      </c>
      <c r="AT54" s="172">
        <f>IF('IWP05'!Std6dot2DateOfNoteOfXfer=DATE(1900,1,0), DATE(1900,1,1), 'IWP05'!Std6dot2DateOfNoteOfXfer)</f>
        <v>1</v>
      </c>
      <c r="AU54" s="195" t="str">
        <f>IF('IWP05'!Std6dot2a = 0, "", 'IWP05'!Std6dot2a)</f>
        <v/>
      </c>
      <c r="AV54" s="195" t="str">
        <f>IF('IWP05'!Std6dot2b = 0, "", 'IWP05'!Std6dot2b)</f>
        <v/>
      </c>
      <c r="AW54" s="195" t="str">
        <f>IF('IWP05'!Std6dot2c = 0, "", 'IWP05'!Std6dot2c)</f>
        <v>NA</v>
      </c>
      <c r="AX54" s="195" t="str">
        <f>IF('IWP05'!Std6dot2d = 0, "", 'IWP05'!Std6dot2d)</f>
        <v>NA</v>
      </c>
      <c r="AY54" s="195" t="str">
        <f>IF('IWP05'!Std6dot2e = 0, "", 'IWP05'!Std6dot2e)</f>
        <v>NA</v>
      </c>
      <c r="AZ54" s="195" t="str">
        <f>IF('IWP05'!Std6dot2 = 0, "", 'IWP05'!Std6dot2)</f>
        <v/>
      </c>
      <c r="BA54" s="195" t="str">
        <f>IF('IWP05'!Std7NotCalc = 0, "", 'IWP05'!Std7NotCalc)</f>
        <v/>
      </c>
      <c r="BB54" s="195" t="str">
        <f>IF('IWP05'!Std7dot1 = 0, "", 'IWP05'!Std7dot1)</f>
        <v/>
      </c>
      <c r="BC54" s="195" t="str">
        <f>IF('IWP05'!Std7dot2 = 0, "", 'IWP05'!Std7dot2)</f>
        <v/>
      </c>
      <c r="BD54" s="195" t="str">
        <f>IF('IWP05'!Std8dot1 = 0, "", 'IWP05'!Std8dot1)</f>
        <v/>
      </c>
      <c r="BE54" s="195" t="str">
        <f>IF('IWP05'!Std8dot2NotCalc = 0, "", 'IWP05'!Std8dot2NotCalc)</f>
        <v/>
      </c>
      <c r="BF54" s="195" t="str">
        <f>IF('IWP05'!Std8dot2 = 0, "", 'IWP05'!Std8dot2)</f>
        <v/>
      </c>
      <c r="BG54" s="195" t="str">
        <f>IF('IWP05'!Std8dot3NotCalc = 0, "", 'IWP05'!Std8dot3NotCalc)</f>
        <v/>
      </c>
      <c r="BH54" s="195" t="str">
        <f>IF('IWP05'!Std8dot3 = 0, "", 'IWP05'!Std8dot3)</f>
        <v/>
      </c>
      <c r="BI54" s="195" t="str">
        <f>IF('IWP05'!Std9dot1 = 0, "", 'IWP05'!Std9dot1)</f>
        <v/>
      </c>
      <c r="BJ54" s="195" t="str">
        <f>IF('IWP05'!Std9dot2 = 0, "", 'IWP05'!Std9dot2)</f>
        <v/>
      </c>
      <c r="BK54" s="194" t="str">
        <f>IF('IWP05'!Std9dot3 = 0, "", 'IWP05'!Std9dot3)</f>
        <v/>
      </c>
    </row>
    <row r="55" spans="1:63">
      <c r="A55" s="183" t="s">
        <v>504</v>
      </c>
      <c r="B55" s="176">
        <f>IF('Samples (PRINT)'!D10=DATE(1900,1,0),DATE(1900,1,1),'Samples (PRINT)'!D10)</f>
        <v>1</v>
      </c>
      <c r="C55" s="176">
        <f>IF('Samples (PRINT)'!E10=DATE(1900,1,0),DATE(1900,1,1),'Samples (PRINT)'!E10)</f>
        <v>1</v>
      </c>
      <c r="D55" s="196">
        <f>'IWP06'!SampleNumber</f>
        <v>6</v>
      </c>
      <c r="E55" s="196">
        <f>'IWP06'!ClientID</f>
        <v>0</v>
      </c>
      <c r="F55" s="237"/>
      <c r="G55" s="237"/>
      <c r="H55" s="195" t="str">
        <f ca="1">IF('IWP06'!ContractNumber = 0, "", 'IWP06'!ContractNumber)</f>
        <v/>
      </c>
      <c r="I55" s="195" t="str">
        <f>IF('IWP06'!ContractType = 0, "", 'IWP06'!ContractType)</f>
        <v/>
      </c>
      <c r="J55" s="195" t="str">
        <f>IF('IWP06'!CompletedByLastName = 0, "", 'IWP06'!CompletedByLastName)</f>
        <v/>
      </c>
      <c r="K55" s="195" t="str">
        <f>IF('IWP06'!CompletedByFirstName = 0, "", 'IWP06'!CompletedByFirstName)</f>
        <v/>
      </c>
      <c r="L55" s="176">
        <f>IF('IWP06'!DateCompleted=DATE(1900,1,0),DATE(1900,1,1),'IWP06'!DateCompleted)</f>
        <v>1</v>
      </c>
      <c r="M55" s="195" t="str">
        <f>IF('IWP06'!Std2NotCalc = 0, "", 'IWP06'!Std2NotCalc)</f>
        <v/>
      </c>
      <c r="N55" s="195" t="str">
        <f>IF('IWP06'!Std2dot1 = 0, "", 'IWP06'!Std2dot1)</f>
        <v/>
      </c>
      <c r="O55" s="195" t="str">
        <f>IF('IWP06'!Std2dot2 = 0, "", 'IWP06'!Std2dot2)</f>
        <v/>
      </c>
      <c r="P55" s="195" t="str">
        <f>IF('IWP06'!Std2dot3 = 0, "", 'IWP06'!Std2dot3)</f>
        <v/>
      </c>
      <c r="Q55" s="195" t="str">
        <f>IF('IWP06'!Std2dot4 = 0, "", 'IWP06'!Std2dot4)</f>
        <v/>
      </c>
      <c r="R55" s="195" t="str">
        <f>IF('IWP06'!Std3NotCalc = 0, "", 'IWP06'!Std3NotCalc)</f>
        <v/>
      </c>
      <c r="S55" s="195" t="str">
        <f>IF('IWP06'!Std3dot1 = 0, "", 'IWP06'!Std3dot1)</f>
        <v/>
      </c>
      <c r="T55" s="195" t="str">
        <f>IF('IWP06'!Std4NotCalc = 0, "", 'IWP06'!Std4NotCalc)</f>
        <v/>
      </c>
      <c r="U55" s="195" t="str">
        <f>IF('IWP06'!Std4dot1a = 0, "", 'IWP06'!Std4dot1a)</f>
        <v/>
      </c>
      <c r="V55" s="195" t="str">
        <f>IF('IWP06'!Std4dot1b = 0, "", 'IWP06'!Std4dot1b)</f>
        <v>NA</v>
      </c>
      <c r="W55" s="195" t="str">
        <f>IF('IWP06'!Std4dot1c = 0, "", 'IWP06'!Std4dot1c)</f>
        <v/>
      </c>
      <c r="X55" s="195" t="str">
        <f>IF('IWP06'!Std4dot1d = 0, "", 'IWP06'!Std4dot1d)</f>
        <v/>
      </c>
      <c r="Y55" s="195" t="str">
        <f>IF('IWP06'!Std4dot1e = 0, "", 'IWP06'!Std4dot1e)</f>
        <v/>
      </c>
      <c r="Z55" s="195" t="str">
        <f>IF('IWP06'!Std4dot1f = 0, "", 'IWP06'!Std4dot1f)</f>
        <v/>
      </c>
      <c r="AA55" s="195" t="str">
        <f>IF('IWP06'!Std4dot1 = 0, "", 'IWP06'!Std4dot1)</f>
        <v/>
      </c>
      <c r="AB55" s="195" t="str">
        <f>IF('IWP06'!Std4dot2a = 0, "", 'IWP06'!Std4dot2a)</f>
        <v>NA</v>
      </c>
      <c r="AC55" s="195" t="str">
        <f>IF('IWP06'!Std4dot2b = 0, "", 'IWP06'!Std4dot2b)</f>
        <v>NA</v>
      </c>
      <c r="AD55" s="195" t="str">
        <f>IF('IWP06'!Std4dot2c = 0, "", 'IWP06'!Std4dot2c)</f>
        <v>NA</v>
      </c>
      <c r="AE55" s="195" t="str">
        <f>IF('IWP06'!Std4dot2d = 0, "", 'IWP06'!Std4dot2d)</f>
        <v>NA</v>
      </c>
      <c r="AF55" s="195" t="str">
        <f>IF('IWP06'!Std4dot2 = 0, "", 'IWP06'!Std4dot2)</f>
        <v>NA</v>
      </c>
      <c r="AG55" s="195" t="str">
        <f>IF('IWP06'!Std4dot3NotCalc = 0, "", 'IWP06'!Std4dot3NotCalc)</f>
        <v/>
      </c>
      <c r="AH55" s="172">
        <f>IF('IWP06'!Std4dot3DateOfTransfer=DATE(1900,1,0), DATE(1900,1,1), 'IWP06'!Std4dot3DateOfTransfer)</f>
        <v>1</v>
      </c>
      <c r="AI55" s="195" t="str">
        <f>IF('IWP06'!Std4dot3a = 0, "", 'IWP06'!Std4dot3a)</f>
        <v>NA</v>
      </c>
      <c r="AJ55" s="195" t="str">
        <f>IF('IWP06'!Std4dot3b = 0, "", 'IWP06'!Std4dot3b)</f>
        <v>NA</v>
      </c>
      <c r="AK55" s="195" t="str">
        <f>IF('IWP06'!Std4dot3c = 0, "", 'IWP06'!Std4dot3c)</f>
        <v>NA</v>
      </c>
      <c r="AL55" s="195" t="str">
        <f>IF('IWP06'!Std4dot3d = 0, "", 'IWP06'!Std4dot3d)</f>
        <v>NA</v>
      </c>
      <c r="AM55" s="195" t="str">
        <f>IF('IWP06'!Std4dot3e = 0, "", 'IWP06'!Std4dot3e)</f>
        <v/>
      </c>
      <c r="AN55" s="195" t="str">
        <f>IF('IWP06'!Std4dot3 = 0, "", 'IWP06'!Std4dot3)</f>
        <v/>
      </c>
      <c r="AO55" s="195"/>
      <c r="AP55" s="195" t="str">
        <f>IF('IWP06'!Std5dot1 = 0, "", 'IWP06'!Std5dot1)</f>
        <v>NA</v>
      </c>
      <c r="AQ55" s="195" t="str">
        <f>IF('IWP06'!Std6dot1NotCalc = 0, "", 'IWP06'!Std6dot1NotCalc)</f>
        <v/>
      </c>
      <c r="AR55" s="195" t="str">
        <f>IF('IWP06'!Std6dot1 = 0, "", 'IWP06'!Std6dot1)</f>
        <v/>
      </c>
      <c r="AS55" s="195" t="str">
        <f>IF('IWP06'!Std6dot2NotCalc = 0, "", 'IWP06'!Std6dot2NotCalc)</f>
        <v/>
      </c>
      <c r="AT55" s="172">
        <f>IF('IWP06'!Std6dot2DateOfNoteOfXfer=DATE(1900,1,0), DATE(1900,1,1), 'IWP06'!Std6dot2DateOfNoteOfXfer)</f>
        <v>1</v>
      </c>
      <c r="AU55" s="195" t="str">
        <f>IF('IWP06'!Std6dot2a = 0, "", 'IWP06'!Std6dot2a)</f>
        <v/>
      </c>
      <c r="AV55" s="195" t="str">
        <f>IF('IWP06'!Std6dot2b = 0, "", 'IWP06'!Std6dot2b)</f>
        <v/>
      </c>
      <c r="AW55" s="195" t="str">
        <f>IF('IWP06'!Std6dot2c = 0, "", 'IWP06'!Std6dot2c)</f>
        <v>NA</v>
      </c>
      <c r="AX55" s="195" t="str">
        <f>IF('IWP06'!Std6dot2d = 0, "", 'IWP06'!Std6dot2d)</f>
        <v>NA</v>
      </c>
      <c r="AY55" s="195" t="str">
        <f>IF('IWP06'!Std6dot2e = 0, "", 'IWP06'!Std6dot2e)</f>
        <v>NA</v>
      </c>
      <c r="AZ55" s="195" t="str">
        <f>IF('IWP06'!Std6dot2 = 0, "", 'IWP06'!Std6dot2)</f>
        <v/>
      </c>
      <c r="BA55" s="195" t="str">
        <f>IF('IWP06'!Std7NotCalc = 0, "", 'IWP06'!Std7NotCalc)</f>
        <v/>
      </c>
      <c r="BB55" s="195" t="str">
        <f>IF('IWP06'!Std7dot1 = 0, "", 'IWP06'!Std7dot1)</f>
        <v/>
      </c>
      <c r="BC55" s="195" t="str">
        <f>IF('IWP06'!Std7dot2 = 0, "", 'IWP06'!Std7dot2)</f>
        <v/>
      </c>
      <c r="BD55" s="195" t="str">
        <f>IF('IWP06'!Std8dot1 = 0, "", 'IWP06'!Std8dot1)</f>
        <v/>
      </c>
      <c r="BE55" s="195" t="str">
        <f>IF('IWP06'!Std8dot2NotCalc = 0, "", 'IWP06'!Std8dot2NotCalc)</f>
        <v/>
      </c>
      <c r="BF55" s="195" t="str">
        <f>IF('IWP06'!Std8dot2 = 0, "", 'IWP06'!Std8dot2)</f>
        <v/>
      </c>
      <c r="BG55" s="195" t="str">
        <f>IF('IWP06'!Std8dot3NotCalc = 0, "", 'IWP06'!Std8dot3NotCalc)</f>
        <v/>
      </c>
      <c r="BH55" s="195" t="str">
        <f>IF('IWP06'!Std8dot3 = 0, "", 'IWP06'!Std8dot3)</f>
        <v/>
      </c>
      <c r="BI55" s="195" t="str">
        <f>IF('IWP06'!Std9dot1 = 0, "", 'IWP06'!Std9dot1)</f>
        <v/>
      </c>
      <c r="BJ55" s="195" t="str">
        <f>IF('IWP06'!Std9dot2 = 0, "", 'IWP06'!Std9dot2)</f>
        <v/>
      </c>
      <c r="BK55" s="194" t="str">
        <f>IF('IWP06'!Std9dot3 = 0, "", 'IWP06'!Std9dot3)</f>
        <v/>
      </c>
    </row>
    <row r="56" spans="1:63">
      <c r="A56" s="183" t="s">
        <v>505</v>
      </c>
      <c r="B56" s="176">
        <f>IF('Samples (PRINT)'!D11=DATE(1900,1,0),DATE(1900,1,1),'Samples (PRINT)'!D11)</f>
        <v>1</v>
      </c>
      <c r="C56" s="176">
        <f>IF('Samples (PRINT)'!E11=DATE(1900,1,0),DATE(1900,1,1),'Samples (PRINT)'!E11)</f>
        <v>1</v>
      </c>
      <c r="D56" s="196">
        <f>'IWP07'!SampleNumber</f>
        <v>7</v>
      </c>
      <c r="E56" s="196">
        <f>'IWP07'!ClientID</f>
        <v>0</v>
      </c>
      <c r="F56" s="237"/>
      <c r="G56" s="237"/>
      <c r="H56" s="195" t="str">
        <f ca="1">IF('IWP07'!ContractNumber = 0, "", 'IWP07'!ContractNumber)</f>
        <v/>
      </c>
      <c r="I56" s="195" t="str">
        <f>IF('IWP07'!ContractType = 0, "", 'IWP07'!ContractType)</f>
        <v/>
      </c>
      <c r="J56" s="195" t="str">
        <f>IF('IWP07'!CompletedByLastName = 0, "", 'IWP07'!CompletedByLastName)</f>
        <v/>
      </c>
      <c r="K56" s="195" t="str">
        <f>IF('IWP07'!CompletedByFirstName = 0, "", 'IWP07'!CompletedByFirstName)</f>
        <v/>
      </c>
      <c r="L56" s="176">
        <f>IF('IWP07'!DateCompleted=DATE(1900,1,0),DATE(1900,1,1),'IWP07'!DateCompleted)</f>
        <v>1</v>
      </c>
      <c r="M56" s="195" t="str">
        <f>IF('IWP07'!Std2NotCalc = 0, "", 'IWP07'!Std2NotCalc)</f>
        <v/>
      </c>
      <c r="N56" s="195" t="str">
        <f>IF('IWP07'!Std2dot1 = 0, "", 'IWP07'!Std2dot1)</f>
        <v/>
      </c>
      <c r="O56" s="195" t="str">
        <f>IF('IWP07'!Std2dot2 = 0, "", 'IWP07'!Std2dot2)</f>
        <v/>
      </c>
      <c r="P56" s="195" t="str">
        <f>IF('IWP07'!Std2dot3 = 0, "", 'IWP07'!Std2dot3)</f>
        <v/>
      </c>
      <c r="Q56" s="195" t="str">
        <f>IF('IWP07'!Std2dot4 = 0, "", 'IWP07'!Std2dot4)</f>
        <v/>
      </c>
      <c r="R56" s="195" t="str">
        <f>IF('IWP07'!Std3NotCalc = 0, "", 'IWP07'!Std3NotCalc)</f>
        <v/>
      </c>
      <c r="S56" s="195" t="str">
        <f>IF('IWP07'!Std3dot1 = 0, "", 'IWP07'!Std3dot1)</f>
        <v/>
      </c>
      <c r="T56" s="195" t="str">
        <f>IF('IWP07'!Std4NotCalc = 0, "", 'IWP07'!Std4NotCalc)</f>
        <v/>
      </c>
      <c r="U56" s="195" t="str">
        <f>IF('IWP07'!Std4dot1a = 0, "", 'IWP07'!Std4dot1a)</f>
        <v/>
      </c>
      <c r="V56" s="195" t="str">
        <f>IF('IWP07'!Std4dot1b = 0, "", 'IWP07'!Std4dot1b)</f>
        <v>NA</v>
      </c>
      <c r="W56" s="195" t="str">
        <f>IF('IWP07'!Std4dot1c = 0, "", 'IWP07'!Std4dot1c)</f>
        <v/>
      </c>
      <c r="X56" s="195" t="str">
        <f>IF('IWP07'!Std4dot1d = 0, "", 'IWP07'!Std4dot1d)</f>
        <v/>
      </c>
      <c r="Y56" s="195" t="str">
        <f>IF('IWP07'!Std4dot1e = 0, "", 'IWP07'!Std4dot1e)</f>
        <v/>
      </c>
      <c r="Z56" s="195" t="str">
        <f>IF('IWP07'!Std4dot1f = 0, "", 'IWP07'!Std4dot1f)</f>
        <v/>
      </c>
      <c r="AA56" s="195" t="str">
        <f>IF('IWP07'!Std4dot1 = 0, "", 'IWP07'!Std4dot1)</f>
        <v/>
      </c>
      <c r="AB56" s="195" t="str">
        <f>IF('IWP07'!Std4dot2a = 0, "", 'IWP07'!Std4dot2a)</f>
        <v>NA</v>
      </c>
      <c r="AC56" s="195" t="str">
        <f>IF('IWP07'!Std4dot2b = 0, "", 'IWP07'!Std4dot2b)</f>
        <v>NA</v>
      </c>
      <c r="AD56" s="195" t="str">
        <f>IF('IWP07'!Std4dot2c = 0, "", 'IWP07'!Std4dot2c)</f>
        <v>NA</v>
      </c>
      <c r="AE56" s="195" t="str">
        <f>IF('IWP07'!Std4dot2d = 0, "", 'IWP07'!Std4dot2d)</f>
        <v>NA</v>
      </c>
      <c r="AF56" s="195" t="str">
        <f>IF('IWP07'!Std4dot2 = 0, "", 'IWP07'!Std4dot2)</f>
        <v>NA</v>
      </c>
      <c r="AG56" s="195" t="str">
        <f>IF('IWP07'!Std4dot3NotCalc = 0, "", 'IWP07'!Std4dot3NotCalc)</f>
        <v/>
      </c>
      <c r="AH56" s="172">
        <f>IF('IWP07'!Std4dot3DateOfTransfer=DATE(1900,1,0), DATE(1900,1,1), 'IWP07'!Std4dot3DateOfTransfer)</f>
        <v>1</v>
      </c>
      <c r="AI56" s="195" t="str">
        <f>IF('IWP07'!Std4dot3a = 0, "", 'IWP07'!Std4dot3a)</f>
        <v>NA</v>
      </c>
      <c r="AJ56" s="195" t="str">
        <f>IF('IWP07'!Std4dot3b = 0, "", 'IWP07'!Std4dot3b)</f>
        <v>NA</v>
      </c>
      <c r="AK56" s="195" t="str">
        <f>IF('IWP07'!Std4dot3c = 0, "", 'IWP07'!Std4dot3c)</f>
        <v>NA</v>
      </c>
      <c r="AL56" s="195" t="str">
        <f>IF('IWP07'!Std4dot3d = 0, "", 'IWP07'!Std4dot3d)</f>
        <v>NA</v>
      </c>
      <c r="AM56" s="195" t="str">
        <f>IF('IWP07'!Std4dot3e = 0, "", 'IWP07'!Std4dot3e)</f>
        <v/>
      </c>
      <c r="AN56" s="195" t="str">
        <f>IF('IWP07'!Std4dot3 = 0, "", 'IWP07'!Std4dot3)</f>
        <v/>
      </c>
      <c r="AO56" s="195"/>
      <c r="AP56" s="195" t="str">
        <f>IF('IWP07'!Std5dot1 = 0, "", 'IWP07'!Std5dot1)</f>
        <v>NA</v>
      </c>
      <c r="AQ56" s="195" t="str">
        <f>IF('IWP07'!Std6dot1NotCalc = 0, "", 'IWP07'!Std6dot1NotCalc)</f>
        <v/>
      </c>
      <c r="AR56" s="195" t="str">
        <f>IF('IWP07'!Std6dot1 = 0, "", 'IWP07'!Std6dot1)</f>
        <v/>
      </c>
      <c r="AS56" s="195" t="str">
        <f>IF('IWP07'!Std6dot2NotCalc = 0, "", 'IWP07'!Std6dot2NotCalc)</f>
        <v/>
      </c>
      <c r="AT56" s="172">
        <f>IF('IWP07'!Std6dot2DateOfNoteOfXfer=DATE(1900,1,0), DATE(1900,1,1), 'IWP07'!Std6dot2DateOfNoteOfXfer)</f>
        <v>1</v>
      </c>
      <c r="AU56" s="195" t="str">
        <f>IF('IWP07'!Std6dot2a = 0, "", 'IWP07'!Std6dot2a)</f>
        <v/>
      </c>
      <c r="AV56" s="195" t="str">
        <f>IF('IWP07'!Std6dot2b = 0, "", 'IWP07'!Std6dot2b)</f>
        <v/>
      </c>
      <c r="AW56" s="195" t="str">
        <f>IF('IWP07'!Std6dot2c = 0, "", 'IWP07'!Std6dot2c)</f>
        <v>NA</v>
      </c>
      <c r="AX56" s="195" t="str">
        <f>IF('IWP07'!Std6dot2d = 0, "", 'IWP07'!Std6dot2d)</f>
        <v>NA</v>
      </c>
      <c r="AY56" s="195" t="str">
        <f>IF('IWP07'!Std6dot2e = 0, "", 'IWP07'!Std6dot2e)</f>
        <v>NA</v>
      </c>
      <c r="AZ56" s="195" t="str">
        <f>IF('IWP07'!Std6dot2 = 0, "", 'IWP07'!Std6dot2)</f>
        <v/>
      </c>
      <c r="BA56" s="195" t="str">
        <f>IF('IWP07'!Std7NotCalc = 0, "", 'IWP07'!Std7NotCalc)</f>
        <v/>
      </c>
      <c r="BB56" s="195" t="str">
        <f>IF('IWP07'!Std7dot1 = 0, "", 'IWP07'!Std7dot1)</f>
        <v/>
      </c>
      <c r="BC56" s="195" t="str">
        <f>IF('IWP07'!Std7dot2 = 0, "", 'IWP07'!Std7dot2)</f>
        <v/>
      </c>
      <c r="BD56" s="195" t="str">
        <f>IF('IWP07'!Std8dot1 = 0, "", 'IWP07'!Std8dot1)</f>
        <v/>
      </c>
      <c r="BE56" s="195" t="str">
        <f>IF('IWP07'!Std8dot2NotCalc = 0, "", 'IWP07'!Std8dot2NotCalc)</f>
        <v/>
      </c>
      <c r="BF56" s="195" t="str">
        <f>IF('IWP07'!Std8dot2 = 0, "", 'IWP07'!Std8dot2)</f>
        <v/>
      </c>
      <c r="BG56" s="195" t="str">
        <f>IF('IWP07'!Std8dot3NotCalc = 0, "", 'IWP07'!Std8dot3NotCalc)</f>
        <v/>
      </c>
      <c r="BH56" s="195" t="str">
        <f>IF('IWP07'!Std8dot3 = 0, "", 'IWP07'!Std8dot3)</f>
        <v/>
      </c>
      <c r="BI56" s="195" t="str">
        <f>IF('IWP07'!Std9dot1 = 0, "", 'IWP07'!Std9dot1)</f>
        <v/>
      </c>
      <c r="BJ56" s="195" t="str">
        <f>IF('IWP07'!Std9dot2 = 0, "", 'IWP07'!Std9dot2)</f>
        <v/>
      </c>
      <c r="BK56" s="194" t="str">
        <f>IF('IWP07'!Std9dot3 = 0, "", 'IWP07'!Std9dot3)</f>
        <v/>
      </c>
    </row>
    <row r="57" spans="1:63">
      <c r="A57" s="183" t="s">
        <v>506</v>
      </c>
      <c r="B57" s="176">
        <f>IF('Samples (PRINT)'!D12=DATE(1900,1,0),DATE(1900,1,1),'Samples (PRINT)'!D12)</f>
        <v>1</v>
      </c>
      <c r="C57" s="176">
        <f>IF('Samples (PRINT)'!E12=DATE(1900,1,0),DATE(1900,1,1),'Samples (PRINT)'!E12)</f>
        <v>1</v>
      </c>
      <c r="D57" s="196">
        <f>'IWP08'!SampleNumber</f>
        <v>8</v>
      </c>
      <c r="E57" s="196">
        <f>'IWP08'!ClientID</f>
        <v>0</v>
      </c>
      <c r="F57" s="237"/>
      <c r="G57" s="237"/>
      <c r="H57" s="195" t="str">
        <f ca="1">IF('IWP08'!ContractNumber = 0, "", 'IWP08'!ContractNumber)</f>
        <v/>
      </c>
      <c r="I57" s="195" t="str">
        <f>IF('IWP08'!ContractType = 0, "", 'IWP08'!ContractType)</f>
        <v/>
      </c>
      <c r="J57" s="195" t="str">
        <f>IF('IWP08'!CompletedByLastName = 0, "", 'IWP08'!CompletedByLastName)</f>
        <v/>
      </c>
      <c r="K57" s="195" t="str">
        <f>IF('IWP08'!CompletedByFirstName = 0, "", 'IWP08'!CompletedByFirstName)</f>
        <v/>
      </c>
      <c r="L57" s="176">
        <f>IF('IWP08'!DateCompleted=DATE(1900,1,0),DATE(1900,1,1),'IWP08'!DateCompleted)</f>
        <v>1</v>
      </c>
      <c r="M57" s="195" t="str">
        <f>IF('IWP08'!Std2NotCalc = 0, "", 'IWP08'!Std2NotCalc)</f>
        <v/>
      </c>
      <c r="N57" s="195" t="str">
        <f>IF('IWP08'!Std2dot1 = 0, "", 'IWP08'!Std2dot1)</f>
        <v/>
      </c>
      <c r="O57" s="195" t="str">
        <f>IF('IWP08'!Std2dot2 = 0, "", 'IWP08'!Std2dot2)</f>
        <v/>
      </c>
      <c r="P57" s="195" t="str">
        <f>IF('IWP08'!Std2dot3 = 0, "", 'IWP08'!Std2dot3)</f>
        <v/>
      </c>
      <c r="Q57" s="195" t="str">
        <f>IF('IWP08'!Std2dot4 = 0, "", 'IWP08'!Std2dot4)</f>
        <v/>
      </c>
      <c r="R57" s="195" t="str">
        <f>IF('IWP08'!Std3NotCalc = 0, "", 'IWP08'!Std3NotCalc)</f>
        <v/>
      </c>
      <c r="S57" s="195" t="str">
        <f>IF('IWP08'!Std3dot1 = 0, "", 'IWP08'!Std3dot1)</f>
        <v/>
      </c>
      <c r="T57" s="195" t="str">
        <f>IF('IWP08'!Std4NotCalc = 0, "", 'IWP08'!Std4NotCalc)</f>
        <v/>
      </c>
      <c r="U57" s="195" t="str">
        <f>IF('IWP08'!Std4dot1a = 0, "", 'IWP08'!Std4dot1a)</f>
        <v/>
      </c>
      <c r="V57" s="195" t="str">
        <f>IF('IWP08'!Std4dot1b = 0, "", 'IWP08'!Std4dot1b)</f>
        <v>NA</v>
      </c>
      <c r="W57" s="195" t="str">
        <f>IF('IWP08'!Std4dot1c = 0, "", 'IWP08'!Std4dot1c)</f>
        <v/>
      </c>
      <c r="X57" s="195" t="str">
        <f>IF('IWP08'!Std4dot1d = 0, "", 'IWP08'!Std4dot1d)</f>
        <v/>
      </c>
      <c r="Y57" s="195" t="str">
        <f>IF('IWP08'!Std4dot1e = 0, "", 'IWP08'!Std4dot1e)</f>
        <v/>
      </c>
      <c r="Z57" s="195" t="str">
        <f>IF('IWP08'!Std4dot1f = 0, "", 'IWP08'!Std4dot1f)</f>
        <v/>
      </c>
      <c r="AA57" s="195" t="str">
        <f>IF('IWP08'!Std4dot1 = 0, "", 'IWP08'!Std4dot1)</f>
        <v/>
      </c>
      <c r="AB57" s="195" t="str">
        <f>IF('IWP08'!Std4dot2a = 0, "", 'IWP08'!Std4dot2a)</f>
        <v>NA</v>
      </c>
      <c r="AC57" s="195" t="str">
        <f>IF('IWP08'!Std4dot2b = 0, "", 'IWP08'!Std4dot2b)</f>
        <v>NA</v>
      </c>
      <c r="AD57" s="195" t="str">
        <f>IF('IWP08'!Std4dot2c = 0, "", 'IWP08'!Std4dot2c)</f>
        <v>NA</v>
      </c>
      <c r="AE57" s="195" t="str">
        <f>IF('IWP08'!Std4dot2d = 0, "", 'IWP08'!Std4dot2d)</f>
        <v>NA</v>
      </c>
      <c r="AF57" s="195" t="str">
        <f>IF('IWP08'!Std4dot2 = 0, "", 'IWP08'!Std4dot2)</f>
        <v>NA</v>
      </c>
      <c r="AG57" s="195" t="str">
        <f>IF('IWP08'!Std4dot3NotCalc = 0, "", 'IWP08'!Std4dot3NotCalc)</f>
        <v/>
      </c>
      <c r="AH57" s="172">
        <f>IF('IWP08'!Std4dot3DateOfTransfer=DATE(1900,1,0), DATE(1900,1,1), 'IWP08'!Std4dot3DateOfTransfer)</f>
        <v>1</v>
      </c>
      <c r="AI57" s="195" t="str">
        <f>IF('IWP08'!Std4dot3a = 0, "", 'IWP08'!Std4dot3a)</f>
        <v>NA</v>
      </c>
      <c r="AJ57" s="195" t="str">
        <f>IF('IWP08'!Std4dot3b = 0, "", 'IWP08'!Std4dot3b)</f>
        <v>NA</v>
      </c>
      <c r="AK57" s="195" t="str">
        <f>IF('IWP08'!Std4dot3c = 0, "", 'IWP08'!Std4dot3c)</f>
        <v>NA</v>
      </c>
      <c r="AL57" s="195" t="str">
        <f>IF('IWP08'!Std4dot3d = 0, "", 'IWP08'!Std4dot3d)</f>
        <v>NA</v>
      </c>
      <c r="AM57" s="195" t="str">
        <f>IF('IWP08'!Std4dot3e = 0, "", 'IWP08'!Std4dot3e)</f>
        <v/>
      </c>
      <c r="AN57" s="195" t="str">
        <f>IF('IWP08'!Std4dot3 = 0, "", 'IWP08'!Std4dot3)</f>
        <v/>
      </c>
      <c r="AO57" s="195"/>
      <c r="AP57" s="195" t="str">
        <f>IF('IWP08'!Std5dot1 = 0, "", 'IWP08'!Std5dot1)</f>
        <v>NA</v>
      </c>
      <c r="AQ57" s="195" t="str">
        <f>IF('IWP08'!Std6dot1NotCalc = 0, "", 'IWP08'!Std6dot1NotCalc)</f>
        <v/>
      </c>
      <c r="AR57" s="195" t="str">
        <f>IF('IWP08'!Std6dot1 = 0, "", 'IWP08'!Std6dot1)</f>
        <v/>
      </c>
      <c r="AS57" s="195" t="str">
        <f>IF('IWP08'!Std6dot2NotCalc = 0, "", 'IWP08'!Std6dot2NotCalc)</f>
        <v/>
      </c>
      <c r="AT57" s="172">
        <f>IF('IWP08'!Std6dot2DateOfNoteOfXfer=DATE(1900,1,0), DATE(1900,1,1), 'IWP08'!Std6dot2DateOfNoteOfXfer)</f>
        <v>1</v>
      </c>
      <c r="AU57" s="195" t="str">
        <f>IF('IWP08'!Std6dot2a = 0, "", 'IWP08'!Std6dot2a)</f>
        <v/>
      </c>
      <c r="AV57" s="195" t="str">
        <f>IF('IWP08'!Std6dot2b = 0, "", 'IWP08'!Std6dot2b)</f>
        <v/>
      </c>
      <c r="AW57" s="195" t="str">
        <f>IF('IWP08'!Std6dot2c = 0, "", 'IWP08'!Std6dot2c)</f>
        <v>NA</v>
      </c>
      <c r="AX57" s="195" t="str">
        <f>IF('IWP08'!Std6dot2d = 0, "", 'IWP08'!Std6dot2d)</f>
        <v>NA</v>
      </c>
      <c r="AY57" s="195" t="str">
        <f>IF('IWP08'!Std6dot2e = 0, "", 'IWP08'!Std6dot2e)</f>
        <v>NA</v>
      </c>
      <c r="AZ57" s="195" t="str">
        <f>IF('IWP08'!Std6dot2 = 0, "", 'IWP08'!Std6dot2)</f>
        <v/>
      </c>
      <c r="BA57" s="195" t="str">
        <f>IF('IWP08'!Std7NotCalc = 0, "", 'IWP08'!Std7NotCalc)</f>
        <v/>
      </c>
      <c r="BB57" s="195" t="str">
        <f>IF('IWP08'!Std7dot1 = 0, "", 'IWP08'!Std7dot1)</f>
        <v/>
      </c>
      <c r="BC57" s="195" t="str">
        <f>IF('IWP08'!Std7dot2 = 0, "", 'IWP08'!Std7dot2)</f>
        <v/>
      </c>
      <c r="BD57" s="195" t="str">
        <f>IF('IWP08'!Std8dot1 = 0, "", 'IWP08'!Std8dot1)</f>
        <v/>
      </c>
      <c r="BE57" s="195" t="str">
        <f>IF('IWP08'!Std8dot2NotCalc = 0, "", 'IWP08'!Std8dot2NotCalc)</f>
        <v/>
      </c>
      <c r="BF57" s="195" t="str">
        <f>IF('IWP08'!Std8dot2 = 0, "", 'IWP08'!Std8dot2)</f>
        <v/>
      </c>
      <c r="BG57" s="195" t="str">
        <f>IF('IWP08'!Std8dot3NotCalc = 0, "", 'IWP08'!Std8dot3NotCalc)</f>
        <v/>
      </c>
      <c r="BH57" s="195" t="str">
        <f>IF('IWP08'!Std8dot3 = 0, "", 'IWP08'!Std8dot3)</f>
        <v/>
      </c>
      <c r="BI57" s="195" t="str">
        <f>IF('IWP08'!Std9dot1 = 0, "", 'IWP08'!Std9dot1)</f>
        <v/>
      </c>
      <c r="BJ57" s="195" t="str">
        <f>IF('IWP08'!Std9dot2 = 0, "", 'IWP08'!Std9dot2)</f>
        <v/>
      </c>
      <c r="BK57" s="194" t="str">
        <f>IF('IWP08'!Std9dot3 = 0, "", 'IWP08'!Std9dot3)</f>
        <v/>
      </c>
    </row>
    <row r="58" spans="1:63">
      <c r="A58" s="183" t="s">
        <v>507</v>
      </c>
      <c r="B58" s="176">
        <f>IF('Samples (PRINT)'!D13=DATE(1900,1,0),DATE(1900,1,1),'Samples (PRINT)'!D13)</f>
        <v>1</v>
      </c>
      <c r="C58" s="176">
        <f>IF('Samples (PRINT)'!E13=DATE(1900,1,0),DATE(1900,1,1),'Samples (PRINT)'!E13)</f>
        <v>1</v>
      </c>
      <c r="D58" s="196">
        <f>'IWP09'!SampleNumber</f>
        <v>9</v>
      </c>
      <c r="E58" s="196">
        <f>'IWP09'!ClientID</f>
        <v>0</v>
      </c>
      <c r="F58" s="237"/>
      <c r="G58" s="237"/>
      <c r="H58" s="195" t="str">
        <f ca="1">IF('IWP09'!ContractNumber = 0, "", 'IWP09'!ContractNumber)</f>
        <v/>
      </c>
      <c r="I58" s="195" t="str">
        <f>IF('IWP09'!ContractType = 0, "", 'IWP09'!ContractType)</f>
        <v/>
      </c>
      <c r="J58" s="195" t="str">
        <f>IF('IWP09'!CompletedByLastName = 0, "", 'IWP09'!CompletedByLastName)</f>
        <v/>
      </c>
      <c r="K58" s="195" t="str">
        <f>IF('IWP09'!CompletedByFirstName = 0, "", 'IWP09'!CompletedByFirstName)</f>
        <v/>
      </c>
      <c r="L58" s="176">
        <f>IF('IWP09'!DateCompleted=DATE(1900,1,0),DATE(1900,1,1),'IWP09'!DateCompleted)</f>
        <v>1</v>
      </c>
      <c r="M58" s="195" t="str">
        <f>IF('IWP09'!Std2NotCalc = 0, "", 'IWP09'!Std2NotCalc)</f>
        <v/>
      </c>
      <c r="N58" s="195" t="str">
        <f>IF('IWP09'!Std2dot1 = 0, "", 'IWP09'!Std2dot1)</f>
        <v/>
      </c>
      <c r="O58" s="195" t="str">
        <f>IF('IWP09'!Std2dot2 = 0, "", 'IWP09'!Std2dot2)</f>
        <v/>
      </c>
      <c r="P58" s="195" t="str">
        <f>IF('IWP09'!Std2dot3 = 0, "", 'IWP09'!Std2dot3)</f>
        <v/>
      </c>
      <c r="Q58" s="195" t="str">
        <f>IF('IWP09'!Std2dot4 = 0, "", 'IWP09'!Std2dot4)</f>
        <v/>
      </c>
      <c r="R58" s="195" t="str">
        <f>IF('IWP09'!Std3NotCalc = 0, "", 'IWP09'!Std3NotCalc)</f>
        <v/>
      </c>
      <c r="S58" s="195" t="str">
        <f>IF('IWP09'!Std3dot1 = 0, "", 'IWP09'!Std3dot1)</f>
        <v/>
      </c>
      <c r="T58" s="195" t="str">
        <f>IF('IWP09'!Std4NotCalc = 0, "", 'IWP09'!Std4NotCalc)</f>
        <v/>
      </c>
      <c r="U58" s="195" t="str">
        <f>IF('IWP09'!Std4dot1a = 0, "", 'IWP09'!Std4dot1a)</f>
        <v/>
      </c>
      <c r="V58" s="195" t="str">
        <f>IF('IWP09'!Std4dot1b = 0, "", 'IWP09'!Std4dot1b)</f>
        <v>NA</v>
      </c>
      <c r="W58" s="195" t="str">
        <f>IF('IWP09'!Std4dot1c = 0, "", 'IWP09'!Std4dot1c)</f>
        <v/>
      </c>
      <c r="X58" s="195" t="str">
        <f>IF('IWP09'!Std4dot1d = 0, "", 'IWP09'!Std4dot1d)</f>
        <v/>
      </c>
      <c r="Y58" s="195" t="str">
        <f>IF('IWP09'!Std4dot1e = 0, "", 'IWP09'!Std4dot1e)</f>
        <v/>
      </c>
      <c r="Z58" s="195" t="str">
        <f>IF('IWP09'!Std4dot1f = 0, "", 'IWP09'!Std4dot1f)</f>
        <v/>
      </c>
      <c r="AA58" s="195" t="str">
        <f>IF('IWP09'!Std4dot1 = 0, "", 'IWP09'!Std4dot1)</f>
        <v/>
      </c>
      <c r="AB58" s="195" t="str">
        <f>IF('IWP09'!Std4dot2a = 0, "", 'IWP09'!Std4dot2a)</f>
        <v>NA</v>
      </c>
      <c r="AC58" s="195" t="str">
        <f>IF('IWP09'!Std4dot2b = 0, "", 'IWP09'!Std4dot2b)</f>
        <v>NA</v>
      </c>
      <c r="AD58" s="195" t="str">
        <f>IF('IWP09'!Std4dot2c = 0, "", 'IWP09'!Std4dot2c)</f>
        <v>NA</v>
      </c>
      <c r="AE58" s="195" t="str">
        <f>IF('IWP09'!Std4dot2d = 0, "", 'IWP09'!Std4dot2d)</f>
        <v>NA</v>
      </c>
      <c r="AF58" s="195" t="str">
        <f>IF('IWP09'!Std4dot2 = 0, "", 'IWP09'!Std4dot2)</f>
        <v>NA</v>
      </c>
      <c r="AG58" s="195" t="str">
        <f>IF('IWP09'!Std4dot3NotCalc = 0, "", 'IWP09'!Std4dot3NotCalc)</f>
        <v/>
      </c>
      <c r="AH58" s="172">
        <f>IF('IWP09'!Std4dot3DateOfTransfer=DATE(1900,1,0), DATE(1900,1,1), 'IWP09'!Std4dot3DateOfTransfer)</f>
        <v>1</v>
      </c>
      <c r="AI58" s="195" t="str">
        <f>IF('IWP09'!Std4dot3a = 0, "", 'IWP09'!Std4dot3a)</f>
        <v>NA</v>
      </c>
      <c r="AJ58" s="195" t="str">
        <f>IF('IWP09'!Std4dot3b = 0, "", 'IWP09'!Std4dot3b)</f>
        <v>NA</v>
      </c>
      <c r="AK58" s="195" t="str">
        <f>IF('IWP09'!Std4dot3c = 0, "", 'IWP09'!Std4dot3c)</f>
        <v>NA</v>
      </c>
      <c r="AL58" s="195" t="str">
        <f>IF('IWP09'!Std4dot3d = 0, "", 'IWP09'!Std4dot3d)</f>
        <v>NA</v>
      </c>
      <c r="AM58" s="195" t="str">
        <f>IF('IWP09'!Std4dot3e = 0, "", 'IWP09'!Std4dot3e)</f>
        <v/>
      </c>
      <c r="AN58" s="195" t="str">
        <f>IF('IWP09'!Std4dot3 = 0, "", 'IWP09'!Std4dot3)</f>
        <v/>
      </c>
      <c r="AO58" s="195"/>
      <c r="AP58" s="195" t="str">
        <f>IF('IWP09'!Std5dot1 = 0, "", 'IWP09'!Std5dot1)</f>
        <v>NA</v>
      </c>
      <c r="AQ58" s="195" t="str">
        <f>IF('IWP09'!Std6dot1NotCalc = 0, "", 'IWP09'!Std6dot1NotCalc)</f>
        <v/>
      </c>
      <c r="AR58" s="195" t="str">
        <f>IF('IWP09'!Std6dot1 = 0, "", 'IWP09'!Std6dot1)</f>
        <v/>
      </c>
      <c r="AS58" s="195" t="str">
        <f>IF('IWP09'!Std6dot2NotCalc = 0, "", 'IWP09'!Std6dot2NotCalc)</f>
        <v/>
      </c>
      <c r="AT58" s="172">
        <f>IF('IWP09'!Std6dot2DateOfNoteOfXfer=DATE(1900,1,0), DATE(1900,1,1), 'IWP09'!Std6dot2DateOfNoteOfXfer)</f>
        <v>1</v>
      </c>
      <c r="AU58" s="195" t="str">
        <f>IF('IWP09'!Std6dot2a = 0, "", 'IWP09'!Std6dot2a)</f>
        <v/>
      </c>
      <c r="AV58" s="195" t="str">
        <f>IF('IWP09'!Std6dot2b = 0, "", 'IWP09'!Std6dot2b)</f>
        <v/>
      </c>
      <c r="AW58" s="195" t="str">
        <f>IF('IWP09'!Std6dot2c = 0, "", 'IWP09'!Std6dot2c)</f>
        <v>NA</v>
      </c>
      <c r="AX58" s="195" t="str">
        <f>IF('IWP09'!Std6dot2d = 0, "", 'IWP09'!Std6dot2d)</f>
        <v>NA</v>
      </c>
      <c r="AY58" s="195" t="str">
        <f>IF('IWP09'!Std6dot2e = 0, "", 'IWP09'!Std6dot2e)</f>
        <v>NA</v>
      </c>
      <c r="AZ58" s="195" t="str">
        <f>IF('IWP09'!Std6dot2 = 0, "", 'IWP09'!Std6dot2)</f>
        <v/>
      </c>
      <c r="BA58" s="195" t="str">
        <f>IF('IWP09'!Std7NotCalc = 0, "", 'IWP09'!Std7NotCalc)</f>
        <v/>
      </c>
      <c r="BB58" s="195" t="str">
        <f>IF('IWP09'!Std7dot1 = 0, "", 'IWP09'!Std7dot1)</f>
        <v/>
      </c>
      <c r="BC58" s="195" t="str">
        <f>IF('IWP09'!Std7dot2 = 0, "", 'IWP09'!Std7dot2)</f>
        <v/>
      </c>
      <c r="BD58" s="195" t="str">
        <f>IF('IWP09'!Std8dot1 = 0, "", 'IWP09'!Std8dot1)</f>
        <v/>
      </c>
      <c r="BE58" s="195" t="str">
        <f>IF('IWP09'!Std8dot2NotCalc = 0, "", 'IWP09'!Std8dot2NotCalc)</f>
        <v/>
      </c>
      <c r="BF58" s="195" t="str">
        <f>IF('IWP09'!Std8dot2 = 0, "", 'IWP09'!Std8dot2)</f>
        <v/>
      </c>
      <c r="BG58" s="195" t="str">
        <f>IF('IWP09'!Std8dot3NotCalc = 0, "", 'IWP09'!Std8dot3NotCalc)</f>
        <v/>
      </c>
      <c r="BH58" s="195" t="str">
        <f>IF('IWP09'!Std8dot3 = 0, "", 'IWP09'!Std8dot3)</f>
        <v/>
      </c>
      <c r="BI58" s="195" t="str">
        <f>IF('IWP09'!Std9dot1 = 0, "", 'IWP09'!Std9dot1)</f>
        <v/>
      </c>
      <c r="BJ58" s="195" t="str">
        <f>IF('IWP09'!Std9dot2 = 0, "", 'IWP09'!Std9dot2)</f>
        <v/>
      </c>
      <c r="BK58" s="194" t="str">
        <f>IF('IWP09'!Std9dot3 = 0, "", 'IWP09'!Std9dot3)</f>
        <v/>
      </c>
    </row>
    <row r="59" spans="1:63">
      <c r="A59" s="183" t="s">
        <v>508</v>
      </c>
      <c r="B59" s="176">
        <f>IF('Samples (PRINT)'!D14=DATE(1900,1,0),DATE(1900,1,1),'Samples (PRINT)'!D14)</f>
        <v>1</v>
      </c>
      <c r="C59" s="176">
        <f>IF('Samples (PRINT)'!E14=DATE(1900,1,0),DATE(1900,1,1),'Samples (PRINT)'!E14)</f>
        <v>1</v>
      </c>
      <c r="D59" s="196">
        <f>'IWP10'!SampleNumber</f>
        <v>10</v>
      </c>
      <c r="E59" s="196">
        <f>'IWP10'!ClientID</f>
        <v>0</v>
      </c>
      <c r="F59" s="237"/>
      <c r="G59" s="237"/>
      <c r="H59" s="195" t="str">
        <f ca="1">IF('IWP10'!ContractNumber = 0, "", 'IWP10'!ContractNumber)</f>
        <v/>
      </c>
      <c r="I59" s="195" t="str">
        <f>IF('IWP10'!ContractType = 0, "", 'IWP10'!ContractType)</f>
        <v/>
      </c>
      <c r="J59" s="195" t="str">
        <f>IF('IWP10'!CompletedByLastName = 0, "", 'IWP10'!CompletedByLastName)</f>
        <v/>
      </c>
      <c r="K59" s="195" t="str">
        <f>IF('IWP10'!CompletedByFirstName = 0, "", 'IWP10'!CompletedByFirstName)</f>
        <v/>
      </c>
      <c r="L59" s="176">
        <f>IF('IWP10'!DateCompleted=DATE(1900,1,0),DATE(1900,1,1),'IWP10'!DateCompleted)</f>
        <v>1</v>
      </c>
      <c r="M59" s="195" t="str">
        <f>IF('IWP10'!Std2NotCalc = 0, "", 'IWP10'!Std2NotCalc)</f>
        <v/>
      </c>
      <c r="N59" s="195" t="str">
        <f>IF('IWP10'!Std2dot1 = 0, "", 'IWP10'!Std2dot1)</f>
        <v/>
      </c>
      <c r="O59" s="195" t="str">
        <f>IF('IWP10'!Std2dot2 = 0, "", 'IWP10'!Std2dot2)</f>
        <v/>
      </c>
      <c r="P59" s="195" t="str">
        <f>IF('IWP10'!Std2dot3 = 0, "", 'IWP10'!Std2dot3)</f>
        <v/>
      </c>
      <c r="Q59" s="195" t="str">
        <f>IF('IWP10'!Std2dot4 = 0, "", 'IWP10'!Std2dot4)</f>
        <v/>
      </c>
      <c r="R59" s="195" t="str">
        <f>IF('IWP10'!Std3NotCalc = 0, "", 'IWP10'!Std3NotCalc)</f>
        <v/>
      </c>
      <c r="S59" s="195" t="str">
        <f>IF('IWP10'!Std3dot1 = 0, "", 'IWP10'!Std3dot1)</f>
        <v/>
      </c>
      <c r="T59" s="195" t="str">
        <f>IF('IWP10'!Std4NotCalc = 0, "", 'IWP10'!Std4NotCalc)</f>
        <v/>
      </c>
      <c r="U59" s="195" t="str">
        <f>IF('IWP10'!Std4dot1a = 0, "", 'IWP10'!Std4dot1a)</f>
        <v/>
      </c>
      <c r="V59" s="195" t="str">
        <f>IF('IWP10'!Std4dot1b = 0, "", 'IWP10'!Std4dot1b)</f>
        <v>NA</v>
      </c>
      <c r="W59" s="195" t="str">
        <f>IF('IWP10'!Std4dot1c = 0, "", 'IWP10'!Std4dot1c)</f>
        <v/>
      </c>
      <c r="X59" s="195" t="str">
        <f>IF('IWP10'!Std4dot1d = 0, "", 'IWP10'!Std4dot1d)</f>
        <v/>
      </c>
      <c r="Y59" s="195" t="str">
        <f>IF('IWP10'!Std4dot1e = 0, "", 'IWP10'!Std4dot1e)</f>
        <v/>
      </c>
      <c r="Z59" s="195" t="str">
        <f>IF('IWP10'!Std4dot1f = 0, "", 'IWP10'!Std4dot1f)</f>
        <v/>
      </c>
      <c r="AA59" s="195" t="str">
        <f>IF('IWP10'!Std4dot1 = 0, "", 'IWP10'!Std4dot1)</f>
        <v/>
      </c>
      <c r="AB59" s="195" t="str">
        <f>IF('IWP10'!Std4dot2a = 0, "", 'IWP10'!Std4dot2a)</f>
        <v>NA</v>
      </c>
      <c r="AC59" s="195" t="str">
        <f>IF('IWP10'!Std4dot2b = 0, "", 'IWP10'!Std4dot2b)</f>
        <v>NA</v>
      </c>
      <c r="AD59" s="195" t="str">
        <f>IF('IWP10'!Std4dot2c = 0, "", 'IWP10'!Std4dot2c)</f>
        <v>NA</v>
      </c>
      <c r="AE59" s="195" t="str">
        <f>IF('IWP10'!Std4dot2d = 0, "", 'IWP10'!Std4dot2d)</f>
        <v>NA</v>
      </c>
      <c r="AF59" s="195" t="str">
        <f>IF('IWP10'!Std4dot2 = 0, "", 'IWP10'!Std4dot2)</f>
        <v>NA</v>
      </c>
      <c r="AG59" s="195" t="str">
        <f>IF('IWP10'!Std4dot3NotCalc = 0, "", 'IWP10'!Std4dot3NotCalc)</f>
        <v/>
      </c>
      <c r="AH59" s="172">
        <f>IF('IWP10'!Std4dot3DateOfTransfer=DATE(1900,1,0), DATE(1900,1,1), 'IWP10'!Std4dot3DateOfTransfer)</f>
        <v>1</v>
      </c>
      <c r="AI59" s="195" t="str">
        <f>IF('IWP10'!Std4dot3a = 0, "", 'IWP10'!Std4dot3a)</f>
        <v>NA</v>
      </c>
      <c r="AJ59" s="195" t="str">
        <f>IF('IWP10'!Std4dot3b = 0, "", 'IWP10'!Std4dot3b)</f>
        <v>NA</v>
      </c>
      <c r="AK59" s="195" t="str">
        <f>IF('IWP10'!Std4dot3c = 0, "", 'IWP10'!Std4dot3c)</f>
        <v>NA</v>
      </c>
      <c r="AL59" s="195" t="str">
        <f>IF('IWP10'!Std4dot3d = 0, "", 'IWP10'!Std4dot3d)</f>
        <v>NA</v>
      </c>
      <c r="AM59" s="195" t="str">
        <f>IF('IWP10'!Std4dot3e = 0, "", 'IWP10'!Std4dot3e)</f>
        <v/>
      </c>
      <c r="AN59" s="195" t="str">
        <f>IF('IWP10'!Std4dot3 = 0, "", 'IWP10'!Std4dot3)</f>
        <v/>
      </c>
      <c r="AO59" s="195"/>
      <c r="AP59" s="195" t="str">
        <f>IF('IWP10'!Std5dot1 = 0, "", 'IWP10'!Std5dot1)</f>
        <v>NA</v>
      </c>
      <c r="AQ59" s="195" t="str">
        <f>IF('IWP10'!Std6dot1NotCalc = 0, "", 'IWP10'!Std6dot1NotCalc)</f>
        <v/>
      </c>
      <c r="AR59" s="195" t="str">
        <f>IF('IWP10'!Std6dot1 = 0, "", 'IWP10'!Std6dot1)</f>
        <v/>
      </c>
      <c r="AS59" s="195" t="str">
        <f>IF('IWP10'!Std6dot2NotCalc = 0, "", 'IWP10'!Std6dot2NotCalc)</f>
        <v/>
      </c>
      <c r="AT59" s="172">
        <f>IF('IWP10'!Std6dot2DateOfNoteOfXfer=DATE(1900,1,0), DATE(1900,1,1), 'IWP10'!Std6dot2DateOfNoteOfXfer)</f>
        <v>1</v>
      </c>
      <c r="AU59" s="195" t="str">
        <f>IF('IWP10'!Std6dot2a = 0, "", 'IWP10'!Std6dot2a)</f>
        <v/>
      </c>
      <c r="AV59" s="195" t="str">
        <f>IF('IWP10'!Std6dot2b = 0, "", 'IWP10'!Std6dot2b)</f>
        <v/>
      </c>
      <c r="AW59" s="195" t="str">
        <f>IF('IWP10'!Std6dot2c = 0, "", 'IWP10'!Std6dot2c)</f>
        <v>NA</v>
      </c>
      <c r="AX59" s="195" t="str">
        <f>IF('IWP10'!Std6dot2d = 0, "", 'IWP10'!Std6dot2d)</f>
        <v>NA</v>
      </c>
      <c r="AY59" s="195" t="str">
        <f>IF('IWP10'!Std6dot2e = 0, "", 'IWP10'!Std6dot2e)</f>
        <v>NA</v>
      </c>
      <c r="AZ59" s="195" t="str">
        <f>IF('IWP10'!Std6dot2 = 0, "", 'IWP10'!Std6dot2)</f>
        <v/>
      </c>
      <c r="BA59" s="195" t="str">
        <f>IF('IWP10'!Std7NotCalc = 0, "", 'IWP10'!Std7NotCalc)</f>
        <v/>
      </c>
      <c r="BB59" s="195" t="str">
        <f>IF('IWP10'!Std7dot1 = 0, "", 'IWP10'!Std7dot1)</f>
        <v/>
      </c>
      <c r="BC59" s="195" t="str">
        <f>IF('IWP10'!Std7dot2 = 0, "", 'IWP10'!Std7dot2)</f>
        <v/>
      </c>
      <c r="BD59" s="195" t="str">
        <f>IF('IWP10'!Std8dot1 = 0, "", 'IWP10'!Std8dot1)</f>
        <v/>
      </c>
      <c r="BE59" s="195" t="str">
        <f>IF('IWP10'!Std8dot2NotCalc = 0, "", 'IWP10'!Std8dot2NotCalc)</f>
        <v/>
      </c>
      <c r="BF59" s="195" t="str">
        <f>IF('IWP10'!Std8dot2 = 0, "", 'IWP10'!Std8dot2)</f>
        <v/>
      </c>
      <c r="BG59" s="195" t="str">
        <f>IF('IWP10'!Std8dot3NotCalc = 0, "", 'IWP10'!Std8dot3NotCalc)</f>
        <v/>
      </c>
      <c r="BH59" s="195" t="str">
        <f>IF('IWP10'!Std8dot3 = 0, "", 'IWP10'!Std8dot3)</f>
        <v/>
      </c>
      <c r="BI59" s="195" t="str">
        <f>IF('IWP10'!Std9dot1 = 0, "", 'IWP10'!Std9dot1)</f>
        <v/>
      </c>
      <c r="BJ59" s="195" t="str">
        <f>IF('IWP10'!Std9dot2 = 0, "", 'IWP10'!Std9dot2)</f>
        <v/>
      </c>
      <c r="BK59" s="194" t="str">
        <f>IF('IWP10'!Std9dot3 = 0, "", 'IWP10'!Std9dot3)</f>
        <v/>
      </c>
    </row>
    <row r="60" spans="1:63">
      <c r="A60" s="183" t="s">
        <v>509</v>
      </c>
      <c r="B60" s="176">
        <f>IF('Samples (PRINT)'!D15=DATE(1900,1,0),DATE(1900,1,1),'Samples (PRINT)'!D15)</f>
        <v>1</v>
      </c>
      <c r="C60" s="176">
        <f>IF('Samples (PRINT)'!E15=DATE(1900,1,0),DATE(1900,1,1),'Samples (PRINT)'!E15)</f>
        <v>1</v>
      </c>
      <c r="D60" s="196">
        <f>'IWP11'!SampleNumber</f>
        <v>11</v>
      </c>
      <c r="E60" s="196">
        <f>'IWP11'!ClientID</f>
        <v>0</v>
      </c>
      <c r="F60" s="237"/>
      <c r="G60" s="237"/>
      <c r="H60" s="195" t="str">
        <f ca="1">IF('IWP11'!ContractNumber = 0, "", 'IWP11'!ContractNumber)</f>
        <v/>
      </c>
      <c r="I60" s="195" t="str">
        <f>IF('IWP11'!ContractType = 0, "", 'IWP11'!ContractType)</f>
        <v/>
      </c>
      <c r="J60" s="195" t="str">
        <f>IF('IWP11'!CompletedByLastName = 0, "", 'IWP11'!CompletedByLastName)</f>
        <v/>
      </c>
      <c r="K60" s="195" t="str">
        <f>IF('IWP11'!CompletedByFirstName = 0, "", 'IWP11'!CompletedByFirstName)</f>
        <v/>
      </c>
      <c r="L60" s="176">
        <f>IF('IWP11'!DateCompleted=DATE(1900,1,0),DATE(1900,1,1),'IWP11'!DateCompleted)</f>
        <v>1</v>
      </c>
      <c r="M60" s="195" t="str">
        <f>IF('IWP11'!Std2NotCalc = 0, "", 'IWP11'!Std2NotCalc)</f>
        <v/>
      </c>
      <c r="N60" s="195" t="str">
        <f>IF('IWP11'!Std2dot1 = 0, "", 'IWP11'!Std2dot1)</f>
        <v/>
      </c>
      <c r="O60" s="195" t="str">
        <f>IF('IWP11'!Std2dot2 = 0, "", 'IWP11'!Std2dot2)</f>
        <v/>
      </c>
      <c r="P60" s="195" t="str">
        <f>IF('IWP11'!Std2dot3 = 0, "", 'IWP11'!Std2dot3)</f>
        <v/>
      </c>
      <c r="Q60" s="195" t="str">
        <f>IF('IWP11'!Std2dot4 = 0, "", 'IWP11'!Std2dot4)</f>
        <v/>
      </c>
      <c r="R60" s="195" t="str">
        <f>IF('IWP11'!Std3NotCalc = 0, "", 'IWP11'!Std3NotCalc)</f>
        <v/>
      </c>
      <c r="S60" s="195" t="str">
        <f>IF('IWP11'!Std3dot1 = 0, "", 'IWP11'!Std3dot1)</f>
        <v/>
      </c>
      <c r="T60" s="195" t="str">
        <f>IF('IWP11'!Std4NotCalc = 0, "", 'IWP11'!Std4NotCalc)</f>
        <v/>
      </c>
      <c r="U60" s="195" t="str">
        <f>IF('IWP11'!Std4dot1a = 0, "", 'IWP11'!Std4dot1a)</f>
        <v/>
      </c>
      <c r="V60" s="195" t="str">
        <f>IF('IWP11'!Std4dot1b = 0, "", 'IWP11'!Std4dot1b)</f>
        <v>NA</v>
      </c>
      <c r="W60" s="195" t="str">
        <f>IF('IWP11'!Std4dot1c = 0, "", 'IWP11'!Std4dot1c)</f>
        <v/>
      </c>
      <c r="X60" s="195" t="str">
        <f>IF('IWP11'!Std4dot1d = 0, "", 'IWP11'!Std4dot1d)</f>
        <v/>
      </c>
      <c r="Y60" s="195" t="str">
        <f>IF('IWP11'!Std4dot1e = 0, "", 'IWP11'!Std4dot1e)</f>
        <v/>
      </c>
      <c r="Z60" s="195" t="str">
        <f>IF('IWP11'!Std4dot1f = 0, "", 'IWP11'!Std4dot1f)</f>
        <v/>
      </c>
      <c r="AA60" s="195" t="str">
        <f>IF('IWP11'!Std4dot1 = 0, "", 'IWP11'!Std4dot1)</f>
        <v/>
      </c>
      <c r="AB60" s="195" t="str">
        <f>IF('IWP11'!Std4dot2a = 0, "", 'IWP11'!Std4dot2a)</f>
        <v>NA</v>
      </c>
      <c r="AC60" s="195" t="str">
        <f>IF('IWP11'!Std4dot2b = 0, "", 'IWP11'!Std4dot2b)</f>
        <v>NA</v>
      </c>
      <c r="AD60" s="195" t="str">
        <f>IF('IWP11'!Std4dot2c = 0, "", 'IWP11'!Std4dot2c)</f>
        <v>NA</v>
      </c>
      <c r="AE60" s="195" t="str">
        <f>IF('IWP11'!Std4dot2d = 0, "", 'IWP11'!Std4dot2d)</f>
        <v>NA</v>
      </c>
      <c r="AF60" s="195" t="str">
        <f>IF('IWP11'!Std4dot2 = 0, "", 'IWP11'!Std4dot2)</f>
        <v>NA</v>
      </c>
      <c r="AG60" s="195" t="str">
        <f>IF('IWP11'!Std4dot3NotCalc = 0, "", 'IWP11'!Std4dot3NotCalc)</f>
        <v/>
      </c>
      <c r="AH60" s="172">
        <f>IF('IWP11'!Std4dot3DateOfTransfer=DATE(1900,1,0), DATE(1900,1,1), 'IWP11'!Std4dot3DateOfTransfer)</f>
        <v>1</v>
      </c>
      <c r="AI60" s="195" t="str">
        <f>IF('IWP11'!Std4dot3a = 0, "", 'IWP11'!Std4dot3a)</f>
        <v>NA</v>
      </c>
      <c r="AJ60" s="195" t="str">
        <f>IF('IWP11'!Std4dot3b = 0, "", 'IWP11'!Std4dot3b)</f>
        <v>NA</v>
      </c>
      <c r="AK60" s="195" t="str">
        <f>IF('IWP11'!Std4dot3c = 0, "", 'IWP11'!Std4dot3c)</f>
        <v>NA</v>
      </c>
      <c r="AL60" s="195" t="str">
        <f>IF('IWP11'!Std4dot3d = 0, "", 'IWP11'!Std4dot3d)</f>
        <v>NA</v>
      </c>
      <c r="AM60" s="195" t="str">
        <f>IF('IWP11'!Std4dot3e = 0, "", 'IWP11'!Std4dot3e)</f>
        <v/>
      </c>
      <c r="AN60" s="195" t="str">
        <f>IF('IWP11'!Std4dot3 = 0, "", 'IWP11'!Std4dot3)</f>
        <v/>
      </c>
      <c r="AO60" s="195"/>
      <c r="AP60" s="195" t="str">
        <f>IF('IWP11'!Std5dot1 = 0, "", 'IWP11'!Std5dot1)</f>
        <v>NA</v>
      </c>
      <c r="AQ60" s="195" t="str">
        <f>IF('IWP11'!Std6dot1NotCalc = 0, "", 'IWP11'!Std6dot1NotCalc)</f>
        <v/>
      </c>
      <c r="AR60" s="195" t="str">
        <f>IF('IWP11'!Std6dot1 = 0, "", 'IWP11'!Std6dot1)</f>
        <v/>
      </c>
      <c r="AS60" s="195" t="str">
        <f>IF('IWP11'!Std6dot2NotCalc = 0, "", 'IWP11'!Std6dot2NotCalc)</f>
        <v/>
      </c>
      <c r="AT60" s="172">
        <f>IF('IWP11'!Std6dot2DateOfNoteOfXfer=DATE(1900,1,0), DATE(1900,1,1), 'IWP11'!Std6dot2DateOfNoteOfXfer)</f>
        <v>1</v>
      </c>
      <c r="AU60" s="195" t="str">
        <f>IF('IWP11'!Std6dot2a = 0, "", 'IWP11'!Std6dot2a)</f>
        <v/>
      </c>
      <c r="AV60" s="195" t="str">
        <f>IF('IWP11'!Std6dot2b = 0, "", 'IWP11'!Std6dot2b)</f>
        <v/>
      </c>
      <c r="AW60" s="195" t="str">
        <f>IF('IWP11'!Std6dot2c = 0, "", 'IWP11'!Std6dot2c)</f>
        <v>NA</v>
      </c>
      <c r="AX60" s="195" t="str">
        <f>IF('IWP11'!Std6dot2d = 0, "", 'IWP11'!Std6dot2d)</f>
        <v>NA</v>
      </c>
      <c r="AY60" s="195" t="str">
        <f>IF('IWP11'!Std6dot2e = 0, "", 'IWP11'!Std6dot2e)</f>
        <v>NA</v>
      </c>
      <c r="AZ60" s="195" t="str">
        <f>IF('IWP11'!Std6dot2 = 0, "", 'IWP11'!Std6dot2)</f>
        <v/>
      </c>
      <c r="BA60" s="195" t="str">
        <f>IF('IWP11'!Std7NotCalc = 0, "", 'IWP11'!Std7NotCalc)</f>
        <v/>
      </c>
      <c r="BB60" s="195" t="str">
        <f>IF('IWP11'!Std7dot1 = 0, "", 'IWP11'!Std7dot1)</f>
        <v/>
      </c>
      <c r="BC60" s="195" t="str">
        <f>IF('IWP11'!Std7dot2 = 0, "", 'IWP11'!Std7dot2)</f>
        <v/>
      </c>
      <c r="BD60" s="195" t="str">
        <f>IF('IWP11'!Std8dot1 = 0, "", 'IWP11'!Std8dot1)</f>
        <v/>
      </c>
      <c r="BE60" s="195" t="str">
        <f>IF('IWP11'!Std8dot2NotCalc = 0, "", 'IWP11'!Std8dot2NotCalc)</f>
        <v/>
      </c>
      <c r="BF60" s="195" t="str">
        <f>IF('IWP11'!Std8dot2 = 0, "", 'IWP11'!Std8dot2)</f>
        <v/>
      </c>
      <c r="BG60" s="195" t="str">
        <f>IF('IWP11'!Std8dot3NotCalc = 0, "", 'IWP11'!Std8dot3NotCalc)</f>
        <v/>
      </c>
      <c r="BH60" s="195" t="str">
        <f>IF('IWP11'!Std8dot3 = 0, "", 'IWP11'!Std8dot3)</f>
        <v/>
      </c>
      <c r="BI60" s="195" t="str">
        <f>IF('IWP11'!Std9dot1 = 0, "", 'IWP11'!Std9dot1)</f>
        <v/>
      </c>
      <c r="BJ60" s="195" t="str">
        <f>IF('IWP11'!Std9dot2 = 0, "", 'IWP11'!Std9dot2)</f>
        <v/>
      </c>
      <c r="BK60" s="194" t="str">
        <f>IF('IWP11'!Std9dot3 = 0, "", 'IWP11'!Std9dot3)</f>
        <v/>
      </c>
    </row>
    <row r="61" spans="1:63">
      <c r="A61" s="183" t="s">
        <v>510</v>
      </c>
      <c r="B61" s="176">
        <f>IF('Samples (PRINT)'!D16=DATE(1900,1,0),DATE(1900,1,1),'Samples (PRINT)'!D16)</f>
        <v>1</v>
      </c>
      <c r="C61" s="176">
        <f>IF('Samples (PRINT)'!E16=DATE(1900,1,0),DATE(1900,1,1),'Samples (PRINT)'!E16)</f>
        <v>1</v>
      </c>
      <c r="D61" s="196">
        <f>'IWP12'!SampleNumber</f>
        <v>12</v>
      </c>
      <c r="E61" s="196">
        <f>'IWP12'!ClientID</f>
        <v>0</v>
      </c>
      <c r="F61" s="237"/>
      <c r="G61" s="237"/>
      <c r="H61" s="195" t="str">
        <f ca="1">IF('IWP12'!ContractNumber = 0, "", 'IWP12'!ContractNumber)</f>
        <v/>
      </c>
      <c r="I61" s="195" t="str">
        <f>IF('IWP12'!ContractType = 0, "", 'IWP12'!ContractType)</f>
        <v/>
      </c>
      <c r="J61" s="195" t="str">
        <f>IF('IWP12'!CompletedByLastName = 0, "", 'IWP12'!CompletedByLastName)</f>
        <v/>
      </c>
      <c r="K61" s="195" t="str">
        <f>IF('IWP12'!CompletedByFirstName = 0, "", 'IWP12'!CompletedByFirstName)</f>
        <v/>
      </c>
      <c r="L61" s="176">
        <f>IF('IWP12'!DateCompleted=DATE(1900,1,0),DATE(1900,1,1),'IWP12'!DateCompleted)</f>
        <v>1</v>
      </c>
      <c r="M61" s="195" t="str">
        <f>IF('IWP12'!Std2NotCalc = 0, "", 'IWP12'!Std2NotCalc)</f>
        <v/>
      </c>
      <c r="N61" s="195" t="str">
        <f>IF('IWP12'!Std2dot1 = 0, "", 'IWP12'!Std2dot1)</f>
        <v/>
      </c>
      <c r="O61" s="195" t="str">
        <f>IF('IWP12'!Std2dot2 = 0, "", 'IWP12'!Std2dot2)</f>
        <v/>
      </c>
      <c r="P61" s="195" t="str">
        <f>IF('IWP12'!Std2dot3 = 0, "", 'IWP12'!Std2dot3)</f>
        <v/>
      </c>
      <c r="Q61" s="195" t="str">
        <f>IF('IWP12'!Std2dot4 = 0, "", 'IWP12'!Std2dot4)</f>
        <v/>
      </c>
      <c r="R61" s="195" t="str">
        <f>IF('IWP12'!Std3NotCalc = 0, "", 'IWP12'!Std3NotCalc)</f>
        <v/>
      </c>
      <c r="S61" s="195" t="str">
        <f>IF('IWP12'!Std3dot1 = 0, "", 'IWP12'!Std3dot1)</f>
        <v/>
      </c>
      <c r="T61" s="195" t="str">
        <f>IF('IWP12'!Std4NotCalc = 0, "", 'IWP12'!Std4NotCalc)</f>
        <v/>
      </c>
      <c r="U61" s="195" t="str">
        <f>IF('IWP12'!Std4dot1a = 0, "", 'IWP12'!Std4dot1a)</f>
        <v/>
      </c>
      <c r="V61" s="195" t="str">
        <f>IF('IWP12'!Std4dot1b = 0, "", 'IWP12'!Std4dot1b)</f>
        <v>NA</v>
      </c>
      <c r="W61" s="195" t="str">
        <f>IF('IWP12'!Std4dot1c = 0, "", 'IWP12'!Std4dot1c)</f>
        <v/>
      </c>
      <c r="X61" s="195" t="str">
        <f>IF('IWP12'!Std4dot1d = 0, "", 'IWP12'!Std4dot1d)</f>
        <v/>
      </c>
      <c r="Y61" s="195" t="str">
        <f>IF('IWP12'!Std4dot1e = 0, "", 'IWP12'!Std4dot1e)</f>
        <v/>
      </c>
      <c r="Z61" s="195" t="str">
        <f>IF('IWP12'!Std4dot1f = 0, "", 'IWP12'!Std4dot1f)</f>
        <v/>
      </c>
      <c r="AA61" s="195" t="str">
        <f>IF('IWP12'!Std4dot1 = 0, "", 'IWP12'!Std4dot1)</f>
        <v/>
      </c>
      <c r="AB61" s="195" t="str">
        <f>IF('IWP12'!Std4dot2a = 0, "", 'IWP12'!Std4dot2a)</f>
        <v>NA</v>
      </c>
      <c r="AC61" s="195" t="str">
        <f>IF('IWP12'!Std4dot2b = 0, "", 'IWP12'!Std4dot2b)</f>
        <v>NA</v>
      </c>
      <c r="AD61" s="195" t="str">
        <f>IF('IWP12'!Std4dot2c = 0, "", 'IWP12'!Std4dot2c)</f>
        <v>NA</v>
      </c>
      <c r="AE61" s="195" t="str">
        <f>IF('IWP12'!Std4dot2d = 0, "", 'IWP12'!Std4dot2d)</f>
        <v>NA</v>
      </c>
      <c r="AF61" s="195" t="str">
        <f>IF('IWP12'!Std4dot2 = 0, "", 'IWP12'!Std4dot2)</f>
        <v>NA</v>
      </c>
      <c r="AG61" s="195" t="str">
        <f>IF('IWP12'!Std4dot3NotCalc = 0, "", 'IWP12'!Std4dot3NotCalc)</f>
        <v/>
      </c>
      <c r="AH61" s="172">
        <f>IF('IWP12'!Std4dot3DateOfTransfer=DATE(1900,1,0), DATE(1900,1,1), 'IWP12'!Std4dot3DateOfTransfer)</f>
        <v>1</v>
      </c>
      <c r="AI61" s="195" t="str">
        <f>IF('IWP12'!Std4dot3a = 0, "", 'IWP12'!Std4dot3a)</f>
        <v>NA</v>
      </c>
      <c r="AJ61" s="195" t="str">
        <f>IF('IWP12'!Std4dot3b = 0, "", 'IWP12'!Std4dot3b)</f>
        <v>NA</v>
      </c>
      <c r="AK61" s="195" t="str">
        <f>IF('IWP12'!Std4dot3c = 0, "", 'IWP12'!Std4dot3c)</f>
        <v>NA</v>
      </c>
      <c r="AL61" s="195" t="str">
        <f>IF('IWP12'!Std4dot3d = 0, "", 'IWP12'!Std4dot3d)</f>
        <v>NA</v>
      </c>
      <c r="AM61" s="195" t="str">
        <f>IF('IWP12'!Std4dot3e = 0, "", 'IWP12'!Std4dot3e)</f>
        <v/>
      </c>
      <c r="AN61" s="195" t="str">
        <f>IF('IWP12'!Std4dot3 = 0, "", 'IWP12'!Std4dot3)</f>
        <v/>
      </c>
      <c r="AO61" s="195"/>
      <c r="AP61" s="195" t="str">
        <f>IF('IWP12'!Std5dot1 = 0, "", 'IWP12'!Std5dot1)</f>
        <v>NA</v>
      </c>
      <c r="AQ61" s="195" t="str">
        <f>IF('IWP12'!Std6dot1NotCalc = 0, "", 'IWP12'!Std6dot1NotCalc)</f>
        <v/>
      </c>
      <c r="AR61" s="195" t="str">
        <f>IF('IWP12'!Std6dot1 = 0, "", 'IWP12'!Std6dot1)</f>
        <v/>
      </c>
      <c r="AS61" s="195" t="str">
        <f>IF('IWP12'!Std6dot2NotCalc = 0, "", 'IWP12'!Std6dot2NotCalc)</f>
        <v/>
      </c>
      <c r="AT61" s="172">
        <f>IF('IWP12'!Std6dot2DateOfNoteOfXfer=DATE(1900,1,0), DATE(1900,1,1), 'IWP12'!Std6dot2DateOfNoteOfXfer)</f>
        <v>1</v>
      </c>
      <c r="AU61" s="195" t="str">
        <f>IF('IWP12'!Std6dot2a = 0, "", 'IWP12'!Std6dot2a)</f>
        <v/>
      </c>
      <c r="AV61" s="195" t="str">
        <f>IF('IWP12'!Std6dot2b = 0, "", 'IWP12'!Std6dot2b)</f>
        <v/>
      </c>
      <c r="AW61" s="195" t="str">
        <f>IF('IWP12'!Std6dot2c = 0, "", 'IWP12'!Std6dot2c)</f>
        <v>NA</v>
      </c>
      <c r="AX61" s="195" t="str">
        <f>IF('IWP12'!Std6dot2d = 0, "", 'IWP12'!Std6dot2d)</f>
        <v>NA</v>
      </c>
      <c r="AY61" s="195" t="str">
        <f>IF('IWP12'!Std6dot2e = 0, "", 'IWP12'!Std6dot2e)</f>
        <v>NA</v>
      </c>
      <c r="AZ61" s="195" t="str">
        <f>IF('IWP12'!Std6dot2 = 0, "", 'IWP12'!Std6dot2)</f>
        <v/>
      </c>
      <c r="BA61" s="195" t="str">
        <f>IF('IWP12'!Std7NotCalc = 0, "", 'IWP12'!Std7NotCalc)</f>
        <v/>
      </c>
      <c r="BB61" s="195" t="str">
        <f>IF('IWP12'!Std7dot1 = 0, "", 'IWP12'!Std7dot1)</f>
        <v/>
      </c>
      <c r="BC61" s="195" t="str">
        <f>IF('IWP12'!Std7dot2 = 0, "", 'IWP12'!Std7dot2)</f>
        <v/>
      </c>
      <c r="BD61" s="195" t="str">
        <f>IF('IWP12'!Std8dot1 = 0, "", 'IWP12'!Std8dot1)</f>
        <v/>
      </c>
      <c r="BE61" s="195" t="str">
        <f>IF('IWP12'!Std8dot2NotCalc = 0, "", 'IWP12'!Std8dot2NotCalc)</f>
        <v/>
      </c>
      <c r="BF61" s="195" t="str">
        <f>IF('IWP12'!Std8dot2 = 0, "", 'IWP12'!Std8dot2)</f>
        <v/>
      </c>
      <c r="BG61" s="195" t="str">
        <f>IF('IWP12'!Std8dot3NotCalc = 0, "", 'IWP12'!Std8dot3NotCalc)</f>
        <v/>
      </c>
      <c r="BH61" s="195" t="str">
        <f>IF('IWP12'!Std8dot3 = 0, "", 'IWP12'!Std8dot3)</f>
        <v/>
      </c>
      <c r="BI61" s="195" t="str">
        <f>IF('IWP12'!Std9dot1 = 0, "", 'IWP12'!Std9dot1)</f>
        <v/>
      </c>
      <c r="BJ61" s="195" t="str">
        <f>IF('IWP12'!Std9dot2 = 0, "", 'IWP12'!Std9dot2)</f>
        <v/>
      </c>
      <c r="BK61" s="194" t="str">
        <f>IF('IWP12'!Std9dot3 = 0, "", 'IWP12'!Std9dot3)</f>
        <v/>
      </c>
    </row>
    <row r="62" spans="1:63">
      <c r="A62" s="183" t="s">
        <v>511</v>
      </c>
      <c r="B62" s="176">
        <f>IF('Samples (PRINT)'!D17=DATE(1900,1,0),DATE(1900,1,1),'Samples (PRINT)'!D17)</f>
        <v>1</v>
      </c>
      <c r="C62" s="176">
        <f>IF('Samples (PRINT)'!E17=DATE(1900,1,0),DATE(1900,1,1),'Samples (PRINT)'!E17)</f>
        <v>1</v>
      </c>
      <c r="D62" s="196">
        <f>'IWP13'!SampleNumber</f>
        <v>13</v>
      </c>
      <c r="E62" s="196">
        <f>'IWP13'!ClientID</f>
        <v>0</v>
      </c>
      <c r="F62" s="237"/>
      <c r="G62" s="237"/>
      <c r="H62" s="195" t="str">
        <f ca="1">IF('IWP13'!ContractNumber = 0, "", 'IWP13'!ContractNumber)</f>
        <v/>
      </c>
      <c r="I62" s="195" t="str">
        <f>IF('IWP13'!ContractType = 0, "", 'IWP13'!ContractType)</f>
        <v/>
      </c>
      <c r="J62" s="195" t="str">
        <f>IF('IWP13'!CompletedByLastName = 0, "", 'IWP13'!CompletedByLastName)</f>
        <v/>
      </c>
      <c r="K62" s="195" t="str">
        <f>IF('IWP13'!CompletedByFirstName = 0, "", 'IWP13'!CompletedByFirstName)</f>
        <v/>
      </c>
      <c r="L62" s="176">
        <f>IF('IWP13'!DateCompleted=DATE(1900,1,0),DATE(1900,1,1),'IWP13'!DateCompleted)</f>
        <v>1</v>
      </c>
      <c r="M62" s="195" t="str">
        <f>IF('IWP13'!Std2NotCalc = 0, "", 'IWP13'!Std2NotCalc)</f>
        <v/>
      </c>
      <c r="N62" s="195" t="str">
        <f>IF('IWP13'!Std2dot1 = 0, "", 'IWP13'!Std2dot1)</f>
        <v/>
      </c>
      <c r="O62" s="195" t="str">
        <f>IF('IWP13'!Std2dot2 = 0, "", 'IWP13'!Std2dot2)</f>
        <v/>
      </c>
      <c r="P62" s="195" t="str">
        <f>IF('IWP13'!Std2dot3 = 0, "", 'IWP13'!Std2dot3)</f>
        <v/>
      </c>
      <c r="Q62" s="195" t="str">
        <f>IF('IWP13'!Std2dot4 = 0, "", 'IWP13'!Std2dot4)</f>
        <v/>
      </c>
      <c r="R62" s="195" t="str">
        <f>IF('IWP13'!Std3NotCalc = 0, "", 'IWP13'!Std3NotCalc)</f>
        <v/>
      </c>
      <c r="S62" s="195" t="str">
        <f>IF('IWP13'!Std3dot1 = 0, "", 'IWP13'!Std3dot1)</f>
        <v/>
      </c>
      <c r="T62" s="195" t="str">
        <f>IF('IWP13'!Std4NotCalc = 0, "", 'IWP13'!Std4NotCalc)</f>
        <v/>
      </c>
      <c r="U62" s="195" t="str">
        <f>IF('IWP13'!Std4dot1a = 0, "", 'IWP13'!Std4dot1a)</f>
        <v/>
      </c>
      <c r="V62" s="195" t="str">
        <f>IF('IWP13'!Std4dot1b = 0, "", 'IWP13'!Std4dot1b)</f>
        <v>NA</v>
      </c>
      <c r="W62" s="195" t="str">
        <f>IF('IWP13'!Std4dot1c = 0, "", 'IWP13'!Std4dot1c)</f>
        <v/>
      </c>
      <c r="X62" s="195" t="str">
        <f>IF('IWP13'!Std4dot1d = 0, "", 'IWP13'!Std4dot1d)</f>
        <v/>
      </c>
      <c r="Y62" s="195" t="str">
        <f>IF('IWP13'!Std4dot1e = 0, "", 'IWP13'!Std4dot1e)</f>
        <v/>
      </c>
      <c r="Z62" s="195" t="str">
        <f>IF('IWP13'!Std4dot1f = 0, "", 'IWP13'!Std4dot1f)</f>
        <v/>
      </c>
      <c r="AA62" s="195" t="str">
        <f>IF('IWP13'!Std4dot1 = 0, "", 'IWP13'!Std4dot1)</f>
        <v/>
      </c>
      <c r="AB62" s="195" t="str">
        <f>IF('IWP13'!Std4dot2a = 0, "", 'IWP13'!Std4dot2a)</f>
        <v>NA</v>
      </c>
      <c r="AC62" s="195" t="str">
        <f>IF('IWP13'!Std4dot2b = 0, "", 'IWP13'!Std4dot2b)</f>
        <v>NA</v>
      </c>
      <c r="AD62" s="195" t="str">
        <f>IF('IWP13'!Std4dot2c = 0, "", 'IWP13'!Std4dot2c)</f>
        <v>NA</v>
      </c>
      <c r="AE62" s="195" t="str">
        <f>IF('IWP13'!Std4dot2d = 0, "", 'IWP13'!Std4dot2d)</f>
        <v>NA</v>
      </c>
      <c r="AF62" s="195" t="str">
        <f>IF('IWP13'!Std4dot2 = 0, "", 'IWP13'!Std4dot2)</f>
        <v>NA</v>
      </c>
      <c r="AG62" s="195" t="str">
        <f>IF('IWP13'!Std4dot3NotCalc = 0, "", 'IWP13'!Std4dot3NotCalc)</f>
        <v/>
      </c>
      <c r="AH62" s="172">
        <f>IF('IWP13'!Std4dot3DateOfTransfer=DATE(1900,1,0), DATE(1900,1,1), 'IWP13'!Std4dot3DateOfTransfer)</f>
        <v>1</v>
      </c>
      <c r="AI62" s="195" t="str">
        <f>IF('IWP13'!Std4dot3a = 0, "", 'IWP13'!Std4dot3a)</f>
        <v>NA</v>
      </c>
      <c r="AJ62" s="195" t="str">
        <f>IF('IWP13'!Std4dot3b = 0, "", 'IWP13'!Std4dot3b)</f>
        <v>NA</v>
      </c>
      <c r="AK62" s="195" t="str">
        <f>IF('IWP13'!Std4dot3c = 0, "", 'IWP13'!Std4dot3c)</f>
        <v>NA</v>
      </c>
      <c r="AL62" s="195" t="str">
        <f>IF('IWP13'!Std4dot3d = 0, "", 'IWP13'!Std4dot3d)</f>
        <v>NA</v>
      </c>
      <c r="AM62" s="195" t="str">
        <f>IF('IWP13'!Std4dot3e = 0, "", 'IWP13'!Std4dot3e)</f>
        <v/>
      </c>
      <c r="AN62" s="195" t="str">
        <f>IF('IWP13'!Std4dot3 = 0, "", 'IWP13'!Std4dot3)</f>
        <v/>
      </c>
      <c r="AO62" s="195"/>
      <c r="AP62" s="195" t="str">
        <f>IF('IWP13'!Std5dot1 = 0, "", 'IWP13'!Std5dot1)</f>
        <v>NA</v>
      </c>
      <c r="AQ62" s="195" t="str">
        <f>IF('IWP13'!Std6dot1NotCalc = 0, "", 'IWP13'!Std6dot1NotCalc)</f>
        <v/>
      </c>
      <c r="AR62" s="195" t="str">
        <f>IF('IWP13'!Std6dot1 = 0, "", 'IWP13'!Std6dot1)</f>
        <v/>
      </c>
      <c r="AS62" s="195" t="str">
        <f>IF('IWP13'!Std6dot2NotCalc = 0, "", 'IWP13'!Std6dot2NotCalc)</f>
        <v/>
      </c>
      <c r="AT62" s="172">
        <f>IF('IWP13'!Std6dot2DateOfNoteOfXfer=DATE(1900,1,0), DATE(1900,1,1), 'IWP13'!Std6dot2DateOfNoteOfXfer)</f>
        <v>1</v>
      </c>
      <c r="AU62" s="195" t="str">
        <f>IF('IWP13'!Std6dot2a = 0, "", 'IWP13'!Std6dot2a)</f>
        <v/>
      </c>
      <c r="AV62" s="195" t="str">
        <f>IF('IWP13'!Std6dot2b = 0, "", 'IWP13'!Std6dot2b)</f>
        <v/>
      </c>
      <c r="AW62" s="195" t="str">
        <f>IF('IWP13'!Std6dot2c = 0, "", 'IWP13'!Std6dot2c)</f>
        <v>NA</v>
      </c>
      <c r="AX62" s="195" t="str">
        <f>IF('IWP13'!Std6dot2d = 0, "", 'IWP13'!Std6dot2d)</f>
        <v>NA</v>
      </c>
      <c r="AY62" s="195" t="str">
        <f>IF('IWP13'!Std6dot2e = 0, "", 'IWP13'!Std6dot2e)</f>
        <v>NA</v>
      </c>
      <c r="AZ62" s="195" t="str">
        <f>IF('IWP13'!Std6dot2 = 0, "", 'IWP13'!Std6dot2)</f>
        <v/>
      </c>
      <c r="BA62" s="195" t="str">
        <f>IF('IWP13'!Std7NotCalc = 0, "", 'IWP13'!Std7NotCalc)</f>
        <v/>
      </c>
      <c r="BB62" s="195" t="str">
        <f>IF('IWP13'!Std7dot1 = 0, "", 'IWP13'!Std7dot1)</f>
        <v/>
      </c>
      <c r="BC62" s="195" t="str">
        <f>IF('IWP13'!Std7dot2 = 0, "", 'IWP13'!Std7dot2)</f>
        <v/>
      </c>
      <c r="BD62" s="195" t="str">
        <f>IF('IWP13'!Std8dot1 = 0, "", 'IWP13'!Std8dot1)</f>
        <v/>
      </c>
      <c r="BE62" s="195" t="str">
        <f>IF('IWP13'!Std8dot2NotCalc = 0, "", 'IWP13'!Std8dot2NotCalc)</f>
        <v/>
      </c>
      <c r="BF62" s="195" t="str">
        <f>IF('IWP13'!Std8dot2 = 0, "", 'IWP13'!Std8dot2)</f>
        <v/>
      </c>
      <c r="BG62" s="195" t="str">
        <f>IF('IWP13'!Std8dot3NotCalc = 0, "", 'IWP13'!Std8dot3NotCalc)</f>
        <v/>
      </c>
      <c r="BH62" s="195" t="str">
        <f>IF('IWP13'!Std8dot3 = 0, "", 'IWP13'!Std8dot3)</f>
        <v/>
      </c>
      <c r="BI62" s="195" t="str">
        <f>IF('IWP13'!Std9dot1 = 0, "", 'IWP13'!Std9dot1)</f>
        <v/>
      </c>
      <c r="BJ62" s="195" t="str">
        <f>IF('IWP13'!Std9dot2 = 0, "", 'IWP13'!Std9dot2)</f>
        <v/>
      </c>
      <c r="BK62" s="194" t="str">
        <f>IF('IWP13'!Std9dot3 = 0, "", 'IWP13'!Std9dot3)</f>
        <v/>
      </c>
    </row>
    <row r="63" spans="1:63">
      <c r="A63" s="183" t="s">
        <v>512</v>
      </c>
      <c r="B63" s="176">
        <f>IF('Samples (PRINT)'!D18=DATE(1900,1,0),DATE(1900,1,1),'Samples (PRINT)'!D18)</f>
        <v>1</v>
      </c>
      <c r="C63" s="176">
        <f>IF('Samples (PRINT)'!E18=DATE(1900,1,0),DATE(1900,1,1),'Samples (PRINT)'!E18)</f>
        <v>1</v>
      </c>
      <c r="D63" s="196">
        <f>'IWP14'!SampleNumber</f>
        <v>14</v>
      </c>
      <c r="E63" s="196">
        <f>'IWP14'!ClientID</f>
        <v>0</v>
      </c>
      <c r="F63" s="237"/>
      <c r="G63" s="237"/>
      <c r="H63" s="195" t="str">
        <f ca="1">IF('IWP14'!ContractNumber = 0, "", 'IWP14'!ContractNumber)</f>
        <v/>
      </c>
      <c r="I63" s="195" t="str">
        <f>IF('IWP14'!ContractType = 0, "", 'IWP14'!ContractType)</f>
        <v/>
      </c>
      <c r="J63" s="195" t="str">
        <f>IF('IWP14'!CompletedByLastName = 0, "", 'IWP14'!CompletedByLastName)</f>
        <v/>
      </c>
      <c r="K63" s="195" t="str">
        <f>IF('IWP14'!CompletedByFirstName = 0, "", 'IWP14'!CompletedByFirstName)</f>
        <v/>
      </c>
      <c r="L63" s="176">
        <f>IF('IWP14'!DateCompleted=DATE(1900,1,0),DATE(1900,1,1),'IWP14'!DateCompleted)</f>
        <v>1</v>
      </c>
      <c r="M63" s="195" t="str">
        <f>IF('IWP14'!Std2NotCalc = 0, "", 'IWP14'!Std2NotCalc)</f>
        <v/>
      </c>
      <c r="N63" s="195" t="str">
        <f>IF('IWP14'!Std2dot1 = 0, "", 'IWP14'!Std2dot1)</f>
        <v/>
      </c>
      <c r="O63" s="195" t="str">
        <f>IF('IWP14'!Std2dot2 = 0, "", 'IWP14'!Std2dot2)</f>
        <v/>
      </c>
      <c r="P63" s="195" t="str">
        <f>IF('IWP14'!Std2dot3 = 0, "", 'IWP14'!Std2dot3)</f>
        <v/>
      </c>
      <c r="Q63" s="195" t="str">
        <f>IF('IWP14'!Std2dot4 = 0, "", 'IWP14'!Std2dot4)</f>
        <v/>
      </c>
      <c r="R63" s="195" t="str">
        <f>IF('IWP14'!Std3NotCalc = 0, "", 'IWP14'!Std3NotCalc)</f>
        <v/>
      </c>
      <c r="S63" s="195" t="str">
        <f>IF('IWP14'!Std3dot1 = 0, "", 'IWP14'!Std3dot1)</f>
        <v/>
      </c>
      <c r="T63" s="195" t="str">
        <f>IF('IWP14'!Std4NotCalc = 0, "", 'IWP14'!Std4NotCalc)</f>
        <v/>
      </c>
      <c r="U63" s="195" t="str">
        <f>IF('IWP14'!Std4dot1a = 0, "", 'IWP14'!Std4dot1a)</f>
        <v/>
      </c>
      <c r="V63" s="195" t="str">
        <f>IF('IWP14'!Std4dot1b = 0, "", 'IWP14'!Std4dot1b)</f>
        <v>NA</v>
      </c>
      <c r="W63" s="195" t="str">
        <f>IF('IWP14'!Std4dot1c = 0, "", 'IWP14'!Std4dot1c)</f>
        <v/>
      </c>
      <c r="X63" s="195" t="str">
        <f>IF('IWP14'!Std4dot1d = 0, "", 'IWP14'!Std4dot1d)</f>
        <v/>
      </c>
      <c r="Y63" s="195" t="str">
        <f>IF('IWP14'!Std4dot1e = 0, "", 'IWP14'!Std4dot1e)</f>
        <v/>
      </c>
      <c r="Z63" s="195" t="str">
        <f>IF('IWP14'!Std4dot1f = 0, "", 'IWP14'!Std4dot1f)</f>
        <v/>
      </c>
      <c r="AA63" s="195" t="str">
        <f>IF('IWP14'!Std4dot1 = 0, "", 'IWP14'!Std4dot1)</f>
        <v/>
      </c>
      <c r="AB63" s="195" t="str">
        <f>IF('IWP14'!Std4dot2a = 0, "", 'IWP14'!Std4dot2a)</f>
        <v>NA</v>
      </c>
      <c r="AC63" s="195" t="str">
        <f>IF('IWP14'!Std4dot2b = 0, "", 'IWP14'!Std4dot2b)</f>
        <v>NA</v>
      </c>
      <c r="AD63" s="195" t="str">
        <f>IF('IWP14'!Std4dot2c = 0, "", 'IWP14'!Std4dot2c)</f>
        <v>NA</v>
      </c>
      <c r="AE63" s="195" t="str">
        <f>IF('IWP14'!Std4dot2d = 0, "", 'IWP14'!Std4dot2d)</f>
        <v>NA</v>
      </c>
      <c r="AF63" s="195" t="str">
        <f>IF('IWP14'!Std4dot2 = 0, "", 'IWP14'!Std4dot2)</f>
        <v>NA</v>
      </c>
      <c r="AG63" s="195" t="str">
        <f>IF('IWP14'!Std4dot3NotCalc = 0, "", 'IWP14'!Std4dot3NotCalc)</f>
        <v/>
      </c>
      <c r="AH63" s="172">
        <f>IF('IWP14'!Std4dot3DateOfTransfer=DATE(1900,1,0), DATE(1900,1,1), 'IWP14'!Std4dot3DateOfTransfer)</f>
        <v>1</v>
      </c>
      <c r="AI63" s="195" t="str">
        <f>IF('IWP14'!Std4dot3a = 0, "", 'IWP14'!Std4dot3a)</f>
        <v>NA</v>
      </c>
      <c r="AJ63" s="195" t="str">
        <f>IF('IWP14'!Std4dot3b = 0, "", 'IWP14'!Std4dot3b)</f>
        <v>NA</v>
      </c>
      <c r="AK63" s="195" t="str">
        <f>IF('IWP14'!Std4dot3c = 0, "", 'IWP14'!Std4dot3c)</f>
        <v>NA</v>
      </c>
      <c r="AL63" s="195" t="str">
        <f>IF('IWP14'!Std4dot3d = 0, "", 'IWP14'!Std4dot3d)</f>
        <v>NA</v>
      </c>
      <c r="AM63" s="195" t="str">
        <f>IF('IWP14'!Std4dot3e = 0, "", 'IWP14'!Std4dot3e)</f>
        <v/>
      </c>
      <c r="AN63" s="195" t="str">
        <f>IF('IWP14'!Std4dot3 = 0, "", 'IWP14'!Std4dot3)</f>
        <v/>
      </c>
      <c r="AO63" s="195"/>
      <c r="AP63" s="195" t="str">
        <f>IF('IWP14'!Std5dot1 = 0, "", 'IWP14'!Std5dot1)</f>
        <v>NA</v>
      </c>
      <c r="AQ63" s="195" t="str">
        <f>IF('IWP14'!Std6dot1NotCalc = 0, "", 'IWP14'!Std6dot1NotCalc)</f>
        <v/>
      </c>
      <c r="AR63" s="195" t="str">
        <f>IF('IWP14'!Std6dot1 = 0, "", 'IWP14'!Std6dot1)</f>
        <v/>
      </c>
      <c r="AS63" s="195" t="str">
        <f>IF('IWP14'!Std6dot2NotCalc = 0, "", 'IWP14'!Std6dot2NotCalc)</f>
        <v/>
      </c>
      <c r="AT63" s="172">
        <f>IF('IWP14'!Std6dot2DateOfNoteOfXfer=DATE(1900,1,0), DATE(1900,1,1), 'IWP14'!Std6dot2DateOfNoteOfXfer)</f>
        <v>1</v>
      </c>
      <c r="AU63" s="195" t="str">
        <f>IF('IWP14'!Std6dot2a = 0, "", 'IWP14'!Std6dot2a)</f>
        <v/>
      </c>
      <c r="AV63" s="195" t="str">
        <f>IF('IWP14'!Std6dot2b = 0, "", 'IWP14'!Std6dot2b)</f>
        <v/>
      </c>
      <c r="AW63" s="195" t="str">
        <f>IF('IWP14'!Std6dot2c = 0, "", 'IWP14'!Std6dot2c)</f>
        <v>NA</v>
      </c>
      <c r="AX63" s="195" t="str">
        <f>IF('IWP14'!Std6dot2d = 0, "", 'IWP14'!Std6dot2d)</f>
        <v>NA</v>
      </c>
      <c r="AY63" s="195" t="str">
        <f>IF('IWP14'!Std6dot2e = 0, "", 'IWP14'!Std6dot2e)</f>
        <v>NA</v>
      </c>
      <c r="AZ63" s="195" t="str">
        <f>IF('IWP14'!Std6dot2 = 0, "", 'IWP14'!Std6dot2)</f>
        <v/>
      </c>
      <c r="BA63" s="195" t="str">
        <f>IF('IWP14'!Std7NotCalc = 0, "", 'IWP14'!Std7NotCalc)</f>
        <v/>
      </c>
      <c r="BB63" s="195" t="str">
        <f>IF('IWP14'!Std7dot1 = 0, "", 'IWP14'!Std7dot1)</f>
        <v/>
      </c>
      <c r="BC63" s="195" t="str">
        <f>IF('IWP14'!Std7dot2 = 0, "", 'IWP14'!Std7dot2)</f>
        <v/>
      </c>
      <c r="BD63" s="195" t="str">
        <f>IF('IWP14'!Std8dot1 = 0, "", 'IWP14'!Std8dot1)</f>
        <v/>
      </c>
      <c r="BE63" s="195" t="str">
        <f>IF('IWP14'!Std8dot2NotCalc = 0, "", 'IWP14'!Std8dot2NotCalc)</f>
        <v/>
      </c>
      <c r="BF63" s="195" t="str">
        <f>IF('IWP14'!Std8dot2 = 0, "", 'IWP14'!Std8dot2)</f>
        <v/>
      </c>
      <c r="BG63" s="195" t="str">
        <f>IF('IWP14'!Std8dot3NotCalc = 0, "", 'IWP14'!Std8dot3NotCalc)</f>
        <v/>
      </c>
      <c r="BH63" s="195" t="str">
        <f>IF('IWP14'!Std8dot3 = 0, "", 'IWP14'!Std8dot3)</f>
        <v/>
      </c>
      <c r="BI63" s="195" t="str">
        <f>IF('IWP14'!Std9dot1 = 0, "", 'IWP14'!Std9dot1)</f>
        <v/>
      </c>
      <c r="BJ63" s="195" t="str">
        <f>IF('IWP14'!Std9dot2 = 0, "", 'IWP14'!Std9dot2)</f>
        <v/>
      </c>
      <c r="BK63" s="194" t="str">
        <f>IF('IWP14'!Std9dot3 = 0, "", 'IWP14'!Std9dot3)</f>
        <v/>
      </c>
    </row>
    <row r="64" spans="1:63">
      <c r="A64" s="183" t="s">
        <v>513</v>
      </c>
      <c r="B64" s="176">
        <f>IF('Samples (PRINT)'!D19=DATE(1900,1,0),DATE(1900,1,1),'Samples (PRINT)'!D19)</f>
        <v>1</v>
      </c>
      <c r="C64" s="176">
        <f>IF('Samples (PRINT)'!E19=DATE(1900,1,0),DATE(1900,1,1),'Samples (PRINT)'!E19)</f>
        <v>1</v>
      </c>
      <c r="D64" s="196">
        <f>'IWP15'!SampleNumber</f>
        <v>15</v>
      </c>
      <c r="E64" s="196">
        <f>'IWP15'!ClientID</f>
        <v>0</v>
      </c>
      <c r="F64" s="237"/>
      <c r="G64" s="237"/>
      <c r="H64" s="195" t="str">
        <f ca="1">IF('IWP15'!ContractNumber = 0, "", 'IWP15'!ContractNumber)</f>
        <v/>
      </c>
      <c r="I64" s="195" t="str">
        <f>IF('IWP15'!ContractType = 0, "", 'IWP15'!ContractType)</f>
        <v/>
      </c>
      <c r="J64" s="195" t="str">
        <f>IF('IWP15'!CompletedByLastName = 0, "", 'IWP15'!CompletedByLastName)</f>
        <v/>
      </c>
      <c r="K64" s="195" t="str">
        <f>IF('IWP15'!CompletedByFirstName = 0, "", 'IWP15'!CompletedByFirstName)</f>
        <v/>
      </c>
      <c r="L64" s="176">
        <f>IF('IWP15'!DateCompleted=DATE(1900,1,0),DATE(1900,1,1),'IWP15'!DateCompleted)</f>
        <v>1</v>
      </c>
      <c r="M64" s="195" t="str">
        <f>IF('IWP15'!Std2NotCalc = 0, "", 'IWP15'!Std2NotCalc)</f>
        <v/>
      </c>
      <c r="N64" s="195" t="str">
        <f>IF('IWP15'!Std2dot1 = 0, "", 'IWP15'!Std2dot1)</f>
        <v/>
      </c>
      <c r="O64" s="195" t="str">
        <f>IF('IWP15'!Std2dot2 = 0, "", 'IWP15'!Std2dot2)</f>
        <v/>
      </c>
      <c r="P64" s="195" t="str">
        <f>IF('IWP15'!Std2dot3 = 0, "", 'IWP15'!Std2dot3)</f>
        <v/>
      </c>
      <c r="Q64" s="195" t="str">
        <f>IF('IWP15'!Std2dot4 = 0, "", 'IWP15'!Std2dot4)</f>
        <v/>
      </c>
      <c r="R64" s="195" t="str">
        <f>IF('IWP15'!Std3NotCalc = 0, "", 'IWP15'!Std3NotCalc)</f>
        <v/>
      </c>
      <c r="S64" s="195" t="str">
        <f>IF('IWP15'!Std3dot1 = 0, "", 'IWP15'!Std3dot1)</f>
        <v/>
      </c>
      <c r="T64" s="195" t="str">
        <f>IF('IWP15'!Std4NotCalc = 0, "", 'IWP15'!Std4NotCalc)</f>
        <v/>
      </c>
      <c r="U64" s="195" t="str">
        <f>IF('IWP15'!Std4dot1a = 0, "", 'IWP15'!Std4dot1a)</f>
        <v/>
      </c>
      <c r="V64" s="195" t="str">
        <f>IF('IWP15'!Std4dot1b = 0, "", 'IWP15'!Std4dot1b)</f>
        <v>NA</v>
      </c>
      <c r="W64" s="195" t="str">
        <f>IF('IWP15'!Std4dot1c = 0, "", 'IWP15'!Std4dot1c)</f>
        <v/>
      </c>
      <c r="X64" s="195" t="str">
        <f>IF('IWP15'!Std4dot1d = 0, "", 'IWP15'!Std4dot1d)</f>
        <v/>
      </c>
      <c r="Y64" s="195" t="str">
        <f>IF('IWP15'!Std4dot1e = 0, "", 'IWP15'!Std4dot1e)</f>
        <v/>
      </c>
      <c r="Z64" s="195" t="str">
        <f>IF('IWP15'!Std4dot1f = 0, "", 'IWP15'!Std4dot1f)</f>
        <v/>
      </c>
      <c r="AA64" s="195" t="str">
        <f>IF('IWP15'!Std4dot1 = 0, "", 'IWP15'!Std4dot1)</f>
        <v/>
      </c>
      <c r="AB64" s="195" t="str">
        <f>IF('IWP15'!Std4dot2a = 0, "", 'IWP15'!Std4dot2a)</f>
        <v>NA</v>
      </c>
      <c r="AC64" s="195" t="str">
        <f>IF('IWP15'!Std4dot2b = 0, "", 'IWP15'!Std4dot2b)</f>
        <v>NA</v>
      </c>
      <c r="AD64" s="195" t="str">
        <f>IF('IWP15'!Std4dot2c = 0, "", 'IWP15'!Std4dot2c)</f>
        <v>NA</v>
      </c>
      <c r="AE64" s="195" t="str">
        <f>IF('IWP15'!Std4dot2d = 0, "", 'IWP15'!Std4dot2d)</f>
        <v>NA</v>
      </c>
      <c r="AF64" s="195" t="str">
        <f>IF('IWP15'!Std4dot2 = 0, "", 'IWP15'!Std4dot2)</f>
        <v>NA</v>
      </c>
      <c r="AG64" s="195" t="str">
        <f>IF('IWP15'!Std4dot3NotCalc = 0, "", 'IWP15'!Std4dot3NotCalc)</f>
        <v/>
      </c>
      <c r="AH64" s="172">
        <f>IF('IWP15'!Std4dot3DateOfTransfer=DATE(1900,1,0), DATE(1900,1,1), 'IWP15'!Std4dot3DateOfTransfer)</f>
        <v>1</v>
      </c>
      <c r="AI64" s="195" t="str">
        <f>IF('IWP15'!Std4dot3a = 0, "", 'IWP15'!Std4dot3a)</f>
        <v>NA</v>
      </c>
      <c r="AJ64" s="195" t="str">
        <f>IF('IWP15'!Std4dot3b = 0, "", 'IWP15'!Std4dot3b)</f>
        <v>NA</v>
      </c>
      <c r="AK64" s="195" t="str">
        <f>IF('IWP15'!Std4dot3c = 0, "", 'IWP15'!Std4dot3c)</f>
        <v>NA</v>
      </c>
      <c r="AL64" s="195" t="str">
        <f>IF('IWP15'!Std4dot3d = 0, "", 'IWP15'!Std4dot3d)</f>
        <v>NA</v>
      </c>
      <c r="AM64" s="195" t="str">
        <f>IF('IWP15'!Std4dot3e = 0, "", 'IWP15'!Std4dot3e)</f>
        <v/>
      </c>
      <c r="AN64" s="195" t="str">
        <f>IF('IWP15'!Std4dot3 = 0, "", 'IWP15'!Std4dot3)</f>
        <v/>
      </c>
      <c r="AO64" s="195"/>
      <c r="AP64" s="195" t="str">
        <f>IF('IWP15'!Std5dot1 = 0, "", 'IWP15'!Std5dot1)</f>
        <v>NA</v>
      </c>
      <c r="AQ64" s="195" t="str">
        <f>IF('IWP15'!Std6dot1NotCalc = 0, "", 'IWP15'!Std6dot1NotCalc)</f>
        <v/>
      </c>
      <c r="AR64" s="195" t="str">
        <f>IF('IWP15'!Std6dot1 = 0, "", 'IWP15'!Std6dot1)</f>
        <v/>
      </c>
      <c r="AS64" s="195" t="str">
        <f>IF('IWP15'!Std6dot2NotCalc = 0, "", 'IWP15'!Std6dot2NotCalc)</f>
        <v/>
      </c>
      <c r="AT64" s="172">
        <f>IF('IWP15'!Std6dot2DateOfNoteOfXfer=DATE(1900,1,0), DATE(1900,1,1), 'IWP15'!Std6dot2DateOfNoteOfXfer)</f>
        <v>1</v>
      </c>
      <c r="AU64" s="195" t="str">
        <f>IF('IWP15'!Std6dot2a = 0, "", 'IWP15'!Std6dot2a)</f>
        <v/>
      </c>
      <c r="AV64" s="195" t="str">
        <f>IF('IWP15'!Std6dot2b = 0, "", 'IWP15'!Std6dot2b)</f>
        <v/>
      </c>
      <c r="AW64" s="195" t="str">
        <f>IF('IWP15'!Std6dot2c = 0, "", 'IWP15'!Std6dot2c)</f>
        <v>NA</v>
      </c>
      <c r="AX64" s="195" t="str">
        <f>IF('IWP15'!Std6dot2d = 0, "", 'IWP15'!Std6dot2d)</f>
        <v>NA</v>
      </c>
      <c r="AY64" s="195" t="str">
        <f>IF('IWP15'!Std6dot2e = 0, "", 'IWP15'!Std6dot2e)</f>
        <v>NA</v>
      </c>
      <c r="AZ64" s="195" t="str">
        <f>IF('IWP15'!Std6dot2 = 0, "", 'IWP15'!Std6dot2)</f>
        <v/>
      </c>
      <c r="BA64" s="195" t="str">
        <f>IF('IWP15'!Std7NotCalc = 0, "", 'IWP15'!Std7NotCalc)</f>
        <v/>
      </c>
      <c r="BB64" s="195" t="str">
        <f>IF('IWP15'!Std7dot1 = 0, "", 'IWP15'!Std7dot1)</f>
        <v/>
      </c>
      <c r="BC64" s="195" t="str">
        <f>IF('IWP15'!Std7dot2 = 0, "", 'IWP15'!Std7dot2)</f>
        <v/>
      </c>
      <c r="BD64" s="195" t="str">
        <f>IF('IWP15'!Std8dot1 = 0, "", 'IWP15'!Std8dot1)</f>
        <v/>
      </c>
      <c r="BE64" s="195" t="str">
        <f>IF('IWP15'!Std8dot2NotCalc = 0, "", 'IWP15'!Std8dot2NotCalc)</f>
        <v/>
      </c>
      <c r="BF64" s="195" t="str">
        <f>IF('IWP15'!Std8dot2 = 0, "", 'IWP15'!Std8dot2)</f>
        <v/>
      </c>
      <c r="BG64" s="195" t="str">
        <f>IF('IWP15'!Std8dot3NotCalc = 0, "", 'IWP15'!Std8dot3NotCalc)</f>
        <v/>
      </c>
      <c r="BH64" s="195" t="str">
        <f>IF('IWP15'!Std8dot3 = 0, "", 'IWP15'!Std8dot3)</f>
        <v/>
      </c>
      <c r="BI64" s="195" t="str">
        <f>IF('IWP15'!Std9dot1 = 0, "", 'IWP15'!Std9dot1)</f>
        <v/>
      </c>
      <c r="BJ64" s="195" t="str">
        <f>IF('IWP15'!Std9dot2 = 0, "", 'IWP15'!Std9dot2)</f>
        <v/>
      </c>
      <c r="BK64" s="194" t="str">
        <f>IF('IWP15'!Std9dot3 = 0, "", 'IWP15'!Std9dot3)</f>
        <v/>
      </c>
    </row>
    <row r="65" spans="1:63">
      <c r="A65" s="183" t="s">
        <v>514</v>
      </c>
      <c r="B65" s="176">
        <f>IF('Samples (PRINT)'!D20=DATE(1900,1,0),DATE(1900,1,1),'Samples (PRINT)'!D20)</f>
        <v>1</v>
      </c>
      <c r="C65" s="176">
        <f>IF('Samples (PRINT)'!E20=DATE(1900,1,0),DATE(1900,1,1),'Samples (PRINT)'!E20)</f>
        <v>1</v>
      </c>
      <c r="D65" s="196">
        <f>'IWP16'!SampleNumber</f>
        <v>16</v>
      </c>
      <c r="E65" s="196">
        <f>'IWP16'!ClientID</f>
        <v>0</v>
      </c>
      <c r="F65" s="237"/>
      <c r="G65" s="237"/>
      <c r="H65" s="195" t="str">
        <f ca="1">IF('IWP16'!ContractNumber = 0, "", 'IWP16'!ContractNumber)</f>
        <v/>
      </c>
      <c r="I65" s="195" t="str">
        <f>IF('IWP16'!ContractType = 0, "", 'IWP16'!ContractType)</f>
        <v/>
      </c>
      <c r="J65" s="195" t="str">
        <f>IF('IWP16'!CompletedByLastName = 0, "", 'IWP16'!CompletedByLastName)</f>
        <v/>
      </c>
      <c r="K65" s="195" t="str">
        <f>IF('IWP16'!CompletedByFirstName = 0, "", 'IWP16'!CompletedByFirstName)</f>
        <v/>
      </c>
      <c r="L65" s="176">
        <f>IF('IWP16'!DateCompleted=DATE(1900,1,0),DATE(1900,1,1),'IWP16'!DateCompleted)</f>
        <v>1</v>
      </c>
      <c r="M65" s="195" t="str">
        <f>IF('IWP16'!Std2NotCalc = 0, "", 'IWP16'!Std2NotCalc)</f>
        <v/>
      </c>
      <c r="N65" s="195" t="str">
        <f>IF('IWP16'!Std2dot1 = 0, "", 'IWP16'!Std2dot1)</f>
        <v/>
      </c>
      <c r="O65" s="195" t="str">
        <f>IF('IWP16'!Std2dot2 = 0, "", 'IWP16'!Std2dot2)</f>
        <v/>
      </c>
      <c r="P65" s="195" t="str">
        <f>IF('IWP16'!Std2dot3 = 0, "", 'IWP16'!Std2dot3)</f>
        <v/>
      </c>
      <c r="Q65" s="195" t="str">
        <f>IF('IWP16'!Std2dot4 = 0, "", 'IWP16'!Std2dot4)</f>
        <v/>
      </c>
      <c r="R65" s="195" t="str">
        <f>IF('IWP16'!Std3NotCalc = 0, "", 'IWP16'!Std3NotCalc)</f>
        <v/>
      </c>
      <c r="S65" s="195" t="str">
        <f>IF('IWP16'!Std3dot1 = 0, "", 'IWP16'!Std3dot1)</f>
        <v/>
      </c>
      <c r="T65" s="195" t="str">
        <f>IF('IWP16'!Std4NotCalc = 0, "", 'IWP16'!Std4NotCalc)</f>
        <v/>
      </c>
      <c r="U65" s="195" t="str">
        <f>IF('IWP16'!Std4dot1a = 0, "", 'IWP16'!Std4dot1a)</f>
        <v/>
      </c>
      <c r="V65" s="195" t="str">
        <f>IF('IWP16'!Std4dot1b = 0, "", 'IWP16'!Std4dot1b)</f>
        <v>NA</v>
      </c>
      <c r="W65" s="195" t="str">
        <f>IF('IWP16'!Std4dot1c = 0, "", 'IWP16'!Std4dot1c)</f>
        <v/>
      </c>
      <c r="X65" s="195" t="str">
        <f>IF('IWP16'!Std4dot1d = 0, "", 'IWP16'!Std4dot1d)</f>
        <v/>
      </c>
      <c r="Y65" s="195" t="str">
        <f>IF('IWP16'!Std4dot1e = 0, "", 'IWP16'!Std4dot1e)</f>
        <v/>
      </c>
      <c r="Z65" s="195" t="str">
        <f>IF('IWP16'!Std4dot1f = 0, "", 'IWP16'!Std4dot1f)</f>
        <v/>
      </c>
      <c r="AA65" s="195" t="str">
        <f>IF('IWP16'!Std4dot1 = 0, "", 'IWP16'!Std4dot1)</f>
        <v/>
      </c>
      <c r="AB65" s="195" t="str">
        <f>IF('IWP16'!Std4dot2a = 0, "", 'IWP16'!Std4dot2a)</f>
        <v>NA</v>
      </c>
      <c r="AC65" s="195" t="str">
        <f>IF('IWP16'!Std4dot2b = 0, "", 'IWP16'!Std4dot2b)</f>
        <v>NA</v>
      </c>
      <c r="AD65" s="195" t="str">
        <f>IF('IWP16'!Std4dot2c = 0, "", 'IWP16'!Std4dot2c)</f>
        <v>NA</v>
      </c>
      <c r="AE65" s="195" t="str">
        <f>IF('IWP16'!Std4dot2d = 0, "", 'IWP16'!Std4dot2d)</f>
        <v>NA</v>
      </c>
      <c r="AF65" s="195" t="str">
        <f>IF('IWP16'!Std4dot2 = 0, "", 'IWP16'!Std4dot2)</f>
        <v>NA</v>
      </c>
      <c r="AG65" s="195" t="str">
        <f>IF('IWP16'!Std4dot3NotCalc = 0, "", 'IWP16'!Std4dot3NotCalc)</f>
        <v/>
      </c>
      <c r="AH65" s="172">
        <f>IF('IWP16'!Std4dot3DateOfTransfer=DATE(1900,1,0), DATE(1900,1,1), 'IWP16'!Std4dot3DateOfTransfer)</f>
        <v>1</v>
      </c>
      <c r="AI65" s="195" t="str">
        <f>IF('IWP16'!Std4dot3a = 0, "", 'IWP16'!Std4dot3a)</f>
        <v>NA</v>
      </c>
      <c r="AJ65" s="195" t="str">
        <f>IF('IWP16'!Std4dot3b = 0, "", 'IWP16'!Std4dot3b)</f>
        <v>NA</v>
      </c>
      <c r="AK65" s="195" t="str">
        <f>IF('IWP16'!Std4dot3c = 0, "", 'IWP16'!Std4dot3c)</f>
        <v>NA</v>
      </c>
      <c r="AL65" s="195" t="str">
        <f>IF('IWP16'!Std4dot3d = 0, "", 'IWP16'!Std4dot3d)</f>
        <v>NA</v>
      </c>
      <c r="AM65" s="195" t="str">
        <f>IF('IWP16'!Std4dot3e = 0, "", 'IWP16'!Std4dot3e)</f>
        <v/>
      </c>
      <c r="AN65" s="195" t="str">
        <f>IF('IWP16'!Std4dot3 = 0, "", 'IWP16'!Std4dot3)</f>
        <v/>
      </c>
      <c r="AO65" s="195"/>
      <c r="AP65" s="195" t="str">
        <f>IF('IWP16'!Std5dot1 = 0, "", 'IWP16'!Std5dot1)</f>
        <v>NA</v>
      </c>
      <c r="AQ65" s="195" t="str">
        <f>IF('IWP16'!Std6dot1NotCalc = 0, "", 'IWP16'!Std6dot1NotCalc)</f>
        <v/>
      </c>
      <c r="AR65" s="195" t="str">
        <f>IF('IWP16'!Std6dot1 = 0, "", 'IWP16'!Std6dot1)</f>
        <v/>
      </c>
      <c r="AS65" s="195" t="str">
        <f>IF('IWP16'!Std6dot2NotCalc = 0, "", 'IWP16'!Std6dot2NotCalc)</f>
        <v/>
      </c>
      <c r="AT65" s="172">
        <f>IF('IWP16'!Std6dot2DateOfNoteOfXfer=DATE(1900,1,0), DATE(1900,1,1), 'IWP16'!Std6dot2DateOfNoteOfXfer)</f>
        <v>1</v>
      </c>
      <c r="AU65" s="195" t="str">
        <f>IF('IWP16'!Std6dot2a = 0, "", 'IWP16'!Std6dot2a)</f>
        <v/>
      </c>
      <c r="AV65" s="195" t="str">
        <f>IF('IWP16'!Std6dot2b = 0, "", 'IWP16'!Std6dot2b)</f>
        <v/>
      </c>
      <c r="AW65" s="195" t="str">
        <f>IF('IWP16'!Std6dot2c = 0, "", 'IWP16'!Std6dot2c)</f>
        <v>NA</v>
      </c>
      <c r="AX65" s="195" t="str">
        <f>IF('IWP16'!Std6dot2d = 0, "", 'IWP16'!Std6dot2d)</f>
        <v>NA</v>
      </c>
      <c r="AY65" s="195" t="str">
        <f>IF('IWP16'!Std6dot2e = 0, "", 'IWP16'!Std6dot2e)</f>
        <v>NA</v>
      </c>
      <c r="AZ65" s="195" t="str">
        <f>IF('IWP16'!Std6dot2 = 0, "", 'IWP16'!Std6dot2)</f>
        <v/>
      </c>
      <c r="BA65" s="195" t="str">
        <f>IF('IWP16'!Std7NotCalc = 0, "", 'IWP16'!Std7NotCalc)</f>
        <v/>
      </c>
      <c r="BB65" s="195" t="str">
        <f>IF('IWP16'!Std7dot1 = 0, "", 'IWP16'!Std7dot1)</f>
        <v/>
      </c>
      <c r="BC65" s="195" t="str">
        <f>IF('IWP16'!Std7dot2 = 0, "", 'IWP16'!Std7dot2)</f>
        <v/>
      </c>
      <c r="BD65" s="195" t="str">
        <f>IF('IWP16'!Std8dot1 = 0, "", 'IWP16'!Std8dot1)</f>
        <v/>
      </c>
      <c r="BE65" s="195" t="str">
        <f>IF('IWP16'!Std8dot2NotCalc = 0, "", 'IWP16'!Std8dot2NotCalc)</f>
        <v/>
      </c>
      <c r="BF65" s="195" t="str">
        <f>IF('IWP16'!Std8dot2 = 0, "", 'IWP16'!Std8dot2)</f>
        <v/>
      </c>
      <c r="BG65" s="195" t="str">
        <f>IF('IWP16'!Std8dot3NotCalc = 0, "", 'IWP16'!Std8dot3NotCalc)</f>
        <v/>
      </c>
      <c r="BH65" s="195" t="str">
        <f>IF('IWP16'!Std8dot3 = 0, "", 'IWP16'!Std8dot3)</f>
        <v/>
      </c>
      <c r="BI65" s="195" t="str">
        <f>IF('IWP16'!Std9dot1 = 0, "", 'IWP16'!Std9dot1)</f>
        <v/>
      </c>
      <c r="BJ65" s="195" t="str">
        <f>IF('IWP16'!Std9dot2 = 0, "", 'IWP16'!Std9dot2)</f>
        <v/>
      </c>
      <c r="BK65" s="194" t="str">
        <f>IF('IWP16'!Std9dot3 = 0, "", 'IWP16'!Std9dot3)</f>
        <v/>
      </c>
    </row>
    <row r="66" spans="1:63">
      <c r="A66" s="183" t="s">
        <v>515</v>
      </c>
      <c r="B66" s="176">
        <f>IF('Samples (PRINT)'!D21=DATE(1900,1,0),DATE(1900,1,1),'Samples (PRINT)'!D21)</f>
        <v>1</v>
      </c>
      <c r="C66" s="176">
        <f>IF('Samples (PRINT)'!E21=DATE(1900,1,0),DATE(1900,1,1),'Samples (PRINT)'!E21)</f>
        <v>1</v>
      </c>
      <c r="D66" s="196">
        <f>'IWP17'!SampleNumber</f>
        <v>17</v>
      </c>
      <c r="E66" s="196">
        <f>'IWP17'!ClientID</f>
        <v>0</v>
      </c>
      <c r="F66" s="237"/>
      <c r="G66" s="237"/>
      <c r="H66" s="195" t="str">
        <f ca="1">IF('IWP17'!ContractNumber = 0, "", 'IWP17'!ContractNumber)</f>
        <v/>
      </c>
      <c r="I66" s="195" t="str">
        <f>IF('IWP17'!ContractType = 0, "", 'IWP17'!ContractType)</f>
        <v/>
      </c>
      <c r="J66" s="195" t="str">
        <f>IF('IWP17'!CompletedByLastName = 0, "", 'IWP17'!CompletedByLastName)</f>
        <v/>
      </c>
      <c r="K66" s="195" t="str">
        <f>IF('IWP17'!CompletedByFirstName = 0, "", 'IWP17'!CompletedByFirstName)</f>
        <v/>
      </c>
      <c r="L66" s="176">
        <f>IF('IWP17'!DateCompleted=DATE(1900,1,0),DATE(1900,1,1),'IWP17'!DateCompleted)</f>
        <v>1</v>
      </c>
      <c r="M66" s="195" t="str">
        <f>IF('IWP17'!Std2NotCalc = 0, "", 'IWP17'!Std2NotCalc)</f>
        <v/>
      </c>
      <c r="N66" s="195" t="str">
        <f>IF('IWP17'!Std2dot1 = 0, "", 'IWP17'!Std2dot1)</f>
        <v/>
      </c>
      <c r="O66" s="195" t="str">
        <f>IF('IWP17'!Std2dot2 = 0, "", 'IWP17'!Std2dot2)</f>
        <v/>
      </c>
      <c r="P66" s="195" t="str">
        <f>IF('IWP17'!Std2dot3 = 0, "", 'IWP17'!Std2dot3)</f>
        <v/>
      </c>
      <c r="Q66" s="195" t="str">
        <f>IF('IWP17'!Std2dot4 = 0, "", 'IWP17'!Std2dot4)</f>
        <v/>
      </c>
      <c r="R66" s="195" t="str">
        <f>IF('IWP17'!Std3NotCalc = 0, "", 'IWP17'!Std3NotCalc)</f>
        <v/>
      </c>
      <c r="S66" s="195" t="str">
        <f>IF('IWP17'!Std3dot1 = 0, "", 'IWP17'!Std3dot1)</f>
        <v/>
      </c>
      <c r="T66" s="195" t="str">
        <f>IF('IWP17'!Std4NotCalc = 0, "", 'IWP17'!Std4NotCalc)</f>
        <v/>
      </c>
      <c r="U66" s="195" t="str">
        <f>IF('IWP17'!Std4dot1a = 0, "", 'IWP17'!Std4dot1a)</f>
        <v/>
      </c>
      <c r="V66" s="195" t="str">
        <f>IF('IWP17'!Std4dot1b = 0, "", 'IWP17'!Std4dot1b)</f>
        <v>NA</v>
      </c>
      <c r="W66" s="195" t="str">
        <f>IF('IWP17'!Std4dot1c = 0, "", 'IWP17'!Std4dot1c)</f>
        <v/>
      </c>
      <c r="X66" s="195" t="str">
        <f>IF('IWP17'!Std4dot1d = 0, "", 'IWP17'!Std4dot1d)</f>
        <v/>
      </c>
      <c r="Y66" s="195" t="str">
        <f>IF('IWP17'!Std4dot1e = 0, "", 'IWP17'!Std4dot1e)</f>
        <v/>
      </c>
      <c r="Z66" s="195" t="str">
        <f>IF('IWP17'!Std4dot1f = 0, "", 'IWP17'!Std4dot1f)</f>
        <v/>
      </c>
      <c r="AA66" s="195" t="str">
        <f>IF('IWP17'!Std4dot1 = 0, "", 'IWP17'!Std4dot1)</f>
        <v/>
      </c>
      <c r="AB66" s="195" t="str">
        <f>IF('IWP17'!Std4dot2a = 0, "", 'IWP17'!Std4dot2a)</f>
        <v>NA</v>
      </c>
      <c r="AC66" s="195" t="str">
        <f>IF('IWP17'!Std4dot2b = 0, "", 'IWP17'!Std4dot2b)</f>
        <v>NA</v>
      </c>
      <c r="AD66" s="195" t="str">
        <f>IF('IWP17'!Std4dot2c = 0, "", 'IWP17'!Std4dot2c)</f>
        <v>NA</v>
      </c>
      <c r="AE66" s="195" t="str">
        <f>IF('IWP17'!Std4dot2d = 0, "", 'IWP17'!Std4dot2d)</f>
        <v>NA</v>
      </c>
      <c r="AF66" s="195" t="str">
        <f>IF('IWP17'!Std4dot2 = 0, "", 'IWP17'!Std4dot2)</f>
        <v>NA</v>
      </c>
      <c r="AG66" s="195" t="str">
        <f>IF('IWP17'!Std4dot3NotCalc = 0, "", 'IWP17'!Std4dot3NotCalc)</f>
        <v/>
      </c>
      <c r="AH66" s="172">
        <f>IF('IWP17'!Std4dot3DateOfTransfer=DATE(1900,1,0), DATE(1900,1,1), 'IWP17'!Std4dot3DateOfTransfer)</f>
        <v>1</v>
      </c>
      <c r="AI66" s="195" t="str">
        <f>IF('IWP17'!Std4dot3a = 0, "", 'IWP17'!Std4dot3a)</f>
        <v>NA</v>
      </c>
      <c r="AJ66" s="195" t="str">
        <f>IF('IWP17'!Std4dot3b = 0, "", 'IWP17'!Std4dot3b)</f>
        <v>NA</v>
      </c>
      <c r="AK66" s="195" t="str">
        <f>IF('IWP17'!Std4dot3c = 0, "", 'IWP17'!Std4dot3c)</f>
        <v>NA</v>
      </c>
      <c r="AL66" s="195" t="str">
        <f>IF('IWP17'!Std4dot3d = 0, "", 'IWP17'!Std4dot3d)</f>
        <v>NA</v>
      </c>
      <c r="AM66" s="195" t="str">
        <f>IF('IWP17'!Std4dot3e = 0, "", 'IWP17'!Std4dot3e)</f>
        <v/>
      </c>
      <c r="AN66" s="195" t="str">
        <f>IF('IWP17'!Std4dot3 = 0, "", 'IWP17'!Std4dot3)</f>
        <v/>
      </c>
      <c r="AO66" s="195"/>
      <c r="AP66" s="195" t="str">
        <f>IF('IWP17'!Std5dot1 = 0, "", 'IWP17'!Std5dot1)</f>
        <v>NA</v>
      </c>
      <c r="AQ66" s="195" t="str">
        <f>IF('IWP17'!Std6dot1NotCalc = 0, "", 'IWP17'!Std6dot1NotCalc)</f>
        <v/>
      </c>
      <c r="AR66" s="195" t="str">
        <f>IF('IWP17'!Std6dot1 = 0, "", 'IWP17'!Std6dot1)</f>
        <v/>
      </c>
      <c r="AS66" s="195" t="str">
        <f>IF('IWP17'!Std6dot2NotCalc = 0, "", 'IWP17'!Std6dot2NotCalc)</f>
        <v/>
      </c>
      <c r="AT66" s="172">
        <f>IF('IWP17'!Std6dot2DateOfNoteOfXfer=DATE(1900,1,0), DATE(1900,1,1), 'IWP17'!Std6dot2DateOfNoteOfXfer)</f>
        <v>1</v>
      </c>
      <c r="AU66" s="195" t="str">
        <f>IF('IWP17'!Std6dot2a = 0, "", 'IWP17'!Std6dot2a)</f>
        <v/>
      </c>
      <c r="AV66" s="195" t="str">
        <f>IF('IWP17'!Std6dot2b = 0, "", 'IWP17'!Std6dot2b)</f>
        <v/>
      </c>
      <c r="AW66" s="195" t="str">
        <f>IF('IWP17'!Std6dot2c = 0, "", 'IWP17'!Std6dot2c)</f>
        <v>NA</v>
      </c>
      <c r="AX66" s="195" t="str">
        <f>IF('IWP17'!Std6dot2d = 0, "", 'IWP17'!Std6dot2d)</f>
        <v>NA</v>
      </c>
      <c r="AY66" s="195" t="str">
        <f>IF('IWP17'!Std6dot2e = 0, "", 'IWP17'!Std6dot2e)</f>
        <v>NA</v>
      </c>
      <c r="AZ66" s="195" t="str">
        <f>IF('IWP17'!Std6dot2 = 0, "", 'IWP17'!Std6dot2)</f>
        <v/>
      </c>
      <c r="BA66" s="195" t="str">
        <f>IF('IWP17'!Std7NotCalc = 0, "", 'IWP17'!Std7NotCalc)</f>
        <v/>
      </c>
      <c r="BB66" s="195" t="str">
        <f>IF('IWP17'!Std7dot1 = 0, "", 'IWP17'!Std7dot1)</f>
        <v/>
      </c>
      <c r="BC66" s="195" t="str">
        <f>IF('IWP17'!Std7dot2 = 0, "", 'IWP17'!Std7dot2)</f>
        <v/>
      </c>
      <c r="BD66" s="195" t="str">
        <f>IF('IWP17'!Std8dot1 = 0, "", 'IWP17'!Std8dot1)</f>
        <v/>
      </c>
      <c r="BE66" s="195" t="str">
        <f>IF('IWP17'!Std8dot2NotCalc = 0, "", 'IWP17'!Std8dot2NotCalc)</f>
        <v/>
      </c>
      <c r="BF66" s="195" t="str">
        <f>IF('IWP17'!Std8dot2 = 0, "", 'IWP17'!Std8dot2)</f>
        <v/>
      </c>
      <c r="BG66" s="195" t="str">
        <f>IF('IWP17'!Std8dot3NotCalc = 0, "", 'IWP17'!Std8dot3NotCalc)</f>
        <v/>
      </c>
      <c r="BH66" s="195" t="str">
        <f>IF('IWP17'!Std8dot3 = 0, "", 'IWP17'!Std8dot3)</f>
        <v/>
      </c>
      <c r="BI66" s="195" t="str">
        <f>IF('IWP17'!Std9dot1 = 0, "", 'IWP17'!Std9dot1)</f>
        <v/>
      </c>
      <c r="BJ66" s="195" t="str">
        <f>IF('IWP17'!Std9dot2 = 0, "", 'IWP17'!Std9dot2)</f>
        <v/>
      </c>
      <c r="BK66" s="194" t="str">
        <f>IF('IWP17'!Std9dot3 = 0, "", 'IWP17'!Std9dot3)</f>
        <v/>
      </c>
    </row>
    <row r="67" spans="1:63">
      <c r="A67" s="183" t="s">
        <v>516</v>
      </c>
      <c r="B67" s="176">
        <f>IF('Samples (PRINT)'!D22=DATE(1900,1,0),DATE(1900,1,1),'Samples (PRINT)'!D22)</f>
        <v>1</v>
      </c>
      <c r="C67" s="176">
        <f>IF('Samples (PRINT)'!E22=DATE(1900,1,0),DATE(1900,1,1),'Samples (PRINT)'!E22)</f>
        <v>1</v>
      </c>
      <c r="D67" s="196">
        <f>'IWP18'!SampleNumber</f>
        <v>18</v>
      </c>
      <c r="E67" s="196">
        <f>'IWP18'!ClientID</f>
        <v>0</v>
      </c>
      <c r="F67" s="237"/>
      <c r="G67" s="237"/>
      <c r="H67" s="195" t="str">
        <f ca="1">IF('IWP18'!ContractNumber = 0, "", 'IWP18'!ContractNumber)</f>
        <v/>
      </c>
      <c r="I67" s="195" t="str">
        <f>IF('IWP18'!ContractType = 0, "", 'IWP18'!ContractType)</f>
        <v/>
      </c>
      <c r="J67" s="195" t="str">
        <f>IF('IWP18'!CompletedByLastName = 0, "", 'IWP18'!CompletedByLastName)</f>
        <v/>
      </c>
      <c r="K67" s="195" t="str">
        <f>IF('IWP18'!CompletedByFirstName = 0, "", 'IWP18'!CompletedByFirstName)</f>
        <v/>
      </c>
      <c r="L67" s="176">
        <f>IF('IWP18'!DateCompleted=DATE(1900,1,0),DATE(1900,1,1),'IWP18'!DateCompleted)</f>
        <v>1</v>
      </c>
      <c r="M67" s="195" t="str">
        <f>IF('IWP18'!Std2NotCalc = 0, "", 'IWP18'!Std2NotCalc)</f>
        <v/>
      </c>
      <c r="N67" s="195" t="str">
        <f>IF('IWP18'!Std2dot1 = 0, "", 'IWP18'!Std2dot1)</f>
        <v/>
      </c>
      <c r="O67" s="195" t="str">
        <f>IF('IWP18'!Std2dot2 = 0, "", 'IWP18'!Std2dot2)</f>
        <v/>
      </c>
      <c r="P67" s="195" t="str">
        <f>IF('IWP18'!Std2dot3 = 0, "", 'IWP18'!Std2dot3)</f>
        <v/>
      </c>
      <c r="Q67" s="195" t="str">
        <f>IF('IWP18'!Std2dot4 = 0, "", 'IWP18'!Std2dot4)</f>
        <v/>
      </c>
      <c r="R67" s="195" t="str">
        <f>IF('IWP18'!Std3NotCalc = 0, "", 'IWP18'!Std3NotCalc)</f>
        <v/>
      </c>
      <c r="S67" s="195" t="str">
        <f>IF('IWP18'!Std3dot1 = 0, "", 'IWP18'!Std3dot1)</f>
        <v/>
      </c>
      <c r="T67" s="195" t="str">
        <f>IF('IWP18'!Std4NotCalc = 0, "", 'IWP18'!Std4NotCalc)</f>
        <v/>
      </c>
      <c r="U67" s="195" t="str">
        <f>IF('IWP18'!Std4dot1a = 0, "", 'IWP18'!Std4dot1a)</f>
        <v/>
      </c>
      <c r="V67" s="195" t="str">
        <f>IF('IWP18'!Std4dot1b = 0, "", 'IWP18'!Std4dot1b)</f>
        <v>NA</v>
      </c>
      <c r="W67" s="195" t="str">
        <f>IF('IWP18'!Std4dot1c = 0, "", 'IWP18'!Std4dot1c)</f>
        <v/>
      </c>
      <c r="X67" s="195" t="str">
        <f>IF('IWP18'!Std4dot1d = 0, "", 'IWP18'!Std4dot1d)</f>
        <v/>
      </c>
      <c r="Y67" s="195" t="str">
        <f>IF('IWP18'!Std4dot1e = 0, "", 'IWP18'!Std4dot1e)</f>
        <v/>
      </c>
      <c r="Z67" s="195" t="str">
        <f>IF('IWP18'!Std4dot1f = 0, "", 'IWP18'!Std4dot1f)</f>
        <v/>
      </c>
      <c r="AA67" s="195" t="str">
        <f>IF('IWP18'!Std4dot1 = 0, "", 'IWP18'!Std4dot1)</f>
        <v/>
      </c>
      <c r="AB67" s="195" t="str">
        <f>IF('IWP18'!Std4dot2a = 0, "", 'IWP18'!Std4dot2a)</f>
        <v>NA</v>
      </c>
      <c r="AC67" s="195" t="str">
        <f>IF('IWP18'!Std4dot2b = 0, "", 'IWP18'!Std4dot2b)</f>
        <v>NA</v>
      </c>
      <c r="AD67" s="195" t="str">
        <f>IF('IWP18'!Std4dot2c = 0, "", 'IWP18'!Std4dot2c)</f>
        <v>NA</v>
      </c>
      <c r="AE67" s="195" t="str">
        <f>IF('IWP18'!Std4dot2d = 0, "", 'IWP18'!Std4dot2d)</f>
        <v>NA</v>
      </c>
      <c r="AF67" s="195" t="str">
        <f>IF('IWP18'!Std4dot2 = 0, "", 'IWP18'!Std4dot2)</f>
        <v>NA</v>
      </c>
      <c r="AG67" s="195" t="str">
        <f>IF('IWP18'!Std4dot3NotCalc = 0, "", 'IWP18'!Std4dot3NotCalc)</f>
        <v/>
      </c>
      <c r="AH67" s="172">
        <f>IF('IWP18'!Std4dot3DateOfTransfer=DATE(1900,1,0), DATE(1900,1,1), 'IWP18'!Std4dot3DateOfTransfer)</f>
        <v>1</v>
      </c>
      <c r="AI67" s="195" t="str">
        <f>IF('IWP18'!Std4dot3a = 0, "", 'IWP18'!Std4dot3a)</f>
        <v>NA</v>
      </c>
      <c r="AJ67" s="195" t="str">
        <f>IF('IWP18'!Std4dot3b = 0, "", 'IWP18'!Std4dot3b)</f>
        <v>NA</v>
      </c>
      <c r="AK67" s="195" t="str">
        <f>IF('IWP18'!Std4dot3c = 0, "", 'IWP18'!Std4dot3c)</f>
        <v>NA</v>
      </c>
      <c r="AL67" s="195" t="str">
        <f>IF('IWP18'!Std4dot3d = 0, "", 'IWP18'!Std4dot3d)</f>
        <v>NA</v>
      </c>
      <c r="AM67" s="195" t="str">
        <f>IF('IWP18'!Std4dot3e = 0, "", 'IWP18'!Std4dot3e)</f>
        <v/>
      </c>
      <c r="AN67" s="195" t="str">
        <f>IF('IWP18'!Std4dot3 = 0, "", 'IWP18'!Std4dot3)</f>
        <v/>
      </c>
      <c r="AO67" s="195"/>
      <c r="AP67" s="195" t="str">
        <f>IF('IWP18'!Std5dot1 = 0, "", 'IWP18'!Std5dot1)</f>
        <v>NA</v>
      </c>
      <c r="AQ67" s="195" t="str">
        <f>IF('IWP18'!Std6dot1NotCalc = 0, "", 'IWP18'!Std6dot1NotCalc)</f>
        <v/>
      </c>
      <c r="AR67" s="195" t="str">
        <f>IF('IWP18'!Std6dot1 = 0, "", 'IWP18'!Std6dot1)</f>
        <v/>
      </c>
      <c r="AS67" s="195" t="str">
        <f>IF('IWP18'!Std6dot2NotCalc = 0, "", 'IWP18'!Std6dot2NotCalc)</f>
        <v/>
      </c>
      <c r="AT67" s="172">
        <f>IF('IWP18'!Std6dot2DateOfNoteOfXfer=DATE(1900,1,0), DATE(1900,1,1), 'IWP18'!Std6dot2DateOfNoteOfXfer)</f>
        <v>1</v>
      </c>
      <c r="AU67" s="195" t="str">
        <f>IF('IWP18'!Std6dot2a = 0, "", 'IWP18'!Std6dot2a)</f>
        <v/>
      </c>
      <c r="AV67" s="195" t="str">
        <f>IF('IWP18'!Std6dot2b = 0, "", 'IWP18'!Std6dot2b)</f>
        <v/>
      </c>
      <c r="AW67" s="195" t="str">
        <f>IF('IWP18'!Std6dot2c = 0, "", 'IWP18'!Std6dot2c)</f>
        <v>NA</v>
      </c>
      <c r="AX67" s="195" t="str">
        <f>IF('IWP18'!Std6dot2d = 0, "", 'IWP18'!Std6dot2d)</f>
        <v>NA</v>
      </c>
      <c r="AY67" s="195" t="str">
        <f>IF('IWP18'!Std6dot2e = 0, "", 'IWP18'!Std6dot2e)</f>
        <v>NA</v>
      </c>
      <c r="AZ67" s="195" t="str">
        <f>IF('IWP18'!Std6dot2 = 0, "", 'IWP18'!Std6dot2)</f>
        <v/>
      </c>
      <c r="BA67" s="195" t="str">
        <f>IF('IWP18'!Std7NotCalc = 0, "", 'IWP18'!Std7NotCalc)</f>
        <v/>
      </c>
      <c r="BB67" s="195" t="str">
        <f>IF('IWP18'!Std7dot1 = 0, "", 'IWP18'!Std7dot1)</f>
        <v/>
      </c>
      <c r="BC67" s="195" t="str">
        <f>IF('IWP18'!Std7dot2 = 0, "", 'IWP18'!Std7dot2)</f>
        <v/>
      </c>
      <c r="BD67" s="195" t="str">
        <f>IF('IWP18'!Std8dot1 = 0, "", 'IWP18'!Std8dot1)</f>
        <v/>
      </c>
      <c r="BE67" s="195" t="str">
        <f>IF('IWP18'!Std8dot2NotCalc = 0, "", 'IWP18'!Std8dot2NotCalc)</f>
        <v/>
      </c>
      <c r="BF67" s="195" t="str">
        <f>IF('IWP18'!Std8dot2 = 0, "", 'IWP18'!Std8dot2)</f>
        <v/>
      </c>
      <c r="BG67" s="195" t="str">
        <f>IF('IWP18'!Std8dot3NotCalc = 0, "", 'IWP18'!Std8dot3NotCalc)</f>
        <v/>
      </c>
      <c r="BH67" s="195" t="str">
        <f>IF('IWP18'!Std8dot3 = 0, "", 'IWP18'!Std8dot3)</f>
        <v/>
      </c>
      <c r="BI67" s="195" t="str">
        <f>IF('IWP18'!Std9dot1 = 0, "", 'IWP18'!Std9dot1)</f>
        <v/>
      </c>
      <c r="BJ67" s="195" t="str">
        <f>IF('IWP18'!Std9dot2 = 0, "", 'IWP18'!Std9dot2)</f>
        <v/>
      </c>
      <c r="BK67" s="194" t="str">
        <f>IF('IWP18'!Std9dot3 = 0, "", 'IWP18'!Std9dot3)</f>
        <v/>
      </c>
    </row>
    <row r="68" spans="1:63">
      <c r="A68" s="183" t="s">
        <v>517</v>
      </c>
      <c r="B68" s="176">
        <f>IF('Samples (PRINT)'!D23=DATE(1900,1,0),DATE(1900,1,1),'Samples (PRINT)'!D23)</f>
        <v>1</v>
      </c>
      <c r="C68" s="176">
        <f>IF('Samples (PRINT)'!E23=DATE(1900,1,0),DATE(1900,1,1),'Samples (PRINT)'!E23)</f>
        <v>1</v>
      </c>
      <c r="D68" s="196">
        <f>'IWP19'!SampleNumber</f>
        <v>19</v>
      </c>
      <c r="E68" s="196">
        <f>'IWP19'!ClientID</f>
        <v>0</v>
      </c>
      <c r="F68" s="237"/>
      <c r="G68" s="237"/>
      <c r="H68" s="195" t="str">
        <f ca="1">IF('IWP19'!ContractNumber = 0, "", 'IWP19'!ContractNumber)</f>
        <v/>
      </c>
      <c r="I68" s="195" t="str">
        <f>IF('IWP19'!ContractType = 0, "", 'IWP19'!ContractType)</f>
        <v/>
      </c>
      <c r="J68" s="195" t="str">
        <f>IF('IWP19'!CompletedByLastName = 0, "", 'IWP19'!CompletedByLastName)</f>
        <v/>
      </c>
      <c r="K68" s="195" t="str">
        <f>IF('IWP19'!CompletedByFirstName = 0, "", 'IWP19'!CompletedByFirstName)</f>
        <v/>
      </c>
      <c r="L68" s="176">
        <f>IF('IWP19'!DateCompleted=DATE(1900,1,0),DATE(1900,1,1),'IWP19'!DateCompleted)</f>
        <v>1</v>
      </c>
      <c r="M68" s="195" t="str">
        <f>IF('IWP19'!Std2NotCalc = 0, "", 'IWP19'!Std2NotCalc)</f>
        <v/>
      </c>
      <c r="N68" s="195" t="str">
        <f>IF('IWP19'!Std2dot1 = 0, "", 'IWP19'!Std2dot1)</f>
        <v/>
      </c>
      <c r="O68" s="195" t="str">
        <f>IF('IWP19'!Std2dot2 = 0, "", 'IWP19'!Std2dot2)</f>
        <v/>
      </c>
      <c r="P68" s="195" t="str">
        <f>IF('IWP19'!Std2dot3 = 0, "", 'IWP19'!Std2dot3)</f>
        <v/>
      </c>
      <c r="Q68" s="195" t="str">
        <f>IF('IWP19'!Std2dot4 = 0, "", 'IWP19'!Std2dot4)</f>
        <v/>
      </c>
      <c r="R68" s="195" t="str">
        <f>IF('IWP19'!Std3NotCalc = 0, "", 'IWP19'!Std3NotCalc)</f>
        <v/>
      </c>
      <c r="S68" s="195" t="str">
        <f>IF('IWP19'!Std3dot1 = 0, "", 'IWP19'!Std3dot1)</f>
        <v/>
      </c>
      <c r="T68" s="195" t="str">
        <f>IF('IWP19'!Std4NotCalc = 0, "", 'IWP19'!Std4NotCalc)</f>
        <v/>
      </c>
      <c r="U68" s="195" t="str">
        <f>IF('IWP19'!Std4dot1a = 0, "", 'IWP19'!Std4dot1a)</f>
        <v/>
      </c>
      <c r="V68" s="195" t="str">
        <f>IF('IWP19'!Std4dot1b = 0, "", 'IWP19'!Std4dot1b)</f>
        <v>NA</v>
      </c>
      <c r="W68" s="195" t="str">
        <f>IF('IWP19'!Std4dot1c = 0, "", 'IWP19'!Std4dot1c)</f>
        <v/>
      </c>
      <c r="X68" s="195" t="str">
        <f>IF('IWP19'!Std4dot1d = 0, "", 'IWP19'!Std4dot1d)</f>
        <v/>
      </c>
      <c r="Y68" s="195" t="str">
        <f>IF('IWP19'!Std4dot1e = 0, "", 'IWP19'!Std4dot1e)</f>
        <v/>
      </c>
      <c r="Z68" s="195" t="str">
        <f>IF('IWP19'!Std4dot1f = 0, "", 'IWP19'!Std4dot1f)</f>
        <v/>
      </c>
      <c r="AA68" s="195" t="str">
        <f>IF('IWP19'!Std4dot1 = 0, "", 'IWP19'!Std4dot1)</f>
        <v/>
      </c>
      <c r="AB68" s="195" t="str">
        <f>IF('IWP19'!Std4dot2a = 0, "", 'IWP19'!Std4dot2a)</f>
        <v>NA</v>
      </c>
      <c r="AC68" s="195" t="str">
        <f>IF('IWP19'!Std4dot2b = 0, "", 'IWP19'!Std4dot2b)</f>
        <v>NA</v>
      </c>
      <c r="AD68" s="195" t="str">
        <f>IF('IWP19'!Std4dot2c = 0, "", 'IWP19'!Std4dot2c)</f>
        <v>NA</v>
      </c>
      <c r="AE68" s="195" t="str">
        <f>IF('IWP19'!Std4dot2d = 0, "", 'IWP19'!Std4dot2d)</f>
        <v>NA</v>
      </c>
      <c r="AF68" s="195" t="str">
        <f>IF('IWP19'!Std4dot2 = 0, "", 'IWP19'!Std4dot2)</f>
        <v>NA</v>
      </c>
      <c r="AG68" s="195" t="str">
        <f>IF('IWP19'!Std4dot3NotCalc = 0, "", 'IWP19'!Std4dot3NotCalc)</f>
        <v/>
      </c>
      <c r="AH68" s="172">
        <f>IF('IWP19'!Std4dot3DateOfTransfer=DATE(1900,1,0), DATE(1900,1,1), 'IWP19'!Std4dot3DateOfTransfer)</f>
        <v>1</v>
      </c>
      <c r="AI68" s="195" t="str">
        <f>IF('IWP19'!Std4dot3a = 0, "", 'IWP19'!Std4dot3a)</f>
        <v>NA</v>
      </c>
      <c r="AJ68" s="195" t="str">
        <f>IF('IWP19'!Std4dot3b = 0, "", 'IWP19'!Std4dot3b)</f>
        <v>NA</v>
      </c>
      <c r="AK68" s="195" t="str">
        <f>IF('IWP19'!Std4dot3c = 0, "", 'IWP19'!Std4dot3c)</f>
        <v>NA</v>
      </c>
      <c r="AL68" s="195" t="str">
        <f>IF('IWP19'!Std4dot3d = 0, "", 'IWP19'!Std4dot3d)</f>
        <v>NA</v>
      </c>
      <c r="AM68" s="195" t="str">
        <f>IF('IWP19'!Std4dot3e = 0, "", 'IWP19'!Std4dot3e)</f>
        <v/>
      </c>
      <c r="AN68" s="195" t="str">
        <f>IF('IWP19'!Std4dot3 = 0, "", 'IWP19'!Std4dot3)</f>
        <v/>
      </c>
      <c r="AO68" s="195"/>
      <c r="AP68" s="195" t="str">
        <f>IF('IWP19'!Std5dot1 = 0, "", 'IWP19'!Std5dot1)</f>
        <v>NA</v>
      </c>
      <c r="AQ68" s="195" t="str">
        <f>IF('IWP19'!Std6dot1NotCalc = 0, "", 'IWP19'!Std6dot1NotCalc)</f>
        <v/>
      </c>
      <c r="AR68" s="195" t="str">
        <f>IF('IWP19'!Std6dot1 = 0, "", 'IWP19'!Std6dot1)</f>
        <v/>
      </c>
      <c r="AS68" s="195" t="str">
        <f>IF('IWP19'!Std6dot2NotCalc = 0, "", 'IWP19'!Std6dot2NotCalc)</f>
        <v/>
      </c>
      <c r="AT68" s="172">
        <f>IF('IWP19'!Std6dot2DateOfNoteOfXfer=DATE(1900,1,0), DATE(1900,1,1), 'IWP19'!Std6dot2DateOfNoteOfXfer)</f>
        <v>1</v>
      </c>
      <c r="AU68" s="195" t="str">
        <f>IF('IWP19'!Std6dot2a = 0, "", 'IWP19'!Std6dot2a)</f>
        <v/>
      </c>
      <c r="AV68" s="195" t="str">
        <f>IF('IWP19'!Std6dot2b = 0, "", 'IWP19'!Std6dot2b)</f>
        <v/>
      </c>
      <c r="AW68" s="195" t="str">
        <f>IF('IWP19'!Std6dot2c = 0, "", 'IWP19'!Std6dot2c)</f>
        <v>NA</v>
      </c>
      <c r="AX68" s="195" t="str">
        <f>IF('IWP19'!Std6dot2d = 0, "", 'IWP19'!Std6dot2d)</f>
        <v>NA</v>
      </c>
      <c r="AY68" s="195" t="str">
        <f>IF('IWP19'!Std6dot2e = 0, "", 'IWP19'!Std6dot2e)</f>
        <v>NA</v>
      </c>
      <c r="AZ68" s="195" t="str">
        <f>IF('IWP19'!Std6dot2 = 0, "", 'IWP19'!Std6dot2)</f>
        <v/>
      </c>
      <c r="BA68" s="195" t="str">
        <f>IF('IWP19'!Std7NotCalc = 0, "", 'IWP19'!Std7NotCalc)</f>
        <v/>
      </c>
      <c r="BB68" s="195" t="str">
        <f>IF('IWP19'!Std7dot1 = 0, "", 'IWP19'!Std7dot1)</f>
        <v/>
      </c>
      <c r="BC68" s="195" t="str">
        <f>IF('IWP19'!Std7dot2 = 0, "", 'IWP19'!Std7dot2)</f>
        <v/>
      </c>
      <c r="BD68" s="195" t="str">
        <f>IF('IWP19'!Std8dot1 = 0, "", 'IWP19'!Std8dot1)</f>
        <v/>
      </c>
      <c r="BE68" s="195" t="str">
        <f>IF('IWP19'!Std8dot2NotCalc = 0, "", 'IWP19'!Std8dot2NotCalc)</f>
        <v/>
      </c>
      <c r="BF68" s="195" t="str">
        <f>IF('IWP19'!Std8dot2 = 0, "", 'IWP19'!Std8dot2)</f>
        <v/>
      </c>
      <c r="BG68" s="195" t="str">
        <f>IF('IWP19'!Std8dot3NotCalc = 0, "", 'IWP19'!Std8dot3NotCalc)</f>
        <v/>
      </c>
      <c r="BH68" s="195" t="str">
        <f>IF('IWP19'!Std8dot3 = 0, "", 'IWP19'!Std8dot3)</f>
        <v/>
      </c>
      <c r="BI68" s="195" t="str">
        <f>IF('IWP19'!Std9dot1 = 0, "", 'IWP19'!Std9dot1)</f>
        <v/>
      </c>
      <c r="BJ68" s="195" t="str">
        <f>IF('IWP19'!Std9dot2 = 0, "", 'IWP19'!Std9dot2)</f>
        <v/>
      </c>
      <c r="BK68" s="194" t="str">
        <f>IF('IWP19'!Std9dot3 = 0, "", 'IWP19'!Std9dot3)</f>
        <v/>
      </c>
    </row>
    <row r="69" spans="1:63">
      <c r="A69" s="183" t="s">
        <v>518</v>
      </c>
      <c r="B69" s="176">
        <f>IF('Samples (PRINT)'!D24=DATE(1900,1,0),DATE(1900,1,1),'Samples (PRINT)'!D24)</f>
        <v>1</v>
      </c>
      <c r="C69" s="176">
        <f>IF('Samples (PRINT)'!E24=DATE(1900,1,0),DATE(1900,1,1),'Samples (PRINT)'!E24)</f>
        <v>1</v>
      </c>
      <c r="D69" s="196">
        <f>'IWP20'!SampleNumber</f>
        <v>20</v>
      </c>
      <c r="E69" s="196">
        <f>'IWP20'!ClientID</f>
        <v>0</v>
      </c>
      <c r="F69" s="237"/>
      <c r="G69" s="237"/>
      <c r="H69" s="195" t="str">
        <f ca="1">IF('IWP20'!ContractNumber = 0, "", 'IWP20'!ContractNumber)</f>
        <v/>
      </c>
      <c r="I69" s="195" t="str">
        <f>IF('IWP20'!ContractType = 0, "", 'IWP20'!ContractType)</f>
        <v/>
      </c>
      <c r="J69" s="195" t="str">
        <f>IF('IWP20'!CompletedByLastName = 0, "", 'IWP20'!CompletedByLastName)</f>
        <v/>
      </c>
      <c r="K69" s="195" t="str">
        <f>IF('IWP20'!CompletedByFirstName = 0, "", 'IWP20'!CompletedByFirstName)</f>
        <v/>
      </c>
      <c r="L69" s="176">
        <f>IF('IWP20'!DateCompleted=DATE(1900,1,0),DATE(1900,1,1),'IWP20'!DateCompleted)</f>
        <v>1</v>
      </c>
      <c r="M69" s="195" t="str">
        <f>IF('IWP20'!Std2NotCalc = 0, "", 'IWP20'!Std2NotCalc)</f>
        <v/>
      </c>
      <c r="N69" s="195" t="str">
        <f>IF('IWP20'!Std2dot1 = 0, "", 'IWP20'!Std2dot1)</f>
        <v/>
      </c>
      <c r="O69" s="195" t="str">
        <f>IF('IWP20'!Std2dot2 = 0, "", 'IWP20'!Std2dot2)</f>
        <v/>
      </c>
      <c r="P69" s="195" t="str">
        <f>IF('IWP20'!Std2dot3 = 0, "", 'IWP20'!Std2dot3)</f>
        <v/>
      </c>
      <c r="Q69" s="195" t="str">
        <f>IF('IWP20'!Std2dot4 = 0, "", 'IWP20'!Std2dot4)</f>
        <v/>
      </c>
      <c r="R69" s="195" t="str">
        <f>IF('IWP20'!Std3NotCalc = 0, "", 'IWP20'!Std3NotCalc)</f>
        <v/>
      </c>
      <c r="S69" s="195" t="str">
        <f>IF('IWP20'!Std3dot1 = 0, "", 'IWP20'!Std3dot1)</f>
        <v/>
      </c>
      <c r="T69" s="195" t="str">
        <f>IF('IWP20'!Std4NotCalc = 0, "", 'IWP20'!Std4NotCalc)</f>
        <v/>
      </c>
      <c r="U69" s="195" t="str">
        <f>IF('IWP20'!Std4dot1a = 0, "", 'IWP20'!Std4dot1a)</f>
        <v/>
      </c>
      <c r="V69" s="195" t="str">
        <f>IF('IWP20'!Std4dot1b = 0, "", 'IWP20'!Std4dot1b)</f>
        <v>NA</v>
      </c>
      <c r="W69" s="195" t="str">
        <f>IF('IWP20'!Std4dot1c = 0, "", 'IWP20'!Std4dot1c)</f>
        <v/>
      </c>
      <c r="X69" s="195" t="str">
        <f>IF('IWP20'!Std4dot1d = 0, "", 'IWP20'!Std4dot1d)</f>
        <v/>
      </c>
      <c r="Y69" s="195" t="str">
        <f>IF('IWP20'!Std4dot1e = 0, "", 'IWP20'!Std4dot1e)</f>
        <v/>
      </c>
      <c r="Z69" s="195" t="str">
        <f>IF('IWP20'!Std4dot1f = 0, "", 'IWP20'!Std4dot1f)</f>
        <v/>
      </c>
      <c r="AA69" s="195" t="str">
        <f>IF('IWP20'!Std4dot1 = 0, "", 'IWP20'!Std4dot1)</f>
        <v/>
      </c>
      <c r="AB69" s="195" t="str">
        <f>IF('IWP20'!Std4dot2a = 0, "", 'IWP20'!Std4dot2a)</f>
        <v>NA</v>
      </c>
      <c r="AC69" s="195" t="str">
        <f>IF('IWP20'!Std4dot2b = 0, "", 'IWP20'!Std4dot2b)</f>
        <v>NA</v>
      </c>
      <c r="AD69" s="195" t="str">
        <f>IF('IWP20'!Std4dot2c = 0, "", 'IWP20'!Std4dot2c)</f>
        <v>NA</v>
      </c>
      <c r="AE69" s="195" t="str">
        <f>IF('IWP20'!Std4dot2d = 0, "", 'IWP20'!Std4dot2d)</f>
        <v>NA</v>
      </c>
      <c r="AF69" s="195" t="str">
        <f>IF('IWP20'!Std4dot2 = 0, "", 'IWP20'!Std4dot2)</f>
        <v>NA</v>
      </c>
      <c r="AG69" s="195" t="str">
        <f>IF('IWP20'!Std4dot3NotCalc = 0, "", 'IWP20'!Std4dot3NotCalc)</f>
        <v/>
      </c>
      <c r="AH69" s="172">
        <f>IF('IWP20'!Std4dot3DateOfTransfer=DATE(1900,1,0), DATE(1900,1,1), 'IWP20'!Std4dot3DateOfTransfer)</f>
        <v>1</v>
      </c>
      <c r="AI69" s="195" t="str">
        <f>IF('IWP20'!Std4dot3a = 0, "", 'IWP20'!Std4dot3a)</f>
        <v>NA</v>
      </c>
      <c r="AJ69" s="195" t="str">
        <f>IF('IWP20'!Std4dot3b = 0, "", 'IWP20'!Std4dot3b)</f>
        <v>NA</v>
      </c>
      <c r="AK69" s="195" t="str">
        <f>IF('IWP20'!Std4dot3c = 0, "", 'IWP20'!Std4dot3c)</f>
        <v>NA</v>
      </c>
      <c r="AL69" s="195" t="str">
        <f>IF('IWP20'!Std4dot3d = 0, "", 'IWP20'!Std4dot3d)</f>
        <v>NA</v>
      </c>
      <c r="AM69" s="195" t="str">
        <f>IF('IWP20'!Std4dot3e = 0, "", 'IWP20'!Std4dot3e)</f>
        <v/>
      </c>
      <c r="AN69" s="195" t="str">
        <f>IF('IWP20'!Std4dot3 = 0, "", 'IWP20'!Std4dot3)</f>
        <v/>
      </c>
      <c r="AO69" s="195"/>
      <c r="AP69" s="195" t="str">
        <f>IF('IWP20'!Std5dot1 = 0, "", 'IWP20'!Std5dot1)</f>
        <v>NA</v>
      </c>
      <c r="AQ69" s="195" t="str">
        <f>IF('IWP20'!Std6dot1NotCalc = 0, "", 'IWP20'!Std6dot1NotCalc)</f>
        <v/>
      </c>
      <c r="AR69" s="195" t="str">
        <f>IF('IWP20'!Std6dot1 = 0, "", 'IWP20'!Std6dot1)</f>
        <v/>
      </c>
      <c r="AS69" s="195" t="str">
        <f>IF('IWP20'!Std6dot2NotCalc = 0, "", 'IWP20'!Std6dot2NotCalc)</f>
        <v/>
      </c>
      <c r="AT69" s="172">
        <f>IF('IWP20'!Std6dot2DateOfNoteOfXfer=DATE(1900,1,0), DATE(1900,1,1), 'IWP20'!Std6dot2DateOfNoteOfXfer)</f>
        <v>1</v>
      </c>
      <c r="AU69" s="195" t="str">
        <f>IF('IWP20'!Std6dot2a = 0, "", 'IWP20'!Std6dot2a)</f>
        <v/>
      </c>
      <c r="AV69" s="195" t="str">
        <f>IF('IWP20'!Std6dot2b = 0, "", 'IWP20'!Std6dot2b)</f>
        <v/>
      </c>
      <c r="AW69" s="195" t="str">
        <f>IF('IWP20'!Std6dot2c = 0, "", 'IWP20'!Std6dot2c)</f>
        <v>NA</v>
      </c>
      <c r="AX69" s="195" t="str">
        <f>IF('IWP20'!Std6dot2d = 0, "", 'IWP20'!Std6dot2d)</f>
        <v>NA</v>
      </c>
      <c r="AY69" s="195" t="str">
        <f>IF('IWP20'!Std6dot2e = 0, "", 'IWP20'!Std6dot2e)</f>
        <v>NA</v>
      </c>
      <c r="AZ69" s="195" t="str">
        <f>IF('IWP20'!Std6dot2 = 0, "", 'IWP20'!Std6dot2)</f>
        <v/>
      </c>
      <c r="BA69" s="195" t="str">
        <f>IF('IWP20'!Std7NotCalc = 0, "", 'IWP20'!Std7NotCalc)</f>
        <v/>
      </c>
      <c r="BB69" s="195" t="str">
        <f>IF('IWP20'!Std7dot1 = 0, "", 'IWP20'!Std7dot1)</f>
        <v/>
      </c>
      <c r="BC69" s="195" t="str">
        <f>IF('IWP20'!Std7dot2 = 0, "", 'IWP20'!Std7dot2)</f>
        <v/>
      </c>
      <c r="BD69" s="195" t="str">
        <f>IF('IWP20'!Std8dot1 = 0, "", 'IWP20'!Std8dot1)</f>
        <v/>
      </c>
      <c r="BE69" s="195" t="str">
        <f>IF('IWP20'!Std8dot2NotCalc = 0, "", 'IWP20'!Std8dot2NotCalc)</f>
        <v/>
      </c>
      <c r="BF69" s="195" t="str">
        <f>IF('IWP20'!Std8dot2 = 0, "", 'IWP20'!Std8dot2)</f>
        <v/>
      </c>
      <c r="BG69" s="195" t="str">
        <f>IF('IWP20'!Std8dot3NotCalc = 0, "", 'IWP20'!Std8dot3NotCalc)</f>
        <v/>
      </c>
      <c r="BH69" s="195" t="str">
        <f>IF('IWP20'!Std8dot3 = 0, "", 'IWP20'!Std8dot3)</f>
        <v/>
      </c>
      <c r="BI69" s="195" t="str">
        <f>IF('IWP20'!Std9dot1 = 0, "", 'IWP20'!Std9dot1)</f>
        <v/>
      </c>
      <c r="BJ69" s="195" t="str">
        <f>IF('IWP20'!Std9dot2 = 0, "", 'IWP20'!Std9dot2)</f>
        <v/>
      </c>
      <c r="BK69" s="194" t="str">
        <f>IF('IWP20'!Std9dot3 = 0, "", 'IWP20'!Std9dot3)</f>
        <v/>
      </c>
    </row>
    <row r="70" spans="1:63">
      <c r="A70" s="183" t="s">
        <v>519</v>
      </c>
      <c r="B70" s="176">
        <f>IF('Samples (PRINT)'!D25=DATE(1900,1,0),DATE(1900,1,1),'Samples (PRINT)'!D25)</f>
        <v>1</v>
      </c>
      <c r="C70" s="176">
        <f>IF('Samples (PRINT)'!E25=DATE(1900,1,0),DATE(1900,1,1),'Samples (PRINT)'!E25)</f>
        <v>1</v>
      </c>
      <c r="D70" s="196">
        <f>'IWP21'!SampleNumber</f>
        <v>21</v>
      </c>
      <c r="E70" s="196">
        <f>'IWP21'!ClientID</f>
        <v>0</v>
      </c>
      <c r="F70" s="237"/>
      <c r="G70" s="237"/>
      <c r="H70" s="195" t="str">
        <f ca="1">IF('IWP21'!ContractNumber = 0, "", 'IWP21'!ContractNumber)</f>
        <v/>
      </c>
      <c r="I70" s="195" t="str">
        <f>IF('IWP21'!ContractType = 0, "", 'IWP21'!ContractType)</f>
        <v/>
      </c>
      <c r="J70" s="195" t="str">
        <f>IF('IWP21'!CompletedByLastName = 0, "", 'IWP21'!CompletedByLastName)</f>
        <v/>
      </c>
      <c r="K70" s="195" t="str">
        <f>IF('IWP21'!CompletedByFirstName = 0, "", 'IWP21'!CompletedByFirstName)</f>
        <v/>
      </c>
      <c r="L70" s="176">
        <f>IF('IWP21'!DateCompleted=DATE(1900,1,0),DATE(1900,1,1),'IWP21'!DateCompleted)</f>
        <v>1</v>
      </c>
      <c r="M70" s="195" t="str">
        <f>IF('IWP21'!Std2NotCalc = 0, "", 'IWP21'!Std2NotCalc)</f>
        <v/>
      </c>
      <c r="N70" s="195" t="str">
        <f>IF('IWP21'!Std2dot1 = 0, "", 'IWP21'!Std2dot1)</f>
        <v/>
      </c>
      <c r="O70" s="195" t="str">
        <f>IF('IWP21'!Std2dot2 = 0, "", 'IWP21'!Std2dot2)</f>
        <v/>
      </c>
      <c r="P70" s="195" t="str">
        <f>IF('IWP21'!Std2dot3 = 0, "", 'IWP21'!Std2dot3)</f>
        <v/>
      </c>
      <c r="Q70" s="195" t="str">
        <f>IF('IWP21'!Std2dot4 = 0, "", 'IWP21'!Std2dot4)</f>
        <v/>
      </c>
      <c r="R70" s="195" t="str">
        <f>IF('IWP21'!Std3NotCalc = 0, "", 'IWP21'!Std3NotCalc)</f>
        <v/>
      </c>
      <c r="S70" s="195" t="str">
        <f>IF('IWP21'!Std3dot1 = 0, "", 'IWP21'!Std3dot1)</f>
        <v/>
      </c>
      <c r="T70" s="195" t="str">
        <f>IF('IWP21'!Std4NotCalc = 0, "", 'IWP21'!Std4NotCalc)</f>
        <v/>
      </c>
      <c r="U70" s="195" t="str">
        <f>IF('IWP21'!Std4dot1a = 0, "", 'IWP21'!Std4dot1a)</f>
        <v/>
      </c>
      <c r="V70" s="195" t="str">
        <f>IF('IWP21'!Std4dot1b = 0, "", 'IWP21'!Std4dot1b)</f>
        <v>NA</v>
      </c>
      <c r="W70" s="195" t="str">
        <f>IF('IWP21'!Std4dot1c = 0, "", 'IWP21'!Std4dot1c)</f>
        <v/>
      </c>
      <c r="X70" s="195" t="str">
        <f>IF('IWP21'!Std4dot1d = 0, "", 'IWP21'!Std4dot1d)</f>
        <v/>
      </c>
      <c r="Y70" s="195" t="str">
        <f>IF('IWP21'!Std4dot1e = 0, "", 'IWP21'!Std4dot1e)</f>
        <v/>
      </c>
      <c r="Z70" s="195" t="str">
        <f>IF('IWP21'!Std4dot1f = 0, "", 'IWP21'!Std4dot1f)</f>
        <v/>
      </c>
      <c r="AA70" s="195" t="str">
        <f>IF('IWP21'!Std4dot1 = 0, "", 'IWP21'!Std4dot1)</f>
        <v/>
      </c>
      <c r="AB70" s="195" t="str">
        <f>IF('IWP21'!Std4dot2a = 0, "", 'IWP21'!Std4dot2a)</f>
        <v>NA</v>
      </c>
      <c r="AC70" s="195" t="str">
        <f>IF('IWP21'!Std4dot2b = 0, "", 'IWP21'!Std4dot2b)</f>
        <v>NA</v>
      </c>
      <c r="AD70" s="195" t="str">
        <f>IF('IWP21'!Std4dot2c = 0, "", 'IWP21'!Std4dot2c)</f>
        <v>NA</v>
      </c>
      <c r="AE70" s="195" t="str">
        <f>IF('IWP21'!Std4dot2d = 0, "", 'IWP21'!Std4dot2d)</f>
        <v>NA</v>
      </c>
      <c r="AF70" s="195" t="str">
        <f>IF('IWP21'!Std4dot2 = 0, "", 'IWP21'!Std4dot2)</f>
        <v>NA</v>
      </c>
      <c r="AG70" s="195" t="str">
        <f>IF('IWP21'!Std4dot3NotCalc = 0, "", 'IWP21'!Std4dot3NotCalc)</f>
        <v/>
      </c>
      <c r="AH70" s="172">
        <f>IF('IWP21'!Std4dot3DateOfTransfer=DATE(1900,1,0), DATE(1900,1,1), 'IWP21'!Std4dot3DateOfTransfer)</f>
        <v>1</v>
      </c>
      <c r="AI70" s="195" t="str">
        <f>IF('IWP21'!Std4dot3a = 0, "", 'IWP21'!Std4dot3a)</f>
        <v>NA</v>
      </c>
      <c r="AJ70" s="195" t="str">
        <f>IF('IWP21'!Std4dot3b = 0, "", 'IWP21'!Std4dot3b)</f>
        <v>NA</v>
      </c>
      <c r="AK70" s="195" t="str">
        <f>IF('IWP21'!Std4dot3c = 0, "", 'IWP21'!Std4dot3c)</f>
        <v>NA</v>
      </c>
      <c r="AL70" s="195" t="str">
        <f>IF('IWP21'!Std4dot3d = 0, "", 'IWP21'!Std4dot3d)</f>
        <v>NA</v>
      </c>
      <c r="AM70" s="195" t="str">
        <f>IF('IWP21'!Std4dot3e = 0, "", 'IWP21'!Std4dot3e)</f>
        <v/>
      </c>
      <c r="AN70" s="195" t="str">
        <f>IF('IWP21'!Std4dot3 = 0, "", 'IWP21'!Std4dot3)</f>
        <v/>
      </c>
      <c r="AO70" s="195"/>
      <c r="AP70" s="195" t="str">
        <f>IF('IWP21'!Std5dot1 = 0, "", 'IWP21'!Std5dot1)</f>
        <v>NA</v>
      </c>
      <c r="AQ70" s="195" t="str">
        <f>IF('IWP21'!Std6dot1NotCalc = 0, "", 'IWP21'!Std6dot1NotCalc)</f>
        <v/>
      </c>
      <c r="AR70" s="195" t="str">
        <f>IF('IWP21'!Std6dot1 = 0, "", 'IWP21'!Std6dot1)</f>
        <v/>
      </c>
      <c r="AS70" s="195" t="str">
        <f>IF('IWP21'!Std6dot2NotCalc = 0, "", 'IWP21'!Std6dot2NotCalc)</f>
        <v/>
      </c>
      <c r="AT70" s="172">
        <f>IF('IWP21'!Std6dot2DateOfNoteOfXfer=DATE(1900,1,0), DATE(1900,1,1), 'IWP21'!Std6dot2DateOfNoteOfXfer)</f>
        <v>1</v>
      </c>
      <c r="AU70" s="195" t="str">
        <f>IF('IWP21'!Std6dot2a = 0, "", 'IWP21'!Std6dot2a)</f>
        <v/>
      </c>
      <c r="AV70" s="195" t="str">
        <f>IF('IWP21'!Std6dot2b = 0, "", 'IWP21'!Std6dot2b)</f>
        <v/>
      </c>
      <c r="AW70" s="195" t="str">
        <f>IF('IWP21'!Std6dot2c = 0, "", 'IWP21'!Std6dot2c)</f>
        <v>NA</v>
      </c>
      <c r="AX70" s="195" t="str">
        <f>IF('IWP21'!Std6dot2d = 0, "", 'IWP21'!Std6dot2d)</f>
        <v>NA</v>
      </c>
      <c r="AY70" s="195" t="str">
        <f>IF('IWP21'!Std6dot2e = 0, "", 'IWP21'!Std6dot2e)</f>
        <v>NA</v>
      </c>
      <c r="AZ70" s="195" t="str">
        <f>IF('IWP21'!Std6dot2 = 0, "", 'IWP21'!Std6dot2)</f>
        <v/>
      </c>
      <c r="BA70" s="195" t="str">
        <f>IF('IWP21'!Std7NotCalc = 0, "", 'IWP21'!Std7NotCalc)</f>
        <v/>
      </c>
      <c r="BB70" s="195" t="str">
        <f>IF('IWP21'!Std7dot1 = 0, "", 'IWP21'!Std7dot1)</f>
        <v/>
      </c>
      <c r="BC70" s="195" t="str">
        <f>IF('IWP21'!Std7dot2 = 0, "", 'IWP21'!Std7dot2)</f>
        <v/>
      </c>
      <c r="BD70" s="195" t="str">
        <f>IF('IWP21'!Std8dot1 = 0, "", 'IWP21'!Std8dot1)</f>
        <v/>
      </c>
      <c r="BE70" s="195" t="str">
        <f>IF('IWP21'!Std8dot2NotCalc = 0, "", 'IWP21'!Std8dot2NotCalc)</f>
        <v/>
      </c>
      <c r="BF70" s="195" t="str">
        <f>IF('IWP21'!Std8dot2 = 0, "", 'IWP21'!Std8dot2)</f>
        <v/>
      </c>
      <c r="BG70" s="195" t="str">
        <f>IF('IWP21'!Std8dot3NotCalc = 0, "", 'IWP21'!Std8dot3NotCalc)</f>
        <v/>
      </c>
      <c r="BH70" s="195" t="str">
        <f>IF('IWP21'!Std8dot3 = 0, "", 'IWP21'!Std8dot3)</f>
        <v/>
      </c>
      <c r="BI70" s="195" t="str">
        <f>IF('IWP21'!Std9dot1 = 0, "", 'IWP21'!Std9dot1)</f>
        <v/>
      </c>
      <c r="BJ70" s="195" t="str">
        <f>IF('IWP21'!Std9dot2 = 0, "", 'IWP21'!Std9dot2)</f>
        <v/>
      </c>
      <c r="BK70" s="194" t="str">
        <f>IF('IWP21'!Std9dot3 = 0, "", 'IWP21'!Std9dot3)</f>
        <v/>
      </c>
    </row>
    <row r="71" spans="1:63">
      <c r="A71" s="183" t="s">
        <v>520</v>
      </c>
      <c r="B71" s="176">
        <f>IF('Samples (PRINT)'!D26=DATE(1900,1,0),DATE(1900,1,1),'Samples (PRINT)'!D26)</f>
        <v>1</v>
      </c>
      <c r="C71" s="176">
        <f>IF('Samples (PRINT)'!E26=DATE(1900,1,0),DATE(1900,1,1),'Samples (PRINT)'!E26)</f>
        <v>1</v>
      </c>
      <c r="D71" s="196">
        <f>'IWP22'!SampleNumber</f>
        <v>22</v>
      </c>
      <c r="E71" s="196">
        <f>'IWP22'!ClientID</f>
        <v>0</v>
      </c>
      <c r="F71" s="237"/>
      <c r="G71" s="237"/>
      <c r="H71" s="195" t="str">
        <f ca="1">IF('IWP22'!ContractNumber = 0, "", 'IWP22'!ContractNumber)</f>
        <v/>
      </c>
      <c r="I71" s="195" t="str">
        <f>IF('IWP22'!ContractType = 0, "", 'IWP22'!ContractType)</f>
        <v/>
      </c>
      <c r="J71" s="195" t="str">
        <f>IF('IWP22'!CompletedByLastName = 0, "", 'IWP22'!CompletedByLastName)</f>
        <v/>
      </c>
      <c r="K71" s="195" t="str">
        <f>IF('IWP22'!CompletedByFirstName = 0, "", 'IWP22'!CompletedByFirstName)</f>
        <v/>
      </c>
      <c r="L71" s="176">
        <f>IF('IWP22'!DateCompleted=DATE(1900,1,0),DATE(1900,1,1),'IWP22'!DateCompleted)</f>
        <v>1</v>
      </c>
      <c r="M71" s="195" t="str">
        <f>IF('IWP22'!Std2NotCalc = 0, "", 'IWP22'!Std2NotCalc)</f>
        <v/>
      </c>
      <c r="N71" s="195" t="str">
        <f>IF('IWP22'!Std2dot1 = 0, "", 'IWP22'!Std2dot1)</f>
        <v/>
      </c>
      <c r="O71" s="195" t="str">
        <f>IF('IWP22'!Std2dot2 = 0, "", 'IWP22'!Std2dot2)</f>
        <v/>
      </c>
      <c r="P71" s="195" t="str">
        <f>IF('IWP22'!Std2dot3 = 0, "", 'IWP22'!Std2dot3)</f>
        <v/>
      </c>
      <c r="Q71" s="195" t="str">
        <f>IF('IWP22'!Std2dot4 = 0, "", 'IWP22'!Std2dot4)</f>
        <v/>
      </c>
      <c r="R71" s="195" t="str">
        <f>IF('IWP22'!Std3NotCalc = 0, "", 'IWP22'!Std3NotCalc)</f>
        <v/>
      </c>
      <c r="S71" s="195" t="str">
        <f>IF('IWP22'!Std3dot1 = 0, "", 'IWP22'!Std3dot1)</f>
        <v/>
      </c>
      <c r="T71" s="195" t="str">
        <f>IF('IWP22'!Std4NotCalc = 0, "", 'IWP22'!Std4NotCalc)</f>
        <v/>
      </c>
      <c r="U71" s="195" t="str">
        <f>IF('IWP22'!Std4dot1a = 0, "", 'IWP22'!Std4dot1a)</f>
        <v/>
      </c>
      <c r="V71" s="195" t="str">
        <f>IF('IWP22'!Std4dot1b = 0, "", 'IWP22'!Std4dot1b)</f>
        <v>NA</v>
      </c>
      <c r="W71" s="195" t="str">
        <f>IF('IWP22'!Std4dot1c = 0, "", 'IWP22'!Std4dot1c)</f>
        <v/>
      </c>
      <c r="X71" s="195" t="str">
        <f>IF('IWP22'!Std4dot1d = 0, "", 'IWP22'!Std4dot1d)</f>
        <v/>
      </c>
      <c r="Y71" s="195" t="str">
        <f>IF('IWP22'!Std4dot1e = 0, "", 'IWP22'!Std4dot1e)</f>
        <v/>
      </c>
      <c r="Z71" s="195" t="str">
        <f>IF('IWP22'!Std4dot1f = 0, "", 'IWP22'!Std4dot1f)</f>
        <v/>
      </c>
      <c r="AA71" s="195" t="str">
        <f>IF('IWP22'!Std4dot1 = 0, "", 'IWP22'!Std4dot1)</f>
        <v/>
      </c>
      <c r="AB71" s="195" t="str">
        <f>IF('IWP22'!Std4dot2a = 0, "", 'IWP22'!Std4dot2a)</f>
        <v>NA</v>
      </c>
      <c r="AC71" s="195" t="str">
        <f>IF('IWP22'!Std4dot2b = 0, "", 'IWP22'!Std4dot2b)</f>
        <v>NA</v>
      </c>
      <c r="AD71" s="195" t="str">
        <f>IF('IWP22'!Std4dot2c = 0, "", 'IWP22'!Std4dot2c)</f>
        <v>NA</v>
      </c>
      <c r="AE71" s="195" t="str">
        <f>IF('IWP22'!Std4dot2d = 0, "", 'IWP22'!Std4dot2d)</f>
        <v>NA</v>
      </c>
      <c r="AF71" s="195" t="str">
        <f>IF('IWP22'!Std4dot2 = 0, "", 'IWP22'!Std4dot2)</f>
        <v>NA</v>
      </c>
      <c r="AG71" s="195" t="str">
        <f>IF('IWP22'!Std4dot3NotCalc = 0, "", 'IWP22'!Std4dot3NotCalc)</f>
        <v/>
      </c>
      <c r="AH71" s="172">
        <f>IF('IWP22'!Std4dot3DateOfTransfer=DATE(1900,1,0), DATE(1900,1,1), 'IWP22'!Std4dot3DateOfTransfer)</f>
        <v>1</v>
      </c>
      <c r="AI71" s="195" t="str">
        <f>IF('IWP22'!Std4dot3a = 0, "", 'IWP22'!Std4dot3a)</f>
        <v>NA</v>
      </c>
      <c r="AJ71" s="195" t="str">
        <f>IF('IWP22'!Std4dot3b = 0, "", 'IWP22'!Std4dot3b)</f>
        <v>NA</v>
      </c>
      <c r="AK71" s="195" t="str">
        <f>IF('IWP22'!Std4dot3c = 0, "", 'IWP22'!Std4dot3c)</f>
        <v>NA</v>
      </c>
      <c r="AL71" s="195" t="str">
        <f>IF('IWP22'!Std4dot3d = 0, "", 'IWP22'!Std4dot3d)</f>
        <v>NA</v>
      </c>
      <c r="AM71" s="195" t="str">
        <f>IF('IWP22'!Std4dot3e = 0, "", 'IWP22'!Std4dot3e)</f>
        <v/>
      </c>
      <c r="AN71" s="195" t="str">
        <f>IF('IWP22'!Std4dot3 = 0, "", 'IWP22'!Std4dot3)</f>
        <v/>
      </c>
      <c r="AO71" s="195"/>
      <c r="AP71" s="195" t="str">
        <f>IF('IWP22'!Std5dot1 = 0, "", 'IWP22'!Std5dot1)</f>
        <v>NA</v>
      </c>
      <c r="AQ71" s="195" t="str">
        <f>IF('IWP22'!Std6dot1NotCalc = 0, "", 'IWP22'!Std6dot1NotCalc)</f>
        <v/>
      </c>
      <c r="AR71" s="195" t="str">
        <f>IF('IWP22'!Std6dot1 = 0, "", 'IWP22'!Std6dot1)</f>
        <v/>
      </c>
      <c r="AS71" s="195" t="str">
        <f>IF('IWP22'!Std6dot2NotCalc = 0, "", 'IWP22'!Std6dot2NotCalc)</f>
        <v/>
      </c>
      <c r="AT71" s="172">
        <f>IF('IWP22'!Std6dot2DateOfNoteOfXfer=DATE(1900,1,0), DATE(1900,1,1), 'IWP22'!Std6dot2DateOfNoteOfXfer)</f>
        <v>1</v>
      </c>
      <c r="AU71" s="195" t="str">
        <f>IF('IWP22'!Std6dot2a = 0, "", 'IWP22'!Std6dot2a)</f>
        <v/>
      </c>
      <c r="AV71" s="195" t="str">
        <f>IF('IWP22'!Std6dot2b = 0, "", 'IWP22'!Std6dot2b)</f>
        <v/>
      </c>
      <c r="AW71" s="195" t="str">
        <f>IF('IWP22'!Std6dot2c = 0, "", 'IWP22'!Std6dot2c)</f>
        <v>NA</v>
      </c>
      <c r="AX71" s="195" t="str">
        <f>IF('IWP22'!Std6dot2d = 0, "", 'IWP22'!Std6dot2d)</f>
        <v>NA</v>
      </c>
      <c r="AY71" s="195" t="str">
        <f>IF('IWP22'!Std6dot2e = 0, "", 'IWP22'!Std6dot2e)</f>
        <v>NA</v>
      </c>
      <c r="AZ71" s="195" t="str">
        <f>IF('IWP22'!Std6dot2 = 0, "", 'IWP22'!Std6dot2)</f>
        <v/>
      </c>
      <c r="BA71" s="195" t="str">
        <f>IF('IWP22'!Std7NotCalc = 0, "", 'IWP22'!Std7NotCalc)</f>
        <v/>
      </c>
      <c r="BB71" s="195" t="str">
        <f>IF('IWP22'!Std7dot1 = 0, "", 'IWP22'!Std7dot1)</f>
        <v/>
      </c>
      <c r="BC71" s="195" t="str">
        <f>IF('IWP22'!Std7dot2 = 0, "", 'IWP22'!Std7dot2)</f>
        <v/>
      </c>
      <c r="BD71" s="195" t="str">
        <f>IF('IWP22'!Std8dot1 = 0, "", 'IWP22'!Std8dot1)</f>
        <v/>
      </c>
      <c r="BE71" s="195" t="str">
        <f>IF('IWP22'!Std8dot2NotCalc = 0, "", 'IWP22'!Std8dot2NotCalc)</f>
        <v/>
      </c>
      <c r="BF71" s="195" t="str">
        <f>IF('IWP22'!Std8dot2 = 0, "", 'IWP22'!Std8dot2)</f>
        <v/>
      </c>
      <c r="BG71" s="195" t="str">
        <f>IF('IWP22'!Std8dot3NotCalc = 0, "", 'IWP22'!Std8dot3NotCalc)</f>
        <v/>
      </c>
      <c r="BH71" s="195" t="str">
        <f>IF('IWP22'!Std8dot3 = 0, "", 'IWP22'!Std8dot3)</f>
        <v/>
      </c>
      <c r="BI71" s="195" t="str">
        <f>IF('IWP22'!Std9dot1 = 0, "", 'IWP22'!Std9dot1)</f>
        <v/>
      </c>
      <c r="BJ71" s="195" t="str">
        <f>IF('IWP22'!Std9dot2 = 0, "", 'IWP22'!Std9dot2)</f>
        <v/>
      </c>
      <c r="BK71" s="194" t="str">
        <f>IF('IWP22'!Std9dot3 = 0, "", 'IWP22'!Std9dot3)</f>
        <v/>
      </c>
    </row>
    <row r="72" spans="1:63">
      <c r="A72" s="183" t="s">
        <v>521</v>
      </c>
      <c r="B72" s="176">
        <f>IF('Samples (PRINT)'!D27=DATE(1900,1,0),DATE(1900,1,1),'Samples (PRINT)'!D27)</f>
        <v>1</v>
      </c>
      <c r="C72" s="176">
        <f>IF('Samples (PRINT)'!E27=DATE(1900,1,0),DATE(1900,1,1),'Samples (PRINT)'!E27)</f>
        <v>1</v>
      </c>
      <c r="D72" s="196">
        <f>'IWP23'!SampleNumber</f>
        <v>23</v>
      </c>
      <c r="E72" s="196">
        <f>'IWP23'!ClientID</f>
        <v>0</v>
      </c>
      <c r="F72" s="237"/>
      <c r="G72" s="237"/>
      <c r="H72" s="195" t="str">
        <f ca="1">IF('IWP23'!ContractNumber = 0, "", 'IWP23'!ContractNumber)</f>
        <v/>
      </c>
      <c r="I72" s="195" t="str">
        <f>IF('IWP23'!ContractType = 0, "", 'IWP23'!ContractType)</f>
        <v/>
      </c>
      <c r="J72" s="195" t="str">
        <f>IF('IWP23'!CompletedByLastName = 0, "", 'IWP23'!CompletedByLastName)</f>
        <v/>
      </c>
      <c r="K72" s="195" t="str">
        <f>IF('IWP23'!CompletedByFirstName = 0, "", 'IWP23'!CompletedByFirstName)</f>
        <v/>
      </c>
      <c r="L72" s="176">
        <f>IF('IWP23'!DateCompleted=DATE(1900,1,0),DATE(1900,1,1),'IWP23'!DateCompleted)</f>
        <v>1</v>
      </c>
      <c r="M72" s="195" t="str">
        <f>IF('IWP23'!Std2NotCalc = 0, "", 'IWP23'!Std2NotCalc)</f>
        <v/>
      </c>
      <c r="N72" s="195" t="str">
        <f>IF('IWP23'!Std2dot1 = 0, "", 'IWP23'!Std2dot1)</f>
        <v/>
      </c>
      <c r="O72" s="195" t="str">
        <f>IF('IWP23'!Std2dot2 = 0, "", 'IWP23'!Std2dot2)</f>
        <v/>
      </c>
      <c r="P72" s="195" t="str">
        <f>IF('IWP23'!Std2dot3 = 0, "", 'IWP23'!Std2dot3)</f>
        <v/>
      </c>
      <c r="Q72" s="195" t="str">
        <f>IF('IWP23'!Std2dot4 = 0, "", 'IWP23'!Std2dot4)</f>
        <v/>
      </c>
      <c r="R72" s="195" t="str">
        <f>IF('IWP23'!Std3NotCalc = 0, "", 'IWP23'!Std3NotCalc)</f>
        <v/>
      </c>
      <c r="S72" s="195" t="str">
        <f>IF('IWP23'!Std3dot1 = 0, "", 'IWP23'!Std3dot1)</f>
        <v/>
      </c>
      <c r="T72" s="195" t="str">
        <f>IF('IWP23'!Std4NotCalc = 0, "", 'IWP23'!Std4NotCalc)</f>
        <v/>
      </c>
      <c r="U72" s="195" t="str">
        <f>IF('IWP23'!Std4dot1a = 0, "", 'IWP23'!Std4dot1a)</f>
        <v/>
      </c>
      <c r="V72" s="195" t="str">
        <f>IF('IWP23'!Std4dot1b = 0, "", 'IWP23'!Std4dot1b)</f>
        <v>NA</v>
      </c>
      <c r="W72" s="195" t="str">
        <f>IF('IWP23'!Std4dot1c = 0, "", 'IWP23'!Std4dot1c)</f>
        <v/>
      </c>
      <c r="X72" s="195" t="str">
        <f>IF('IWP23'!Std4dot1d = 0, "", 'IWP23'!Std4dot1d)</f>
        <v/>
      </c>
      <c r="Y72" s="195" t="str">
        <f>IF('IWP23'!Std4dot1e = 0, "", 'IWP23'!Std4dot1e)</f>
        <v/>
      </c>
      <c r="Z72" s="195" t="str">
        <f>IF('IWP23'!Std4dot1f = 0, "", 'IWP23'!Std4dot1f)</f>
        <v/>
      </c>
      <c r="AA72" s="195" t="str">
        <f>IF('IWP23'!Std4dot1 = 0, "", 'IWP23'!Std4dot1)</f>
        <v/>
      </c>
      <c r="AB72" s="195" t="str">
        <f>IF('IWP23'!Std4dot2a = 0, "", 'IWP23'!Std4dot2a)</f>
        <v>NA</v>
      </c>
      <c r="AC72" s="195" t="str">
        <f>IF('IWP23'!Std4dot2b = 0, "", 'IWP23'!Std4dot2b)</f>
        <v>NA</v>
      </c>
      <c r="AD72" s="195" t="str">
        <f>IF('IWP23'!Std4dot2c = 0, "", 'IWP23'!Std4dot2c)</f>
        <v>NA</v>
      </c>
      <c r="AE72" s="195" t="str">
        <f>IF('IWP23'!Std4dot2d = 0, "", 'IWP23'!Std4dot2d)</f>
        <v>NA</v>
      </c>
      <c r="AF72" s="195" t="str">
        <f>IF('IWP23'!Std4dot2 = 0, "", 'IWP23'!Std4dot2)</f>
        <v>NA</v>
      </c>
      <c r="AG72" s="195" t="str">
        <f>IF('IWP23'!Std4dot3NotCalc = 0, "", 'IWP23'!Std4dot3NotCalc)</f>
        <v/>
      </c>
      <c r="AH72" s="172">
        <f>IF('IWP23'!Std4dot3DateOfTransfer=DATE(1900,1,0), DATE(1900,1,1), 'IWP23'!Std4dot3DateOfTransfer)</f>
        <v>1</v>
      </c>
      <c r="AI72" s="195" t="str">
        <f>IF('IWP23'!Std4dot3a = 0, "", 'IWP23'!Std4dot3a)</f>
        <v>NA</v>
      </c>
      <c r="AJ72" s="195" t="str">
        <f>IF('IWP23'!Std4dot3b = 0, "", 'IWP23'!Std4dot3b)</f>
        <v>NA</v>
      </c>
      <c r="AK72" s="195" t="str">
        <f>IF('IWP23'!Std4dot3c = 0, "", 'IWP23'!Std4dot3c)</f>
        <v>NA</v>
      </c>
      <c r="AL72" s="195" t="str">
        <f>IF('IWP23'!Std4dot3d = 0, "", 'IWP23'!Std4dot3d)</f>
        <v>NA</v>
      </c>
      <c r="AM72" s="195" t="str">
        <f>IF('IWP23'!Std4dot3e = 0, "", 'IWP23'!Std4dot3e)</f>
        <v/>
      </c>
      <c r="AN72" s="195" t="str">
        <f>IF('IWP23'!Std4dot3 = 0, "", 'IWP23'!Std4dot3)</f>
        <v/>
      </c>
      <c r="AO72" s="195"/>
      <c r="AP72" s="195" t="str">
        <f>IF('IWP23'!Std5dot1 = 0, "", 'IWP23'!Std5dot1)</f>
        <v>NA</v>
      </c>
      <c r="AQ72" s="195" t="str">
        <f>IF('IWP23'!Std6dot1NotCalc = 0, "", 'IWP23'!Std6dot1NotCalc)</f>
        <v/>
      </c>
      <c r="AR72" s="195" t="str">
        <f>IF('IWP23'!Std6dot1 = 0, "", 'IWP23'!Std6dot1)</f>
        <v/>
      </c>
      <c r="AS72" s="195" t="str">
        <f>IF('IWP23'!Std6dot2NotCalc = 0, "", 'IWP23'!Std6dot2NotCalc)</f>
        <v/>
      </c>
      <c r="AT72" s="172">
        <f>IF('IWP23'!Std6dot2DateOfNoteOfXfer=DATE(1900,1,0), DATE(1900,1,1), 'IWP23'!Std6dot2DateOfNoteOfXfer)</f>
        <v>1</v>
      </c>
      <c r="AU72" s="195" t="str">
        <f>IF('IWP23'!Std6dot2a = 0, "", 'IWP23'!Std6dot2a)</f>
        <v/>
      </c>
      <c r="AV72" s="195" t="str">
        <f>IF('IWP23'!Std6dot2b = 0, "", 'IWP23'!Std6dot2b)</f>
        <v/>
      </c>
      <c r="AW72" s="195" t="str">
        <f>IF('IWP23'!Std6dot2c = 0, "", 'IWP23'!Std6dot2c)</f>
        <v>NA</v>
      </c>
      <c r="AX72" s="195" t="str">
        <f>IF('IWP23'!Std6dot2d = 0, "", 'IWP23'!Std6dot2d)</f>
        <v>NA</v>
      </c>
      <c r="AY72" s="195" t="str">
        <f>IF('IWP23'!Std6dot2e = 0, "", 'IWP23'!Std6dot2e)</f>
        <v>NA</v>
      </c>
      <c r="AZ72" s="195" t="str">
        <f>IF('IWP23'!Std6dot2 = 0, "", 'IWP23'!Std6dot2)</f>
        <v/>
      </c>
      <c r="BA72" s="195" t="str">
        <f>IF('IWP23'!Std7NotCalc = 0, "", 'IWP23'!Std7NotCalc)</f>
        <v/>
      </c>
      <c r="BB72" s="195" t="str">
        <f>IF('IWP23'!Std7dot1 = 0, "", 'IWP23'!Std7dot1)</f>
        <v/>
      </c>
      <c r="BC72" s="195" t="str">
        <f>IF('IWP23'!Std7dot2 = 0, "", 'IWP23'!Std7dot2)</f>
        <v/>
      </c>
      <c r="BD72" s="195" t="str">
        <f>IF('IWP23'!Std8dot1 = 0, "", 'IWP23'!Std8dot1)</f>
        <v/>
      </c>
      <c r="BE72" s="195" t="str">
        <f>IF('IWP23'!Std8dot2NotCalc = 0, "", 'IWP23'!Std8dot2NotCalc)</f>
        <v/>
      </c>
      <c r="BF72" s="195" t="str">
        <f>IF('IWP23'!Std8dot2 = 0, "", 'IWP23'!Std8dot2)</f>
        <v/>
      </c>
      <c r="BG72" s="195" t="str">
        <f>IF('IWP23'!Std8dot3NotCalc = 0, "", 'IWP23'!Std8dot3NotCalc)</f>
        <v/>
      </c>
      <c r="BH72" s="195" t="str">
        <f>IF('IWP23'!Std8dot3 = 0, "", 'IWP23'!Std8dot3)</f>
        <v/>
      </c>
      <c r="BI72" s="195" t="str">
        <f>IF('IWP23'!Std9dot1 = 0, "", 'IWP23'!Std9dot1)</f>
        <v/>
      </c>
      <c r="BJ72" s="195" t="str">
        <f>IF('IWP23'!Std9dot2 = 0, "", 'IWP23'!Std9dot2)</f>
        <v/>
      </c>
      <c r="BK72" s="194" t="str">
        <f>IF('IWP23'!Std9dot3 = 0, "", 'IWP23'!Std9dot3)</f>
        <v/>
      </c>
    </row>
    <row r="73" spans="1:63">
      <c r="A73" s="183" t="s">
        <v>522</v>
      </c>
      <c r="B73" s="176">
        <f>IF('Samples (PRINT)'!D28=DATE(1900,1,0),DATE(1900,1,1),'Samples (PRINT)'!D28)</f>
        <v>1</v>
      </c>
      <c r="C73" s="176">
        <f>IF('Samples (PRINT)'!E28=DATE(1900,1,0),DATE(1900,1,1),'Samples (PRINT)'!E28)</f>
        <v>1</v>
      </c>
      <c r="D73" s="196">
        <f>'IWP24'!SampleNumber</f>
        <v>24</v>
      </c>
      <c r="E73" s="196">
        <f>'IWP24'!ClientID</f>
        <v>0</v>
      </c>
      <c r="F73" s="237"/>
      <c r="G73" s="237"/>
      <c r="H73" s="195" t="str">
        <f ca="1">IF('IWP24'!ContractNumber = 0, "", 'IWP24'!ContractNumber)</f>
        <v/>
      </c>
      <c r="I73" s="195" t="str">
        <f>IF('IWP24'!ContractType = 0, "", 'IWP24'!ContractType)</f>
        <v/>
      </c>
      <c r="J73" s="195" t="str">
        <f>IF('IWP24'!CompletedByLastName = 0, "", 'IWP24'!CompletedByLastName)</f>
        <v/>
      </c>
      <c r="K73" s="195" t="str">
        <f>IF('IWP24'!CompletedByFirstName = 0, "", 'IWP24'!CompletedByFirstName)</f>
        <v/>
      </c>
      <c r="L73" s="176">
        <f>IF('IWP24'!DateCompleted=DATE(1900,1,0),DATE(1900,1,1),'IWP24'!DateCompleted)</f>
        <v>1</v>
      </c>
      <c r="M73" s="195" t="str">
        <f>IF('IWP24'!Std2NotCalc = 0, "", 'IWP24'!Std2NotCalc)</f>
        <v/>
      </c>
      <c r="N73" s="195" t="str">
        <f>IF('IWP24'!Std2dot1 = 0, "", 'IWP24'!Std2dot1)</f>
        <v/>
      </c>
      <c r="O73" s="195" t="str">
        <f>IF('IWP24'!Std2dot2 = 0, "", 'IWP24'!Std2dot2)</f>
        <v/>
      </c>
      <c r="P73" s="195" t="str">
        <f>IF('IWP24'!Std2dot3 = 0, "", 'IWP24'!Std2dot3)</f>
        <v/>
      </c>
      <c r="Q73" s="195" t="str">
        <f>IF('IWP24'!Std2dot4 = 0, "", 'IWP24'!Std2dot4)</f>
        <v/>
      </c>
      <c r="R73" s="195" t="str">
        <f>IF('IWP24'!Std3NotCalc = 0, "", 'IWP24'!Std3NotCalc)</f>
        <v/>
      </c>
      <c r="S73" s="195" t="str">
        <f>IF('IWP24'!Std3dot1 = 0, "", 'IWP24'!Std3dot1)</f>
        <v/>
      </c>
      <c r="T73" s="195" t="str">
        <f>IF('IWP24'!Std4NotCalc = 0, "", 'IWP24'!Std4NotCalc)</f>
        <v/>
      </c>
      <c r="U73" s="195" t="str">
        <f>IF('IWP24'!Std4dot1a = 0, "", 'IWP24'!Std4dot1a)</f>
        <v/>
      </c>
      <c r="V73" s="195" t="str">
        <f>IF('IWP24'!Std4dot1b = 0, "", 'IWP24'!Std4dot1b)</f>
        <v>NA</v>
      </c>
      <c r="W73" s="195" t="str">
        <f>IF('IWP24'!Std4dot1c = 0, "", 'IWP24'!Std4dot1c)</f>
        <v/>
      </c>
      <c r="X73" s="195" t="str">
        <f>IF('IWP24'!Std4dot1d = 0, "", 'IWP24'!Std4dot1d)</f>
        <v/>
      </c>
      <c r="Y73" s="195" t="str">
        <f>IF('IWP24'!Std4dot1e = 0, "", 'IWP24'!Std4dot1e)</f>
        <v/>
      </c>
      <c r="Z73" s="195" t="str">
        <f>IF('IWP24'!Std4dot1f = 0, "", 'IWP24'!Std4dot1f)</f>
        <v/>
      </c>
      <c r="AA73" s="195" t="str">
        <f>IF('IWP24'!Std4dot1 = 0, "", 'IWP24'!Std4dot1)</f>
        <v/>
      </c>
      <c r="AB73" s="195" t="str">
        <f>IF('IWP24'!Std4dot2a = 0, "", 'IWP24'!Std4dot2a)</f>
        <v>NA</v>
      </c>
      <c r="AC73" s="195" t="str">
        <f>IF('IWP24'!Std4dot2b = 0, "", 'IWP24'!Std4dot2b)</f>
        <v>NA</v>
      </c>
      <c r="AD73" s="195" t="str">
        <f>IF('IWP24'!Std4dot2c = 0, "", 'IWP24'!Std4dot2c)</f>
        <v>NA</v>
      </c>
      <c r="AE73" s="195" t="str">
        <f>IF('IWP24'!Std4dot2d = 0, "", 'IWP24'!Std4dot2d)</f>
        <v>NA</v>
      </c>
      <c r="AF73" s="195" t="str">
        <f>IF('IWP24'!Std4dot2 = 0, "", 'IWP24'!Std4dot2)</f>
        <v>NA</v>
      </c>
      <c r="AG73" s="195" t="str">
        <f>IF('IWP24'!Std4dot3NotCalc = 0, "", 'IWP24'!Std4dot3NotCalc)</f>
        <v/>
      </c>
      <c r="AH73" s="172">
        <f>IF('IWP24'!Std4dot3DateOfTransfer=DATE(1900,1,0), DATE(1900,1,1), 'IWP24'!Std4dot3DateOfTransfer)</f>
        <v>1</v>
      </c>
      <c r="AI73" s="195" t="str">
        <f>IF('IWP24'!Std4dot3a = 0, "", 'IWP24'!Std4dot3a)</f>
        <v>NA</v>
      </c>
      <c r="AJ73" s="195" t="str">
        <f>IF('IWP24'!Std4dot3b = 0, "", 'IWP24'!Std4dot3b)</f>
        <v>NA</v>
      </c>
      <c r="AK73" s="195" t="str">
        <f>IF('IWP24'!Std4dot3c = 0, "", 'IWP24'!Std4dot3c)</f>
        <v>NA</v>
      </c>
      <c r="AL73" s="195" t="str">
        <f>IF('IWP24'!Std4dot3d = 0, "", 'IWP24'!Std4dot3d)</f>
        <v>NA</v>
      </c>
      <c r="AM73" s="195" t="str">
        <f>IF('IWP24'!Std4dot3e = 0, "", 'IWP24'!Std4dot3e)</f>
        <v/>
      </c>
      <c r="AN73" s="195" t="str">
        <f>IF('IWP24'!Std4dot3 = 0, "", 'IWP24'!Std4dot3)</f>
        <v/>
      </c>
      <c r="AO73" s="195"/>
      <c r="AP73" s="195" t="str">
        <f>IF('IWP24'!Std5dot1 = 0, "", 'IWP24'!Std5dot1)</f>
        <v>NA</v>
      </c>
      <c r="AQ73" s="195" t="str">
        <f>IF('IWP24'!Std6dot1NotCalc = 0, "", 'IWP24'!Std6dot1NotCalc)</f>
        <v/>
      </c>
      <c r="AR73" s="195" t="str">
        <f>IF('IWP24'!Std6dot1 = 0, "", 'IWP24'!Std6dot1)</f>
        <v/>
      </c>
      <c r="AS73" s="195" t="str">
        <f>IF('IWP24'!Std6dot2NotCalc = 0, "", 'IWP24'!Std6dot2NotCalc)</f>
        <v/>
      </c>
      <c r="AT73" s="172">
        <f>IF('IWP24'!Std6dot2DateOfNoteOfXfer=DATE(1900,1,0), DATE(1900,1,1), 'IWP24'!Std6dot2DateOfNoteOfXfer)</f>
        <v>1</v>
      </c>
      <c r="AU73" s="195" t="str">
        <f>IF('IWP24'!Std6dot2a = 0, "", 'IWP24'!Std6dot2a)</f>
        <v/>
      </c>
      <c r="AV73" s="195" t="str">
        <f>IF('IWP24'!Std6dot2b = 0, "", 'IWP24'!Std6dot2b)</f>
        <v/>
      </c>
      <c r="AW73" s="195" t="str">
        <f>IF('IWP24'!Std6dot2c = 0, "", 'IWP24'!Std6dot2c)</f>
        <v>NA</v>
      </c>
      <c r="AX73" s="195" t="str">
        <f>IF('IWP24'!Std6dot2d = 0, "", 'IWP24'!Std6dot2d)</f>
        <v>NA</v>
      </c>
      <c r="AY73" s="195" t="str">
        <f>IF('IWP24'!Std6dot2e = 0, "", 'IWP24'!Std6dot2e)</f>
        <v>NA</v>
      </c>
      <c r="AZ73" s="195" t="str">
        <f>IF('IWP24'!Std6dot2 = 0, "", 'IWP24'!Std6dot2)</f>
        <v/>
      </c>
      <c r="BA73" s="195" t="str">
        <f>IF('IWP24'!Std7NotCalc = 0, "", 'IWP24'!Std7NotCalc)</f>
        <v/>
      </c>
      <c r="BB73" s="195" t="str">
        <f>IF('IWP24'!Std7dot1 = 0, "", 'IWP24'!Std7dot1)</f>
        <v/>
      </c>
      <c r="BC73" s="195" t="str">
        <f>IF('IWP24'!Std7dot2 = 0, "", 'IWP24'!Std7dot2)</f>
        <v/>
      </c>
      <c r="BD73" s="195" t="str">
        <f>IF('IWP24'!Std8dot1 = 0, "", 'IWP24'!Std8dot1)</f>
        <v/>
      </c>
      <c r="BE73" s="195" t="str">
        <f>IF('IWP24'!Std8dot2NotCalc = 0, "", 'IWP24'!Std8dot2NotCalc)</f>
        <v/>
      </c>
      <c r="BF73" s="195" t="str">
        <f>IF('IWP24'!Std8dot2 = 0, "", 'IWP24'!Std8dot2)</f>
        <v/>
      </c>
      <c r="BG73" s="195" t="str">
        <f>IF('IWP24'!Std8dot3NotCalc = 0, "", 'IWP24'!Std8dot3NotCalc)</f>
        <v/>
      </c>
      <c r="BH73" s="195" t="str">
        <f>IF('IWP24'!Std8dot3 = 0, "", 'IWP24'!Std8dot3)</f>
        <v/>
      </c>
      <c r="BI73" s="195" t="str">
        <f>IF('IWP24'!Std9dot1 = 0, "", 'IWP24'!Std9dot1)</f>
        <v/>
      </c>
      <c r="BJ73" s="195" t="str">
        <f>IF('IWP24'!Std9dot2 = 0, "", 'IWP24'!Std9dot2)</f>
        <v/>
      </c>
      <c r="BK73" s="194" t="str">
        <f>IF('IWP24'!Std9dot3 = 0, "", 'IWP24'!Std9dot3)</f>
        <v/>
      </c>
    </row>
    <row r="74" spans="1:63">
      <c r="A74" s="183" t="s">
        <v>523</v>
      </c>
      <c r="B74" s="176">
        <f>IF('Samples (PRINT)'!D29=DATE(1900,1,0),DATE(1900,1,1),'Samples (PRINT)'!D29)</f>
        <v>1</v>
      </c>
      <c r="C74" s="176">
        <f>IF('Samples (PRINT)'!E29=DATE(1900,1,0),DATE(1900,1,1),'Samples (PRINT)'!E29)</f>
        <v>1</v>
      </c>
      <c r="D74" s="196">
        <f>'IWP25'!SampleNumber</f>
        <v>25</v>
      </c>
      <c r="E74" s="196">
        <f>'IWP25'!ClientID</f>
        <v>0</v>
      </c>
      <c r="F74" s="237"/>
      <c r="G74" s="237"/>
      <c r="H74" s="195" t="str">
        <f ca="1">IF('IWP25'!ContractNumber = 0, "", 'IWP25'!ContractNumber)</f>
        <v/>
      </c>
      <c r="I74" s="195" t="str">
        <f>IF('IWP25'!ContractType = 0, "", 'IWP25'!ContractType)</f>
        <v/>
      </c>
      <c r="J74" s="195" t="str">
        <f>IF('IWP25'!CompletedByLastName = 0, "", 'IWP25'!CompletedByLastName)</f>
        <v/>
      </c>
      <c r="K74" s="195" t="str">
        <f>IF('IWP25'!CompletedByFirstName = 0, "", 'IWP25'!CompletedByFirstName)</f>
        <v/>
      </c>
      <c r="L74" s="176">
        <f>IF('IWP25'!DateCompleted=DATE(1900,1,0),DATE(1900,1,1),'IWP25'!DateCompleted)</f>
        <v>1</v>
      </c>
      <c r="M74" s="195" t="str">
        <f>IF('IWP25'!Std2NotCalc = 0, "", 'IWP25'!Std2NotCalc)</f>
        <v/>
      </c>
      <c r="N74" s="195" t="str">
        <f>IF('IWP25'!Std2dot1 = 0, "", 'IWP25'!Std2dot1)</f>
        <v/>
      </c>
      <c r="O74" s="195" t="str">
        <f>IF('IWP25'!Std2dot2 = 0, "", 'IWP25'!Std2dot2)</f>
        <v/>
      </c>
      <c r="P74" s="195" t="str">
        <f>IF('IWP25'!Std2dot3 = 0, "", 'IWP25'!Std2dot3)</f>
        <v/>
      </c>
      <c r="Q74" s="195" t="str">
        <f>IF('IWP25'!Std2dot4 = 0, "", 'IWP25'!Std2dot4)</f>
        <v/>
      </c>
      <c r="R74" s="195" t="str">
        <f>IF('IWP25'!Std3NotCalc = 0, "", 'IWP25'!Std3NotCalc)</f>
        <v/>
      </c>
      <c r="S74" s="195" t="str">
        <f>IF('IWP25'!Std3dot1 = 0, "", 'IWP25'!Std3dot1)</f>
        <v/>
      </c>
      <c r="T74" s="195" t="str">
        <f>IF('IWP25'!Std4NotCalc = 0, "", 'IWP25'!Std4NotCalc)</f>
        <v/>
      </c>
      <c r="U74" s="195" t="str">
        <f>IF('IWP25'!Std4dot1a = 0, "", 'IWP25'!Std4dot1a)</f>
        <v/>
      </c>
      <c r="V74" s="195" t="str">
        <f>IF('IWP25'!Std4dot1b = 0, "", 'IWP25'!Std4dot1b)</f>
        <v>NA</v>
      </c>
      <c r="W74" s="195" t="str">
        <f>IF('IWP25'!Std4dot1c = 0, "", 'IWP25'!Std4dot1c)</f>
        <v/>
      </c>
      <c r="X74" s="195" t="str">
        <f>IF('IWP25'!Std4dot1d = 0, "", 'IWP25'!Std4dot1d)</f>
        <v/>
      </c>
      <c r="Y74" s="195" t="str">
        <f>IF('IWP25'!Std4dot1e = 0, "", 'IWP25'!Std4dot1e)</f>
        <v/>
      </c>
      <c r="Z74" s="195" t="str">
        <f>IF('IWP25'!Std4dot1f = 0, "", 'IWP25'!Std4dot1f)</f>
        <v/>
      </c>
      <c r="AA74" s="195" t="str">
        <f>IF('IWP25'!Std4dot1 = 0, "", 'IWP25'!Std4dot1)</f>
        <v/>
      </c>
      <c r="AB74" s="195" t="str">
        <f>IF('IWP25'!Std4dot2a = 0, "", 'IWP25'!Std4dot2a)</f>
        <v>NA</v>
      </c>
      <c r="AC74" s="195" t="str">
        <f>IF('IWP25'!Std4dot2b = 0, "", 'IWP25'!Std4dot2b)</f>
        <v>NA</v>
      </c>
      <c r="AD74" s="195" t="str">
        <f>IF('IWP25'!Std4dot2c = 0, "", 'IWP25'!Std4dot2c)</f>
        <v>NA</v>
      </c>
      <c r="AE74" s="195" t="str">
        <f>IF('IWP25'!Std4dot2d = 0, "", 'IWP25'!Std4dot2d)</f>
        <v>NA</v>
      </c>
      <c r="AF74" s="195" t="str">
        <f>IF('IWP25'!Std4dot2 = 0, "", 'IWP25'!Std4dot2)</f>
        <v>NA</v>
      </c>
      <c r="AG74" s="195" t="str">
        <f>IF('IWP25'!Std4dot3NotCalc = 0, "", 'IWP25'!Std4dot3NotCalc)</f>
        <v/>
      </c>
      <c r="AH74" s="172">
        <f>IF('IWP25'!Std4dot3DateOfTransfer=DATE(1900,1,0), DATE(1900,1,1), 'IWP25'!Std4dot3DateOfTransfer)</f>
        <v>1</v>
      </c>
      <c r="AI74" s="195" t="str">
        <f>IF('IWP25'!Std4dot3a = 0, "", 'IWP25'!Std4dot3a)</f>
        <v>NA</v>
      </c>
      <c r="AJ74" s="195" t="str">
        <f>IF('IWP25'!Std4dot3b = 0, "", 'IWP25'!Std4dot3b)</f>
        <v>NA</v>
      </c>
      <c r="AK74" s="195" t="str">
        <f>IF('IWP25'!Std4dot3c = 0, "", 'IWP25'!Std4dot3c)</f>
        <v>NA</v>
      </c>
      <c r="AL74" s="195" t="str">
        <f>IF('IWP25'!Std4dot3d = 0, "", 'IWP25'!Std4dot3d)</f>
        <v>NA</v>
      </c>
      <c r="AM74" s="195" t="str">
        <f>IF('IWP25'!Std4dot3e = 0, "", 'IWP25'!Std4dot3e)</f>
        <v/>
      </c>
      <c r="AN74" s="195" t="str">
        <f>IF('IWP25'!Std4dot3 = 0, "", 'IWP25'!Std4dot3)</f>
        <v/>
      </c>
      <c r="AO74" s="195"/>
      <c r="AP74" s="195" t="str">
        <f>IF('IWP25'!Std5dot1 = 0, "", 'IWP25'!Std5dot1)</f>
        <v>NA</v>
      </c>
      <c r="AQ74" s="195" t="str">
        <f>IF('IWP25'!Std6dot1NotCalc = 0, "", 'IWP25'!Std6dot1NotCalc)</f>
        <v/>
      </c>
      <c r="AR74" s="195" t="str">
        <f>IF('IWP25'!Std6dot1 = 0, "", 'IWP25'!Std6dot1)</f>
        <v/>
      </c>
      <c r="AS74" s="195" t="str">
        <f>IF('IWP25'!Std6dot2NotCalc = 0, "", 'IWP25'!Std6dot2NotCalc)</f>
        <v/>
      </c>
      <c r="AT74" s="172">
        <f>IF('IWP25'!Std6dot2DateOfNoteOfXfer=DATE(1900,1,0), DATE(1900,1,1), 'IWP25'!Std6dot2DateOfNoteOfXfer)</f>
        <v>1</v>
      </c>
      <c r="AU74" s="195" t="str">
        <f>IF('IWP25'!Std6dot2a = 0, "", 'IWP25'!Std6dot2a)</f>
        <v/>
      </c>
      <c r="AV74" s="195" t="str">
        <f>IF('IWP25'!Std6dot2b = 0, "", 'IWP25'!Std6dot2b)</f>
        <v/>
      </c>
      <c r="AW74" s="195" t="str">
        <f>IF('IWP25'!Std6dot2c = 0, "", 'IWP25'!Std6dot2c)</f>
        <v>NA</v>
      </c>
      <c r="AX74" s="195" t="str">
        <f>IF('IWP25'!Std6dot2d = 0, "", 'IWP25'!Std6dot2d)</f>
        <v>NA</v>
      </c>
      <c r="AY74" s="195" t="str">
        <f>IF('IWP25'!Std6dot2e = 0, "", 'IWP25'!Std6dot2e)</f>
        <v>NA</v>
      </c>
      <c r="AZ74" s="195" t="str">
        <f>IF('IWP25'!Std6dot2 = 0, "", 'IWP25'!Std6dot2)</f>
        <v/>
      </c>
      <c r="BA74" s="195" t="str">
        <f>IF('IWP25'!Std7NotCalc = 0, "", 'IWP25'!Std7NotCalc)</f>
        <v/>
      </c>
      <c r="BB74" s="195" t="str">
        <f>IF('IWP25'!Std7dot1 = 0, "", 'IWP25'!Std7dot1)</f>
        <v/>
      </c>
      <c r="BC74" s="195" t="str">
        <f>IF('IWP25'!Std7dot2 = 0, "", 'IWP25'!Std7dot2)</f>
        <v/>
      </c>
      <c r="BD74" s="195" t="str">
        <f>IF('IWP25'!Std8dot1 = 0, "", 'IWP25'!Std8dot1)</f>
        <v/>
      </c>
      <c r="BE74" s="195" t="str">
        <f>IF('IWP25'!Std8dot2NotCalc = 0, "", 'IWP25'!Std8dot2NotCalc)</f>
        <v/>
      </c>
      <c r="BF74" s="195" t="str">
        <f>IF('IWP25'!Std8dot2 = 0, "", 'IWP25'!Std8dot2)</f>
        <v/>
      </c>
      <c r="BG74" s="195" t="str">
        <f>IF('IWP25'!Std8dot3NotCalc = 0, "", 'IWP25'!Std8dot3NotCalc)</f>
        <v/>
      </c>
      <c r="BH74" s="195" t="str">
        <f>IF('IWP25'!Std8dot3 = 0, "", 'IWP25'!Std8dot3)</f>
        <v/>
      </c>
      <c r="BI74" s="195" t="str">
        <f>IF('IWP25'!Std9dot1 = 0, "", 'IWP25'!Std9dot1)</f>
        <v/>
      </c>
      <c r="BJ74" s="195" t="str">
        <f>IF('IWP25'!Std9dot2 = 0, "", 'IWP25'!Std9dot2)</f>
        <v/>
      </c>
      <c r="BK74" s="194" t="str">
        <f>IF('IWP25'!Std9dot3 = 0, "", 'IWP25'!Std9dot3)</f>
        <v/>
      </c>
    </row>
    <row r="75" spans="1:63">
      <c r="A75" s="183" t="s">
        <v>524</v>
      </c>
      <c r="B75" s="176">
        <f>IF('Samples (PRINT)'!D30=DATE(1900,1,0),DATE(1900,1,1),'Samples (PRINT)'!D30)</f>
        <v>1</v>
      </c>
      <c r="C75" s="176">
        <f>IF('Samples (PRINT)'!E30=DATE(1900,1,0),DATE(1900,1,1),'Samples (PRINT)'!E30)</f>
        <v>1</v>
      </c>
      <c r="D75" s="196">
        <f>'IWP26'!SampleNumber</f>
        <v>26</v>
      </c>
      <c r="E75" s="196">
        <f>'IWP26'!ClientID</f>
        <v>0</v>
      </c>
      <c r="F75" s="237"/>
      <c r="G75" s="237"/>
      <c r="H75" s="195" t="str">
        <f ca="1">IF('IWP26'!ContractNumber = 0, "", 'IWP26'!ContractNumber)</f>
        <v/>
      </c>
      <c r="I75" s="195" t="str">
        <f>IF('IWP26'!ContractType = 0, "", 'IWP26'!ContractType)</f>
        <v/>
      </c>
      <c r="J75" s="195" t="str">
        <f>IF('IWP26'!CompletedByLastName = 0, "", 'IWP26'!CompletedByLastName)</f>
        <v/>
      </c>
      <c r="K75" s="195" t="str">
        <f>IF('IWP26'!CompletedByFirstName = 0, "", 'IWP26'!CompletedByFirstName)</f>
        <v/>
      </c>
      <c r="L75" s="176">
        <f>IF('IWP26'!DateCompleted=DATE(1900,1,0),DATE(1900,1,1),'IWP26'!DateCompleted)</f>
        <v>1</v>
      </c>
      <c r="M75" s="195" t="str">
        <f>IF('IWP26'!Std2NotCalc = 0, "", 'IWP26'!Std2NotCalc)</f>
        <v/>
      </c>
      <c r="N75" s="195" t="str">
        <f>IF('IWP26'!Std2dot1 = 0, "", 'IWP26'!Std2dot1)</f>
        <v/>
      </c>
      <c r="O75" s="195" t="str">
        <f>IF('IWP26'!Std2dot2 = 0, "", 'IWP26'!Std2dot2)</f>
        <v/>
      </c>
      <c r="P75" s="195" t="str">
        <f>IF('IWP26'!Std2dot3 = 0, "", 'IWP26'!Std2dot3)</f>
        <v/>
      </c>
      <c r="Q75" s="195" t="str">
        <f>IF('IWP26'!Std2dot4 = 0, "", 'IWP26'!Std2dot4)</f>
        <v/>
      </c>
      <c r="R75" s="195" t="str">
        <f>IF('IWP26'!Std3NotCalc = 0, "", 'IWP26'!Std3NotCalc)</f>
        <v/>
      </c>
      <c r="S75" s="195" t="str">
        <f>IF('IWP26'!Std3dot1 = 0, "", 'IWP26'!Std3dot1)</f>
        <v/>
      </c>
      <c r="T75" s="195" t="str">
        <f>IF('IWP26'!Std4NotCalc = 0, "", 'IWP26'!Std4NotCalc)</f>
        <v/>
      </c>
      <c r="U75" s="195" t="str">
        <f>IF('IWP26'!Std4dot1a = 0, "", 'IWP26'!Std4dot1a)</f>
        <v/>
      </c>
      <c r="V75" s="195" t="str">
        <f>IF('IWP26'!Std4dot1b = 0, "", 'IWP26'!Std4dot1b)</f>
        <v>NA</v>
      </c>
      <c r="W75" s="195" t="str">
        <f>IF('IWP26'!Std4dot1c = 0, "", 'IWP26'!Std4dot1c)</f>
        <v/>
      </c>
      <c r="X75" s="195" t="str">
        <f>IF('IWP26'!Std4dot1d = 0, "", 'IWP26'!Std4dot1d)</f>
        <v/>
      </c>
      <c r="Y75" s="195" t="str">
        <f>IF('IWP26'!Std4dot1e = 0, "", 'IWP26'!Std4dot1e)</f>
        <v/>
      </c>
      <c r="Z75" s="195" t="str">
        <f>IF('IWP26'!Std4dot1f = 0, "", 'IWP26'!Std4dot1f)</f>
        <v/>
      </c>
      <c r="AA75" s="195" t="str">
        <f>IF('IWP26'!Std4dot1 = 0, "", 'IWP26'!Std4dot1)</f>
        <v/>
      </c>
      <c r="AB75" s="195" t="str">
        <f>IF('IWP26'!Std4dot2a = 0, "", 'IWP26'!Std4dot2a)</f>
        <v>NA</v>
      </c>
      <c r="AC75" s="195" t="str">
        <f>IF('IWP26'!Std4dot2b = 0, "", 'IWP26'!Std4dot2b)</f>
        <v>NA</v>
      </c>
      <c r="AD75" s="195" t="str">
        <f>IF('IWP26'!Std4dot2c = 0, "", 'IWP26'!Std4dot2c)</f>
        <v>NA</v>
      </c>
      <c r="AE75" s="195" t="str">
        <f>IF('IWP26'!Std4dot2d = 0, "", 'IWP26'!Std4dot2d)</f>
        <v>NA</v>
      </c>
      <c r="AF75" s="195" t="str">
        <f>IF('IWP26'!Std4dot2 = 0, "", 'IWP26'!Std4dot2)</f>
        <v>NA</v>
      </c>
      <c r="AG75" s="195" t="str">
        <f>IF('IWP26'!Std4dot3NotCalc = 0, "", 'IWP26'!Std4dot3NotCalc)</f>
        <v/>
      </c>
      <c r="AH75" s="172">
        <f>IF('IWP26'!Std4dot3DateOfTransfer=DATE(1900,1,0), DATE(1900,1,1), 'IWP26'!Std4dot3DateOfTransfer)</f>
        <v>1</v>
      </c>
      <c r="AI75" s="195" t="str">
        <f>IF('IWP26'!Std4dot3a = 0, "", 'IWP26'!Std4dot3a)</f>
        <v>NA</v>
      </c>
      <c r="AJ75" s="195" t="str">
        <f>IF('IWP26'!Std4dot3b = 0, "", 'IWP26'!Std4dot3b)</f>
        <v>NA</v>
      </c>
      <c r="AK75" s="195" t="str">
        <f>IF('IWP26'!Std4dot3c = 0, "", 'IWP26'!Std4dot3c)</f>
        <v>NA</v>
      </c>
      <c r="AL75" s="195" t="str">
        <f>IF('IWP26'!Std4dot3d = 0, "", 'IWP26'!Std4dot3d)</f>
        <v>NA</v>
      </c>
      <c r="AM75" s="195" t="str">
        <f>IF('IWP26'!Std4dot3e = 0, "", 'IWP26'!Std4dot3e)</f>
        <v/>
      </c>
      <c r="AN75" s="195" t="str">
        <f>IF('IWP26'!Std4dot3 = 0, "", 'IWP26'!Std4dot3)</f>
        <v/>
      </c>
      <c r="AO75" s="195"/>
      <c r="AP75" s="195" t="str">
        <f>IF('IWP26'!Std5dot1 = 0, "", 'IWP26'!Std5dot1)</f>
        <v>NA</v>
      </c>
      <c r="AQ75" s="195" t="str">
        <f>IF('IWP26'!Std6dot1NotCalc = 0, "", 'IWP26'!Std6dot1NotCalc)</f>
        <v/>
      </c>
      <c r="AR75" s="195" t="str">
        <f>IF('IWP26'!Std6dot1 = 0, "", 'IWP26'!Std6dot1)</f>
        <v/>
      </c>
      <c r="AS75" s="195" t="str">
        <f>IF('IWP26'!Std6dot2NotCalc = 0, "", 'IWP26'!Std6dot2NotCalc)</f>
        <v/>
      </c>
      <c r="AT75" s="172">
        <f>IF('IWP26'!Std6dot2DateOfNoteOfXfer=DATE(1900,1,0), DATE(1900,1,1), 'IWP26'!Std6dot2DateOfNoteOfXfer)</f>
        <v>1</v>
      </c>
      <c r="AU75" s="195" t="str">
        <f>IF('IWP26'!Std6dot2a = 0, "", 'IWP26'!Std6dot2a)</f>
        <v/>
      </c>
      <c r="AV75" s="195" t="str">
        <f>IF('IWP26'!Std6dot2b = 0, "", 'IWP26'!Std6dot2b)</f>
        <v/>
      </c>
      <c r="AW75" s="195" t="str">
        <f>IF('IWP26'!Std6dot2c = 0, "", 'IWP26'!Std6dot2c)</f>
        <v>NA</v>
      </c>
      <c r="AX75" s="195" t="str">
        <f>IF('IWP26'!Std6dot2d = 0, "", 'IWP26'!Std6dot2d)</f>
        <v>NA</v>
      </c>
      <c r="AY75" s="195" t="str">
        <f>IF('IWP26'!Std6dot2e = 0, "", 'IWP26'!Std6dot2e)</f>
        <v>NA</v>
      </c>
      <c r="AZ75" s="195" t="str">
        <f>IF('IWP26'!Std6dot2 = 0, "", 'IWP26'!Std6dot2)</f>
        <v/>
      </c>
      <c r="BA75" s="195" t="str">
        <f>IF('IWP26'!Std7NotCalc = 0, "", 'IWP26'!Std7NotCalc)</f>
        <v/>
      </c>
      <c r="BB75" s="195" t="str">
        <f>IF('IWP26'!Std7dot1 = 0, "", 'IWP26'!Std7dot1)</f>
        <v/>
      </c>
      <c r="BC75" s="195" t="str">
        <f>IF('IWP26'!Std7dot2 = 0, "", 'IWP26'!Std7dot2)</f>
        <v/>
      </c>
      <c r="BD75" s="195" t="str">
        <f>IF('IWP26'!Std8dot1 = 0, "", 'IWP26'!Std8dot1)</f>
        <v/>
      </c>
      <c r="BE75" s="195" t="str">
        <f>IF('IWP26'!Std8dot2NotCalc = 0, "", 'IWP26'!Std8dot2NotCalc)</f>
        <v/>
      </c>
      <c r="BF75" s="195" t="str">
        <f>IF('IWP26'!Std8dot2 = 0, "", 'IWP26'!Std8dot2)</f>
        <v/>
      </c>
      <c r="BG75" s="195" t="str">
        <f>IF('IWP26'!Std8dot3NotCalc = 0, "", 'IWP26'!Std8dot3NotCalc)</f>
        <v/>
      </c>
      <c r="BH75" s="195" t="str">
        <f>IF('IWP26'!Std8dot3 = 0, "", 'IWP26'!Std8dot3)</f>
        <v/>
      </c>
      <c r="BI75" s="195" t="str">
        <f>IF('IWP26'!Std9dot1 = 0, "", 'IWP26'!Std9dot1)</f>
        <v/>
      </c>
      <c r="BJ75" s="195" t="str">
        <f>IF('IWP26'!Std9dot2 = 0, "", 'IWP26'!Std9dot2)</f>
        <v/>
      </c>
      <c r="BK75" s="194" t="str">
        <f>IF('IWP26'!Std9dot3 = 0, "", 'IWP26'!Std9dot3)</f>
        <v/>
      </c>
    </row>
    <row r="76" spans="1:63">
      <c r="A76" s="183" t="s">
        <v>525</v>
      </c>
      <c r="B76" s="176">
        <f>IF('Samples (PRINT)'!D31=DATE(1900,1,0),DATE(1900,1,1),'Samples (PRINT)'!D31)</f>
        <v>1</v>
      </c>
      <c r="C76" s="176">
        <f>IF('Samples (PRINT)'!E31=DATE(1900,1,0),DATE(1900,1,1),'Samples (PRINT)'!E31)</f>
        <v>1</v>
      </c>
      <c r="D76" s="196">
        <f>'IWP27'!SampleNumber</f>
        <v>27</v>
      </c>
      <c r="E76" s="196">
        <f>'IWP27'!ClientID</f>
        <v>0</v>
      </c>
      <c r="F76" s="237"/>
      <c r="G76" s="237"/>
      <c r="H76" s="195" t="str">
        <f ca="1">IF('IWP27'!ContractNumber = 0, "", 'IWP27'!ContractNumber)</f>
        <v/>
      </c>
      <c r="I76" s="195" t="str">
        <f>IF('IWP27'!ContractType = 0, "", 'IWP27'!ContractType)</f>
        <v/>
      </c>
      <c r="J76" s="195" t="str">
        <f>IF('IWP27'!CompletedByLastName = 0, "", 'IWP27'!CompletedByLastName)</f>
        <v/>
      </c>
      <c r="K76" s="195" t="str">
        <f>IF('IWP27'!CompletedByFirstName = 0, "", 'IWP27'!CompletedByFirstName)</f>
        <v/>
      </c>
      <c r="L76" s="176">
        <f>IF('IWP27'!DateCompleted=DATE(1900,1,0),DATE(1900,1,1),'IWP27'!DateCompleted)</f>
        <v>1</v>
      </c>
      <c r="M76" s="195" t="str">
        <f>IF('IWP27'!Std2NotCalc = 0, "", 'IWP27'!Std2NotCalc)</f>
        <v/>
      </c>
      <c r="N76" s="195" t="str">
        <f>IF('IWP27'!Std2dot1 = 0, "", 'IWP27'!Std2dot1)</f>
        <v/>
      </c>
      <c r="O76" s="195" t="str">
        <f>IF('IWP27'!Std2dot2 = 0, "", 'IWP27'!Std2dot2)</f>
        <v/>
      </c>
      <c r="P76" s="195" t="str">
        <f>IF('IWP27'!Std2dot3 = 0, "", 'IWP27'!Std2dot3)</f>
        <v/>
      </c>
      <c r="Q76" s="195" t="str">
        <f>IF('IWP27'!Std2dot4 = 0, "", 'IWP27'!Std2dot4)</f>
        <v/>
      </c>
      <c r="R76" s="195" t="str">
        <f>IF('IWP27'!Std3NotCalc = 0, "", 'IWP27'!Std3NotCalc)</f>
        <v/>
      </c>
      <c r="S76" s="195" t="str">
        <f>IF('IWP27'!Std3dot1 = 0, "", 'IWP27'!Std3dot1)</f>
        <v/>
      </c>
      <c r="T76" s="195" t="str">
        <f>IF('IWP27'!Std4NotCalc = 0, "", 'IWP27'!Std4NotCalc)</f>
        <v/>
      </c>
      <c r="U76" s="195" t="str">
        <f>IF('IWP27'!Std4dot1a = 0, "", 'IWP27'!Std4dot1a)</f>
        <v/>
      </c>
      <c r="V76" s="195" t="str">
        <f>IF('IWP27'!Std4dot1b = 0, "", 'IWP27'!Std4dot1b)</f>
        <v>NA</v>
      </c>
      <c r="W76" s="195" t="str">
        <f>IF('IWP27'!Std4dot1c = 0, "", 'IWP27'!Std4dot1c)</f>
        <v/>
      </c>
      <c r="X76" s="195" t="str">
        <f>IF('IWP27'!Std4dot1d = 0, "", 'IWP27'!Std4dot1d)</f>
        <v/>
      </c>
      <c r="Y76" s="195" t="str">
        <f>IF('IWP27'!Std4dot1e = 0, "", 'IWP27'!Std4dot1e)</f>
        <v/>
      </c>
      <c r="Z76" s="195" t="str">
        <f>IF('IWP27'!Std4dot1f = 0, "", 'IWP27'!Std4dot1f)</f>
        <v/>
      </c>
      <c r="AA76" s="195" t="str">
        <f>IF('IWP27'!Std4dot1 = 0, "", 'IWP27'!Std4dot1)</f>
        <v/>
      </c>
      <c r="AB76" s="195" t="str">
        <f>IF('IWP27'!Std4dot2a = 0, "", 'IWP27'!Std4dot2a)</f>
        <v>NA</v>
      </c>
      <c r="AC76" s="195" t="str">
        <f>IF('IWP27'!Std4dot2b = 0, "", 'IWP27'!Std4dot2b)</f>
        <v>NA</v>
      </c>
      <c r="AD76" s="195" t="str">
        <f>IF('IWP27'!Std4dot2c = 0, "", 'IWP27'!Std4dot2c)</f>
        <v>NA</v>
      </c>
      <c r="AE76" s="195" t="str">
        <f>IF('IWP27'!Std4dot2d = 0, "", 'IWP27'!Std4dot2d)</f>
        <v>NA</v>
      </c>
      <c r="AF76" s="195" t="str">
        <f>IF('IWP27'!Std4dot2 = 0, "", 'IWP27'!Std4dot2)</f>
        <v>NA</v>
      </c>
      <c r="AG76" s="195" t="str">
        <f>IF('IWP27'!Std4dot3NotCalc = 0, "", 'IWP27'!Std4dot3NotCalc)</f>
        <v/>
      </c>
      <c r="AH76" s="172">
        <f>IF('IWP27'!Std4dot3DateOfTransfer=DATE(1900,1,0), DATE(1900,1,1), 'IWP27'!Std4dot3DateOfTransfer)</f>
        <v>1</v>
      </c>
      <c r="AI76" s="195" t="str">
        <f>IF('IWP27'!Std4dot3a = 0, "", 'IWP27'!Std4dot3a)</f>
        <v>NA</v>
      </c>
      <c r="AJ76" s="195" t="str">
        <f>IF('IWP27'!Std4dot3b = 0, "", 'IWP27'!Std4dot3b)</f>
        <v>NA</v>
      </c>
      <c r="AK76" s="195" t="str">
        <f>IF('IWP27'!Std4dot3c = 0, "", 'IWP27'!Std4dot3c)</f>
        <v>NA</v>
      </c>
      <c r="AL76" s="195" t="str">
        <f>IF('IWP27'!Std4dot3d = 0, "", 'IWP27'!Std4dot3d)</f>
        <v>NA</v>
      </c>
      <c r="AM76" s="195" t="str">
        <f>IF('IWP27'!Std4dot3e = 0, "", 'IWP27'!Std4dot3e)</f>
        <v/>
      </c>
      <c r="AN76" s="195" t="str">
        <f>IF('IWP27'!Std4dot3 = 0, "", 'IWP27'!Std4dot3)</f>
        <v/>
      </c>
      <c r="AO76" s="195"/>
      <c r="AP76" s="195" t="str">
        <f>IF('IWP27'!Std5dot1 = 0, "", 'IWP27'!Std5dot1)</f>
        <v>NA</v>
      </c>
      <c r="AQ76" s="195" t="str">
        <f>IF('IWP27'!Std6dot1NotCalc = 0, "", 'IWP27'!Std6dot1NotCalc)</f>
        <v/>
      </c>
      <c r="AR76" s="195" t="str">
        <f>IF('IWP27'!Std6dot1 = 0, "", 'IWP27'!Std6dot1)</f>
        <v/>
      </c>
      <c r="AS76" s="195" t="str">
        <f>IF('IWP27'!Std6dot2NotCalc = 0, "", 'IWP27'!Std6dot2NotCalc)</f>
        <v/>
      </c>
      <c r="AT76" s="172">
        <f>IF('IWP27'!Std6dot2DateOfNoteOfXfer=DATE(1900,1,0), DATE(1900,1,1), 'IWP27'!Std6dot2DateOfNoteOfXfer)</f>
        <v>1</v>
      </c>
      <c r="AU76" s="195" t="str">
        <f>IF('IWP27'!Std6dot2a = 0, "", 'IWP27'!Std6dot2a)</f>
        <v/>
      </c>
      <c r="AV76" s="195" t="str">
        <f>IF('IWP27'!Std6dot2b = 0, "", 'IWP27'!Std6dot2b)</f>
        <v/>
      </c>
      <c r="AW76" s="195" t="str">
        <f>IF('IWP27'!Std6dot2c = 0, "", 'IWP27'!Std6dot2c)</f>
        <v>NA</v>
      </c>
      <c r="AX76" s="195" t="str">
        <f>IF('IWP27'!Std6dot2d = 0, "", 'IWP27'!Std6dot2d)</f>
        <v>NA</v>
      </c>
      <c r="AY76" s="195" t="str">
        <f>IF('IWP27'!Std6dot2e = 0, "", 'IWP27'!Std6dot2e)</f>
        <v>NA</v>
      </c>
      <c r="AZ76" s="195" t="str">
        <f>IF('IWP27'!Std6dot2 = 0, "", 'IWP27'!Std6dot2)</f>
        <v/>
      </c>
      <c r="BA76" s="195" t="str">
        <f>IF('IWP27'!Std7NotCalc = 0, "", 'IWP27'!Std7NotCalc)</f>
        <v/>
      </c>
      <c r="BB76" s="195" t="str">
        <f>IF('IWP27'!Std7dot1 = 0, "", 'IWP27'!Std7dot1)</f>
        <v/>
      </c>
      <c r="BC76" s="195" t="str">
        <f>IF('IWP27'!Std7dot2 = 0, "", 'IWP27'!Std7dot2)</f>
        <v/>
      </c>
      <c r="BD76" s="195" t="str">
        <f>IF('IWP27'!Std8dot1 = 0, "", 'IWP27'!Std8dot1)</f>
        <v/>
      </c>
      <c r="BE76" s="195" t="str">
        <f>IF('IWP27'!Std8dot2NotCalc = 0, "", 'IWP27'!Std8dot2NotCalc)</f>
        <v/>
      </c>
      <c r="BF76" s="195" t="str">
        <f>IF('IWP27'!Std8dot2 = 0, "", 'IWP27'!Std8dot2)</f>
        <v/>
      </c>
      <c r="BG76" s="195" t="str">
        <f>IF('IWP27'!Std8dot3NotCalc = 0, "", 'IWP27'!Std8dot3NotCalc)</f>
        <v/>
      </c>
      <c r="BH76" s="195" t="str">
        <f>IF('IWP27'!Std8dot3 = 0, "", 'IWP27'!Std8dot3)</f>
        <v/>
      </c>
      <c r="BI76" s="195" t="str">
        <f>IF('IWP27'!Std9dot1 = 0, "", 'IWP27'!Std9dot1)</f>
        <v/>
      </c>
      <c r="BJ76" s="195" t="str">
        <f>IF('IWP27'!Std9dot2 = 0, "", 'IWP27'!Std9dot2)</f>
        <v/>
      </c>
      <c r="BK76" s="194" t="str">
        <f>IF('IWP27'!Std9dot3 = 0, "", 'IWP27'!Std9dot3)</f>
        <v/>
      </c>
    </row>
    <row r="77" spans="1:63">
      <c r="A77" s="183" t="s">
        <v>526</v>
      </c>
      <c r="B77" s="176">
        <f>IF('Samples (PRINT)'!D32=DATE(1900,1,0),DATE(1900,1,1),'Samples (PRINT)'!D32)</f>
        <v>1</v>
      </c>
      <c r="C77" s="176">
        <f>IF('Samples (PRINT)'!E32=DATE(1900,1,0),DATE(1900,1,1),'Samples (PRINT)'!E32)</f>
        <v>1</v>
      </c>
      <c r="D77" s="196">
        <f>'IWP28'!SampleNumber</f>
        <v>28</v>
      </c>
      <c r="E77" s="196">
        <f>'IWP28'!ClientID</f>
        <v>0</v>
      </c>
      <c r="F77" s="237"/>
      <c r="G77" s="237"/>
      <c r="H77" s="195" t="str">
        <f ca="1">IF('IWP28'!ContractNumber = 0, "", 'IWP28'!ContractNumber)</f>
        <v/>
      </c>
      <c r="I77" s="195" t="str">
        <f>IF('IWP28'!ContractType = 0, "", 'IWP28'!ContractType)</f>
        <v/>
      </c>
      <c r="J77" s="195" t="str">
        <f>IF('IWP28'!CompletedByLastName = 0, "", 'IWP28'!CompletedByLastName)</f>
        <v/>
      </c>
      <c r="K77" s="195" t="str">
        <f>IF('IWP28'!CompletedByFirstName = 0, "", 'IWP28'!CompletedByFirstName)</f>
        <v/>
      </c>
      <c r="L77" s="176">
        <f>IF('IWP28'!DateCompleted=DATE(1900,1,0),DATE(1900,1,1),'IWP28'!DateCompleted)</f>
        <v>1</v>
      </c>
      <c r="M77" s="195" t="str">
        <f>IF('IWP28'!Std2NotCalc = 0, "", 'IWP28'!Std2NotCalc)</f>
        <v/>
      </c>
      <c r="N77" s="195" t="str">
        <f>IF('IWP28'!Std2dot1 = 0, "", 'IWP28'!Std2dot1)</f>
        <v/>
      </c>
      <c r="O77" s="195" t="str">
        <f>IF('IWP28'!Std2dot2 = 0, "", 'IWP28'!Std2dot2)</f>
        <v/>
      </c>
      <c r="P77" s="195" t="str">
        <f>IF('IWP28'!Std2dot3 = 0, "", 'IWP28'!Std2dot3)</f>
        <v/>
      </c>
      <c r="Q77" s="195" t="str">
        <f>IF('IWP28'!Std2dot4 = 0, "", 'IWP28'!Std2dot4)</f>
        <v/>
      </c>
      <c r="R77" s="195" t="str">
        <f>IF('IWP28'!Std3NotCalc = 0, "", 'IWP28'!Std3NotCalc)</f>
        <v/>
      </c>
      <c r="S77" s="195" t="str">
        <f>IF('IWP28'!Std3dot1 = 0, "", 'IWP28'!Std3dot1)</f>
        <v/>
      </c>
      <c r="T77" s="195" t="str">
        <f>IF('IWP28'!Std4NotCalc = 0, "", 'IWP28'!Std4NotCalc)</f>
        <v/>
      </c>
      <c r="U77" s="195" t="str">
        <f>IF('IWP28'!Std4dot1a = 0, "", 'IWP28'!Std4dot1a)</f>
        <v/>
      </c>
      <c r="V77" s="195" t="str">
        <f>IF('IWP28'!Std4dot1b = 0, "", 'IWP28'!Std4dot1b)</f>
        <v>NA</v>
      </c>
      <c r="W77" s="195" t="str">
        <f>IF('IWP28'!Std4dot1c = 0, "", 'IWP28'!Std4dot1c)</f>
        <v/>
      </c>
      <c r="X77" s="195" t="str">
        <f>IF('IWP28'!Std4dot1d = 0, "", 'IWP28'!Std4dot1d)</f>
        <v/>
      </c>
      <c r="Y77" s="195" t="str">
        <f>IF('IWP28'!Std4dot1e = 0, "", 'IWP28'!Std4dot1e)</f>
        <v/>
      </c>
      <c r="Z77" s="195" t="str">
        <f>IF('IWP28'!Std4dot1f = 0, "", 'IWP28'!Std4dot1f)</f>
        <v/>
      </c>
      <c r="AA77" s="195" t="str">
        <f>IF('IWP28'!Std4dot1 = 0, "", 'IWP28'!Std4dot1)</f>
        <v/>
      </c>
      <c r="AB77" s="195" t="str">
        <f>IF('IWP28'!Std4dot2a = 0, "", 'IWP28'!Std4dot2a)</f>
        <v>NA</v>
      </c>
      <c r="AC77" s="195" t="str">
        <f>IF('IWP28'!Std4dot2b = 0, "", 'IWP28'!Std4dot2b)</f>
        <v>NA</v>
      </c>
      <c r="AD77" s="195" t="str">
        <f>IF('IWP28'!Std4dot2c = 0, "", 'IWP28'!Std4dot2c)</f>
        <v>NA</v>
      </c>
      <c r="AE77" s="195" t="str">
        <f>IF('IWP28'!Std4dot2d = 0, "", 'IWP28'!Std4dot2d)</f>
        <v>NA</v>
      </c>
      <c r="AF77" s="195" t="str">
        <f>IF('IWP28'!Std4dot2 = 0, "", 'IWP28'!Std4dot2)</f>
        <v>NA</v>
      </c>
      <c r="AG77" s="195" t="str">
        <f>IF('IWP28'!Std4dot3NotCalc = 0, "", 'IWP28'!Std4dot3NotCalc)</f>
        <v/>
      </c>
      <c r="AH77" s="172">
        <f>IF('IWP28'!Std4dot3DateOfTransfer=DATE(1900,1,0), DATE(1900,1,1), 'IWP28'!Std4dot3DateOfTransfer)</f>
        <v>1</v>
      </c>
      <c r="AI77" s="195" t="str">
        <f>IF('IWP28'!Std4dot3a = 0, "", 'IWP28'!Std4dot3a)</f>
        <v>NA</v>
      </c>
      <c r="AJ77" s="195" t="str">
        <f>IF('IWP28'!Std4dot3b = 0, "", 'IWP28'!Std4dot3b)</f>
        <v>NA</v>
      </c>
      <c r="AK77" s="195" t="str">
        <f>IF('IWP28'!Std4dot3c = 0, "", 'IWP28'!Std4dot3c)</f>
        <v>NA</v>
      </c>
      <c r="AL77" s="195" t="str">
        <f>IF('IWP28'!Std4dot3d = 0, "", 'IWP28'!Std4dot3d)</f>
        <v>NA</v>
      </c>
      <c r="AM77" s="195" t="str">
        <f>IF('IWP28'!Std4dot3e = 0, "", 'IWP28'!Std4dot3e)</f>
        <v/>
      </c>
      <c r="AN77" s="195" t="str">
        <f>IF('IWP28'!Std4dot3 = 0, "", 'IWP28'!Std4dot3)</f>
        <v/>
      </c>
      <c r="AO77" s="195"/>
      <c r="AP77" s="195" t="str">
        <f>IF('IWP28'!Std5dot1 = 0, "", 'IWP28'!Std5dot1)</f>
        <v>NA</v>
      </c>
      <c r="AQ77" s="195" t="str">
        <f>IF('IWP28'!Std6dot1NotCalc = 0, "", 'IWP28'!Std6dot1NotCalc)</f>
        <v/>
      </c>
      <c r="AR77" s="195" t="str">
        <f>IF('IWP28'!Std6dot1 = 0, "", 'IWP28'!Std6dot1)</f>
        <v/>
      </c>
      <c r="AS77" s="195" t="str">
        <f>IF('IWP28'!Std6dot2NotCalc = 0, "", 'IWP28'!Std6dot2NotCalc)</f>
        <v/>
      </c>
      <c r="AT77" s="172">
        <f>IF('IWP28'!Std6dot2DateOfNoteOfXfer=DATE(1900,1,0), DATE(1900,1,1), 'IWP28'!Std6dot2DateOfNoteOfXfer)</f>
        <v>1</v>
      </c>
      <c r="AU77" s="195" t="str">
        <f>IF('IWP28'!Std6dot2a = 0, "", 'IWP28'!Std6dot2a)</f>
        <v/>
      </c>
      <c r="AV77" s="195" t="str">
        <f>IF('IWP28'!Std6dot2b = 0, "", 'IWP28'!Std6dot2b)</f>
        <v/>
      </c>
      <c r="AW77" s="195" t="str">
        <f>IF('IWP28'!Std6dot2c = 0, "", 'IWP28'!Std6dot2c)</f>
        <v>NA</v>
      </c>
      <c r="AX77" s="195" t="str">
        <f>IF('IWP28'!Std6dot2d = 0, "", 'IWP28'!Std6dot2d)</f>
        <v>NA</v>
      </c>
      <c r="AY77" s="195" t="str">
        <f>IF('IWP28'!Std6dot2e = 0, "", 'IWP28'!Std6dot2e)</f>
        <v>NA</v>
      </c>
      <c r="AZ77" s="195" t="str">
        <f>IF('IWP28'!Std6dot2 = 0, "", 'IWP28'!Std6dot2)</f>
        <v/>
      </c>
      <c r="BA77" s="195" t="str">
        <f>IF('IWP28'!Std7NotCalc = 0, "", 'IWP28'!Std7NotCalc)</f>
        <v/>
      </c>
      <c r="BB77" s="195" t="str">
        <f>IF('IWP28'!Std7dot1 = 0, "", 'IWP28'!Std7dot1)</f>
        <v/>
      </c>
      <c r="BC77" s="195" t="str">
        <f>IF('IWP28'!Std7dot2 = 0, "", 'IWP28'!Std7dot2)</f>
        <v/>
      </c>
      <c r="BD77" s="195" t="str">
        <f>IF('IWP28'!Std8dot1 = 0, "", 'IWP28'!Std8dot1)</f>
        <v/>
      </c>
      <c r="BE77" s="195" t="str">
        <f>IF('IWP28'!Std8dot2NotCalc = 0, "", 'IWP28'!Std8dot2NotCalc)</f>
        <v/>
      </c>
      <c r="BF77" s="195" t="str">
        <f>IF('IWP28'!Std8dot2 = 0, "", 'IWP28'!Std8dot2)</f>
        <v/>
      </c>
      <c r="BG77" s="195" t="str">
        <f>IF('IWP28'!Std8dot3NotCalc = 0, "", 'IWP28'!Std8dot3NotCalc)</f>
        <v/>
      </c>
      <c r="BH77" s="195" t="str">
        <f>IF('IWP28'!Std8dot3 = 0, "", 'IWP28'!Std8dot3)</f>
        <v/>
      </c>
      <c r="BI77" s="195" t="str">
        <f>IF('IWP28'!Std9dot1 = 0, "", 'IWP28'!Std9dot1)</f>
        <v/>
      </c>
      <c r="BJ77" s="195" t="str">
        <f>IF('IWP28'!Std9dot2 = 0, "", 'IWP28'!Std9dot2)</f>
        <v/>
      </c>
      <c r="BK77" s="194" t="str">
        <f>IF('IWP28'!Std9dot3 = 0, "", 'IWP28'!Std9dot3)</f>
        <v/>
      </c>
    </row>
    <row r="78" spans="1:63">
      <c r="A78" s="183" t="s">
        <v>527</v>
      </c>
      <c r="B78" s="176">
        <f>IF('Samples (PRINT)'!D33=DATE(1900,1,0),DATE(1900,1,1),'Samples (PRINT)'!D33)</f>
        <v>1</v>
      </c>
      <c r="C78" s="176">
        <f>IF('Samples (PRINT)'!E33=DATE(1900,1,0),DATE(1900,1,1),'Samples (PRINT)'!E33)</f>
        <v>1</v>
      </c>
      <c r="D78" s="196">
        <f>'IWP29'!SampleNumber</f>
        <v>29</v>
      </c>
      <c r="E78" s="196">
        <f>'IWP29'!ClientID</f>
        <v>0</v>
      </c>
      <c r="F78" s="237"/>
      <c r="G78" s="237"/>
      <c r="H78" s="195" t="str">
        <f ca="1">IF('IWP29'!ContractNumber = 0, "", 'IWP29'!ContractNumber)</f>
        <v/>
      </c>
      <c r="I78" s="195" t="str">
        <f>IF('IWP29'!ContractType = 0, "", 'IWP29'!ContractType)</f>
        <v/>
      </c>
      <c r="J78" s="195" t="str">
        <f>IF('IWP29'!CompletedByLastName = 0, "", 'IWP29'!CompletedByLastName)</f>
        <v/>
      </c>
      <c r="K78" s="195" t="str">
        <f>IF('IWP29'!CompletedByFirstName = 0, "", 'IWP29'!CompletedByFirstName)</f>
        <v/>
      </c>
      <c r="L78" s="176">
        <f>IF('IWP29'!DateCompleted=DATE(1900,1,0),DATE(1900,1,1),'IWP29'!DateCompleted)</f>
        <v>1</v>
      </c>
      <c r="M78" s="195" t="str">
        <f>IF('IWP29'!Std2NotCalc = 0, "", 'IWP29'!Std2NotCalc)</f>
        <v/>
      </c>
      <c r="N78" s="195" t="str">
        <f>IF('IWP29'!Std2dot1 = 0, "", 'IWP29'!Std2dot1)</f>
        <v/>
      </c>
      <c r="O78" s="195" t="str">
        <f>IF('IWP29'!Std2dot2 = 0, "", 'IWP29'!Std2dot2)</f>
        <v/>
      </c>
      <c r="P78" s="195" t="str">
        <f>IF('IWP29'!Std2dot3 = 0, "", 'IWP29'!Std2dot3)</f>
        <v/>
      </c>
      <c r="Q78" s="195" t="str">
        <f>IF('IWP29'!Std2dot4 = 0, "", 'IWP29'!Std2dot4)</f>
        <v/>
      </c>
      <c r="R78" s="195" t="str">
        <f>IF('IWP29'!Std3NotCalc = 0, "", 'IWP29'!Std3NotCalc)</f>
        <v/>
      </c>
      <c r="S78" s="195" t="str">
        <f>IF('IWP29'!Std3dot1 = 0, "", 'IWP29'!Std3dot1)</f>
        <v/>
      </c>
      <c r="T78" s="195" t="str">
        <f>IF('IWP29'!Std4NotCalc = 0, "", 'IWP29'!Std4NotCalc)</f>
        <v/>
      </c>
      <c r="U78" s="195" t="str">
        <f>IF('IWP29'!Std4dot1a = 0, "", 'IWP29'!Std4dot1a)</f>
        <v/>
      </c>
      <c r="V78" s="195" t="str">
        <f>IF('IWP29'!Std4dot1b = 0, "", 'IWP29'!Std4dot1b)</f>
        <v>NA</v>
      </c>
      <c r="W78" s="195" t="str">
        <f>IF('IWP29'!Std4dot1c = 0, "", 'IWP29'!Std4dot1c)</f>
        <v/>
      </c>
      <c r="X78" s="195" t="str">
        <f>IF('IWP29'!Std4dot1d = 0, "", 'IWP29'!Std4dot1d)</f>
        <v/>
      </c>
      <c r="Y78" s="195" t="str">
        <f>IF('IWP29'!Std4dot1e = 0, "", 'IWP29'!Std4dot1e)</f>
        <v/>
      </c>
      <c r="Z78" s="195" t="str">
        <f>IF('IWP29'!Std4dot1f = 0, "", 'IWP29'!Std4dot1f)</f>
        <v/>
      </c>
      <c r="AA78" s="195" t="str">
        <f>IF('IWP29'!Std4dot1 = 0, "", 'IWP29'!Std4dot1)</f>
        <v/>
      </c>
      <c r="AB78" s="195" t="str">
        <f>IF('IWP29'!Std4dot2a = 0, "", 'IWP29'!Std4dot2a)</f>
        <v>NA</v>
      </c>
      <c r="AC78" s="195" t="str">
        <f>IF('IWP29'!Std4dot2b = 0, "", 'IWP29'!Std4dot2b)</f>
        <v>NA</v>
      </c>
      <c r="AD78" s="195" t="str">
        <f>IF('IWP29'!Std4dot2c = 0, "", 'IWP29'!Std4dot2c)</f>
        <v>NA</v>
      </c>
      <c r="AE78" s="195" t="str">
        <f>IF('IWP29'!Std4dot2d = 0, "", 'IWP29'!Std4dot2d)</f>
        <v>NA</v>
      </c>
      <c r="AF78" s="195" t="str">
        <f>IF('IWP29'!Std4dot2 = 0, "", 'IWP29'!Std4dot2)</f>
        <v>NA</v>
      </c>
      <c r="AG78" s="195" t="str">
        <f>IF('IWP29'!Std4dot3NotCalc = 0, "", 'IWP29'!Std4dot3NotCalc)</f>
        <v/>
      </c>
      <c r="AH78" s="172">
        <f>IF('IWP29'!Std4dot3DateOfTransfer=DATE(1900,1,0), DATE(1900,1,1), 'IWP29'!Std4dot3DateOfTransfer)</f>
        <v>1</v>
      </c>
      <c r="AI78" s="195" t="str">
        <f>IF('IWP29'!Std4dot3a = 0, "", 'IWP29'!Std4dot3a)</f>
        <v>NA</v>
      </c>
      <c r="AJ78" s="195" t="str">
        <f>IF('IWP29'!Std4dot3b = 0, "", 'IWP29'!Std4dot3b)</f>
        <v>NA</v>
      </c>
      <c r="AK78" s="195" t="str">
        <f>IF('IWP29'!Std4dot3c = 0, "", 'IWP29'!Std4dot3c)</f>
        <v>NA</v>
      </c>
      <c r="AL78" s="195" t="str">
        <f>IF('IWP29'!Std4dot3d = 0, "", 'IWP29'!Std4dot3d)</f>
        <v>NA</v>
      </c>
      <c r="AM78" s="195" t="str">
        <f>IF('IWP29'!Std4dot3e = 0, "", 'IWP29'!Std4dot3e)</f>
        <v/>
      </c>
      <c r="AN78" s="195" t="str">
        <f>IF('IWP29'!Std4dot3 = 0, "", 'IWP29'!Std4dot3)</f>
        <v/>
      </c>
      <c r="AO78" s="195"/>
      <c r="AP78" s="195" t="str">
        <f>IF('IWP29'!Std5dot1 = 0, "", 'IWP29'!Std5dot1)</f>
        <v>NA</v>
      </c>
      <c r="AQ78" s="195" t="str">
        <f>IF('IWP29'!Std6dot1NotCalc = 0, "", 'IWP29'!Std6dot1NotCalc)</f>
        <v/>
      </c>
      <c r="AR78" s="195" t="str">
        <f>IF('IWP29'!Std6dot1 = 0, "", 'IWP29'!Std6dot1)</f>
        <v/>
      </c>
      <c r="AS78" s="195" t="str">
        <f>IF('IWP29'!Std6dot2NotCalc = 0, "", 'IWP29'!Std6dot2NotCalc)</f>
        <v/>
      </c>
      <c r="AT78" s="172">
        <f>IF('IWP29'!Std6dot2DateOfNoteOfXfer=DATE(1900,1,0), DATE(1900,1,1), 'IWP29'!Std6dot2DateOfNoteOfXfer)</f>
        <v>1</v>
      </c>
      <c r="AU78" s="195" t="str">
        <f>IF('IWP29'!Std6dot2a = 0, "", 'IWP29'!Std6dot2a)</f>
        <v/>
      </c>
      <c r="AV78" s="195" t="str">
        <f>IF('IWP29'!Std6dot2b = 0, "", 'IWP29'!Std6dot2b)</f>
        <v/>
      </c>
      <c r="AW78" s="195" t="str">
        <f>IF('IWP29'!Std6dot2c = 0, "", 'IWP29'!Std6dot2c)</f>
        <v>NA</v>
      </c>
      <c r="AX78" s="195" t="str">
        <f>IF('IWP29'!Std6dot2d = 0, "", 'IWP29'!Std6dot2d)</f>
        <v>NA</v>
      </c>
      <c r="AY78" s="195" t="str">
        <f>IF('IWP29'!Std6dot2e = 0, "", 'IWP29'!Std6dot2e)</f>
        <v>NA</v>
      </c>
      <c r="AZ78" s="195" t="str">
        <f>IF('IWP29'!Std6dot2 = 0, "", 'IWP29'!Std6dot2)</f>
        <v/>
      </c>
      <c r="BA78" s="195" t="str">
        <f>IF('IWP29'!Std7NotCalc = 0, "", 'IWP29'!Std7NotCalc)</f>
        <v/>
      </c>
      <c r="BB78" s="195" t="str">
        <f>IF('IWP29'!Std7dot1 = 0, "", 'IWP29'!Std7dot1)</f>
        <v/>
      </c>
      <c r="BC78" s="195" t="str">
        <f>IF('IWP29'!Std7dot2 = 0, "", 'IWP29'!Std7dot2)</f>
        <v/>
      </c>
      <c r="BD78" s="195" t="str">
        <f>IF('IWP29'!Std8dot1 = 0, "", 'IWP29'!Std8dot1)</f>
        <v/>
      </c>
      <c r="BE78" s="195" t="str">
        <f>IF('IWP29'!Std8dot2NotCalc = 0, "", 'IWP29'!Std8dot2NotCalc)</f>
        <v/>
      </c>
      <c r="BF78" s="195" t="str">
        <f>IF('IWP29'!Std8dot2 = 0, "", 'IWP29'!Std8dot2)</f>
        <v/>
      </c>
      <c r="BG78" s="195" t="str">
        <f>IF('IWP29'!Std8dot3NotCalc = 0, "", 'IWP29'!Std8dot3NotCalc)</f>
        <v/>
      </c>
      <c r="BH78" s="195" t="str">
        <f>IF('IWP29'!Std8dot3 = 0, "", 'IWP29'!Std8dot3)</f>
        <v/>
      </c>
      <c r="BI78" s="195" t="str">
        <f>IF('IWP29'!Std9dot1 = 0, "", 'IWP29'!Std9dot1)</f>
        <v/>
      </c>
      <c r="BJ78" s="195" t="str">
        <f>IF('IWP29'!Std9dot2 = 0, "", 'IWP29'!Std9dot2)</f>
        <v/>
      </c>
      <c r="BK78" s="194" t="str">
        <f>IF('IWP29'!Std9dot3 = 0, "", 'IWP29'!Std9dot3)</f>
        <v/>
      </c>
    </row>
    <row r="79" spans="1:63" ht="15.75" thickBot="1">
      <c r="A79" s="184" t="s">
        <v>528</v>
      </c>
      <c r="B79" s="177">
        <f>IF('Samples (PRINT)'!D34=DATE(1900,1,0),DATE(1900,1,1),'Samples (PRINT)'!D34)</f>
        <v>1</v>
      </c>
      <c r="C79" s="177">
        <f>IF('Samples (PRINT)'!E34=DATE(1900,1,0),DATE(1900,1,1),'Samples (PRINT)'!E34)</f>
        <v>1</v>
      </c>
      <c r="D79" s="185">
        <f>'IWP30'!SampleNumber</f>
        <v>30</v>
      </c>
      <c r="E79" s="185">
        <f>'IWP30'!ClientID</f>
        <v>0</v>
      </c>
      <c r="F79" s="238"/>
      <c r="G79" s="238"/>
      <c r="H79" s="182" t="str">
        <f ca="1">IF('IWP30'!ContractNumber = 0, "", 'IWP30'!ContractNumber)</f>
        <v/>
      </c>
      <c r="I79" s="182" t="str">
        <f>IF('IWP30'!ContractType = 0, "", 'IWP30'!ContractType)</f>
        <v/>
      </c>
      <c r="J79" s="182" t="str">
        <f>IF('IWP30'!CompletedByLastName = 0, "", 'IWP30'!CompletedByLastName)</f>
        <v/>
      </c>
      <c r="K79" s="182" t="str">
        <f>IF('IWP30'!CompletedByFirstName = 0, "", 'IWP30'!CompletedByFirstName)</f>
        <v/>
      </c>
      <c r="L79" s="177">
        <f>IF('IWP30'!DateCompleted=DATE(1900,1,0),DATE(1900,1,1),'IWP30'!DateCompleted)</f>
        <v>1</v>
      </c>
      <c r="M79" s="182" t="str">
        <f>IF('IWP30'!Std2NotCalc = 0, "", 'IWP30'!Std2NotCalc)</f>
        <v/>
      </c>
      <c r="N79" s="182" t="str">
        <f>IF('IWP30'!Std2dot1 = 0, "", 'IWP30'!Std2dot1)</f>
        <v/>
      </c>
      <c r="O79" s="182" t="str">
        <f>IF('IWP30'!Std2dot2 = 0, "", 'IWP30'!Std2dot2)</f>
        <v/>
      </c>
      <c r="P79" s="182" t="str">
        <f>IF('IWP30'!Std2dot3 = 0, "", 'IWP30'!Std2dot3)</f>
        <v/>
      </c>
      <c r="Q79" s="182" t="str">
        <f>IF('IWP30'!Std2dot4 = 0, "", 'IWP30'!Std2dot4)</f>
        <v/>
      </c>
      <c r="R79" s="182" t="str">
        <f>IF('IWP30'!Std3NotCalc = 0, "", 'IWP30'!Std3NotCalc)</f>
        <v/>
      </c>
      <c r="S79" s="182" t="str">
        <f>IF('IWP30'!Std3dot1 = 0, "", 'IWP30'!Std3dot1)</f>
        <v/>
      </c>
      <c r="T79" s="182" t="str">
        <f>IF('IWP30'!Std4NotCalc = 0, "", 'IWP30'!Std4NotCalc)</f>
        <v/>
      </c>
      <c r="U79" s="182" t="str">
        <f>IF('IWP30'!Std4dot1a = 0, "", 'IWP30'!Std4dot1a)</f>
        <v/>
      </c>
      <c r="V79" s="182" t="str">
        <f>IF('IWP30'!Std4dot1b = 0, "", 'IWP30'!Std4dot1b)</f>
        <v>NA</v>
      </c>
      <c r="W79" s="182" t="str">
        <f>IF('IWP30'!Std4dot1c = 0, "", 'IWP30'!Std4dot1c)</f>
        <v/>
      </c>
      <c r="X79" s="182" t="str">
        <f>IF('IWP30'!Std4dot1d = 0, "", 'IWP30'!Std4dot1d)</f>
        <v/>
      </c>
      <c r="Y79" s="182" t="str">
        <f>IF('IWP30'!Std4dot1e = 0, "", 'IWP30'!Std4dot1e)</f>
        <v/>
      </c>
      <c r="Z79" s="182" t="str">
        <f>IF('IWP30'!Std4dot1f = 0, "", 'IWP30'!Std4dot1f)</f>
        <v/>
      </c>
      <c r="AA79" s="182" t="str">
        <f>IF('IWP30'!Std4dot1 = 0, "", 'IWP30'!Std4dot1)</f>
        <v/>
      </c>
      <c r="AB79" s="182" t="str">
        <f>IF('IWP30'!Std4dot2a = 0, "", 'IWP30'!Std4dot2a)</f>
        <v>NA</v>
      </c>
      <c r="AC79" s="182" t="str">
        <f>IF('IWP30'!Std4dot2b = 0, "", 'IWP30'!Std4dot2b)</f>
        <v>NA</v>
      </c>
      <c r="AD79" s="182" t="str">
        <f>IF('IWP30'!Std4dot2c = 0, "", 'IWP30'!Std4dot2c)</f>
        <v>NA</v>
      </c>
      <c r="AE79" s="182" t="str">
        <f>IF('IWP30'!Std4dot2d = 0, "", 'IWP30'!Std4dot2d)</f>
        <v>NA</v>
      </c>
      <c r="AF79" s="182" t="str">
        <f>IF('IWP30'!Std4dot2 = 0, "", 'IWP30'!Std4dot2)</f>
        <v>NA</v>
      </c>
      <c r="AG79" s="182" t="str">
        <f>IF('IWP30'!Std4dot3NotCalc = 0, "", 'IWP30'!Std4dot3NotCalc)</f>
        <v/>
      </c>
      <c r="AH79" s="178">
        <f>IF('IWP30'!Std4dot3DateOfTransfer=DATE(1900,1,0), DATE(1900,1,1), 'IWP30'!Std4dot3DateOfTransfer)</f>
        <v>1</v>
      </c>
      <c r="AI79" s="182" t="str">
        <f>IF('IWP30'!Std4dot3a = 0, "", 'IWP30'!Std4dot3a)</f>
        <v>NA</v>
      </c>
      <c r="AJ79" s="182" t="str">
        <f>IF('IWP30'!Std4dot3b = 0, "", 'IWP30'!Std4dot3b)</f>
        <v>NA</v>
      </c>
      <c r="AK79" s="182" t="str">
        <f>IF('IWP30'!Std4dot3c = 0, "", 'IWP30'!Std4dot3c)</f>
        <v>NA</v>
      </c>
      <c r="AL79" s="182" t="str">
        <f>IF('IWP30'!Std4dot3d = 0, "", 'IWP30'!Std4dot3d)</f>
        <v>NA</v>
      </c>
      <c r="AM79" s="182" t="str">
        <f>IF('IWP30'!Std4dot3e = 0, "", 'IWP30'!Std4dot3e)</f>
        <v/>
      </c>
      <c r="AN79" s="182" t="str">
        <f>IF('IWP30'!Std4dot3 = 0, "", 'IWP30'!Std4dot3)</f>
        <v/>
      </c>
      <c r="AO79" s="182"/>
      <c r="AP79" s="182" t="str">
        <f>IF('IWP30'!Std5dot1 = 0, "", 'IWP30'!Std5dot1)</f>
        <v>NA</v>
      </c>
      <c r="AQ79" s="182" t="str">
        <f>IF('IWP30'!Std6dot1NotCalc = 0, "", 'IWP30'!Std6dot1NotCalc)</f>
        <v/>
      </c>
      <c r="AR79" s="182" t="str">
        <f>IF('IWP30'!Std6dot1 = 0, "", 'IWP30'!Std6dot1)</f>
        <v/>
      </c>
      <c r="AS79" s="182" t="str">
        <f>IF('IWP30'!Std6dot2NotCalc = 0, "", 'IWP30'!Std6dot2NotCalc)</f>
        <v/>
      </c>
      <c r="AT79" s="178">
        <f>IF('IWP30'!Std6dot2DateOfNoteOfXfer=DATE(1900,1,0), DATE(1900,1,1), 'IWP30'!Std6dot2DateOfNoteOfXfer)</f>
        <v>1</v>
      </c>
      <c r="AU79" s="182" t="str">
        <f>IF('IWP30'!Std6dot2a = 0, "", 'IWP30'!Std6dot2a)</f>
        <v/>
      </c>
      <c r="AV79" s="182" t="str">
        <f>IF('IWP30'!Std6dot2b = 0, "", 'IWP30'!Std6dot2b)</f>
        <v/>
      </c>
      <c r="AW79" s="182" t="str">
        <f>IF('IWP30'!Std6dot2c = 0, "", 'IWP30'!Std6dot2c)</f>
        <v>NA</v>
      </c>
      <c r="AX79" s="182" t="str">
        <f>IF('IWP30'!Std6dot2d = 0, "", 'IWP30'!Std6dot2d)</f>
        <v>NA</v>
      </c>
      <c r="AY79" s="182" t="str">
        <f>IF('IWP30'!Std6dot2e = 0, "", 'IWP30'!Std6dot2e)</f>
        <v>NA</v>
      </c>
      <c r="AZ79" s="182" t="str">
        <f>IF('IWP30'!Std6dot2 = 0, "", 'IWP30'!Std6dot2)</f>
        <v/>
      </c>
      <c r="BA79" s="182" t="str">
        <f>IF('IWP30'!Std7NotCalc = 0, "", 'IWP30'!Std7NotCalc)</f>
        <v/>
      </c>
      <c r="BB79" s="182" t="str">
        <f>IF('IWP30'!Std7dot1 = 0, "", 'IWP30'!Std7dot1)</f>
        <v/>
      </c>
      <c r="BC79" s="182" t="str">
        <f>IF('IWP30'!Std7dot2 = 0, "", 'IWP30'!Std7dot2)</f>
        <v/>
      </c>
      <c r="BD79" s="182" t="str">
        <f>IF('IWP30'!Std8dot1 = 0, "", 'IWP30'!Std8dot1)</f>
        <v/>
      </c>
      <c r="BE79" s="182" t="str">
        <f>IF('IWP30'!Std8dot2NotCalc = 0, "", 'IWP30'!Std8dot2NotCalc)</f>
        <v/>
      </c>
      <c r="BF79" s="182" t="str">
        <f>IF('IWP30'!Std8dot2 = 0, "", 'IWP30'!Std8dot2)</f>
        <v/>
      </c>
      <c r="BG79" s="182" t="str">
        <f>IF('IWP30'!Std8dot3NotCalc = 0, "", 'IWP30'!Std8dot3NotCalc)</f>
        <v/>
      </c>
      <c r="BH79" s="182" t="str">
        <f>IF('IWP30'!Std8dot3 = 0, "", 'IWP30'!Std8dot3)</f>
        <v/>
      </c>
      <c r="BI79" s="182" t="str">
        <f>IF('IWP30'!Std9dot1 = 0, "", 'IWP30'!Std9dot1)</f>
        <v/>
      </c>
      <c r="BJ79" s="182" t="str">
        <f>IF('IWP30'!Std9dot2 = 0, "", 'IWP30'!Std9dot2)</f>
        <v/>
      </c>
      <c r="BK79" s="186" t="str">
        <f>IF('IWP30'!Std9dot3 = 0, "", 'IWP30'!Std9dot3)</f>
        <v/>
      </c>
    </row>
    <row r="81" spans="1:14" ht="15.75" thickBot="1">
      <c r="A81" s="191" t="s">
        <v>530</v>
      </c>
      <c r="B81" s="168"/>
      <c r="C81" s="168"/>
      <c r="D81" s="168"/>
      <c r="E81" s="168"/>
      <c r="F81" s="168"/>
      <c r="G81" s="168"/>
      <c r="H81" s="168"/>
      <c r="I81" s="168"/>
      <c r="J81" s="168"/>
      <c r="K81" s="168"/>
      <c r="L81" s="168"/>
      <c r="M81" s="168"/>
      <c r="N81" s="168"/>
    </row>
    <row r="82" spans="1:14" s="107" customFormat="1" ht="45">
      <c r="A82" s="252" t="s">
        <v>443</v>
      </c>
      <c r="B82" s="253" t="s">
        <v>433</v>
      </c>
      <c r="C82" s="253" t="s">
        <v>437</v>
      </c>
      <c r="D82" s="253" t="s">
        <v>96</v>
      </c>
      <c r="E82" s="253" t="s">
        <v>531</v>
      </c>
      <c r="F82" s="253" t="s">
        <v>532</v>
      </c>
      <c r="G82" s="253" t="s">
        <v>533</v>
      </c>
      <c r="H82" s="253" t="s">
        <v>534</v>
      </c>
      <c r="I82" s="253" t="s">
        <v>536</v>
      </c>
      <c r="J82" s="253" t="s">
        <v>537</v>
      </c>
      <c r="K82" s="253" t="s">
        <v>538</v>
      </c>
      <c r="L82" s="253" t="s">
        <v>539</v>
      </c>
      <c r="M82" s="253" t="s">
        <v>540</v>
      </c>
      <c r="N82" s="255" t="s">
        <v>535</v>
      </c>
    </row>
    <row r="83" spans="1:14">
      <c r="A83" s="257" t="s">
        <v>499</v>
      </c>
      <c r="B83" s="262" t="str">
        <f ca="1">IF(OFFSET('IWP01'!BackgroundChecks, 0, 0, 1, 1) = 0, "", OFFSET('IWP01'!BackgroundChecks, 0, 0, 1, 1))</f>
        <v/>
      </c>
      <c r="C83" s="262" t="str">
        <f ca="1">IF(OFFSET('IWP01'!BackgroundChecks, 0, 2, 1, 1) = 0, "", OFFSET('IWP01'!BackgroundChecks, 0, 2, 1, 1))</f>
        <v/>
      </c>
      <c r="D83" s="262" t="str">
        <f ca="1">IF(OFFSET('IWP01'!BackgroundChecks, 0, 4, 1, 1) = 0, "", OFFSET('IWP01'!BackgroundChecks, 0, 4, 1, 1))</f>
        <v/>
      </c>
      <c r="E83" s="254">
        <f ca="1">IF(OFFSET('IWP01'!BackgroundChecks, 0, 5, 1, 1)=DATE(1900,1,0), DATE(1900,1,1), OFFSET('IWP01'!BackgroundChecks, 0, 5, 1, 1))</f>
        <v>1</v>
      </c>
      <c r="F83" s="262" t="str">
        <f ca="1">IF(OFFSET('IWP01'!BackgroundChecks, 0, 6, 1, 1) = 0, "", OFFSET('IWP01'!BackgroundChecks, 0, 6, 1, 1))</f>
        <v/>
      </c>
      <c r="G83" s="254">
        <f ca="1">IF(OFFSET('IWP01'!BackgroundChecks, 0, 7, 1, 1)=DATE(1900,1,0), DATE(1900,1,1), OFFSET('IWP01'!BackgroundChecks, 0, 7, 1, 1))</f>
        <v>1</v>
      </c>
      <c r="H83" s="254">
        <f ca="1">IF(OFFSET('IWP01'!BackgroundChecks, 0, 8, 1, 1)=DATE(1900,1,0), DATE(1900,1,1), OFFSET('IWP01'!BackgroundChecks, 0, 8, 1, 1))</f>
        <v>1</v>
      </c>
      <c r="I83" s="262" t="str">
        <f ca="1">IF(OFFSET('IWP01'!BackgroundChecks, 0, 9, 1, 1) = 0, "", OFFSET('IWP01'!BackgroundChecks, 0, 9, 1, 1))</f>
        <v/>
      </c>
      <c r="J83" s="262" t="str">
        <f ca="1">IF(OFFSET('IWP01'!BackgroundChecks, 0, 10, 1, 1) = 0, "", OFFSET('IWP01'!BackgroundChecks, 0, 10, 1, 1))</f>
        <v/>
      </c>
      <c r="K83" s="262" t="str">
        <f ca="1">IF(OFFSET('IWP01'!BackgroundChecks, 0, 11, 1, 1) = 0, "", OFFSET('IWP01'!BackgroundChecks, 0, 11, 1, 1))</f>
        <v/>
      </c>
      <c r="L83" s="262" t="str">
        <f ca="1">IF(OFFSET('IWP01'!BackgroundChecks, 0, 12, 1, 1) = 0, "", OFFSET('IWP01'!BackgroundChecks, 0, 12, 1, 1))</f>
        <v/>
      </c>
      <c r="M83" s="262" t="str">
        <f ca="1">IF(OFFSET('IWP01'!BackgroundChecks, 0, 13, 1, 1) = 0, "", OFFSET('IWP01'!BackgroundChecks, 0, 13, 1, 1))</f>
        <v/>
      </c>
      <c r="N83" s="261"/>
    </row>
    <row r="84" spans="1:14">
      <c r="A84" s="257" t="s">
        <v>499</v>
      </c>
      <c r="B84" s="262" t="str">
        <f ca="1">IF(OFFSET('IWP01'!BackgroundChecks, 1, 0, 1, 1) = 0, "", OFFSET('IWP01'!BackgroundChecks, 1, 0, 1, 1))</f>
        <v/>
      </c>
      <c r="C84" s="262" t="str">
        <f ca="1">IF(OFFSET('IWP01'!BackgroundChecks, 1, 2, 1, 1) = 0, "", OFFSET('IWP01'!BackgroundChecks, 1, 2, 1, 1))</f>
        <v/>
      </c>
      <c r="D84" s="262" t="str">
        <f ca="1">IF(OFFSET('IWP01'!BackgroundChecks, 1, 4, 1, 1) = 0, "", OFFSET('IWP01'!BackgroundChecks, 1, 4, 1, 1))</f>
        <v/>
      </c>
      <c r="E84" s="254">
        <f ca="1">IF(OFFSET('IWP01'!BackgroundChecks, 1, 5, 1, 1)=DATE(1900,1,0), DATE(1900,1,1), OFFSET('IWP01'!BackgroundChecks, 1, 5, 1, 1))</f>
        <v>1</v>
      </c>
      <c r="F84" s="262" t="str">
        <f ca="1">IF(OFFSET('IWP01'!BackgroundChecks, 1, 6, 1, 1) = 0, "", OFFSET('IWP01'!BackgroundChecks, 1, 6, 1, 1))</f>
        <v/>
      </c>
      <c r="G84" s="254">
        <f ca="1">IF(OFFSET('IWP01'!BackgroundChecks, 1, 7, 1, 1)=DATE(1900,1,0), DATE(1900,1,1), OFFSET('IWP01'!BackgroundChecks, 1, 7, 1, 1))</f>
        <v>1</v>
      </c>
      <c r="H84" s="254">
        <f ca="1">IF(OFFSET('IWP01'!BackgroundChecks, 1, 8, 1, 1)=DATE(1900,1,0), DATE(1900,1,1), OFFSET('IWP01'!BackgroundChecks, 1, 8, 1, 1))</f>
        <v>1</v>
      </c>
      <c r="I84" s="262" t="str">
        <f ca="1">IF(OFFSET('IWP01'!BackgroundChecks, 1, 9, 1, 1) = 0, "", OFFSET('IWP01'!BackgroundChecks, 1, 9, 1, 1))</f>
        <v/>
      </c>
      <c r="J84" s="262" t="str">
        <f ca="1">IF(OFFSET('IWP01'!BackgroundChecks, 1, 10, 1, 1) = 0, "", OFFSET('IWP01'!BackgroundChecks, 1, 10, 1, 1))</f>
        <v/>
      </c>
      <c r="K84" s="262" t="str">
        <f ca="1">IF(OFFSET('IWP01'!BackgroundChecks, 1, 11, 1, 1) = 0, "", OFFSET('IWP01'!BackgroundChecks, 1, 11, 1, 1))</f>
        <v/>
      </c>
      <c r="L84" s="262" t="str">
        <f ca="1">IF(OFFSET('IWP01'!BackgroundChecks, 1, 12, 1, 1) = 0, "", OFFSET('IWP01'!BackgroundChecks, 1, 12, 1, 1))</f>
        <v/>
      </c>
      <c r="M84" s="262" t="str">
        <f ca="1">IF(OFFSET('IWP01'!BackgroundChecks, 1, 13, 1, 1) = 0, "", OFFSET('IWP01'!BackgroundChecks, 1, 13, 1, 1))</f>
        <v/>
      </c>
      <c r="N84" s="261"/>
    </row>
    <row r="85" spans="1:14">
      <c r="A85" s="257" t="s">
        <v>499</v>
      </c>
      <c r="B85" s="262" t="str">
        <f ca="1">IF(OFFSET('IWP01'!BackgroundChecks, 2, 0, 1, 1) = 0, "", OFFSET('IWP01'!BackgroundChecks, 2, 0, 1, 1))</f>
        <v/>
      </c>
      <c r="C85" s="262" t="str">
        <f ca="1">IF(OFFSET('IWP01'!BackgroundChecks, 2, 2, 1, 1) = 0, "", OFFSET('IWP01'!BackgroundChecks, 2, 2, 1, 1))</f>
        <v/>
      </c>
      <c r="D85" s="262" t="str">
        <f ca="1">IF(OFFSET('IWP01'!BackgroundChecks, 2, 4, 1, 1) = 0, "", OFFSET('IWP01'!BackgroundChecks, 2, 4, 1, 1))</f>
        <v/>
      </c>
      <c r="E85" s="254">
        <f ca="1">IF(OFFSET('IWP01'!BackgroundChecks, 2, 5, 1, 1)=DATE(1900,1,0), DATE(1900,1,1), OFFSET('IWP01'!BackgroundChecks, 2, 5, 1, 1))</f>
        <v>1</v>
      </c>
      <c r="F85" s="262" t="str">
        <f ca="1">IF(OFFSET('IWP01'!BackgroundChecks, 2, 6, 1, 1) = 0, "", OFFSET('IWP01'!BackgroundChecks, 2, 6, 1, 1))</f>
        <v/>
      </c>
      <c r="G85" s="254">
        <f ca="1">IF(OFFSET('IWP01'!BackgroundChecks, 2, 7, 1, 1)=DATE(1900,1,0), DATE(1900,1,1), OFFSET('IWP01'!BackgroundChecks, 2, 7, 1, 1))</f>
        <v>1</v>
      </c>
      <c r="H85" s="254">
        <f ca="1">IF(OFFSET('IWP01'!BackgroundChecks, 2, 8, 1, 1)=DATE(1900,1,0), DATE(1900,1,1), OFFSET('IWP01'!BackgroundChecks, 2, 8, 1, 1))</f>
        <v>1</v>
      </c>
      <c r="I85" s="262" t="str">
        <f ca="1">IF(OFFSET('IWP01'!BackgroundChecks, 2, 9, 1, 1) = 0, "", OFFSET('IWP01'!BackgroundChecks, 2, 9, 1, 1))</f>
        <v/>
      </c>
      <c r="J85" s="262" t="str">
        <f ca="1">IF(OFFSET('IWP01'!BackgroundChecks, 2, 10, 1, 1) = 0, "", OFFSET('IWP01'!BackgroundChecks, 2, 10, 1, 1))</f>
        <v/>
      </c>
      <c r="K85" s="262" t="str">
        <f ca="1">IF(OFFSET('IWP01'!BackgroundChecks, 2, 11, 1, 1) = 0, "", OFFSET('IWP01'!BackgroundChecks, 2, 11, 1, 1))</f>
        <v/>
      </c>
      <c r="L85" s="262" t="str">
        <f ca="1">IF(OFFSET('IWP01'!BackgroundChecks, 2, 12, 1, 1) = 0, "", OFFSET('IWP01'!BackgroundChecks, 2, 12, 1, 1))</f>
        <v/>
      </c>
      <c r="M85" s="262" t="str">
        <f ca="1">IF(OFFSET('IWP01'!BackgroundChecks, 2, 13, 1, 1) = 0, "", OFFSET('IWP01'!BackgroundChecks, 2, 13, 1, 1))</f>
        <v/>
      </c>
      <c r="N85" s="261"/>
    </row>
    <row r="86" spans="1:14">
      <c r="A86" s="257" t="s">
        <v>499</v>
      </c>
      <c r="B86" s="262" t="str">
        <f ca="1">IF(OFFSET('IWP01'!BackgroundChecks, 3, 0, 1, 1) = 0, "", OFFSET('IWP01'!BackgroundChecks, 3, 0, 1, 1))</f>
        <v/>
      </c>
      <c r="C86" s="262" t="str">
        <f ca="1">IF(OFFSET('IWP01'!BackgroundChecks, 3, 2, 1, 1) = 0, "", OFFSET('IWP01'!BackgroundChecks, 3, 2, 1, 1))</f>
        <v/>
      </c>
      <c r="D86" s="262" t="str">
        <f ca="1">IF(OFFSET('IWP01'!BackgroundChecks, 3, 4, 1, 1) = 0, "", OFFSET('IWP01'!BackgroundChecks, 3, 4, 1, 1))</f>
        <v/>
      </c>
      <c r="E86" s="254">
        <f ca="1">IF(OFFSET('IWP01'!BackgroundChecks, 3, 5, 1, 1)=DATE(1900,1,0), DATE(1900,1,1), OFFSET('IWP01'!BackgroundChecks, 3, 5, 1, 1))</f>
        <v>1</v>
      </c>
      <c r="F86" s="262" t="str">
        <f ca="1">IF(OFFSET('IWP01'!BackgroundChecks, 3, 6, 1, 1) = 0, "", OFFSET('IWP01'!BackgroundChecks, 3, 6, 1, 1))</f>
        <v/>
      </c>
      <c r="G86" s="254">
        <f ca="1">IF(OFFSET('IWP01'!BackgroundChecks, 3, 7, 1, 1)=DATE(1900,1,0), DATE(1900,1,1), OFFSET('IWP01'!BackgroundChecks, 3, 7, 1, 1))</f>
        <v>1</v>
      </c>
      <c r="H86" s="254">
        <f ca="1">IF(OFFSET('IWP01'!BackgroundChecks, 3, 8, 1, 1)=DATE(1900,1,0), DATE(1900,1,1), OFFSET('IWP01'!BackgroundChecks, 3, 8, 1, 1))</f>
        <v>1</v>
      </c>
      <c r="I86" s="262" t="str">
        <f ca="1">IF(OFFSET('IWP01'!BackgroundChecks, 3, 9, 1, 1) = 0, "", OFFSET('IWP01'!BackgroundChecks, 3, 9, 1, 1))</f>
        <v/>
      </c>
      <c r="J86" s="262" t="str">
        <f ca="1">IF(OFFSET('IWP01'!BackgroundChecks, 3, 10, 1, 1) = 0, "", OFFSET('IWP01'!BackgroundChecks, 3, 10, 1, 1))</f>
        <v/>
      </c>
      <c r="K86" s="262" t="str">
        <f ca="1">IF(OFFSET('IWP01'!BackgroundChecks, 3, 11, 1, 1) = 0, "", OFFSET('IWP01'!BackgroundChecks, 3, 11, 1, 1))</f>
        <v/>
      </c>
      <c r="L86" s="262" t="str">
        <f ca="1">IF(OFFSET('IWP01'!BackgroundChecks, 3, 12, 1, 1) = 0, "", OFFSET('IWP01'!BackgroundChecks, 3, 12, 1, 1))</f>
        <v/>
      </c>
      <c r="M86" s="262" t="str">
        <f ca="1">IF(OFFSET('IWP01'!BackgroundChecks, 3, 13, 1, 1) = 0, "", OFFSET('IWP01'!BackgroundChecks, 3, 13, 1, 1))</f>
        <v/>
      </c>
      <c r="N86" s="261"/>
    </row>
    <row r="87" spans="1:14">
      <c r="A87" s="257" t="s">
        <v>499</v>
      </c>
      <c r="B87" s="262" t="str">
        <f ca="1">IF(OFFSET('IWP01'!BackgroundChecks, 4, 0, 1, 1) = 0, "", OFFSET('IWP01'!BackgroundChecks, 4, 0, 1, 1))</f>
        <v/>
      </c>
      <c r="C87" s="262" t="str">
        <f ca="1">IF(OFFSET('IWP01'!BackgroundChecks, 4, 2, 1, 1) = 0, "", OFFSET('IWP01'!BackgroundChecks, 4, 2, 1, 1))</f>
        <v/>
      </c>
      <c r="D87" s="262" t="str">
        <f ca="1">IF(OFFSET('IWP01'!BackgroundChecks, 4, 4, 1, 1) = 0, "", OFFSET('IWP01'!BackgroundChecks, 4, 4, 1, 1))</f>
        <v/>
      </c>
      <c r="E87" s="254">
        <f ca="1">IF(OFFSET('IWP01'!BackgroundChecks, 4, 5, 1, 1)=DATE(1900,1,0), DATE(1900,1,1), OFFSET('IWP01'!BackgroundChecks, 4, 5, 1, 1))</f>
        <v>1</v>
      </c>
      <c r="F87" s="262" t="str">
        <f ca="1">IF(OFFSET('IWP01'!BackgroundChecks, 4, 6, 1, 1) = 0, "", OFFSET('IWP01'!BackgroundChecks, 4, 6, 1, 1))</f>
        <v/>
      </c>
      <c r="G87" s="254">
        <f ca="1">IF(OFFSET('IWP01'!BackgroundChecks, 4, 7, 1, 1)=DATE(1900,1,0), DATE(1900,1,1), OFFSET('IWP01'!BackgroundChecks, 4, 7, 1, 1))</f>
        <v>1</v>
      </c>
      <c r="H87" s="254">
        <f ca="1">IF(OFFSET('IWP01'!BackgroundChecks, 4, 8, 1, 1)=DATE(1900,1,0), DATE(1900,1,1), OFFSET('IWP01'!BackgroundChecks, 4, 8, 1, 1))</f>
        <v>1</v>
      </c>
      <c r="I87" s="262" t="str">
        <f ca="1">IF(OFFSET('IWP01'!BackgroundChecks, 4, 9, 1, 1) = 0, "", OFFSET('IWP01'!BackgroundChecks, 4, 9, 1, 1))</f>
        <v/>
      </c>
      <c r="J87" s="262" t="str">
        <f ca="1">IF(OFFSET('IWP01'!BackgroundChecks, 4, 10, 1, 1) = 0, "", OFFSET('IWP01'!BackgroundChecks, 4, 10, 1, 1))</f>
        <v/>
      </c>
      <c r="K87" s="262" t="str">
        <f ca="1">IF(OFFSET('IWP01'!BackgroundChecks, 4, 11, 1, 1) = 0, "", OFFSET('IWP01'!BackgroundChecks, 4, 11, 1, 1))</f>
        <v/>
      </c>
      <c r="L87" s="262" t="str">
        <f ca="1">IF(OFFSET('IWP01'!BackgroundChecks, 4, 12, 1, 1) = 0, "", OFFSET('IWP01'!BackgroundChecks, 4, 12, 1, 1))</f>
        <v/>
      </c>
      <c r="M87" s="262" t="str">
        <f ca="1">IF(OFFSET('IWP01'!BackgroundChecks, 4, 13, 1, 1) = 0, "", OFFSET('IWP01'!BackgroundChecks, 4, 13, 1, 1))</f>
        <v/>
      </c>
      <c r="N87" s="261"/>
    </row>
    <row r="88" spans="1:14">
      <c r="A88" s="257" t="s">
        <v>499</v>
      </c>
      <c r="B88" s="262" t="str">
        <f ca="1">IF(OFFSET('IWP01'!BackgroundChecks, 5, 0, 1, 1) = 0, "", OFFSET('IWP01'!BackgroundChecks, 5, 0, 1, 1))</f>
        <v/>
      </c>
      <c r="C88" s="262" t="str">
        <f ca="1">IF(OFFSET('IWP01'!BackgroundChecks, 5, 2, 1, 1) = 0, "", OFFSET('IWP01'!BackgroundChecks, 5, 2, 1, 1))</f>
        <v/>
      </c>
      <c r="D88" s="262" t="str">
        <f ca="1">IF(OFFSET('IWP01'!BackgroundChecks, 5, 4, 1, 1) = 0, "", OFFSET('IWP01'!BackgroundChecks, 5, 4, 1, 1))</f>
        <v/>
      </c>
      <c r="E88" s="254">
        <f ca="1">IF(OFFSET('IWP01'!BackgroundChecks, 5, 5, 1, 1)=DATE(1900,1,0), DATE(1900,1,1), OFFSET('IWP01'!BackgroundChecks, 5, 5, 1, 1))</f>
        <v>1</v>
      </c>
      <c r="F88" s="262" t="str">
        <f ca="1">IF(OFFSET('IWP01'!BackgroundChecks, 5, 6, 1, 1) = 0, "", OFFSET('IWP01'!BackgroundChecks, 5, 6, 1, 1))</f>
        <v/>
      </c>
      <c r="G88" s="254">
        <f ca="1">IF(OFFSET('IWP01'!BackgroundChecks, 5, 7, 1, 1)=DATE(1900,1,0), DATE(1900,1,1), OFFSET('IWP01'!BackgroundChecks, 5, 7, 1, 1))</f>
        <v>1</v>
      </c>
      <c r="H88" s="254">
        <f ca="1">IF(OFFSET('IWP01'!BackgroundChecks, 5, 8, 1, 1)=DATE(1900,1,0), DATE(1900,1,1), OFFSET('IWP01'!BackgroundChecks, 5, 8, 1, 1))</f>
        <v>1</v>
      </c>
      <c r="I88" s="262" t="str">
        <f ca="1">IF(OFFSET('IWP01'!BackgroundChecks, 5, 9, 1, 1) = 0, "", OFFSET('IWP01'!BackgroundChecks, 5, 9, 1, 1))</f>
        <v/>
      </c>
      <c r="J88" s="262" t="str">
        <f ca="1">IF(OFFSET('IWP01'!BackgroundChecks, 5, 10, 1, 1) = 0, "", OFFSET('IWP01'!BackgroundChecks, 5, 10, 1, 1))</f>
        <v/>
      </c>
      <c r="K88" s="262" t="str">
        <f ca="1">IF(OFFSET('IWP01'!BackgroundChecks, 5, 11, 1, 1) = 0, "", OFFSET('IWP01'!BackgroundChecks, 5, 11, 1, 1))</f>
        <v/>
      </c>
      <c r="L88" s="262" t="str">
        <f ca="1">IF(OFFSET('IWP01'!BackgroundChecks, 5, 12, 1, 1) = 0, "", OFFSET('IWP01'!BackgroundChecks, 5, 12, 1, 1))</f>
        <v/>
      </c>
      <c r="M88" s="262" t="str">
        <f ca="1">IF(OFFSET('IWP01'!BackgroundChecks, 5, 13, 1, 1) = 0, "", OFFSET('IWP01'!BackgroundChecks, 5, 13, 1, 1))</f>
        <v/>
      </c>
      <c r="N88" s="261"/>
    </row>
    <row r="89" spans="1:14">
      <c r="A89" s="257" t="s">
        <v>499</v>
      </c>
      <c r="B89" s="262" t="str">
        <f ca="1">IF(OFFSET('IWP01'!BackgroundChecks, 6, 0, 1, 1) = 0, "", OFFSET('IWP01'!BackgroundChecks, 6, 0, 1, 1))</f>
        <v/>
      </c>
      <c r="C89" s="262" t="str">
        <f ca="1">IF(OFFSET('IWP01'!BackgroundChecks, 6, 2, 1, 1) = 0, "", OFFSET('IWP01'!BackgroundChecks, 6, 2, 1, 1))</f>
        <v/>
      </c>
      <c r="D89" s="262" t="str">
        <f ca="1">IF(OFFSET('IWP01'!BackgroundChecks, 6, 4, 1, 1) = 0, "", OFFSET('IWP01'!BackgroundChecks, 6, 4, 1, 1))</f>
        <v/>
      </c>
      <c r="E89" s="254">
        <f ca="1">IF(OFFSET('IWP01'!BackgroundChecks, 6, 5, 1, 1)=DATE(1900,1,0), DATE(1900,1,1), OFFSET('IWP01'!BackgroundChecks, 6, 5, 1, 1))</f>
        <v>1</v>
      </c>
      <c r="F89" s="262" t="str">
        <f ca="1">IF(OFFSET('IWP01'!BackgroundChecks, 6, 6, 1, 1) = 0, "", OFFSET('IWP01'!BackgroundChecks, 6, 6, 1, 1))</f>
        <v/>
      </c>
      <c r="G89" s="254">
        <f ca="1">IF(OFFSET('IWP01'!BackgroundChecks, 6, 7, 1, 1)=DATE(1900,1,0), DATE(1900,1,1), OFFSET('IWP01'!BackgroundChecks, 6, 7, 1, 1))</f>
        <v>1</v>
      </c>
      <c r="H89" s="254">
        <f ca="1">IF(OFFSET('IWP01'!BackgroundChecks, 6, 8, 1, 1)=DATE(1900,1,0), DATE(1900,1,1), OFFSET('IWP01'!BackgroundChecks, 6, 8, 1, 1))</f>
        <v>1</v>
      </c>
      <c r="I89" s="262" t="str">
        <f ca="1">IF(OFFSET('IWP01'!BackgroundChecks, 6, 9, 1, 1) = 0, "", OFFSET('IWP01'!BackgroundChecks, 6, 9, 1, 1))</f>
        <v/>
      </c>
      <c r="J89" s="262" t="str">
        <f ca="1">IF(OFFSET('IWP01'!BackgroundChecks, 6, 10, 1, 1) = 0, "", OFFSET('IWP01'!BackgroundChecks, 6, 10, 1, 1))</f>
        <v/>
      </c>
      <c r="K89" s="262" t="str">
        <f ca="1">IF(OFFSET('IWP01'!BackgroundChecks, 6, 11, 1, 1) = 0, "", OFFSET('IWP01'!BackgroundChecks, 6, 11, 1, 1))</f>
        <v/>
      </c>
      <c r="L89" s="262" t="str">
        <f ca="1">IF(OFFSET('IWP01'!BackgroundChecks, 6, 12, 1, 1) = 0, "", OFFSET('IWP01'!BackgroundChecks, 6, 12, 1, 1))</f>
        <v/>
      </c>
      <c r="M89" s="262" t="str">
        <f ca="1">IF(OFFSET('IWP01'!BackgroundChecks, 6, 13, 1, 1) = 0, "", OFFSET('IWP01'!BackgroundChecks, 6, 13, 1, 1))</f>
        <v/>
      </c>
      <c r="N89" s="261"/>
    </row>
    <row r="90" spans="1:14">
      <c r="A90" s="257" t="s">
        <v>499</v>
      </c>
      <c r="B90" s="262" t="str">
        <f ca="1">IF(OFFSET('IWP01'!BackgroundChecks, 7, 0, 1, 1) = 0, "", OFFSET('IWP01'!BackgroundChecks, 7, 0, 1, 1))</f>
        <v/>
      </c>
      <c r="C90" s="262" t="str">
        <f ca="1">IF(OFFSET('IWP01'!BackgroundChecks, 7, 2, 1, 1) = 0, "", OFFSET('IWP01'!BackgroundChecks, 7, 2, 1, 1))</f>
        <v/>
      </c>
      <c r="D90" s="262" t="str">
        <f ca="1">IF(OFFSET('IWP01'!BackgroundChecks, 7, 4, 1, 1) = 0, "", OFFSET('IWP01'!BackgroundChecks, 7, 4, 1, 1))</f>
        <v/>
      </c>
      <c r="E90" s="254">
        <f ca="1">IF(OFFSET('IWP01'!BackgroundChecks, 7, 5, 1, 1)=DATE(1900,1,0), DATE(1900,1,1), OFFSET('IWP01'!BackgroundChecks, 7, 5, 1, 1))</f>
        <v>1</v>
      </c>
      <c r="F90" s="262" t="str">
        <f ca="1">IF(OFFSET('IWP01'!BackgroundChecks, 7, 6, 1, 1) = 0, "", OFFSET('IWP01'!BackgroundChecks, 7, 6, 1, 1))</f>
        <v/>
      </c>
      <c r="G90" s="254">
        <f ca="1">IF(OFFSET('IWP01'!BackgroundChecks, 7, 7, 1, 1)=DATE(1900,1,0), DATE(1900,1,1), OFFSET('IWP01'!BackgroundChecks, 7, 7, 1, 1))</f>
        <v>1</v>
      </c>
      <c r="H90" s="254">
        <f ca="1">IF(OFFSET('IWP01'!BackgroundChecks, 7, 8, 1, 1)=DATE(1900,1,0), DATE(1900,1,1), OFFSET('IWP01'!BackgroundChecks, 7, 8, 1, 1))</f>
        <v>1</v>
      </c>
      <c r="I90" s="262" t="str">
        <f ca="1">IF(OFFSET('IWP01'!BackgroundChecks, 7, 9, 1, 1) = 0, "", OFFSET('IWP01'!BackgroundChecks, 7, 9, 1, 1))</f>
        <v/>
      </c>
      <c r="J90" s="262" t="str">
        <f ca="1">IF(OFFSET('IWP01'!BackgroundChecks, 7, 10, 1, 1) = 0, "", OFFSET('IWP01'!BackgroundChecks, 7, 10, 1, 1))</f>
        <v/>
      </c>
      <c r="K90" s="262" t="str">
        <f ca="1">IF(OFFSET('IWP01'!BackgroundChecks, 7, 11, 1, 1) = 0, "", OFFSET('IWP01'!BackgroundChecks, 7, 11, 1, 1))</f>
        <v/>
      </c>
      <c r="L90" s="262" t="str">
        <f ca="1">IF(OFFSET('IWP01'!BackgroundChecks, 7, 12, 1, 1) = 0, "", OFFSET('IWP01'!BackgroundChecks, 7, 12, 1, 1))</f>
        <v/>
      </c>
      <c r="M90" s="262" t="str">
        <f ca="1">IF(OFFSET('IWP01'!BackgroundChecks, 7, 13, 1, 1) = 0, "", OFFSET('IWP01'!BackgroundChecks, 7, 13, 1, 1))</f>
        <v/>
      </c>
      <c r="N90" s="261"/>
    </row>
    <row r="91" spans="1:14">
      <c r="A91" s="257" t="s">
        <v>499</v>
      </c>
      <c r="B91" s="262" t="str">
        <f ca="1">IF(OFFSET('IWP01'!BackgroundChecks, 8, 0, 1, 1) = 0, "", OFFSET('IWP01'!BackgroundChecks, 8, 0, 1, 1))</f>
        <v/>
      </c>
      <c r="C91" s="262" t="str">
        <f ca="1">IF(OFFSET('IWP01'!BackgroundChecks, 8, 2, 1, 1) = 0, "", OFFSET('IWP01'!BackgroundChecks, 8, 2, 1, 1))</f>
        <v/>
      </c>
      <c r="D91" s="262" t="str">
        <f ca="1">IF(OFFSET('IWP01'!BackgroundChecks, 8, 4, 1, 1) = 0, "", OFFSET('IWP01'!BackgroundChecks, 8, 4, 1, 1))</f>
        <v/>
      </c>
      <c r="E91" s="254">
        <f ca="1">IF(OFFSET('IWP01'!BackgroundChecks, 8, 5, 1, 1)=DATE(1900,1,0), DATE(1900,1,1), OFFSET('IWP01'!BackgroundChecks, 8, 5, 1, 1))</f>
        <v>1</v>
      </c>
      <c r="F91" s="262" t="str">
        <f ca="1">IF(OFFSET('IWP01'!BackgroundChecks, 8, 6, 1, 1) = 0, "", OFFSET('IWP01'!BackgroundChecks, 8, 6, 1, 1))</f>
        <v/>
      </c>
      <c r="G91" s="254">
        <f ca="1">IF(OFFSET('IWP01'!BackgroundChecks, 8, 7, 1, 1)=DATE(1900,1,0), DATE(1900,1,1), OFFSET('IWP01'!BackgroundChecks, 8, 7, 1, 1))</f>
        <v>1</v>
      </c>
      <c r="H91" s="254">
        <f ca="1">IF(OFFSET('IWP01'!BackgroundChecks, 8, 8, 1, 1)=DATE(1900,1,0), DATE(1900,1,1), OFFSET('IWP01'!BackgroundChecks, 8, 8, 1, 1))</f>
        <v>1</v>
      </c>
      <c r="I91" s="262" t="str">
        <f ca="1">IF(OFFSET('IWP01'!BackgroundChecks, 8, 9, 1, 1) = 0, "", OFFSET('IWP01'!BackgroundChecks, 8, 9, 1, 1))</f>
        <v/>
      </c>
      <c r="J91" s="262" t="str">
        <f ca="1">IF(OFFSET('IWP01'!BackgroundChecks, 8, 10, 1, 1) = 0, "", OFFSET('IWP01'!BackgroundChecks, 8, 10, 1, 1))</f>
        <v/>
      </c>
      <c r="K91" s="262" t="str">
        <f ca="1">IF(OFFSET('IWP01'!BackgroundChecks, 8, 11, 1, 1) = 0, "", OFFSET('IWP01'!BackgroundChecks, 8, 11, 1, 1))</f>
        <v/>
      </c>
      <c r="L91" s="262" t="str">
        <f ca="1">IF(OFFSET('IWP01'!BackgroundChecks, 8, 12, 1, 1) = 0, "", OFFSET('IWP01'!BackgroundChecks, 8, 12, 1, 1))</f>
        <v/>
      </c>
      <c r="M91" s="262" t="str">
        <f ca="1">IF(OFFSET('IWP01'!BackgroundChecks, 8, 13, 1, 1) = 0, "", OFFSET('IWP01'!BackgroundChecks, 8, 13, 1, 1))</f>
        <v/>
      </c>
      <c r="N91" s="261"/>
    </row>
    <row r="92" spans="1:14">
      <c r="A92" s="257" t="s">
        <v>499</v>
      </c>
      <c r="B92" s="262" t="str">
        <f ca="1">IF(OFFSET('IWP01'!BackgroundChecks, 9, 0, 1, 1) = 0, "", OFFSET('IWP01'!BackgroundChecks, 9, 0, 1, 1))</f>
        <v/>
      </c>
      <c r="C92" s="262" t="str">
        <f ca="1">IF(OFFSET('IWP01'!BackgroundChecks, 9, 2, 1, 1) = 0, "", OFFSET('IWP01'!BackgroundChecks, 9, 2, 1, 1))</f>
        <v/>
      </c>
      <c r="D92" s="262" t="str">
        <f ca="1">IF(OFFSET('IWP01'!BackgroundChecks, 9, 4, 1, 1) = 0, "", OFFSET('IWP01'!BackgroundChecks, 9, 4, 1, 1))</f>
        <v/>
      </c>
      <c r="E92" s="254">
        <f ca="1">IF(OFFSET('IWP01'!BackgroundChecks, 9, 5, 1, 1)=DATE(1900,1,0), DATE(1900,1,1), OFFSET('IWP01'!BackgroundChecks, 9, 5, 1, 1))</f>
        <v>1</v>
      </c>
      <c r="F92" s="262" t="str">
        <f ca="1">IF(OFFSET('IWP01'!BackgroundChecks, 9, 6, 1, 1) = 0, "", OFFSET('IWP01'!BackgroundChecks, 9, 6, 1, 1))</f>
        <v/>
      </c>
      <c r="G92" s="254">
        <f ca="1">IF(OFFSET('IWP01'!BackgroundChecks, 9, 7, 1, 1)=DATE(1900,1,0), DATE(1900,1,1), OFFSET('IWP01'!BackgroundChecks, 9, 7, 1, 1))</f>
        <v>1</v>
      </c>
      <c r="H92" s="254">
        <f ca="1">IF(OFFSET('IWP01'!BackgroundChecks, 9, 8, 1, 1)=DATE(1900,1,0), DATE(1900,1,1), OFFSET('IWP01'!BackgroundChecks, 9, 8, 1, 1))</f>
        <v>1</v>
      </c>
      <c r="I92" s="262" t="str">
        <f ca="1">IF(OFFSET('IWP01'!BackgroundChecks, 9, 9, 1, 1) = 0, "", OFFSET('IWP01'!BackgroundChecks, 9, 9, 1, 1))</f>
        <v/>
      </c>
      <c r="J92" s="262" t="str">
        <f ca="1">IF(OFFSET('IWP01'!BackgroundChecks, 9, 10, 1, 1) = 0, "", OFFSET('IWP01'!BackgroundChecks, 9, 10, 1, 1))</f>
        <v/>
      </c>
      <c r="K92" s="262" t="str">
        <f ca="1">IF(OFFSET('IWP01'!BackgroundChecks, 9, 11, 1, 1) = 0, "", OFFSET('IWP01'!BackgroundChecks, 9, 11, 1, 1))</f>
        <v/>
      </c>
      <c r="L92" s="262" t="str">
        <f ca="1">IF(OFFSET('IWP01'!BackgroundChecks, 9, 12, 1, 1) = 0, "", OFFSET('IWP01'!BackgroundChecks, 9, 12, 1, 1))</f>
        <v/>
      </c>
      <c r="M92" s="262" t="str">
        <f ca="1">IF(OFFSET('IWP01'!BackgroundChecks, 9, 13, 1, 1) = 0, "", OFFSET('IWP01'!BackgroundChecks, 9, 13, 1, 1))</f>
        <v/>
      </c>
      <c r="N92" s="261"/>
    </row>
    <row r="93" spans="1:14">
      <c r="A93" s="257" t="s">
        <v>499</v>
      </c>
      <c r="B93" s="262" t="str">
        <f ca="1">IF(OFFSET('IWP01'!BackgroundChecks, 10, 0, 1, 1) = 0, "", OFFSET('IWP01'!BackgroundChecks, 10, 0, 1, 1))</f>
        <v/>
      </c>
      <c r="C93" s="262" t="str">
        <f ca="1">IF(OFFSET('IWP01'!BackgroundChecks, 10, 2, 1, 1) = 0, "", OFFSET('IWP01'!BackgroundChecks, 10, 2, 1, 1))</f>
        <v/>
      </c>
      <c r="D93" s="262" t="str">
        <f ca="1">IF(OFFSET('IWP01'!BackgroundChecks, 10, 4, 1, 1) = 0, "", OFFSET('IWP01'!BackgroundChecks, 10, 4, 1, 1))</f>
        <v/>
      </c>
      <c r="E93" s="254">
        <f ca="1">IF(OFFSET('IWP01'!BackgroundChecks, 10, 5, 1, 1)=DATE(1900,1,0), DATE(1900,1,1), OFFSET('IWP01'!BackgroundChecks, 10, 5, 1, 1))</f>
        <v>1</v>
      </c>
      <c r="F93" s="262" t="str">
        <f ca="1">IF(OFFSET('IWP01'!BackgroundChecks, 10, 6, 1, 1) = 0, "", OFFSET('IWP01'!BackgroundChecks, 10, 6, 1, 1))</f>
        <v/>
      </c>
      <c r="G93" s="254">
        <f ca="1">IF(OFFSET('IWP01'!BackgroundChecks, 10, 7, 1, 1)=DATE(1900,1,0), DATE(1900,1,1), OFFSET('IWP01'!BackgroundChecks, 10, 7, 1, 1))</f>
        <v>1</v>
      </c>
      <c r="H93" s="254">
        <f ca="1">IF(OFFSET('IWP01'!BackgroundChecks, 10, 8, 1, 1)=DATE(1900,1,0), DATE(1900,1,1), OFFSET('IWP01'!BackgroundChecks, 10, 8, 1, 1))</f>
        <v>1</v>
      </c>
      <c r="I93" s="262" t="str">
        <f ca="1">IF(OFFSET('IWP01'!BackgroundChecks, 10, 9, 1, 1) = 0, "", OFFSET('IWP01'!BackgroundChecks, 10, 9, 1, 1))</f>
        <v/>
      </c>
      <c r="J93" s="262" t="str">
        <f ca="1">IF(OFFSET('IWP01'!BackgroundChecks, 10, 10, 1, 1) = 0, "", OFFSET('IWP01'!BackgroundChecks, 10, 10, 1, 1))</f>
        <v/>
      </c>
      <c r="K93" s="262" t="str">
        <f ca="1">IF(OFFSET('IWP01'!BackgroundChecks, 10, 11, 1, 1) = 0, "", OFFSET('IWP01'!BackgroundChecks, 10, 11, 1, 1))</f>
        <v/>
      </c>
      <c r="L93" s="262" t="str">
        <f ca="1">IF(OFFSET('IWP01'!BackgroundChecks, 10, 12, 1, 1) = 0, "", OFFSET('IWP01'!BackgroundChecks, 10, 12, 1, 1))</f>
        <v/>
      </c>
      <c r="M93" s="262" t="str">
        <f ca="1">IF(OFFSET('IWP01'!BackgroundChecks, 10, 13, 1, 1) = 0, "", OFFSET('IWP01'!BackgroundChecks, 10, 13, 1, 1))</f>
        <v/>
      </c>
      <c r="N93" s="261"/>
    </row>
    <row r="94" spans="1:14">
      <c r="A94" s="257" t="s">
        <v>499</v>
      </c>
      <c r="B94" s="262" t="str">
        <f ca="1">IF(OFFSET('IWP01'!BackgroundChecks, 11, 0, 1, 1) = 0, "", OFFSET('IWP01'!BackgroundChecks, 11, 0, 1, 1))</f>
        <v/>
      </c>
      <c r="C94" s="262" t="str">
        <f ca="1">IF(OFFSET('IWP01'!BackgroundChecks, 11, 2, 1, 1) = 0, "", OFFSET('IWP01'!BackgroundChecks, 11, 2, 1, 1))</f>
        <v/>
      </c>
      <c r="D94" s="262" t="str">
        <f ca="1">IF(OFFSET('IWP01'!BackgroundChecks, 11, 4, 1, 1) = 0, "", OFFSET('IWP01'!BackgroundChecks, 11, 4, 1, 1))</f>
        <v/>
      </c>
      <c r="E94" s="254">
        <f ca="1">IF(OFFSET('IWP01'!BackgroundChecks, 11, 5, 1, 1)=DATE(1900,1,0), DATE(1900,1,1), OFFSET('IWP01'!BackgroundChecks, 11, 5, 1, 1))</f>
        <v>1</v>
      </c>
      <c r="F94" s="262" t="str">
        <f ca="1">IF(OFFSET('IWP01'!BackgroundChecks, 11, 6, 1, 1) = 0, "", OFFSET('IWP01'!BackgroundChecks, 11, 6, 1, 1))</f>
        <v/>
      </c>
      <c r="G94" s="254">
        <f ca="1">IF(OFFSET('IWP01'!BackgroundChecks, 11, 7, 1, 1)=DATE(1900,1,0), DATE(1900,1,1), OFFSET('IWP01'!BackgroundChecks, 11, 7, 1, 1))</f>
        <v>1</v>
      </c>
      <c r="H94" s="254">
        <f ca="1">IF(OFFSET('IWP01'!BackgroundChecks, 11, 8, 1, 1)=DATE(1900,1,0), DATE(1900,1,1), OFFSET('IWP01'!BackgroundChecks, 11, 8, 1, 1))</f>
        <v>1</v>
      </c>
      <c r="I94" s="262" t="str">
        <f ca="1">IF(OFFSET('IWP01'!BackgroundChecks, 11, 9, 1, 1) = 0, "", OFFSET('IWP01'!BackgroundChecks, 11, 9, 1, 1))</f>
        <v/>
      </c>
      <c r="J94" s="262" t="str">
        <f ca="1">IF(OFFSET('IWP01'!BackgroundChecks, 11, 10, 1, 1) = 0, "", OFFSET('IWP01'!BackgroundChecks, 11, 10, 1, 1))</f>
        <v/>
      </c>
      <c r="K94" s="262" t="str">
        <f ca="1">IF(OFFSET('IWP01'!BackgroundChecks, 11, 11, 1, 1) = 0, "", OFFSET('IWP01'!BackgroundChecks, 11, 11, 1, 1))</f>
        <v/>
      </c>
      <c r="L94" s="262" t="str">
        <f ca="1">IF(OFFSET('IWP01'!BackgroundChecks, 11, 12, 1, 1) = 0, "", OFFSET('IWP01'!BackgroundChecks, 11, 12, 1, 1))</f>
        <v/>
      </c>
      <c r="M94" s="262" t="str">
        <f ca="1">IF(OFFSET('IWP01'!BackgroundChecks, 11, 13, 1, 1) = 0, "", OFFSET('IWP01'!BackgroundChecks, 11, 13, 1, 1))</f>
        <v/>
      </c>
      <c r="N94" s="261"/>
    </row>
    <row r="95" spans="1:14">
      <c r="A95" s="257" t="s">
        <v>499</v>
      </c>
      <c r="B95" s="262" t="str">
        <f ca="1">IF(OFFSET('IWP01'!BackgroundChecks, 12, 0, 1, 1) = 0, "", OFFSET('IWP01'!BackgroundChecks, 12, 0, 1, 1))</f>
        <v/>
      </c>
      <c r="C95" s="262" t="str">
        <f ca="1">IF(OFFSET('IWP01'!BackgroundChecks, 12, 2, 1, 1) = 0, "", OFFSET('IWP01'!BackgroundChecks, 12, 2, 1, 1))</f>
        <v/>
      </c>
      <c r="D95" s="262" t="str">
        <f ca="1">IF(OFFSET('IWP01'!BackgroundChecks, 12, 4, 1, 1) = 0, "", OFFSET('IWP01'!BackgroundChecks, 12, 4, 1, 1))</f>
        <v/>
      </c>
      <c r="E95" s="254">
        <f ca="1">IF(OFFSET('IWP01'!BackgroundChecks, 12, 5, 1, 1)=DATE(1900,1,0), DATE(1900,1,1), OFFSET('IWP01'!BackgroundChecks, 12, 5, 1, 1))</f>
        <v>1</v>
      </c>
      <c r="F95" s="262" t="str">
        <f ca="1">IF(OFFSET('IWP01'!BackgroundChecks, 12, 6, 1, 1) = 0, "", OFFSET('IWP01'!BackgroundChecks, 12, 6, 1, 1))</f>
        <v/>
      </c>
      <c r="G95" s="254">
        <f ca="1">IF(OFFSET('IWP01'!BackgroundChecks, 12, 7, 1, 1)=DATE(1900,1,0), DATE(1900,1,1), OFFSET('IWP01'!BackgroundChecks, 12, 7, 1, 1))</f>
        <v>1</v>
      </c>
      <c r="H95" s="254">
        <f ca="1">IF(OFFSET('IWP01'!BackgroundChecks, 12, 8, 1, 1)=DATE(1900,1,0), DATE(1900,1,1), OFFSET('IWP01'!BackgroundChecks, 12, 8, 1, 1))</f>
        <v>1</v>
      </c>
      <c r="I95" s="262" t="str">
        <f ca="1">IF(OFFSET('IWP01'!BackgroundChecks, 12, 9, 1, 1) = 0, "", OFFSET('IWP01'!BackgroundChecks, 12, 9, 1, 1))</f>
        <v/>
      </c>
      <c r="J95" s="262" t="str">
        <f ca="1">IF(OFFSET('IWP01'!BackgroundChecks, 12, 10, 1, 1) = 0, "", OFFSET('IWP01'!BackgroundChecks, 12, 10, 1, 1))</f>
        <v/>
      </c>
      <c r="K95" s="262" t="str">
        <f ca="1">IF(OFFSET('IWP01'!BackgroundChecks, 12, 11, 1, 1) = 0, "", OFFSET('IWP01'!BackgroundChecks, 12, 11, 1, 1))</f>
        <v/>
      </c>
      <c r="L95" s="262" t="str">
        <f ca="1">IF(OFFSET('IWP01'!BackgroundChecks, 12, 12, 1, 1) = 0, "", OFFSET('IWP01'!BackgroundChecks, 12, 12, 1, 1))</f>
        <v/>
      </c>
      <c r="M95" s="262" t="str">
        <f ca="1">IF(OFFSET('IWP01'!BackgroundChecks, 12, 13, 1, 1) = 0, "", OFFSET('IWP01'!BackgroundChecks, 12, 13, 1, 1))</f>
        <v/>
      </c>
      <c r="N95" s="261"/>
    </row>
    <row r="96" spans="1:14">
      <c r="A96" s="257" t="s">
        <v>499</v>
      </c>
      <c r="B96" s="262" t="str">
        <f ca="1">IF(OFFSET('IWP01'!BackgroundChecks, 13, 0, 1, 1) = 0, "", OFFSET('IWP01'!BackgroundChecks, 13, 0, 1, 1))</f>
        <v/>
      </c>
      <c r="C96" s="262" t="str">
        <f ca="1">IF(OFFSET('IWP01'!BackgroundChecks, 13, 2, 1, 1) = 0, "", OFFSET('IWP01'!BackgroundChecks, 13, 2, 1, 1))</f>
        <v/>
      </c>
      <c r="D96" s="262" t="str">
        <f ca="1">IF(OFFSET('IWP01'!BackgroundChecks, 13, 4, 1, 1) = 0, "", OFFSET('IWP01'!BackgroundChecks, 13, 4, 1, 1))</f>
        <v/>
      </c>
      <c r="E96" s="254">
        <f ca="1">IF(OFFSET('IWP01'!BackgroundChecks, 13, 5, 1, 1)=DATE(1900,1,0), DATE(1900,1,1), OFFSET('IWP01'!BackgroundChecks, 13, 5, 1, 1))</f>
        <v>1</v>
      </c>
      <c r="F96" s="262" t="str">
        <f ca="1">IF(OFFSET('IWP01'!BackgroundChecks, 13, 6, 1, 1) = 0, "", OFFSET('IWP01'!BackgroundChecks, 13, 6, 1, 1))</f>
        <v/>
      </c>
      <c r="G96" s="254">
        <f ca="1">IF(OFFSET('IWP01'!BackgroundChecks, 13, 7, 1, 1)=DATE(1900,1,0), DATE(1900,1,1), OFFSET('IWP01'!BackgroundChecks, 13, 7, 1, 1))</f>
        <v>1</v>
      </c>
      <c r="H96" s="254">
        <f ca="1">IF(OFFSET('IWP01'!BackgroundChecks, 13, 8, 1, 1)=DATE(1900,1,0), DATE(1900,1,1), OFFSET('IWP01'!BackgroundChecks, 13, 8, 1, 1))</f>
        <v>1</v>
      </c>
      <c r="I96" s="262" t="str">
        <f ca="1">IF(OFFSET('IWP01'!BackgroundChecks, 13, 9, 1, 1) = 0, "", OFFSET('IWP01'!BackgroundChecks, 13, 9, 1, 1))</f>
        <v/>
      </c>
      <c r="J96" s="262" t="str">
        <f ca="1">IF(OFFSET('IWP01'!BackgroundChecks, 13, 10, 1, 1) = 0, "", OFFSET('IWP01'!BackgroundChecks, 13, 10, 1, 1))</f>
        <v/>
      </c>
      <c r="K96" s="262" t="str">
        <f ca="1">IF(OFFSET('IWP01'!BackgroundChecks, 13, 11, 1, 1) = 0, "", OFFSET('IWP01'!BackgroundChecks, 13, 11, 1, 1))</f>
        <v/>
      </c>
      <c r="L96" s="262" t="str">
        <f ca="1">IF(OFFSET('IWP01'!BackgroundChecks, 13, 12, 1, 1) = 0, "", OFFSET('IWP01'!BackgroundChecks, 13, 12, 1, 1))</f>
        <v/>
      </c>
      <c r="M96" s="262" t="str">
        <f ca="1">IF(OFFSET('IWP01'!BackgroundChecks, 13, 13, 1, 1) = 0, "", OFFSET('IWP01'!BackgroundChecks, 13, 13, 1, 1))</f>
        <v/>
      </c>
      <c r="N96" s="261"/>
    </row>
    <row r="97" spans="1:14">
      <c r="A97" s="257" t="s">
        <v>499</v>
      </c>
      <c r="B97" s="262" t="str">
        <f ca="1">IF(OFFSET('IWP01'!BackgroundChecks, 14, 0, 1, 1) = 0, "", OFFSET('IWP01'!BackgroundChecks, 14, 0, 1, 1))</f>
        <v/>
      </c>
      <c r="C97" s="262" t="str">
        <f ca="1">IF(OFFSET('IWP01'!BackgroundChecks, 14, 2, 1, 1) = 0, "", OFFSET('IWP01'!BackgroundChecks, 14, 2, 1, 1))</f>
        <v/>
      </c>
      <c r="D97" s="262" t="str">
        <f ca="1">IF(OFFSET('IWP01'!BackgroundChecks, 14, 4, 1, 1) = 0, "", OFFSET('IWP01'!BackgroundChecks, 14, 4, 1, 1))</f>
        <v/>
      </c>
      <c r="E97" s="254">
        <f ca="1">IF(OFFSET('IWP01'!BackgroundChecks, 14, 5, 1, 1)=DATE(1900,1,0), DATE(1900,1,1), OFFSET('IWP01'!BackgroundChecks, 14, 5, 1, 1))</f>
        <v>1</v>
      </c>
      <c r="F97" s="262" t="str">
        <f ca="1">IF(OFFSET('IWP01'!BackgroundChecks, 14, 6, 1, 1) = 0, "", OFFSET('IWP01'!BackgroundChecks, 14, 6, 1, 1))</f>
        <v/>
      </c>
      <c r="G97" s="254">
        <f ca="1">IF(OFFSET('IWP01'!BackgroundChecks, 14, 7, 1, 1)=DATE(1900,1,0), DATE(1900,1,1), OFFSET('IWP01'!BackgroundChecks, 14, 7, 1, 1))</f>
        <v>1</v>
      </c>
      <c r="H97" s="254">
        <f ca="1">IF(OFFSET('IWP01'!BackgroundChecks, 14, 8, 1, 1)=DATE(1900,1,0), DATE(1900,1,1), OFFSET('IWP01'!BackgroundChecks, 14, 8, 1, 1))</f>
        <v>1</v>
      </c>
      <c r="I97" s="262" t="str">
        <f ca="1">IF(OFFSET('IWP01'!BackgroundChecks, 14, 9, 1, 1) = 0, "", OFFSET('IWP01'!BackgroundChecks, 14, 9, 1, 1))</f>
        <v/>
      </c>
      <c r="J97" s="262" t="str">
        <f ca="1">IF(OFFSET('IWP01'!BackgroundChecks, 14, 10, 1, 1) = 0, "", OFFSET('IWP01'!BackgroundChecks, 14, 10, 1, 1))</f>
        <v/>
      </c>
      <c r="K97" s="262" t="str">
        <f ca="1">IF(OFFSET('IWP01'!BackgroundChecks, 14, 11, 1, 1) = 0, "", OFFSET('IWP01'!BackgroundChecks, 14, 11, 1, 1))</f>
        <v/>
      </c>
      <c r="L97" s="262" t="str">
        <f ca="1">IF(OFFSET('IWP01'!BackgroundChecks, 14, 12, 1, 1) = 0, "", OFFSET('IWP01'!BackgroundChecks, 14, 12, 1, 1))</f>
        <v/>
      </c>
      <c r="M97" s="262" t="str">
        <f ca="1">IF(OFFSET('IWP01'!BackgroundChecks, 14, 13, 1, 1) = 0, "", OFFSET('IWP01'!BackgroundChecks, 14, 13, 1, 1))</f>
        <v/>
      </c>
      <c r="N97" s="261"/>
    </row>
    <row r="98" spans="1:14">
      <c r="A98" s="257" t="s">
        <v>499</v>
      </c>
      <c r="B98" s="262" t="str">
        <f ca="1">IF(OFFSET('IWP01'!BackgroundChecks, 15, 0, 1, 1) = 0, "", OFFSET('IWP01'!BackgroundChecks, 15, 0, 1, 1))</f>
        <v/>
      </c>
      <c r="C98" s="262" t="str">
        <f ca="1">IF(OFFSET('IWP01'!BackgroundChecks, 15, 2, 1, 1) = 0, "", OFFSET('IWP01'!BackgroundChecks, 15, 2, 1, 1))</f>
        <v/>
      </c>
      <c r="D98" s="262" t="str">
        <f ca="1">IF(OFFSET('IWP01'!BackgroundChecks, 15, 4, 1, 1) = 0, "", OFFSET('IWP01'!BackgroundChecks, 15, 4, 1, 1))</f>
        <v/>
      </c>
      <c r="E98" s="254">
        <f ca="1">IF(OFFSET('IWP01'!BackgroundChecks, 15, 5, 1, 1)=DATE(1900,1,0), DATE(1900,1,1), OFFSET('IWP01'!BackgroundChecks, 15, 5, 1, 1))</f>
        <v>1</v>
      </c>
      <c r="F98" s="262" t="str">
        <f ca="1">IF(OFFSET('IWP01'!BackgroundChecks, 15, 6, 1, 1) = 0, "", OFFSET('IWP01'!BackgroundChecks, 15, 6, 1, 1))</f>
        <v/>
      </c>
      <c r="G98" s="254">
        <f ca="1">IF(OFFSET('IWP01'!BackgroundChecks, 15, 7, 1, 1)=DATE(1900,1,0), DATE(1900,1,1), OFFSET('IWP01'!BackgroundChecks, 15, 7, 1, 1))</f>
        <v>1</v>
      </c>
      <c r="H98" s="254">
        <f ca="1">IF(OFFSET('IWP01'!BackgroundChecks, 15, 8, 1, 1)=DATE(1900,1,0), DATE(1900,1,1), OFFSET('IWP01'!BackgroundChecks, 15, 8, 1, 1))</f>
        <v>1</v>
      </c>
      <c r="I98" s="262" t="str">
        <f ca="1">IF(OFFSET('IWP01'!BackgroundChecks, 15, 9, 1, 1) = 0, "", OFFSET('IWP01'!BackgroundChecks, 15, 9, 1, 1))</f>
        <v/>
      </c>
      <c r="J98" s="262" t="str">
        <f ca="1">IF(OFFSET('IWP01'!BackgroundChecks, 15, 10, 1, 1) = 0, "", OFFSET('IWP01'!BackgroundChecks, 15, 10, 1, 1))</f>
        <v/>
      </c>
      <c r="K98" s="262" t="str">
        <f ca="1">IF(OFFSET('IWP01'!BackgroundChecks, 15, 11, 1, 1) = 0, "", OFFSET('IWP01'!BackgroundChecks, 15, 11, 1, 1))</f>
        <v/>
      </c>
      <c r="L98" s="262" t="str">
        <f ca="1">IF(OFFSET('IWP01'!BackgroundChecks, 15, 12, 1, 1) = 0, "", OFFSET('IWP01'!BackgroundChecks, 15, 12, 1, 1))</f>
        <v/>
      </c>
      <c r="M98" s="262" t="str">
        <f ca="1">IF(OFFSET('IWP01'!BackgroundChecks, 15, 13, 1, 1) = 0, "", OFFSET('IWP01'!BackgroundChecks, 15, 13, 1, 1))</f>
        <v/>
      </c>
      <c r="N98" s="261"/>
    </row>
    <row r="99" spans="1:14">
      <c r="A99" s="257" t="s">
        <v>499</v>
      </c>
      <c r="B99" s="262" t="str">
        <f ca="1">IF(OFFSET('IWP01'!BackgroundChecks, 16, 0, 1, 1) = 0, "", OFFSET('IWP01'!BackgroundChecks, 16, 0, 1, 1))</f>
        <v/>
      </c>
      <c r="C99" s="262" t="str">
        <f ca="1">IF(OFFSET('IWP01'!BackgroundChecks, 16, 2, 1, 1) = 0, "", OFFSET('IWP01'!BackgroundChecks, 16, 2, 1, 1))</f>
        <v/>
      </c>
      <c r="D99" s="262" t="str">
        <f ca="1">IF(OFFSET('IWP01'!BackgroundChecks, 16, 4, 1, 1) = 0, "", OFFSET('IWP01'!BackgroundChecks, 16, 4, 1, 1))</f>
        <v/>
      </c>
      <c r="E99" s="254">
        <f ca="1">IF(OFFSET('IWP01'!BackgroundChecks, 16, 5, 1, 1)=DATE(1900,1,0), DATE(1900,1,1), OFFSET('IWP01'!BackgroundChecks, 16, 5, 1, 1))</f>
        <v>1</v>
      </c>
      <c r="F99" s="262" t="str">
        <f ca="1">IF(OFFSET('IWP01'!BackgroundChecks, 16, 6, 1, 1) = 0, "", OFFSET('IWP01'!BackgroundChecks, 16, 6, 1, 1))</f>
        <v/>
      </c>
      <c r="G99" s="254">
        <f ca="1">IF(OFFSET('IWP01'!BackgroundChecks, 16, 7, 1, 1)=DATE(1900,1,0), DATE(1900,1,1), OFFSET('IWP01'!BackgroundChecks, 16, 7, 1, 1))</f>
        <v>1</v>
      </c>
      <c r="H99" s="254">
        <f ca="1">IF(OFFSET('IWP01'!BackgroundChecks, 16, 8, 1, 1)=DATE(1900,1,0), DATE(1900,1,1), OFFSET('IWP01'!BackgroundChecks, 16, 8, 1, 1))</f>
        <v>1</v>
      </c>
      <c r="I99" s="262" t="str">
        <f ca="1">IF(OFFSET('IWP01'!BackgroundChecks, 16, 9, 1, 1) = 0, "", OFFSET('IWP01'!BackgroundChecks, 16, 9, 1, 1))</f>
        <v/>
      </c>
      <c r="J99" s="262" t="str">
        <f ca="1">IF(OFFSET('IWP01'!BackgroundChecks, 16, 10, 1, 1) = 0, "", OFFSET('IWP01'!BackgroundChecks, 16, 10, 1, 1))</f>
        <v/>
      </c>
      <c r="K99" s="262" t="str">
        <f ca="1">IF(OFFSET('IWP01'!BackgroundChecks, 16, 11, 1, 1) = 0, "", OFFSET('IWP01'!BackgroundChecks, 16, 11, 1, 1))</f>
        <v/>
      </c>
      <c r="L99" s="262" t="str">
        <f ca="1">IF(OFFSET('IWP01'!BackgroundChecks, 16, 12, 1, 1) = 0, "", OFFSET('IWP01'!BackgroundChecks, 16, 12, 1, 1))</f>
        <v/>
      </c>
      <c r="M99" s="262" t="str">
        <f ca="1">IF(OFFSET('IWP01'!BackgroundChecks, 16, 13, 1, 1) = 0, "", OFFSET('IWP01'!BackgroundChecks, 16, 13, 1, 1))</f>
        <v/>
      </c>
      <c r="N99" s="261"/>
    </row>
    <row r="100" spans="1:14">
      <c r="A100" s="257" t="s">
        <v>499</v>
      </c>
      <c r="B100" s="262" t="str">
        <f ca="1">IF(OFFSET('IWP01'!BackgroundChecks, 17, 0, 1, 1) = 0, "", OFFSET('IWP01'!BackgroundChecks, 17, 0, 1, 1))</f>
        <v/>
      </c>
      <c r="C100" s="262" t="str">
        <f ca="1">IF(OFFSET('IWP01'!BackgroundChecks, 17, 2, 1, 1) = 0, "", OFFSET('IWP01'!BackgroundChecks, 17, 2, 1, 1))</f>
        <v/>
      </c>
      <c r="D100" s="262" t="str">
        <f ca="1">IF(OFFSET('IWP01'!BackgroundChecks, 17, 4, 1, 1) = 0, "", OFFSET('IWP01'!BackgroundChecks, 17, 4, 1, 1))</f>
        <v/>
      </c>
      <c r="E100" s="254">
        <f ca="1">IF(OFFSET('IWP01'!BackgroundChecks, 17, 5, 1, 1)=DATE(1900,1,0), DATE(1900,1,1), OFFSET('IWP01'!BackgroundChecks, 17, 5, 1, 1))</f>
        <v>1</v>
      </c>
      <c r="F100" s="262" t="str">
        <f ca="1">IF(OFFSET('IWP01'!BackgroundChecks, 17, 6, 1, 1) = 0, "", OFFSET('IWP01'!BackgroundChecks, 17, 6, 1, 1))</f>
        <v/>
      </c>
      <c r="G100" s="254">
        <f ca="1">IF(OFFSET('IWP01'!BackgroundChecks, 17, 7, 1, 1)=DATE(1900,1,0), DATE(1900,1,1), OFFSET('IWP01'!BackgroundChecks, 17, 7, 1, 1))</f>
        <v>1</v>
      </c>
      <c r="H100" s="254">
        <f ca="1">IF(OFFSET('IWP01'!BackgroundChecks, 17, 8, 1, 1)=DATE(1900,1,0), DATE(1900,1,1), OFFSET('IWP01'!BackgroundChecks, 17, 8, 1, 1))</f>
        <v>1</v>
      </c>
      <c r="I100" s="262" t="str">
        <f ca="1">IF(OFFSET('IWP01'!BackgroundChecks, 17, 9, 1, 1) = 0, "", OFFSET('IWP01'!BackgroundChecks, 17, 9, 1, 1))</f>
        <v/>
      </c>
      <c r="J100" s="262" t="str">
        <f ca="1">IF(OFFSET('IWP01'!BackgroundChecks, 17, 10, 1, 1) = 0, "", OFFSET('IWP01'!BackgroundChecks, 17, 10, 1, 1))</f>
        <v/>
      </c>
      <c r="K100" s="262" t="str">
        <f ca="1">IF(OFFSET('IWP01'!BackgroundChecks, 17, 11, 1, 1) = 0, "", OFFSET('IWP01'!BackgroundChecks, 17, 11, 1, 1))</f>
        <v/>
      </c>
      <c r="L100" s="262" t="str">
        <f ca="1">IF(OFFSET('IWP01'!BackgroundChecks, 17, 12, 1, 1) = 0, "", OFFSET('IWP01'!BackgroundChecks, 17, 12, 1, 1))</f>
        <v/>
      </c>
      <c r="M100" s="262" t="str">
        <f ca="1">IF(OFFSET('IWP01'!BackgroundChecks, 17, 13, 1, 1) = 0, "", OFFSET('IWP01'!BackgroundChecks, 17, 13, 1, 1))</f>
        <v/>
      </c>
      <c r="N100" s="261"/>
    </row>
    <row r="101" spans="1:14">
      <c r="A101" s="257" t="s">
        <v>499</v>
      </c>
      <c r="B101" s="262" t="str">
        <f ca="1">IF(OFFSET('IWP01'!BackgroundChecks, 18, 0, 1, 1) = 0, "", OFFSET('IWP01'!BackgroundChecks, 18, 0, 1, 1))</f>
        <v/>
      </c>
      <c r="C101" s="262" t="str">
        <f ca="1">IF(OFFSET('IWP01'!BackgroundChecks, 18, 2, 1, 1) = 0, "", OFFSET('IWP01'!BackgroundChecks, 18, 2, 1, 1))</f>
        <v/>
      </c>
      <c r="D101" s="262" t="str">
        <f ca="1">IF(OFFSET('IWP01'!BackgroundChecks, 18, 4, 1, 1) = 0, "", OFFSET('IWP01'!BackgroundChecks, 18, 4, 1, 1))</f>
        <v/>
      </c>
      <c r="E101" s="254">
        <f ca="1">IF(OFFSET('IWP01'!BackgroundChecks, 18, 5, 1, 1)=DATE(1900,1,0), DATE(1900,1,1), OFFSET('IWP01'!BackgroundChecks, 18, 5, 1, 1))</f>
        <v>1</v>
      </c>
      <c r="F101" s="262" t="str">
        <f ca="1">IF(OFFSET('IWP01'!BackgroundChecks, 18, 6, 1, 1) = 0, "", OFFSET('IWP01'!BackgroundChecks, 18, 6, 1, 1))</f>
        <v/>
      </c>
      <c r="G101" s="254">
        <f ca="1">IF(OFFSET('IWP01'!BackgroundChecks, 18, 7, 1, 1)=DATE(1900,1,0), DATE(1900,1,1), OFFSET('IWP01'!BackgroundChecks, 18, 7, 1, 1))</f>
        <v>1</v>
      </c>
      <c r="H101" s="254">
        <f ca="1">IF(OFFSET('IWP01'!BackgroundChecks, 18, 8, 1, 1)=DATE(1900,1,0), DATE(1900,1,1), OFFSET('IWP01'!BackgroundChecks, 18, 8, 1, 1))</f>
        <v>1</v>
      </c>
      <c r="I101" s="262" t="str">
        <f ca="1">IF(OFFSET('IWP01'!BackgroundChecks, 18, 9, 1, 1) = 0, "", OFFSET('IWP01'!BackgroundChecks, 18, 9, 1, 1))</f>
        <v/>
      </c>
      <c r="J101" s="262" t="str">
        <f ca="1">IF(OFFSET('IWP01'!BackgroundChecks, 18, 10, 1, 1) = 0, "", OFFSET('IWP01'!BackgroundChecks, 18, 10, 1, 1))</f>
        <v/>
      </c>
      <c r="K101" s="262" t="str">
        <f ca="1">IF(OFFSET('IWP01'!BackgroundChecks, 18, 11, 1, 1) = 0, "", OFFSET('IWP01'!BackgroundChecks, 18, 11, 1, 1))</f>
        <v/>
      </c>
      <c r="L101" s="262" t="str">
        <f ca="1">IF(OFFSET('IWP01'!BackgroundChecks, 18, 12, 1, 1) = 0, "", OFFSET('IWP01'!BackgroundChecks, 18, 12, 1, 1))</f>
        <v/>
      </c>
      <c r="M101" s="262" t="str">
        <f ca="1">IF(OFFSET('IWP01'!BackgroundChecks, 18, 13, 1, 1) = 0, "", OFFSET('IWP01'!BackgroundChecks, 18, 13, 1, 1))</f>
        <v/>
      </c>
      <c r="N101" s="261"/>
    </row>
    <row r="102" spans="1:14">
      <c r="A102" s="257" t="s">
        <v>499</v>
      </c>
      <c r="B102" s="262" t="str">
        <f ca="1">IF(OFFSET('IWP01'!BackgroundChecks, 19, 0, 1, 1) = 0, "", OFFSET('IWP01'!BackgroundChecks, 19, 0, 1, 1))</f>
        <v/>
      </c>
      <c r="C102" s="262" t="str">
        <f ca="1">IF(OFFSET('IWP01'!BackgroundChecks, 19, 2, 1, 1) = 0, "", OFFSET('IWP01'!BackgroundChecks, 19, 2, 1, 1))</f>
        <v/>
      </c>
      <c r="D102" s="262" t="str">
        <f ca="1">IF(OFFSET('IWP01'!BackgroundChecks, 19, 4, 1, 1) = 0, "", OFFSET('IWP01'!BackgroundChecks, 19, 4, 1, 1))</f>
        <v/>
      </c>
      <c r="E102" s="254">
        <f ca="1">IF(OFFSET('IWP01'!BackgroundChecks, 19, 5, 1, 1)=DATE(1900,1,0), DATE(1900,1,1), OFFSET('IWP01'!BackgroundChecks, 19, 5, 1, 1))</f>
        <v>1</v>
      </c>
      <c r="F102" s="262" t="str">
        <f ca="1">IF(OFFSET('IWP01'!BackgroundChecks, 19, 6, 1, 1) = 0, "", OFFSET('IWP01'!BackgroundChecks, 19, 6, 1, 1))</f>
        <v/>
      </c>
      <c r="G102" s="254">
        <f ca="1">IF(OFFSET('IWP01'!BackgroundChecks, 19, 7, 1, 1)=DATE(1900,1,0), DATE(1900,1,1), OFFSET('IWP01'!BackgroundChecks, 19, 7, 1, 1))</f>
        <v>1</v>
      </c>
      <c r="H102" s="254">
        <f ca="1">IF(OFFSET('IWP01'!BackgroundChecks, 19, 8, 1, 1)=DATE(1900,1,0), DATE(1900,1,1), OFFSET('IWP01'!BackgroundChecks, 19, 8, 1, 1))</f>
        <v>1</v>
      </c>
      <c r="I102" s="262" t="str">
        <f ca="1">IF(OFFSET('IWP01'!BackgroundChecks, 19, 9, 1, 1) = 0, "", OFFSET('IWP01'!BackgroundChecks, 19, 9, 1, 1))</f>
        <v/>
      </c>
      <c r="J102" s="262" t="str">
        <f ca="1">IF(OFFSET('IWP01'!BackgroundChecks, 19, 10, 1, 1) = 0, "", OFFSET('IWP01'!BackgroundChecks, 19, 10, 1, 1))</f>
        <v/>
      </c>
      <c r="K102" s="262" t="str">
        <f ca="1">IF(OFFSET('IWP01'!BackgroundChecks, 19, 11, 1, 1) = 0, "", OFFSET('IWP01'!BackgroundChecks, 19, 11, 1, 1))</f>
        <v/>
      </c>
      <c r="L102" s="262" t="str">
        <f ca="1">IF(OFFSET('IWP01'!BackgroundChecks, 19, 12, 1, 1) = 0, "", OFFSET('IWP01'!BackgroundChecks, 19, 12, 1, 1))</f>
        <v/>
      </c>
      <c r="M102" s="262" t="str">
        <f ca="1">IF(OFFSET('IWP01'!BackgroundChecks, 19, 13, 1, 1) = 0, "", OFFSET('IWP01'!BackgroundChecks, 19, 13, 1, 1))</f>
        <v/>
      </c>
      <c r="N102" s="261"/>
    </row>
    <row r="103" spans="1:14" s="105" customFormat="1">
      <c r="A103" s="257" t="s">
        <v>500</v>
      </c>
      <c r="B103" s="262" t="str">
        <f ca="1">IF(OFFSET('IWP02'!BackgroundChecks, 0, 0, 1, 1) = 0, "", OFFSET('IWP02'!BackgroundChecks, 0, 0, 1, 1))</f>
        <v/>
      </c>
      <c r="C103" s="262" t="str">
        <f ca="1">IF(OFFSET('IWP02'!BackgroundChecks, 0, 2, 1, 1) = 0, "", OFFSET('IWP02'!BackgroundChecks, 0, 2, 1, 1))</f>
        <v/>
      </c>
      <c r="D103" s="262" t="str">
        <f ca="1">IF(OFFSET('IWP02'!BackgroundChecks, 0, 4, 1, 1) = 0, "", OFFSET('IWP02'!BackgroundChecks, 0, 4, 1, 1))</f>
        <v/>
      </c>
      <c r="E103" s="254">
        <f ca="1">IF(OFFSET('IWP02'!BackgroundChecks, 0, 5, 1, 1)=DATE(1900,1,0), DATE(1900,1,1), OFFSET('IWP02'!BackgroundChecks, 0, 5, 1, 1))</f>
        <v>1</v>
      </c>
      <c r="F103" s="262" t="str">
        <f ca="1">IF(OFFSET('IWP02'!BackgroundChecks, 0, 6, 1, 1) = 0, "", OFFSET('IWP02'!BackgroundChecks, 0, 6, 1, 1))</f>
        <v/>
      </c>
      <c r="G103" s="254">
        <f ca="1">IF(OFFSET('IWP02'!BackgroundChecks, 0, 7, 1, 1)=DATE(1900,1,0), DATE(1900,1,1), OFFSET('IWP02'!BackgroundChecks, 0, 7, 1, 1))</f>
        <v>1</v>
      </c>
      <c r="H103" s="254">
        <f ca="1">IF(OFFSET('IWP02'!BackgroundChecks, 0, 8, 1, 1)=DATE(1900,1,0), DATE(1900,1,1), OFFSET('IWP02'!BackgroundChecks, 0, 8, 1, 1))</f>
        <v>1</v>
      </c>
      <c r="I103" s="262" t="str">
        <f ca="1">IF(OFFSET('IWP02'!BackgroundChecks, 0, 9, 1, 1) = 0, "", OFFSET('IWP02'!BackgroundChecks, 0, 9, 1, 1))</f>
        <v/>
      </c>
      <c r="J103" s="262" t="str">
        <f ca="1">IF(OFFSET('IWP02'!BackgroundChecks, 0, 10, 1, 1) = 0, "", OFFSET('IWP02'!BackgroundChecks, 0, 10, 1, 1))</f>
        <v/>
      </c>
      <c r="K103" s="262" t="str">
        <f ca="1">IF(OFFSET('IWP02'!BackgroundChecks, 0, 11, 1, 1) = 0, "", OFFSET('IWP02'!BackgroundChecks, 0, 11, 1, 1))</f>
        <v/>
      </c>
      <c r="L103" s="262" t="str">
        <f ca="1">IF(OFFSET('IWP02'!BackgroundChecks, 0, 12, 1, 1) = 0, "", OFFSET('IWP02'!BackgroundChecks, 0, 12, 1, 1))</f>
        <v/>
      </c>
      <c r="M103" s="262" t="str">
        <f ca="1">IF(OFFSET('IWP02'!BackgroundChecks, 0, 13, 1, 1) = 0, "", OFFSET('IWP02'!BackgroundChecks, 0, 13, 1, 1))</f>
        <v/>
      </c>
      <c r="N103" s="261"/>
    </row>
    <row r="104" spans="1:14" s="105" customFormat="1">
      <c r="A104" s="257" t="s">
        <v>500</v>
      </c>
      <c r="B104" s="262" t="str">
        <f ca="1">IF(OFFSET('IWP02'!BackgroundChecks, 1, 0, 1, 1) = 0, "", OFFSET('IWP02'!BackgroundChecks, 1, 0, 1, 1))</f>
        <v/>
      </c>
      <c r="C104" s="262" t="str">
        <f ca="1">IF(OFFSET('IWP02'!BackgroundChecks, 1, 2, 1, 1) = 0, "", OFFSET('IWP02'!BackgroundChecks, 1, 2, 1, 1))</f>
        <v/>
      </c>
      <c r="D104" s="262" t="str">
        <f ca="1">IF(OFFSET('IWP02'!BackgroundChecks, 1, 4, 1, 1) = 0, "", OFFSET('IWP02'!BackgroundChecks, 1, 4, 1, 1))</f>
        <v/>
      </c>
      <c r="E104" s="254">
        <f ca="1">IF(OFFSET('IWP02'!BackgroundChecks, 1, 5, 1, 1)=DATE(1900,1,0), DATE(1900,1,1), OFFSET('IWP02'!BackgroundChecks, 1, 5, 1, 1))</f>
        <v>1</v>
      </c>
      <c r="F104" s="262" t="str">
        <f ca="1">IF(OFFSET('IWP02'!BackgroundChecks, 1, 6, 1, 1) = 0, "", OFFSET('IWP02'!BackgroundChecks, 1, 6, 1, 1))</f>
        <v/>
      </c>
      <c r="G104" s="254">
        <f ca="1">IF(OFFSET('IWP02'!BackgroundChecks, 1, 7, 1, 1)=DATE(1900,1,0), DATE(1900,1,1), OFFSET('IWP02'!BackgroundChecks, 1, 7, 1, 1))</f>
        <v>1</v>
      </c>
      <c r="H104" s="254">
        <f ca="1">IF(OFFSET('IWP02'!BackgroundChecks, 1, 8, 1, 1)=DATE(1900,1,0), DATE(1900,1,1), OFFSET('IWP02'!BackgroundChecks, 1, 8, 1, 1))</f>
        <v>1</v>
      </c>
      <c r="I104" s="262" t="str">
        <f ca="1">IF(OFFSET('IWP02'!BackgroundChecks, 1, 9, 1, 1) = 0, "", OFFSET('IWP02'!BackgroundChecks, 1, 9, 1, 1))</f>
        <v/>
      </c>
      <c r="J104" s="262" t="str">
        <f ca="1">IF(OFFSET('IWP02'!BackgroundChecks, 1, 10, 1, 1) = 0, "", OFFSET('IWP02'!BackgroundChecks, 1, 10, 1, 1))</f>
        <v/>
      </c>
      <c r="K104" s="262" t="str">
        <f ca="1">IF(OFFSET('IWP02'!BackgroundChecks, 1, 11, 1, 1) = 0, "", OFFSET('IWP02'!BackgroundChecks, 1, 11, 1, 1))</f>
        <v/>
      </c>
      <c r="L104" s="262" t="str">
        <f ca="1">IF(OFFSET('IWP02'!BackgroundChecks, 1, 12, 1, 1) = 0, "", OFFSET('IWP02'!BackgroundChecks, 1, 12, 1, 1))</f>
        <v/>
      </c>
      <c r="M104" s="262" t="str">
        <f ca="1">IF(OFFSET('IWP02'!BackgroundChecks, 1, 13, 1, 1) = 0, "", OFFSET('IWP02'!BackgroundChecks, 1, 13, 1, 1))</f>
        <v/>
      </c>
      <c r="N104" s="261"/>
    </row>
    <row r="105" spans="1:14" s="105" customFormat="1">
      <c r="A105" s="257" t="s">
        <v>500</v>
      </c>
      <c r="B105" s="262" t="str">
        <f ca="1">IF(OFFSET('IWP02'!BackgroundChecks, 2, 0, 1, 1) = 0, "", OFFSET('IWP02'!BackgroundChecks, 2, 0, 1, 1))</f>
        <v/>
      </c>
      <c r="C105" s="262" t="str">
        <f ca="1">IF(OFFSET('IWP02'!BackgroundChecks, 2, 2, 1, 1) = 0, "", OFFSET('IWP02'!BackgroundChecks, 2, 2, 1, 1))</f>
        <v/>
      </c>
      <c r="D105" s="262" t="str">
        <f ca="1">IF(OFFSET('IWP02'!BackgroundChecks, 2, 4, 1, 1) = 0, "", OFFSET('IWP02'!BackgroundChecks, 2, 4, 1, 1))</f>
        <v/>
      </c>
      <c r="E105" s="254">
        <f ca="1">IF(OFFSET('IWP02'!BackgroundChecks, 2, 5, 1, 1)=DATE(1900,1,0), DATE(1900,1,1), OFFSET('IWP02'!BackgroundChecks, 2, 5, 1, 1))</f>
        <v>1</v>
      </c>
      <c r="F105" s="262" t="str">
        <f ca="1">IF(OFFSET('IWP02'!BackgroundChecks, 2, 6, 1, 1) = 0, "", OFFSET('IWP02'!BackgroundChecks, 2, 6, 1, 1))</f>
        <v/>
      </c>
      <c r="G105" s="254">
        <f ca="1">IF(OFFSET('IWP02'!BackgroundChecks, 2, 7, 1, 1)=DATE(1900,1,0), DATE(1900,1,1), OFFSET('IWP02'!BackgroundChecks, 2, 7, 1, 1))</f>
        <v>1</v>
      </c>
      <c r="H105" s="254">
        <f ca="1">IF(OFFSET('IWP02'!BackgroundChecks, 2, 8, 1, 1)=DATE(1900,1,0), DATE(1900,1,1), OFFSET('IWP02'!BackgroundChecks, 2, 8, 1, 1))</f>
        <v>1</v>
      </c>
      <c r="I105" s="262" t="str">
        <f ca="1">IF(OFFSET('IWP02'!BackgroundChecks, 2, 9, 1, 1) = 0, "", OFFSET('IWP02'!BackgroundChecks, 2, 9, 1, 1))</f>
        <v/>
      </c>
      <c r="J105" s="262" t="str">
        <f ca="1">IF(OFFSET('IWP02'!BackgroundChecks, 2, 10, 1, 1) = 0, "", OFFSET('IWP02'!BackgroundChecks, 2, 10, 1, 1))</f>
        <v/>
      </c>
      <c r="K105" s="262" t="str">
        <f ca="1">IF(OFFSET('IWP02'!BackgroundChecks, 2, 11, 1, 1) = 0, "", OFFSET('IWP02'!BackgroundChecks, 2, 11, 1, 1))</f>
        <v/>
      </c>
      <c r="L105" s="262" t="str">
        <f ca="1">IF(OFFSET('IWP02'!BackgroundChecks, 2, 12, 1, 1) = 0, "", OFFSET('IWP02'!BackgroundChecks, 2, 12, 1, 1))</f>
        <v/>
      </c>
      <c r="M105" s="262" t="str">
        <f ca="1">IF(OFFSET('IWP02'!BackgroundChecks, 2, 13, 1, 1) = 0, "", OFFSET('IWP02'!BackgroundChecks, 2, 13, 1, 1))</f>
        <v/>
      </c>
      <c r="N105" s="261"/>
    </row>
    <row r="106" spans="1:14" s="105" customFormat="1">
      <c r="A106" s="257" t="s">
        <v>500</v>
      </c>
      <c r="B106" s="262" t="str">
        <f ca="1">IF(OFFSET('IWP02'!BackgroundChecks, 3, 0, 1, 1) = 0, "", OFFSET('IWP02'!BackgroundChecks, 3, 0, 1, 1))</f>
        <v/>
      </c>
      <c r="C106" s="262" t="str">
        <f ca="1">IF(OFFSET('IWP02'!BackgroundChecks, 3, 2, 1, 1) = 0, "", OFFSET('IWP02'!BackgroundChecks, 3, 2, 1, 1))</f>
        <v/>
      </c>
      <c r="D106" s="262" t="str">
        <f ca="1">IF(OFFSET('IWP02'!BackgroundChecks, 3, 4, 1, 1) = 0, "", OFFSET('IWP02'!BackgroundChecks, 3, 4, 1, 1))</f>
        <v/>
      </c>
      <c r="E106" s="254">
        <f ca="1">IF(OFFSET('IWP02'!BackgroundChecks, 3, 5, 1, 1)=DATE(1900,1,0), DATE(1900,1,1), OFFSET('IWP02'!BackgroundChecks, 3, 5, 1, 1))</f>
        <v>1</v>
      </c>
      <c r="F106" s="262" t="str">
        <f ca="1">IF(OFFSET('IWP02'!BackgroundChecks, 3, 6, 1, 1) = 0, "", OFFSET('IWP02'!BackgroundChecks, 3, 6, 1, 1))</f>
        <v/>
      </c>
      <c r="G106" s="254">
        <f ca="1">IF(OFFSET('IWP02'!BackgroundChecks, 3, 7, 1, 1)=DATE(1900,1,0), DATE(1900,1,1), OFFSET('IWP02'!BackgroundChecks, 3, 7, 1, 1))</f>
        <v>1</v>
      </c>
      <c r="H106" s="254">
        <f ca="1">IF(OFFSET('IWP02'!BackgroundChecks, 3, 8, 1, 1)=DATE(1900,1,0), DATE(1900,1,1), OFFSET('IWP02'!BackgroundChecks, 3, 8, 1, 1))</f>
        <v>1</v>
      </c>
      <c r="I106" s="262" t="str">
        <f ca="1">IF(OFFSET('IWP02'!BackgroundChecks, 3, 9, 1, 1) = 0, "", OFFSET('IWP02'!BackgroundChecks, 3, 9, 1, 1))</f>
        <v/>
      </c>
      <c r="J106" s="262" t="str">
        <f ca="1">IF(OFFSET('IWP02'!BackgroundChecks, 3, 10, 1, 1) = 0, "", OFFSET('IWP02'!BackgroundChecks, 3, 10, 1, 1))</f>
        <v/>
      </c>
      <c r="K106" s="262" t="str">
        <f ca="1">IF(OFFSET('IWP02'!BackgroundChecks, 3, 11, 1, 1) = 0, "", OFFSET('IWP02'!BackgroundChecks, 3, 11, 1, 1))</f>
        <v/>
      </c>
      <c r="L106" s="262" t="str">
        <f ca="1">IF(OFFSET('IWP02'!BackgroundChecks, 3, 12, 1, 1) = 0, "", OFFSET('IWP02'!BackgroundChecks, 3, 12, 1, 1))</f>
        <v/>
      </c>
      <c r="M106" s="262" t="str">
        <f ca="1">IF(OFFSET('IWP02'!BackgroundChecks, 3, 13, 1, 1) = 0, "", OFFSET('IWP02'!BackgroundChecks, 3, 13, 1, 1))</f>
        <v/>
      </c>
      <c r="N106" s="261"/>
    </row>
    <row r="107" spans="1:14" s="105" customFormat="1">
      <c r="A107" s="257" t="s">
        <v>500</v>
      </c>
      <c r="B107" s="262" t="str">
        <f ca="1">IF(OFFSET('IWP02'!BackgroundChecks, 4, 0, 1, 1) = 0, "", OFFSET('IWP02'!BackgroundChecks, 4, 0, 1, 1))</f>
        <v/>
      </c>
      <c r="C107" s="262" t="str">
        <f ca="1">IF(OFFSET('IWP02'!BackgroundChecks, 4, 2, 1, 1) = 0, "", OFFSET('IWP02'!BackgroundChecks, 4, 2, 1, 1))</f>
        <v/>
      </c>
      <c r="D107" s="262" t="str">
        <f ca="1">IF(OFFSET('IWP02'!BackgroundChecks, 4, 4, 1, 1) = 0, "", OFFSET('IWP02'!BackgroundChecks, 4, 4, 1, 1))</f>
        <v/>
      </c>
      <c r="E107" s="254">
        <f ca="1">IF(OFFSET('IWP02'!BackgroundChecks, 4, 5, 1, 1)=DATE(1900,1,0), DATE(1900,1,1), OFFSET('IWP02'!BackgroundChecks, 4, 5, 1, 1))</f>
        <v>1</v>
      </c>
      <c r="F107" s="262" t="str">
        <f ca="1">IF(OFFSET('IWP02'!BackgroundChecks, 4, 6, 1, 1) = 0, "", OFFSET('IWP02'!BackgroundChecks, 4, 6, 1, 1))</f>
        <v/>
      </c>
      <c r="G107" s="254">
        <f ca="1">IF(OFFSET('IWP02'!BackgroundChecks, 4, 7, 1, 1)=DATE(1900,1,0), DATE(1900,1,1), OFFSET('IWP02'!BackgroundChecks, 4, 7, 1, 1))</f>
        <v>1</v>
      </c>
      <c r="H107" s="254">
        <f ca="1">IF(OFFSET('IWP02'!BackgroundChecks, 4, 8, 1, 1)=DATE(1900,1,0), DATE(1900,1,1), OFFSET('IWP02'!BackgroundChecks, 4, 8, 1, 1))</f>
        <v>1</v>
      </c>
      <c r="I107" s="262" t="str">
        <f ca="1">IF(OFFSET('IWP02'!BackgroundChecks, 4, 9, 1, 1) = 0, "", OFFSET('IWP02'!BackgroundChecks, 4, 9, 1, 1))</f>
        <v/>
      </c>
      <c r="J107" s="262" t="str">
        <f ca="1">IF(OFFSET('IWP02'!BackgroundChecks, 4, 10, 1, 1) = 0, "", OFFSET('IWP02'!BackgroundChecks, 4, 10, 1, 1))</f>
        <v/>
      </c>
      <c r="K107" s="262" t="str">
        <f ca="1">IF(OFFSET('IWP02'!BackgroundChecks, 4, 11, 1, 1) = 0, "", OFFSET('IWP02'!BackgroundChecks, 4, 11, 1, 1))</f>
        <v/>
      </c>
      <c r="L107" s="262" t="str">
        <f ca="1">IF(OFFSET('IWP02'!BackgroundChecks, 4, 12, 1, 1) = 0, "", OFFSET('IWP02'!BackgroundChecks, 4, 12, 1, 1))</f>
        <v/>
      </c>
      <c r="M107" s="262" t="str">
        <f ca="1">IF(OFFSET('IWP02'!BackgroundChecks, 4, 13, 1, 1) = 0, "", OFFSET('IWP02'!BackgroundChecks, 4, 13, 1, 1))</f>
        <v/>
      </c>
      <c r="N107" s="261"/>
    </row>
    <row r="108" spans="1:14" s="105" customFormat="1">
      <c r="A108" s="257" t="s">
        <v>500</v>
      </c>
      <c r="B108" s="262" t="str">
        <f ca="1">IF(OFFSET('IWP02'!BackgroundChecks, 5, 0, 1, 1) = 0, "", OFFSET('IWP02'!BackgroundChecks, 5, 0, 1, 1))</f>
        <v/>
      </c>
      <c r="C108" s="262" t="str">
        <f ca="1">IF(OFFSET('IWP02'!BackgroundChecks, 5, 2, 1, 1) = 0, "", OFFSET('IWP02'!BackgroundChecks, 5, 2, 1, 1))</f>
        <v/>
      </c>
      <c r="D108" s="262" t="str">
        <f ca="1">IF(OFFSET('IWP02'!BackgroundChecks, 5, 4, 1, 1) = 0, "", OFFSET('IWP02'!BackgroundChecks, 5, 4, 1, 1))</f>
        <v/>
      </c>
      <c r="E108" s="254">
        <f ca="1">IF(OFFSET('IWP02'!BackgroundChecks, 5, 5, 1, 1)=DATE(1900,1,0), DATE(1900,1,1), OFFSET('IWP02'!BackgroundChecks, 5, 5, 1, 1))</f>
        <v>1</v>
      </c>
      <c r="F108" s="262" t="str">
        <f ca="1">IF(OFFSET('IWP02'!BackgroundChecks, 5, 6, 1, 1) = 0, "", OFFSET('IWP02'!BackgroundChecks, 5, 6, 1, 1))</f>
        <v/>
      </c>
      <c r="G108" s="254">
        <f ca="1">IF(OFFSET('IWP02'!BackgroundChecks, 5, 7, 1, 1)=DATE(1900,1,0), DATE(1900,1,1), OFFSET('IWP02'!BackgroundChecks, 5, 7, 1, 1))</f>
        <v>1</v>
      </c>
      <c r="H108" s="254">
        <f ca="1">IF(OFFSET('IWP02'!BackgroundChecks, 5, 8, 1, 1)=DATE(1900,1,0), DATE(1900,1,1), OFFSET('IWP02'!BackgroundChecks, 5, 8, 1, 1))</f>
        <v>1</v>
      </c>
      <c r="I108" s="262" t="str">
        <f ca="1">IF(OFFSET('IWP02'!BackgroundChecks, 5, 9, 1, 1) = 0, "", OFFSET('IWP02'!BackgroundChecks, 5, 9, 1, 1))</f>
        <v/>
      </c>
      <c r="J108" s="262" t="str">
        <f ca="1">IF(OFFSET('IWP02'!BackgroundChecks, 5, 10, 1, 1) = 0, "", OFFSET('IWP02'!BackgroundChecks, 5, 10, 1, 1))</f>
        <v/>
      </c>
      <c r="K108" s="262" t="str">
        <f ca="1">IF(OFFSET('IWP02'!BackgroundChecks, 5, 11, 1, 1) = 0, "", OFFSET('IWP02'!BackgroundChecks, 5, 11, 1, 1))</f>
        <v/>
      </c>
      <c r="L108" s="262" t="str">
        <f ca="1">IF(OFFSET('IWP02'!BackgroundChecks, 5, 12, 1, 1) = 0, "", OFFSET('IWP02'!BackgroundChecks, 5, 12, 1, 1))</f>
        <v/>
      </c>
      <c r="M108" s="262" t="str">
        <f ca="1">IF(OFFSET('IWP02'!BackgroundChecks, 5, 13, 1, 1) = 0, "", OFFSET('IWP02'!BackgroundChecks, 5, 13, 1, 1))</f>
        <v/>
      </c>
      <c r="N108" s="261"/>
    </row>
    <row r="109" spans="1:14" s="105" customFormat="1">
      <c r="A109" s="257" t="s">
        <v>500</v>
      </c>
      <c r="B109" s="262" t="str">
        <f ca="1">IF(OFFSET('IWP02'!BackgroundChecks, 6, 0, 1, 1) = 0, "", OFFSET('IWP02'!BackgroundChecks, 6, 0, 1, 1))</f>
        <v/>
      </c>
      <c r="C109" s="262" t="str">
        <f ca="1">IF(OFFSET('IWP02'!BackgroundChecks, 6, 2, 1, 1) = 0, "", OFFSET('IWP02'!BackgroundChecks, 6, 2, 1, 1))</f>
        <v/>
      </c>
      <c r="D109" s="262" t="str">
        <f ca="1">IF(OFFSET('IWP02'!BackgroundChecks, 6, 4, 1, 1) = 0, "", OFFSET('IWP02'!BackgroundChecks, 6, 4, 1, 1))</f>
        <v/>
      </c>
      <c r="E109" s="254">
        <f ca="1">IF(OFFSET('IWP02'!BackgroundChecks, 6, 5, 1, 1)=DATE(1900,1,0), DATE(1900,1,1), OFFSET('IWP02'!BackgroundChecks, 6, 5, 1, 1))</f>
        <v>1</v>
      </c>
      <c r="F109" s="262" t="str">
        <f ca="1">IF(OFFSET('IWP02'!BackgroundChecks, 6, 6, 1, 1) = 0, "", OFFSET('IWP02'!BackgroundChecks, 6, 6, 1, 1))</f>
        <v/>
      </c>
      <c r="G109" s="254">
        <f ca="1">IF(OFFSET('IWP02'!BackgroundChecks, 6, 7, 1, 1)=DATE(1900,1,0), DATE(1900,1,1), OFFSET('IWP02'!BackgroundChecks, 6, 7, 1, 1))</f>
        <v>1</v>
      </c>
      <c r="H109" s="254">
        <f ca="1">IF(OFFSET('IWP02'!BackgroundChecks, 6, 8, 1, 1)=DATE(1900,1,0), DATE(1900,1,1), OFFSET('IWP02'!BackgroundChecks, 6, 8, 1, 1))</f>
        <v>1</v>
      </c>
      <c r="I109" s="262" t="str">
        <f ca="1">IF(OFFSET('IWP02'!BackgroundChecks, 6, 9, 1, 1) = 0, "", OFFSET('IWP02'!BackgroundChecks, 6, 9, 1, 1))</f>
        <v/>
      </c>
      <c r="J109" s="262" t="str">
        <f ca="1">IF(OFFSET('IWP02'!BackgroundChecks, 6, 10, 1, 1) = 0, "", OFFSET('IWP02'!BackgroundChecks, 6, 10, 1, 1))</f>
        <v/>
      </c>
      <c r="K109" s="262" t="str">
        <f ca="1">IF(OFFSET('IWP02'!BackgroundChecks, 6, 11, 1, 1) = 0, "", OFFSET('IWP02'!BackgroundChecks, 6, 11, 1, 1))</f>
        <v/>
      </c>
      <c r="L109" s="262" t="str">
        <f ca="1">IF(OFFSET('IWP02'!BackgroundChecks, 6, 12, 1, 1) = 0, "", OFFSET('IWP02'!BackgroundChecks, 6, 12, 1, 1))</f>
        <v/>
      </c>
      <c r="M109" s="262" t="str">
        <f ca="1">IF(OFFSET('IWP02'!BackgroundChecks, 6, 13, 1, 1) = 0, "", OFFSET('IWP02'!BackgroundChecks, 6, 13, 1, 1))</f>
        <v/>
      </c>
      <c r="N109" s="261"/>
    </row>
    <row r="110" spans="1:14" s="105" customFormat="1">
      <c r="A110" s="257" t="s">
        <v>500</v>
      </c>
      <c r="B110" s="262" t="str">
        <f ca="1">IF(OFFSET('IWP02'!BackgroundChecks, 7, 0, 1, 1) = 0, "", OFFSET('IWP02'!BackgroundChecks, 7, 0, 1, 1))</f>
        <v/>
      </c>
      <c r="C110" s="262" t="str">
        <f ca="1">IF(OFFSET('IWP02'!BackgroundChecks, 7, 2, 1, 1) = 0, "", OFFSET('IWP02'!BackgroundChecks, 7, 2, 1, 1))</f>
        <v/>
      </c>
      <c r="D110" s="262" t="str">
        <f ca="1">IF(OFFSET('IWP02'!BackgroundChecks, 7, 4, 1, 1) = 0, "", OFFSET('IWP02'!BackgroundChecks, 7, 4, 1, 1))</f>
        <v/>
      </c>
      <c r="E110" s="254">
        <f ca="1">IF(OFFSET('IWP02'!BackgroundChecks, 7, 5, 1, 1)=DATE(1900,1,0), DATE(1900,1,1), OFFSET('IWP02'!BackgroundChecks, 7, 5, 1, 1))</f>
        <v>1</v>
      </c>
      <c r="F110" s="262" t="str">
        <f ca="1">IF(OFFSET('IWP02'!BackgroundChecks, 7, 6, 1, 1) = 0, "", OFFSET('IWP02'!BackgroundChecks, 7, 6, 1, 1))</f>
        <v/>
      </c>
      <c r="G110" s="254">
        <f ca="1">IF(OFFSET('IWP02'!BackgroundChecks, 7, 7, 1, 1)=DATE(1900,1,0), DATE(1900,1,1), OFFSET('IWP02'!BackgroundChecks, 7, 7, 1, 1))</f>
        <v>1</v>
      </c>
      <c r="H110" s="254">
        <f ca="1">IF(OFFSET('IWP02'!BackgroundChecks, 7, 8, 1, 1)=DATE(1900,1,0), DATE(1900,1,1), OFFSET('IWP02'!BackgroundChecks, 7, 8, 1, 1))</f>
        <v>1</v>
      </c>
      <c r="I110" s="262" t="str">
        <f ca="1">IF(OFFSET('IWP02'!BackgroundChecks, 7, 9, 1, 1) = 0, "", OFFSET('IWP02'!BackgroundChecks, 7, 9, 1, 1))</f>
        <v/>
      </c>
      <c r="J110" s="262" t="str">
        <f ca="1">IF(OFFSET('IWP02'!BackgroundChecks, 7, 10, 1, 1) = 0, "", OFFSET('IWP02'!BackgroundChecks, 7, 10, 1, 1))</f>
        <v/>
      </c>
      <c r="K110" s="262" t="str">
        <f ca="1">IF(OFFSET('IWP02'!BackgroundChecks, 7, 11, 1, 1) = 0, "", OFFSET('IWP02'!BackgroundChecks, 7, 11, 1, 1))</f>
        <v/>
      </c>
      <c r="L110" s="262" t="str">
        <f ca="1">IF(OFFSET('IWP02'!BackgroundChecks, 7, 12, 1, 1) = 0, "", OFFSET('IWP02'!BackgroundChecks, 7, 12, 1, 1))</f>
        <v/>
      </c>
      <c r="M110" s="262" t="str">
        <f ca="1">IF(OFFSET('IWP02'!BackgroundChecks, 7, 13, 1, 1) = 0, "", OFFSET('IWP02'!BackgroundChecks, 7, 13, 1, 1))</f>
        <v/>
      </c>
      <c r="N110" s="261"/>
    </row>
    <row r="111" spans="1:14" s="105" customFormat="1">
      <c r="A111" s="257" t="s">
        <v>500</v>
      </c>
      <c r="B111" s="262" t="str">
        <f ca="1">IF(OFFSET('IWP02'!BackgroundChecks, 8, 0, 1, 1) = 0, "", OFFSET('IWP02'!BackgroundChecks, 8, 0, 1, 1))</f>
        <v/>
      </c>
      <c r="C111" s="262" t="str">
        <f ca="1">IF(OFFSET('IWP02'!BackgroundChecks, 8, 2, 1, 1) = 0, "", OFFSET('IWP02'!BackgroundChecks, 8, 2, 1, 1))</f>
        <v/>
      </c>
      <c r="D111" s="262" t="str">
        <f ca="1">IF(OFFSET('IWP02'!BackgroundChecks, 8, 4, 1, 1) = 0, "", OFFSET('IWP02'!BackgroundChecks, 8, 4, 1, 1))</f>
        <v/>
      </c>
      <c r="E111" s="254">
        <f ca="1">IF(OFFSET('IWP02'!BackgroundChecks, 8, 5, 1, 1)=DATE(1900,1,0), DATE(1900,1,1), OFFSET('IWP02'!BackgroundChecks, 8, 5, 1, 1))</f>
        <v>1</v>
      </c>
      <c r="F111" s="262" t="str">
        <f ca="1">IF(OFFSET('IWP02'!BackgroundChecks, 8, 6, 1, 1) = 0, "", OFFSET('IWP02'!BackgroundChecks, 8, 6, 1, 1))</f>
        <v/>
      </c>
      <c r="G111" s="254">
        <f ca="1">IF(OFFSET('IWP02'!BackgroundChecks, 8, 7, 1, 1)=DATE(1900,1,0), DATE(1900,1,1), OFFSET('IWP02'!BackgroundChecks, 8, 7, 1, 1))</f>
        <v>1</v>
      </c>
      <c r="H111" s="254">
        <f ca="1">IF(OFFSET('IWP02'!BackgroundChecks, 8, 8, 1, 1)=DATE(1900,1,0), DATE(1900,1,1), OFFSET('IWP02'!BackgroundChecks, 8, 8, 1, 1))</f>
        <v>1</v>
      </c>
      <c r="I111" s="262" t="str">
        <f ca="1">IF(OFFSET('IWP02'!BackgroundChecks, 8, 9, 1, 1) = 0, "", OFFSET('IWP02'!BackgroundChecks, 8, 9, 1, 1))</f>
        <v/>
      </c>
      <c r="J111" s="262" t="str">
        <f ca="1">IF(OFFSET('IWP02'!BackgroundChecks, 8, 10, 1, 1) = 0, "", OFFSET('IWP02'!BackgroundChecks, 8, 10, 1, 1))</f>
        <v/>
      </c>
      <c r="K111" s="262" t="str">
        <f ca="1">IF(OFFSET('IWP02'!BackgroundChecks, 8, 11, 1, 1) = 0, "", OFFSET('IWP02'!BackgroundChecks, 8, 11, 1, 1))</f>
        <v/>
      </c>
      <c r="L111" s="262" t="str">
        <f ca="1">IF(OFFSET('IWP02'!BackgroundChecks, 8, 12, 1, 1) = 0, "", OFFSET('IWP02'!BackgroundChecks, 8, 12, 1, 1))</f>
        <v/>
      </c>
      <c r="M111" s="262" t="str">
        <f ca="1">IF(OFFSET('IWP02'!BackgroundChecks, 8, 13, 1, 1) = 0, "", OFFSET('IWP02'!BackgroundChecks, 8, 13, 1, 1))</f>
        <v/>
      </c>
      <c r="N111" s="261"/>
    </row>
    <row r="112" spans="1:14" s="105" customFormat="1">
      <c r="A112" s="257" t="s">
        <v>500</v>
      </c>
      <c r="B112" s="262" t="str">
        <f ca="1">IF(OFFSET('IWP02'!BackgroundChecks, 9, 0, 1, 1) = 0, "", OFFSET('IWP02'!BackgroundChecks, 9, 0, 1, 1))</f>
        <v/>
      </c>
      <c r="C112" s="262" t="str">
        <f ca="1">IF(OFFSET('IWP02'!BackgroundChecks, 9, 2, 1, 1) = 0, "", OFFSET('IWP02'!BackgroundChecks, 9, 2, 1, 1))</f>
        <v/>
      </c>
      <c r="D112" s="262" t="str">
        <f ca="1">IF(OFFSET('IWP02'!BackgroundChecks, 9, 4, 1, 1) = 0, "", OFFSET('IWP02'!BackgroundChecks, 9, 4, 1, 1))</f>
        <v/>
      </c>
      <c r="E112" s="254">
        <f ca="1">IF(OFFSET('IWP02'!BackgroundChecks, 9, 5, 1, 1)=DATE(1900,1,0), DATE(1900,1,1), OFFSET('IWP02'!BackgroundChecks, 9, 5, 1, 1))</f>
        <v>1</v>
      </c>
      <c r="F112" s="262" t="str">
        <f ca="1">IF(OFFSET('IWP02'!BackgroundChecks, 9, 6, 1, 1) = 0, "", OFFSET('IWP02'!BackgroundChecks, 9, 6, 1, 1))</f>
        <v/>
      </c>
      <c r="G112" s="254">
        <f ca="1">IF(OFFSET('IWP02'!BackgroundChecks, 9, 7, 1, 1)=DATE(1900,1,0), DATE(1900,1,1), OFFSET('IWP02'!BackgroundChecks, 9, 7, 1, 1))</f>
        <v>1</v>
      </c>
      <c r="H112" s="254">
        <f ca="1">IF(OFFSET('IWP02'!BackgroundChecks, 9, 8, 1, 1)=DATE(1900,1,0), DATE(1900,1,1), OFFSET('IWP02'!BackgroundChecks, 9, 8, 1, 1))</f>
        <v>1</v>
      </c>
      <c r="I112" s="262" t="str">
        <f ca="1">IF(OFFSET('IWP02'!BackgroundChecks, 9, 9, 1, 1) = 0, "", OFFSET('IWP02'!BackgroundChecks, 9, 9, 1, 1))</f>
        <v/>
      </c>
      <c r="J112" s="262" t="str">
        <f ca="1">IF(OFFSET('IWP02'!BackgroundChecks, 9, 10, 1, 1) = 0, "", OFFSET('IWP02'!BackgroundChecks, 9, 10, 1, 1))</f>
        <v/>
      </c>
      <c r="K112" s="262" t="str">
        <f ca="1">IF(OFFSET('IWP02'!BackgroundChecks, 9, 11, 1, 1) = 0, "", OFFSET('IWP02'!BackgroundChecks, 9, 11, 1, 1))</f>
        <v/>
      </c>
      <c r="L112" s="262" t="str">
        <f ca="1">IF(OFFSET('IWP02'!BackgroundChecks, 9, 12, 1, 1) = 0, "", OFFSET('IWP02'!BackgroundChecks, 9, 12, 1, 1))</f>
        <v/>
      </c>
      <c r="M112" s="262" t="str">
        <f ca="1">IF(OFFSET('IWP02'!BackgroundChecks, 9, 13, 1, 1) = 0, "", OFFSET('IWP02'!BackgroundChecks, 9, 13, 1, 1))</f>
        <v/>
      </c>
      <c r="N112" s="261"/>
    </row>
    <row r="113" spans="1:14" s="105" customFormat="1">
      <c r="A113" s="257" t="s">
        <v>500</v>
      </c>
      <c r="B113" s="262" t="str">
        <f ca="1">IF(OFFSET('IWP02'!BackgroundChecks, 10, 0, 1, 1) = 0, "", OFFSET('IWP02'!BackgroundChecks, 10, 0, 1, 1))</f>
        <v/>
      </c>
      <c r="C113" s="262" t="str">
        <f ca="1">IF(OFFSET('IWP02'!BackgroundChecks, 10, 2, 1, 1) = 0, "", OFFSET('IWP02'!BackgroundChecks, 10, 2, 1, 1))</f>
        <v/>
      </c>
      <c r="D113" s="262" t="str">
        <f ca="1">IF(OFFSET('IWP02'!BackgroundChecks, 10, 4, 1, 1) = 0, "", OFFSET('IWP02'!BackgroundChecks, 10, 4, 1, 1))</f>
        <v/>
      </c>
      <c r="E113" s="254">
        <f ca="1">IF(OFFSET('IWP02'!BackgroundChecks, 10, 5, 1, 1)=DATE(1900,1,0), DATE(1900,1,1), OFFSET('IWP02'!BackgroundChecks, 10, 5, 1, 1))</f>
        <v>1</v>
      </c>
      <c r="F113" s="262" t="str">
        <f ca="1">IF(OFFSET('IWP02'!BackgroundChecks, 10, 6, 1, 1) = 0, "", OFFSET('IWP02'!BackgroundChecks, 10, 6, 1, 1))</f>
        <v/>
      </c>
      <c r="G113" s="254">
        <f ca="1">IF(OFFSET('IWP02'!BackgroundChecks, 10, 7, 1, 1)=DATE(1900,1,0), DATE(1900,1,1), OFFSET('IWP02'!BackgroundChecks, 10, 7, 1, 1))</f>
        <v>1</v>
      </c>
      <c r="H113" s="254">
        <f ca="1">IF(OFFSET('IWP02'!BackgroundChecks, 10, 8, 1, 1)=DATE(1900,1,0), DATE(1900,1,1), OFFSET('IWP02'!BackgroundChecks, 10, 8, 1, 1))</f>
        <v>1</v>
      </c>
      <c r="I113" s="262" t="str">
        <f ca="1">IF(OFFSET('IWP02'!BackgroundChecks, 10, 9, 1, 1) = 0, "", OFFSET('IWP02'!BackgroundChecks, 10, 9, 1, 1))</f>
        <v/>
      </c>
      <c r="J113" s="262" t="str">
        <f ca="1">IF(OFFSET('IWP02'!BackgroundChecks, 10, 10, 1, 1) = 0, "", OFFSET('IWP02'!BackgroundChecks, 10, 10, 1, 1))</f>
        <v/>
      </c>
      <c r="K113" s="262" t="str">
        <f ca="1">IF(OFFSET('IWP02'!BackgroundChecks, 10, 11, 1, 1) = 0, "", OFFSET('IWP02'!BackgroundChecks, 10, 11, 1, 1))</f>
        <v/>
      </c>
      <c r="L113" s="262" t="str">
        <f ca="1">IF(OFFSET('IWP02'!BackgroundChecks, 10, 12, 1, 1) = 0, "", OFFSET('IWP02'!BackgroundChecks, 10, 12, 1, 1))</f>
        <v/>
      </c>
      <c r="M113" s="262" t="str">
        <f ca="1">IF(OFFSET('IWP02'!BackgroundChecks, 10, 13, 1, 1) = 0, "", OFFSET('IWP02'!BackgroundChecks, 10, 13, 1, 1))</f>
        <v/>
      </c>
      <c r="N113" s="261"/>
    </row>
    <row r="114" spans="1:14" s="105" customFormat="1">
      <c r="A114" s="257" t="s">
        <v>500</v>
      </c>
      <c r="B114" s="262" t="str">
        <f ca="1">IF(OFFSET('IWP02'!BackgroundChecks, 11, 0, 1, 1) = 0, "", OFFSET('IWP02'!BackgroundChecks, 11, 0, 1, 1))</f>
        <v/>
      </c>
      <c r="C114" s="262" t="str">
        <f ca="1">IF(OFFSET('IWP02'!BackgroundChecks, 11, 2, 1, 1) = 0, "", OFFSET('IWP02'!BackgroundChecks, 11, 2, 1, 1))</f>
        <v/>
      </c>
      <c r="D114" s="262" t="str">
        <f ca="1">IF(OFFSET('IWP02'!BackgroundChecks, 11, 4, 1, 1) = 0, "", OFFSET('IWP02'!BackgroundChecks, 11, 4, 1, 1))</f>
        <v/>
      </c>
      <c r="E114" s="254">
        <f ca="1">IF(OFFSET('IWP02'!BackgroundChecks, 11, 5, 1, 1)=DATE(1900,1,0), DATE(1900,1,1), OFFSET('IWP02'!BackgroundChecks, 11, 5, 1, 1))</f>
        <v>1</v>
      </c>
      <c r="F114" s="262" t="str">
        <f ca="1">IF(OFFSET('IWP02'!BackgroundChecks, 11, 6, 1, 1) = 0, "", OFFSET('IWP02'!BackgroundChecks, 11, 6, 1, 1))</f>
        <v/>
      </c>
      <c r="G114" s="254">
        <f ca="1">IF(OFFSET('IWP02'!BackgroundChecks, 11, 7, 1, 1)=DATE(1900,1,0), DATE(1900,1,1), OFFSET('IWP02'!BackgroundChecks, 11, 7, 1, 1))</f>
        <v>1</v>
      </c>
      <c r="H114" s="254">
        <f ca="1">IF(OFFSET('IWP02'!BackgroundChecks, 11, 8, 1, 1)=DATE(1900,1,0), DATE(1900,1,1), OFFSET('IWP02'!BackgroundChecks, 11, 8, 1, 1))</f>
        <v>1</v>
      </c>
      <c r="I114" s="262" t="str">
        <f ca="1">IF(OFFSET('IWP02'!BackgroundChecks, 11, 9, 1, 1) = 0, "", OFFSET('IWP02'!BackgroundChecks, 11, 9, 1, 1))</f>
        <v/>
      </c>
      <c r="J114" s="262" t="str">
        <f ca="1">IF(OFFSET('IWP02'!BackgroundChecks, 11, 10, 1, 1) = 0, "", OFFSET('IWP02'!BackgroundChecks, 11, 10, 1, 1))</f>
        <v/>
      </c>
      <c r="K114" s="262" t="str">
        <f ca="1">IF(OFFSET('IWP02'!BackgroundChecks, 11, 11, 1, 1) = 0, "", OFFSET('IWP02'!BackgroundChecks, 11, 11, 1, 1))</f>
        <v/>
      </c>
      <c r="L114" s="262" t="str">
        <f ca="1">IF(OFFSET('IWP02'!BackgroundChecks, 11, 12, 1, 1) = 0, "", OFFSET('IWP02'!BackgroundChecks, 11, 12, 1, 1))</f>
        <v/>
      </c>
      <c r="M114" s="262" t="str">
        <f ca="1">IF(OFFSET('IWP02'!BackgroundChecks, 11, 13, 1, 1) = 0, "", OFFSET('IWP02'!BackgroundChecks, 11, 13, 1, 1))</f>
        <v/>
      </c>
      <c r="N114" s="261"/>
    </row>
    <row r="115" spans="1:14" s="105" customFormat="1">
      <c r="A115" s="257" t="s">
        <v>500</v>
      </c>
      <c r="B115" s="262" t="str">
        <f ca="1">IF(OFFSET('IWP02'!BackgroundChecks, 12, 0, 1, 1) = 0, "", OFFSET('IWP02'!BackgroundChecks, 12, 0, 1, 1))</f>
        <v/>
      </c>
      <c r="C115" s="262" t="str">
        <f ca="1">IF(OFFSET('IWP02'!BackgroundChecks, 12, 2, 1, 1) = 0, "", OFFSET('IWP02'!BackgroundChecks, 12, 2, 1, 1))</f>
        <v/>
      </c>
      <c r="D115" s="262" t="str">
        <f ca="1">IF(OFFSET('IWP02'!BackgroundChecks, 12, 4, 1, 1) = 0, "", OFFSET('IWP02'!BackgroundChecks, 12, 4, 1, 1))</f>
        <v/>
      </c>
      <c r="E115" s="254">
        <f ca="1">IF(OFFSET('IWP02'!BackgroundChecks, 12, 5, 1, 1)=DATE(1900,1,0), DATE(1900,1,1), OFFSET('IWP02'!BackgroundChecks, 12, 5, 1, 1))</f>
        <v>1</v>
      </c>
      <c r="F115" s="262" t="str">
        <f ca="1">IF(OFFSET('IWP02'!BackgroundChecks, 12, 6, 1, 1) = 0, "", OFFSET('IWP02'!BackgroundChecks, 12, 6, 1, 1))</f>
        <v/>
      </c>
      <c r="G115" s="254">
        <f ca="1">IF(OFFSET('IWP02'!BackgroundChecks, 12, 7, 1, 1)=DATE(1900,1,0), DATE(1900,1,1), OFFSET('IWP02'!BackgroundChecks, 12, 7, 1, 1))</f>
        <v>1</v>
      </c>
      <c r="H115" s="254">
        <f ca="1">IF(OFFSET('IWP02'!BackgroundChecks, 12, 8, 1, 1)=DATE(1900,1,0), DATE(1900,1,1), OFFSET('IWP02'!BackgroundChecks, 12, 8, 1, 1))</f>
        <v>1</v>
      </c>
      <c r="I115" s="262" t="str">
        <f ca="1">IF(OFFSET('IWP02'!BackgroundChecks, 12, 9, 1, 1) = 0, "", OFFSET('IWP02'!BackgroundChecks, 12, 9, 1, 1))</f>
        <v/>
      </c>
      <c r="J115" s="262" t="str">
        <f ca="1">IF(OFFSET('IWP02'!BackgroundChecks, 12, 10, 1, 1) = 0, "", OFFSET('IWP02'!BackgroundChecks, 12, 10, 1, 1))</f>
        <v/>
      </c>
      <c r="K115" s="262" t="str">
        <f ca="1">IF(OFFSET('IWP02'!BackgroundChecks, 12, 11, 1, 1) = 0, "", OFFSET('IWP02'!BackgroundChecks, 12, 11, 1, 1))</f>
        <v/>
      </c>
      <c r="L115" s="262" t="str">
        <f ca="1">IF(OFFSET('IWP02'!BackgroundChecks, 12, 12, 1, 1) = 0, "", OFFSET('IWP02'!BackgroundChecks, 12, 12, 1, 1))</f>
        <v/>
      </c>
      <c r="M115" s="262" t="str">
        <f ca="1">IF(OFFSET('IWP02'!BackgroundChecks, 12, 13, 1, 1) = 0, "", OFFSET('IWP02'!BackgroundChecks, 12, 13, 1, 1))</f>
        <v/>
      </c>
      <c r="N115" s="261"/>
    </row>
    <row r="116" spans="1:14" s="105" customFormat="1">
      <c r="A116" s="257" t="s">
        <v>500</v>
      </c>
      <c r="B116" s="262" t="str">
        <f ca="1">IF(OFFSET('IWP02'!BackgroundChecks, 13, 0, 1, 1) = 0, "", OFFSET('IWP02'!BackgroundChecks, 13, 0, 1, 1))</f>
        <v/>
      </c>
      <c r="C116" s="262" t="str">
        <f ca="1">IF(OFFSET('IWP02'!BackgroundChecks, 13, 2, 1, 1) = 0, "", OFFSET('IWP02'!BackgroundChecks, 13, 2, 1, 1))</f>
        <v/>
      </c>
      <c r="D116" s="262" t="str">
        <f ca="1">IF(OFFSET('IWP02'!BackgroundChecks, 13, 4, 1, 1) = 0, "", OFFSET('IWP02'!BackgroundChecks, 13, 4, 1, 1))</f>
        <v/>
      </c>
      <c r="E116" s="254">
        <f ca="1">IF(OFFSET('IWP02'!BackgroundChecks, 13, 5, 1, 1)=DATE(1900,1,0), DATE(1900,1,1), OFFSET('IWP02'!BackgroundChecks, 13, 5, 1, 1))</f>
        <v>1</v>
      </c>
      <c r="F116" s="262" t="str">
        <f ca="1">IF(OFFSET('IWP02'!BackgroundChecks, 13, 6, 1, 1) = 0, "", OFFSET('IWP02'!BackgroundChecks, 13, 6, 1, 1))</f>
        <v/>
      </c>
      <c r="G116" s="254">
        <f ca="1">IF(OFFSET('IWP02'!BackgroundChecks, 13, 7, 1, 1)=DATE(1900,1,0), DATE(1900,1,1), OFFSET('IWP02'!BackgroundChecks, 13, 7, 1, 1))</f>
        <v>1</v>
      </c>
      <c r="H116" s="254">
        <f ca="1">IF(OFFSET('IWP02'!BackgroundChecks, 13, 8, 1, 1)=DATE(1900,1,0), DATE(1900,1,1), OFFSET('IWP02'!BackgroundChecks, 13, 8, 1, 1))</f>
        <v>1</v>
      </c>
      <c r="I116" s="262" t="str">
        <f ca="1">IF(OFFSET('IWP02'!BackgroundChecks, 13, 9, 1, 1) = 0, "", OFFSET('IWP02'!BackgroundChecks, 13, 9, 1, 1))</f>
        <v/>
      </c>
      <c r="J116" s="262" t="str">
        <f ca="1">IF(OFFSET('IWP02'!BackgroundChecks, 13, 10, 1, 1) = 0, "", OFFSET('IWP02'!BackgroundChecks, 13, 10, 1, 1))</f>
        <v/>
      </c>
      <c r="K116" s="262" t="str">
        <f ca="1">IF(OFFSET('IWP02'!BackgroundChecks, 13, 11, 1, 1) = 0, "", OFFSET('IWP02'!BackgroundChecks, 13, 11, 1, 1))</f>
        <v/>
      </c>
      <c r="L116" s="262" t="str">
        <f ca="1">IF(OFFSET('IWP02'!BackgroundChecks, 13, 12, 1, 1) = 0, "", OFFSET('IWP02'!BackgroundChecks, 13, 12, 1, 1))</f>
        <v/>
      </c>
      <c r="M116" s="262" t="str">
        <f ca="1">IF(OFFSET('IWP02'!BackgroundChecks, 13, 13, 1, 1) = 0, "", OFFSET('IWP02'!BackgroundChecks, 13, 13, 1, 1))</f>
        <v/>
      </c>
      <c r="N116" s="261"/>
    </row>
    <row r="117" spans="1:14" s="105" customFormat="1">
      <c r="A117" s="257" t="s">
        <v>500</v>
      </c>
      <c r="B117" s="262" t="str">
        <f ca="1">IF(OFFSET('IWP02'!BackgroundChecks, 14, 0, 1, 1) = 0, "", OFFSET('IWP02'!BackgroundChecks, 14, 0, 1, 1))</f>
        <v/>
      </c>
      <c r="C117" s="262" t="str">
        <f ca="1">IF(OFFSET('IWP02'!BackgroundChecks, 14, 2, 1, 1) = 0, "", OFFSET('IWP02'!BackgroundChecks, 14, 2, 1, 1))</f>
        <v/>
      </c>
      <c r="D117" s="262" t="str">
        <f ca="1">IF(OFFSET('IWP02'!BackgroundChecks, 14, 4, 1, 1) = 0, "", OFFSET('IWP02'!BackgroundChecks, 14, 4, 1, 1))</f>
        <v/>
      </c>
      <c r="E117" s="254">
        <f ca="1">IF(OFFSET('IWP02'!BackgroundChecks, 14, 5, 1, 1)=DATE(1900,1,0), DATE(1900,1,1), OFFSET('IWP02'!BackgroundChecks, 14, 5, 1, 1))</f>
        <v>1</v>
      </c>
      <c r="F117" s="262" t="str">
        <f ca="1">IF(OFFSET('IWP02'!BackgroundChecks, 14, 6, 1, 1) = 0, "", OFFSET('IWP02'!BackgroundChecks, 14, 6, 1, 1))</f>
        <v/>
      </c>
      <c r="G117" s="254">
        <f ca="1">IF(OFFSET('IWP02'!BackgroundChecks, 14, 7, 1, 1)=DATE(1900,1,0), DATE(1900,1,1), OFFSET('IWP02'!BackgroundChecks, 14, 7, 1, 1))</f>
        <v>1</v>
      </c>
      <c r="H117" s="254">
        <f ca="1">IF(OFFSET('IWP02'!BackgroundChecks, 14, 8, 1, 1)=DATE(1900,1,0), DATE(1900,1,1), OFFSET('IWP02'!BackgroundChecks, 14, 8, 1, 1))</f>
        <v>1</v>
      </c>
      <c r="I117" s="262" t="str">
        <f ca="1">IF(OFFSET('IWP02'!BackgroundChecks, 14, 9, 1, 1) = 0, "", OFFSET('IWP02'!BackgroundChecks, 14, 9, 1, 1))</f>
        <v/>
      </c>
      <c r="J117" s="262" t="str">
        <f ca="1">IF(OFFSET('IWP02'!BackgroundChecks, 14, 10, 1, 1) = 0, "", OFFSET('IWP02'!BackgroundChecks, 14, 10, 1, 1))</f>
        <v/>
      </c>
      <c r="K117" s="262" t="str">
        <f ca="1">IF(OFFSET('IWP02'!BackgroundChecks, 14, 11, 1, 1) = 0, "", OFFSET('IWP02'!BackgroundChecks, 14, 11, 1, 1))</f>
        <v/>
      </c>
      <c r="L117" s="262" t="str">
        <f ca="1">IF(OFFSET('IWP02'!BackgroundChecks, 14, 12, 1, 1) = 0, "", OFFSET('IWP02'!BackgroundChecks, 14, 12, 1, 1))</f>
        <v/>
      </c>
      <c r="M117" s="262" t="str">
        <f ca="1">IF(OFFSET('IWP02'!BackgroundChecks, 14, 13, 1, 1) = 0, "", OFFSET('IWP02'!BackgroundChecks, 14, 13, 1, 1))</f>
        <v/>
      </c>
      <c r="N117" s="261"/>
    </row>
    <row r="118" spans="1:14" s="105" customFormat="1">
      <c r="A118" s="257" t="s">
        <v>500</v>
      </c>
      <c r="B118" s="262" t="str">
        <f ca="1">IF(OFFSET('IWP02'!BackgroundChecks, 15, 0, 1, 1) = 0, "", OFFSET('IWP02'!BackgroundChecks, 15, 0, 1, 1))</f>
        <v/>
      </c>
      <c r="C118" s="262" t="str">
        <f ca="1">IF(OFFSET('IWP02'!BackgroundChecks, 15, 2, 1, 1) = 0, "", OFFSET('IWP02'!BackgroundChecks, 15, 2, 1, 1))</f>
        <v/>
      </c>
      <c r="D118" s="262" t="str">
        <f ca="1">IF(OFFSET('IWP02'!BackgroundChecks, 15, 4, 1, 1) = 0, "", OFFSET('IWP02'!BackgroundChecks, 15, 4, 1, 1))</f>
        <v/>
      </c>
      <c r="E118" s="254">
        <f ca="1">IF(OFFSET('IWP02'!BackgroundChecks, 15, 5, 1, 1)=DATE(1900,1,0), DATE(1900,1,1), OFFSET('IWP02'!BackgroundChecks, 15, 5, 1, 1))</f>
        <v>1</v>
      </c>
      <c r="F118" s="262" t="str">
        <f ca="1">IF(OFFSET('IWP02'!BackgroundChecks, 15, 6, 1, 1) = 0, "", OFFSET('IWP02'!BackgroundChecks, 15, 6, 1, 1))</f>
        <v/>
      </c>
      <c r="G118" s="254">
        <f ca="1">IF(OFFSET('IWP02'!BackgroundChecks, 15, 7, 1, 1)=DATE(1900,1,0), DATE(1900,1,1), OFFSET('IWP02'!BackgroundChecks, 15, 7, 1, 1))</f>
        <v>1</v>
      </c>
      <c r="H118" s="254">
        <f ca="1">IF(OFFSET('IWP02'!BackgroundChecks, 15, 8, 1, 1)=DATE(1900,1,0), DATE(1900,1,1), OFFSET('IWP02'!BackgroundChecks, 15, 8, 1, 1))</f>
        <v>1</v>
      </c>
      <c r="I118" s="262" t="str">
        <f ca="1">IF(OFFSET('IWP02'!BackgroundChecks, 15, 9, 1, 1) = 0, "", OFFSET('IWP02'!BackgroundChecks, 15, 9, 1, 1))</f>
        <v/>
      </c>
      <c r="J118" s="262" t="str">
        <f ca="1">IF(OFFSET('IWP02'!BackgroundChecks, 15, 10, 1, 1) = 0, "", OFFSET('IWP02'!BackgroundChecks, 15, 10, 1, 1))</f>
        <v/>
      </c>
      <c r="K118" s="262" t="str">
        <f ca="1">IF(OFFSET('IWP02'!BackgroundChecks, 15, 11, 1, 1) = 0, "", OFFSET('IWP02'!BackgroundChecks, 15, 11, 1, 1))</f>
        <v/>
      </c>
      <c r="L118" s="262" t="str">
        <f ca="1">IF(OFFSET('IWP02'!BackgroundChecks, 15, 12, 1, 1) = 0, "", OFFSET('IWP02'!BackgroundChecks, 15, 12, 1, 1))</f>
        <v/>
      </c>
      <c r="M118" s="262" t="str">
        <f ca="1">IF(OFFSET('IWP02'!BackgroundChecks, 15, 13, 1, 1) = 0, "", OFFSET('IWP02'!BackgroundChecks, 15, 13, 1, 1))</f>
        <v/>
      </c>
      <c r="N118" s="261"/>
    </row>
    <row r="119" spans="1:14" s="105" customFormat="1">
      <c r="A119" s="257" t="s">
        <v>500</v>
      </c>
      <c r="B119" s="262" t="str">
        <f ca="1">IF(OFFSET('IWP02'!BackgroundChecks, 16, 0, 1, 1) = 0, "", OFFSET('IWP02'!BackgroundChecks, 16, 0, 1, 1))</f>
        <v/>
      </c>
      <c r="C119" s="262" t="str">
        <f ca="1">IF(OFFSET('IWP02'!BackgroundChecks, 16, 2, 1, 1) = 0, "", OFFSET('IWP02'!BackgroundChecks, 16, 2, 1, 1))</f>
        <v/>
      </c>
      <c r="D119" s="262" t="str">
        <f ca="1">IF(OFFSET('IWP02'!BackgroundChecks, 16, 4, 1, 1) = 0, "", OFFSET('IWP02'!BackgroundChecks, 16, 4, 1, 1))</f>
        <v/>
      </c>
      <c r="E119" s="254">
        <f ca="1">IF(OFFSET('IWP02'!BackgroundChecks, 16, 5, 1, 1)=DATE(1900,1,0), DATE(1900,1,1), OFFSET('IWP02'!BackgroundChecks, 16, 5, 1, 1))</f>
        <v>1</v>
      </c>
      <c r="F119" s="262" t="str">
        <f ca="1">IF(OFFSET('IWP02'!BackgroundChecks, 16, 6, 1, 1) = 0, "", OFFSET('IWP02'!BackgroundChecks, 16, 6, 1, 1))</f>
        <v/>
      </c>
      <c r="G119" s="254">
        <f ca="1">IF(OFFSET('IWP02'!BackgroundChecks, 16, 7, 1, 1)=DATE(1900,1,0), DATE(1900,1,1), OFFSET('IWP02'!BackgroundChecks, 16, 7, 1, 1))</f>
        <v>1</v>
      </c>
      <c r="H119" s="254">
        <f ca="1">IF(OFFSET('IWP02'!BackgroundChecks, 16, 8, 1, 1)=DATE(1900,1,0), DATE(1900,1,1), OFFSET('IWP02'!BackgroundChecks, 16, 8, 1, 1))</f>
        <v>1</v>
      </c>
      <c r="I119" s="262" t="str">
        <f ca="1">IF(OFFSET('IWP02'!BackgroundChecks, 16, 9, 1, 1) = 0, "", OFFSET('IWP02'!BackgroundChecks, 16, 9, 1, 1))</f>
        <v/>
      </c>
      <c r="J119" s="262" t="str">
        <f ca="1">IF(OFFSET('IWP02'!BackgroundChecks, 16, 10, 1, 1) = 0, "", OFFSET('IWP02'!BackgroundChecks, 16, 10, 1, 1))</f>
        <v/>
      </c>
      <c r="K119" s="262" t="str">
        <f ca="1">IF(OFFSET('IWP02'!BackgroundChecks, 16, 11, 1, 1) = 0, "", OFFSET('IWP02'!BackgroundChecks, 16, 11, 1, 1))</f>
        <v/>
      </c>
      <c r="L119" s="262" t="str">
        <f ca="1">IF(OFFSET('IWP02'!BackgroundChecks, 16, 12, 1, 1) = 0, "", OFFSET('IWP02'!BackgroundChecks, 16, 12, 1, 1))</f>
        <v/>
      </c>
      <c r="M119" s="262" t="str">
        <f ca="1">IF(OFFSET('IWP02'!BackgroundChecks, 16, 13, 1, 1) = 0, "", OFFSET('IWP02'!BackgroundChecks, 16, 13, 1, 1))</f>
        <v/>
      </c>
      <c r="N119" s="261"/>
    </row>
    <row r="120" spans="1:14" s="105" customFormat="1">
      <c r="A120" s="257" t="s">
        <v>500</v>
      </c>
      <c r="B120" s="262" t="str">
        <f ca="1">IF(OFFSET('IWP02'!BackgroundChecks, 17, 0, 1, 1) = 0, "", OFFSET('IWP02'!BackgroundChecks, 17, 0, 1, 1))</f>
        <v/>
      </c>
      <c r="C120" s="262" t="str">
        <f ca="1">IF(OFFSET('IWP02'!BackgroundChecks, 17, 2, 1, 1) = 0, "", OFFSET('IWP02'!BackgroundChecks, 17, 2, 1, 1))</f>
        <v/>
      </c>
      <c r="D120" s="262" t="str">
        <f ca="1">IF(OFFSET('IWP02'!BackgroundChecks, 17, 4, 1, 1) = 0, "", OFFSET('IWP02'!BackgroundChecks, 17, 4, 1, 1))</f>
        <v/>
      </c>
      <c r="E120" s="254">
        <f ca="1">IF(OFFSET('IWP02'!BackgroundChecks, 17, 5, 1, 1)=DATE(1900,1,0), DATE(1900,1,1), OFFSET('IWP02'!BackgroundChecks, 17, 5, 1, 1))</f>
        <v>1</v>
      </c>
      <c r="F120" s="262" t="str">
        <f ca="1">IF(OFFSET('IWP02'!BackgroundChecks, 17, 6, 1, 1) = 0, "", OFFSET('IWP02'!BackgroundChecks, 17, 6, 1, 1))</f>
        <v/>
      </c>
      <c r="G120" s="254">
        <f ca="1">IF(OFFSET('IWP02'!BackgroundChecks, 17, 7, 1, 1)=DATE(1900,1,0), DATE(1900,1,1), OFFSET('IWP02'!BackgroundChecks, 17, 7, 1, 1))</f>
        <v>1</v>
      </c>
      <c r="H120" s="254">
        <f ca="1">IF(OFFSET('IWP02'!BackgroundChecks, 17, 8, 1, 1)=DATE(1900,1,0), DATE(1900,1,1), OFFSET('IWP02'!BackgroundChecks, 17, 8, 1, 1))</f>
        <v>1</v>
      </c>
      <c r="I120" s="262" t="str">
        <f ca="1">IF(OFFSET('IWP02'!BackgroundChecks, 17, 9, 1, 1) = 0, "", OFFSET('IWP02'!BackgroundChecks, 17, 9, 1, 1))</f>
        <v/>
      </c>
      <c r="J120" s="262" t="str">
        <f ca="1">IF(OFFSET('IWP02'!BackgroundChecks, 17, 10, 1, 1) = 0, "", OFFSET('IWP02'!BackgroundChecks, 17, 10, 1, 1))</f>
        <v/>
      </c>
      <c r="K120" s="262" t="str">
        <f ca="1">IF(OFFSET('IWP02'!BackgroundChecks, 17, 11, 1, 1) = 0, "", OFFSET('IWP02'!BackgroundChecks, 17, 11, 1, 1))</f>
        <v/>
      </c>
      <c r="L120" s="262" t="str">
        <f ca="1">IF(OFFSET('IWP02'!BackgroundChecks, 17, 12, 1, 1) = 0, "", OFFSET('IWP02'!BackgroundChecks, 17, 12, 1, 1))</f>
        <v/>
      </c>
      <c r="M120" s="262" t="str">
        <f ca="1">IF(OFFSET('IWP02'!BackgroundChecks, 17, 13, 1, 1) = 0, "", OFFSET('IWP02'!BackgroundChecks, 17, 13, 1, 1))</f>
        <v/>
      </c>
      <c r="N120" s="261"/>
    </row>
    <row r="121" spans="1:14" s="105" customFormat="1">
      <c r="A121" s="257" t="s">
        <v>500</v>
      </c>
      <c r="B121" s="262" t="str">
        <f ca="1">IF(OFFSET('IWP02'!BackgroundChecks, 18, 0, 1, 1) = 0, "", OFFSET('IWP02'!BackgroundChecks, 18, 0, 1, 1))</f>
        <v/>
      </c>
      <c r="C121" s="262" t="str">
        <f ca="1">IF(OFFSET('IWP02'!BackgroundChecks, 18, 2, 1, 1) = 0, "", OFFSET('IWP02'!BackgroundChecks, 18, 2, 1, 1))</f>
        <v/>
      </c>
      <c r="D121" s="262" t="str">
        <f ca="1">IF(OFFSET('IWP02'!BackgroundChecks, 18, 4, 1, 1) = 0, "", OFFSET('IWP02'!BackgroundChecks, 18, 4, 1, 1))</f>
        <v/>
      </c>
      <c r="E121" s="254">
        <f ca="1">IF(OFFSET('IWP02'!BackgroundChecks, 18, 5, 1, 1)=DATE(1900,1,0), DATE(1900,1,1), OFFSET('IWP02'!BackgroundChecks, 18, 5, 1, 1))</f>
        <v>1</v>
      </c>
      <c r="F121" s="262" t="str">
        <f ca="1">IF(OFFSET('IWP02'!BackgroundChecks, 18, 6, 1, 1) = 0, "", OFFSET('IWP02'!BackgroundChecks, 18, 6, 1, 1))</f>
        <v/>
      </c>
      <c r="G121" s="254">
        <f ca="1">IF(OFFSET('IWP02'!BackgroundChecks, 18, 7, 1, 1)=DATE(1900,1,0), DATE(1900,1,1), OFFSET('IWP02'!BackgroundChecks, 18, 7, 1, 1))</f>
        <v>1</v>
      </c>
      <c r="H121" s="254">
        <f ca="1">IF(OFFSET('IWP02'!BackgroundChecks, 18, 8, 1, 1)=DATE(1900,1,0), DATE(1900,1,1), OFFSET('IWP02'!BackgroundChecks, 18, 8, 1, 1))</f>
        <v>1</v>
      </c>
      <c r="I121" s="262" t="str">
        <f ca="1">IF(OFFSET('IWP02'!BackgroundChecks, 18, 9, 1, 1) = 0, "", OFFSET('IWP02'!BackgroundChecks, 18, 9, 1, 1))</f>
        <v/>
      </c>
      <c r="J121" s="262" t="str">
        <f ca="1">IF(OFFSET('IWP02'!BackgroundChecks, 18, 10, 1, 1) = 0, "", OFFSET('IWP02'!BackgroundChecks, 18, 10, 1, 1))</f>
        <v/>
      </c>
      <c r="K121" s="262" t="str">
        <f ca="1">IF(OFFSET('IWP02'!BackgroundChecks, 18, 11, 1, 1) = 0, "", OFFSET('IWP02'!BackgroundChecks, 18, 11, 1, 1))</f>
        <v/>
      </c>
      <c r="L121" s="262" t="str">
        <f ca="1">IF(OFFSET('IWP02'!BackgroundChecks, 18, 12, 1, 1) = 0, "", OFFSET('IWP02'!BackgroundChecks, 18, 12, 1, 1))</f>
        <v/>
      </c>
      <c r="M121" s="262" t="str">
        <f ca="1">IF(OFFSET('IWP02'!BackgroundChecks, 18, 13, 1, 1) = 0, "", OFFSET('IWP02'!BackgroundChecks, 18, 13, 1, 1))</f>
        <v/>
      </c>
      <c r="N121" s="261"/>
    </row>
    <row r="122" spans="1:14" s="105" customFormat="1">
      <c r="A122" s="257" t="s">
        <v>500</v>
      </c>
      <c r="B122" s="262" t="str">
        <f ca="1">IF(OFFSET('IWP02'!BackgroundChecks, 19, 0, 1, 1) = 0, "", OFFSET('IWP02'!BackgroundChecks, 19, 0, 1, 1))</f>
        <v/>
      </c>
      <c r="C122" s="262" t="str">
        <f ca="1">IF(OFFSET('IWP02'!BackgroundChecks, 19, 2, 1, 1) = 0, "", OFFSET('IWP02'!BackgroundChecks, 19, 2, 1, 1))</f>
        <v/>
      </c>
      <c r="D122" s="262" t="str">
        <f ca="1">IF(OFFSET('IWP02'!BackgroundChecks, 19, 4, 1, 1) = 0, "", OFFSET('IWP02'!BackgroundChecks, 19, 4, 1, 1))</f>
        <v/>
      </c>
      <c r="E122" s="254">
        <f ca="1">IF(OFFSET('IWP02'!BackgroundChecks, 19, 5, 1, 1)=DATE(1900,1,0), DATE(1900,1,1), OFFSET('IWP02'!BackgroundChecks, 19, 5, 1, 1))</f>
        <v>1</v>
      </c>
      <c r="F122" s="262" t="str">
        <f ca="1">IF(OFFSET('IWP02'!BackgroundChecks, 19, 6, 1, 1) = 0, "", OFFSET('IWP02'!BackgroundChecks, 19, 6, 1, 1))</f>
        <v/>
      </c>
      <c r="G122" s="254">
        <f ca="1">IF(OFFSET('IWP02'!BackgroundChecks, 19, 7, 1, 1)=DATE(1900,1,0), DATE(1900,1,1), OFFSET('IWP02'!BackgroundChecks, 19, 7, 1, 1))</f>
        <v>1</v>
      </c>
      <c r="H122" s="254">
        <f ca="1">IF(OFFSET('IWP02'!BackgroundChecks, 19, 8, 1, 1)=DATE(1900,1,0), DATE(1900,1,1), OFFSET('IWP02'!BackgroundChecks, 19, 8, 1, 1))</f>
        <v>1</v>
      </c>
      <c r="I122" s="262" t="str">
        <f ca="1">IF(OFFSET('IWP02'!BackgroundChecks, 19, 9, 1, 1) = 0, "", OFFSET('IWP02'!BackgroundChecks, 19, 9, 1, 1))</f>
        <v/>
      </c>
      <c r="J122" s="262" t="str">
        <f ca="1">IF(OFFSET('IWP02'!BackgroundChecks, 19, 10, 1, 1) = 0, "", OFFSET('IWP02'!BackgroundChecks, 19, 10, 1, 1))</f>
        <v/>
      </c>
      <c r="K122" s="262" t="str">
        <f ca="1">IF(OFFSET('IWP02'!BackgroundChecks, 19, 11, 1, 1) = 0, "", OFFSET('IWP02'!BackgroundChecks, 19, 11, 1, 1))</f>
        <v/>
      </c>
      <c r="L122" s="262" t="str">
        <f ca="1">IF(OFFSET('IWP02'!BackgroundChecks, 19, 12, 1, 1) = 0, "", OFFSET('IWP02'!BackgroundChecks, 19, 12, 1, 1))</f>
        <v/>
      </c>
      <c r="M122" s="262" t="str">
        <f ca="1">IF(OFFSET('IWP02'!BackgroundChecks, 19, 13, 1, 1) = 0, "", OFFSET('IWP02'!BackgroundChecks, 19, 13, 1, 1))</f>
        <v/>
      </c>
      <c r="N122" s="261"/>
    </row>
    <row r="123" spans="1:14" s="105" customFormat="1">
      <c r="A123" s="257" t="s">
        <v>501</v>
      </c>
      <c r="B123" s="262" t="str">
        <f ca="1">IF(OFFSET('IWP03'!BackgroundChecks, 0, 0, 1, 1) = 0, "", OFFSET('IWP03'!BackgroundChecks, 0, 0, 1, 1))</f>
        <v/>
      </c>
      <c r="C123" s="262" t="str">
        <f ca="1">IF(OFFSET('IWP03'!BackgroundChecks, 0, 2, 1, 1) = 0, "", OFFSET('IWP03'!BackgroundChecks, 0, 2, 1, 1))</f>
        <v/>
      </c>
      <c r="D123" s="262" t="str">
        <f ca="1">IF(OFFSET('IWP03'!BackgroundChecks, 0, 4, 1, 1) = 0, "", OFFSET('IWP03'!BackgroundChecks, 0, 4, 1, 1))</f>
        <v/>
      </c>
      <c r="E123" s="254">
        <f ca="1">IF(OFFSET('IWP03'!BackgroundChecks, 0, 5, 1, 1)=DATE(1900,1,0), DATE(1900,1,1), OFFSET('IWP03'!BackgroundChecks, 0, 5, 1, 1))</f>
        <v>1</v>
      </c>
      <c r="F123" s="262" t="str">
        <f ca="1">IF(OFFSET('IWP03'!BackgroundChecks, 0, 6, 1, 1) = 0, "", OFFSET('IWP03'!BackgroundChecks, 0, 6, 1, 1))</f>
        <v/>
      </c>
      <c r="G123" s="254">
        <f ca="1">IF(OFFSET('IWP03'!BackgroundChecks, 0, 7, 1, 1)=DATE(1900,1,0), DATE(1900,1,1), OFFSET('IWP03'!BackgroundChecks, 0, 7, 1, 1))</f>
        <v>1</v>
      </c>
      <c r="H123" s="254">
        <f ca="1">IF(OFFSET('IWP03'!BackgroundChecks, 0, 8, 1, 1)=DATE(1900,1,0), DATE(1900,1,1), OFFSET('IWP03'!BackgroundChecks, 0, 8, 1, 1))</f>
        <v>1</v>
      </c>
      <c r="I123" s="262" t="str">
        <f ca="1">IF(OFFSET('IWP03'!BackgroundChecks, 0, 9, 1, 1) = 0, "", OFFSET('IWP03'!BackgroundChecks, 0, 9, 1, 1))</f>
        <v/>
      </c>
      <c r="J123" s="262" t="str">
        <f ca="1">IF(OFFSET('IWP03'!BackgroundChecks, 0, 10, 1, 1) = 0, "", OFFSET('IWP03'!BackgroundChecks, 0, 10, 1, 1))</f>
        <v/>
      </c>
      <c r="K123" s="262" t="str">
        <f ca="1">IF(OFFSET('IWP03'!BackgroundChecks, 0, 11, 1, 1) = 0, "", OFFSET('IWP03'!BackgroundChecks, 0, 11, 1, 1))</f>
        <v/>
      </c>
      <c r="L123" s="262" t="str">
        <f ca="1">IF(OFFSET('IWP03'!BackgroundChecks, 0, 12, 1, 1) = 0, "", OFFSET('IWP03'!BackgroundChecks, 0, 12, 1, 1))</f>
        <v/>
      </c>
      <c r="M123" s="262" t="str">
        <f ca="1">IF(OFFSET('IWP03'!BackgroundChecks, 0, 13, 1, 1) = 0, "", OFFSET('IWP03'!BackgroundChecks, 0, 13, 1, 1))</f>
        <v/>
      </c>
      <c r="N123" s="261"/>
    </row>
    <row r="124" spans="1:14" s="105" customFormat="1">
      <c r="A124" s="257" t="s">
        <v>501</v>
      </c>
      <c r="B124" s="262" t="str">
        <f ca="1">IF(OFFSET('IWP03'!BackgroundChecks, 1, 0, 1, 1) = 0, "", OFFSET('IWP03'!BackgroundChecks, 1, 0, 1, 1))</f>
        <v/>
      </c>
      <c r="C124" s="262" t="str">
        <f ca="1">IF(OFFSET('IWP03'!BackgroundChecks, 1, 2, 1, 1) = 0, "", OFFSET('IWP03'!BackgroundChecks, 1, 2, 1, 1))</f>
        <v/>
      </c>
      <c r="D124" s="262" t="str">
        <f ca="1">IF(OFFSET('IWP03'!BackgroundChecks, 1, 4, 1, 1) = 0, "", OFFSET('IWP03'!BackgroundChecks, 1, 4, 1, 1))</f>
        <v/>
      </c>
      <c r="E124" s="254">
        <f ca="1">IF(OFFSET('IWP03'!BackgroundChecks, 1, 5, 1, 1)=DATE(1900,1,0), DATE(1900,1,1), OFFSET('IWP03'!BackgroundChecks, 1, 5, 1, 1))</f>
        <v>1</v>
      </c>
      <c r="F124" s="262" t="str">
        <f ca="1">IF(OFFSET('IWP03'!BackgroundChecks, 1, 6, 1, 1) = 0, "", OFFSET('IWP03'!BackgroundChecks, 1, 6, 1, 1))</f>
        <v/>
      </c>
      <c r="G124" s="254">
        <f ca="1">IF(OFFSET('IWP03'!BackgroundChecks, 1, 7, 1, 1)=DATE(1900,1,0), DATE(1900,1,1), OFFSET('IWP03'!BackgroundChecks, 1, 7, 1, 1))</f>
        <v>1</v>
      </c>
      <c r="H124" s="254">
        <f ca="1">IF(OFFSET('IWP03'!BackgroundChecks, 1, 8, 1, 1)=DATE(1900,1,0), DATE(1900,1,1), OFFSET('IWP03'!BackgroundChecks, 1, 8, 1, 1))</f>
        <v>1</v>
      </c>
      <c r="I124" s="262" t="str">
        <f ca="1">IF(OFFSET('IWP03'!BackgroundChecks, 1, 9, 1, 1) = 0, "", OFFSET('IWP03'!BackgroundChecks, 1, 9, 1, 1))</f>
        <v/>
      </c>
      <c r="J124" s="262" t="str">
        <f ca="1">IF(OFFSET('IWP03'!BackgroundChecks, 1, 10, 1, 1) = 0, "", OFFSET('IWP03'!BackgroundChecks, 1, 10, 1, 1))</f>
        <v/>
      </c>
      <c r="K124" s="262" t="str">
        <f ca="1">IF(OFFSET('IWP03'!BackgroundChecks, 1, 11, 1, 1) = 0, "", OFFSET('IWP03'!BackgroundChecks, 1, 11, 1, 1))</f>
        <v/>
      </c>
      <c r="L124" s="262" t="str">
        <f ca="1">IF(OFFSET('IWP03'!BackgroundChecks, 1, 12, 1, 1) = 0, "", OFFSET('IWP03'!BackgroundChecks, 1, 12, 1, 1))</f>
        <v/>
      </c>
      <c r="M124" s="262" t="str">
        <f ca="1">IF(OFFSET('IWP03'!BackgroundChecks, 1, 13, 1, 1) = 0, "", OFFSET('IWP03'!BackgroundChecks, 1, 13, 1, 1))</f>
        <v/>
      </c>
      <c r="N124" s="261"/>
    </row>
    <row r="125" spans="1:14" s="105" customFormat="1">
      <c r="A125" s="257" t="s">
        <v>501</v>
      </c>
      <c r="B125" s="262" t="str">
        <f ca="1">IF(OFFSET('IWP03'!BackgroundChecks, 2, 0, 1, 1) = 0, "", OFFSET('IWP03'!BackgroundChecks, 2, 0, 1, 1))</f>
        <v/>
      </c>
      <c r="C125" s="262" t="str">
        <f ca="1">IF(OFFSET('IWP03'!BackgroundChecks, 2, 2, 1, 1) = 0, "", OFFSET('IWP03'!BackgroundChecks, 2, 2, 1, 1))</f>
        <v/>
      </c>
      <c r="D125" s="262" t="str">
        <f ca="1">IF(OFFSET('IWP03'!BackgroundChecks, 2, 4, 1, 1) = 0, "", OFFSET('IWP03'!BackgroundChecks, 2, 4, 1, 1))</f>
        <v/>
      </c>
      <c r="E125" s="254">
        <f ca="1">IF(OFFSET('IWP03'!BackgroundChecks, 2, 5, 1, 1)=DATE(1900,1,0), DATE(1900,1,1), OFFSET('IWP03'!BackgroundChecks, 2, 5, 1, 1))</f>
        <v>1</v>
      </c>
      <c r="F125" s="262" t="str">
        <f ca="1">IF(OFFSET('IWP03'!BackgroundChecks, 2, 6, 1, 1) = 0, "", OFFSET('IWP03'!BackgroundChecks, 2, 6, 1, 1))</f>
        <v/>
      </c>
      <c r="G125" s="254">
        <f ca="1">IF(OFFSET('IWP03'!BackgroundChecks, 2, 7, 1, 1)=DATE(1900,1,0), DATE(1900,1,1), OFFSET('IWP03'!BackgroundChecks, 2, 7, 1, 1))</f>
        <v>1</v>
      </c>
      <c r="H125" s="254">
        <f ca="1">IF(OFFSET('IWP03'!BackgroundChecks, 2, 8, 1, 1)=DATE(1900,1,0), DATE(1900,1,1), OFFSET('IWP03'!BackgroundChecks, 2, 8, 1, 1))</f>
        <v>1</v>
      </c>
      <c r="I125" s="262" t="str">
        <f ca="1">IF(OFFSET('IWP03'!BackgroundChecks, 2, 9, 1, 1) = 0, "", OFFSET('IWP03'!BackgroundChecks, 2, 9, 1, 1))</f>
        <v/>
      </c>
      <c r="J125" s="262" t="str">
        <f ca="1">IF(OFFSET('IWP03'!BackgroundChecks, 2, 10, 1, 1) = 0, "", OFFSET('IWP03'!BackgroundChecks, 2, 10, 1, 1))</f>
        <v/>
      </c>
      <c r="K125" s="262" t="str">
        <f ca="1">IF(OFFSET('IWP03'!BackgroundChecks, 2, 11, 1, 1) = 0, "", OFFSET('IWP03'!BackgroundChecks, 2, 11, 1, 1))</f>
        <v/>
      </c>
      <c r="L125" s="262" t="str">
        <f ca="1">IF(OFFSET('IWP03'!BackgroundChecks, 2, 12, 1, 1) = 0, "", OFFSET('IWP03'!BackgroundChecks, 2, 12, 1, 1))</f>
        <v/>
      </c>
      <c r="M125" s="262" t="str">
        <f ca="1">IF(OFFSET('IWP03'!BackgroundChecks, 2, 13, 1, 1) = 0, "", OFFSET('IWP03'!BackgroundChecks, 2, 13, 1, 1))</f>
        <v/>
      </c>
      <c r="N125" s="261"/>
    </row>
    <row r="126" spans="1:14" s="105" customFormat="1">
      <c r="A126" s="257" t="s">
        <v>501</v>
      </c>
      <c r="B126" s="262" t="str">
        <f ca="1">IF(OFFSET('IWP03'!BackgroundChecks, 3, 0, 1, 1) = 0, "", OFFSET('IWP03'!BackgroundChecks, 3, 0, 1, 1))</f>
        <v/>
      </c>
      <c r="C126" s="262" t="str">
        <f ca="1">IF(OFFSET('IWP03'!BackgroundChecks, 3, 2, 1, 1) = 0, "", OFFSET('IWP03'!BackgroundChecks, 3, 2, 1, 1))</f>
        <v/>
      </c>
      <c r="D126" s="262" t="str">
        <f ca="1">IF(OFFSET('IWP03'!BackgroundChecks, 3, 4, 1, 1) = 0, "", OFFSET('IWP03'!BackgroundChecks, 3, 4, 1, 1))</f>
        <v/>
      </c>
      <c r="E126" s="254">
        <f ca="1">IF(OFFSET('IWP03'!BackgroundChecks, 3, 5, 1, 1)=DATE(1900,1,0), DATE(1900,1,1), OFFSET('IWP03'!BackgroundChecks, 3, 5, 1, 1))</f>
        <v>1</v>
      </c>
      <c r="F126" s="262" t="str">
        <f ca="1">IF(OFFSET('IWP03'!BackgroundChecks, 3, 6, 1, 1) = 0, "", OFFSET('IWP03'!BackgroundChecks, 3, 6, 1, 1))</f>
        <v/>
      </c>
      <c r="G126" s="254">
        <f ca="1">IF(OFFSET('IWP03'!BackgroundChecks, 3, 7, 1, 1)=DATE(1900,1,0), DATE(1900,1,1), OFFSET('IWP03'!BackgroundChecks, 3, 7, 1, 1))</f>
        <v>1</v>
      </c>
      <c r="H126" s="254">
        <f ca="1">IF(OFFSET('IWP03'!BackgroundChecks, 3, 8, 1, 1)=DATE(1900,1,0), DATE(1900,1,1), OFFSET('IWP03'!BackgroundChecks, 3, 8, 1, 1))</f>
        <v>1</v>
      </c>
      <c r="I126" s="262" t="str">
        <f ca="1">IF(OFFSET('IWP03'!BackgroundChecks, 3, 9, 1, 1) = 0, "", OFFSET('IWP03'!BackgroundChecks, 3, 9, 1, 1))</f>
        <v/>
      </c>
      <c r="J126" s="262" t="str">
        <f ca="1">IF(OFFSET('IWP03'!BackgroundChecks, 3, 10, 1, 1) = 0, "", OFFSET('IWP03'!BackgroundChecks, 3, 10, 1, 1))</f>
        <v/>
      </c>
      <c r="K126" s="262" t="str">
        <f ca="1">IF(OFFSET('IWP03'!BackgroundChecks, 3, 11, 1, 1) = 0, "", OFFSET('IWP03'!BackgroundChecks, 3, 11, 1, 1))</f>
        <v/>
      </c>
      <c r="L126" s="262" t="str">
        <f ca="1">IF(OFFSET('IWP03'!BackgroundChecks, 3, 12, 1, 1) = 0, "", OFFSET('IWP03'!BackgroundChecks, 3, 12, 1, 1))</f>
        <v/>
      </c>
      <c r="M126" s="262" t="str">
        <f ca="1">IF(OFFSET('IWP03'!BackgroundChecks, 3, 13, 1, 1) = 0, "", OFFSET('IWP03'!BackgroundChecks, 3, 13, 1, 1))</f>
        <v/>
      </c>
      <c r="N126" s="261"/>
    </row>
    <row r="127" spans="1:14" s="105" customFormat="1">
      <c r="A127" s="257" t="s">
        <v>501</v>
      </c>
      <c r="B127" s="262" t="str">
        <f ca="1">IF(OFFSET('IWP03'!BackgroundChecks, 4, 0, 1, 1) = 0, "", OFFSET('IWP03'!BackgroundChecks, 4, 0, 1, 1))</f>
        <v/>
      </c>
      <c r="C127" s="262" t="str">
        <f ca="1">IF(OFFSET('IWP03'!BackgroundChecks, 4, 2, 1, 1) = 0, "", OFFSET('IWP03'!BackgroundChecks, 4, 2, 1, 1))</f>
        <v/>
      </c>
      <c r="D127" s="262" t="str">
        <f ca="1">IF(OFFSET('IWP03'!BackgroundChecks, 4, 4, 1, 1) = 0, "", OFFSET('IWP03'!BackgroundChecks, 4, 4, 1, 1))</f>
        <v/>
      </c>
      <c r="E127" s="254">
        <f ca="1">IF(OFFSET('IWP03'!BackgroundChecks, 4, 5, 1, 1)=DATE(1900,1,0), DATE(1900,1,1), OFFSET('IWP03'!BackgroundChecks, 4, 5, 1, 1))</f>
        <v>1</v>
      </c>
      <c r="F127" s="262" t="str">
        <f ca="1">IF(OFFSET('IWP03'!BackgroundChecks, 4, 6, 1, 1) = 0, "", OFFSET('IWP03'!BackgroundChecks, 4, 6, 1, 1))</f>
        <v/>
      </c>
      <c r="G127" s="254">
        <f ca="1">IF(OFFSET('IWP03'!BackgroundChecks, 4, 7, 1, 1)=DATE(1900,1,0), DATE(1900,1,1), OFFSET('IWP03'!BackgroundChecks, 4, 7, 1, 1))</f>
        <v>1</v>
      </c>
      <c r="H127" s="254">
        <f ca="1">IF(OFFSET('IWP03'!BackgroundChecks, 4, 8, 1, 1)=DATE(1900,1,0), DATE(1900,1,1), OFFSET('IWP03'!BackgroundChecks, 4, 8, 1, 1))</f>
        <v>1</v>
      </c>
      <c r="I127" s="262" t="str">
        <f ca="1">IF(OFFSET('IWP03'!BackgroundChecks, 4, 9, 1, 1) = 0, "", OFFSET('IWP03'!BackgroundChecks, 4, 9, 1, 1))</f>
        <v/>
      </c>
      <c r="J127" s="262" t="str">
        <f ca="1">IF(OFFSET('IWP03'!BackgroundChecks, 4, 10, 1, 1) = 0, "", OFFSET('IWP03'!BackgroundChecks, 4, 10, 1, 1))</f>
        <v/>
      </c>
      <c r="K127" s="262" t="str">
        <f ca="1">IF(OFFSET('IWP03'!BackgroundChecks, 4, 11, 1, 1) = 0, "", OFFSET('IWP03'!BackgroundChecks, 4, 11, 1, 1))</f>
        <v/>
      </c>
      <c r="L127" s="262" t="str">
        <f ca="1">IF(OFFSET('IWP03'!BackgroundChecks, 4, 12, 1, 1) = 0, "", OFFSET('IWP03'!BackgroundChecks, 4, 12, 1, 1))</f>
        <v/>
      </c>
      <c r="M127" s="262" t="str">
        <f ca="1">IF(OFFSET('IWP03'!BackgroundChecks, 4, 13, 1, 1) = 0, "", OFFSET('IWP03'!BackgroundChecks, 4, 13, 1, 1))</f>
        <v/>
      </c>
      <c r="N127" s="261"/>
    </row>
    <row r="128" spans="1:14" s="105" customFormat="1">
      <c r="A128" s="257" t="s">
        <v>501</v>
      </c>
      <c r="B128" s="262" t="str">
        <f ca="1">IF(OFFSET('IWP03'!BackgroundChecks, 5, 0, 1, 1) = 0, "", OFFSET('IWP03'!BackgroundChecks, 5, 0, 1, 1))</f>
        <v/>
      </c>
      <c r="C128" s="262" t="str">
        <f ca="1">IF(OFFSET('IWP03'!BackgroundChecks, 5, 2, 1, 1) = 0, "", OFFSET('IWP03'!BackgroundChecks, 5, 2, 1, 1))</f>
        <v/>
      </c>
      <c r="D128" s="262" t="str">
        <f ca="1">IF(OFFSET('IWP03'!BackgroundChecks, 5, 4, 1, 1) = 0, "", OFFSET('IWP03'!BackgroundChecks, 5, 4, 1, 1))</f>
        <v/>
      </c>
      <c r="E128" s="254">
        <f ca="1">IF(OFFSET('IWP03'!BackgroundChecks, 5, 5, 1, 1)=DATE(1900,1,0), DATE(1900,1,1), OFFSET('IWP03'!BackgroundChecks, 5, 5, 1, 1))</f>
        <v>1</v>
      </c>
      <c r="F128" s="262" t="str">
        <f ca="1">IF(OFFSET('IWP03'!BackgroundChecks, 5, 6, 1, 1) = 0, "", OFFSET('IWP03'!BackgroundChecks, 5, 6, 1, 1))</f>
        <v/>
      </c>
      <c r="G128" s="254">
        <f ca="1">IF(OFFSET('IWP03'!BackgroundChecks, 5, 7, 1, 1)=DATE(1900,1,0), DATE(1900,1,1), OFFSET('IWP03'!BackgroundChecks, 5, 7, 1, 1))</f>
        <v>1</v>
      </c>
      <c r="H128" s="254">
        <f ca="1">IF(OFFSET('IWP03'!BackgroundChecks, 5, 8, 1, 1)=DATE(1900,1,0), DATE(1900,1,1), OFFSET('IWP03'!BackgroundChecks, 5, 8, 1, 1))</f>
        <v>1</v>
      </c>
      <c r="I128" s="262" t="str">
        <f ca="1">IF(OFFSET('IWP03'!BackgroundChecks, 5, 9, 1, 1) = 0, "", OFFSET('IWP03'!BackgroundChecks, 5, 9, 1, 1))</f>
        <v/>
      </c>
      <c r="J128" s="262" t="str">
        <f ca="1">IF(OFFSET('IWP03'!BackgroundChecks, 5, 10, 1, 1) = 0, "", OFFSET('IWP03'!BackgroundChecks, 5, 10, 1, 1))</f>
        <v/>
      </c>
      <c r="K128" s="262" t="str">
        <f ca="1">IF(OFFSET('IWP03'!BackgroundChecks, 5, 11, 1, 1) = 0, "", OFFSET('IWP03'!BackgroundChecks, 5, 11, 1, 1))</f>
        <v/>
      </c>
      <c r="L128" s="262" t="str">
        <f ca="1">IF(OFFSET('IWP03'!BackgroundChecks, 5, 12, 1, 1) = 0, "", OFFSET('IWP03'!BackgroundChecks, 5, 12, 1, 1))</f>
        <v/>
      </c>
      <c r="M128" s="262" t="str">
        <f ca="1">IF(OFFSET('IWP03'!BackgroundChecks, 5, 13, 1, 1) = 0, "", OFFSET('IWP03'!BackgroundChecks, 5, 13, 1, 1))</f>
        <v/>
      </c>
      <c r="N128" s="261"/>
    </row>
    <row r="129" spans="1:14" s="105" customFormat="1">
      <c r="A129" s="257" t="s">
        <v>501</v>
      </c>
      <c r="B129" s="262" t="str">
        <f ca="1">IF(OFFSET('IWP03'!BackgroundChecks, 6, 0, 1, 1) = 0, "", OFFSET('IWP03'!BackgroundChecks, 6, 0, 1, 1))</f>
        <v/>
      </c>
      <c r="C129" s="262" t="str">
        <f ca="1">IF(OFFSET('IWP03'!BackgroundChecks, 6, 2, 1, 1) = 0, "", OFFSET('IWP03'!BackgroundChecks, 6, 2, 1, 1))</f>
        <v/>
      </c>
      <c r="D129" s="262" t="str">
        <f ca="1">IF(OFFSET('IWP03'!BackgroundChecks, 6, 4, 1, 1) = 0, "", OFFSET('IWP03'!BackgroundChecks, 6, 4, 1, 1))</f>
        <v/>
      </c>
      <c r="E129" s="254">
        <f ca="1">IF(OFFSET('IWP03'!BackgroundChecks, 6, 5, 1, 1)=DATE(1900,1,0), DATE(1900,1,1), OFFSET('IWP03'!BackgroundChecks, 6, 5, 1, 1))</f>
        <v>1</v>
      </c>
      <c r="F129" s="262" t="str">
        <f ca="1">IF(OFFSET('IWP03'!BackgroundChecks, 6, 6, 1, 1) = 0, "", OFFSET('IWP03'!BackgroundChecks, 6, 6, 1, 1))</f>
        <v/>
      </c>
      <c r="G129" s="254">
        <f ca="1">IF(OFFSET('IWP03'!BackgroundChecks, 6, 7, 1, 1)=DATE(1900,1,0), DATE(1900,1,1), OFFSET('IWP03'!BackgroundChecks, 6, 7, 1, 1))</f>
        <v>1</v>
      </c>
      <c r="H129" s="254">
        <f ca="1">IF(OFFSET('IWP03'!BackgroundChecks, 6, 8, 1, 1)=DATE(1900,1,0), DATE(1900,1,1), OFFSET('IWP03'!BackgroundChecks, 6, 8, 1, 1))</f>
        <v>1</v>
      </c>
      <c r="I129" s="262" t="str">
        <f ca="1">IF(OFFSET('IWP03'!BackgroundChecks, 6, 9, 1, 1) = 0, "", OFFSET('IWP03'!BackgroundChecks, 6, 9, 1, 1))</f>
        <v/>
      </c>
      <c r="J129" s="262" t="str">
        <f ca="1">IF(OFFSET('IWP03'!BackgroundChecks, 6, 10, 1, 1) = 0, "", OFFSET('IWP03'!BackgroundChecks, 6, 10, 1, 1))</f>
        <v/>
      </c>
      <c r="K129" s="262" t="str">
        <f ca="1">IF(OFFSET('IWP03'!BackgroundChecks, 6, 11, 1, 1) = 0, "", OFFSET('IWP03'!BackgroundChecks, 6, 11, 1, 1))</f>
        <v/>
      </c>
      <c r="L129" s="262" t="str">
        <f ca="1">IF(OFFSET('IWP03'!BackgroundChecks, 6, 12, 1, 1) = 0, "", OFFSET('IWP03'!BackgroundChecks, 6, 12, 1, 1))</f>
        <v/>
      </c>
      <c r="M129" s="262" t="str">
        <f ca="1">IF(OFFSET('IWP03'!BackgroundChecks, 6, 13, 1, 1) = 0, "", OFFSET('IWP03'!BackgroundChecks, 6, 13, 1, 1))</f>
        <v/>
      </c>
      <c r="N129" s="261"/>
    </row>
    <row r="130" spans="1:14" s="105" customFormat="1">
      <c r="A130" s="257" t="s">
        <v>501</v>
      </c>
      <c r="B130" s="262" t="str">
        <f ca="1">IF(OFFSET('IWP03'!BackgroundChecks, 7, 0, 1, 1) = 0, "", OFFSET('IWP03'!BackgroundChecks, 7, 0, 1, 1))</f>
        <v/>
      </c>
      <c r="C130" s="262" t="str">
        <f ca="1">IF(OFFSET('IWP03'!BackgroundChecks, 7, 2, 1, 1) = 0, "", OFFSET('IWP03'!BackgroundChecks, 7, 2, 1, 1))</f>
        <v/>
      </c>
      <c r="D130" s="262" t="str">
        <f ca="1">IF(OFFSET('IWP03'!BackgroundChecks, 7, 4, 1, 1) = 0, "", OFFSET('IWP03'!BackgroundChecks, 7, 4, 1, 1))</f>
        <v/>
      </c>
      <c r="E130" s="254">
        <f ca="1">IF(OFFSET('IWP03'!BackgroundChecks, 7, 5, 1, 1)=DATE(1900,1,0), DATE(1900,1,1), OFFSET('IWP03'!BackgroundChecks, 7, 5, 1, 1))</f>
        <v>1</v>
      </c>
      <c r="F130" s="262" t="str">
        <f ca="1">IF(OFFSET('IWP03'!BackgroundChecks, 7, 6, 1, 1) = 0, "", OFFSET('IWP03'!BackgroundChecks, 7, 6, 1, 1))</f>
        <v/>
      </c>
      <c r="G130" s="254">
        <f ca="1">IF(OFFSET('IWP03'!BackgroundChecks, 7, 7, 1, 1)=DATE(1900,1,0), DATE(1900,1,1), OFFSET('IWP03'!BackgroundChecks, 7, 7, 1, 1))</f>
        <v>1</v>
      </c>
      <c r="H130" s="254">
        <f ca="1">IF(OFFSET('IWP03'!BackgroundChecks, 7, 8, 1, 1)=DATE(1900,1,0), DATE(1900,1,1), OFFSET('IWP03'!BackgroundChecks, 7, 8, 1, 1))</f>
        <v>1</v>
      </c>
      <c r="I130" s="262" t="str">
        <f ca="1">IF(OFFSET('IWP03'!BackgroundChecks, 7, 9, 1, 1) = 0, "", OFFSET('IWP03'!BackgroundChecks, 7, 9, 1, 1))</f>
        <v/>
      </c>
      <c r="J130" s="262" t="str">
        <f ca="1">IF(OFFSET('IWP03'!BackgroundChecks, 7, 10, 1, 1) = 0, "", OFFSET('IWP03'!BackgroundChecks, 7, 10, 1, 1))</f>
        <v/>
      </c>
      <c r="K130" s="262" t="str">
        <f ca="1">IF(OFFSET('IWP03'!BackgroundChecks, 7, 11, 1, 1) = 0, "", OFFSET('IWP03'!BackgroundChecks, 7, 11, 1, 1))</f>
        <v/>
      </c>
      <c r="L130" s="262" t="str">
        <f ca="1">IF(OFFSET('IWP03'!BackgroundChecks, 7, 12, 1, 1) = 0, "", OFFSET('IWP03'!BackgroundChecks, 7, 12, 1, 1))</f>
        <v/>
      </c>
      <c r="M130" s="262" t="str">
        <f ca="1">IF(OFFSET('IWP03'!BackgroundChecks, 7, 13, 1, 1) = 0, "", OFFSET('IWP03'!BackgroundChecks, 7, 13, 1, 1))</f>
        <v/>
      </c>
      <c r="N130" s="261"/>
    </row>
    <row r="131" spans="1:14" s="105" customFormat="1">
      <c r="A131" s="257" t="s">
        <v>501</v>
      </c>
      <c r="B131" s="262" t="str">
        <f ca="1">IF(OFFSET('IWP03'!BackgroundChecks, 8, 0, 1, 1) = 0, "", OFFSET('IWP03'!BackgroundChecks, 8, 0, 1, 1))</f>
        <v/>
      </c>
      <c r="C131" s="262" t="str">
        <f ca="1">IF(OFFSET('IWP03'!BackgroundChecks, 8, 2, 1, 1) = 0, "", OFFSET('IWP03'!BackgroundChecks, 8, 2, 1, 1))</f>
        <v/>
      </c>
      <c r="D131" s="262" t="str">
        <f ca="1">IF(OFFSET('IWP03'!BackgroundChecks, 8, 4, 1, 1) = 0, "", OFFSET('IWP03'!BackgroundChecks, 8, 4, 1, 1))</f>
        <v/>
      </c>
      <c r="E131" s="254">
        <f ca="1">IF(OFFSET('IWP03'!BackgroundChecks, 8, 5, 1, 1)=DATE(1900,1,0), DATE(1900,1,1), OFFSET('IWP03'!BackgroundChecks, 8, 5, 1, 1))</f>
        <v>1</v>
      </c>
      <c r="F131" s="262" t="str">
        <f ca="1">IF(OFFSET('IWP03'!BackgroundChecks, 8, 6, 1, 1) = 0, "", OFFSET('IWP03'!BackgroundChecks, 8, 6, 1, 1))</f>
        <v/>
      </c>
      <c r="G131" s="254">
        <f ca="1">IF(OFFSET('IWP03'!BackgroundChecks, 8, 7, 1, 1)=DATE(1900,1,0), DATE(1900,1,1), OFFSET('IWP03'!BackgroundChecks, 8, 7, 1, 1))</f>
        <v>1</v>
      </c>
      <c r="H131" s="254">
        <f ca="1">IF(OFFSET('IWP03'!BackgroundChecks, 8, 8, 1, 1)=DATE(1900,1,0), DATE(1900,1,1), OFFSET('IWP03'!BackgroundChecks, 8, 8, 1, 1))</f>
        <v>1</v>
      </c>
      <c r="I131" s="262" t="str">
        <f ca="1">IF(OFFSET('IWP03'!BackgroundChecks, 8, 9, 1, 1) = 0, "", OFFSET('IWP03'!BackgroundChecks, 8, 9, 1, 1))</f>
        <v/>
      </c>
      <c r="J131" s="262" t="str">
        <f ca="1">IF(OFFSET('IWP03'!BackgroundChecks, 8, 10, 1, 1) = 0, "", OFFSET('IWP03'!BackgroundChecks, 8, 10, 1, 1))</f>
        <v/>
      </c>
      <c r="K131" s="262" t="str">
        <f ca="1">IF(OFFSET('IWP03'!BackgroundChecks, 8, 11, 1, 1) = 0, "", OFFSET('IWP03'!BackgroundChecks, 8, 11, 1, 1))</f>
        <v/>
      </c>
      <c r="L131" s="262" t="str">
        <f ca="1">IF(OFFSET('IWP03'!BackgroundChecks, 8, 12, 1, 1) = 0, "", OFFSET('IWP03'!BackgroundChecks, 8, 12, 1, 1))</f>
        <v/>
      </c>
      <c r="M131" s="262" t="str">
        <f ca="1">IF(OFFSET('IWP03'!BackgroundChecks, 8, 13, 1, 1) = 0, "", OFFSET('IWP03'!BackgroundChecks, 8, 13, 1, 1))</f>
        <v/>
      </c>
      <c r="N131" s="261"/>
    </row>
    <row r="132" spans="1:14" s="105" customFormat="1">
      <c r="A132" s="257" t="s">
        <v>501</v>
      </c>
      <c r="B132" s="262" t="str">
        <f ca="1">IF(OFFSET('IWP03'!BackgroundChecks, 9, 0, 1, 1) = 0, "", OFFSET('IWP03'!BackgroundChecks, 9, 0, 1, 1))</f>
        <v/>
      </c>
      <c r="C132" s="262" t="str">
        <f ca="1">IF(OFFSET('IWP03'!BackgroundChecks, 9, 2, 1, 1) = 0, "", OFFSET('IWP03'!BackgroundChecks, 9, 2, 1, 1))</f>
        <v/>
      </c>
      <c r="D132" s="262" t="str">
        <f ca="1">IF(OFFSET('IWP03'!BackgroundChecks, 9, 4, 1, 1) = 0, "", OFFSET('IWP03'!BackgroundChecks, 9, 4, 1, 1))</f>
        <v/>
      </c>
      <c r="E132" s="254">
        <f ca="1">IF(OFFSET('IWP03'!BackgroundChecks, 9, 5, 1, 1)=DATE(1900,1,0), DATE(1900,1,1), OFFSET('IWP03'!BackgroundChecks, 9, 5, 1, 1))</f>
        <v>1</v>
      </c>
      <c r="F132" s="262" t="str">
        <f ca="1">IF(OFFSET('IWP03'!BackgroundChecks, 9, 6, 1, 1) = 0, "", OFFSET('IWP03'!BackgroundChecks, 9, 6, 1, 1))</f>
        <v/>
      </c>
      <c r="G132" s="254">
        <f ca="1">IF(OFFSET('IWP03'!BackgroundChecks, 9, 7, 1, 1)=DATE(1900,1,0), DATE(1900,1,1), OFFSET('IWP03'!BackgroundChecks, 9, 7, 1, 1))</f>
        <v>1</v>
      </c>
      <c r="H132" s="254">
        <f ca="1">IF(OFFSET('IWP03'!BackgroundChecks, 9, 8, 1, 1)=DATE(1900,1,0), DATE(1900,1,1), OFFSET('IWP03'!BackgroundChecks, 9, 8, 1, 1))</f>
        <v>1</v>
      </c>
      <c r="I132" s="262" t="str">
        <f ca="1">IF(OFFSET('IWP03'!BackgroundChecks, 9, 9, 1, 1) = 0, "", OFFSET('IWP03'!BackgroundChecks, 9, 9, 1, 1))</f>
        <v/>
      </c>
      <c r="J132" s="262" t="str">
        <f ca="1">IF(OFFSET('IWP03'!BackgroundChecks, 9, 10, 1, 1) = 0, "", OFFSET('IWP03'!BackgroundChecks, 9, 10, 1, 1))</f>
        <v/>
      </c>
      <c r="K132" s="262" t="str">
        <f ca="1">IF(OFFSET('IWP03'!BackgroundChecks, 9, 11, 1, 1) = 0, "", OFFSET('IWP03'!BackgroundChecks, 9, 11, 1, 1))</f>
        <v/>
      </c>
      <c r="L132" s="262" t="str">
        <f ca="1">IF(OFFSET('IWP03'!BackgroundChecks, 9, 12, 1, 1) = 0, "", OFFSET('IWP03'!BackgroundChecks, 9, 12, 1, 1))</f>
        <v/>
      </c>
      <c r="M132" s="262" t="str">
        <f ca="1">IF(OFFSET('IWP03'!BackgroundChecks, 9, 13, 1, 1) = 0, "", OFFSET('IWP03'!BackgroundChecks, 9, 13, 1, 1))</f>
        <v/>
      </c>
      <c r="N132" s="261"/>
    </row>
    <row r="133" spans="1:14" s="105" customFormat="1">
      <c r="A133" s="257" t="s">
        <v>501</v>
      </c>
      <c r="B133" s="262" t="str">
        <f ca="1">IF(OFFSET('IWP03'!BackgroundChecks, 10, 0, 1, 1) = 0, "", OFFSET('IWP03'!BackgroundChecks, 10, 0, 1, 1))</f>
        <v/>
      </c>
      <c r="C133" s="262" t="str">
        <f ca="1">IF(OFFSET('IWP03'!BackgroundChecks, 10, 2, 1, 1) = 0, "", OFFSET('IWP03'!BackgroundChecks, 10, 2, 1, 1))</f>
        <v/>
      </c>
      <c r="D133" s="262" t="str">
        <f ca="1">IF(OFFSET('IWP03'!BackgroundChecks, 10, 4, 1, 1) = 0, "", OFFSET('IWP03'!BackgroundChecks, 10, 4, 1, 1))</f>
        <v/>
      </c>
      <c r="E133" s="254">
        <f ca="1">IF(OFFSET('IWP03'!BackgroundChecks, 10, 5, 1, 1)=DATE(1900,1,0), DATE(1900,1,1), OFFSET('IWP03'!BackgroundChecks, 10, 5, 1, 1))</f>
        <v>1</v>
      </c>
      <c r="F133" s="262" t="str">
        <f ca="1">IF(OFFSET('IWP03'!BackgroundChecks, 10, 6, 1, 1) = 0, "", OFFSET('IWP03'!BackgroundChecks, 10, 6, 1, 1))</f>
        <v/>
      </c>
      <c r="G133" s="254">
        <f ca="1">IF(OFFSET('IWP03'!BackgroundChecks, 10, 7, 1, 1)=DATE(1900,1,0), DATE(1900,1,1), OFFSET('IWP03'!BackgroundChecks, 10, 7, 1, 1))</f>
        <v>1</v>
      </c>
      <c r="H133" s="254">
        <f ca="1">IF(OFFSET('IWP03'!BackgroundChecks, 10, 8, 1, 1)=DATE(1900,1,0), DATE(1900,1,1), OFFSET('IWP03'!BackgroundChecks, 10, 8, 1, 1))</f>
        <v>1</v>
      </c>
      <c r="I133" s="262" t="str">
        <f ca="1">IF(OFFSET('IWP03'!BackgroundChecks, 10, 9, 1, 1) = 0, "", OFFSET('IWP03'!BackgroundChecks, 10, 9, 1, 1))</f>
        <v/>
      </c>
      <c r="J133" s="262" t="str">
        <f ca="1">IF(OFFSET('IWP03'!BackgroundChecks, 10, 10, 1, 1) = 0, "", OFFSET('IWP03'!BackgroundChecks, 10, 10, 1, 1))</f>
        <v/>
      </c>
      <c r="K133" s="262" t="str">
        <f ca="1">IF(OFFSET('IWP03'!BackgroundChecks, 10, 11, 1, 1) = 0, "", OFFSET('IWP03'!BackgroundChecks, 10, 11, 1, 1))</f>
        <v/>
      </c>
      <c r="L133" s="262" t="str">
        <f ca="1">IF(OFFSET('IWP03'!BackgroundChecks, 10, 12, 1, 1) = 0, "", OFFSET('IWP03'!BackgroundChecks, 10, 12, 1, 1))</f>
        <v/>
      </c>
      <c r="M133" s="262" t="str">
        <f ca="1">IF(OFFSET('IWP03'!BackgroundChecks, 10, 13, 1, 1) = 0, "", OFFSET('IWP03'!BackgroundChecks, 10, 13, 1, 1))</f>
        <v/>
      </c>
      <c r="N133" s="261"/>
    </row>
    <row r="134" spans="1:14" s="105" customFormat="1">
      <c r="A134" s="257" t="s">
        <v>501</v>
      </c>
      <c r="B134" s="262" t="str">
        <f ca="1">IF(OFFSET('IWP03'!BackgroundChecks, 11, 0, 1, 1) = 0, "", OFFSET('IWP03'!BackgroundChecks, 11, 0, 1, 1))</f>
        <v/>
      </c>
      <c r="C134" s="262" t="str">
        <f ca="1">IF(OFFSET('IWP03'!BackgroundChecks, 11, 2, 1, 1) = 0, "", OFFSET('IWP03'!BackgroundChecks, 11, 2, 1, 1))</f>
        <v/>
      </c>
      <c r="D134" s="262" t="str">
        <f ca="1">IF(OFFSET('IWP03'!BackgroundChecks, 11, 4, 1, 1) = 0, "", OFFSET('IWP03'!BackgroundChecks, 11, 4, 1, 1))</f>
        <v/>
      </c>
      <c r="E134" s="254">
        <f ca="1">IF(OFFSET('IWP03'!BackgroundChecks, 11, 5, 1, 1)=DATE(1900,1,0), DATE(1900,1,1), OFFSET('IWP03'!BackgroundChecks, 11, 5, 1, 1))</f>
        <v>1</v>
      </c>
      <c r="F134" s="262" t="str">
        <f ca="1">IF(OFFSET('IWP03'!BackgroundChecks, 11, 6, 1, 1) = 0, "", OFFSET('IWP03'!BackgroundChecks, 11, 6, 1, 1))</f>
        <v/>
      </c>
      <c r="G134" s="254">
        <f ca="1">IF(OFFSET('IWP03'!BackgroundChecks, 11, 7, 1, 1)=DATE(1900,1,0), DATE(1900,1,1), OFFSET('IWP03'!BackgroundChecks, 11, 7, 1, 1))</f>
        <v>1</v>
      </c>
      <c r="H134" s="254">
        <f ca="1">IF(OFFSET('IWP03'!BackgroundChecks, 11, 8, 1, 1)=DATE(1900,1,0), DATE(1900,1,1), OFFSET('IWP03'!BackgroundChecks, 11, 8, 1, 1))</f>
        <v>1</v>
      </c>
      <c r="I134" s="262" t="str">
        <f ca="1">IF(OFFSET('IWP03'!BackgroundChecks, 11, 9, 1, 1) = 0, "", OFFSET('IWP03'!BackgroundChecks, 11, 9, 1, 1))</f>
        <v/>
      </c>
      <c r="J134" s="262" t="str">
        <f ca="1">IF(OFFSET('IWP03'!BackgroundChecks, 11, 10, 1, 1) = 0, "", OFFSET('IWP03'!BackgroundChecks, 11, 10, 1, 1))</f>
        <v/>
      </c>
      <c r="K134" s="262" t="str">
        <f ca="1">IF(OFFSET('IWP03'!BackgroundChecks, 11, 11, 1, 1) = 0, "", OFFSET('IWP03'!BackgroundChecks, 11, 11, 1, 1))</f>
        <v/>
      </c>
      <c r="L134" s="262" t="str">
        <f ca="1">IF(OFFSET('IWP03'!BackgroundChecks, 11, 12, 1, 1) = 0, "", OFFSET('IWP03'!BackgroundChecks, 11, 12, 1, 1))</f>
        <v/>
      </c>
      <c r="M134" s="262" t="str">
        <f ca="1">IF(OFFSET('IWP03'!BackgroundChecks, 11, 13, 1, 1) = 0, "", OFFSET('IWP03'!BackgroundChecks, 11, 13, 1, 1))</f>
        <v/>
      </c>
      <c r="N134" s="261"/>
    </row>
    <row r="135" spans="1:14" s="105" customFormat="1">
      <c r="A135" s="257" t="s">
        <v>501</v>
      </c>
      <c r="B135" s="262" t="str">
        <f ca="1">IF(OFFSET('IWP03'!BackgroundChecks, 12, 0, 1, 1) = 0, "", OFFSET('IWP03'!BackgroundChecks, 12, 0, 1, 1))</f>
        <v/>
      </c>
      <c r="C135" s="262" t="str">
        <f ca="1">IF(OFFSET('IWP03'!BackgroundChecks, 12, 2, 1, 1) = 0, "", OFFSET('IWP03'!BackgroundChecks, 12, 2, 1, 1))</f>
        <v/>
      </c>
      <c r="D135" s="262" t="str">
        <f ca="1">IF(OFFSET('IWP03'!BackgroundChecks, 12, 4, 1, 1) = 0, "", OFFSET('IWP03'!BackgroundChecks, 12, 4, 1, 1))</f>
        <v/>
      </c>
      <c r="E135" s="254">
        <f ca="1">IF(OFFSET('IWP03'!BackgroundChecks, 12, 5, 1, 1)=DATE(1900,1,0), DATE(1900,1,1), OFFSET('IWP03'!BackgroundChecks, 12, 5, 1, 1))</f>
        <v>1</v>
      </c>
      <c r="F135" s="262" t="str">
        <f ca="1">IF(OFFSET('IWP03'!BackgroundChecks, 12, 6, 1, 1) = 0, "", OFFSET('IWP03'!BackgroundChecks, 12, 6, 1, 1))</f>
        <v/>
      </c>
      <c r="G135" s="254">
        <f ca="1">IF(OFFSET('IWP03'!BackgroundChecks, 12, 7, 1, 1)=DATE(1900,1,0), DATE(1900,1,1), OFFSET('IWP03'!BackgroundChecks, 12, 7, 1, 1))</f>
        <v>1</v>
      </c>
      <c r="H135" s="254">
        <f ca="1">IF(OFFSET('IWP03'!BackgroundChecks, 12, 8, 1, 1)=DATE(1900,1,0), DATE(1900,1,1), OFFSET('IWP03'!BackgroundChecks, 12, 8, 1, 1))</f>
        <v>1</v>
      </c>
      <c r="I135" s="262" t="str">
        <f ca="1">IF(OFFSET('IWP03'!BackgroundChecks, 12, 9, 1, 1) = 0, "", OFFSET('IWP03'!BackgroundChecks, 12, 9, 1, 1))</f>
        <v/>
      </c>
      <c r="J135" s="262" t="str">
        <f ca="1">IF(OFFSET('IWP03'!BackgroundChecks, 12, 10, 1, 1) = 0, "", OFFSET('IWP03'!BackgroundChecks, 12, 10, 1, 1))</f>
        <v/>
      </c>
      <c r="K135" s="262" t="str">
        <f ca="1">IF(OFFSET('IWP03'!BackgroundChecks, 12, 11, 1, 1) = 0, "", OFFSET('IWP03'!BackgroundChecks, 12, 11, 1, 1))</f>
        <v/>
      </c>
      <c r="L135" s="262" t="str">
        <f ca="1">IF(OFFSET('IWP03'!BackgroundChecks, 12, 12, 1, 1) = 0, "", OFFSET('IWP03'!BackgroundChecks, 12, 12, 1, 1))</f>
        <v/>
      </c>
      <c r="M135" s="262" t="str">
        <f ca="1">IF(OFFSET('IWP03'!BackgroundChecks, 12, 13, 1, 1) = 0, "", OFFSET('IWP03'!BackgroundChecks, 12, 13, 1, 1))</f>
        <v/>
      </c>
      <c r="N135" s="261"/>
    </row>
    <row r="136" spans="1:14" s="105" customFormat="1">
      <c r="A136" s="257" t="s">
        <v>501</v>
      </c>
      <c r="B136" s="262" t="str">
        <f ca="1">IF(OFFSET('IWP03'!BackgroundChecks, 13, 0, 1, 1) = 0, "", OFFSET('IWP03'!BackgroundChecks, 13, 0, 1, 1))</f>
        <v/>
      </c>
      <c r="C136" s="262" t="str">
        <f ca="1">IF(OFFSET('IWP03'!BackgroundChecks, 13, 2, 1, 1) = 0, "", OFFSET('IWP03'!BackgroundChecks, 13, 2, 1, 1))</f>
        <v/>
      </c>
      <c r="D136" s="262" t="str">
        <f ca="1">IF(OFFSET('IWP03'!BackgroundChecks, 13, 4, 1, 1) = 0, "", OFFSET('IWP03'!BackgroundChecks, 13, 4, 1, 1))</f>
        <v/>
      </c>
      <c r="E136" s="254">
        <f ca="1">IF(OFFSET('IWP03'!BackgroundChecks, 13, 5, 1, 1)=DATE(1900,1,0), DATE(1900,1,1), OFFSET('IWP03'!BackgroundChecks, 13, 5, 1, 1))</f>
        <v>1</v>
      </c>
      <c r="F136" s="262" t="str">
        <f ca="1">IF(OFFSET('IWP03'!BackgroundChecks, 13, 6, 1, 1) = 0, "", OFFSET('IWP03'!BackgroundChecks, 13, 6, 1, 1))</f>
        <v/>
      </c>
      <c r="G136" s="254">
        <f ca="1">IF(OFFSET('IWP03'!BackgroundChecks, 13, 7, 1, 1)=DATE(1900,1,0), DATE(1900,1,1), OFFSET('IWP03'!BackgroundChecks, 13, 7, 1, 1))</f>
        <v>1</v>
      </c>
      <c r="H136" s="254">
        <f ca="1">IF(OFFSET('IWP03'!BackgroundChecks, 13, 8, 1, 1)=DATE(1900,1,0), DATE(1900,1,1), OFFSET('IWP03'!BackgroundChecks, 13, 8, 1, 1))</f>
        <v>1</v>
      </c>
      <c r="I136" s="262" t="str">
        <f ca="1">IF(OFFSET('IWP03'!BackgroundChecks, 13, 9, 1, 1) = 0, "", OFFSET('IWP03'!BackgroundChecks, 13, 9, 1, 1))</f>
        <v/>
      </c>
      <c r="J136" s="262" t="str">
        <f ca="1">IF(OFFSET('IWP03'!BackgroundChecks, 13, 10, 1, 1) = 0, "", OFFSET('IWP03'!BackgroundChecks, 13, 10, 1, 1))</f>
        <v/>
      </c>
      <c r="K136" s="262" t="str">
        <f ca="1">IF(OFFSET('IWP03'!BackgroundChecks, 13, 11, 1, 1) = 0, "", OFFSET('IWP03'!BackgroundChecks, 13, 11, 1, 1))</f>
        <v/>
      </c>
      <c r="L136" s="262" t="str">
        <f ca="1">IF(OFFSET('IWP03'!BackgroundChecks, 13, 12, 1, 1) = 0, "", OFFSET('IWP03'!BackgroundChecks, 13, 12, 1, 1))</f>
        <v/>
      </c>
      <c r="M136" s="262" t="str">
        <f ca="1">IF(OFFSET('IWP03'!BackgroundChecks, 13, 13, 1, 1) = 0, "", OFFSET('IWP03'!BackgroundChecks, 13, 13, 1, 1))</f>
        <v/>
      </c>
      <c r="N136" s="261"/>
    </row>
    <row r="137" spans="1:14" s="105" customFormat="1">
      <c r="A137" s="257" t="s">
        <v>501</v>
      </c>
      <c r="B137" s="262" t="str">
        <f ca="1">IF(OFFSET('IWP03'!BackgroundChecks, 14, 0, 1, 1) = 0, "", OFFSET('IWP03'!BackgroundChecks, 14, 0, 1, 1))</f>
        <v/>
      </c>
      <c r="C137" s="262" t="str">
        <f ca="1">IF(OFFSET('IWP03'!BackgroundChecks, 14, 2, 1, 1) = 0, "", OFFSET('IWP03'!BackgroundChecks, 14, 2, 1, 1))</f>
        <v/>
      </c>
      <c r="D137" s="262" t="str">
        <f ca="1">IF(OFFSET('IWP03'!BackgroundChecks, 14, 4, 1, 1) = 0, "", OFFSET('IWP03'!BackgroundChecks, 14, 4, 1, 1))</f>
        <v/>
      </c>
      <c r="E137" s="254">
        <f ca="1">IF(OFFSET('IWP03'!BackgroundChecks, 14, 5, 1, 1)=DATE(1900,1,0), DATE(1900,1,1), OFFSET('IWP03'!BackgroundChecks, 14, 5, 1, 1))</f>
        <v>1</v>
      </c>
      <c r="F137" s="262" t="str">
        <f ca="1">IF(OFFSET('IWP03'!BackgroundChecks, 14, 6, 1, 1) = 0, "", OFFSET('IWP03'!BackgroundChecks, 14, 6, 1, 1))</f>
        <v/>
      </c>
      <c r="G137" s="254">
        <f ca="1">IF(OFFSET('IWP03'!BackgroundChecks, 14, 7, 1, 1)=DATE(1900,1,0), DATE(1900,1,1), OFFSET('IWP03'!BackgroundChecks, 14, 7, 1, 1))</f>
        <v>1</v>
      </c>
      <c r="H137" s="254">
        <f ca="1">IF(OFFSET('IWP03'!BackgroundChecks, 14, 8, 1, 1)=DATE(1900,1,0), DATE(1900,1,1), OFFSET('IWP03'!BackgroundChecks, 14, 8, 1, 1))</f>
        <v>1</v>
      </c>
      <c r="I137" s="262" t="str">
        <f ca="1">IF(OFFSET('IWP03'!BackgroundChecks, 14, 9, 1, 1) = 0, "", OFFSET('IWP03'!BackgroundChecks, 14, 9, 1, 1))</f>
        <v/>
      </c>
      <c r="J137" s="262" t="str">
        <f ca="1">IF(OFFSET('IWP03'!BackgroundChecks, 14, 10, 1, 1) = 0, "", OFFSET('IWP03'!BackgroundChecks, 14, 10, 1, 1))</f>
        <v/>
      </c>
      <c r="K137" s="262" t="str">
        <f ca="1">IF(OFFSET('IWP03'!BackgroundChecks, 14, 11, 1, 1) = 0, "", OFFSET('IWP03'!BackgroundChecks, 14, 11, 1, 1))</f>
        <v/>
      </c>
      <c r="L137" s="262" t="str">
        <f ca="1">IF(OFFSET('IWP03'!BackgroundChecks, 14, 12, 1, 1) = 0, "", OFFSET('IWP03'!BackgroundChecks, 14, 12, 1, 1))</f>
        <v/>
      </c>
      <c r="M137" s="262" t="str">
        <f ca="1">IF(OFFSET('IWP03'!BackgroundChecks, 14, 13, 1, 1) = 0, "", OFFSET('IWP03'!BackgroundChecks, 14, 13, 1, 1))</f>
        <v/>
      </c>
      <c r="N137" s="261"/>
    </row>
    <row r="138" spans="1:14" s="105" customFormat="1">
      <c r="A138" s="257" t="s">
        <v>501</v>
      </c>
      <c r="B138" s="262" t="str">
        <f ca="1">IF(OFFSET('IWP03'!BackgroundChecks, 15, 0, 1, 1) = 0, "", OFFSET('IWP03'!BackgroundChecks, 15, 0, 1, 1))</f>
        <v/>
      </c>
      <c r="C138" s="262" t="str">
        <f ca="1">IF(OFFSET('IWP03'!BackgroundChecks, 15, 2, 1, 1) = 0, "", OFFSET('IWP03'!BackgroundChecks, 15, 2, 1, 1))</f>
        <v/>
      </c>
      <c r="D138" s="262" t="str">
        <f ca="1">IF(OFFSET('IWP03'!BackgroundChecks, 15, 4, 1, 1) = 0, "", OFFSET('IWP03'!BackgroundChecks, 15, 4, 1, 1))</f>
        <v/>
      </c>
      <c r="E138" s="254">
        <f ca="1">IF(OFFSET('IWP03'!BackgroundChecks, 15, 5, 1, 1)=DATE(1900,1,0), DATE(1900,1,1), OFFSET('IWP03'!BackgroundChecks, 15, 5, 1, 1))</f>
        <v>1</v>
      </c>
      <c r="F138" s="262" t="str">
        <f ca="1">IF(OFFSET('IWP03'!BackgroundChecks, 15, 6, 1, 1) = 0, "", OFFSET('IWP03'!BackgroundChecks, 15, 6, 1, 1))</f>
        <v/>
      </c>
      <c r="G138" s="254">
        <f ca="1">IF(OFFSET('IWP03'!BackgroundChecks, 15, 7, 1, 1)=DATE(1900,1,0), DATE(1900,1,1), OFFSET('IWP03'!BackgroundChecks, 15, 7, 1, 1))</f>
        <v>1</v>
      </c>
      <c r="H138" s="254">
        <f ca="1">IF(OFFSET('IWP03'!BackgroundChecks, 15, 8, 1, 1)=DATE(1900,1,0), DATE(1900,1,1), OFFSET('IWP03'!BackgroundChecks, 15, 8, 1, 1))</f>
        <v>1</v>
      </c>
      <c r="I138" s="262" t="str">
        <f ca="1">IF(OFFSET('IWP03'!BackgroundChecks, 15, 9, 1, 1) = 0, "", OFFSET('IWP03'!BackgroundChecks, 15, 9, 1, 1))</f>
        <v/>
      </c>
      <c r="J138" s="262" t="str">
        <f ca="1">IF(OFFSET('IWP03'!BackgroundChecks, 15, 10, 1, 1) = 0, "", OFFSET('IWP03'!BackgroundChecks, 15, 10, 1, 1))</f>
        <v/>
      </c>
      <c r="K138" s="262" t="str">
        <f ca="1">IF(OFFSET('IWP03'!BackgroundChecks, 15, 11, 1, 1) = 0, "", OFFSET('IWP03'!BackgroundChecks, 15, 11, 1, 1))</f>
        <v/>
      </c>
      <c r="L138" s="262" t="str">
        <f ca="1">IF(OFFSET('IWP03'!BackgroundChecks, 15, 12, 1, 1) = 0, "", OFFSET('IWP03'!BackgroundChecks, 15, 12, 1, 1))</f>
        <v/>
      </c>
      <c r="M138" s="262" t="str">
        <f ca="1">IF(OFFSET('IWP03'!BackgroundChecks, 15, 13, 1, 1) = 0, "", OFFSET('IWP03'!BackgroundChecks, 15, 13, 1, 1))</f>
        <v/>
      </c>
      <c r="N138" s="261"/>
    </row>
    <row r="139" spans="1:14" s="105" customFormat="1">
      <c r="A139" s="257" t="s">
        <v>501</v>
      </c>
      <c r="B139" s="262" t="str">
        <f ca="1">IF(OFFSET('IWP03'!BackgroundChecks, 16, 0, 1, 1) = 0, "", OFFSET('IWP03'!BackgroundChecks, 16, 0, 1, 1))</f>
        <v/>
      </c>
      <c r="C139" s="262" t="str">
        <f ca="1">IF(OFFSET('IWP03'!BackgroundChecks, 16, 2, 1, 1) = 0, "", OFFSET('IWP03'!BackgroundChecks, 16, 2, 1, 1))</f>
        <v/>
      </c>
      <c r="D139" s="262" t="str">
        <f ca="1">IF(OFFSET('IWP03'!BackgroundChecks, 16, 4, 1, 1) = 0, "", OFFSET('IWP03'!BackgroundChecks, 16, 4, 1, 1))</f>
        <v/>
      </c>
      <c r="E139" s="254">
        <f ca="1">IF(OFFSET('IWP03'!BackgroundChecks, 16, 5, 1, 1)=DATE(1900,1,0), DATE(1900,1,1), OFFSET('IWP03'!BackgroundChecks, 16, 5, 1, 1))</f>
        <v>1</v>
      </c>
      <c r="F139" s="262" t="str">
        <f ca="1">IF(OFFSET('IWP03'!BackgroundChecks, 16, 6, 1, 1) = 0, "", OFFSET('IWP03'!BackgroundChecks, 16, 6, 1, 1))</f>
        <v/>
      </c>
      <c r="G139" s="254">
        <f ca="1">IF(OFFSET('IWP03'!BackgroundChecks, 16, 7, 1, 1)=DATE(1900,1,0), DATE(1900,1,1), OFFSET('IWP03'!BackgroundChecks, 16, 7, 1, 1))</f>
        <v>1</v>
      </c>
      <c r="H139" s="254">
        <f ca="1">IF(OFFSET('IWP03'!BackgroundChecks, 16, 8, 1, 1)=DATE(1900,1,0), DATE(1900,1,1), OFFSET('IWP03'!BackgroundChecks, 16, 8, 1, 1))</f>
        <v>1</v>
      </c>
      <c r="I139" s="262" t="str">
        <f ca="1">IF(OFFSET('IWP03'!BackgroundChecks, 16, 9, 1, 1) = 0, "", OFFSET('IWP03'!BackgroundChecks, 16, 9, 1, 1))</f>
        <v/>
      </c>
      <c r="J139" s="262" t="str">
        <f ca="1">IF(OFFSET('IWP03'!BackgroundChecks, 16, 10, 1, 1) = 0, "", OFFSET('IWP03'!BackgroundChecks, 16, 10, 1, 1))</f>
        <v/>
      </c>
      <c r="K139" s="262" t="str">
        <f ca="1">IF(OFFSET('IWP03'!BackgroundChecks, 16, 11, 1, 1) = 0, "", OFFSET('IWP03'!BackgroundChecks, 16, 11, 1, 1))</f>
        <v/>
      </c>
      <c r="L139" s="262" t="str">
        <f ca="1">IF(OFFSET('IWP03'!BackgroundChecks, 16, 12, 1, 1) = 0, "", OFFSET('IWP03'!BackgroundChecks, 16, 12, 1, 1))</f>
        <v/>
      </c>
      <c r="M139" s="262" t="str">
        <f ca="1">IF(OFFSET('IWP03'!BackgroundChecks, 16, 13, 1, 1) = 0, "", OFFSET('IWP03'!BackgroundChecks, 16, 13, 1, 1))</f>
        <v/>
      </c>
      <c r="N139" s="261"/>
    </row>
    <row r="140" spans="1:14" s="105" customFormat="1">
      <c r="A140" s="257" t="s">
        <v>501</v>
      </c>
      <c r="B140" s="262" t="str">
        <f ca="1">IF(OFFSET('IWP03'!BackgroundChecks, 17, 0, 1, 1) = 0, "", OFFSET('IWP03'!BackgroundChecks, 17, 0, 1, 1))</f>
        <v/>
      </c>
      <c r="C140" s="262" t="str">
        <f ca="1">IF(OFFSET('IWP03'!BackgroundChecks, 17, 2, 1, 1) = 0, "", OFFSET('IWP03'!BackgroundChecks, 17, 2, 1, 1))</f>
        <v/>
      </c>
      <c r="D140" s="262" t="str">
        <f ca="1">IF(OFFSET('IWP03'!BackgroundChecks, 17, 4, 1, 1) = 0, "", OFFSET('IWP03'!BackgroundChecks, 17, 4, 1, 1))</f>
        <v/>
      </c>
      <c r="E140" s="254">
        <f ca="1">IF(OFFSET('IWP03'!BackgroundChecks, 17, 5, 1, 1)=DATE(1900,1,0), DATE(1900,1,1), OFFSET('IWP03'!BackgroundChecks, 17, 5, 1, 1))</f>
        <v>1</v>
      </c>
      <c r="F140" s="262" t="str">
        <f ca="1">IF(OFFSET('IWP03'!BackgroundChecks, 17, 6, 1, 1) = 0, "", OFFSET('IWP03'!BackgroundChecks, 17, 6, 1, 1))</f>
        <v/>
      </c>
      <c r="G140" s="254">
        <f ca="1">IF(OFFSET('IWP03'!BackgroundChecks, 17, 7, 1, 1)=DATE(1900,1,0), DATE(1900,1,1), OFFSET('IWP03'!BackgroundChecks, 17, 7, 1, 1))</f>
        <v>1</v>
      </c>
      <c r="H140" s="254">
        <f ca="1">IF(OFFSET('IWP03'!BackgroundChecks, 17, 8, 1, 1)=DATE(1900,1,0), DATE(1900,1,1), OFFSET('IWP03'!BackgroundChecks, 17, 8, 1, 1))</f>
        <v>1</v>
      </c>
      <c r="I140" s="262" t="str">
        <f ca="1">IF(OFFSET('IWP03'!BackgroundChecks, 17, 9, 1, 1) = 0, "", OFFSET('IWP03'!BackgroundChecks, 17, 9, 1, 1))</f>
        <v/>
      </c>
      <c r="J140" s="262" t="str">
        <f ca="1">IF(OFFSET('IWP03'!BackgroundChecks, 17, 10, 1, 1) = 0, "", OFFSET('IWP03'!BackgroundChecks, 17, 10, 1, 1))</f>
        <v/>
      </c>
      <c r="K140" s="262" t="str">
        <f ca="1">IF(OFFSET('IWP03'!BackgroundChecks, 17, 11, 1, 1) = 0, "", OFFSET('IWP03'!BackgroundChecks, 17, 11, 1, 1))</f>
        <v/>
      </c>
      <c r="L140" s="262" t="str">
        <f ca="1">IF(OFFSET('IWP03'!BackgroundChecks, 17, 12, 1, 1) = 0, "", OFFSET('IWP03'!BackgroundChecks, 17, 12, 1, 1))</f>
        <v/>
      </c>
      <c r="M140" s="262" t="str">
        <f ca="1">IF(OFFSET('IWP03'!BackgroundChecks, 17, 13, 1, 1) = 0, "", OFFSET('IWP03'!BackgroundChecks, 17, 13, 1, 1))</f>
        <v/>
      </c>
      <c r="N140" s="261"/>
    </row>
    <row r="141" spans="1:14" s="105" customFormat="1">
      <c r="A141" s="257" t="s">
        <v>501</v>
      </c>
      <c r="B141" s="262" t="str">
        <f ca="1">IF(OFFSET('IWP03'!BackgroundChecks, 18, 0, 1, 1) = 0, "", OFFSET('IWP03'!BackgroundChecks, 18, 0, 1, 1))</f>
        <v/>
      </c>
      <c r="C141" s="262" t="str">
        <f ca="1">IF(OFFSET('IWP03'!BackgroundChecks, 18, 2, 1, 1) = 0, "", OFFSET('IWP03'!BackgroundChecks, 18, 2, 1, 1))</f>
        <v/>
      </c>
      <c r="D141" s="262" t="str">
        <f ca="1">IF(OFFSET('IWP03'!BackgroundChecks, 18, 4, 1, 1) = 0, "", OFFSET('IWP03'!BackgroundChecks, 18, 4, 1, 1))</f>
        <v/>
      </c>
      <c r="E141" s="254">
        <f ca="1">IF(OFFSET('IWP03'!BackgroundChecks, 18, 5, 1, 1)=DATE(1900,1,0), DATE(1900,1,1), OFFSET('IWP03'!BackgroundChecks, 18, 5, 1, 1))</f>
        <v>1</v>
      </c>
      <c r="F141" s="262" t="str">
        <f ca="1">IF(OFFSET('IWP03'!BackgroundChecks, 18, 6, 1, 1) = 0, "", OFFSET('IWP03'!BackgroundChecks, 18, 6, 1, 1))</f>
        <v/>
      </c>
      <c r="G141" s="254">
        <f ca="1">IF(OFFSET('IWP03'!BackgroundChecks, 18, 7, 1, 1)=DATE(1900,1,0), DATE(1900,1,1), OFFSET('IWP03'!BackgroundChecks, 18, 7, 1, 1))</f>
        <v>1</v>
      </c>
      <c r="H141" s="254">
        <f ca="1">IF(OFFSET('IWP03'!BackgroundChecks, 18, 8, 1, 1)=DATE(1900,1,0), DATE(1900,1,1), OFFSET('IWP03'!BackgroundChecks, 18, 8, 1, 1))</f>
        <v>1</v>
      </c>
      <c r="I141" s="262" t="str">
        <f ca="1">IF(OFFSET('IWP03'!BackgroundChecks, 18, 9, 1, 1) = 0, "", OFFSET('IWP03'!BackgroundChecks, 18, 9, 1, 1))</f>
        <v/>
      </c>
      <c r="J141" s="262" t="str">
        <f ca="1">IF(OFFSET('IWP03'!BackgroundChecks, 18, 10, 1, 1) = 0, "", OFFSET('IWP03'!BackgroundChecks, 18, 10, 1, 1))</f>
        <v/>
      </c>
      <c r="K141" s="262" t="str">
        <f ca="1">IF(OFFSET('IWP03'!BackgroundChecks, 18, 11, 1, 1) = 0, "", OFFSET('IWP03'!BackgroundChecks, 18, 11, 1, 1))</f>
        <v/>
      </c>
      <c r="L141" s="262" t="str">
        <f ca="1">IF(OFFSET('IWP03'!BackgroundChecks, 18, 12, 1, 1) = 0, "", OFFSET('IWP03'!BackgroundChecks, 18, 12, 1, 1))</f>
        <v/>
      </c>
      <c r="M141" s="262" t="str">
        <f ca="1">IF(OFFSET('IWP03'!BackgroundChecks, 18, 13, 1, 1) = 0, "", OFFSET('IWP03'!BackgroundChecks, 18, 13, 1, 1))</f>
        <v/>
      </c>
      <c r="N141" s="261"/>
    </row>
    <row r="142" spans="1:14" s="105" customFormat="1">
      <c r="A142" s="257" t="s">
        <v>501</v>
      </c>
      <c r="B142" s="262" t="str">
        <f ca="1">IF(OFFSET('IWP03'!BackgroundChecks, 19, 0, 1, 1) = 0, "", OFFSET('IWP03'!BackgroundChecks, 19, 0, 1, 1))</f>
        <v/>
      </c>
      <c r="C142" s="262" t="str">
        <f ca="1">IF(OFFSET('IWP03'!BackgroundChecks, 19, 2, 1, 1) = 0, "", OFFSET('IWP03'!BackgroundChecks, 19, 2, 1, 1))</f>
        <v/>
      </c>
      <c r="D142" s="262" t="str">
        <f ca="1">IF(OFFSET('IWP03'!BackgroundChecks, 19, 4, 1, 1) = 0, "", OFFSET('IWP03'!BackgroundChecks, 19, 4, 1, 1))</f>
        <v/>
      </c>
      <c r="E142" s="254">
        <f ca="1">IF(OFFSET('IWP03'!BackgroundChecks, 19, 5, 1, 1)=DATE(1900,1,0), DATE(1900,1,1), OFFSET('IWP03'!BackgroundChecks, 19, 5, 1, 1))</f>
        <v>1</v>
      </c>
      <c r="F142" s="262" t="str">
        <f ca="1">IF(OFFSET('IWP03'!BackgroundChecks, 19, 6, 1, 1) = 0, "", OFFSET('IWP03'!BackgroundChecks, 19, 6, 1, 1))</f>
        <v/>
      </c>
      <c r="G142" s="254">
        <f ca="1">IF(OFFSET('IWP03'!BackgroundChecks, 19, 7, 1, 1)=DATE(1900,1,0), DATE(1900,1,1), OFFSET('IWP03'!BackgroundChecks, 19, 7, 1, 1))</f>
        <v>1</v>
      </c>
      <c r="H142" s="254">
        <f ca="1">IF(OFFSET('IWP03'!BackgroundChecks, 19, 8, 1, 1)=DATE(1900,1,0), DATE(1900,1,1), OFFSET('IWP03'!BackgroundChecks, 19, 8, 1, 1))</f>
        <v>1</v>
      </c>
      <c r="I142" s="262" t="str">
        <f ca="1">IF(OFFSET('IWP03'!BackgroundChecks, 19, 9, 1, 1) = 0, "", OFFSET('IWP03'!BackgroundChecks, 19, 9, 1, 1))</f>
        <v/>
      </c>
      <c r="J142" s="262" t="str">
        <f ca="1">IF(OFFSET('IWP03'!BackgroundChecks, 19, 10, 1, 1) = 0, "", OFFSET('IWP03'!BackgroundChecks, 19, 10, 1, 1))</f>
        <v/>
      </c>
      <c r="K142" s="262" t="str">
        <f ca="1">IF(OFFSET('IWP03'!BackgroundChecks, 19, 11, 1, 1) = 0, "", OFFSET('IWP03'!BackgroundChecks, 19, 11, 1, 1))</f>
        <v/>
      </c>
      <c r="L142" s="262" t="str">
        <f ca="1">IF(OFFSET('IWP03'!BackgroundChecks, 19, 12, 1, 1) = 0, "", OFFSET('IWP03'!BackgroundChecks, 19, 12, 1, 1))</f>
        <v/>
      </c>
      <c r="M142" s="262" t="str">
        <f ca="1">IF(OFFSET('IWP03'!BackgroundChecks, 19, 13, 1, 1) = 0, "", OFFSET('IWP03'!BackgroundChecks, 19, 13, 1, 1))</f>
        <v/>
      </c>
      <c r="N142" s="261"/>
    </row>
    <row r="143" spans="1:14" s="146" customFormat="1">
      <c r="A143" s="257" t="s">
        <v>502</v>
      </c>
      <c r="B143" s="262" t="str">
        <f ca="1">IF(OFFSET('IWP04'!BackgroundChecks, 0, 0, 1, 1) = 0, "", OFFSET('IWP04'!BackgroundChecks, 0, 0, 1, 1))</f>
        <v/>
      </c>
      <c r="C143" s="262" t="str">
        <f ca="1">IF(OFFSET('IWP04'!BackgroundChecks, 0, 2, 1, 1) = 0, "", OFFSET('IWP04'!BackgroundChecks, 0, 2, 1, 1))</f>
        <v/>
      </c>
      <c r="D143" s="262" t="str">
        <f ca="1">IF(OFFSET('IWP04'!BackgroundChecks, 0, 4, 1, 1) = 0, "", OFFSET('IWP04'!BackgroundChecks, 0, 4, 1, 1))</f>
        <v/>
      </c>
      <c r="E143" s="254">
        <f ca="1">IF(OFFSET('IWP04'!BackgroundChecks, 0, 5, 1, 1)=DATE(1900,1,0), DATE(1900,1,1), OFFSET('IWP04'!BackgroundChecks, 0, 5, 1, 1))</f>
        <v>1</v>
      </c>
      <c r="F143" s="262" t="str">
        <f ca="1">IF(OFFSET('IWP04'!BackgroundChecks, 0, 6, 1, 1) = 0, "", OFFSET('IWP04'!BackgroundChecks, 0, 6, 1, 1))</f>
        <v/>
      </c>
      <c r="G143" s="254">
        <f ca="1">IF(OFFSET('IWP04'!BackgroundChecks, 0, 7, 1, 1)=DATE(1900,1,0), DATE(1900,1,1), OFFSET('IWP04'!BackgroundChecks, 0, 7, 1, 1))</f>
        <v>1</v>
      </c>
      <c r="H143" s="254">
        <f ca="1">IF(OFFSET('IWP04'!BackgroundChecks, 0, 8, 1, 1)=DATE(1900,1,0), DATE(1900,1,1), OFFSET('IWP04'!BackgroundChecks, 0, 8, 1, 1))</f>
        <v>1</v>
      </c>
      <c r="I143" s="262" t="str">
        <f ca="1">IF(OFFSET('IWP04'!BackgroundChecks, 0, 9, 1, 1) = 0, "", OFFSET('IWP04'!BackgroundChecks, 0, 9, 1, 1))</f>
        <v/>
      </c>
      <c r="J143" s="262" t="str">
        <f ca="1">IF(OFFSET('IWP04'!BackgroundChecks, 0, 10, 1, 1) = 0, "", OFFSET('IWP04'!BackgroundChecks, 0, 10, 1, 1))</f>
        <v/>
      </c>
      <c r="K143" s="262" t="str">
        <f ca="1">IF(OFFSET('IWP04'!BackgroundChecks, 0, 11, 1, 1) = 0, "", OFFSET('IWP04'!BackgroundChecks, 0, 11, 1, 1))</f>
        <v/>
      </c>
      <c r="L143" s="262" t="str">
        <f ca="1">IF(OFFSET('IWP04'!BackgroundChecks, 0, 12, 1, 1) = 0, "", OFFSET('IWP04'!BackgroundChecks, 0, 12, 1, 1))</f>
        <v/>
      </c>
      <c r="M143" s="262" t="str">
        <f ca="1">IF(OFFSET('IWP04'!BackgroundChecks, 0, 13, 1, 1) = 0, "", OFFSET('IWP04'!BackgroundChecks, 0, 13, 1, 1))</f>
        <v/>
      </c>
      <c r="N143" s="261"/>
    </row>
    <row r="144" spans="1:14" s="146" customFormat="1">
      <c r="A144" s="257" t="s">
        <v>502</v>
      </c>
      <c r="B144" s="262" t="str">
        <f ca="1">IF(OFFSET('IWP04'!BackgroundChecks, 1, 0, 1, 1) = 0, "", OFFSET('IWP04'!BackgroundChecks, 1, 0, 1, 1))</f>
        <v/>
      </c>
      <c r="C144" s="262" t="str">
        <f ca="1">IF(OFFSET('IWP04'!BackgroundChecks, 1, 2, 1, 1) = 0, "", OFFSET('IWP04'!BackgroundChecks, 1, 2, 1, 1))</f>
        <v/>
      </c>
      <c r="D144" s="262" t="str">
        <f ca="1">IF(OFFSET('IWP04'!BackgroundChecks, 1, 4, 1, 1) = 0, "", OFFSET('IWP04'!BackgroundChecks, 1, 4, 1, 1))</f>
        <v/>
      </c>
      <c r="E144" s="254">
        <f ca="1">IF(OFFSET('IWP04'!BackgroundChecks, 1, 5, 1, 1)=DATE(1900,1,0), DATE(1900,1,1), OFFSET('IWP04'!BackgroundChecks, 1, 5, 1, 1))</f>
        <v>1</v>
      </c>
      <c r="F144" s="262" t="str">
        <f ca="1">IF(OFFSET('IWP04'!BackgroundChecks, 1, 6, 1, 1) = 0, "", OFFSET('IWP04'!BackgroundChecks, 1, 6, 1, 1))</f>
        <v/>
      </c>
      <c r="G144" s="254">
        <f ca="1">IF(OFFSET('IWP04'!BackgroundChecks, 1, 7, 1, 1)=DATE(1900,1,0), DATE(1900,1,1), OFFSET('IWP04'!BackgroundChecks, 1, 7, 1, 1))</f>
        <v>1</v>
      </c>
      <c r="H144" s="254">
        <f ca="1">IF(OFFSET('IWP04'!BackgroundChecks, 1, 8, 1, 1)=DATE(1900,1,0), DATE(1900,1,1), OFFSET('IWP04'!BackgroundChecks, 1, 8, 1, 1))</f>
        <v>1</v>
      </c>
      <c r="I144" s="262" t="str">
        <f ca="1">IF(OFFSET('IWP04'!BackgroundChecks, 1, 9, 1, 1) = 0, "", OFFSET('IWP04'!BackgroundChecks, 1, 9, 1, 1))</f>
        <v/>
      </c>
      <c r="J144" s="262" t="str">
        <f ca="1">IF(OFFSET('IWP04'!BackgroundChecks, 1, 10, 1, 1) = 0, "", OFFSET('IWP04'!BackgroundChecks, 1, 10, 1, 1))</f>
        <v/>
      </c>
      <c r="K144" s="262" t="str">
        <f ca="1">IF(OFFSET('IWP04'!BackgroundChecks, 1, 11, 1, 1) = 0, "", OFFSET('IWP04'!BackgroundChecks, 1, 11, 1, 1))</f>
        <v/>
      </c>
      <c r="L144" s="262" t="str">
        <f ca="1">IF(OFFSET('IWP04'!BackgroundChecks, 1, 12, 1, 1) = 0, "", OFFSET('IWP04'!BackgroundChecks, 1, 12, 1, 1))</f>
        <v/>
      </c>
      <c r="M144" s="262" t="str">
        <f ca="1">IF(OFFSET('IWP04'!BackgroundChecks, 1, 13, 1, 1) = 0, "", OFFSET('IWP04'!BackgroundChecks, 1, 13, 1, 1))</f>
        <v/>
      </c>
      <c r="N144" s="261"/>
    </row>
    <row r="145" spans="1:14" s="146" customFormat="1">
      <c r="A145" s="257" t="s">
        <v>502</v>
      </c>
      <c r="B145" s="262" t="str">
        <f ca="1">IF(OFFSET('IWP04'!BackgroundChecks, 2, 0, 1, 1) = 0, "", OFFSET('IWP04'!BackgroundChecks, 2, 0, 1, 1))</f>
        <v/>
      </c>
      <c r="C145" s="262" t="str">
        <f ca="1">IF(OFFSET('IWP04'!BackgroundChecks, 2, 2, 1, 1) = 0, "", OFFSET('IWP04'!BackgroundChecks, 2, 2, 1, 1))</f>
        <v/>
      </c>
      <c r="D145" s="262" t="str">
        <f ca="1">IF(OFFSET('IWP04'!BackgroundChecks, 2, 4, 1, 1) = 0, "", OFFSET('IWP04'!BackgroundChecks, 2, 4, 1, 1))</f>
        <v/>
      </c>
      <c r="E145" s="254">
        <f ca="1">IF(OFFSET('IWP04'!BackgroundChecks, 2, 5, 1, 1)=DATE(1900,1,0), DATE(1900,1,1), OFFSET('IWP04'!BackgroundChecks, 2, 5, 1, 1))</f>
        <v>1</v>
      </c>
      <c r="F145" s="262" t="str">
        <f ca="1">IF(OFFSET('IWP04'!BackgroundChecks, 2, 6, 1, 1) = 0, "", OFFSET('IWP04'!BackgroundChecks, 2, 6, 1, 1))</f>
        <v/>
      </c>
      <c r="G145" s="254">
        <f ca="1">IF(OFFSET('IWP04'!BackgroundChecks, 2, 7, 1, 1)=DATE(1900,1,0), DATE(1900,1,1), OFFSET('IWP04'!BackgroundChecks, 2, 7, 1, 1))</f>
        <v>1</v>
      </c>
      <c r="H145" s="254">
        <f ca="1">IF(OFFSET('IWP04'!BackgroundChecks, 2, 8, 1, 1)=DATE(1900,1,0), DATE(1900,1,1), OFFSET('IWP04'!BackgroundChecks, 2, 8, 1, 1))</f>
        <v>1</v>
      </c>
      <c r="I145" s="262" t="str">
        <f ca="1">IF(OFFSET('IWP04'!BackgroundChecks, 2, 9, 1, 1) = 0, "", OFFSET('IWP04'!BackgroundChecks, 2, 9, 1, 1))</f>
        <v/>
      </c>
      <c r="J145" s="262" t="str">
        <f ca="1">IF(OFFSET('IWP04'!BackgroundChecks, 2, 10, 1, 1) = 0, "", OFFSET('IWP04'!BackgroundChecks, 2, 10, 1, 1))</f>
        <v/>
      </c>
      <c r="K145" s="262" t="str">
        <f ca="1">IF(OFFSET('IWP04'!BackgroundChecks, 2, 11, 1, 1) = 0, "", OFFSET('IWP04'!BackgroundChecks, 2, 11, 1, 1))</f>
        <v/>
      </c>
      <c r="L145" s="262" t="str">
        <f ca="1">IF(OFFSET('IWP04'!BackgroundChecks, 2, 12, 1, 1) = 0, "", OFFSET('IWP04'!BackgroundChecks, 2, 12, 1, 1))</f>
        <v/>
      </c>
      <c r="M145" s="262" t="str">
        <f ca="1">IF(OFFSET('IWP04'!BackgroundChecks, 2, 13, 1, 1) = 0, "", OFFSET('IWP04'!BackgroundChecks, 2, 13, 1, 1))</f>
        <v/>
      </c>
      <c r="N145" s="261"/>
    </row>
    <row r="146" spans="1:14" s="146" customFormat="1">
      <c r="A146" s="257" t="s">
        <v>502</v>
      </c>
      <c r="B146" s="262" t="str">
        <f ca="1">IF(OFFSET('IWP04'!BackgroundChecks, 3, 0, 1, 1) = 0, "", OFFSET('IWP04'!BackgroundChecks, 3, 0, 1, 1))</f>
        <v/>
      </c>
      <c r="C146" s="262" t="str">
        <f ca="1">IF(OFFSET('IWP04'!BackgroundChecks, 3, 2, 1, 1) = 0, "", OFFSET('IWP04'!BackgroundChecks, 3, 2, 1, 1))</f>
        <v/>
      </c>
      <c r="D146" s="262" t="str">
        <f ca="1">IF(OFFSET('IWP04'!BackgroundChecks, 3, 4, 1, 1) = 0, "", OFFSET('IWP04'!BackgroundChecks, 3, 4, 1, 1))</f>
        <v/>
      </c>
      <c r="E146" s="254">
        <f ca="1">IF(OFFSET('IWP04'!BackgroundChecks, 3, 5, 1, 1)=DATE(1900,1,0), DATE(1900,1,1), OFFSET('IWP04'!BackgroundChecks, 3, 5, 1, 1))</f>
        <v>1</v>
      </c>
      <c r="F146" s="262" t="str">
        <f ca="1">IF(OFFSET('IWP04'!BackgroundChecks, 3, 6, 1, 1) = 0, "", OFFSET('IWP04'!BackgroundChecks, 3, 6, 1, 1))</f>
        <v/>
      </c>
      <c r="G146" s="254">
        <f ca="1">IF(OFFSET('IWP04'!BackgroundChecks, 3, 7, 1, 1)=DATE(1900,1,0), DATE(1900,1,1), OFFSET('IWP04'!BackgroundChecks, 3, 7, 1, 1))</f>
        <v>1</v>
      </c>
      <c r="H146" s="254">
        <f ca="1">IF(OFFSET('IWP04'!BackgroundChecks, 3, 8, 1, 1)=DATE(1900,1,0), DATE(1900,1,1), OFFSET('IWP04'!BackgroundChecks, 3, 8, 1, 1))</f>
        <v>1</v>
      </c>
      <c r="I146" s="262" t="str">
        <f ca="1">IF(OFFSET('IWP04'!BackgroundChecks, 3, 9, 1, 1) = 0, "", OFFSET('IWP04'!BackgroundChecks, 3, 9, 1, 1))</f>
        <v/>
      </c>
      <c r="J146" s="262" t="str">
        <f ca="1">IF(OFFSET('IWP04'!BackgroundChecks, 3, 10, 1, 1) = 0, "", OFFSET('IWP04'!BackgroundChecks, 3, 10, 1, 1))</f>
        <v/>
      </c>
      <c r="K146" s="262" t="str">
        <f ca="1">IF(OFFSET('IWP04'!BackgroundChecks, 3, 11, 1, 1) = 0, "", OFFSET('IWP04'!BackgroundChecks, 3, 11, 1, 1))</f>
        <v/>
      </c>
      <c r="L146" s="262" t="str">
        <f ca="1">IF(OFFSET('IWP04'!BackgroundChecks, 3, 12, 1, 1) = 0, "", OFFSET('IWP04'!BackgroundChecks, 3, 12, 1, 1))</f>
        <v/>
      </c>
      <c r="M146" s="262" t="str">
        <f ca="1">IF(OFFSET('IWP04'!BackgroundChecks, 3, 13, 1, 1) = 0, "", OFFSET('IWP04'!BackgroundChecks, 3, 13, 1, 1))</f>
        <v/>
      </c>
      <c r="N146" s="261"/>
    </row>
    <row r="147" spans="1:14" s="146" customFormat="1">
      <c r="A147" s="257" t="s">
        <v>502</v>
      </c>
      <c r="B147" s="262" t="str">
        <f ca="1">IF(OFFSET('IWP04'!BackgroundChecks, 4, 0, 1, 1) = 0, "", OFFSET('IWP04'!BackgroundChecks, 4, 0, 1, 1))</f>
        <v/>
      </c>
      <c r="C147" s="262" t="str">
        <f ca="1">IF(OFFSET('IWP04'!BackgroundChecks, 4, 2, 1, 1) = 0, "", OFFSET('IWP04'!BackgroundChecks, 4, 2, 1, 1))</f>
        <v/>
      </c>
      <c r="D147" s="262" t="str">
        <f ca="1">IF(OFFSET('IWP04'!BackgroundChecks, 4, 4, 1, 1) = 0, "", OFFSET('IWP04'!BackgroundChecks, 4, 4, 1, 1))</f>
        <v/>
      </c>
      <c r="E147" s="254">
        <f ca="1">IF(OFFSET('IWP04'!BackgroundChecks, 4, 5, 1, 1)=DATE(1900,1,0), DATE(1900,1,1), OFFSET('IWP04'!BackgroundChecks, 4, 5, 1, 1))</f>
        <v>1</v>
      </c>
      <c r="F147" s="262" t="str">
        <f ca="1">IF(OFFSET('IWP04'!BackgroundChecks, 4, 6, 1, 1) = 0, "", OFFSET('IWP04'!BackgroundChecks, 4, 6, 1, 1))</f>
        <v/>
      </c>
      <c r="G147" s="254">
        <f ca="1">IF(OFFSET('IWP04'!BackgroundChecks, 4, 7, 1, 1)=DATE(1900,1,0), DATE(1900,1,1), OFFSET('IWP04'!BackgroundChecks, 4, 7, 1, 1))</f>
        <v>1</v>
      </c>
      <c r="H147" s="254">
        <f ca="1">IF(OFFSET('IWP04'!BackgroundChecks, 4, 8, 1, 1)=DATE(1900,1,0), DATE(1900,1,1), OFFSET('IWP04'!BackgroundChecks, 4, 8, 1, 1))</f>
        <v>1</v>
      </c>
      <c r="I147" s="262" t="str">
        <f ca="1">IF(OFFSET('IWP04'!BackgroundChecks, 4, 9, 1, 1) = 0, "", OFFSET('IWP04'!BackgroundChecks, 4, 9, 1, 1))</f>
        <v/>
      </c>
      <c r="J147" s="262" t="str">
        <f ca="1">IF(OFFSET('IWP04'!BackgroundChecks, 4, 10, 1, 1) = 0, "", OFFSET('IWP04'!BackgroundChecks, 4, 10, 1, 1))</f>
        <v/>
      </c>
      <c r="K147" s="262" t="str">
        <f ca="1">IF(OFFSET('IWP04'!BackgroundChecks, 4, 11, 1, 1) = 0, "", OFFSET('IWP04'!BackgroundChecks, 4, 11, 1, 1))</f>
        <v/>
      </c>
      <c r="L147" s="262" t="str">
        <f ca="1">IF(OFFSET('IWP04'!BackgroundChecks, 4, 12, 1, 1) = 0, "", OFFSET('IWP04'!BackgroundChecks, 4, 12, 1, 1))</f>
        <v/>
      </c>
      <c r="M147" s="262" t="str">
        <f ca="1">IF(OFFSET('IWP04'!BackgroundChecks, 4, 13, 1, 1) = 0, "", OFFSET('IWP04'!BackgroundChecks, 4, 13, 1, 1))</f>
        <v/>
      </c>
      <c r="N147" s="261"/>
    </row>
    <row r="148" spans="1:14" s="146" customFormat="1">
      <c r="A148" s="257" t="s">
        <v>502</v>
      </c>
      <c r="B148" s="262" t="str">
        <f ca="1">IF(OFFSET('IWP04'!BackgroundChecks, 5, 0, 1, 1) = 0, "", OFFSET('IWP04'!BackgroundChecks, 5, 0, 1, 1))</f>
        <v/>
      </c>
      <c r="C148" s="262" t="str">
        <f ca="1">IF(OFFSET('IWP04'!BackgroundChecks, 5, 2, 1, 1) = 0, "", OFFSET('IWP04'!BackgroundChecks, 5, 2, 1, 1))</f>
        <v/>
      </c>
      <c r="D148" s="262" t="str">
        <f ca="1">IF(OFFSET('IWP04'!BackgroundChecks, 5, 4, 1, 1) = 0, "", OFFSET('IWP04'!BackgroundChecks, 5, 4, 1, 1))</f>
        <v/>
      </c>
      <c r="E148" s="254">
        <f ca="1">IF(OFFSET('IWP04'!BackgroundChecks, 5, 5, 1, 1)=DATE(1900,1,0), DATE(1900,1,1), OFFSET('IWP04'!BackgroundChecks, 5, 5, 1, 1))</f>
        <v>1</v>
      </c>
      <c r="F148" s="262" t="str">
        <f ca="1">IF(OFFSET('IWP04'!BackgroundChecks, 5, 6, 1, 1) = 0, "", OFFSET('IWP04'!BackgroundChecks, 5, 6, 1, 1))</f>
        <v/>
      </c>
      <c r="G148" s="254">
        <f ca="1">IF(OFFSET('IWP04'!BackgroundChecks, 5, 7, 1, 1)=DATE(1900,1,0), DATE(1900,1,1), OFFSET('IWP04'!BackgroundChecks, 5, 7, 1, 1))</f>
        <v>1</v>
      </c>
      <c r="H148" s="254">
        <f ca="1">IF(OFFSET('IWP04'!BackgroundChecks, 5, 8, 1, 1)=DATE(1900,1,0), DATE(1900,1,1), OFFSET('IWP04'!BackgroundChecks, 5, 8, 1, 1))</f>
        <v>1</v>
      </c>
      <c r="I148" s="262" t="str">
        <f ca="1">IF(OFFSET('IWP04'!BackgroundChecks, 5, 9, 1, 1) = 0, "", OFFSET('IWP04'!BackgroundChecks, 5, 9, 1, 1))</f>
        <v/>
      </c>
      <c r="J148" s="262" t="str">
        <f ca="1">IF(OFFSET('IWP04'!BackgroundChecks, 5, 10, 1, 1) = 0, "", OFFSET('IWP04'!BackgroundChecks, 5, 10, 1, 1))</f>
        <v/>
      </c>
      <c r="K148" s="262" t="str">
        <f ca="1">IF(OFFSET('IWP04'!BackgroundChecks, 5, 11, 1, 1) = 0, "", OFFSET('IWP04'!BackgroundChecks, 5, 11, 1, 1))</f>
        <v/>
      </c>
      <c r="L148" s="262" t="str">
        <f ca="1">IF(OFFSET('IWP04'!BackgroundChecks, 5, 12, 1, 1) = 0, "", OFFSET('IWP04'!BackgroundChecks, 5, 12, 1, 1))</f>
        <v/>
      </c>
      <c r="M148" s="262" t="str">
        <f ca="1">IF(OFFSET('IWP04'!BackgroundChecks, 5, 13, 1, 1) = 0, "", OFFSET('IWP04'!BackgroundChecks, 5, 13, 1, 1))</f>
        <v/>
      </c>
      <c r="N148" s="261"/>
    </row>
    <row r="149" spans="1:14" s="146" customFormat="1">
      <c r="A149" s="257" t="s">
        <v>502</v>
      </c>
      <c r="B149" s="262" t="str">
        <f ca="1">IF(OFFSET('IWP04'!BackgroundChecks, 6, 0, 1, 1) = 0, "", OFFSET('IWP04'!BackgroundChecks, 6, 0, 1, 1))</f>
        <v/>
      </c>
      <c r="C149" s="262" t="str">
        <f ca="1">IF(OFFSET('IWP04'!BackgroundChecks, 6, 2, 1, 1) = 0, "", OFFSET('IWP04'!BackgroundChecks, 6, 2, 1, 1))</f>
        <v/>
      </c>
      <c r="D149" s="262" t="str">
        <f ca="1">IF(OFFSET('IWP04'!BackgroundChecks, 6, 4, 1, 1) = 0, "", OFFSET('IWP04'!BackgroundChecks, 6, 4, 1, 1))</f>
        <v/>
      </c>
      <c r="E149" s="254">
        <f ca="1">IF(OFFSET('IWP04'!BackgroundChecks, 6, 5, 1, 1)=DATE(1900,1,0), DATE(1900,1,1), OFFSET('IWP04'!BackgroundChecks, 6, 5, 1, 1))</f>
        <v>1</v>
      </c>
      <c r="F149" s="262" t="str">
        <f ca="1">IF(OFFSET('IWP04'!BackgroundChecks, 6, 6, 1, 1) = 0, "", OFFSET('IWP04'!BackgroundChecks, 6, 6, 1, 1))</f>
        <v/>
      </c>
      <c r="G149" s="254">
        <f ca="1">IF(OFFSET('IWP04'!BackgroundChecks, 6, 7, 1, 1)=DATE(1900,1,0), DATE(1900,1,1), OFFSET('IWP04'!BackgroundChecks, 6, 7, 1, 1))</f>
        <v>1</v>
      </c>
      <c r="H149" s="254">
        <f ca="1">IF(OFFSET('IWP04'!BackgroundChecks, 6, 8, 1, 1)=DATE(1900,1,0), DATE(1900,1,1), OFFSET('IWP04'!BackgroundChecks, 6, 8, 1, 1))</f>
        <v>1</v>
      </c>
      <c r="I149" s="262" t="str">
        <f ca="1">IF(OFFSET('IWP04'!BackgroundChecks, 6, 9, 1, 1) = 0, "", OFFSET('IWP04'!BackgroundChecks, 6, 9, 1, 1))</f>
        <v/>
      </c>
      <c r="J149" s="262" t="str">
        <f ca="1">IF(OFFSET('IWP04'!BackgroundChecks, 6, 10, 1, 1) = 0, "", OFFSET('IWP04'!BackgroundChecks, 6, 10, 1, 1))</f>
        <v/>
      </c>
      <c r="K149" s="262" t="str">
        <f ca="1">IF(OFFSET('IWP04'!BackgroundChecks, 6, 11, 1, 1) = 0, "", OFFSET('IWP04'!BackgroundChecks, 6, 11, 1, 1))</f>
        <v/>
      </c>
      <c r="L149" s="262" t="str">
        <f ca="1">IF(OFFSET('IWP04'!BackgroundChecks, 6, 12, 1, 1) = 0, "", OFFSET('IWP04'!BackgroundChecks, 6, 12, 1, 1))</f>
        <v/>
      </c>
      <c r="M149" s="262" t="str">
        <f ca="1">IF(OFFSET('IWP04'!BackgroundChecks, 6, 13, 1, 1) = 0, "", OFFSET('IWP04'!BackgroundChecks, 6, 13, 1, 1))</f>
        <v/>
      </c>
      <c r="N149" s="261"/>
    </row>
    <row r="150" spans="1:14" s="146" customFormat="1">
      <c r="A150" s="257" t="s">
        <v>502</v>
      </c>
      <c r="B150" s="262" t="str">
        <f ca="1">IF(OFFSET('IWP04'!BackgroundChecks, 7, 0, 1, 1) = 0, "", OFFSET('IWP04'!BackgroundChecks, 7, 0, 1, 1))</f>
        <v/>
      </c>
      <c r="C150" s="262" t="str">
        <f ca="1">IF(OFFSET('IWP04'!BackgroundChecks, 7, 2, 1, 1) = 0, "", OFFSET('IWP04'!BackgroundChecks, 7, 2, 1, 1))</f>
        <v/>
      </c>
      <c r="D150" s="262" t="str">
        <f ca="1">IF(OFFSET('IWP04'!BackgroundChecks, 7, 4, 1, 1) = 0, "", OFFSET('IWP04'!BackgroundChecks, 7, 4, 1, 1))</f>
        <v/>
      </c>
      <c r="E150" s="254">
        <f ca="1">IF(OFFSET('IWP04'!BackgroundChecks, 7, 5, 1, 1)=DATE(1900,1,0), DATE(1900,1,1), OFFSET('IWP04'!BackgroundChecks, 7, 5, 1, 1))</f>
        <v>1</v>
      </c>
      <c r="F150" s="262" t="str">
        <f ca="1">IF(OFFSET('IWP04'!BackgroundChecks, 7, 6, 1, 1) = 0, "", OFFSET('IWP04'!BackgroundChecks, 7, 6, 1, 1))</f>
        <v/>
      </c>
      <c r="G150" s="254">
        <f ca="1">IF(OFFSET('IWP04'!BackgroundChecks, 7, 7, 1, 1)=DATE(1900,1,0), DATE(1900,1,1), OFFSET('IWP04'!BackgroundChecks, 7, 7, 1, 1))</f>
        <v>1</v>
      </c>
      <c r="H150" s="254">
        <f ca="1">IF(OFFSET('IWP04'!BackgroundChecks, 7, 8, 1, 1)=DATE(1900,1,0), DATE(1900,1,1), OFFSET('IWP04'!BackgroundChecks, 7, 8, 1, 1))</f>
        <v>1</v>
      </c>
      <c r="I150" s="262" t="str">
        <f ca="1">IF(OFFSET('IWP04'!BackgroundChecks, 7, 9, 1, 1) = 0, "", OFFSET('IWP04'!BackgroundChecks, 7, 9, 1, 1))</f>
        <v/>
      </c>
      <c r="J150" s="262" t="str">
        <f ca="1">IF(OFFSET('IWP04'!BackgroundChecks, 7, 10, 1, 1) = 0, "", OFFSET('IWP04'!BackgroundChecks, 7, 10, 1, 1))</f>
        <v/>
      </c>
      <c r="K150" s="262" t="str">
        <f ca="1">IF(OFFSET('IWP04'!BackgroundChecks, 7, 11, 1, 1) = 0, "", OFFSET('IWP04'!BackgroundChecks, 7, 11, 1, 1))</f>
        <v/>
      </c>
      <c r="L150" s="262" t="str">
        <f ca="1">IF(OFFSET('IWP04'!BackgroundChecks, 7, 12, 1, 1) = 0, "", OFFSET('IWP04'!BackgroundChecks, 7, 12, 1, 1))</f>
        <v/>
      </c>
      <c r="M150" s="262" t="str">
        <f ca="1">IF(OFFSET('IWP04'!BackgroundChecks, 7, 13, 1, 1) = 0, "", OFFSET('IWP04'!BackgroundChecks, 7, 13, 1, 1))</f>
        <v/>
      </c>
      <c r="N150" s="261"/>
    </row>
    <row r="151" spans="1:14" s="146" customFormat="1">
      <c r="A151" s="257" t="s">
        <v>502</v>
      </c>
      <c r="B151" s="262" t="str">
        <f ca="1">IF(OFFSET('IWP04'!BackgroundChecks, 8, 0, 1, 1) = 0, "", OFFSET('IWP04'!BackgroundChecks, 8, 0, 1, 1))</f>
        <v/>
      </c>
      <c r="C151" s="262" t="str">
        <f ca="1">IF(OFFSET('IWP04'!BackgroundChecks, 8, 2, 1, 1) = 0, "", OFFSET('IWP04'!BackgroundChecks, 8, 2, 1, 1))</f>
        <v/>
      </c>
      <c r="D151" s="262" t="str">
        <f ca="1">IF(OFFSET('IWP04'!BackgroundChecks, 8, 4, 1, 1) = 0, "", OFFSET('IWP04'!BackgroundChecks, 8, 4, 1, 1))</f>
        <v/>
      </c>
      <c r="E151" s="254">
        <f ca="1">IF(OFFSET('IWP04'!BackgroundChecks, 8, 5, 1, 1)=DATE(1900,1,0), DATE(1900,1,1), OFFSET('IWP04'!BackgroundChecks, 8, 5, 1, 1))</f>
        <v>1</v>
      </c>
      <c r="F151" s="262" t="str">
        <f ca="1">IF(OFFSET('IWP04'!BackgroundChecks, 8, 6, 1, 1) = 0, "", OFFSET('IWP04'!BackgroundChecks, 8, 6, 1, 1))</f>
        <v/>
      </c>
      <c r="G151" s="254">
        <f ca="1">IF(OFFSET('IWP04'!BackgroundChecks, 8, 7, 1, 1)=DATE(1900,1,0), DATE(1900,1,1), OFFSET('IWP04'!BackgroundChecks, 8, 7, 1, 1))</f>
        <v>1</v>
      </c>
      <c r="H151" s="254">
        <f ca="1">IF(OFFSET('IWP04'!BackgroundChecks, 8, 8, 1, 1)=DATE(1900,1,0), DATE(1900,1,1), OFFSET('IWP04'!BackgroundChecks, 8, 8, 1, 1))</f>
        <v>1</v>
      </c>
      <c r="I151" s="262" t="str">
        <f ca="1">IF(OFFSET('IWP04'!BackgroundChecks, 8, 9, 1, 1) = 0, "", OFFSET('IWP04'!BackgroundChecks, 8, 9, 1, 1))</f>
        <v/>
      </c>
      <c r="J151" s="262" t="str">
        <f ca="1">IF(OFFSET('IWP04'!BackgroundChecks, 8, 10, 1, 1) = 0, "", OFFSET('IWP04'!BackgroundChecks, 8, 10, 1, 1))</f>
        <v/>
      </c>
      <c r="K151" s="262" t="str">
        <f ca="1">IF(OFFSET('IWP04'!BackgroundChecks, 8, 11, 1, 1) = 0, "", OFFSET('IWP04'!BackgroundChecks, 8, 11, 1, 1))</f>
        <v/>
      </c>
      <c r="L151" s="262" t="str">
        <f ca="1">IF(OFFSET('IWP04'!BackgroundChecks, 8, 12, 1, 1) = 0, "", OFFSET('IWP04'!BackgroundChecks, 8, 12, 1, 1))</f>
        <v/>
      </c>
      <c r="M151" s="262" t="str">
        <f ca="1">IF(OFFSET('IWP04'!BackgroundChecks, 8, 13, 1, 1) = 0, "", OFFSET('IWP04'!BackgroundChecks, 8, 13, 1, 1))</f>
        <v/>
      </c>
      <c r="N151" s="261"/>
    </row>
    <row r="152" spans="1:14" s="146" customFormat="1">
      <c r="A152" s="257" t="s">
        <v>502</v>
      </c>
      <c r="B152" s="262" t="str">
        <f ca="1">IF(OFFSET('IWP04'!BackgroundChecks, 9, 0, 1, 1) = 0, "", OFFSET('IWP04'!BackgroundChecks, 9, 0, 1, 1))</f>
        <v/>
      </c>
      <c r="C152" s="262" t="str">
        <f ca="1">IF(OFFSET('IWP04'!BackgroundChecks, 9, 2, 1, 1) = 0, "", OFFSET('IWP04'!BackgroundChecks, 9, 2, 1, 1))</f>
        <v/>
      </c>
      <c r="D152" s="262" t="str">
        <f ca="1">IF(OFFSET('IWP04'!BackgroundChecks, 9, 4, 1, 1) = 0, "", OFFSET('IWP04'!BackgroundChecks, 9, 4, 1, 1))</f>
        <v/>
      </c>
      <c r="E152" s="254">
        <f ca="1">IF(OFFSET('IWP04'!BackgroundChecks, 9, 5, 1, 1)=DATE(1900,1,0), DATE(1900,1,1), OFFSET('IWP04'!BackgroundChecks, 9, 5, 1, 1))</f>
        <v>1</v>
      </c>
      <c r="F152" s="262" t="str">
        <f ca="1">IF(OFFSET('IWP04'!BackgroundChecks, 9, 6, 1, 1) = 0, "", OFFSET('IWP04'!BackgroundChecks, 9, 6, 1, 1))</f>
        <v/>
      </c>
      <c r="G152" s="254">
        <f ca="1">IF(OFFSET('IWP04'!BackgroundChecks, 9, 7, 1, 1)=DATE(1900,1,0), DATE(1900,1,1), OFFSET('IWP04'!BackgroundChecks, 9, 7, 1, 1))</f>
        <v>1</v>
      </c>
      <c r="H152" s="254">
        <f ca="1">IF(OFFSET('IWP04'!BackgroundChecks, 9, 8, 1, 1)=DATE(1900,1,0), DATE(1900,1,1), OFFSET('IWP04'!BackgroundChecks, 9, 8, 1, 1))</f>
        <v>1</v>
      </c>
      <c r="I152" s="262" t="str">
        <f ca="1">IF(OFFSET('IWP04'!BackgroundChecks, 9, 9, 1, 1) = 0, "", OFFSET('IWP04'!BackgroundChecks, 9, 9, 1, 1))</f>
        <v/>
      </c>
      <c r="J152" s="262" t="str">
        <f ca="1">IF(OFFSET('IWP04'!BackgroundChecks, 9, 10, 1, 1) = 0, "", OFFSET('IWP04'!BackgroundChecks, 9, 10, 1, 1))</f>
        <v/>
      </c>
      <c r="K152" s="262" t="str">
        <f ca="1">IF(OFFSET('IWP04'!BackgroundChecks, 9, 11, 1, 1) = 0, "", OFFSET('IWP04'!BackgroundChecks, 9, 11, 1, 1))</f>
        <v/>
      </c>
      <c r="L152" s="262" t="str">
        <f ca="1">IF(OFFSET('IWP04'!BackgroundChecks, 9, 12, 1, 1) = 0, "", OFFSET('IWP04'!BackgroundChecks, 9, 12, 1, 1))</f>
        <v/>
      </c>
      <c r="M152" s="262" t="str">
        <f ca="1">IF(OFFSET('IWP04'!BackgroundChecks, 9, 13, 1, 1) = 0, "", OFFSET('IWP04'!BackgroundChecks, 9, 13, 1, 1))</f>
        <v/>
      </c>
      <c r="N152" s="261"/>
    </row>
    <row r="153" spans="1:14" s="146" customFormat="1">
      <c r="A153" s="257" t="s">
        <v>502</v>
      </c>
      <c r="B153" s="262" t="str">
        <f ca="1">IF(OFFSET('IWP04'!BackgroundChecks, 10, 0, 1, 1) = 0, "", OFFSET('IWP04'!BackgroundChecks, 10, 0, 1, 1))</f>
        <v/>
      </c>
      <c r="C153" s="262" t="str">
        <f ca="1">IF(OFFSET('IWP04'!BackgroundChecks, 10, 2, 1, 1) = 0, "", OFFSET('IWP04'!BackgroundChecks, 10, 2, 1, 1))</f>
        <v/>
      </c>
      <c r="D153" s="262" t="str">
        <f ca="1">IF(OFFSET('IWP04'!BackgroundChecks, 10, 4, 1, 1) = 0, "", OFFSET('IWP04'!BackgroundChecks, 10, 4, 1, 1))</f>
        <v/>
      </c>
      <c r="E153" s="254">
        <f ca="1">IF(OFFSET('IWP04'!BackgroundChecks, 10, 5, 1, 1)=DATE(1900,1,0), DATE(1900,1,1), OFFSET('IWP04'!BackgroundChecks, 10, 5, 1, 1))</f>
        <v>1</v>
      </c>
      <c r="F153" s="262" t="str">
        <f ca="1">IF(OFFSET('IWP04'!BackgroundChecks, 10, 6, 1, 1) = 0, "", OFFSET('IWP04'!BackgroundChecks, 10, 6, 1, 1))</f>
        <v/>
      </c>
      <c r="G153" s="254">
        <f ca="1">IF(OFFSET('IWP04'!BackgroundChecks, 10, 7, 1, 1)=DATE(1900,1,0), DATE(1900,1,1), OFFSET('IWP04'!BackgroundChecks, 10, 7, 1, 1))</f>
        <v>1</v>
      </c>
      <c r="H153" s="254">
        <f ca="1">IF(OFFSET('IWP04'!BackgroundChecks, 10, 8, 1, 1)=DATE(1900,1,0), DATE(1900,1,1), OFFSET('IWP04'!BackgroundChecks, 10, 8, 1, 1))</f>
        <v>1</v>
      </c>
      <c r="I153" s="262" t="str">
        <f ca="1">IF(OFFSET('IWP04'!BackgroundChecks, 10, 9, 1, 1) = 0, "", OFFSET('IWP04'!BackgroundChecks, 10, 9, 1, 1))</f>
        <v/>
      </c>
      <c r="J153" s="262" t="str">
        <f ca="1">IF(OFFSET('IWP04'!BackgroundChecks, 10, 10, 1, 1) = 0, "", OFFSET('IWP04'!BackgroundChecks, 10, 10, 1, 1))</f>
        <v/>
      </c>
      <c r="K153" s="262" t="str">
        <f ca="1">IF(OFFSET('IWP04'!BackgroundChecks, 10, 11, 1, 1) = 0, "", OFFSET('IWP04'!BackgroundChecks, 10, 11, 1, 1))</f>
        <v/>
      </c>
      <c r="L153" s="262" t="str">
        <f ca="1">IF(OFFSET('IWP04'!BackgroundChecks, 10, 12, 1, 1) = 0, "", OFFSET('IWP04'!BackgroundChecks, 10, 12, 1, 1))</f>
        <v/>
      </c>
      <c r="M153" s="262" t="str">
        <f ca="1">IF(OFFSET('IWP04'!BackgroundChecks, 10, 13, 1, 1) = 0, "", OFFSET('IWP04'!BackgroundChecks, 10, 13, 1, 1))</f>
        <v/>
      </c>
      <c r="N153" s="261"/>
    </row>
    <row r="154" spans="1:14" s="146" customFormat="1">
      <c r="A154" s="257" t="s">
        <v>502</v>
      </c>
      <c r="B154" s="262" t="str">
        <f ca="1">IF(OFFSET('IWP04'!BackgroundChecks, 11, 0, 1, 1) = 0, "", OFFSET('IWP04'!BackgroundChecks, 11, 0, 1, 1))</f>
        <v/>
      </c>
      <c r="C154" s="262" t="str">
        <f ca="1">IF(OFFSET('IWP04'!BackgroundChecks, 11, 2, 1, 1) = 0, "", OFFSET('IWP04'!BackgroundChecks, 11, 2, 1, 1))</f>
        <v/>
      </c>
      <c r="D154" s="262" t="str">
        <f ca="1">IF(OFFSET('IWP04'!BackgroundChecks, 11, 4, 1, 1) = 0, "", OFFSET('IWP04'!BackgroundChecks, 11, 4, 1, 1))</f>
        <v/>
      </c>
      <c r="E154" s="254">
        <f ca="1">IF(OFFSET('IWP04'!BackgroundChecks, 11, 5, 1, 1)=DATE(1900,1,0), DATE(1900,1,1), OFFSET('IWP04'!BackgroundChecks, 11, 5, 1, 1))</f>
        <v>1</v>
      </c>
      <c r="F154" s="262" t="str">
        <f ca="1">IF(OFFSET('IWP04'!BackgroundChecks, 11, 6, 1, 1) = 0, "", OFFSET('IWP04'!BackgroundChecks, 11, 6, 1, 1))</f>
        <v/>
      </c>
      <c r="G154" s="254">
        <f ca="1">IF(OFFSET('IWP04'!BackgroundChecks, 11, 7, 1, 1)=DATE(1900,1,0), DATE(1900,1,1), OFFSET('IWP04'!BackgroundChecks, 11, 7, 1, 1))</f>
        <v>1</v>
      </c>
      <c r="H154" s="254">
        <f ca="1">IF(OFFSET('IWP04'!BackgroundChecks, 11, 8, 1, 1)=DATE(1900,1,0), DATE(1900,1,1), OFFSET('IWP04'!BackgroundChecks, 11, 8, 1, 1))</f>
        <v>1</v>
      </c>
      <c r="I154" s="262" t="str">
        <f ca="1">IF(OFFSET('IWP04'!BackgroundChecks, 11, 9, 1, 1) = 0, "", OFFSET('IWP04'!BackgroundChecks, 11, 9, 1, 1))</f>
        <v/>
      </c>
      <c r="J154" s="262" t="str">
        <f ca="1">IF(OFFSET('IWP04'!BackgroundChecks, 11, 10, 1, 1) = 0, "", OFFSET('IWP04'!BackgroundChecks, 11, 10, 1, 1))</f>
        <v/>
      </c>
      <c r="K154" s="262" t="str">
        <f ca="1">IF(OFFSET('IWP04'!BackgroundChecks, 11, 11, 1, 1) = 0, "", OFFSET('IWP04'!BackgroundChecks, 11, 11, 1, 1))</f>
        <v/>
      </c>
      <c r="L154" s="262" t="str">
        <f ca="1">IF(OFFSET('IWP04'!BackgroundChecks, 11, 12, 1, 1) = 0, "", OFFSET('IWP04'!BackgroundChecks, 11, 12, 1, 1))</f>
        <v/>
      </c>
      <c r="M154" s="262" t="str">
        <f ca="1">IF(OFFSET('IWP04'!BackgroundChecks, 11, 13, 1, 1) = 0, "", OFFSET('IWP04'!BackgroundChecks, 11, 13, 1, 1))</f>
        <v/>
      </c>
      <c r="N154" s="261"/>
    </row>
    <row r="155" spans="1:14" s="146" customFormat="1">
      <c r="A155" s="257" t="s">
        <v>502</v>
      </c>
      <c r="B155" s="262" t="str">
        <f ca="1">IF(OFFSET('IWP04'!BackgroundChecks, 12, 0, 1, 1) = 0, "", OFFSET('IWP04'!BackgroundChecks, 12, 0, 1, 1))</f>
        <v/>
      </c>
      <c r="C155" s="262" t="str">
        <f ca="1">IF(OFFSET('IWP04'!BackgroundChecks, 12, 2, 1, 1) = 0, "", OFFSET('IWP04'!BackgroundChecks, 12, 2, 1, 1))</f>
        <v/>
      </c>
      <c r="D155" s="262" t="str">
        <f ca="1">IF(OFFSET('IWP04'!BackgroundChecks, 12, 4, 1, 1) = 0, "", OFFSET('IWP04'!BackgroundChecks, 12, 4, 1, 1))</f>
        <v/>
      </c>
      <c r="E155" s="254">
        <f ca="1">IF(OFFSET('IWP04'!BackgroundChecks, 12, 5, 1, 1)=DATE(1900,1,0), DATE(1900,1,1), OFFSET('IWP04'!BackgroundChecks, 12, 5, 1, 1))</f>
        <v>1</v>
      </c>
      <c r="F155" s="262" t="str">
        <f ca="1">IF(OFFSET('IWP04'!BackgroundChecks, 12, 6, 1, 1) = 0, "", OFFSET('IWP04'!BackgroundChecks, 12, 6, 1, 1))</f>
        <v/>
      </c>
      <c r="G155" s="254">
        <f ca="1">IF(OFFSET('IWP04'!BackgroundChecks, 12, 7, 1, 1)=DATE(1900,1,0), DATE(1900,1,1), OFFSET('IWP04'!BackgroundChecks, 12, 7, 1, 1))</f>
        <v>1</v>
      </c>
      <c r="H155" s="254">
        <f ca="1">IF(OFFSET('IWP04'!BackgroundChecks, 12, 8, 1, 1)=DATE(1900,1,0), DATE(1900,1,1), OFFSET('IWP04'!BackgroundChecks, 12, 8, 1, 1))</f>
        <v>1</v>
      </c>
      <c r="I155" s="262" t="str">
        <f ca="1">IF(OFFSET('IWP04'!BackgroundChecks, 12, 9, 1, 1) = 0, "", OFFSET('IWP04'!BackgroundChecks, 12, 9, 1, 1))</f>
        <v/>
      </c>
      <c r="J155" s="262" t="str">
        <f ca="1">IF(OFFSET('IWP04'!BackgroundChecks, 12, 10, 1, 1) = 0, "", OFFSET('IWP04'!BackgroundChecks, 12, 10, 1, 1))</f>
        <v/>
      </c>
      <c r="K155" s="262" t="str">
        <f ca="1">IF(OFFSET('IWP04'!BackgroundChecks, 12, 11, 1, 1) = 0, "", OFFSET('IWP04'!BackgroundChecks, 12, 11, 1, 1))</f>
        <v/>
      </c>
      <c r="L155" s="262" t="str">
        <f ca="1">IF(OFFSET('IWP04'!BackgroundChecks, 12, 12, 1, 1) = 0, "", OFFSET('IWP04'!BackgroundChecks, 12, 12, 1, 1))</f>
        <v/>
      </c>
      <c r="M155" s="262" t="str">
        <f ca="1">IF(OFFSET('IWP04'!BackgroundChecks, 12, 13, 1, 1) = 0, "", OFFSET('IWP04'!BackgroundChecks, 12, 13, 1, 1))</f>
        <v/>
      </c>
      <c r="N155" s="261"/>
    </row>
    <row r="156" spans="1:14" s="146" customFormat="1">
      <c r="A156" s="257" t="s">
        <v>502</v>
      </c>
      <c r="B156" s="262" t="str">
        <f ca="1">IF(OFFSET('IWP04'!BackgroundChecks, 13, 0, 1, 1) = 0, "", OFFSET('IWP04'!BackgroundChecks, 13, 0, 1, 1))</f>
        <v/>
      </c>
      <c r="C156" s="262" t="str">
        <f ca="1">IF(OFFSET('IWP04'!BackgroundChecks, 13, 2, 1, 1) = 0, "", OFFSET('IWP04'!BackgroundChecks, 13, 2, 1, 1))</f>
        <v/>
      </c>
      <c r="D156" s="262" t="str">
        <f ca="1">IF(OFFSET('IWP04'!BackgroundChecks, 13, 4, 1, 1) = 0, "", OFFSET('IWP04'!BackgroundChecks, 13, 4, 1, 1))</f>
        <v/>
      </c>
      <c r="E156" s="254">
        <f ca="1">IF(OFFSET('IWP04'!BackgroundChecks, 13, 5, 1, 1)=DATE(1900,1,0), DATE(1900,1,1), OFFSET('IWP04'!BackgroundChecks, 13, 5, 1, 1))</f>
        <v>1</v>
      </c>
      <c r="F156" s="262" t="str">
        <f ca="1">IF(OFFSET('IWP04'!BackgroundChecks, 13, 6, 1, 1) = 0, "", OFFSET('IWP04'!BackgroundChecks, 13, 6, 1, 1))</f>
        <v/>
      </c>
      <c r="G156" s="254">
        <f ca="1">IF(OFFSET('IWP04'!BackgroundChecks, 13, 7, 1, 1)=DATE(1900,1,0), DATE(1900,1,1), OFFSET('IWP04'!BackgroundChecks, 13, 7, 1, 1))</f>
        <v>1</v>
      </c>
      <c r="H156" s="254">
        <f ca="1">IF(OFFSET('IWP04'!BackgroundChecks, 13, 8, 1, 1)=DATE(1900,1,0), DATE(1900,1,1), OFFSET('IWP04'!BackgroundChecks, 13, 8, 1, 1))</f>
        <v>1</v>
      </c>
      <c r="I156" s="262" t="str">
        <f ca="1">IF(OFFSET('IWP04'!BackgroundChecks, 13, 9, 1, 1) = 0, "", OFFSET('IWP04'!BackgroundChecks, 13, 9, 1, 1))</f>
        <v/>
      </c>
      <c r="J156" s="262" t="str">
        <f ca="1">IF(OFFSET('IWP04'!BackgroundChecks, 13, 10, 1, 1) = 0, "", OFFSET('IWP04'!BackgroundChecks, 13, 10, 1, 1))</f>
        <v/>
      </c>
      <c r="K156" s="262" t="str">
        <f ca="1">IF(OFFSET('IWP04'!BackgroundChecks, 13, 11, 1, 1) = 0, "", OFFSET('IWP04'!BackgroundChecks, 13, 11, 1, 1))</f>
        <v/>
      </c>
      <c r="L156" s="262" t="str">
        <f ca="1">IF(OFFSET('IWP04'!BackgroundChecks, 13, 12, 1, 1) = 0, "", OFFSET('IWP04'!BackgroundChecks, 13, 12, 1, 1))</f>
        <v/>
      </c>
      <c r="M156" s="262" t="str">
        <f ca="1">IF(OFFSET('IWP04'!BackgroundChecks, 13, 13, 1, 1) = 0, "", OFFSET('IWP04'!BackgroundChecks, 13, 13, 1, 1))</f>
        <v/>
      </c>
      <c r="N156" s="261"/>
    </row>
    <row r="157" spans="1:14" s="146" customFormat="1">
      <c r="A157" s="257" t="s">
        <v>502</v>
      </c>
      <c r="B157" s="262" t="str">
        <f ca="1">IF(OFFSET('IWP04'!BackgroundChecks, 14, 0, 1, 1) = 0, "", OFFSET('IWP04'!BackgroundChecks, 14, 0, 1, 1))</f>
        <v/>
      </c>
      <c r="C157" s="262" t="str">
        <f ca="1">IF(OFFSET('IWP04'!BackgroundChecks, 14, 2, 1, 1) = 0, "", OFFSET('IWP04'!BackgroundChecks, 14, 2, 1, 1))</f>
        <v/>
      </c>
      <c r="D157" s="262" t="str">
        <f ca="1">IF(OFFSET('IWP04'!BackgroundChecks, 14, 4, 1, 1) = 0, "", OFFSET('IWP04'!BackgroundChecks, 14, 4, 1, 1))</f>
        <v/>
      </c>
      <c r="E157" s="254">
        <f ca="1">IF(OFFSET('IWP04'!BackgroundChecks, 14, 5, 1, 1)=DATE(1900,1,0), DATE(1900,1,1), OFFSET('IWP04'!BackgroundChecks, 14, 5, 1, 1))</f>
        <v>1</v>
      </c>
      <c r="F157" s="262" t="str">
        <f ca="1">IF(OFFSET('IWP04'!BackgroundChecks, 14, 6, 1, 1) = 0, "", OFFSET('IWP04'!BackgroundChecks, 14, 6, 1, 1))</f>
        <v/>
      </c>
      <c r="G157" s="254">
        <f ca="1">IF(OFFSET('IWP04'!BackgroundChecks, 14, 7, 1, 1)=DATE(1900,1,0), DATE(1900,1,1), OFFSET('IWP04'!BackgroundChecks, 14, 7, 1, 1))</f>
        <v>1</v>
      </c>
      <c r="H157" s="254">
        <f ca="1">IF(OFFSET('IWP04'!BackgroundChecks, 14, 8, 1, 1)=DATE(1900,1,0), DATE(1900,1,1), OFFSET('IWP04'!BackgroundChecks, 14, 8, 1, 1))</f>
        <v>1</v>
      </c>
      <c r="I157" s="262" t="str">
        <f ca="1">IF(OFFSET('IWP04'!BackgroundChecks, 14, 9, 1, 1) = 0, "", OFFSET('IWP04'!BackgroundChecks, 14, 9, 1, 1))</f>
        <v/>
      </c>
      <c r="J157" s="262" t="str">
        <f ca="1">IF(OFFSET('IWP04'!BackgroundChecks, 14, 10, 1, 1) = 0, "", OFFSET('IWP04'!BackgroundChecks, 14, 10, 1, 1))</f>
        <v/>
      </c>
      <c r="K157" s="262" t="str">
        <f ca="1">IF(OFFSET('IWP04'!BackgroundChecks, 14, 11, 1, 1) = 0, "", OFFSET('IWP04'!BackgroundChecks, 14, 11, 1, 1))</f>
        <v/>
      </c>
      <c r="L157" s="262" t="str">
        <f ca="1">IF(OFFSET('IWP04'!BackgroundChecks, 14, 12, 1, 1) = 0, "", OFFSET('IWP04'!BackgroundChecks, 14, 12, 1, 1))</f>
        <v/>
      </c>
      <c r="M157" s="262" t="str">
        <f ca="1">IF(OFFSET('IWP04'!BackgroundChecks, 14, 13, 1, 1) = 0, "", OFFSET('IWP04'!BackgroundChecks, 14, 13, 1, 1))</f>
        <v/>
      </c>
      <c r="N157" s="261"/>
    </row>
    <row r="158" spans="1:14" s="146" customFormat="1">
      <c r="A158" s="257" t="s">
        <v>502</v>
      </c>
      <c r="B158" s="262" t="str">
        <f ca="1">IF(OFFSET('IWP04'!BackgroundChecks, 15, 0, 1, 1) = 0, "", OFFSET('IWP04'!BackgroundChecks, 15, 0, 1, 1))</f>
        <v/>
      </c>
      <c r="C158" s="262" t="str">
        <f ca="1">IF(OFFSET('IWP04'!BackgroundChecks, 15, 2, 1, 1) = 0, "", OFFSET('IWP04'!BackgroundChecks, 15, 2, 1, 1))</f>
        <v/>
      </c>
      <c r="D158" s="262" t="str">
        <f ca="1">IF(OFFSET('IWP04'!BackgroundChecks, 15, 4, 1, 1) = 0, "", OFFSET('IWP04'!BackgroundChecks, 15, 4, 1, 1))</f>
        <v/>
      </c>
      <c r="E158" s="254">
        <f ca="1">IF(OFFSET('IWP04'!BackgroundChecks, 15, 5, 1, 1)=DATE(1900,1,0), DATE(1900,1,1), OFFSET('IWP04'!BackgroundChecks, 15, 5, 1, 1))</f>
        <v>1</v>
      </c>
      <c r="F158" s="262" t="str">
        <f ca="1">IF(OFFSET('IWP04'!BackgroundChecks, 15, 6, 1, 1) = 0, "", OFFSET('IWP04'!BackgroundChecks, 15, 6, 1, 1))</f>
        <v/>
      </c>
      <c r="G158" s="254">
        <f ca="1">IF(OFFSET('IWP04'!BackgroundChecks, 15, 7, 1, 1)=DATE(1900,1,0), DATE(1900,1,1), OFFSET('IWP04'!BackgroundChecks, 15, 7, 1, 1))</f>
        <v>1</v>
      </c>
      <c r="H158" s="254">
        <f ca="1">IF(OFFSET('IWP04'!BackgroundChecks, 15, 8, 1, 1)=DATE(1900,1,0), DATE(1900,1,1), OFFSET('IWP04'!BackgroundChecks, 15, 8, 1, 1))</f>
        <v>1</v>
      </c>
      <c r="I158" s="262" t="str">
        <f ca="1">IF(OFFSET('IWP04'!BackgroundChecks, 15, 9, 1, 1) = 0, "", OFFSET('IWP04'!BackgroundChecks, 15, 9, 1, 1))</f>
        <v/>
      </c>
      <c r="J158" s="262" t="str">
        <f ca="1">IF(OFFSET('IWP04'!BackgroundChecks, 15, 10, 1, 1) = 0, "", OFFSET('IWP04'!BackgroundChecks, 15, 10, 1, 1))</f>
        <v/>
      </c>
      <c r="K158" s="262" t="str">
        <f ca="1">IF(OFFSET('IWP04'!BackgroundChecks, 15, 11, 1, 1) = 0, "", OFFSET('IWP04'!BackgroundChecks, 15, 11, 1, 1))</f>
        <v/>
      </c>
      <c r="L158" s="262" t="str">
        <f ca="1">IF(OFFSET('IWP04'!BackgroundChecks, 15, 12, 1, 1) = 0, "", OFFSET('IWP04'!BackgroundChecks, 15, 12, 1, 1))</f>
        <v/>
      </c>
      <c r="M158" s="262" t="str">
        <f ca="1">IF(OFFSET('IWP04'!BackgroundChecks, 15, 13, 1, 1) = 0, "", OFFSET('IWP04'!BackgroundChecks, 15, 13, 1, 1))</f>
        <v/>
      </c>
      <c r="N158" s="261"/>
    </row>
    <row r="159" spans="1:14" s="146" customFormat="1">
      <c r="A159" s="257" t="s">
        <v>502</v>
      </c>
      <c r="B159" s="262" t="str">
        <f ca="1">IF(OFFSET('IWP04'!BackgroundChecks, 16, 0, 1, 1) = 0, "", OFFSET('IWP04'!BackgroundChecks, 16, 0, 1, 1))</f>
        <v/>
      </c>
      <c r="C159" s="262" t="str">
        <f ca="1">IF(OFFSET('IWP04'!BackgroundChecks, 16, 2, 1, 1) = 0, "", OFFSET('IWP04'!BackgroundChecks, 16, 2, 1, 1))</f>
        <v/>
      </c>
      <c r="D159" s="262" t="str">
        <f ca="1">IF(OFFSET('IWP04'!BackgroundChecks, 16, 4, 1, 1) = 0, "", OFFSET('IWP04'!BackgroundChecks, 16, 4, 1, 1))</f>
        <v/>
      </c>
      <c r="E159" s="254">
        <f ca="1">IF(OFFSET('IWP04'!BackgroundChecks, 16, 5, 1, 1)=DATE(1900,1,0), DATE(1900,1,1), OFFSET('IWP04'!BackgroundChecks, 16, 5, 1, 1))</f>
        <v>1</v>
      </c>
      <c r="F159" s="262" t="str">
        <f ca="1">IF(OFFSET('IWP04'!BackgroundChecks, 16, 6, 1, 1) = 0, "", OFFSET('IWP04'!BackgroundChecks, 16, 6, 1, 1))</f>
        <v/>
      </c>
      <c r="G159" s="254">
        <f ca="1">IF(OFFSET('IWP04'!BackgroundChecks, 16, 7, 1, 1)=DATE(1900,1,0), DATE(1900,1,1), OFFSET('IWP04'!BackgroundChecks, 16, 7, 1, 1))</f>
        <v>1</v>
      </c>
      <c r="H159" s="254">
        <f ca="1">IF(OFFSET('IWP04'!BackgroundChecks, 16, 8, 1, 1)=DATE(1900,1,0), DATE(1900,1,1), OFFSET('IWP04'!BackgroundChecks, 16, 8, 1, 1))</f>
        <v>1</v>
      </c>
      <c r="I159" s="262" t="str">
        <f ca="1">IF(OFFSET('IWP04'!BackgroundChecks, 16, 9, 1, 1) = 0, "", OFFSET('IWP04'!BackgroundChecks, 16, 9, 1, 1))</f>
        <v/>
      </c>
      <c r="J159" s="262" t="str">
        <f ca="1">IF(OFFSET('IWP04'!BackgroundChecks, 16, 10, 1, 1) = 0, "", OFFSET('IWP04'!BackgroundChecks, 16, 10, 1, 1))</f>
        <v/>
      </c>
      <c r="K159" s="262" t="str">
        <f ca="1">IF(OFFSET('IWP04'!BackgroundChecks, 16, 11, 1, 1) = 0, "", OFFSET('IWP04'!BackgroundChecks, 16, 11, 1, 1))</f>
        <v/>
      </c>
      <c r="L159" s="262" t="str">
        <f ca="1">IF(OFFSET('IWP04'!BackgroundChecks, 16, 12, 1, 1) = 0, "", OFFSET('IWP04'!BackgroundChecks, 16, 12, 1, 1))</f>
        <v/>
      </c>
      <c r="M159" s="262" t="str">
        <f ca="1">IF(OFFSET('IWP04'!BackgroundChecks, 16, 13, 1, 1) = 0, "", OFFSET('IWP04'!BackgroundChecks, 16, 13, 1, 1))</f>
        <v/>
      </c>
      <c r="N159" s="261"/>
    </row>
    <row r="160" spans="1:14" s="146" customFormat="1">
      <c r="A160" s="257" t="s">
        <v>502</v>
      </c>
      <c r="B160" s="262" t="str">
        <f ca="1">IF(OFFSET('IWP04'!BackgroundChecks, 17, 0, 1, 1) = 0, "", OFFSET('IWP04'!BackgroundChecks, 17, 0, 1, 1))</f>
        <v/>
      </c>
      <c r="C160" s="262" t="str">
        <f ca="1">IF(OFFSET('IWP04'!BackgroundChecks, 17, 2, 1, 1) = 0, "", OFFSET('IWP04'!BackgroundChecks, 17, 2, 1, 1))</f>
        <v/>
      </c>
      <c r="D160" s="262" t="str">
        <f ca="1">IF(OFFSET('IWP04'!BackgroundChecks, 17, 4, 1, 1) = 0, "", OFFSET('IWP04'!BackgroundChecks, 17, 4, 1, 1))</f>
        <v/>
      </c>
      <c r="E160" s="254">
        <f ca="1">IF(OFFSET('IWP04'!BackgroundChecks, 17, 5, 1, 1)=DATE(1900,1,0), DATE(1900,1,1), OFFSET('IWP04'!BackgroundChecks, 17, 5, 1, 1))</f>
        <v>1</v>
      </c>
      <c r="F160" s="262" t="str">
        <f ca="1">IF(OFFSET('IWP04'!BackgroundChecks, 17, 6, 1, 1) = 0, "", OFFSET('IWP04'!BackgroundChecks, 17, 6, 1, 1))</f>
        <v/>
      </c>
      <c r="G160" s="254">
        <f ca="1">IF(OFFSET('IWP04'!BackgroundChecks, 17, 7, 1, 1)=DATE(1900,1,0), DATE(1900,1,1), OFFSET('IWP04'!BackgroundChecks, 17, 7, 1, 1))</f>
        <v>1</v>
      </c>
      <c r="H160" s="254">
        <f ca="1">IF(OFFSET('IWP04'!BackgroundChecks, 17, 8, 1, 1)=DATE(1900,1,0), DATE(1900,1,1), OFFSET('IWP04'!BackgroundChecks, 17, 8, 1, 1))</f>
        <v>1</v>
      </c>
      <c r="I160" s="262" t="str">
        <f ca="1">IF(OFFSET('IWP04'!BackgroundChecks, 17, 9, 1, 1) = 0, "", OFFSET('IWP04'!BackgroundChecks, 17, 9, 1, 1))</f>
        <v/>
      </c>
      <c r="J160" s="262" t="str">
        <f ca="1">IF(OFFSET('IWP04'!BackgroundChecks, 17, 10, 1, 1) = 0, "", OFFSET('IWP04'!BackgroundChecks, 17, 10, 1, 1))</f>
        <v/>
      </c>
      <c r="K160" s="262" t="str">
        <f ca="1">IF(OFFSET('IWP04'!BackgroundChecks, 17, 11, 1, 1) = 0, "", OFFSET('IWP04'!BackgroundChecks, 17, 11, 1, 1))</f>
        <v/>
      </c>
      <c r="L160" s="262" t="str">
        <f ca="1">IF(OFFSET('IWP04'!BackgroundChecks, 17, 12, 1, 1) = 0, "", OFFSET('IWP04'!BackgroundChecks, 17, 12, 1, 1))</f>
        <v/>
      </c>
      <c r="M160" s="262" t="str">
        <f ca="1">IF(OFFSET('IWP04'!BackgroundChecks, 17, 13, 1, 1) = 0, "", OFFSET('IWP04'!BackgroundChecks, 17, 13, 1, 1))</f>
        <v/>
      </c>
      <c r="N160" s="261"/>
    </row>
    <row r="161" spans="1:14" s="146" customFormat="1">
      <c r="A161" s="257" t="s">
        <v>502</v>
      </c>
      <c r="B161" s="262" t="str">
        <f ca="1">IF(OFFSET('IWP04'!BackgroundChecks, 18, 0, 1, 1) = 0, "", OFFSET('IWP04'!BackgroundChecks, 18, 0, 1, 1))</f>
        <v/>
      </c>
      <c r="C161" s="262" t="str">
        <f ca="1">IF(OFFSET('IWP04'!BackgroundChecks, 18, 2, 1, 1) = 0, "", OFFSET('IWP04'!BackgroundChecks, 18, 2, 1, 1))</f>
        <v/>
      </c>
      <c r="D161" s="262" t="str">
        <f ca="1">IF(OFFSET('IWP04'!BackgroundChecks, 18, 4, 1, 1) = 0, "", OFFSET('IWP04'!BackgroundChecks, 18, 4, 1, 1))</f>
        <v/>
      </c>
      <c r="E161" s="254">
        <f ca="1">IF(OFFSET('IWP04'!BackgroundChecks, 18, 5, 1, 1)=DATE(1900,1,0), DATE(1900,1,1), OFFSET('IWP04'!BackgroundChecks, 18, 5, 1, 1))</f>
        <v>1</v>
      </c>
      <c r="F161" s="262" t="str">
        <f ca="1">IF(OFFSET('IWP04'!BackgroundChecks, 18, 6, 1, 1) = 0, "", OFFSET('IWP04'!BackgroundChecks, 18, 6, 1, 1))</f>
        <v/>
      </c>
      <c r="G161" s="254">
        <f ca="1">IF(OFFSET('IWP04'!BackgroundChecks, 18, 7, 1, 1)=DATE(1900,1,0), DATE(1900,1,1), OFFSET('IWP04'!BackgroundChecks, 18, 7, 1, 1))</f>
        <v>1</v>
      </c>
      <c r="H161" s="254">
        <f ca="1">IF(OFFSET('IWP04'!BackgroundChecks, 18, 8, 1, 1)=DATE(1900,1,0), DATE(1900,1,1), OFFSET('IWP04'!BackgroundChecks, 18, 8, 1, 1))</f>
        <v>1</v>
      </c>
      <c r="I161" s="262" t="str">
        <f ca="1">IF(OFFSET('IWP04'!BackgroundChecks, 18, 9, 1, 1) = 0, "", OFFSET('IWP04'!BackgroundChecks, 18, 9, 1, 1))</f>
        <v/>
      </c>
      <c r="J161" s="262" t="str">
        <f ca="1">IF(OFFSET('IWP04'!BackgroundChecks, 18, 10, 1, 1) = 0, "", OFFSET('IWP04'!BackgroundChecks, 18, 10, 1, 1))</f>
        <v/>
      </c>
      <c r="K161" s="262" t="str">
        <f ca="1">IF(OFFSET('IWP04'!BackgroundChecks, 18, 11, 1, 1) = 0, "", OFFSET('IWP04'!BackgroundChecks, 18, 11, 1, 1))</f>
        <v/>
      </c>
      <c r="L161" s="262" t="str">
        <f ca="1">IF(OFFSET('IWP04'!BackgroundChecks, 18, 12, 1, 1) = 0, "", OFFSET('IWP04'!BackgroundChecks, 18, 12, 1, 1))</f>
        <v/>
      </c>
      <c r="M161" s="262" t="str">
        <f ca="1">IF(OFFSET('IWP04'!BackgroundChecks, 18, 13, 1, 1) = 0, "", OFFSET('IWP04'!BackgroundChecks, 18, 13, 1, 1))</f>
        <v/>
      </c>
      <c r="N161" s="261"/>
    </row>
    <row r="162" spans="1:14" s="146" customFormat="1">
      <c r="A162" s="257" t="s">
        <v>502</v>
      </c>
      <c r="B162" s="262" t="str">
        <f ca="1">IF(OFFSET('IWP04'!BackgroundChecks, 19, 0, 1, 1) = 0, "", OFFSET('IWP04'!BackgroundChecks, 19, 0, 1, 1))</f>
        <v/>
      </c>
      <c r="C162" s="262" t="str">
        <f ca="1">IF(OFFSET('IWP04'!BackgroundChecks, 19, 2, 1, 1) = 0, "", OFFSET('IWP04'!BackgroundChecks, 19, 2, 1, 1))</f>
        <v/>
      </c>
      <c r="D162" s="262" t="str">
        <f ca="1">IF(OFFSET('IWP04'!BackgroundChecks, 19, 4, 1, 1) = 0, "", OFFSET('IWP04'!BackgroundChecks, 19, 4, 1, 1))</f>
        <v/>
      </c>
      <c r="E162" s="254">
        <f ca="1">IF(OFFSET('IWP04'!BackgroundChecks, 19, 5, 1, 1)=DATE(1900,1,0), DATE(1900,1,1), OFFSET('IWP04'!BackgroundChecks, 19, 5, 1, 1))</f>
        <v>1</v>
      </c>
      <c r="F162" s="262" t="str">
        <f ca="1">IF(OFFSET('IWP04'!BackgroundChecks, 19, 6, 1, 1) = 0, "", OFFSET('IWP04'!BackgroundChecks, 19, 6, 1, 1))</f>
        <v/>
      </c>
      <c r="G162" s="254">
        <f ca="1">IF(OFFSET('IWP04'!BackgroundChecks, 19, 7, 1, 1)=DATE(1900,1,0), DATE(1900,1,1), OFFSET('IWP04'!BackgroundChecks, 19, 7, 1, 1))</f>
        <v>1</v>
      </c>
      <c r="H162" s="254">
        <f ca="1">IF(OFFSET('IWP04'!BackgroundChecks, 19, 8, 1, 1)=DATE(1900,1,0), DATE(1900,1,1), OFFSET('IWP04'!BackgroundChecks, 19, 8, 1, 1))</f>
        <v>1</v>
      </c>
      <c r="I162" s="262" t="str">
        <f ca="1">IF(OFFSET('IWP04'!BackgroundChecks, 19, 9, 1, 1) = 0, "", OFFSET('IWP04'!BackgroundChecks, 19, 9, 1, 1))</f>
        <v/>
      </c>
      <c r="J162" s="262" t="str">
        <f ca="1">IF(OFFSET('IWP04'!BackgroundChecks, 19, 10, 1, 1) = 0, "", OFFSET('IWP04'!BackgroundChecks, 19, 10, 1, 1))</f>
        <v/>
      </c>
      <c r="K162" s="262" t="str">
        <f ca="1">IF(OFFSET('IWP04'!BackgroundChecks, 19, 11, 1, 1) = 0, "", OFFSET('IWP04'!BackgroundChecks, 19, 11, 1, 1))</f>
        <v/>
      </c>
      <c r="L162" s="262" t="str">
        <f ca="1">IF(OFFSET('IWP04'!BackgroundChecks, 19, 12, 1, 1) = 0, "", OFFSET('IWP04'!BackgroundChecks, 19, 12, 1, 1))</f>
        <v/>
      </c>
      <c r="M162" s="262" t="str">
        <f ca="1">IF(OFFSET('IWP04'!BackgroundChecks, 19, 13, 1, 1) = 0, "", OFFSET('IWP04'!BackgroundChecks, 19, 13, 1, 1))</f>
        <v/>
      </c>
      <c r="N162" s="261"/>
    </row>
    <row r="163" spans="1:14" s="146" customFormat="1">
      <c r="A163" s="257" t="s">
        <v>503</v>
      </c>
      <c r="B163" s="262" t="str">
        <f ca="1">IF(OFFSET('IWP05'!BackgroundChecks, 0, 0, 1, 1) = 0, "", OFFSET('IWP05'!BackgroundChecks, 0, 0, 1, 1))</f>
        <v/>
      </c>
      <c r="C163" s="262" t="str">
        <f ca="1">IF(OFFSET('IWP05'!BackgroundChecks, 0, 2, 1, 1) = 0, "", OFFSET('IWP05'!BackgroundChecks, 0, 2, 1, 1))</f>
        <v/>
      </c>
      <c r="D163" s="262" t="str">
        <f ca="1">IF(OFFSET('IWP05'!BackgroundChecks, 0, 4, 1, 1) = 0, "", OFFSET('IWP05'!BackgroundChecks, 0, 4, 1, 1))</f>
        <v/>
      </c>
      <c r="E163" s="254">
        <f ca="1">IF(OFFSET('IWP05'!BackgroundChecks, 0, 5, 1, 1)=DATE(1900,1,0), DATE(1900,1,1), OFFSET('IWP05'!BackgroundChecks, 0, 5, 1, 1))</f>
        <v>1</v>
      </c>
      <c r="F163" s="262" t="str">
        <f ca="1">IF(OFFSET('IWP05'!BackgroundChecks, 0, 6, 1, 1) = 0, "", OFFSET('IWP05'!BackgroundChecks, 0, 6, 1, 1))</f>
        <v/>
      </c>
      <c r="G163" s="254">
        <f ca="1">IF(OFFSET('IWP05'!BackgroundChecks, 0, 7, 1, 1)=DATE(1900,1,0), DATE(1900,1,1), OFFSET('IWP05'!BackgroundChecks, 0, 7, 1, 1))</f>
        <v>1</v>
      </c>
      <c r="H163" s="254">
        <f ca="1">IF(OFFSET('IWP05'!BackgroundChecks, 0, 8, 1, 1)=DATE(1900,1,0), DATE(1900,1,1), OFFSET('IWP05'!BackgroundChecks, 0, 8, 1, 1))</f>
        <v>1</v>
      </c>
      <c r="I163" s="262" t="str">
        <f ca="1">IF(OFFSET('IWP05'!BackgroundChecks, 0, 9, 1, 1) = 0, "", OFFSET('IWP05'!BackgroundChecks, 0, 9, 1, 1))</f>
        <v/>
      </c>
      <c r="J163" s="262" t="str">
        <f ca="1">IF(OFFSET('IWP05'!BackgroundChecks, 0, 10, 1, 1) = 0, "", OFFSET('IWP05'!BackgroundChecks, 0, 10, 1, 1))</f>
        <v/>
      </c>
      <c r="K163" s="262" t="str">
        <f ca="1">IF(OFFSET('IWP05'!BackgroundChecks, 0, 11, 1, 1) = 0, "", OFFSET('IWP05'!BackgroundChecks, 0, 11, 1, 1))</f>
        <v/>
      </c>
      <c r="L163" s="262" t="str">
        <f ca="1">IF(OFFSET('IWP05'!BackgroundChecks, 0, 12, 1, 1) = 0, "", OFFSET('IWP05'!BackgroundChecks, 0, 12, 1, 1))</f>
        <v/>
      </c>
      <c r="M163" s="262" t="str">
        <f ca="1">IF(OFFSET('IWP05'!BackgroundChecks, 0, 13, 1, 1) = 0, "", OFFSET('IWP05'!BackgroundChecks, 0, 13, 1, 1))</f>
        <v/>
      </c>
      <c r="N163" s="261"/>
    </row>
    <row r="164" spans="1:14" s="146" customFormat="1">
      <c r="A164" s="257" t="s">
        <v>503</v>
      </c>
      <c r="B164" s="262" t="str">
        <f ca="1">IF(OFFSET('IWP05'!BackgroundChecks, 1, 0, 1, 1) = 0, "", OFFSET('IWP05'!BackgroundChecks, 1, 0, 1, 1))</f>
        <v/>
      </c>
      <c r="C164" s="262" t="str">
        <f ca="1">IF(OFFSET('IWP05'!BackgroundChecks, 1, 2, 1, 1) = 0, "", OFFSET('IWP05'!BackgroundChecks, 1, 2, 1, 1))</f>
        <v/>
      </c>
      <c r="D164" s="262" t="str">
        <f ca="1">IF(OFFSET('IWP05'!BackgroundChecks, 1, 4, 1, 1) = 0, "", OFFSET('IWP05'!BackgroundChecks, 1, 4, 1, 1))</f>
        <v/>
      </c>
      <c r="E164" s="254">
        <f ca="1">IF(OFFSET('IWP05'!BackgroundChecks, 1, 5, 1, 1)=DATE(1900,1,0), DATE(1900,1,1), OFFSET('IWP05'!BackgroundChecks, 1, 5, 1, 1))</f>
        <v>1</v>
      </c>
      <c r="F164" s="262" t="str">
        <f ca="1">IF(OFFSET('IWP05'!BackgroundChecks, 1, 6, 1, 1) = 0, "", OFFSET('IWP05'!BackgroundChecks, 1, 6, 1, 1))</f>
        <v/>
      </c>
      <c r="G164" s="254">
        <f ca="1">IF(OFFSET('IWP05'!BackgroundChecks, 1, 7, 1, 1)=DATE(1900,1,0), DATE(1900,1,1), OFFSET('IWP05'!BackgroundChecks, 1, 7, 1, 1))</f>
        <v>1</v>
      </c>
      <c r="H164" s="254">
        <f ca="1">IF(OFFSET('IWP05'!BackgroundChecks, 1, 8, 1, 1)=DATE(1900,1,0), DATE(1900,1,1), OFFSET('IWP05'!BackgroundChecks, 1, 8, 1, 1))</f>
        <v>1</v>
      </c>
      <c r="I164" s="262" t="str">
        <f ca="1">IF(OFFSET('IWP05'!BackgroundChecks, 1, 9, 1, 1) = 0, "", OFFSET('IWP05'!BackgroundChecks, 1, 9, 1, 1))</f>
        <v/>
      </c>
      <c r="J164" s="262" t="str">
        <f ca="1">IF(OFFSET('IWP05'!BackgroundChecks, 1, 10, 1, 1) = 0, "", OFFSET('IWP05'!BackgroundChecks, 1, 10, 1, 1))</f>
        <v/>
      </c>
      <c r="K164" s="262" t="str">
        <f ca="1">IF(OFFSET('IWP05'!BackgroundChecks, 1, 11, 1, 1) = 0, "", OFFSET('IWP05'!BackgroundChecks, 1, 11, 1, 1))</f>
        <v/>
      </c>
      <c r="L164" s="262" t="str">
        <f ca="1">IF(OFFSET('IWP05'!BackgroundChecks, 1, 12, 1, 1) = 0, "", OFFSET('IWP05'!BackgroundChecks, 1, 12, 1, 1))</f>
        <v/>
      </c>
      <c r="M164" s="262" t="str">
        <f ca="1">IF(OFFSET('IWP05'!BackgroundChecks, 1, 13, 1, 1) = 0, "", OFFSET('IWP05'!BackgroundChecks, 1, 13, 1, 1))</f>
        <v/>
      </c>
      <c r="N164" s="261"/>
    </row>
    <row r="165" spans="1:14" s="146" customFormat="1">
      <c r="A165" s="257" t="s">
        <v>503</v>
      </c>
      <c r="B165" s="262" t="str">
        <f ca="1">IF(OFFSET('IWP05'!BackgroundChecks, 2, 0, 1, 1) = 0, "", OFFSET('IWP05'!BackgroundChecks, 2, 0, 1, 1))</f>
        <v/>
      </c>
      <c r="C165" s="262" t="str">
        <f ca="1">IF(OFFSET('IWP05'!BackgroundChecks, 2, 2, 1, 1) = 0, "", OFFSET('IWP05'!BackgroundChecks, 2, 2, 1, 1))</f>
        <v/>
      </c>
      <c r="D165" s="262" t="str">
        <f ca="1">IF(OFFSET('IWP05'!BackgroundChecks, 2, 4, 1, 1) = 0, "", OFFSET('IWP05'!BackgroundChecks, 2, 4, 1, 1))</f>
        <v/>
      </c>
      <c r="E165" s="254">
        <f ca="1">IF(OFFSET('IWP05'!BackgroundChecks, 2, 5, 1, 1)=DATE(1900,1,0), DATE(1900,1,1), OFFSET('IWP05'!BackgroundChecks, 2, 5, 1, 1))</f>
        <v>1</v>
      </c>
      <c r="F165" s="262" t="str">
        <f ca="1">IF(OFFSET('IWP05'!BackgroundChecks, 2, 6, 1, 1) = 0, "", OFFSET('IWP05'!BackgroundChecks, 2, 6, 1, 1))</f>
        <v/>
      </c>
      <c r="G165" s="254">
        <f ca="1">IF(OFFSET('IWP05'!BackgroundChecks, 2, 7, 1, 1)=DATE(1900,1,0), DATE(1900,1,1), OFFSET('IWP05'!BackgroundChecks, 2, 7, 1, 1))</f>
        <v>1</v>
      </c>
      <c r="H165" s="254">
        <f ca="1">IF(OFFSET('IWP05'!BackgroundChecks, 2, 8, 1, 1)=DATE(1900,1,0), DATE(1900,1,1), OFFSET('IWP05'!BackgroundChecks, 2, 8, 1, 1))</f>
        <v>1</v>
      </c>
      <c r="I165" s="262" t="str">
        <f ca="1">IF(OFFSET('IWP05'!BackgroundChecks, 2, 9, 1, 1) = 0, "", OFFSET('IWP05'!BackgroundChecks, 2, 9, 1, 1))</f>
        <v/>
      </c>
      <c r="J165" s="262" t="str">
        <f ca="1">IF(OFFSET('IWP05'!BackgroundChecks, 2, 10, 1, 1) = 0, "", OFFSET('IWP05'!BackgroundChecks, 2, 10, 1, 1))</f>
        <v/>
      </c>
      <c r="K165" s="262" t="str">
        <f ca="1">IF(OFFSET('IWP05'!BackgroundChecks, 2, 11, 1, 1) = 0, "", OFFSET('IWP05'!BackgroundChecks, 2, 11, 1, 1))</f>
        <v/>
      </c>
      <c r="L165" s="262" t="str">
        <f ca="1">IF(OFFSET('IWP05'!BackgroundChecks, 2, 12, 1, 1) = 0, "", OFFSET('IWP05'!BackgroundChecks, 2, 12, 1, 1))</f>
        <v/>
      </c>
      <c r="M165" s="262" t="str">
        <f ca="1">IF(OFFSET('IWP05'!BackgroundChecks, 2, 13, 1, 1) = 0, "", OFFSET('IWP05'!BackgroundChecks, 2, 13, 1, 1))</f>
        <v/>
      </c>
      <c r="N165" s="261"/>
    </row>
    <row r="166" spans="1:14" s="146" customFormat="1">
      <c r="A166" s="257" t="s">
        <v>503</v>
      </c>
      <c r="B166" s="262" t="str">
        <f ca="1">IF(OFFSET('IWP05'!BackgroundChecks, 3, 0, 1, 1) = 0, "", OFFSET('IWP05'!BackgroundChecks, 3, 0, 1, 1))</f>
        <v/>
      </c>
      <c r="C166" s="262" t="str">
        <f ca="1">IF(OFFSET('IWP05'!BackgroundChecks, 3, 2, 1, 1) = 0, "", OFFSET('IWP05'!BackgroundChecks, 3, 2, 1, 1))</f>
        <v/>
      </c>
      <c r="D166" s="262" t="str">
        <f ca="1">IF(OFFSET('IWP05'!BackgroundChecks, 3, 4, 1, 1) = 0, "", OFFSET('IWP05'!BackgroundChecks, 3, 4, 1, 1))</f>
        <v/>
      </c>
      <c r="E166" s="254">
        <f ca="1">IF(OFFSET('IWP05'!BackgroundChecks, 3, 5, 1, 1)=DATE(1900,1,0), DATE(1900,1,1), OFFSET('IWP05'!BackgroundChecks, 3, 5, 1, 1))</f>
        <v>1</v>
      </c>
      <c r="F166" s="262" t="str">
        <f ca="1">IF(OFFSET('IWP05'!BackgroundChecks, 3, 6, 1, 1) = 0, "", OFFSET('IWP05'!BackgroundChecks, 3, 6, 1, 1))</f>
        <v/>
      </c>
      <c r="G166" s="254">
        <f ca="1">IF(OFFSET('IWP05'!BackgroundChecks, 3, 7, 1, 1)=DATE(1900,1,0), DATE(1900,1,1), OFFSET('IWP05'!BackgroundChecks, 3, 7, 1, 1))</f>
        <v>1</v>
      </c>
      <c r="H166" s="254">
        <f ca="1">IF(OFFSET('IWP05'!BackgroundChecks, 3, 8, 1, 1)=DATE(1900,1,0), DATE(1900,1,1), OFFSET('IWP05'!BackgroundChecks, 3, 8, 1, 1))</f>
        <v>1</v>
      </c>
      <c r="I166" s="262" t="str">
        <f ca="1">IF(OFFSET('IWP05'!BackgroundChecks, 3, 9, 1, 1) = 0, "", OFFSET('IWP05'!BackgroundChecks, 3, 9, 1, 1))</f>
        <v/>
      </c>
      <c r="J166" s="262" t="str">
        <f ca="1">IF(OFFSET('IWP05'!BackgroundChecks, 3, 10, 1, 1) = 0, "", OFFSET('IWP05'!BackgroundChecks, 3, 10, 1, 1))</f>
        <v/>
      </c>
      <c r="K166" s="262" t="str">
        <f ca="1">IF(OFFSET('IWP05'!BackgroundChecks, 3, 11, 1, 1) = 0, "", OFFSET('IWP05'!BackgroundChecks, 3, 11, 1, 1))</f>
        <v/>
      </c>
      <c r="L166" s="262" t="str">
        <f ca="1">IF(OFFSET('IWP05'!BackgroundChecks, 3, 12, 1, 1) = 0, "", OFFSET('IWP05'!BackgroundChecks, 3, 12, 1, 1))</f>
        <v/>
      </c>
      <c r="M166" s="262" t="str">
        <f ca="1">IF(OFFSET('IWP05'!BackgroundChecks, 3, 13, 1, 1) = 0, "", OFFSET('IWP05'!BackgroundChecks, 3, 13, 1, 1))</f>
        <v/>
      </c>
      <c r="N166" s="261"/>
    </row>
    <row r="167" spans="1:14" s="146" customFormat="1">
      <c r="A167" s="257" t="s">
        <v>503</v>
      </c>
      <c r="B167" s="262" t="str">
        <f ca="1">IF(OFFSET('IWP05'!BackgroundChecks, 4, 0, 1, 1) = 0, "", OFFSET('IWP05'!BackgroundChecks, 4, 0, 1, 1))</f>
        <v/>
      </c>
      <c r="C167" s="262" t="str">
        <f ca="1">IF(OFFSET('IWP05'!BackgroundChecks, 4, 2, 1, 1) = 0, "", OFFSET('IWP05'!BackgroundChecks, 4, 2, 1, 1))</f>
        <v/>
      </c>
      <c r="D167" s="262" t="str">
        <f ca="1">IF(OFFSET('IWP05'!BackgroundChecks, 4, 4, 1, 1) = 0, "", OFFSET('IWP05'!BackgroundChecks, 4, 4, 1, 1))</f>
        <v/>
      </c>
      <c r="E167" s="254">
        <f ca="1">IF(OFFSET('IWP05'!BackgroundChecks, 4, 5, 1, 1)=DATE(1900,1,0), DATE(1900,1,1), OFFSET('IWP05'!BackgroundChecks, 4, 5, 1, 1))</f>
        <v>1</v>
      </c>
      <c r="F167" s="262" t="str">
        <f ca="1">IF(OFFSET('IWP05'!BackgroundChecks, 4, 6, 1, 1) = 0, "", OFFSET('IWP05'!BackgroundChecks, 4, 6, 1, 1))</f>
        <v/>
      </c>
      <c r="G167" s="254">
        <f ca="1">IF(OFFSET('IWP05'!BackgroundChecks, 4, 7, 1, 1)=DATE(1900,1,0), DATE(1900,1,1), OFFSET('IWP05'!BackgroundChecks, 4, 7, 1, 1))</f>
        <v>1</v>
      </c>
      <c r="H167" s="254">
        <f ca="1">IF(OFFSET('IWP05'!BackgroundChecks, 4, 8, 1, 1)=DATE(1900,1,0), DATE(1900,1,1), OFFSET('IWP05'!BackgroundChecks, 4, 8, 1, 1))</f>
        <v>1</v>
      </c>
      <c r="I167" s="262" t="str">
        <f ca="1">IF(OFFSET('IWP05'!BackgroundChecks, 4, 9, 1, 1) = 0, "", OFFSET('IWP05'!BackgroundChecks, 4, 9, 1, 1))</f>
        <v/>
      </c>
      <c r="J167" s="262" t="str">
        <f ca="1">IF(OFFSET('IWP05'!BackgroundChecks, 4, 10, 1, 1) = 0, "", OFFSET('IWP05'!BackgroundChecks, 4, 10, 1, 1))</f>
        <v/>
      </c>
      <c r="K167" s="262" t="str">
        <f ca="1">IF(OFFSET('IWP05'!BackgroundChecks, 4, 11, 1, 1) = 0, "", OFFSET('IWP05'!BackgroundChecks, 4, 11, 1, 1))</f>
        <v/>
      </c>
      <c r="L167" s="262" t="str">
        <f ca="1">IF(OFFSET('IWP05'!BackgroundChecks, 4, 12, 1, 1) = 0, "", OFFSET('IWP05'!BackgroundChecks, 4, 12, 1, 1))</f>
        <v/>
      </c>
      <c r="M167" s="262" t="str">
        <f ca="1">IF(OFFSET('IWP05'!BackgroundChecks, 4, 13, 1, 1) = 0, "", OFFSET('IWP05'!BackgroundChecks, 4, 13, 1, 1))</f>
        <v/>
      </c>
      <c r="N167" s="261"/>
    </row>
    <row r="168" spans="1:14" s="146" customFormat="1">
      <c r="A168" s="257" t="s">
        <v>503</v>
      </c>
      <c r="B168" s="262" t="str">
        <f ca="1">IF(OFFSET('IWP05'!BackgroundChecks, 5, 0, 1, 1) = 0, "", OFFSET('IWP05'!BackgroundChecks, 5, 0, 1, 1))</f>
        <v/>
      </c>
      <c r="C168" s="262" t="str">
        <f ca="1">IF(OFFSET('IWP05'!BackgroundChecks, 5, 2, 1, 1) = 0, "", OFFSET('IWP05'!BackgroundChecks, 5, 2, 1, 1))</f>
        <v/>
      </c>
      <c r="D168" s="262" t="str">
        <f ca="1">IF(OFFSET('IWP05'!BackgroundChecks, 5, 4, 1, 1) = 0, "", OFFSET('IWP05'!BackgroundChecks, 5, 4, 1, 1))</f>
        <v/>
      </c>
      <c r="E168" s="254">
        <f ca="1">IF(OFFSET('IWP05'!BackgroundChecks, 5, 5, 1, 1)=DATE(1900,1,0), DATE(1900,1,1), OFFSET('IWP05'!BackgroundChecks, 5, 5, 1, 1))</f>
        <v>1</v>
      </c>
      <c r="F168" s="262" t="str">
        <f ca="1">IF(OFFSET('IWP05'!BackgroundChecks, 5, 6, 1, 1) = 0, "", OFFSET('IWP05'!BackgroundChecks, 5, 6, 1, 1))</f>
        <v/>
      </c>
      <c r="G168" s="254">
        <f ca="1">IF(OFFSET('IWP05'!BackgroundChecks, 5, 7, 1, 1)=DATE(1900,1,0), DATE(1900,1,1), OFFSET('IWP05'!BackgroundChecks, 5, 7, 1, 1))</f>
        <v>1</v>
      </c>
      <c r="H168" s="254">
        <f ca="1">IF(OFFSET('IWP05'!BackgroundChecks, 5, 8, 1, 1)=DATE(1900,1,0), DATE(1900,1,1), OFFSET('IWP05'!BackgroundChecks, 5, 8, 1, 1))</f>
        <v>1</v>
      </c>
      <c r="I168" s="262" t="str">
        <f ca="1">IF(OFFSET('IWP05'!BackgroundChecks, 5, 9, 1, 1) = 0, "", OFFSET('IWP05'!BackgroundChecks, 5, 9, 1, 1))</f>
        <v/>
      </c>
      <c r="J168" s="262" t="str">
        <f ca="1">IF(OFFSET('IWP05'!BackgroundChecks, 5, 10, 1, 1) = 0, "", OFFSET('IWP05'!BackgroundChecks, 5, 10, 1, 1))</f>
        <v/>
      </c>
      <c r="K168" s="262" t="str">
        <f ca="1">IF(OFFSET('IWP05'!BackgroundChecks, 5, 11, 1, 1) = 0, "", OFFSET('IWP05'!BackgroundChecks, 5, 11, 1, 1))</f>
        <v/>
      </c>
      <c r="L168" s="262" t="str">
        <f ca="1">IF(OFFSET('IWP05'!BackgroundChecks, 5, 12, 1, 1) = 0, "", OFFSET('IWP05'!BackgroundChecks, 5, 12, 1, 1))</f>
        <v/>
      </c>
      <c r="M168" s="262" t="str">
        <f ca="1">IF(OFFSET('IWP05'!BackgroundChecks, 5, 13, 1, 1) = 0, "", OFFSET('IWP05'!BackgroundChecks, 5, 13, 1, 1))</f>
        <v/>
      </c>
      <c r="N168" s="261"/>
    </row>
    <row r="169" spans="1:14" s="146" customFormat="1">
      <c r="A169" s="257" t="s">
        <v>503</v>
      </c>
      <c r="B169" s="262" t="str">
        <f ca="1">IF(OFFSET('IWP05'!BackgroundChecks, 6, 0, 1, 1) = 0, "", OFFSET('IWP05'!BackgroundChecks, 6, 0, 1, 1))</f>
        <v/>
      </c>
      <c r="C169" s="262" t="str">
        <f ca="1">IF(OFFSET('IWP05'!BackgroundChecks, 6, 2, 1, 1) = 0, "", OFFSET('IWP05'!BackgroundChecks, 6, 2, 1, 1))</f>
        <v/>
      </c>
      <c r="D169" s="262" t="str">
        <f ca="1">IF(OFFSET('IWP05'!BackgroundChecks, 6, 4, 1, 1) = 0, "", OFFSET('IWP05'!BackgroundChecks, 6, 4, 1, 1))</f>
        <v/>
      </c>
      <c r="E169" s="254">
        <f ca="1">IF(OFFSET('IWP05'!BackgroundChecks, 6, 5, 1, 1)=DATE(1900,1,0), DATE(1900,1,1), OFFSET('IWP05'!BackgroundChecks, 6, 5, 1, 1))</f>
        <v>1</v>
      </c>
      <c r="F169" s="262" t="str">
        <f ca="1">IF(OFFSET('IWP05'!BackgroundChecks, 6, 6, 1, 1) = 0, "", OFFSET('IWP05'!BackgroundChecks, 6, 6, 1, 1))</f>
        <v/>
      </c>
      <c r="G169" s="254">
        <f ca="1">IF(OFFSET('IWP05'!BackgroundChecks, 6, 7, 1, 1)=DATE(1900,1,0), DATE(1900,1,1), OFFSET('IWP05'!BackgroundChecks, 6, 7, 1, 1))</f>
        <v>1</v>
      </c>
      <c r="H169" s="254">
        <f ca="1">IF(OFFSET('IWP05'!BackgroundChecks, 6, 8, 1, 1)=DATE(1900,1,0), DATE(1900,1,1), OFFSET('IWP05'!BackgroundChecks, 6, 8, 1, 1))</f>
        <v>1</v>
      </c>
      <c r="I169" s="262" t="str">
        <f ca="1">IF(OFFSET('IWP05'!BackgroundChecks, 6, 9, 1, 1) = 0, "", OFFSET('IWP05'!BackgroundChecks, 6, 9, 1, 1))</f>
        <v/>
      </c>
      <c r="J169" s="262" t="str">
        <f ca="1">IF(OFFSET('IWP05'!BackgroundChecks, 6, 10, 1, 1) = 0, "", OFFSET('IWP05'!BackgroundChecks, 6, 10, 1, 1))</f>
        <v/>
      </c>
      <c r="K169" s="262" t="str">
        <f ca="1">IF(OFFSET('IWP05'!BackgroundChecks, 6, 11, 1, 1) = 0, "", OFFSET('IWP05'!BackgroundChecks, 6, 11, 1, 1))</f>
        <v/>
      </c>
      <c r="L169" s="262" t="str">
        <f ca="1">IF(OFFSET('IWP05'!BackgroundChecks, 6, 12, 1, 1) = 0, "", OFFSET('IWP05'!BackgroundChecks, 6, 12, 1, 1))</f>
        <v/>
      </c>
      <c r="M169" s="262" t="str">
        <f ca="1">IF(OFFSET('IWP05'!BackgroundChecks, 6, 13, 1, 1) = 0, "", OFFSET('IWP05'!BackgroundChecks, 6, 13, 1, 1))</f>
        <v/>
      </c>
      <c r="N169" s="261"/>
    </row>
    <row r="170" spans="1:14" s="146" customFormat="1">
      <c r="A170" s="257" t="s">
        <v>503</v>
      </c>
      <c r="B170" s="262" t="str">
        <f ca="1">IF(OFFSET('IWP05'!BackgroundChecks, 7, 0, 1, 1) = 0, "", OFFSET('IWP05'!BackgroundChecks, 7, 0, 1, 1))</f>
        <v/>
      </c>
      <c r="C170" s="262" t="str">
        <f ca="1">IF(OFFSET('IWP05'!BackgroundChecks, 7, 2, 1, 1) = 0, "", OFFSET('IWP05'!BackgroundChecks, 7, 2, 1, 1))</f>
        <v/>
      </c>
      <c r="D170" s="262" t="str">
        <f ca="1">IF(OFFSET('IWP05'!BackgroundChecks, 7, 4, 1, 1) = 0, "", OFFSET('IWP05'!BackgroundChecks, 7, 4, 1, 1))</f>
        <v/>
      </c>
      <c r="E170" s="254">
        <f ca="1">IF(OFFSET('IWP05'!BackgroundChecks, 7, 5, 1, 1)=DATE(1900,1,0), DATE(1900,1,1), OFFSET('IWP05'!BackgroundChecks, 7, 5, 1, 1))</f>
        <v>1</v>
      </c>
      <c r="F170" s="262" t="str">
        <f ca="1">IF(OFFSET('IWP05'!BackgroundChecks, 7, 6, 1, 1) = 0, "", OFFSET('IWP05'!BackgroundChecks, 7, 6, 1, 1))</f>
        <v/>
      </c>
      <c r="G170" s="254">
        <f ca="1">IF(OFFSET('IWP05'!BackgroundChecks, 7, 7, 1, 1)=DATE(1900,1,0), DATE(1900,1,1), OFFSET('IWP05'!BackgroundChecks, 7, 7, 1, 1))</f>
        <v>1</v>
      </c>
      <c r="H170" s="254">
        <f ca="1">IF(OFFSET('IWP05'!BackgroundChecks, 7, 8, 1, 1)=DATE(1900,1,0), DATE(1900,1,1), OFFSET('IWP05'!BackgroundChecks, 7, 8, 1, 1))</f>
        <v>1</v>
      </c>
      <c r="I170" s="262" t="str">
        <f ca="1">IF(OFFSET('IWP05'!BackgroundChecks, 7, 9, 1, 1) = 0, "", OFFSET('IWP05'!BackgroundChecks, 7, 9, 1, 1))</f>
        <v/>
      </c>
      <c r="J170" s="262" t="str">
        <f ca="1">IF(OFFSET('IWP05'!BackgroundChecks, 7, 10, 1, 1) = 0, "", OFFSET('IWP05'!BackgroundChecks, 7, 10, 1, 1))</f>
        <v/>
      </c>
      <c r="K170" s="262" t="str">
        <f ca="1">IF(OFFSET('IWP05'!BackgroundChecks, 7, 11, 1, 1) = 0, "", OFFSET('IWP05'!BackgroundChecks, 7, 11, 1, 1))</f>
        <v/>
      </c>
      <c r="L170" s="262" t="str">
        <f ca="1">IF(OFFSET('IWP05'!BackgroundChecks, 7, 12, 1, 1) = 0, "", OFFSET('IWP05'!BackgroundChecks, 7, 12, 1, 1))</f>
        <v/>
      </c>
      <c r="M170" s="262" t="str">
        <f ca="1">IF(OFFSET('IWP05'!BackgroundChecks, 7, 13, 1, 1) = 0, "", OFFSET('IWP05'!BackgroundChecks, 7, 13, 1, 1))</f>
        <v/>
      </c>
      <c r="N170" s="261"/>
    </row>
    <row r="171" spans="1:14" s="146" customFormat="1">
      <c r="A171" s="257" t="s">
        <v>503</v>
      </c>
      <c r="B171" s="262" t="str">
        <f ca="1">IF(OFFSET('IWP05'!BackgroundChecks, 8, 0, 1, 1) = 0, "", OFFSET('IWP05'!BackgroundChecks, 8, 0, 1, 1))</f>
        <v/>
      </c>
      <c r="C171" s="262" t="str">
        <f ca="1">IF(OFFSET('IWP05'!BackgroundChecks, 8, 2, 1, 1) = 0, "", OFFSET('IWP05'!BackgroundChecks, 8, 2, 1, 1))</f>
        <v/>
      </c>
      <c r="D171" s="262" t="str">
        <f ca="1">IF(OFFSET('IWP05'!BackgroundChecks, 8, 4, 1, 1) = 0, "", OFFSET('IWP05'!BackgroundChecks, 8, 4, 1, 1))</f>
        <v/>
      </c>
      <c r="E171" s="254">
        <f ca="1">IF(OFFSET('IWP05'!BackgroundChecks, 8, 5, 1, 1)=DATE(1900,1,0), DATE(1900,1,1), OFFSET('IWP05'!BackgroundChecks, 8, 5, 1, 1))</f>
        <v>1</v>
      </c>
      <c r="F171" s="262" t="str">
        <f ca="1">IF(OFFSET('IWP05'!BackgroundChecks, 8, 6, 1, 1) = 0, "", OFFSET('IWP05'!BackgroundChecks, 8, 6, 1, 1))</f>
        <v/>
      </c>
      <c r="G171" s="254">
        <f ca="1">IF(OFFSET('IWP05'!BackgroundChecks, 8, 7, 1, 1)=DATE(1900,1,0), DATE(1900,1,1), OFFSET('IWP05'!BackgroundChecks, 8, 7, 1, 1))</f>
        <v>1</v>
      </c>
      <c r="H171" s="254">
        <f ca="1">IF(OFFSET('IWP05'!BackgroundChecks, 8, 8, 1, 1)=DATE(1900,1,0), DATE(1900,1,1), OFFSET('IWP05'!BackgroundChecks, 8, 8, 1, 1))</f>
        <v>1</v>
      </c>
      <c r="I171" s="262" t="str">
        <f ca="1">IF(OFFSET('IWP05'!BackgroundChecks, 8, 9, 1, 1) = 0, "", OFFSET('IWP05'!BackgroundChecks, 8, 9, 1, 1))</f>
        <v/>
      </c>
      <c r="J171" s="262" t="str">
        <f ca="1">IF(OFFSET('IWP05'!BackgroundChecks, 8, 10, 1, 1) = 0, "", OFFSET('IWP05'!BackgroundChecks, 8, 10, 1, 1))</f>
        <v/>
      </c>
      <c r="K171" s="262" t="str">
        <f ca="1">IF(OFFSET('IWP05'!BackgroundChecks, 8, 11, 1, 1) = 0, "", OFFSET('IWP05'!BackgroundChecks, 8, 11, 1, 1))</f>
        <v/>
      </c>
      <c r="L171" s="262" t="str">
        <f ca="1">IF(OFFSET('IWP05'!BackgroundChecks, 8, 12, 1, 1) = 0, "", OFFSET('IWP05'!BackgroundChecks, 8, 12, 1, 1))</f>
        <v/>
      </c>
      <c r="M171" s="262" t="str">
        <f ca="1">IF(OFFSET('IWP05'!BackgroundChecks, 8, 13, 1, 1) = 0, "", OFFSET('IWP05'!BackgroundChecks, 8, 13, 1, 1))</f>
        <v/>
      </c>
      <c r="N171" s="261"/>
    </row>
    <row r="172" spans="1:14" s="146" customFormat="1">
      <c r="A172" s="257" t="s">
        <v>503</v>
      </c>
      <c r="B172" s="262" t="str">
        <f ca="1">IF(OFFSET('IWP05'!BackgroundChecks, 9, 0, 1, 1) = 0, "", OFFSET('IWP05'!BackgroundChecks, 9, 0, 1, 1))</f>
        <v/>
      </c>
      <c r="C172" s="262" t="str">
        <f ca="1">IF(OFFSET('IWP05'!BackgroundChecks, 9, 2, 1, 1) = 0, "", OFFSET('IWP05'!BackgroundChecks, 9, 2, 1, 1))</f>
        <v/>
      </c>
      <c r="D172" s="262" t="str">
        <f ca="1">IF(OFFSET('IWP05'!BackgroundChecks, 9, 4, 1, 1) = 0, "", OFFSET('IWP05'!BackgroundChecks, 9, 4, 1, 1))</f>
        <v/>
      </c>
      <c r="E172" s="254">
        <f ca="1">IF(OFFSET('IWP05'!BackgroundChecks, 9, 5, 1, 1)=DATE(1900,1,0), DATE(1900,1,1), OFFSET('IWP05'!BackgroundChecks, 9, 5, 1, 1))</f>
        <v>1</v>
      </c>
      <c r="F172" s="262" t="str">
        <f ca="1">IF(OFFSET('IWP05'!BackgroundChecks, 9, 6, 1, 1) = 0, "", OFFSET('IWP05'!BackgroundChecks, 9, 6, 1, 1))</f>
        <v/>
      </c>
      <c r="G172" s="254">
        <f ca="1">IF(OFFSET('IWP05'!BackgroundChecks, 9, 7, 1, 1)=DATE(1900,1,0), DATE(1900,1,1), OFFSET('IWP05'!BackgroundChecks, 9, 7, 1, 1))</f>
        <v>1</v>
      </c>
      <c r="H172" s="254">
        <f ca="1">IF(OFFSET('IWP05'!BackgroundChecks, 9, 8, 1, 1)=DATE(1900,1,0), DATE(1900,1,1), OFFSET('IWP05'!BackgroundChecks, 9, 8, 1, 1))</f>
        <v>1</v>
      </c>
      <c r="I172" s="262" t="str">
        <f ca="1">IF(OFFSET('IWP05'!BackgroundChecks, 9, 9, 1, 1) = 0, "", OFFSET('IWP05'!BackgroundChecks, 9, 9, 1, 1))</f>
        <v/>
      </c>
      <c r="J172" s="262" t="str">
        <f ca="1">IF(OFFSET('IWP05'!BackgroundChecks, 9, 10, 1, 1) = 0, "", OFFSET('IWP05'!BackgroundChecks, 9, 10, 1, 1))</f>
        <v/>
      </c>
      <c r="K172" s="262" t="str">
        <f ca="1">IF(OFFSET('IWP05'!BackgroundChecks, 9, 11, 1, 1) = 0, "", OFFSET('IWP05'!BackgroundChecks, 9, 11, 1, 1))</f>
        <v/>
      </c>
      <c r="L172" s="262" t="str">
        <f ca="1">IF(OFFSET('IWP05'!BackgroundChecks, 9, 12, 1, 1) = 0, "", OFFSET('IWP05'!BackgroundChecks, 9, 12, 1, 1))</f>
        <v/>
      </c>
      <c r="M172" s="262" t="str">
        <f ca="1">IF(OFFSET('IWP05'!BackgroundChecks, 9, 13, 1, 1) = 0, "", OFFSET('IWP05'!BackgroundChecks, 9, 13, 1, 1))</f>
        <v/>
      </c>
      <c r="N172" s="261"/>
    </row>
    <row r="173" spans="1:14" s="146" customFormat="1">
      <c r="A173" s="257" t="s">
        <v>503</v>
      </c>
      <c r="B173" s="262" t="str">
        <f ca="1">IF(OFFSET('IWP05'!BackgroundChecks, 10, 0, 1, 1) = 0, "", OFFSET('IWP05'!BackgroundChecks, 10, 0, 1, 1))</f>
        <v/>
      </c>
      <c r="C173" s="262" t="str">
        <f ca="1">IF(OFFSET('IWP05'!BackgroundChecks, 10, 2, 1, 1) = 0, "", OFFSET('IWP05'!BackgroundChecks, 10, 2, 1, 1))</f>
        <v/>
      </c>
      <c r="D173" s="262" t="str">
        <f ca="1">IF(OFFSET('IWP05'!BackgroundChecks, 10, 4, 1, 1) = 0, "", OFFSET('IWP05'!BackgroundChecks, 10, 4, 1, 1))</f>
        <v/>
      </c>
      <c r="E173" s="254">
        <f ca="1">IF(OFFSET('IWP05'!BackgroundChecks, 10, 5, 1, 1)=DATE(1900,1,0), DATE(1900,1,1), OFFSET('IWP05'!BackgroundChecks, 10, 5, 1, 1))</f>
        <v>1</v>
      </c>
      <c r="F173" s="262" t="str">
        <f ca="1">IF(OFFSET('IWP05'!BackgroundChecks, 10, 6, 1, 1) = 0, "", OFFSET('IWP05'!BackgroundChecks, 10, 6, 1, 1))</f>
        <v/>
      </c>
      <c r="G173" s="254">
        <f ca="1">IF(OFFSET('IWP05'!BackgroundChecks, 10, 7, 1, 1)=DATE(1900,1,0), DATE(1900,1,1), OFFSET('IWP05'!BackgroundChecks, 10, 7, 1, 1))</f>
        <v>1</v>
      </c>
      <c r="H173" s="254">
        <f ca="1">IF(OFFSET('IWP05'!BackgroundChecks, 10, 8, 1, 1)=DATE(1900,1,0), DATE(1900,1,1), OFFSET('IWP05'!BackgroundChecks, 10, 8, 1, 1))</f>
        <v>1</v>
      </c>
      <c r="I173" s="262" t="str">
        <f ca="1">IF(OFFSET('IWP05'!BackgroundChecks, 10, 9, 1, 1) = 0, "", OFFSET('IWP05'!BackgroundChecks, 10, 9, 1, 1))</f>
        <v/>
      </c>
      <c r="J173" s="262" t="str">
        <f ca="1">IF(OFFSET('IWP05'!BackgroundChecks, 10, 10, 1, 1) = 0, "", OFFSET('IWP05'!BackgroundChecks, 10, 10, 1, 1))</f>
        <v/>
      </c>
      <c r="K173" s="262" t="str">
        <f ca="1">IF(OFFSET('IWP05'!BackgroundChecks, 10, 11, 1, 1) = 0, "", OFFSET('IWP05'!BackgroundChecks, 10, 11, 1, 1))</f>
        <v/>
      </c>
      <c r="L173" s="262" t="str">
        <f ca="1">IF(OFFSET('IWP05'!BackgroundChecks, 10, 12, 1, 1) = 0, "", OFFSET('IWP05'!BackgroundChecks, 10, 12, 1, 1))</f>
        <v/>
      </c>
      <c r="M173" s="262" t="str">
        <f ca="1">IF(OFFSET('IWP05'!BackgroundChecks, 10, 13, 1, 1) = 0, "", OFFSET('IWP05'!BackgroundChecks, 10, 13, 1, 1))</f>
        <v/>
      </c>
      <c r="N173" s="261"/>
    </row>
    <row r="174" spans="1:14" s="146" customFormat="1">
      <c r="A174" s="257" t="s">
        <v>503</v>
      </c>
      <c r="B174" s="262" t="str">
        <f ca="1">IF(OFFSET('IWP05'!BackgroundChecks, 11, 0, 1, 1) = 0, "", OFFSET('IWP05'!BackgroundChecks, 11, 0, 1, 1))</f>
        <v/>
      </c>
      <c r="C174" s="262" t="str">
        <f ca="1">IF(OFFSET('IWP05'!BackgroundChecks, 11, 2, 1, 1) = 0, "", OFFSET('IWP05'!BackgroundChecks, 11, 2, 1, 1))</f>
        <v/>
      </c>
      <c r="D174" s="262" t="str">
        <f ca="1">IF(OFFSET('IWP05'!BackgroundChecks, 11, 4, 1, 1) = 0, "", OFFSET('IWP05'!BackgroundChecks, 11, 4, 1, 1))</f>
        <v/>
      </c>
      <c r="E174" s="254">
        <f ca="1">IF(OFFSET('IWP05'!BackgroundChecks, 11, 5, 1, 1)=DATE(1900,1,0), DATE(1900,1,1), OFFSET('IWP05'!BackgroundChecks, 11, 5, 1, 1))</f>
        <v>1</v>
      </c>
      <c r="F174" s="262" t="str">
        <f ca="1">IF(OFFSET('IWP05'!BackgroundChecks, 11, 6, 1, 1) = 0, "", OFFSET('IWP05'!BackgroundChecks, 11, 6, 1, 1))</f>
        <v/>
      </c>
      <c r="G174" s="254">
        <f ca="1">IF(OFFSET('IWP05'!BackgroundChecks, 11, 7, 1, 1)=DATE(1900,1,0), DATE(1900,1,1), OFFSET('IWP05'!BackgroundChecks, 11, 7, 1, 1))</f>
        <v>1</v>
      </c>
      <c r="H174" s="254">
        <f ca="1">IF(OFFSET('IWP05'!BackgroundChecks, 11, 8, 1, 1)=DATE(1900,1,0), DATE(1900,1,1), OFFSET('IWP05'!BackgroundChecks, 11, 8, 1, 1))</f>
        <v>1</v>
      </c>
      <c r="I174" s="262" t="str">
        <f ca="1">IF(OFFSET('IWP05'!BackgroundChecks, 11, 9, 1, 1) = 0, "", OFFSET('IWP05'!BackgroundChecks, 11, 9, 1, 1))</f>
        <v/>
      </c>
      <c r="J174" s="262" t="str">
        <f ca="1">IF(OFFSET('IWP05'!BackgroundChecks, 11, 10, 1, 1) = 0, "", OFFSET('IWP05'!BackgroundChecks, 11, 10, 1, 1))</f>
        <v/>
      </c>
      <c r="K174" s="262" t="str">
        <f ca="1">IF(OFFSET('IWP05'!BackgroundChecks, 11, 11, 1, 1) = 0, "", OFFSET('IWP05'!BackgroundChecks, 11, 11, 1, 1))</f>
        <v/>
      </c>
      <c r="L174" s="262" t="str">
        <f ca="1">IF(OFFSET('IWP05'!BackgroundChecks, 11, 12, 1, 1) = 0, "", OFFSET('IWP05'!BackgroundChecks, 11, 12, 1, 1))</f>
        <v/>
      </c>
      <c r="M174" s="262" t="str">
        <f ca="1">IF(OFFSET('IWP05'!BackgroundChecks, 11, 13, 1, 1) = 0, "", OFFSET('IWP05'!BackgroundChecks, 11, 13, 1, 1))</f>
        <v/>
      </c>
      <c r="N174" s="261"/>
    </row>
    <row r="175" spans="1:14" s="146" customFormat="1">
      <c r="A175" s="257" t="s">
        <v>503</v>
      </c>
      <c r="B175" s="262" t="str">
        <f ca="1">IF(OFFSET('IWP05'!BackgroundChecks, 12, 0, 1, 1) = 0, "", OFFSET('IWP05'!BackgroundChecks, 12, 0, 1, 1))</f>
        <v/>
      </c>
      <c r="C175" s="262" t="str">
        <f ca="1">IF(OFFSET('IWP05'!BackgroundChecks, 12, 2, 1, 1) = 0, "", OFFSET('IWP05'!BackgroundChecks, 12, 2, 1, 1))</f>
        <v/>
      </c>
      <c r="D175" s="262" t="str">
        <f ca="1">IF(OFFSET('IWP05'!BackgroundChecks, 12, 4, 1, 1) = 0, "", OFFSET('IWP05'!BackgroundChecks, 12, 4, 1, 1))</f>
        <v/>
      </c>
      <c r="E175" s="254">
        <f ca="1">IF(OFFSET('IWP05'!BackgroundChecks, 12, 5, 1, 1)=DATE(1900,1,0), DATE(1900,1,1), OFFSET('IWP05'!BackgroundChecks, 12, 5, 1, 1))</f>
        <v>1</v>
      </c>
      <c r="F175" s="262" t="str">
        <f ca="1">IF(OFFSET('IWP05'!BackgroundChecks, 12, 6, 1, 1) = 0, "", OFFSET('IWP05'!BackgroundChecks, 12, 6, 1, 1))</f>
        <v/>
      </c>
      <c r="G175" s="254">
        <f ca="1">IF(OFFSET('IWP05'!BackgroundChecks, 12, 7, 1, 1)=DATE(1900,1,0), DATE(1900,1,1), OFFSET('IWP05'!BackgroundChecks, 12, 7, 1, 1))</f>
        <v>1</v>
      </c>
      <c r="H175" s="254">
        <f ca="1">IF(OFFSET('IWP05'!BackgroundChecks, 12, 8, 1, 1)=DATE(1900,1,0), DATE(1900,1,1), OFFSET('IWP05'!BackgroundChecks, 12, 8, 1, 1))</f>
        <v>1</v>
      </c>
      <c r="I175" s="262" t="str">
        <f ca="1">IF(OFFSET('IWP05'!BackgroundChecks, 12, 9, 1, 1) = 0, "", OFFSET('IWP05'!BackgroundChecks, 12, 9, 1, 1))</f>
        <v/>
      </c>
      <c r="J175" s="262" t="str">
        <f ca="1">IF(OFFSET('IWP05'!BackgroundChecks, 12, 10, 1, 1) = 0, "", OFFSET('IWP05'!BackgroundChecks, 12, 10, 1, 1))</f>
        <v/>
      </c>
      <c r="K175" s="262" t="str">
        <f ca="1">IF(OFFSET('IWP05'!BackgroundChecks, 12, 11, 1, 1) = 0, "", OFFSET('IWP05'!BackgroundChecks, 12, 11, 1, 1))</f>
        <v/>
      </c>
      <c r="L175" s="262" t="str">
        <f ca="1">IF(OFFSET('IWP05'!BackgroundChecks, 12, 12, 1, 1) = 0, "", OFFSET('IWP05'!BackgroundChecks, 12, 12, 1, 1))</f>
        <v/>
      </c>
      <c r="M175" s="262" t="str">
        <f ca="1">IF(OFFSET('IWP05'!BackgroundChecks, 12, 13, 1, 1) = 0, "", OFFSET('IWP05'!BackgroundChecks, 12, 13, 1, 1))</f>
        <v/>
      </c>
      <c r="N175" s="261"/>
    </row>
    <row r="176" spans="1:14" s="146" customFormat="1">
      <c r="A176" s="257" t="s">
        <v>503</v>
      </c>
      <c r="B176" s="262" t="str">
        <f ca="1">IF(OFFSET('IWP05'!BackgroundChecks, 13, 0, 1, 1) = 0, "", OFFSET('IWP05'!BackgroundChecks, 13, 0, 1, 1))</f>
        <v/>
      </c>
      <c r="C176" s="262" t="str">
        <f ca="1">IF(OFFSET('IWP05'!BackgroundChecks, 13, 2, 1, 1) = 0, "", OFFSET('IWP05'!BackgroundChecks, 13, 2, 1, 1))</f>
        <v/>
      </c>
      <c r="D176" s="262" t="str">
        <f ca="1">IF(OFFSET('IWP05'!BackgroundChecks, 13, 4, 1, 1) = 0, "", OFFSET('IWP05'!BackgroundChecks, 13, 4, 1, 1))</f>
        <v/>
      </c>
      <c r="E176" s="254">
        <f ca="1">IF(OFFSET('IWP05'!BackgroundChecks, 13, 5, 1, 1)=DATE(1900,1,0), DATE(1900,1,1), OFFSET('IWP05'!BackgroundChecks, 13, 5, 1, 1))</f>
        <v>1</v>
      </c>
      <c r="F176" s="262" t="str">
        <f ca="1">IF(OFFSET('IWP05'!BackgroundChecks, 13, 6, 1, 1) = 0, "", OFFSET('IWP05'!BackgroundChecks, 13, 6, 1, 1))</f>
        <v/>
      </c>
      <c r="G176" s="254">
        <f ca="1">IF(OFFSET('IWP05'!BackgroundChecks, 13, 7, 1, 1)=DATE(1900,1,0), DATE(1900,1,1), OFFSET('IWP05'!BackgroundChecks, 13, 7, 1, 1))</f>
        <v>1</v>
      </c>
      <c r="H176" s="254">
        <f ca="1">IF(OFFSET('IWP05'!BackgroundChecks, 13, 8, 1, 1)=DATE(1900,1,0), DATE(1900,1,1), OFFSET('IWP05'!BackgroundChecks, 13, 8, 1, 1))</f>
        <v>1</v>
      </c>
      <c r="I176" s="262" t="str">
        <f ca="1">IF(OFFSET('IWP05'!BackgroundChecks, 13, 9, 1, 1) = 0, "", OFFSET('IWP05'!BackgroundChecks, 13, 9, 1, 1))</f>
        <v/>
      </c>
      <c r="J176" s="262" t="str">
        <f ca="1">IF(OFFSET('IWP05'!BackgroundChecks, 13, 10, 1, 1) = 0, "", OFFSET('IWP05'!BackgroundChecks, 13, 10, 1, 1))</f>
        <v/>
      </c>
      <c r="K176" s="262" t="str">
        <f ca="1">IF(OFFSET('IWP05'!BackgroundChecks, 13, 11, 1, 1) = 0, "", OFFSET('IWP05'!BackgroundChecks, 13, 11, 1, 1))</f>
        <v/>
      </c>
      <c r="L176" s="262" t="str">
        <f ca="1">IF(OFFSET('IWP05'!BackgroundChecks, 13, 12, 1, 1) = 0, "", OFFSET('IWP05'!BackgroundChecks, 13, 12, 1, 1))</f>
        <v/>
      </c>
      <c r="M176" s="262" t="str">
        <f ca="1">IF(OFFSET('IWP05'!BackgroundChecks, 13, 13, 1, 1) = 0, "", OFFSET('IWP05'!BackgroundChecks, 13, 13, 1, 1))</f>
        <v/>
      </c>
      <c r="N176" s="261"/>
    </row>
    <row r="177" spans="1:14" s="146" customFormat="1">
      <c r="A177" s="257" t="s">
        <v>503</v>
      </c>
      <c r="B177" s="262" t="str">
        <f ca="1">IF(OFFSET('IWP05'!BackgroundChecks, 14, 0, 1, 1) = 0, "", OFFSET('IWP05'!BackgroundChecks, 14, 0, 1, 1))</f>
        <v/>
      </c>
      <c r="C177" s="262" t="str">
        <f ca="1">IF(OFFSET('IWP05'!BackgroundChecks, 14, 2, 1, 1) = 0, "", OFFSET('IWP05'!BackgroundChecks, 14, 2, 1, 1))</f>
        <v/>
      </c>
      <c r="D177" s="262" t="str">
        <f ca="1">IF(OFFSET('IWP05'!BackgroundChecks, 14, 4, 1, 1) = 0, "", OFFSET('IWP05'!BackgroundChecks, 14, 4, 1, 1))</f>
        <v/>
      </c>
      <c r="E177" s="254">
        <f ca="1">IF(OFFSET('IWP05'!BackgroundChecks, 14, 5, 1, 1)=DATE(1900,1,0), DATE(1900,1,1), OFFSET('IWP05'!BackgroundChecks, 14, 5, 1, 1))</f>
        <v>1</v>
      </c>
      <c r="F177" s="262" t="str">
        <f ca="1">IF(OFFSET('IWP05'!BackgroundChecks, 14, 6, 1, 1) = 0, "", OFFSET('IWP05'!BackgroundChecks, 14, 6, 1, 1))</f>
        <v/>
      </c>
      <c r="G177" s="254">
        <f ca="1">IF(OFFSET('IWP05'!BackgroundChecks, 14, 7, 1, 1)=DATE(1900,1,0), DATE(1900,1,1), OFFSET('IWP05'!BackgroundChecks, 14, 7, 1, 1))</f>
        <v>1</v>
      </c>
      <c r="H177" s="254">
        <f ca="1">IF(OFFSET('IWP05'!BackgroundChecks, 14, 8, 1, 1)=DATE(1900,1,0), DATE(1900,1,1), OFFSET('IWP05'!BackgroundChecks, 14, 8, 1, 1))</f>
        <v>1</v>
      </c>
      <c r="I177" s="262" t="str">
        <f ca="1">IF(OFFSET('IWP05'!BackgroundChecks, 14, 9, 1, 1) = 0, "", OFFSET('IWP05'!BackgroundChecks, 14, 9, 1, 1))</f>
        <v/>
      </c>
      <c r="J177" s="262" t="str">
        <f ca="1">IF(OFFSET('IWP05'!BackgroundChecks, 14, 10, 1, 1) = 0, "", OFFSET('IWP05'!BackgroundChecks, 14, 10, 1, 1))</f>
        <v/>
      </c>
      <c r="K177" s="262" t="str">
        <f ca="1">IF(OFFSET('IWP05'!BackgroundChecks, 14, 11, 1, 1) = 0, "", OFFSET('IWP05'!BackgroundChecks, 14, 11, 1, 1))</f>
        <v/>
      </c>
      <c r="L177" s="262" t="str">
        <f ca="1">IF(OFFSET('IWP05'!BackgroundChecks, 14, 12, 1, 1) = 0, "", OFFSET('IWP05'!BackgroundChecks, 14, 12, 1, 1))</f>
        <v/>
      </c>
      <c r="M177" s="262" t="str">
        <f ca="1">IF(OFFSET('IWP05'!BackgroundChecks, 14, 13, 1, 1) = 0, "", OFFSET('IWP05'!BackgroundChecks, 14, 13, 1, 1))</f>
        <v/>
      </c>
      <c r="N177" s="261"/>
    </row>
    <row r="178" spans="1:14" s="146" customFormat="1">
      <c r="A178" s="257" t="s">
        <v>503</v>
      </c>
      <c r="B178" s="262" t="str">
        <f ca="1">IF(OFFSET('IWP05'!BackgroundChecks, 15, 0, 1, 1) = 0, "", OFFSET('IWP05'!BackgroundChecks, 15, 0, 1, 1))</f>
        <v/>
      </c>
      <c r="C178" s="262" t="str">
        <f ca="1">IF(OFFSET('IWP05'!BackgroundChecks, 15, 2, 1, 1) = 0, "", OFFSET('IWP05'!BackgroundChecks, 15, 2, 1, 1))</f>
        <v/>
      </c>
      <c r="D178" s="262" t="str">
        <f ca="1">IF(OFFSET('IWP05'!BackgroundChecks, 15, 4, 1, 1) = 0, "", OFFSET('IWP05'!BackgroundChecks, 15, 4, 1, 1))</f>
        <v/>
      </c>
      <c r="E178" s="254">
        <f ca="1">IF(OFFSET('IWP05'!BackgroundChecks, 15, 5, 1, 1)=DATE(1900,1,0), DATE(1900,1,1), OFFSET('IWP05'!BackgroundChecks, 15, 5, 1, 1))</f>
        <v>1</v>
      </c>
      <c r="F178" s="262" t="str">
        <f ca="1">IF(OFFSET('IWP05'!BackgroundChecks, 15, 6, 1, 1) = 0, "", OFFSET('IWP05'!BackgroundChecks, 15, 6, 1, 1))</f>
        <v/>
      </c>
      <c r="G178" s="254">
        <f ca="1">IF(OFFSET('IWP05'!BackgroundChecks, 15, 7, 1, 1)=DATE(1900,1,0), DATE(1900,1,1), OFFSET('IWP05'!BackgroundChecks, 15, 7, 1, 1))</f>
        <v>1</v>
      </c>
      <c r="H178" s="254">
        <f ca="1">IF(OFFSET('IWP05'!BackgroundChecks, 15, 8, 1, 1)=DATE(1900,1,0), DATE(1900,1,1), OFFSET('IWP05'!BackgroundChecks, 15, 8, 1, 1))</f>
        <v>1</v>
      </c>
      <c r="I178" s="262" t="str">
        <f ca="1">IF(OFFSET('IWP05'!BackgroundChecks, 15, 9, 1, 1) = 0, "", OFFSET('IWP05'!BackgroundChecks, 15, 9, 1, 1))</f>
        <v/>
      </c>
      <c r="J178" s="262" t="str">
        <f ca="1">IF(OFFSET('IWP05'!BackgroundChecks, 15, 10, 1, 1) = 0, "", OFFSET('IWP05'!BackgroundChecks, 15, 10, 1, 1))</f>
        <v/>
      </c>
      <c r="K178" s="262" t="str">
        <f ca="1">IF(OFFSET('IWP05'!BackgroundChecks, 15, 11, 1, 1) = 0, "", OFFSET('IWP05'!BackgroundChecks, 15, 11, 1, 1))</f>
        <v/>
      </c>
      <c r="L178" s="262" t="str">
        <f ca="1">IF(OFFSET('IWP05'!BackgroundChecks, 15, 12, 1, 1) = 0, "", OFFSET('IWP05'!BackgroundChecks, 15, 12, 1, 1))</f>
        <v/>
      </c>
      <c r="M178" s="262" t="str">
        <f ca="1">IF(OFFSET('IWP05'!BackgroundChecks, 15, 13, 1, 1) = 0, "", OFFSET('IWP05'!BackgroundChecks, 15, 13, 1, 1))</f>
        <v/>
      </c>
      <c r="N178" s="261"/>
    </row>
    <row r="179" spans="1:14" s="146" customFormat="1">
      <c r="A179" s="257" t="s">
        <v>503</v>
      </c>
      <c r="B179" s="262" t="str">
        <f ca="1">IF(OFFSET('IWP05'!BackgroundChecks, 16, 0, 1, 1) = 0, "", OFFSET('IWP05'!BackgroundChecks, 16, 0, 1, 1))</f>
        <v/>
      </c>
      <c r="C179" s="262" t="str">
        <f ca="1">IF(OFFSET('IWP05'!BackgroundChecks, 16, 2, 1, 1) = 0, "", OFFSET('IWP05'!BackgroundChecks, 16, 2, 1, 1))</f>
        <v/>
      </c>
      <c r="D179" s="262" t="str">
        <f ca="1">IF(OFFSET('IWP05'!BackgroundChecks, 16, 4, 1, 1) = 0, "", OFFSET('IWP05'!BackgroundChecks, 16, 4, 1, 1))</f>
        <v/>
      </c>
      <c r="E179" s="254">
        <f ca="1">IF(OFFSET('IWP05'!BackgroundChecks, 16, 5, 1, 1)=DATE(1900,1,0), DATE(1900,1,1), OFFSET('IWP05'!BackgroundChecks, 16, 5, 1, 1))</f>
        <v>1</v>
      </c>
      <c r="F179" s="262" t="str">
        <f ca="1">IF(OFFSET('IWP05'!BackgroundChecks, 16, 6, 1, 1) = 0, "", OFFSET('IWP05'!BackgroundChecks, 16, 6, 1, 1))</f>
        <v/>
      </c>
      <c r="G179" s="254">
        <f ca="1">IF(OFFSET('IWP05'!BackgroundChecks, 16, 7, 1, 1)=DATE(1900,1,0), DATE(1900,1,1), OFFSET('IWP05'!BackgroundChecks, 16, 7, 1, 1))</f>
        <v>1</v>
      </c>
      <c r="H179" s="254">
        <f ca="1">IF(OFFSET('IWP05'!BackgroundChecks, 16, 8, 1, 1)=DATE(1900,1,0), DATE(1900,1,1), OFFSET('IWP05'!BackgroundChecks, 16, 8, 1, 1))</f>
        <v>1</v>
      </c>
      <c r="I179" s="262" t="str">
        <f ca="1">IF(OFFSET('IWP05'!BackgroundChecks, 16, 9, 1, 1) = 0, "", OFFSET('IWP05'!BackgroundChecks, 16, 9, 1, 1))</f>
        <v/>
      </c>
      <c r="J179" s="262" t="str">
        <f ca="1">IF(OFFSET('IWP05'!BackgroundChecks, 16, 10, 1, 1) = 0, "", OFFSET('IWP05'!BackgroundChecks, 16, 10, 1, 1))</f>
        <v/>
      </c>
      <c r="K179" s="262" t="str">
        <f ca="1">IF(OFFSET('IWP05'!BackgroundChecks, 16, 11, 1, 1) = 0, "", OFFSET('IWP05'!BackgroundChecks, 16, 11, 1, 1))</f>
        <v/>
      </c>
      <c r="L179" s="262" t="str">
        <f ca="1">IF(OFFSET('IWP05'!BackgroundChecks, 16, 12, 1, 1) = 0, "", OFFSET('IWP05'!BackgroundChecks, 16, 12, 1, 1))</f>
        <v/>
      </c>
      <c r="M179" s="262" t="str">
        <f ca="1">IF(OFFSET('IWP05'!BackgroundChecks, 16, 13, 1, 1) = 0, "", OFFSET('IWP05'!BackgroundChecks, 16, 13, 1, 1))</f>
        <v/>
      </c>
      <c r="N179" s="261"/>
    </row>
    <row r="180" spans="1:14" s="146" customFormat="1">
      <c r="A180" s="257" t="s">
        <v>503</v>
      </c>
      <c r="B180" s="262" t="str">
        <f ca="1">IF(OFFSET('IWP05'!BackgroundChecks, 17, 0, 1, 1) = 0, "", OFFSET('IWP05'!BackgroundChecks, 17, 0, 1, 1))</f>
        <v/>
      </c>
      <c r="C180" s="262" t="str">
        <f ca="1">IF(OFFSET('IWP05'!BackgroundChecks, 17, 2, 1, 1) = 0, "", OFFSET('IWP05'!BackgroundChecks, 17, 2, 1, 1))</f>
        <v/>
      </c>
      <c r="D180" s="262" t="str">
        <f ca="1">IF(OFFSET('IWP05'!BackgroundChecks, 17, 4, 1, 1) = 0, "", OFFSET('IWP05'!BackgroundChecks, 17, 4, 1, 1))</f>
        <v/>
      </c>
      <c r="E180" s="254">
        <f ca="1">IF(OFFSET('IWP05'!BackgroundChecks, 17, 5, 1, 1)=DATE(1900,1,0), DATE(1900,1,1), OFFSET('IWP05'!BackgroundChecks, 17, 5, 1, 1))</f>
        <v>1</v>
      </c>
      <c r="F180" s="262" t="str">
        <f ca="1">IF(OFFSET('IWP05'!BackgroundChecks, 17, 6, 1, 1) = 0, "", OFFSET('IWP05'!BackgroundChecks, 17, 6, 1, 1))</f>
        <v/>
      </c>
      <c r="G180" s="254">
        <f ca="1">IF(OFFSET('IWP05'!BackgroundChecks, 17, 7, 1, 1)=DATE(1900,1,0), DATE(1900,1,1), OFFSET('IWP05'!BackgroundChecks, 17, 7, 1, 1))</f>
        <v>1</v>
      </c>
      <c r="H180" s="254">
        <f ca="1">IF(OFFSET('IWP05'!BackgroundChecks, 17, 8, 1, 1)=DATE(1900,1,0), DATE(1900,1,1), OFFSET('IWP05'!BackgroundChecks, 17, 8, 1, 1))</f>
        <v>1</v>
      </c>
      <c r="I180" s="262" t="str">
        <f ca="1">IF(OFFSET('IWP05'!BackgroundChecks, 17, 9, 1, 1) = 0, "", OFFSET('IWP05'!BackgroundChecks, 17, 9, 1, 1))</f>
        <v/>
      </c>
      <c r="J180" s="262" t="str">
        <f ca="1">IF(OFFSET('IWP05'!BackgroundChecks, 17, 10, 1, 1) = 0, "", OFFSET('IWP05'!BackgroundChecks, 17, 10, 1, 1))</f>
        <v/>
      </c>
      <c r="K180" s="262" t="str">
        <f ca="1">IF(OFFSET('IWP05'!BackgroundChecks, 17, 11, 1, 1) = 0, "", OFFSET('IWP05'!BackgroundChecks, 17, 11, 1, 1))</f>
        <v/>
      </c>
      <c r="L180" s="262" t="str">
        <f ca="1">IF(OFFSET('IWP05'!BackgroundChecks, 17, 12, 1, 1) = 0, "", OFFSET('IWP05'!BackgroundChecks, 17, 12, 1, 1))</f>
        <v/>
      </c>
      <c r="M180" s="262" t="str">
        <f ca="1">IF(OFFSET('IWP05'!BackgroundChecks, 17, 13, 1, 1) = 0, "", OFFSET('IWP05'!BackgroundChecks, 17, 13, 1, 1))</f>
        <v/>
      </c>
      <c r="N180" s="261"/>
    </row>
    <row r="181" spans="1:14" s="146" customFormat="1">
      <c r="A181" s="257" t="s">
        <v>503</v>
      </c>
      <c r="B181" s="262" t="str">
        <f ca="1">IF(OFFSET('IWP05'!BackgroundChecks, 18, 0, 1, 1) = 0, "", OFFSET('IWP05'!BackgroundChecks, 18, 0, 1, 1))</f>
        <v/>
      </c>
      <c r="C181" s="262" t="str">
        <f ca="1">IF(OFFSET('IWP05'!BackgroundChecks, 18, 2, 1, 1) = 0, "", OFFSET('IWP05'!BackgroundChecks, 18, 2, 1, 1))</f>
        <v/>
      </c>
      <c r="D181" s="262" t="str">
        <f ca="1">IF(OFFSET('IWP05'!BackgroundChecks, 18, 4, 1, 1) = 0, "", OFFSET('IWP05'!BackgroundChecks, 18, 4, 1, 1))</f>
        <v/>
      </c>
      <c r="E181" s="254">
        <f ca="1">IF(OFFSET('IWP05'!BackgroundChecks, 18, 5, 1, 1)=DATE(1900,1,0), DATE(1900,1,1), OFFSET('IWP05'!BackgroundChecks, 18, 5, 1, 1))</f>
        <v>1</v>
      </c>
      <c r="F181" s="262" t="str">
        <f ca="1">IF(OFFSET('IWP05'!BackgroundChecks, 18, 6, 1, 1) = 0, "", OFFSET('IWP05'!BackgroundChecks, 18, 6, 1, 1))</f>
        <v/>
      </c>
      <c r="G181" s="254">
        <f ca="1">IF(OFFSET('IWP05'!BackgroundChecks, 18, 7, 1, 1)=DATE(1900,1,0), DATE(1900,1,1), OFFSET('IWP05'!BackgroundChecks, 18, 7, 1, 1))</f>
        <v>1</v>
      </c>
      <c r="H181" s="254">
        <f ca="1">IF(OFFSET('IWP05'!BackgroundChecks, 18, 8, 1, 1)=DATE(1900,1,0), DATE(1900,1,1), OFFSET('IWP05'!BackgroundChecks, 18, 8, 1, 1))</f>
        <v>1</v>
      </c>
      <c r="I181" s="262" t="str">
        <f ca="1">IF(OFFSET('IWP05'!BackgroundChecks, 18, 9, 1, 1) = 0, "", OFFSET('IWP05'!BackgroundChecks, 18, 9, 1, 1))</f>
        <v/>
      </c>
      <c r="J181" s="262" t="str">
        <f ca="1">IF(OFFSET('IWP05'!BackgroundChecks, 18, 10, 1, 1) = 0, "", OFFSET('IWP05'!BackgroundChecks, 18, 10, 1, 1))</f>
        <v/>
      </c>
      <c r="K181" s="262" t="str">
        <f ca="1">IF(OFFSET('IWP05'!BackgroundChecks, 18, 11, 1, 1) = 0, "", OFFSET('IWP05'!BackgroundChecks, 18, 11, 1, 1))</f>
        <v/>
      </c>
      <c r="L181" s="262" t="str">
        <f ca="1">IF(OFFSET('IWP05'!BackgroundChecks, 18, 12, 1, 1) = 0, "", OFFSET('IWP05'!BackgroundChecks, 18, 12, 1, 1))</f>
        <v/>
      </c>
      <c r="M181" s="262" t="str">
        <f ca="1">IF(OFFSET('IWP05'!BackgroundChecks, 18, 13, 1, 1) = 0, "", OFFSET('IWP05'!BackgroundChecks, 18, 13, 1, 1))</f>
        <v/>
      </c>
      <c r="N181" s="261"/>
    </row>
    <row r="182" spans="1:14" s="146" customFormat="1">
      <c r="A182" s="257" t="s">
        <v>503</v>
      </c>
      <c r="B182" s="262" t="str">
        <f ca="1">IF(OFFSET('IWP05'!BackgroundChecks, 19, 0, 1, 1) = 0, "", OFFSET('IWP05'!BackgroundChecks, 19, 0, 1, 1))</f>
        <v/>
      </c>
      <c r="C182" s="262" t="str">
        <f ca="1">IF(OFFSET('IWP05'!BackgroundChecks, 19, 2, 1, 1) = 0, "", OFFSET('IWP05'!BackgroundChecks, 19, 2, 1, 1))</f>
        <v/>
      </c>
      <c r="D182" s="262" t="str">
        <f ca="1">IF(OFFSET('IWP05'!BackgroundChecks, 19, 4, 1, 1) = 0, "", OFFSET('IWP05'!BackgroundChecks, 19, 4, 1, 1))</f>
        <v/>
      </c>
      <c r="E182" s="254">
        <f ca="1">IF(OFFSET('IWP05'!BackgroundChecks, 19, 5, 1, 1)=DATE(1900,1,0), DATE(1900,1,1), OFFSET('IWP05'!BackgroundChecks, 19, 5, 1, 1))</f>
        <v>1</v>
      </c>
      <c r="F182" s="262" t="str">
        <f ca="1">IF(OFFSET('IWP05'!BackgroundChecks, 19, 6, 1, 1) = 0, "", OFFSET('IWP05'!BackgroundChecks, 19, 6, 1, 1))</f>
        <v/>
      </c>
      <c r="G182" s="254">
        <f ca="1">IF(OFFSET('IWP05'!BackgroundChecks, 19, 7, 1, 1)=DATE(1900,1,0), DATE(1900,1,1), OFFSET('IWP05'!BackgroundChecks, 19, 7, 1, 1))</f>
        <v>1</v>
      </c>
      <c r="H182" s="254">
        <f ca="1">IF(OFFSET('IWP05'!BackgroundChecks, 19, 8, 1, 1)=DATE(1900,1,0), DATE(1900,1,1), OFFSET('IWP05'!BackgroundChecks, 19, 8, 1, 1))</f>
        <v>1</v>
      </c>
      <c r="I182" s="262" t="str">
        <f ca="1">IF(OFFSET('IWP05'!BackgroundChecks, 19, 9, 1, 1) = 0, "", OFFSET('IWP05'!BackgroundChecks, 19, 9, 1, 1))</f>
        <v/>
      </c>
      <c r="J182" s="262" t="str">
        <f ca="1">IF(OFFSET('IWP05'!BackgroundChecks, 19, 10, 1, 1) = 0, "", OFFSET('IWP05'!BackgroundChecks, 19, 10, 1, 1))</f>
        <v/>
      </c>
      <c r="K182" s="262" t="str">
        <f ca="1">IF(OFFSET('IWP05'!BackgroundChecks, 19, 11, 1, 1) = 0, "", OFFSET('IWP05'!BackgroundChecks, 19, 11, 1, 1))</f>
        <v/>
      </c>
      <c r="L182" s="262" t="str">
        <f ca="1">IF(OFFSET('IWP05'!BackgroundChecks, 19, 12, 1, 1) = 0, "", OFFSET('IWP05'!BackgroundChecks, 19, 12, 1, 1))</f>
        <v/>
      </c>
      <c r="M182" s="262" t="str">
        <f ca="1">IF(OFFSET('IWP05'!BackgroundChecks, 19, 13, 1, 1) = 0, "", OFFSET('IWP05'!BackgroundChecks, 19, 13, 1, 1))</f>
        <v/>
      </c>
      <c r="N182" s="261"/>
    </row>
    <row r="183" spans="1:14" s="146" customFormat="1">
      <c r="A183" s="257" t="s">
        <v>504</v>
      </c>
      <c r="B183" s="262" t="str">
        <f ca="1">IF(OFFSET('IWP06'!BackgroundChecks, 0, 0, 1, 1) = 0, "", OFFSET('IWP06'!BackgroundChecks, 0, 0, 1, 1))</f>
        <v/>
      </c>
      <c r="C183" s="262" t="str">
        <f ca="1">IF(OFFSET('IWP06'!BackgroundChecks, 0, 2, 1, 1) = 0, "", OFFSET('IWP06'!BackgroundChecks, 0, 2, 1, 1))</f>
        <v/>
      </c>
      <c r="D183" s="262" t="str">
        <f ca="1">IF(OFFSET('IWP06'!BackgroundChecks, 0, 4, 1, 1) = 0, "", OFFSET('IWP06'!BackgroundChecks, 0, 4, 1, 1))</f>
        <v/>
      </c>
      <c r="E183" s="254">
        <f ca="1">IF(OFFSET('IWP06'!BackgroundChecks, 0, 5, 1, 1)=DATE(1900,1,0), DATE(1900,1,1), OFFSET('IWP06'!BackgroundChecks, 0, 5, 1, 1))</f>
        <v>1</v>
      </c>
      <c r="F183" s="262" t="str">
        <f ca="1">IF(OFFSET('IWP06'!BackgroundChecks, 0, 6, 1, 1) = 0, "", OFFSET('IWP06'!BackgroundChecks, 0, 6, 1, 1))</f>
        <v/>
      </c>
      <c r="G183" s="254">
        <f ca="1">IF(OFFSET('IWP06'!BackgroundChecks, 0, 7, 1, 1)=DATE(1900,1,0), DATE(1900,1,1), OFFSET('IWP06'!BackgroundChecks, 0, 7, 1, 1))</f>
        <v>1</v>
      </c>
      <c r="H183" s="254">
        <f ca="1">IF(OFFSET('IWP06'!BackgroundChecks, 0, 8, 1, 1)=DATE(1900,1,0), DATE(1900,1,1), OFFSET('IWP06'!BackgroundChecks, 0, 8, 1, 1))</f>
        <v>1</v>
      </c>
      <c r="I183" s="262" t="str">
        <f ca="1">IF(OFFSET('IWP06'!BackgroundChecks, 0, 9, 1, 1) = 0, "", OFFSET('IWP06'!BackgroundChecks, 0, 9, 1, 1))</f>
        <v/>
      </c>
      <c r="J183" s="262" t="str">
        <f ca="1">IF(OFFSET('IWP06'!BackgroundChecks, 0, 10, 1, 1) = 0, "", OFFSET('IWP06'!BackgroundChecks, 0, 10, 1, 1))</f>
        <v/>
      </c>
      <c r="K183" s="262" t="str">
        <f ca="1">IF(OFFSET('IWP06'!BackgroundChecks, 0, 11, 1, 1) = 0, "", OFFSET('IWP06'!BackgroundChecks, 0, 11, 1, 1))</f>
        <v/>
      </c>
      <c r="L183" s="262" t="str">
        <f ca="1">IF(OFFSET('IWP06'!BackgroundChecks, 0, 12, 1, 1) = 0, "", OFFSET('IWP06'!BackgroundChecks, 0, 12, 1, 1))</f>
        <v/>
      </c>
      <c r="M183" s="262" t="str">
        <f ca="1">IF(OFFSET('IWP06'!BackgroundChecks, 0, 13, 1, 1) = 0, "", OFFSET('IWP06'!BackgroundChecks, 0, 13, 1, 1))</f>
        <v/>
      </c>
      <c r="N183" s="261"/>
    </row>
    <row r="184" spans="1:14" s="146" customFormat="1">
      <c r="A184" s="257" t="s">
        <v>504</v>
      </c>
      <c r="B184" s="262" t="str">
        <f ca="1">IF(OFFSET('IWP06'!BackgroundChecks, 1, 0, 1, 1) = 0, "", OFFSET('IWP06'!BackgroundChecks, 1, 0, 1, 1))</f>
        <v/>
      </c>
      <c r="C184" s="262" t="str">
        <f ca="1">IF(OFFSET('IWP06'!BackgroundChecks, 1, 2, 1, 1) = 0, "", OFFSET('IWP06'!BackgroundChecks, 1, 2, 1, 1))</f>
        <v/>
      </c>
      <c r="D184" s="262" t="str">
        <f ca="1">IF(OFFSET('IWP06'!BackgroundChecks, 1, 4, 1, 1) = 0, "", OFFSET('IWP06'!BackgroundChecks, 1, 4, 1, 1))</f>
        <v/>
      </c>
      <c r="E184" s="254">
        <f ca="1">IF(OFFSET('IWP06'!BackgroundChecks, 1, 5, 1, 1)=DATE(1900,1,0), DATE(1900,1,1), OFFSET('IWP06'!BackgroundChecks, 1, 5, 1, 1))</f>
        <v>1</v>
      </c>
      <c r="F184" s="262" t="str">
        <f ca="1">IF(OFFSET('IWP06'!BackgroundChecks, 1, 6, 1, 1) = 0, "", OFFSET('IWP06'!BackgroundChecks, 1, 6, 1, 1))</f>
        <v/>
      </c>
      <c r="G184" s="254">
        <f ca="1">IF(OFFSET('IWP06'!BackgroundChecks, 1, 7, 1, 1)=DATE(1900,1,0), DATE(1900,1,1), OFFSET('IWP06'!BackgroundChecks, 1, 7, 1, 1))</f>
        <v>1</v>
      </c>
      <c r="H184" s="254">
        <f ca="1">IF(OFFSET('IWP06'!BackgroundChecks, 1, 8, 1, 1)=DATE(1900,1,0), DATE(1900,1,1), OFFSET('IWP06'!BackgroundChecks, 1, 8, 1, 1))</f>
        <v>1</v>
      </c>
      <c r="I184" s="262" t="str">
        <f ca="1">IF(OFFSET('IWP06'!BackgroundChecks, 1, 9, 1, 1) = 0, "", OFFSET('IWP06'!BackgroundChecks, 1, 9, 1, 1))</f>
        <v/>
      </c>
      <c r="J184" s="262" t="str">
        <f ca="1">IF(OFFSET('IWP06'!BackgroundChecks, 1, 10, 1, 1) = 0, "", OFFSET('IWP06'!BackgroundChecks, 1, 10, 1, 1))</f>
        <v/>
      </c>
      <c r="K184" s="262" t="str">
        <f ca="1">IF(OFFSET('IWP06'!BackgroundChecks, 1, 11, 1, 1) = 0, "", OFFSET('IWP06'!BackgroundChecks, 1, 11, 1, 1))</f>
        <v/>
      </c>
      <c r="L184" s="262" t="str">
        <f ca="1">IF(OFFSET('IWP06'!BackgroundChecks, 1, 12, 1, 1) = 0, "", OFFSET('IWP06'!BackgroundChecks, 1, 12, 1, 1))</f>
        <v/>
      </c>
      <c r="M184" s="262" t="str">
        <f ca="1">IF(OFFSET('IWP06'!BackgroundChecks, 1, 13, 1, 1) = 0, "", OFFSET('IWP06'!BackgroundChecks, 1, 13, 1, 1))</f>
        <v/>
      </c>
      <c r="N184" s="261"/>
    </row>
    <row r="185" spans="1:14" s="146" customFormat="1">
      <c r="A185" s="257" t="s">
        <v>504</v>
      </c>
      <c r="B185" s="262" t="str">
        <f ca="1">IF(OFFSET('IWP06'!BackgroundChecks, 2, 0, 1, 1) = 0, "", OFFSET('IWP06'!BackgroundChecks, 2, 0, 1, 1))</f>
        <v/>
      </c>
      <c r="C185" s="262" t="str">
        <f ca="1">IF(OFFSET('IWP06'!BackgroundChecks, 2, 2, 1, 1) = 0, "", OFFSET('IWP06'!BackgroundChecks, 2, 2, 1, 1))</f>
        <v/>
      </c>
      <c r="D185" s="262" t="str">
        <f ca="1">IF(OFFSET('IWP06'!BackgroundChecks, 2, 4, 1, 1) = 0, "", OFFSET('IWP06'!BackgroundChecks, 2, 4, 1, 1))</f>
        <v/>
      </c>
      <c r="E185" s="254">
        <f ca="1">IF(OFFSET('IWP06'!BackgroundChecks, 2, 5, 1, 1)=DATE(1900,1,0), DATE(1900,1,1), OFFSET('IWP06'!BackgroundChecks, 2, 5, 1, 1))</f>
        <v>1</v>
      </c>
      <c r="F185" s="262" t="str">
        <f ca="1">IF(OFFSET('IWP06'!BackgroundChecks, 2, 6, 1, 1) = 0, "", OFFSET('IWP06'!BackgroundChecks, 2, 6, 1, 1))</f>
        <v/>
      </c>
      <c r="G185" s="254">
        <f ca="1">IF(OFFSET('IWP06'!BackgroundChecks, 2, 7, 1, 1)=DATE(1900,1,0), DATE(1900,1,1), OFFSET('IWP06'!BackgroundChecks, 2, 7, 1, 1))</f>
        <v>1</v>
      </c>
      <c r="H185" s="254">
        <f ca="1">IF(OFFSET('IWP06'!BackgroundChecks, 2, 8, 1, 1)=DATE(1900,1,0), DATE(1900,1,1), OFFSET('IWP06'!BackgroundChecks, 2, 8, 1, 1))</f>
        <v>1</v>
      </c>
      <c r="I185" s="262" t="str">
        <f ca="1">IF(OFFSET('IWP06'!BackgroundChecks, 2, 9, 1, 1) = 0, "", OFFSET('IWP06'!BackgroundChecks, 2, 9, 1, 1))</f>
        <v/>
      </c>
      <c r="J185" s="262" t="str">
        <f ca="1">IF(OFFSET('IWP06'!BackgroundChecks, 2, 10, 1, 1) = 0, "", OFFSET('IWP06'!BackgroundChecks, 2, 10, 1, 1))</f>
        <v/>
      </c>
      <c r="K185" s="262" t="str">
        <f ca="1">IF(OFFSET('IWP06'!BackgroundChecks, 2, 11, 1, 1) = 0, "", OFFSET('IWP06'!BackgroundChecks, 2, 11, 1, 1))</f>
        <v/>
      </c>
      <c r="L185" s="262" t="str">
        <f ca="1">IF(OFFSET('IWP06'!BackgroundChecks, 2, 12, 1, 1) = 0, "", OFFSET('IWP06'!BackgroundChecks, 2, 12, 1, 1))</f>
        <v/>
      </c>
      <c r="M185" s="262" t="str">
        <f ca="1">IF(OFFSET('IWP06'!BackgroundChecks, 2, 13, 1, 1) = 0, "", OFFSET('IWP06'!BackgroundChecks, 2, 13, 1, 1))</f>
        <v/>
      </c>
      <c r="N185" s="261"/>
    </row>
    <row r="186" spans="1:14" s="146" customFormat="1">
      <c r="A186" s="257" t="s">
        <v>504</v>
      </c>
      <c r="B186" s="262" t="str">
        <f ca="1">IF(OFFSET('IWP06'!BackgroundChecks, 3, 0, 1, 1) = 0, "", OFFSET('IWP06'!BackgroundChecks, 3, 0, 1, 1))</f>
        <v/>
      </c>
      <c r="C186" s="262" t="str">
        <f ca="1">IF(OFFSET('IWP06'!BackgroundChecks, 3, 2, 1, 1) = 0, "", OFFSET('IWP06'!BackgroundChecks, 3, 2, 1, 1))</f>
        <v/>
      </c>
      <c r="D186" s="262" t="str">
        <f ca="1">IF(OFFSET('IWP06'!BackgroundChecks, 3, 4, 1, 1) = 0, "", OFFSET('IWP06'!BackgroundChecks, 3, 4, 1, 1))</f>
        <v/>
      </c>
      <c r="E186" s="254">
        <f ca="1">IF(OFFSET('IWP06'!BackgroundChecks, 3, 5, 1, 1)=DATE(1900,1,0), DATE(1900,1,1), OFFSET('IWP06'!BackgroundChecks, 3, 5, 1, 1))</f>
        <v>1</v>
      </c>
      <c r="F186" s="262" t="str">
        <f ca="1">IF(OFFSET('IWP06'!BackgroundChecks, 3, 6, 1, 1) = 0, "", OFFSET('IWP06'!BackgroundChecks, 3, 6, 1, 1))</f>
        <v/>
      </c>
      <c r="G186" s="254">
        <f ca="1">IF(OFFSET('IWP06'!BackgroundChecks, 3, 7, 1, 1)=DATE(1900,1,0), DATE(1900,1,1), OFFSET('IWP06'!BackgroundChecks, 3, 7, 1, 1))</f>
        <v>1</v>
      </c>
      <c r="H186" s="254">
        <f ca="1">IF(OFFSET('IWP06'!BackgroundChecks, 3, 8, 1, 1)=DATE(1900,1,0), DATE(1900,1,1), OFFSET('IWP06'!BackgroundChecks, 3, 8, 1, 1))</f>
        <v>1</v>
      </c>
      <c r="I186" s="262" t="str">
        <f ca="1">IF(OFFSET('IWP06'!BackgroundChecks, 3, 9, 1, 1) = 0, "", OFFSET('IWP06'!BackgroundChecks, 3, 9, 1, 1))</f>
        <v/>
      </c>
      <c r="J186" s="262" t="str">
        <f ca="1">IF(OFFSET('IWP06'!BackgroundChecks, 3, 10, 1, 1) = 0, "", OFFSET('IWP06'!BackgroundChecks, 3, 10, 1, 1))</f>
        <v/>
      </c>
      <c r="K186" s="262" t="str">
        <f ca="1">IF(OFFSET('IWP06'!BackgroundChecks, 3, 11, 1, 1) = 0, "", OFFSET('IWP06'!BackgroundChecks, 3, 11, 1, 1))</f>
        <v/>
      </c>
      <c r="L186" s="262" t="str">
        <f ca="1">IF(OFFSET('IWP06'!BackgroundChecks, 3, 12, 1, 1) = 0, "", OFFSET('IWP06'!BackgroundChecks, 3, 12, 1, 1))</f>
        <v/>
      </c>
      <c r="M186" s="262" t="str">
        <f ca="1">IF(OFFSET('IWP06'!BackgroundChecks, 3, 13, 1, 1) = 0, "", OFFSET('IWP06'!BackgroundChecks, 3, 13, 1, 1))</f>
        <v/>
      </c>
      <c r="N186" s="261"/>
    </row>
    <row r="187" spans="1:14" s="146" customFormat="1">
      <c r="A187" s="257" t="s">
        <v>504</v>
      </c>
      <c r="B187" s="262" t="str">
        <f ca="1">IF(OFFSET('IWP06'!BackgroundChecks, 4, 0, 1, 1) = 0, "", OFFSET('IWP06'!BackgroundChecks, 4, 0, 1, 1))</f>
        <v/>
      </c>
      <c r="C187" s="262" t="str">
        <f ca="1">IF(OFFSET('IWP06'!BackgroundChecks, 4, 2, 1, 1) = 0, "", OFFSET('IWP06'!BackgroundChecks, 4, 2, 1, 1))</f>
        <v/>
      </c>
      <c r="D187" s="262" t="str">
        <f ca="1">IF(OFFSET('IWP06'!BackgroundChecks, 4, 4, 1, 1) = 0, "", OFFSET('IWP06'!BackgroundChecks, 4, 4, 1, 1))</f>
        <v/>
      </c>
      <c r="E187" s="254">
        <f ca="1">IF(OFFSET('IWP06'!BackgroundChecks, 4, 5, 1, 1)=DATE(1900,1,0), DATE(1900,1,1), OFFSET('IWP06'!BackgroundChecks, 4, 5, 1, 1))</f>
        <v>1</v>
      </c>
      <c r="F187" s="262" t="str">
        <f ca="1">IF(OFFSET('IWP06'!BackgroundChecks, 4, 6, 1, 1) = 0, "", OFFSET('IWP06'!BackgroundChecks, 4, 6, 1, 1))</f>
        <v/>
      </c>
      <c r="G187" s="254">
        <f ca="1">IF(OFFSET('IWP06'!BackgroundChecks, 4, 7, 1, 1)=DATE(1900,1,0), DATE(1900,1,1), OFFSET('IWP06'!BackgroundChecks, 4, 7, 1, 1))</f>
        <v>1</v>
      </c>
      <c r="H187" s="254">
        <f ca="1">IF(OFFSET('IWP06'!BackgroundChecks, 4, 8, 1, 1)=DATE(1900,1,0), DATE(1900,1,1), OFFSET('IWP06'!BackgroundChecks, 4, 8, 1, 1))</f>
        <v>1</v>
      </c>
      <c r="I187" s="262" t="str">
        <f ca="1">IF(OFFSET('IWP06'!BackgroundChecks, 4, 9, 1, 1) = 0, "", OFFSET('IWP06'!BackgroundChecks, 4, 9, 1, 1))</f>
        <v/>
      </c>
      <c r="J187" s="262" t="str">
        <f ca="1">IF(OFFSET('IWP06'!BackgroundChecks, 4, 10, 1, 1) = 0, "", OFFSET('IWP06'!BackgroundChecks, 4, 10, 1, 1))</f>
        <v/>
      </c>
      <c r="K187" s="262" t="str">
        <f ca="1">IF(OFFSET('IWP06'!BackgroundChecks, 4, 11, 1, 1) = 0, "", OFFSET('IWP06'!BackgroundChecks, 4, 11, 1, 1))</f>
        <v/>
      </c>
      <c r="L187" s="262" t="str">
        <f ca="1">IF(OFFSET('IWP06'!BackgroundChecks, 4, 12, 1, 1) = 0, "", OFFSET('IWP06'!BackgroundChecks, 4, 12, 1, 1))</f>
        <v/>
      </c>
      <c r="M187" s="262" t="str">
        <f ca="1">IF(OFFSET('IWP06'!BackgroundChecks, 4, 13, 1, 1) = 0, "", OFFSET('IWP06'!BackgroundChecks, 4, 13, 1, 1))</f>
        <v/>
      </c>
      <c r="N187" s="261"/>
    </row>
    <row r="188" spans="1:14" s="146" customFormat="1">
      <c r="A188" s="257" t="s">
        <v>504</v>
      </c>
      <c r="B188" s="262" t="str">
        <f ca="1">IF(OFFSET('IWP06'!BackgroundChecks, 5, 0, 1, 1) = 0, "", OFFSET('IWP06'!BackgroundChecks, 5, 0, 1, 1))</f>
        <v/>
      </c>
      <c r="C188" s="262" t="str">
        <f ca="1">IF(OFFSET('IWP06'!BackgroundChecks, 5, 2, 1, 1) = 0, "", OFFSET('IWP06'!BackgroundChecks, 5, 2, 1, 1))</f>
        <v/>
      </c>
      <c r="D188" s="262" t="str">
        <f ca="1">IF(OFFSET('IWP06'!BackgroundChecks, 5, 4, 1, 1) = 0, "", OFFSET('IWP06'!BackgroundChecks, 5, 4, 1, 1))</f>
        <v/>
      </c>
      <c r="E188" s="254">
        <f ca="1">IF(OFFSET('IWP06'!BackgroundChecks, 5, 5, 1, 1)=DATE(1900,1,0), DATE(1900,1,1), OFFSET('IWP06'!BackgroundChecks, 5, 5, 1, 1))</f>
        <v>1</v>
      </c>
      <c r="F188" s="262" t="str">
        <f ca="1">IF(OFFSET('IWP06'!BackgroundChecks, 5, 6, 1, 1) = 0, "", OFFSET('IWP06'!BackgroundChecks, 5, 6, 1, 1))</f>
        <v/>
      </c>
      <c r="G188" s="254">
        <f ca="1">IF(OFFSET('IWP06'!BackgroundChecks, 5, 7, 1, 1)=DATE(1900,1,0), DATE(1900,1,1), OFFSET('IWP06'!BackgroundChecks, 5, 7, 1, 1))</f>
        <v>1</v>
      </c>
      <c r="H188" s="254">
        <f ca="1">IF(OFFSET('IWP06'!BackgroundChecks, 5, 8, 1, 1)=DATE(1900,1,0), DATE(1900,1,1), OFFSET('IWP06'!BackgroundChecks, 5, 8, 1, 1))</f>
        <v>1</v>
      </c>
      <c r="I188" s="262" t="str">
        <f ca="1">IF(OFFSET('IWP06'!BackgroundChecks, 5, 9, 1, 1) = 0, "", OFFSET('IWP06'!BackgroundChecks, 5, 9, 1, 1))</f>
        <v/>
      </c>
      <c r="J188" s="262" t="str">
        <f ca="1">IF(OFFSET('IWP06'!BackgroundChecks, 5, 10, 1, 1) = 0, "", OFFSET('IWP06'!BackgroundChecks, 5, 10, 1, 1))</f>
        <v/>
      </c>
      <c r="K188" s="262" t="str">
        <f ca="1">IF(OFFSET('IWP06'!BackgroundChecks, 5, 11, 1, 1) = 0, "", OFFSET('IWP06'!BackgroundChecks, 5, 11, 1, 1))</f>
        <v/>
      </c>
      <c r="L188" s="262" t="str">
        <f ca="1">IF(OFFSET('IWP06'!BackgroundChecks, 5, 12, 1, 1) = 0, "", OFFSET('IWP06'!BackgroundChecks, 5, 12, 1, 1))</f>
        <v/>
      </c>
      <c r="M188" s="262" t="str">
        <f ca="1">IF(OFFSET('IWP06'!BackgroundChecks, 5, 13, 1, 1) = 0, "", OFFSET('IWP06'!BackgroundChecks, 5, 13, 1, 1))</f>
        <v/>
      </c>
      <c r="N188" s="261"/>
    </row>
    <row r="189" spans="1:14" s="146" customFormat="1">
      <c r="A189" s="257" t="s">
        <v>504</v>
      </c>
      <c r="B189" s="262" t="str">
        <f ca="1">IF(OFFSET('IWP06'!BackgroundChecks, 6, 0, 1, 1) = 0, "", OFFSET('IWP06'!BackgroundChecks, 6, 0, 1, 1))</f>
        <v/>
      </c>
      <c r="C189" s="262" t="str">
        <f ca="1">IF(OFFSET('IWP06'!BackgroundChecks, 6, 2, 1, 1) = 0, "", OFFSET('IWP06'!BackgroundChecks, 6, 2, 1, 1))</f>
        <v/>
      </c>
      <c r="D189" s="262" t="str">
        <f ca="1">IF(OFFSET('IWP06'!BackgroundChecks, 6, 4, 1, 1) = 0, "", OFFSET('IWP06'!BackgroundChecks, 6, 4, 1, 1))</f>
        <v/>
      </c>
      <c r="E189" s="254">
        <f ca="1">IF(OFFSET('IWP06'!BackgroundChecks, 6, 5, 1, 1)=DATE(1900,1,0), DATE(1900,1,1), OFFSET('IWP06'!BackgroundChecks, 6, 5, 1, 1))</f>
        <v>1</v>
      </c>
      <c r="F189" s="262" t="str">
        <f ca="1">IF(OFFSET('IWP06'!BackgroundChecks, 6, 6, 1, 1) = 0, "", OFFSET('IWP06'!BackgroundChecks, 6, 6, 1, 1))</f>
        <v/>
      </c>
      <c r="G189" s="254">
        <f ca="1">IF(OFFSET('IWP06'!BackgroundChecks, 6, 7, 1, 1)=DATE(1900,1,0), DATE(1900,1,1), OFFSET('IWP06'!BackgroundChecks, 6, 7, 1, 1))</f>
        <v>1</v>
      </c>
      <c r="H189" s="254">
        <f ca="1">IF(OFFSET('IWP06'!BackgroundChecks, 6, 8, 1, 1)=DATE(1900,1,0), DATE(1900,1,1), OFFSET('IWP06'!BackgroundChecks, 6, 8, 1, 1))</f>
        <v>1</v>
      </c>
      <c r="I189" s="262" t="str">
        <f ca="1">IF(OFFSET('IWP06'!BackgroundChecks, 6, 9, 1, 1) = 0, "", OFFSET('IWP06'!BackgroundChecks, 6, 9, 1, 1))</f>
        <v/>
      </c>
      <c r="J189" s="262" t="str">
        <f ca="1">IF(OFFSET('IWP06'!BackgroundChecks, 6, 10, 1, 1) = 0, "", OFFSET('IWP06'!BackgroundChecks, 6, 10, 1, 1))</f>
        <v/>
      </c>
      <c r="K189" s="262" t="str">
        <f ca="1">IF(OFFSET('IWP06'!BackgroundChecks, 6, 11, 1, 1) = 0, "", OFFSET('IWP06'!BackgroundChecks, 6, 11, 1, 1))</f>
        <v/>
      </c>
      <c r="L189" s="262" t="str">
        <f ca="1">IF(OFFSET('IWP06'!BackgroundChecks, 6, 12, 1, 1) = 0, "", OFFSET('IWP06'!BackgroundChecks, 6, 12, 1, 1))</f>
        <v/>
      </c>
      <c r="M189" s="262" t="str">
        <f ca="1">IF(OFFSET('IWP06'!BackgroundChecks, 6, 13, 1, 1) = 0, "", OFFSET('IWP06'!BackgroundChecks, 6, 13, 1, 1))</f>
        <v/>
      </c>
      <c r="N189" s="261"/>
    </row>
    <row r="190" spans="1:14" s="146" customFormat="1">
      <c r="A190" s="257" t="s">
        <v>504</v>
      </c>
      <c r="B190" s="262" t="str">
        <f ca="1">IF(OFFSET('IWP06'!BackgroundChecks, 7, 0, 1, 1) = 0, "", OFFSET('IWP06'!BackgroundChecks, 7, 0, 1, 1))</f>
        <v/>
      </c>
      <c r="C190" s="262" t="str">
        <f ca="1">IF(OFFSET('IWP06'!BackgroundChecks, 7, 2, 1, 1) = 0, "", OFFSET('IWP06'!BackgroundChecks, 7, 2, 1, 1))</f>
        <v/>
      </c>
      <c r="D190" s="262" t="str">
        <f ca="1">IF(OFFSET('IWP06'!BackgroundChecks, 7, 4, 1, 1) = 0, "", OFFSET('IWP06'!BackgroundChecks, 7, 4, 1, 1))</f>
        <v/>
      </c>
      <c r="E190" s="254">
        <f ca="1">IF(OFFSET('IWP06'!BackgroundChecks, 7, 5, 1, 1)=DATE(1900,1,0), DATE(1900,1,1), OFFSET('IWP06'!BackgroundChecks, 7, 5, 1, 1))</f>
        <v>1</v>
      </c>
      <c r="F190" s="262" t="str">
        <f ca="1">IF(OFFSET('IWP06'!BackgroundChecks, 7, 6, 1, 1) = 0, "", OFFSET('IWP06'!BackgroundChecks, 7, 6, 1, 1))</f>
        <v/>
      </c>
      <c r="G190" s="254">
        <f ca="1">IF(OFFSET('IWP06'!BackgroundChecks, 7, 7, 1, 1)=DATE(1900,1,0), DATE(1900,1,1), OFFSET('IWP06'!BackgroundChecks, 7, 7, 1, 1))</f>
        <v>1</v>
      </c>
      <c r="H190" s="254">
        <f ca="1">IF(OFFSET('IWP06'!BackgroundChecks, 7, 8, 1, 1)=DATE(1900,1,0), DATE(1900,1,1), OFFSET('IWP06'!BackgroundChecks, 7, 8, 1, 1))</f>
        <v>1</v>
      </c>
      <c r="I190" s="262" t="str">
        <f ca="1">IF(OFFSET('IWP06'!BackgroundChecks, 7, 9, 1, 1) = 0, "", OFFSET('IWP06'!BackgroundChecks, 7, 9, 1, 1))</f>
        <v/>
      </c>
      <c r="J190" s="262" t="str">
        <f ca="1">IF(OFFSET('IWP06'!BackgroundChecks, 7, 10, 1, 1) = 0, "", OFFSET('IWP06'!BackgroundChecks, 7, 10, 1, 1))</f>
        <v/>
      </c>
      <c r="K190" s="262" t="str">
        <f ca="1">IF(OFFSET('IWP06'!BackgroundChecks, 7, 11, 1, 1) = 0, "", OFFSET('IWP06'!BackgroundChecks, 7, 11, 1, 1))</f>
        <v/>
      </c>
      <c r="L190" s="262" t="str">
        <f ca="1">IF(OFFSET('IWP06'!BackgroundChecks, 7, 12, 1, 1) = 0, "", OFFSET('IWP06'!BackgroundChecks, 7, 12, 1, 1))</f>
        <v/>
      </c>
      <c r="M190" s="262" t="str">
        <f ca="1">IF(OFFSET('IWP06'!BackgroundChecks, 7, 13, 1, 1) = 0, "", OFFSET('IWP06'!BackgroundChecks, 7, 13, 1, 1))</f>
        <v/>
      </c>
      <c r="N190" s="261"/>
    </row>
    <row r="191" spans="1:14" s="146" customFormat="1">
      <c r="A191" s="257" t="s">
        <v>504</v>
      </c>
      <c r="B191" s="262" t="str">
        <f ca="1">IF(OFFSET('IWP06'!BackgroundChecks, 8, 0, 1, 1) = 0, "", OFFSET('IWP06'!BackgroundChecks, 8, 0, 1, 1))</f>
        <v/>
      </c>
      <c r="C191" s="262" t="str">
        <f ca="1">IF(OFFSET('IWP06'!BackgroundChecks, 8, 2, 1, 1) = 0, "", OFFSET('IWP06'!BackgroundChecks, 8, 2, 1, 1))</f>
        <v/>
      </c>
      <c r="D191" s="262" t="str">
        <f ca="1">IF(OFFSET('IWP06'!BackgroundChecks, 8, 4, 1, 1) = 0, "", OFFSET('IWP06'!BackgroundChecks, 8, 4, 1, 1))</f>
        <v/>
      </c>
      <c r="E191" s="254">
        <f ca="1">IF(OFFSET('IWP06'!BackgroundChecks, 8, 5, 1, 1)=DATE(1900,1,0), DATE(1900,1,1), OFFSET('IWP06'!BackgroundChecks, 8, 5, 1, 1))</f>
        <v>1</v>
      </c>
      <c r="F191" s="262" t="str">
        <f ca="1">IF(OFFSET('IWP06'!BackgroundChecks, 8, 6, 1, 1) = 0, "", OFFSET('IWP06'!BackgroundChecks, 8, 6, 1, 1))</f>
        <v/>
      </c>
      <c r="G191" s="254">
        <f ca="1">IF(OFFSET('IWP06'!BackgroundChecks, 8, 7, 1, 1)=DATE(1900,1,0), DATE(1900,1,1), OFFSET('IWP06'!BackgroundChecks, 8, 7, 1, 1))</f>
        <v>1</v>
      </c>
      <c r="H191" s="254">
        <f ca="1">IF(OFFSET('IWP06'!BackgroundChecks, 8, 8, 1, 1)=DATE(1900,1,0), DATE(1900,1,1), OFFSET('IWP06'!BackgroundChecks, 8, 8, 1, 1))</f>
        <v>1</v>
      </c>
      <c r="I191" s="262" t="str">
        <f ca="1">IF(OFFSET('IWP06'!BackgroundChecks, 8, 9, 1, 1) = 0, "", OFFSET('IWP06'!BackgroundChecks, 8, 9, 1, 1))</f>
        <v/>
      </c>
      <c r="J191" s="262" t="str">
        <f ca="1">IF(OFFSET('IWP06'!BackgroundChecks, 8, 10, 1, 1) = 0, "", OFFSET('IWP06'!BackgroundChecks, 8, 10, 1, 1))</f>
        <v/>
      </c>
      <c r="K191" s="262" t="str">
        <f ca="1">IF(OFFSET('IWP06'!BackgroundChecks, 8, 11, 1, 1) = 0, "", OFFSET('IWP06'!BackgroundChecks, 8, 11, 1, 1))</f>
        <v/>
      </c>
      <c r="L191" s="262" t="str">
        <f ca="1">IF(OFFSET('IWP06'!BackgroundChecks, 8, 12, 1, 1) = 0, "", OFFSET('IWP06'!BackgroundChecks, 8, 12, 1, 1))</f>
        <v/>
      </c>
      <c r="M191" s="262" t="str">
        <f ca="1">IF(OFFSET('IWP06'!BackgroundChecks, 8, 13, 1, 1) = 0, "", OFFSET('IWP06'!BackgroundChecks, 8, 13, 1, 1))</f>
        <v/>
      </c>
      <c r="N191" s="261"/>
    </row>
    <row r="192" spans="1:14" s="146" customFormat="1">
      <c r="A192" s="257" t="s">
        <v>504</v>
      </c>
      <c r="B192" s="262" t="str">
        <f ca="1">IF(OFFSET('IWP06'!BackgroundChecks, 9, 0, 1, 1) = 0, "", OFFSET('IWP06'!BackgroundChecks, 9, 0, 1, 1))</f>
        <v/>
      </c>
      <c r="C192" s="262" t="str">
        <f ca="1">IF(OFFSET('IWP06'!BackgroundChecks, 9, 2, 1, 1) = 0, "", OFFSET('IWP06'!BackgroundChecks, 9, 2, 1, 1))</f>
        <v/>
      </c>
      <c r="D192" s="262" t="str">
        <f ca="1">IF(OFFSET('IWP06'!BackgroundChecks, 9, 4, 1, 1) = 0, "", OFFSET('IWP06'!BackgroundChecks, 9, 4, 1, 1))</f>
        <v/>
      </c>
      <c r="E192" s="254">
        <f ca="1">IF(OFFSET('IWP06'!BackgroundChecks, 9, 5, 1, 1)=DATE(1900,1,0), DATE(1900,1,1), OFFSET('IWP06'!BackgroundChecks, 9, 5, 1, 1))</f>
        <v>1</v>
      </c>
      <c r="F192" s="262" t="str">
        <f ca="1">IF(OFFSET('IWP06'!BackgroundChecks, 9, 6, 1, 1) = 0, "", OFFSET('IWP06'!BackgroundChecks, 9, 6, 1, 1))</f>
        <v/>
      </c>
      <c r="G192" s="254">
        <f ca="1">IF(OFFSET('IWP06'!BackgroundChecks, 9, 7, 1, 1)=DATE(1900,1,0), DATE(1900,1,1), OFFSET('IWP06'!BackgroundChecks, 9, 7, 1, 1))</f>
        <v>1</v>
      </c>
      <c r="H192" s="254">
        <f ca="1">IF(OFFSET('IWP06'!BackgroundChecks, 9, 8, 1, 1)=DATE(1900,1,0), DATE(1900,1,1), OFFSET('IWP06'!BackgroundChecks, 9, 8, 1, 1))</f>
        <v>1</v>
      </c>
      <c r="I192" s="262" t="str">
        <f ca="1">IF(OFFSET('IWP06'!BackgroundChecks, 9, 9, 1, 1) = 0, "", OFFSET('IWP06'!BackgroundChecks, 9, 9, 1, 1))</f>
        <v/>
      </c>
      <c r="J192" s="262" t="str">
        <f ca="1">IF(OFFSET('IWP06'!BackgroundChecks, 9, 10, 1, 1) = 0, "", OFFSET('IWP06'!BackgroundChecks, 9, 10, 1, 1))</f>
        <v/>
      </c>
      <c r="K192" s="262" t="str">
        <f ca="1">IF(OFFSET('IWP06'!BackgroundChecks, 9, 11, 1, 1) = 0, "", OFFSET('IWP06'!BackgroundChecks, 9, 11, 1, 1))</f>
        <v/>
      </c>
      <c r="L192" s="262" t="str">
        <f ca="1">IF(OFFSET('IWP06'!BackgroundChecks, 9, 12, 1, 1) = 0, "", OFFSET('IWP06'!BackgroundChecks, 9, 12, 1, 1))</f>
        <v/>
      </c>
      <c r="M192" s="262" t="str">
        <f ca="1">IF(OFFSET('IWP06'!BackgroundChecks, 9, 13, 1, 1) = 0, "", OFFSET('IWP06'!BackgroundChecks, 9, 13, 1, 1))</f>
        <v/>
      </c>
      <c r="N192" s="261"/>
    </row>
    <row r="193" spans="1:14" s="146" customFormat="1">
      <c r="A193" s="257" t="s">
        <v>504</v>
      </c>
      <c r="B193" s="262" t="str">
        <f ca="1">IF(OFFSET('IWP06'!BackgroundChecks, 10, 0, 1, 1) = 0, "", OFFSET('IWP06'!BackgroundChecks, 10, 0, 1, 1))</f>
        <v/>
      </c>
      <c r="C193" s="262" t="str">
        <f ca="1">IF(OFFSET('IWP06'!BackgroundChecks, 10, 2, 1, 1) = 0, "", OFFSET('IWP06'!BackgroundChecks, 10, 2, 1, 1))</f>
        <v/>
      </c>
      <c r="D193" s="262" t="str">
        <f ca="1">IF(OFFSET('IWP06'!BackgroundChecks, 10, 4, 1, 1) = 0, "", OFFSET('IWP06'!BackgroundChecks, 10, 4, 1, 1))</f>
        <v/>
      </c>
      <c r="E193" s="254">
        <f ca="1">IF(OFFSET('IWP06'!BackgroundChecks, 10, 5, 1, 1)=DATE(1900,1,0), DATE(1900,1,1), OFFSET('IWP06'!BackgroundChecks, 10, 5, 1, 1))</f>
        <v>1</v>
      </c>
      <c r="F193" s="262" t="str">
        <f ca="1">IF(OFFSET('IWP06'!BackgroundChecks, 10, 6, 1, 1) = 0, "", OFFSET('IWP06'!BackgroundChecks, 10, 6, 1, 1))</f>
        <v/>
      </c>
      <c r="G193" s="254">
        <f ca="1">IF(OFFSET('IWP06'!BackgroundChecks, 10, 7, 1, 1)=DATE(1900,1,0), DATE(1900,1,1), OFFSET('IWP06'!BackgroundChecks, 10, 7, 1, 1))</f>
        <v>1</v>
      </c>
      <c r="H193" s="254">
        <f ca="1">IF(OFFSET('IWP06'!BackgroundChecks, 10, 8, 1, 1)=DATE(1900,1,0), DATE(1900,1,1), OFFSET('IWP06'!BackgroundChecks, 10, 8, 1, 1))</f>
        <v>1</v>
      </c>
      <c r="I193" s="262" t="str">
        <f ca="1">IF(OFFSET('IWP06'!BackgroundChecks, 10, 9, 1, 1) = 0, "", OFFSET('IWP06'!BackgroundChecks, 10, 9, 1, 1))</f>
        <v/>
      </c>
      <c r="J193" s="262" t="str">
        <f ca="1">IF(OFFSET('IWP06'!BackgroundChecks, 10, 10, 1, 1) = 0, "", OFFSET('IWP06'!BackgroundChecks, 10, 10, 1, 1))</f>
        <v/>
      </c>
      <c r="K193" s="262" t="str">
        <f ca="1">IF(OFFSET('IWP06'!BackgroundChecks, 10, 11, 1, 1) = 0, "", OFFSET('IWP06'!BackgroundChecks, 10, 11, 1, 1))</f>
        <v/>
      </c>
      <c r="L193" s="262" t="str">
        <f ca="1">IF(OFFSET('IWP06'!BackgroundChecks, 10, 12, 1, 1) = 0, "", OFFSET('IWP06'!BackgroundChecks, 10, 12, 1, 1))</f>
        <v/>
      </c>
      <c r="M193" s="262" t="str">
        <f ca="1">IF(OFFSET('IWP06'!BackgroundChecks, 10, 13, 1, 1) = 0, "", OFFSET('IWP06'!BackgroundChecks, 10, 13, 1, 1))</f>
        <v/>
      </c>
      <c r="N193" s="261"/>
    </row>
    <row r="194" spans="1:14" s="146" customFormat="1">
      <c r="A194" s="257" t="s">
        <v>504</v>
      </c>
      <c r="B194" s="262" t="str">
        <f ca="1">IF(OFFSET('IWP06'!BackgroundChecks, 11, 0, 1, 1) = 0, "", OFFSET('IWP06'!BackgroundChecks, 11, 0, 1, 1))</f>
        <v/>
      </c>
      <c r="C194" s="262" t="str">
        <f ca="1">IF(OFFSET('IWP06'!BackgroundChecks, 11, 2, 1, 1) = 0, "", OFFSET('IWP06'!BackgroundChecks, 11, 2, 1, 1))</f>
        <v/>
      </c>
      <c r="D194" s="262" t="str">
        <f ca="1">IF(OFFSET('IWP06'!BackgroundChecks, 11, 4, 1, 1) = 0, "", OFFSET('IWP06'!BackgroundChecks, 11, 4, 1, 1))</f>
        <v/>
      </c>
      <c r="E194" s="254">
        <f ca="1">IF(OFFSET('IWP06'!BackgroundChecks, 11, 5, 1, 1)=DATE(1900,1,0), DATE(1900,1,1), OFFSET('IWP06'!BackgroundChecks, 11, 5, 1, 1))</f>
        <v>1</v>
      </c>
      <c r="F194" s="262" t="str">
        <f ca="1">IF(OFFSET('IWP06'!BackgroundChecks, 11, 6, 1, 1) = 0, "", OFFSET('IWP06'!BackgroundChecks, 11, 6, 1, 1))</f>
        <v/>
      </c>
      <c r="G194" s="254">
        <f ca="1">IF(OFFSET('IWP06'!BackgroundChecks, 11, 7, 1, 1)=DATE(1900,1,0), DATE(1900,1,1), OFFSET('IWP06'!BackgroundChecks, 11, 7, 1, 1))</f>
        <v>1</v>
      </c>
      <c r="H194" s="254">
        <f ca="1">IF(OFFSET('IWP06'!BackgroundChecks, 11, 8, 1, 1)=DATE(1900,1,0), DATE(1900,1,1), OFFSET('IWP06'!BackgroundChecks, 11, 8, 1, 1))</f>
        <v>1</v>
      </c>
      <c r="I194" s="262" t="str">
        <f ca="1">IF(OFFSET('IWP06'!BackgroundChecks, 11, 9, 1, 1) = 0, "", OFFSET('IWP06'!BackgroundChecks, 11, 9, 1, 1))</f>
        <v/>
      </c>
      <c r="J194" s="262" t="str">
        <f ca="1">IF(OFFSET('IWP06'!BackgroundChecks, 11, 10, 1, 1) = 0, "", OFFSET('IWP06'!BackgroundChecks, 11, 10, 1, 1))</f>
        <v/>
      </c>
      <c r="K194" s="262" t="str">
        <f ca="1">IF(OFFSET('IWP06'!BackgroundChecks, 11, 11, 1, 1) = 0, "", OFFSET('IWP06'!BackgroundChecks, 11, 11, 1, 1))</f>
        <v/>
      </c>
      <c r="L194" s="262" t="str">
        <f ca="1">IF(OFFSET('IWP06'!BackgroundChecks, 11, 12, 1, 1) = 0, "", OFFSET('IWP06'!BackgroundChecks, 11, 12, 1, 1))</f>
        <v/>
      </c>
      <c r="M194" s="262" t="str">
        <f ca="1">IF(OFFSET('IWP06'!BackgroundChecks, 11, 13, 1, 1) = 0, "", OFFSET('IWP06'!BackgroundChecks, 11, 13, 1, 1))</f>
        <v/>
      </c>
      <c r="N194" s="261"/>
    </row>
    <row r="195" spans="1:14" s="146" customFormat="1">
      <c r="A195" s="257" t="s">
        <v>504</v>
      </c>
      <c r="B195" s="262" t="str">
        <f ca="1">IF(OFFSET('IWP06'!BackgroundChecks, 12, 0, 1, 1) = 0, "", OFFSET('IWP06'!BackgroundChecks, 12, 0, 1, 1))</f>
        <v/>
      </c>
      <c r="C195" s="262" t="str">
        <f ca="1">IF(OFFSET('IWP06'!BackgroundChecks, 12, 2, 1, 1) = 0, "", OFFSET('IWP06'!BackgroundChecks, 12, 2, 1, 1))</f>
        <v/>
      </c>
      <c r="D195" s="262" t="str">
        <f ca="1">IF(OFFSET('IWP06'!BackgroundChecks, 12, 4, 1, 1) = 0, "", OFFSET('IWP06'!BackgroundChecks, 12, 4, 1, 1))</f>
        <v/>
      </c>
      <c r="E195" s="254">
        <f ca="1">IF(OFFSET('IWP06'!BackgroundChecks, 12, 5, 1, 1)=DATE(1900,1,0), DATE(1900,1,1), OFFSET('IWP06'!BackgroundChecks, 12, 5, 1, 1))</f>
        <v>1</v>
      </c>
      <c r="F195" s="262" t="str">
        <f ca="1">IF(OFFSET('IWP06'!BackgroundChecks, 12, 6, 1, 1) = 0, "", OFFSET('IWP06'!BackgroundChecks, 12, 6, 1, 1))</f>
        <v/>
      </c>
      <c r="G195" s="254">
        <f ca="1">IF(OFFSET('IWP06'!BackgroundChecks, 12, 7, 1, 1)=DATE(1900,1,0), DATE(1900,1,1), OFFSET('IWP06'!BackgroundChecks, 12, 7, 1, 1))</f>
        <v>1</v>
      </c>
      <c r="H195" s="254">
        <f ca="1">IF(OFFSET('IWP06'!BackgroundChecks, 12, 8, 1, 1)=DATE(1900,1,0), DATE(1900,1,1), OFFSET('IWP06'!BackgroundChecks, 12, 8, 1, 1))</f>
        <v>1</v>
      </c>
      <c r="I195" s="262" t="str">
        <f ca="1">IF(OFFSET('IWP06'!BackgroundChecks, 12, 9, 1, 1) = 0, "", OFFSET('IWP06'!BackgroundChecks, 12, 9, 1, 1))</f>
        <v/>
      </c>
      <c r="J195" s="262" t="str">
        <f ca="1">IF(OFFSET('IWP06'!BackgroundChecks, 12, 10, 1, 1) = 0, "", OFFSET('IWP06'!BackgroundChecks, 12, 10, 1, 1))</f>
        <v/>
      </c>
      <c r="K195" s="262" t="str">
        <f ca="1">IF(OFFSET('IWP06'!BackgroundChecks, 12, 11, 1, 1) = 0, "", OFFSET('IWP06'!BackgroundChecks, 12, 11, 1, 1))</f>
        <v/>
      </c>
      <c r="L195" s="262" t="str">
        <f ca="1">IF(OFFSET('IWP06'!BackgroundChecks, 12, 12, 1, 1) = 0, "", OFFSET('IWP06'!BackgroundChecks, 12, 12, 1, 1))</f>
        <v/>
      </c>
      <c r="M195" s="262" t="str">
        <f ca="1">IF(OFFSET('IWP06'!BackgroundChecks, 12, 13, 1, 1) = 0, "", OFFSET('IWP06'!BackgroundChecks, 12, 13, 1, 1))</f>
        <v/>
      </c>
      <c r="N195" s="261"/>
    </row>
    <row r="196" spans="1:14" s="146" customFormat="1">
      <c r="A196" s="257" t="s">
        <v>504</v>
      </c>
      <c r="B196" s="262" t="str">
        <f ca="1">IF(OFFSET('IWP06'!BackgroundChecks, 13, 0, 1, 1) = 0, "", OFFSET('IWP06'!BackgroundChecks, 13, 0, 1, 1))</f>
        <v/>
      </c>
      <c r="C196" s="262" t="str">
        <f ca="1">IF(OFFSET('IWP06'!BackgroundChecks, 13, 2, 1, 1) = 0, "", OFFSET('IWP06'!BackgroundChecks, 13, 2, 1, 1))</f>
        <v/>
      </c>
      <c r="D196" s="262" t="str">
        <f ca="1">IF(OFFSET('IWP06'!BackgroundChecks, 13, 4, 1, 1) = 0, "", OFFSET('IWP06'!BackgroundChecks, 13, 4, 1, 1))</f>
        <v/>
      </c>
      <c r="E196" s="254">
        <f ca="1">IF(OFFSET('IWP06'!BackgroundChecks, 13, 5, 1, 1)=DATE(1900,1,0), DATE(1900,1,1), OFFSET('IWP06'!BackgroundChecks, 13, 5, 1, 1))</f>
        <v>1</v>
      </c>
      <c r="F196" s="262" t="str">
        <f ca="1">IF(OFFSET('IWP06'!BackgroundChecks, 13, 6, 1, 1) = 0, "", OFFSET('IWP06'!BackgroundChecks, 13, 6, 1, 1))</f>
        <v/>
      </c>
      <c r="G196" s="254">
        <f ca="1">IF(OFFSET('IWP06'!BackgroundChecks, 13, 7, 1, 1)=DATE(1900,1,0), DATE(1900,1,1), OFFSET('IWP06'!BackgroundChecks, 13, 7, 1, 1))</f>
        <v>1</v>
      </c>
      <c r="H196" s="254">
        <f ca="1">IF(OFFSET('IWP06'!BackgroundChecks, 13, 8, 1, 1)=DATE(1900,1,0), DATE(1900,1,1), OFFSET('IWP06'!BackgroundChecks, 13, 8, 1, 1))</f>
        <v>1</v>
      </c>
      <c r="I196" s="262" t="str">
        <f ca="1">IF(OFFSET('IWP06'!BackgroundChecks, 13, 9, 1, 1) = 0, "", OFFSET('IWP06'!BackgroundChecks, 13, 9, 1, 1))</f>
        <v/>
      </c>
      <c r="J196" s="262" t="str">
        <f ca="1">IF(OFFSET('IWP06'!BackgroundChecks, 13, 10, 1, 1) = 0, "", OFFSET('IWP06'!BackgroundChecks, 13, 10, 1, 1))</f>
        <v/>
      </c>
      <c r="K196" s="262" t="str">
        <f ca="1">IF(OFFSET('IWP06'!BackgroundChecks, 13, 11, 1, 1) = 0, "", OFFSET('IWP06'!BackgroundChecks, 13, 11, 1, 1))</f>
        <v/>
      </c>
      <c r="L196" s="262" t="str">
        <f ca="1">IF(OFFSET('IWP06'!BackgroundChecks, 13, 12, 1, 1) = 0, "", OFFSET('IWP06'!BackgroundChecks, 13, 12, 1, 1))</f>
        <v/>
      </c>
      <c r="M196" s="262" t="str">
        <f ca="1">IF(OFFSET('IWP06'!BackgroundChecks, 13, 13, 1, 1) = 0, "", OFFSET('IWP06'!BackgroundChecks, 13, 13, 1, 1))</f>
        <v/>
      </c>
      <c r="N196" s="261"/>
    </row>
    <row r="197" spans="1:14" s="146" customFormat="1">
      <c r="A197" s="257" t="s">
        <v>504</v>
      </c>
      <c r="B197" s="262" t="str">
        <f ca="1">IF(OFFSET('IWP06'!BackgroundChecks, 14, 0, 1, 1) = 0, "", OFFSET('IWP06'!BackgroundChecks, 14, 0, 1, 1))</f>
        <v/>
      </c>
      <c r="C197" s="262" t="str">
        <f ca="1">IF(OFFSET('IWP06'!BackgroundChecks, 14, 2, 1, 1) = 0, "", OFFSET('IWP06'!BackgroundChecks, 14, 2, 1, 1))</f>
        <v/>
      </c>
      <c r="D197" s="262" t="str">
        <f ca="1">IF(OFFSET('IWP06'!BackgroundChecks, 14, 4, 1, 1) = 0, "", OFFSET('IWP06'!BackgroundChecks, 14, 4, 1, 1))</f>
        <v/>
      </c>
      <c r="E197" s="254">
        <f ca="1">IF(OFFSET('IWP06'!BackgroundChecks, 14, 5, 1, 1)=DATE(1900,1,0), DATE(1900,1,1), OFFSET('IWP06'!BackgroundChecks, 14, 5, 1, 1))</f>
        <v>1</v>
      </c>
      <c r="F197" s="262" t="str">
        <f ca="1">IF(OFFSET('IWP06'!BackgroundChecks, 14, 6, 1, 1) = 0, "", OFFSET('IWP06'!BackgroundChecks, 14, 6, 1, 1))</f>
        <v/>
      </c>
      <c r="G197" s="254">
        <f ca="1">IF(OFFSET('IWP06'!BackgroundChecks, 14, 7, 1, 1)=DATE(1900,1,0), DATE(1900,1,1), OFFSET('IWP06'!BackgroundChecks, 14, 7, 1, 1))</f>
        <v>1</v>
      </c>
      <c r="H197" s="254">
        <f ca="1">IF(OFFSET('IWP06'!BackgroundChecks, 14, 8, 1, 1)=DATE(1900,1,0), DATE(1900,1,1), OFFSET('IWP06'!BackgroundChecks, 14, 8, 1, 1))</f>
        <v>1</v>
      </c>
      <c r="I197" s="262" t="str">
        <f ca="1">IF(OFFSET('IWP06'!BackgroundChecks, 14, 9, 1, 1) = 0, "", OFFSET('IWP06'!BackgroundChecks, 14, 9, 1, 1))</f>
        <v/>
      </c>
      <c r="J197" s="262" t="str">
        <f ca="1">IF(OFFSET('IWP06'!BackgroundChecks, 14, 10, 1, 1) = 0, "", OFFSET('IWP06'!BackgroundChecks, 14, 10, 1, 1))</f>
        <v/>
      </c>
      <c r="K197" s="262" t="str">
        <f ca="1">IF(OFFSET('IWP06'!BackgroundChecks, 14, 11, 1, 1) = 0, "", OFFSET('IWP06'!BackgroundChecks, 14, 11, 1, 1))</f>
        <v/>
      </c>
      <c r="L197" s="262" t="str">
        <f ca="1">IF(OFFSET('IWP06'!BackgroundChecks, 14, 12, 1, 1) = 0, "", OFFSET('IWP06'!BackgroundChecks, 14, 12, 1, 1))</f>
        <v/>
      </c>
      <c r="M197" s="262" t="str">
        <f ca="1">IF(OFFSET('IWP06'!BackgroundChecks, 14, 13, 1, 1) = 0, "", OFFSET('IWP06'!BackgroundChecks, 14, 13, 1, 1))</f>
        <v/>
      </c>
      <c r="N197" s="261"/>
    </row>
    <row r="198" spans="1:14" s="146" customFormat="1">
      <c r="A198" s="257" t="s">
        <v>504</v>
      </c>
      <c r="B198" s="262" t="str">
        <f ca="1">IF(OFFSET('IWP06'!BackgroundChecks, 15, 0, 1, 1) = 0, "", OFFSET('IWP06'!BackgroundChecks, 15, 0, 1, 1))</f>
        <v/>
      </c>
      <c r="C198" s="262" t="str">
        <f ca="1">IF(OFFSET('IWP06'!BackgroundChecks, 15, 2, 1, 1) = 0, "", OFFSET('IWP06'!BackgroundChecks, 15, 2, 1, 1))</f>
        <v/>
      </c>
      <c r="D198" s="262" t="str">
        <f ca="1">IF(OFFSET('IWP06'!BackgroundChecks, 15, 4, 1, 1) = 0, "", OFFSET('IWP06'!BackgroundChecks, 15, 4, 1, 1))</f>
        <v/>
      </c>
      <c r="E198" s="254">
        <f ca="1">IF(OFFSET('IWP06'!BackgroundChecks, 15, 5, 1, 1)=DATE(1900,1,0), DATE(1900,1,1), OFFSET('IWP06'!BackgroundChecks, 15, 5, 1, 1))</f>
        <v>1</v>
      </c>
      <c r="F198" s="262" t="str">
        <f ca="1">IF(OFFSET('IWP06'!BackgroundChecks, 15, 6, 1, 1) = 0, "", OFFSET('IWP06'!BackgroundChecks, 15, 6, 1, 1))</f>
        <v/>
      </c>
      <c r="G198" s="254">
        <f ca="1">IF(OFFSET('IWP06'!BackgroundChecks, 15, 7, 1, 1)=DATE(1900,1,0), DATE(1900,1,1), OFFSET('IWP06'!BackgroundChecks, 15, 7, 1, 1))</f>
        <v>1</v>
      </c>
      <c r="H198" s="254">
        <f ca="1">IF(OFFSET('IWP06'!BackgroundChecks, 15, 8, 1, 1)=DATE(1900,1,0), DATE(1900,1,1), OFFSET('IWP06'!BackgroundChecks, 15, 8, 1, 1))</f>
        <v>1</v>
      </c>
      <c r="I198" s="262" t="str">
        <f ca="1">IF(OFFSET('IWP06'!BackgroundChecks, 15, 9, 1, 1) = 0, "", OFFSET('IWP06'!BackgroundChecks, 15, 9, 1, 1))</f>
        <v/>
      </c>
      <c r="J198" s="262" t="str">
        <f ca="1">IF(OFFSET('IWP06'!BackgroundChecks, 15, 10, 1, 1) = 0, "", OFFSET('IWP06'!BackgroundChecks, 15, 10, 1, 1))</f>
        <v/>
      </c>
      <c r="K198" s="262" t="str">
        <f ca="1">IF(OFFSET('IWP06'!BackgroundChecks, 15, 11, 1, 1) = 0, "", OFFSET('IWP06'!BackgroundChecks, 15, 11, 1, 1))</f>
        <v/>
      </c>
      <c r="L198" s="262" t="str">
        <f ca="1">IF(OFFSET('IWP06'!BackgroundChecks, 15, 12, 1, 1) = 0, "", OFFSET('IWP06'!BackgroundChecks, 15, 12, 1, 1))</f>
        <v/>
      </c>
      <c r="M198" s="262" t="str">
        <f ca="1">IF(OFFSET('IWP06'!BackgroundChecks, 15, 13, 1, 1) = 0, "", OFFSET('IWP06'!BackgroundChecks, 15, 13, 1, 1))</f>
        <v/>
      </c>
      <c r="N198" s="261"/>
    </row>
    <row r="199" spans="1:14" s="146" customFormat="1">
      <c r="A199" s="257" t="s">
        <v>504</v>
      </c>
      <c r="B199" s="262" t="str">
        <f ca="1">IF(OFFSET('IWP06'!BackgroundChecks, 16, 0, 1, 1) = 0, "", OFFSET('IWP06'!BackgroundChecks, 16, 0, 1, 1))</f>
        <v/>
      </c>
      <c r="C199" s="262" t="str">
        <f ca="1">IF(OFFSET('IWP06'!BackgroundChecks, 16, 2, 1, 1) = 0, "", OFFSET('IWP06'!BackgroundChecks, 16, 2, 1, 1))</f>
        <v/>
      </c>
      <c r="D199" s="262" t="str">
        <f ca="1">IF(OFFSET('IWP06'!BackgroundChecks, 16, 4, 1, 1) = 0, "", OFFSET('IWP06'!BackgroundChecks, 16, 4, 1, 1))</f>
        <v/>
      </c>
      <c r="E199" s="254">
        <f ca="1">IF(OFFSET('IWP06'!BackgroundChecks, 16, 5, 1, 1)=DATE(1900,1,0), DATE(1900,1,1), OFFSET('IWP06'!BackgroundChecks, 16, 5, 1, 1))</f>
        <v>1</v>
      </c>
      <c r="F199" s="262" t="str">
        <f ca="1">IF(OFFSET('IWP06'!BackgroundChecks, 16, 6, 1, 1) = 0, "", OFFSET('IWP06'!BackgroundChecks, 16, 6, 1, 1))</f>
        <v/>
      </c>
      <c r="G199" s="254">
        <f ca="1">IF(OFFSET('IWP06'!BackgroundChecks, 16, 7, 1, 1)=DATE(1900,1,0), DATE(1900,1,1), OFFSET('IWP06'!BackgroundChecks, 16, 7, 1, 1))</f>
        <v>1</v>
      </c>
      <c r="H199" s="254">
        <f ca="1">IF(OFFSET('IWP06'!BackgroundChecks, 16, 8, 1, 1)=DATE(1900,1,0), DATE(1900,1,1), OFFSET('IWP06'!BackgroundChecks, 16, 8, 1, 1))</f>
        <v>1</v>
      </c>
      <c r="I199" s="262" t="str">
        <f ca="1">IF(OFFSET('IWP06'!BackgroundChecks, 16, 9, 1, 1) = 0, "", OFFSET('IWP06'!BackgroundChecks, 16, 9, 1, 1))</f>
        <v/>
      </c>
      <c r="J199" s="262" t="str">
        <f ca="1">IF(OFFSET('IWP06'!BackgroundChecks, 16, 10, 1, 1) = 0, "", OFFSET('IWP06'!BackgroundChecks, 16, 10, 1, 1))</f>
        <v/>
      </c>
      <c r="K199" s="262" t="str">
        <f ca="1">IF(OFFSET('IWP06'!BackgroundChecks, 16, 11, 1, 1) = 0, "", OFFSET('IWP06'!BackgroundChecks, 16, 11, 1, 1))</f>
        <v/>
      </c>
      <c r="L199" s="262" t="str">
        <f ca="1">IF(OFFSET('IWP06'!BackgroundChecks, 16, 12, 1, 1) = 0, "", OFFSET('IWP06'!BackgroundChecks, 16, 12, 1, 1))</f>
        <v/>
      </c>
      <c r="M199" s="262" t="str">
        <f ca="1">IF(OFFSET('IWP06'!BackgroundChecks, 16, 13, 1, 1) = 0, "", OFFSET('IWP06'!BackgroundChecks, 16, 13, 1, 1))</f>
        <v/>
      </c>
      <c r="N199" s="261"/>
    </row>
    <row r="200" spans="1:14" s="146" customFormat="1">
      <c r="A200" s="257" t="s">
        <v>504</v>
      </c>
      <c r="B200" s="262" t="str">
        <f ca="1">IF(OFFSET('IWP06'!BackgroundChecks, 17, 0, 1, 1) = 0, "", OFFSET('IWP06'!BackgroundChecks, 17, 0, 1, 1))</f>
        <v/>
      </c>
      <c r="C200" s="262" t="str">
        <f ca="1">IF(OFFSET('IWP06'!BackgroundChecks, 17, 2, 1, 1) = 0, "", OFFSET('IWP06'!BackgroundChecks, 17, 2, 1, 1))</f>
        <v/>
      </c>
      <c r="D200" s="262" t="str">
        <f ca="1">IF(OFFSET('IWP06'!BackgroundChecks, 17, 4, 1, 1) = 0, "", OFFSET('IWP06'!BackgroundChecks, 17, 4, 1, 1))</f>
        <v/>
      </c>
      <c r="E200" s="254">
        <f ca="1">IF(OFFSET('IWP06'!BackgroundChecks, 17, 5, 1, 1)=DATE(1900,1,0), DATE(1900,1,1), OFFSET('IWP06'!BackgroundChecks, 17, 5, 1, 1))</f>
        <v>1</v>
      </c>
      <c r="F200" s="262" t="str">
        <f ca="1">IF(OFFSET('IWP06'!BackgroundChecks, 17, 6, 1, 1) = 0, "", OFFSET('IWP06'!BackgroundChecks, 17, 6, 1, 1))</f>
        <v/>
      </c>
      <c r="G200" s="254">
        <f ca="1">IF(OFFSET('IWP06'!BackgroundChecks, 17, 7, 1, 1)=DATE(1900,1,0), DATE(1900,1,1), OFFSET('IWP06'!BackgroundChecks, 17, 7, 1, 1))</f>
        <v>1</v>
      </c>
      <c r="H200" s="254">
        <f ca="1">IF(OFFSET('IWP06'!BackgroundChecks, 17, 8, 1, 1)=DATE(1900,1,0), DATE(1900,1,1), OFFSET('IWP06'!BackgroundChecks, 17, 8, 1, 1))</f>
        <v>1</v>
      </c>
      <c r="I200" s="262" t="str">
        <f ca="1">IF(OFFSET('IWP06'!BackgroundChecks, 17, 9, 1, 1) = 0, "", OFFSET('IWP06'!BackgroundChecks, 17, 9, 1, 1))</f>
        <v/>
      </c>
      <c r="J200" s="262" t="str">
        <f ca="1">IF(OFFSET('IWP06'!BackgroundChecks, 17, 10, 1, 1) = 0, "", OFFSET('IWP06'!BackgroundChecks, 17, 10, 1, 1))</f>
        <v/>
      </c>
      <c r="K200" s="262" t="str">
        <f ca="1">IF(OFFSET('IWP06'!BackgroundChecks, 17, 11, 1, 1) = 0, "", OFFSET('IWP06'!BackgroundChecks, 17, 11, 1, 1))</f>
        <v/>
      </c>
      <c r="L200" s="262" t="str">
        <f ca="1">IF(OFFSET('IWP06'!BackgroundChecks, 17, 12, 1, 1) = 0, "", OFFSET('IWP06'!BackgroundChecks, 17, 12, 1, 1))</f>
        <v/>
      </c>
      <c r="M200" s="262" t="str">
        <f ca="1">IF(OFFSET('IWP06'!BackgroundChecks, 17, 13, 1, 1) = 0, "", OFFSET('IWP06'!BackgroundChecks, 17, 13, 1, 1))</f>
        <v/>
      </c>
      <c r="N200" s="261"/>
    </row>
    <row r="201" spans="1:14" s="146" customFormat="1">
      <c r="A201" s="257" t="s">
        <v>504</v>
      </c>
      <c r="B201" s="262" t="str">
        <f ca="1">IF(OFFSET('IWP06'!BackgroundChecks, 18, 0, 1, 1) = 0, "", OFFSET('IWP06'!BackgroundChecks, 18, 0, 1, 1))</f>
        <v/>
      </c>
      <c r="C201" s="262" t="str">
        <f ca="1">IF(OFFSET('IWP06'!BackgroundChecks, 18, 2, 1, 1) = 0, "", OFFSET('IWP06'!BackgroundChecks, 18, 2, 1, 1))</f>
        <v/>
      </c>
      <c r="D201" s="262" t="str">
        <f ca="1">IF(OFFSET('IWP06'!BackgroundChecks, 18, 4, 1, 1) = 0, "", OFFSET('IWP06'!BackgroundChecks, 18, 4, 1, 1))</f>
        <v/>
      </c>
      <c r="E201" s="254">
        <f ca="1">IF(OFFSET('IWP06'!BackgroundChecks, 18, 5, 1, 1)=DATE(1900,1,0), DATE(1900,1,1), OFFSET('IWP06'!BackgroundChecks, 18, 5, 1, 1))</f>
        <v>1</v>
      </c>
      <c r="F201" s="262" t="str">
        <f ca="1">IF(OFFSET('IWP06'!BackgroundChecks, 18, 6, 1, 1) = 0, "", OFFSET('IWP06'!BackgroundChecks, 18, 6, 1, 1))</f>
        <v/>
      </c>
      <c r="G201" s="254">
        <f ca="1">IF(OFFSET('IWP06'!BackgroundChecks, 18, 7, 1, 1)=DATE(1900,1,0), DATE(1900,1,1), OFFSET('IWP06'!BackgroundChecks, 18, 7, 1, 1))</f>
        <v>1</v>
      </c>
      <c r="H201" s="254">
        <f ca="1">IF(OFFSET('IWP06'!BackgroundChecks, 18, 8, 1, 1)=DATE(1900,1,0), DATE(1900,1,1), OFFSET('IWP06'!BackgroundChecks, 18, 8, 1, 1))</f>
        <v>1</v>
      </c>
      <c r="I201" s="262" t="str">
        <f ca="1">IF(OFFSET('IWP06'!BackgroundChecks, 18, 9, 1, 1) = 0, "", OFFSET('IWP06'!BackgroundChecks, 18, 9, 1, 1))</f>
        <v/>
      </c>
      <c r="J201" s="262" t="str">
        <f ca="1">IF(OFFSET('IWP06'!BackgroundChecks, 18, 10, 1, 1) = 0, "", OFFSET('IWP06'!BackgroundChecks, 18, 10, 1, 1))</f>
        <v/>
      </c>
      <c r="K201" s="262" t="str">
        <f ca="1">IF(OFFSET('IWP06'!BackgroundChecks, 18, 11, 1, 1) = 0, "", OFFSET('IWP06'!BackgroundChecks, 18, 11, 1, 1))</f>
        <v/>
      </c>
      <c r="L201" s="262" t="str">
        <f ca="1">IF(OFFSET('IWP06'!BackgroundChecks, 18, 12, 1, 1) = 0, "", OFFSET('IWP06'!BackgroundChecks, 18, 12, 1, 1))</f>
        <v/>
      </c>
      <c r="M201" s="262" t="str">
        <f ca="1">IF(OFFSET('IWP06'!BackgroundChecks, 18, 13, 1, 1) = 0, "", OFFSET('IWP06'!BackgroundChecks, 18, 13, 1, 1))</f>
        <v/>
      </c>
      <c r="N201" s="261"/>
    </row>
    <row r="202" spans="1:14" s="146" customFormat="1">
      <c r="A202" s="257" t="s">
        <v>504</v>
      </c>
      <c r="B202" s="262" t="str">
        <f ca="1">IF(OFFSET('IWP06'!BackgroundChecks, 19, 0, 1, 1) = 0, "", OFFSET('IWP06'!BackgroundChecks, 19, 0, 1, 1))</f>
        <v/>
      </c>
      <c r="C202" s="262" t="str">
        <f ca="1">IF(OFFSET('IWP06'!BackgroundChecks, 19, 2, 1, 1) = 0, "", OFFSET('IWP06'!BackgroundChecks, 19, 2, 1, 1))</f>
        <v/>
      </c>
      <c r="D202" s="262" t="str">
        <f ca="1">IF(OFFSET('IWP06'!BackgroundChecks, 19, 4, 1, 1) = 0, "", OFFSET('IWP06'!BackgroundChecks, 19, 4, 1, 1))</f>
        <v/>
      </c>
      <c r="E202" s="254">
        <f ca="1">IF(OFFSET('IWP06'!BackgroundChecks, 19, 5, 1, 1)=DATE(1900,1,0), DATE(1900,1,1), OFFSET('IWP06'!BackgroundChecks, 19, 5, 1, 1))</f>
        <v>1</v>
      </c>
      <c r="F202" s="262" t="str">
        <f ca="1">IF(OFFSET('IWP06'!BackgroundChecks, 19, 6, 1, 1) = 0, "", OFFSET('IWP06'!BackgroundChecks, 19, 6, 1, 1))</f>
        <v/>
      </c>
      <c r="G202" s="254">
        <f ca="1">IF(OFFSET('IWP06'!BackgroundChecks, 19, 7, 1, 1)=DATE(1900,1,0), DATE(1900,1,1), OFFSET('IWP06'!BackgroundChecks, 19, 7, 1, 1))</f>
        <v>1</v>
      </c>
      <c r="H202" s="254">
        <f ca="1">IF(OFFSET('IWP06'!BackgroundChecks, 19, 8, 1, 1)=DATE(1900,1,0), DATE(1900,1,1), OFFSET('IWP06'!BackgroundChecks, 19, 8, 1, 1))</f>
        <v>1</v>
      </c>
      <c r="I202" s="262" t="str">
        <f ca="1">IF(OFFSET('IWP06'!BackgroundChecks, 19, 9, 1, 1) = 0, "", OFFSET('IWP06'!BackgroundChecks, 19, 9, 1, 1))</f>
        <v/>
      </c>
      <c r="J202" s="262" t="str">
        <f ca="1">IF(OFFSET('IWP06'!BackgroundChecks, 19, 10, 1, 1) = 0, "", OFFSET('IWP06'!BackgroundChecks, 19, 10, 1, 1))</f>
        <v/>
      </c>
      <c r="K202" s="262" t="str">
        <f ca="1">IF(OFFSET('IWP06'!BackgroundChecks, 19, 11, 1, 1) = 0, "", OFFSET('IWP06'!BackgroundChecks, 19, 11, 1, 1))</f>
        <v/>
      </c>
      <c r="L202" s="262" t="str">
        <f ca="1">IF(OFFSET('IWP06'!BackgroundChecks, 19, 12, 1, 1) = 0, "", OFFSET('IWP06'!BackgroundChecks, 19, 12, 1, 1))</f>
        <v/>
      </c>
      <c r="M202" s="262" t="str">
        <f ca="1">IF(OFFSET('IWP06'!BackgroundChecks, 19, 13, 1, 1) = 0, "", OFFSET('IWP06'!BackgroundChecks, 19, 13, 1, 1))</f>
        <v/>
      </c>
      <c r="N202" s="261"/>
    </row>
    <row r="203" spans="1:14" s="146" customFormat="1">
      <c r="A203" s="257" t="s">
        <v>505</v>
      </c>
      <c r="B203" s="262" t="str">
        <f ca="1">IF(OFFSET('IWP07'!BackgroundChecks, 0, 0, 1, 1) = 0, "", OFFSET('IWP07'!BackgroundChecks, 0, 0, 1, 1))</f>
        <v/>
      </c>
      <c r="C203" s="262" t="str">
        <f ca="1">IF(OFFSET('IWP07'!BackgroundChecks, 0, 2, 1, 1) = 0, "", OFFSET('IWP07'!BackgroundChecks, 0, 2, 1, 1))</f>
        <v/>
      </c>
      <c r="D203" s="262" t="str">
        <f ca="1">IF(OFFSET('IWP07'!BackgroundChecks, 0, 4, 1, 1) = 0, "", OFFSET('IWP07'!BackgroundChecks, 0, 4, 1, 1))</f>
        <v/>
      </c>
      <c r="E203" s="254">
        <f ca="1">IF(OFFSET('IWP07'!BackgroundChecks, 0, 5, 1, 1)=DATE(1900,1,0), DATE(1900,1,1), OFFSET('IWP07'!BackgroundChecks, 0, 5, 1, 1))</f>
        <v>1</v>
      </c>
      <c r="F203" s="262" t="str">
        <f ca="1">IF(OFFSET('IWP07'!BackgroundChecks, 0, 6, 1, 1) = 0, "", OFFSET('IWP07'!BackgroundChecks, 0, 6, 1, 1))</f>
        <v/>
      </c>
      <c r="G203" s="254">
        <f ca="1">IF(OFFSET('IWP07'!BackgroundChecks, 0, 7, 1, 1)=DATE(1900,1,0), DATE(1900,1,1), OFFSET('IWP07'!BackgroundChecks, 0, 7, 1, 1))</f>
        <v>1</v>
      </c>
      <c r="H203" s="254">
        <f ca="1">IF(OFFSET('IWP07'!BackgroundChecks, 0, 8, 1, 1)=DATE(1900,1,0), DATE(1900,1,1), OFFSET('IWP07'!BackgroundChecks, 0, 8, 1, 1))</f>
        <v>1</v>
      </c>
      <c r="I203" s="262" t="str">
        <f ca="1">IF(OFFSET('IWP07'!BackgroundChecks, 0, 9, 1, 1) = 0, "", OFFSET('IWP07'!BackgroundChecks, 0, 9, 1, 1))</f>
        <v/>
      </c>
      <c r="J203" s="262" t="str">
        <f ca="1">IF(OFFSET('IWP07'!BackgroundChecks, 0, 10, 1, 1) = 0, "", OFFSET('IWP07'!BackgroundChecks, 0, 10, 1, 1))</f>
        <v/>
      </c>
      <c r="K203" s="262" t="str">
        <f ca="1">IF(OFFSET('IWP07'!BackgroundChecks, 0, 11, 1, 1) = 0, "", OFFSET('IWP07'!BackgroundChecks, 0, 11, 1, 1))</f>
        <v/>
      </c>
      <c r="L203" s="262" t="str">
        <f ca="1">IF(OFFSET('IWP07'!BackgroundChecks, 0, 12, 1, 1) = 0, "", OFFSET('IWP07'!BackgroundChecks, 0, 12, 1, 1))</f>
        <v/>
      </c>
      <c r="M203" s="262" t="str">
        <f ca="1">IF(OFFSET('IWP07'!BackgroundChecks, 0, 13, 1, 1) = 0, "", OFFSET('IWP07'!BackgroundChecks, 0, 13, 1, 1))</f>
        <v/>
      </c>
      <c r="N203" s="261"/>
    </row>
    <row r="204" spans="1:14" s="146" customFormat="1">
      <c r="A204" s="257" t="s">
        <v>505</v>
      </c>
      <c r="B204" s="262" t="str">
        <f ca="1">IF(OFFSET('IWP07'!BackgroundChecks, 1, 0, 1, 1) = 0, "", OFFSET('IWP07'!BackgroundChecks, 1, 0, 1, 1))</f>
        <v/>
      </c>
      <c r="C204" s="262" t="str">
        <f ca="1">IF(OFFSET('IWP07'!BackgroundChecks, 1, 2, 1, 1) = 0, "", OFFSET('IWP07'!BackgroundChecks, 1, 2, 1, 1))</f>
        <v/>
      </c>
      <c r="D204" s="262" t="str">
        <f ca="1">IF(OFFSET('IWP07'!BackgroundChecks, 1, 4, 1, 1) = 0, "", OFFSET('IWP07'!BackgroundChecks, 1, 4, 1, 1))</f>
        <v/>
      </c>
      <c r="E204" s="254">
        <f ca="1">IF(OFFSET('IWP07'!BackgroundChecks, 1, 5, 1, 1)=DATE(1900,1,0), DATE(1900,1,1), OFFSET('IWP07'!BackgroundChecks, 1, 5, 1, 1))</f>
        <v>1</v>
      </c>
      <c r="F204" s="262" t="str">
        <f ca="1">IF(OFFSET('IWP07'!BackgroundChecks, 1, 6, 1, 1) = 0, "", OFFSET('IWP07'!BackgroundChecks, 1, 6, 1, 1))</f>
        <v/>
      </c>
      <c r="G204" s="254">
        <f ca="1">IF(OFFSET('IWP07'!BackgroundChecks, 1, 7, 1, 1)=DATE(1900,1,0), DATE(1900,1,1), OFFSET('IWP07'!BackgroundChecks, 1, 7, 1, 1))</f>
        <v>1</v>
      </c>
      <c r="H204" s="254">
        <f ca="1">IF(OFFSET('IWP07'!BackgroundChecks, 1, 8, 1, 1)=DATE(1900,1,0), DATE(1900,1,1), OFFSET('IWP07'!BackgroundChecks, 1, 8, 1, 1))</f>
        <v>1</v>
      </c>
      <c r="I204" s="262" t="str">
        <f ca="1">IF(OFFSET('IWP07'!BackgroundChecks, 1, 9, 1, 1) = 0, "", OFFSET('IWP07'!BackgroundChecks, 1, 9, 1, 1))</f>
        <v/>
      </c>
      <c r="J204" s="262" t="str">
        <f ca="1">IF(OFFSET('IWP07'!BackgroundChecks, 1, 10, 1, 1) = 0, "", OFFSET('IWP07'!BackgroundChecks, 1, 10, 1, 1))</f>
        <v/>
      </c>
      <c r="K204" s="262" t="str">
        <f ca="1">IF(OFFSET('IWP07'!BackgroundChecks, 1, 11, 1, 1) = 0, "", OFFSET('IWP07'!BackgroundChecks, 1, 11, 1, 1))</f>
        <v/>
      </c>
      <c r="L204" s="262" t="str">
        <f ca="1">IF(OFFSET('IWP07'!BackgroundChecks, 1, 12, 1, 1) = 0, "", OFFSET('IWP07'!BackgroundChecks, 1, 12, 1, 1))</f>
        <v/>
      </c>
      <c r="M204" s="262" t="str">
        <f ca="1">IF(OFFSET('IWP07'!BackgroundChecks, 1, 13, 1, 1) = 0, "", OFFSET('IWP07'!BackgroundChecks, 1, 13, 1, 1))</f>
        <v/>
      </c>
      <c r="N204" s="261"/>
    </row>
    <row r="205" spans="1:14" s="146" customFormat="1">
      <c r="A205" s="257" t="s">
        <v>505</v>
      </c>
      <c r="B205" s="262" t="str">
        <f ca="1">IF(OFFSET('IWP07'!BackgroundChecks, 2, 0, 1, 1) = 0, "", OFFSET('IWP07'!BackgroundChecks, 2, 0, 1, 1))</f>
        <v/>
      </c>
      <c r="C205" s="262" t="str">
        <f ca="1">IF(OFFSET('IWP07'!BackgroundChecks, 2, 2, 1, 1) = 0, "", OFFSET('IWP07'!BackgroundChecks, 2, 2, 1, 1))</f>
        <v/>
      </c>
      <c r="D205" s="262" t="str">
        <f ca="1">IF(OFFSET('IWP07'!BackgroundChecks, 2, 4, 1, 1) = 0, "", OFFSET('IWP07'!BackgroundChecks, 2, 4, 1, 1))</f>
        <v/>
      </c>
      <c r="E205" s="254">
        <f ca="1">IF(OFFSET('IWP07'!BackgroundChecks, 2, 5, 1, 1)=DATE(1900,1,0), DATE(1900,1,1), OFFSET('IWP07'!BackgroundChecks, 2, 5, 1, 1))</f>
        <v>1</v>
      </c>
      <c r="F205" s="262" t="str">
        <f ca="1">IF(OFFSET('IWP07'!BackgroundChecks, 2, 6, 1, 1) = 0, "", OFFSET('IWP07'!BackgroundChecks, 2, 6, 1, 1))</f>
        <v/>
      </c>
      <c r="G205" s="254">
        <f ca="1">IF(OFFSET('IWP07'!BackgroundChecks, 2, 7, 1, 1)=DATE(1900,1,0), DATE(1900,1,1), OFFSET('IWP07'!BackgroundChecks, 2, 7, 1, 1))</f>
        <v>1</v>
      </c>
      <c r="H205" s="254">
        <f ca="1">IF(OFFSET('IWP07'!BackgroundChecks, 2, 8, 1, 1)=DATE(1900,1,0), DATE(1900,1,1), OFFSET('IWP07'!BackgroundChecks, 2, 8, 1, 1))</f>
        <v>1</v>
      </c>
      <c r="I205" s="262" t="str">
        <f ca="1">IF(OFFSET('IWP07'!BackgroundChecks, 2, 9, 1, 1) = 0, "", OFFSET('IWP07'!BackgroundChecks, 2, 9, 1, 1))</f>
        <v/>
      </c>
      <c r="J205" s="262" t="str">
        <f ca="1">IF(OFFSET('IWP07'!BackgroundChecks, 2, 10, 1, 1) = 0, "", OFFSET('IWP07'!BackgroundChecks, 2, 10, 1, 1))</f>
        <v/>
      </c>
      <c r="K205" s="262" t="str">
        <f ca="1">IF(OFFSET('IWP07'!BackgroundChecks, 2, 11, 1, 1) = 0, "", OFFSET('IWP07'!BackgroundChecks, 2, 11, 1, 1))</f>
        <v/>
      </c>
      <c r="L205" s="262" t="str">
        <f ca="1">IF(OFFSET('IWP07'!BackgroundChecks, 2, 12, 1, 1) = 0, "", OFFSET('IWP07'!BackgroundChecks, 2, 12, 1, 1))</f>
        <v/>
      </c>
      <c r="M205" s="262" t="str">
        <f ca="1">IF(OFFSET('IWP07'!BackgroundChecks, 2, 13, 1, 1) = 0, "", OFFSET('IWP07'!BackgroundChecks, 2, 13, 1, 1))</f>
        <v/>
      </c>
      <c r="N205" s="261"/>
    </row>
    <row r="206" spans="1:14" s="146" customFormat="1">
      <c r="A206" s="257" t="s">
        <v>505</v>
      </c>
      <c r="B206" s="262" t="str">
        <f ca="1">IF(OFFSET('IWP07'!BackgroundChecks, 3, 0, 1, 1) = 0, "", OFFSET('IWP07'!BackgroundChecks, 3, 0, 1, 1))</f>
        <v/>
      </c>
      <c r="C206" s="262" t="str">
        <f ca="1">IF(OFFSET('IWP07'!BackgroundChecks, 3, 2, 1, 1) = 0, "", OFFSET('IWP07'!BackgroundChecks, 3, 2, 1, 1))</f>
        <v/>
      </c>
      <c r="D206" s="262" t="str">
        <f ca="1">IF(OFFSET('IWP07'!BackgroundChecks, 3, 4, 1, 1) = 0, "", OFFSET('IWP07'!BackgroundChecks, 3, 4, 1, 1))</f>
        <v/>
      </c>
      <c r="E206" s="254">
        <f ca="1">IF(OFFSET('IWP07'!BackgroundChecks, 3, 5, 1, 1)=DATE(1900,1,0), DATE(1900,1,1), OFFSET('IWP07'!BackgroundChecks, 3, 5, 1, 1))</f>
        <v>1</v>
      </c>
      <c r="F206" s="262" t="str">
        <f ca="1">IF(OFFSET('IWP07'!BackgroundChecks, 3, 6, 1, 1) = 0, "", OFFSET('IWP07'!BackgroundChecks, 3, 6, 1, 1))</f>
        <v/>
      </c>
      <c r="G206" s="254">
        <f ca="1">IF(OFFSET('IWP07'!BackgroundChecks, 3, 7, 1, 1)=DATE(1900,1,0), DATE(1900,1,1), OFFSET('IWP07'!BackgroundChecks, 3, 7, 1, 1))</f>
        <v>1</v>
      </c>
      <c r="H206" s="254">
        <f ca="1">IF(OFFSET('IWP07'!BackgroundChecks, 3, 8, 1, 1)=DATE(1900,1,0), DATE(1900,1,1), OFFSET('IWP07'!BackgroundChecks, 3, 8, 1, 1))</f>
        <v>1</v>
      </c>
      <c r="I206" s="262" t="str">
        <f ca="1">IF(OFFSET('IWP07'!BackgroundChecks, 3, 9, 1, 1) = 0, "", OFFSET('IWP07'!BackgroundChecks, 3, 9, 1, 1))</f>
        <v/>
      </c>
      <c r="J206" s="262" t="str">
        <f ca="1">IF(OFFSET('IWP07'!BackgroundChecks, 3, 10, 1, 1) = 0, "", OFFSET('IWP07'!BackgroundChecks, 3, 10, 1, 1))</f>
        <v/>
      </c>
      <c r="K206" s="262" t="str">
        <f ca="1">IF(OFFSET('IWP07'!BackgroundChecks, 3, 11, 1, 1) = 0, "", OFFSET('IWP07'!BackgroundChecks, 3, 11, 1, 1))</f>
        <v/>
      </c>
      <c r="L206" s="262" t="str">
        <f ca="1">IF(OFFSET('IWP07'!BackgroundChecks, 3, 12, 1, 1) = 0, "", OFFSET('IWP07'!BackgroundChecks, 3, 12, 1, 1))</f>
        <v/>
      </c>
      <c r="M206" s="262" t="str">
        <f ca="1">IF(OFFSET('IWP07'!BackgroundChecks, 3, 13, 1, 1) = 0, "", OFFSET('IWP07'!BackgroundChecks, 3, 13, 1, 1))</f>
        <v/>
      </c>
      <c r="N206" s="261"/>
    </row>
    <row r="207" spans="1:14" s="146" customFormat="1">
      <c r="A207" s="257" t="s">
        <v>505</v>
      </c>
      <c r="B207" s="262" t="str">
        <f ca="1">IF(OFFSET('IWP07'!BackgroundChecks, 4, 0, 1, 1) = 0, "", OFFSET('IWP07'!BackgroundChecks, 4, 0, 1, 1))</f>
        <v/>
      </c>
      <c r="C207" s="262" t="str">
        <f ca="1">IF(OFFSET('IWP07'!BackgroundChecks, 4, 2, 1, 1) = 0, "", OFFSET('IWP07'!BackgroundChecks, 4, 2, 1, 1))</f>
        <v/>
      </c>
      <c r="D207" s="262" t="str">
        <f ca="1">IF(OFFSET('IWP07'!BackgroundChecks, 4, 4, 1, 1) = 0, "", OFFSET('IWP07'!BackgroundChecks, 4, 4, 1, 1))</f>
        <v/>
      </c>
      <c r="E207" s="254">
        <f ca="1">IF(OFFSET('IWP07'!BackgroundChecks, 4, 5, 1, 1)=DATE(1900,1,0), DATE(1900,1,1), OFFSET('IWP07'!BackgroundChecks, 4, 5, 1, 1))</f>
        <v>1</v>
      </c>
      <c r="F207" s="262" t="str">
        <f ca="1">IF(OFFSET('IWP07'!BackgroundChecks, 4, 6, 1, 1) = 0, "", OFFSET('IWP07'!BackgroundChecks, 4, 6, 1, 1))</f>
        <v/>
      </c>
      <c r="G207" s="254">
        <f ca="1">IF(OFFSET('IWP07'!BackgroundChecks, 4, 7, 1, 1)=DATE(1900,1,0), DATE(1900,1,1), OFFSET('IWP07'!BackgroundChecks, 4, 7, 1, 1))</f>
        <v>1</v>
      </c>
      <c r="H207" s="254">
        <f ca="1">IF(OFFSET('IWP07'!BackgroundChecks, 4, 8, 1, 1)=DATE(1900,1,0), DATE(1900,1,1), OFFSET('IWP07'!BackgroundChecks, 4, 8, 1, 1))</f>
        <v>1</v>
      </c>
      <c r="I207" s="262" t="str">
        <f ca="1">IF(OFFSET('IWP07'!BackgroundChecks, 4, 9, 1, 1) = 0, "", OFFSET('IWP07'!BackgroundChecks, 4, 9, 1, 1))</f>
        <v/>
      </c>
      <c r="J207" s="262" t="str">
        <f ca="1">IF(OFFSET('IWP07'!BackgroundChecks, 4, 10, 1, 1) = 0, "", OFFSET('IWP07'!BackgroundChecks, 4, 10, 1, 1))</f>
        <v/>
      </c>
      <c r="K207" s="262" t="str">
        <f ca="1">IF(OFFSET('IWP07'!BackgroundChecks, 4, 11, 1, 1) = 0, "", OFFSET('IWP07'!BackgroundChecks, 4, 11, 1, 1))</f>
        <v/>
      </c>
      <c r="L207" s="262" t="str">
        <f ca="1">IF(OFFSET('IWP07'!BackgroundChecks, 4, 12, 1, 1) = 0, "", OFFSET('IWP07'!BackgroundChecks, 4, 12, 1, 1))</f>
        <v/>
      </c>
      <c r="M207" s="262" t="str">
        <f ca="1">IF(OFFSET('IWP07'!BackgroundChecks, 4, 13, 1, 1) = 0, "", OFFSET('IWP07'!BackgroundChecks, 4, 13, 1, 1))</f>
        <v/>
      </c>
      <c r="N207" s="261"/>
    </row>
    <row r="208" spans="1:14" s="146" customFormat="1">
      <c r="A208" s="257" t="s">
        <v>505</v>
      </c>
      <c r="B208" s="262" t="str">
        <f ca="1">IF(OFFSET('IWP07'!BackgroundChecks, 5, 0, 1, 1) = 0, "", OFFSET('IWP07'!BackgroundChecks, 5, 0, 1, 1))</f>
        <v/>
      </c>
      <c r="C208" s="262" t="str">
        <f ca="1">IF(OFFSET('IWP07'!BackgroundChecks, 5, 2, 1, 1) = 0, "", OFFSET('IWP07'!BackgroundChecks, 5, 2, 1, 1))</f>
        <v/>
      </c>
      <c r="D208" s="262" t="str">
        <f ca="1">IF(OFFSET('IWP07'!BackgroundChecks, 5, 4, 1, 1) = 0, "", OFFSET('IWP07'!BackgroundChecks, 5, 4, 1, 1))</f>
        <v/>
      </c>
      <c r="E208" s="254">
        <f ca="1">IF(OFFSET('IWP07'!BackgroundChecks, 5, 5, 1, 1)=DATE(1900,1,0), DATE(1900,1,1), OFFSET('IWP07'!BackgroundChecks, 5, 5, 1, 1))</f>
        <v>1</v>
      </c>
      <c r="F208" s="262" t="str">
        <f ca="1">IF(OFFSET('IWP07'!BackgroundChecks, 5, 6, 1, 1) = 0, "", OFFSET('IWP07'!BackgroundChecks, 5, 6, 1, 1))</f>
        <v/>
      </c>
      <c r="G208" s="254">
        <f ca="1">IF(OFFSET('IWP07'!BackgroundChecks, 5, 7, 1, 1)=DATE(1900,1,0), DATE(1900,1,1), OFFSET('IWP07'!BackgroundChecks, 5, 7, 1, 1))</f>
        <v>1</v>
      </c>
      <c r="H208" s="254">
        <f ca="1">IF(OFFSET('IWP07'!BackgroundChecks, 5, 8, 1, 1)=DATE(1900,1,0), DATE(1900,1,1), OFFSET('IWP07'!BackgroundChecks, 5, 8, 1, 1))</f>
        <v>1</v>
      </c>
      <c r="I208" s="262" t="str">
        <f ca="1">IF(OFFSET('IWP07'!BackgroundChecks, 5, 9, 1, 1) = 0, "", OFFSET('IWP07'!BackgroundChecks, 5, 9, 1, 1))</f>
        <v/>
      </c>
      <c r="J208" s="262" t="str">
        <f ca="1">IF(OFFSET('IWP07'!BackgroundChecks, 5, 10, 1, 1) = 0, "", OFFSET('IWP07'!BackgroundChecks, 5, 10, 1, 1))</f>
        <v/>
      </c>
      <c r="K208" s="262" t="str">
        <f ca="1">IF(OFFSET('IWP07'!BackgroundChecks, 5, 11, 1, 1) = 0, "", OFFSET('IWP07'!BackgroundChecks, 5, 11, 1, 1))</f>
        <v/>
      </c>
      <c r="L208" s="262" t="str">
        <f ca="1">IF(OFFSET('IWP07'!BackgroundChecks, 5, 12, 1, 1) = 0, "", OFFSET('IWP07'!BackgroundChecks, 5, 12, 1, 1))</f>
        <v/>
      </c>
      <c r="M208" s="262" t="str">
        <f ca="1">IF(OFFSET('IWP07'!BackgroundChecks, 5, 13, 1, 1) = 0, "", OFFSET('IWP07'!BackgroundChecks, 5, 13, 1, 1))</f>
        <v/>
      </c>
      <c r="N208" s="261"/>
    </row>
    <row r="209" spans="1:14" s="146" customFormat="1">
      <c r="A209" s="257" t="s">
        <v>505</v>
      </c>
      <c r="B209" s="262" t="str">
        <f ca="1">IF(OFFSET('IWP07'!BackgroundChecks, 6, 0, 1, 1) = 0, "", OFFSET('IWP07'!BackgroundChecks, 6, 0, 1, 1))</f>
        <v/>
      </c>
      <c r="C209" s="262" t="str">
        <f ca="1">IF(OFFSET('IWP07'!BackgroundChecks, 6, 2, 1, 1) = 0, "", OFFSET('IWP07'!BackgroundChecks, 6, 2, 1, 1))</f>
        <v/>
      </c>
      <c r="D209" s="262" t="str">
        <f ca="1">IF(OFFSET('IWP07'!BackgroundChecks, 6, 4, 1, 1) = 0, "", OFFSET('IWP07'!BackgroundChecks, 6, 4, 1, 1))</f>
        <v/>
      </c>
      <c r="E209" s="254">
        <f ca="1">IF(OFFSET('IWP07'!BackgroundChecks, 6, 5, 1, 1)=DATE(1900,1,0), DATE(1900,1,1), OFFSET('IWP07'!BackgroundChecks, 6, 5, 1, 1))</f>
        <v>1</v>
      </c>
      <c r="F209" s="262" t="str">
        <f ca="1">IF(OFFSET('IWP07'!BackgroundChecks, 6, 6, 1, 1) = 0, "", OFFSET('IWP07'!BackgroundChecks, 6, 6, 1, 1))</f>
        <v/>
      </c>
      <c r="G209" s="254">
        <f ca="1">IF(OFFSET('IWP07'!BackgroundChecks, 6, 7, 1, 1)=DATE(1900,1,0), DATE(1900,1,1), OFFSET('IWP07'!BackgroundChecks, 6, 7, 1, 1))</f>
        <v>1</v>
      </c>
      <c r="H209" s="254">
        <f ca="1">IF(OFFSET('IWP07'!BackgroundChecks, 6, 8, 1, 1)=DATE(1900,1,0), DATE(1900,1,1), OFFSET('IWP07'!BackgroundChecks, 6, 8, 1, 1))</f>
        <v>1</v>
      </c>
      <c r="I209" s="262" t="str">
        <f ca="1">IF(OFFSET('IWP07'!BackgroundChecks, 6, 9, 1, 1) = 0, "", OFFSET('IWP07'!BackgroundChecks, 6, 9, 1, 1))</f>
        <v/>
      </c>
      <c r="J209" s="262" t="str">
        <f ca="1">IF(OFFSET('IWP07'!BackgroundChecks, 6, 10, 1, 1) = 0, "", OFFSET('IWP07'!BackgroundChecks, 6, 10, 1, 1))</f>
        <v/>
      </c>
      <c r="K209" s="262" t="str">
        <f ca="1">IF(OFFSET('IWP07'!BackgroundChecks, 6, 11, 1, 1) = 0, "", OFFSET('IWP07'!BackgroundChecks, 6, 11, 1, 1))</f>
        <v/>
      </c>
      <c r="L209" s="262" t="str">
        <f ca="1">IF(OFFSET('IWP07'!BackgroundChecks, 6, 12, 1, 1) = 0, "", OFFSET('IWP07'!BackgroundChecks, 6, 12, 1, 1))</f>
        <v/>
      </c>
      <c r="M209" s="262" t="str">
        <f ca="1">IF(OFFSET('IWP07'!BackgroundChecks, 6, 13, 1, 1) = 0, "", OFFSET('IWP07'!BackgroundChecks, 6, 13, 1, 1))</f>
        <v/>
      </c>
      <c r="N209" s="261"/>
    </row>
    <row r="210" spans="1:14" s="146" customFormat="1">
      <c r="A210" s="257" t="s">
        <v>505</v>
      </c>
      <c r="B210" s="262" t="str">
        <f ca="1">IF(OFFSET('IWP07'!BackgroundChecks, 7, 0, 1, 1) = 0, "", OFFSET('IWP07'!BackgroundChecks, 7, 0, 1, 1))</f>
        <v/>
      </c>
      <c r="C210" s="262" t="str">
        <f ca="1">IF(OFFSET('IWP07'!BackgroundChecks, 7, 2, 1, 1) = 0, "", OFFSET('IWP07'!BackgroundChecks, 7, 2, 1, 1))</f>
        <v/>
      </c>
      <c r="D210" s="262" t="str">
        <f ca="1">IF(OFFSET('IWP07'!BackgroundChecks, 7, 4, 1, 1) = 0, "", OFFSET('IWP07'!BackgroundChecks, 7, 4, 1, 1))</f>
        <v/>
      </c>
      <c r="E210" s="254">
        <f ca="1">IF(OFFSET('IWP07'!BackgroundChecks, 7, 5, 1, 1)=DATE(1900,1,0), DATE(1900,1,1), OFFSET('IWP07'!BackgroundChecks, 7, 5, 1, 1))</f>
        <v>1</v>
      </c>
      <c r="F210" s="262" t="str">
        <f ca="1">IF(OFFSET('IWP07'!BackgroundChecks, 7, 6, 1, 1) = 0, "", OFFSET('IWP07'!BackgroundChecks, 7, 6, 1, 1))</f>
        <v/>
      </c>
      <c r="G210" s="254">
        <f ca="1">IF(OFFSET('IWP07'!BackgroundChecks, 7, 7, 1, 1)=DATE(1900,1,0), DATE(1900,1,1), OFFSET('IWP07'!BackgroundChecks, 7, 7, 1, 1))</f>
        <v>1</v>
      </c>
      <c r="H210" s="254">
        <f ca="1">IF(OFFSET('IWP07'!BackgroundChecks, 7, 8, 1, 1)=DATE(1900,1,0), DATE(1900,1,1), OFFSET('IWP07'!BackgroundChecks, 7, 8, 1, 1))</f>
        <v>1</v>
      </c>
      <c r="I210" s="262" t="str">
        <f ca="1">IF(OFFSET('IWP07'!BackgroundChecks, 7, 9, 1, 1) = 0, "", OFFSET('IWP07'!BackgroundChecks, 7, 9, 1, 1))</f>
        <v/>
      </c>
      <c r="J210" s="262" t="str">
        <f ca="1">IF(OFFSET('IWP07'!BackgroundChecks, 7, 10, 1, 1) = 0, "", OFFSET('IWP07'!BackgroundChecks, 7, 10, 1, 1))</f>
        <v/>
      </c>
      <c r="K210" s="262" t="str">
        <f ca="1">IF(OFFSET('IWP07'!BackgroundChecks, 7, 11, 1, 1) = 0, "", OFFSET('IWP07'!BackgroundChecks, 7, 11, 1, 1))</f>
        <v/>
      </c>
      <c r="L210" s="262" t="str">
        <f ca="1">IF(OFFSET('IWP07'!BackgroundChecks, 7, 12, 1, 1) = 0, "", OFFSET('IWP07'!BackgroundChecks, 7, 12, 1, 1))</f>
        <v/>
      </c>
      <c r="M210" s="262" t="str">
        <f ca="1">IF(OFFSET('IWP07'!BackgroundChecks, 7, 13, 1, 1) = 0, "", OFFSET('IWP07'!BackgroundChecks, 7, 13, 1, 1))</f>
        <v/>
      </c>
      <c r="N210" s="261"/>
    </row>
    <row r="211" spans="1:14" s="146" customFormat="1">
      <c r="A211" s="257" t="s">
        <v>505</v>
      </c>
      <c r="B211" s="262" t="str">
        <f ca="1">IF(OFFSET('IWP07'!BackgroundChecks, 8, 0, 1, 1) = 0, "", OFFSET('IWP07'!BackgroundChecks, 8, 0, 1, 1))</f>
        <v/>
      </c>
      <c r="C211" s="262" t="str">
        <f ca="1">IF(OFFSET('IWP07'!BackgroundChecks, 8, 2, 1, 1) = 0, "", OFFSET('IWP07'!BackgroundChecks, 8, 2, 1, 1))</f>
        <v/>
      </c>
      <c r="D211" s="262" t="str">
        <f ca="1">IF(OFFSET('IWP07'!BackgroundChecks, 8, 4, 1, 1) = 0, "", OFFSET('IWP07'!BackgroundChecks, 8, 4, 1, 1))</f>
        <v/>
      </c>
      <c r="E211" s="254">
        <f ca="1">IF(OFFSET('IWP07'!BackgroundChecks, 8, 5, 1, 1)=DATE(1900,1,0), DATE(1900,1,1), OFFSET('IWP07'!BackgroundChecks, 8, 5, 1, 1))</f>
        <v>1</v>
      </c>
      <c r="F211" s="262" t="str">
        <f ca="1">IF(OFFSET('IWP07'!BackgroundChecks, 8, 6, 1, 1) = 0, "", OFFSET('IWP07'!BackgroundChecks, 8, 6, 1, 1))</f>
        <v/>
      </c>
      <c r="G211" s="254">
        <f ca="1">IF(OFFSET('IWP07'!BackgroundChecks, 8, 7, 1, 1)=DATE(1900,1,0), DATE(1900,1,1), OFFSET('IWP07'!BackgroundChecks, 8, 7, 1, 1))</f>
        <v>1</v>
      </c>
      <c r="H211" s="254">
        <f ca="1">IF(OFFSET('IWP07'!BackgroundChecks, 8, 8, 1, 1)=DATE(1900,1,0), DATE(1900,1,1), OFFSET('IWP07'!BackgroundChecks, 8, 8, 1, 1))</f>
        <v>1</v>
      </c>
      <c r="I211" s="262" t="str">
        <f ca="1">IF(OFFSET('IWP07'!BackgroundChecks, 8, 9, 1, 1) = 0, "", OFFSET('IWP07'!BackgroundChecks, 8, 9, 1, 1))</f>
        <v/>
      </c>
      <c r="J211" s="262" t="str">
        <f ca="1">IF(OFFSET('IWP07'!BackgroundChecks, 8, 10, 1, 1) = 0, "", OFFSET('IWP07'!BackgroundChecks, 8, 10, 1, 1))</f>
        <v/>
      </c>
      <c r="K211" s="262" t="str">
        <f ca="1">IF(OFFSET('IWP07'!BackgroundChecks, 8, 11, 1, 1) = 0, "", OFFSET('IWP07'!BackgroundChecks, 8, 11, 1, 1))</f>
        <v/>
      </c>
      <c r="L211" s="262" t="str">
        <f ca="1">IF(OFFSET('IWP07'!BackgroundChecks, 8, 12, 1, 1) = 0, "", OFFSET('IWP07'!BackgroundChecks, 8, 12, 1, 1))</f>
        <v/>
      </c>
      <c r="M211" s="262" t="str">
        <f ca="1">IF(OFFSET('IWP07'!BackgroundChecks, 8, 13, 1, 1) = 0, "", OFFSET('IWP07'!BackgroundChecks, 8, 13, 1, 1))</f>
        <v/>
      </c>
      <c r="N211" s="261"/>
    </row>
    <row r="212" spans="1:14" s="146" customFormat="1">
      <c r="A212" s="257" t="s">
        <v>505</v>
      </c>
      <c r="B212" s="262" t="str">
        <f ca="1">IF(OFFSET('IWP07'!BackgroundChecks, 9, 0, 1, 1) = 0, "", OFFSET('IWP07'!BackgroundChecks, 9, 0, 1, 1))</f>
        <v/>
      </c>
      <c r="C212" s="262" t="str">
        <f ca="1">IF(OFFSET('IWP07'!BackgroundChecks, 9, 2, 1, 1) = 0, "", OFFSET('IWP07'!BackgroundChecks, 9, 2, 1, 1))</f>
        <v/>
      </c>
      <c r="D212" s="262" t="str">
        <f ca="1">IF(OFFSET('IWP07'!BackgroundChecks, 9, 4, 1, 1) = 0, "", OFFSET('IWP07'!BackgroundChecks, 9, 4, 1, 1))</f>
        <v/>
      </c>
      <c r="E212" s="254">
        <f ca="1">IF(OFFSET('IWP07'!BackgroundChecks, 9, 5, 1, 1)=DATE(1900,1,0), DATE(1900,1,1), OFFSET('IWP07'!BackgroundChecks, 9, 5, 1, 1))</f>
        <v>1</v>
      </c>
      <c r="F212" s="262" t="str">
        <f ca="1">IF(OFFSET('IWP07'!BackgroundChecks, 9, 6, 1, 1) = 0, "", OFFSET('IWP07'!BackgroundChecks, 9, 6, 1, 1))</f>
        <v/>
      </c>
      <c r="G212" s="254">
        <f ca="1">IF(OFFSET('IWP07'!BackgroundChecks, 9, 7, 1, 1)=DATE(1900,1,0), DATE(1900,1,1), OFFSET('IWP07'!BackgroundChecks, 9, 7, 1, 1))</f>
        <v>1</v>
      </c>
      <c r="H212" s="254">
        <f ca="1">IF(OFFSET('IWP07'!BackgroundChecks, 9, 8, 1, 1)=DATE(1900,1,0), DATE(1900,1,1), OFFSET('IWP07'!BackgroundChecks, 9, 8, 1, 1))</f>
        <v>1</v>
      </c>
      <c r="I212" s="262" t="str">
        <f ca="1">IF(OFFSET('IWP07'!BackgroundChecks, 9, 9, 1, 1) = 0, "", OFFSET('IWP07'!BackgroundChecks, 9, 9, 1, 1))</f>
        <v/>
      </c>
      <c r="J212" s="262" t="str">
        <f ca="1">IF(OFFSET('IWP07'!BackgroundChecks, 9, 10, 1, 1) = 0, "", OFFSET('IWP07'!BackgroundChecks, 9, 10, 1, 1))</f>
        <v/>
      </c>
      <c r="K212" s="262" t="str">
        <f ca="1">IF(OFFSET('IWP07'!BackgroundChecks, 9, 11, 1, 1) = 0, "", OFFSET('IWP07'!BackgroundChecks, 9, 11, 1, 1))</f>
        <v/>
      </c>
      <c r="L212" s="262" t="str">
        <f ca="1">IF(OFFSET('IWP07'!BackgroundChecks, 9, 12, 1, 1) = 0, "", OFFSET('IWP07'!BackgroundChecks, 9, 12, 1, 1))</f>
        <v/>
      </c>
      <c r="M212" s="262" t="str">
        <f ca="1">IF(OFFSET('IWP07'!BackgroundChecks, 9, 13, 1, 1) = 0, "", OFFSET('IWP07'!BackgroundChecks, 9, 13, 1, 1))</f>
        <v/>
      </c>
      <c r="N212" s="261"/>
    </row>
    <row r="213" spans="1:14" s="146" customFormat="1">
      <c r="A213" s="257" t="s">
        <v>505</v>
      </c>
      <c r="B213" s="262" t="str">
        <f ca="1">IF(OFFSET('IWP07'!BackgroundChecks, 10, 0, 1, 1) = 0, "", OFFSET('IWP07'!BackgroundChecks, 10, 0, 1, 1))</f>
        <v/>
      </c>
      <c r="C213" s="262" t="str">
        <f ca="1">IF(OFFSET('IWP07'!BackgroundChecks, 10, 2, 1, 1) = 0, "", OFFSET('IWP07'!BackgroundChecks, 10, 2, 1, 1))</f>
        <v/>
      </c>
      <c r="D213" s="262" t="str">
        <f ca="1">IF(OFFSET('IWP07'!BackgroundChecks, 10, 4, 1, 1) = 0, "", OFFSET('IWP07'!BackgroundChecks, 10, 4, 1, 1))</f>
        <v/>
      </c>
      <c r="E213" s="254">
        <f ca="1">IF(OFFSET('IWP07'!BackgroundChecks, 10, 5, 1, 1)=DATE(1900,1,0), DATE(1900,1,1), OFFSET('IWP07'!BackgroundChecks, 10, 5, 1, 1))</f>
        <v>1</v>
      </c>
      <c r="F213" s="262" t="str">
        <f ca="1">IF(OFFSET('IWP07'!BackgroundChecks, 10, 6, 1, 1) = 0, "", OFFSET('IWP07'!BackgroundChecks, 10, 6, 1, 1))</f>
        <v/>
      </c>
      <c r="G213" s="254">
        <f ca="1">IF(OFFSET('IWP07'!BackgroundChecks, 10, 7, 1, 1)=DATE(1900,1,0), DATE(1900,1,1), OFFSET('IWP07'!BackgroundChecks, 10, 7, 1, 1))</f>
        <v>1</v>
      </c>
      <c r="H213" s="254">
        <f ca="1">IF(OFFSET('IWP07'!BackgroundChecks, 10, 8, 1, 1)=DATE(1900,1,0), DATE(1900,1,1), OFFSET('IWP07'!BackgroundChecks, 10, 8, 1, 1))</f>
        <v>1</v>
      </c>
      <c r="I213" s="262" t="str">
        <f ca="1">IF(OFFSET('IWP07'!BackgroundChecks, 10, 9, 1, 1) = 0, "", OFFSET('IWP07'!BackgroundChecks, 10, 9, 1, 1))</f>
        <v/>
      </c>
      <c r="J213" s="262" t="str">
        <f ca="1">IF(OFFSET('IWP07'!BackgroundChecks, 10, 10, 1, 1) = 0, "", OFFSET('IWP07'!BackgroundChecks, 10, 10, 1, 1))</f>
        <v/>
      </c>
      <c r="K213" s="262" t="str">
        <f ca="1">IF(OFFSET('IWP07'!BackgroundChecks, 10, 11, 1, 1) = 0, "", OFFSET('IWP07'!BackgroundChecks, 10, 11, 1, 1))</f>
        <v/>
      </c>
      <c r="L213" s="262" t="str">
        <f ca="1">IF(OFFSET('IWP07'!BackgroundChecks, 10, 12, 1, 1) = 0, "", OFFSET('IWP07'!BackgroundChecks, 10, 12, 1, 1))</f>
        <v/>
      </c>
      <c r="M213" s="262" t="str">
        <f ca="1">IF(OFFSET('IWP07'!BackgroundChecks, 10, 13, 1, 1) = 0, "", OFFSET('IWP07'!BackgroundChecks, 10, 13, 1, 1))</f>
        <v/>
      </c>
      <c r="N213" s="261"/>
    </row>
    <row r="214" spans="1:14" s="146" customFormat="1">
      <c r="A214" s="257" t="s">
        <v>505</v>
      </c>
      <c r="B214" s="262" t="str">
        <f ca="1">IF(OFFSET('IWP07'!BackgroundChecks, 11, 0, 1, 1) = 0, "", OFFSET('IWP07'!BackgroundChecks, 11, 0, 1, 1))</f>
        <v/>
      </c>
      <c r="C214" s="262" t="str">
        <f ca="1">IF(OFFSET('IWP07'!BackgroundChecks, 11, 2, 1, 1) = 0, "", OFFSET('IWP07'!BackgroundChecks, 11, 2, 1, 1))</f>
        <v/>
      </c>
      <c r="D214" s="262" t="str">
        <f ca="1">IF(OFFSET('IWP07'!BackgroundChecks, 11, 4, 1, 1) = 0, "", OFFSET('IWP07'!BackgroundChecks, 11, 4, 1, 1))</f>
        <v/>
      </c>
      <c r="E214" s="254">
        <f ca="1">IF(OFFSET('IWP07'!BackgroundChecks, 11, 5, 1, 1)=DATE(1900,1,0), DATE(1900,1,1), OFFSET('IWP07'!BackgroundChecks, 11, 5, 1, 1))</f>
        <v>1</v>
      </c>
      <c r="F214" s="262" t="str">
        <f ca="1">IF(OFFSET('IWP07'!BackgroundChecks, 11, 6, 1, 1) = 0, "", OFFSET('IWP07'!BackgroundChecks, 11, 6, 1, 1))</f>
        <v/>
      </c>
      <c r="G214" s="254">
        <f ca="1">IF(OFFSET('IWP07'!BackgroundChecks, 11, 7, 1, 1)=DATE(1900,1,0), DATE(1900,1,1), OFFSET('IWP07'!BackgroundChecks, 11, 7, 1, 1))</f>
        <v>1</v>
      </c>
      <c r="H214" s="254">
        <f ca="1">IF(OFFSET('IWP07'!BackgroundChecks, 11, 8, 1, 1)=DATE(1900,1,0), DATE(1900,1,1), OFFSET('IWP07'!BackgroundChecks, 11, 8, 1, 1))</f>
        <v>1</v>
      </c>
      <c r="I214" s="262" t="str">
        <f ca="1">IF(OFFSET('IWP07'!BackgroundChecks, 11, 9, 1, 1) = 0, "", OFFSET('IWP07'!BackgroundChecks, 11, 9, 1, 1))</f>
        <v/>
      </c>
      <c r="J214" s="262" t="str">
        <f ca="1">IF(OFFSET('IWP07'!BackgroundChecks, 11, 10, 1, 1) = 0, "", OFFSET('IWP07'!BackgroundChecks, 11, 10, 1, 1))</f>
        <v/>
      </c>
      <c r="K214" s="262" t="str">
        <f ca="1">IF(OFFSET('IWP07'!BackgroundChecks, 11, 11, 1, 1) = 0, "", OFFSET('IWP07'!BackgroundChecks, 11, 11, 1, 1))</f>
        <v/>
      </c>
      <c r="L214" s="262" t="str">
        <f ca="1">IF(OFFSET('IWP07'!BackgroundChecks, 11, 12, 1, 1) = 0, "", OFFSET('IWP07'!BackgroundChecks, 11, 12, 1, 1))</f>
        <v/>
      </c>
      <c r="M214" s="262" t="str">
        <f ca="1">IF(OFFSET('IWP07'!BackgroundChecks, 11, 13, 1, 1) = 0, "", OFFSET('IWP07'!BackgroundChecks, 11, 13, 1, 1))</f>
        <v/>
      </c>
      <c r="N214" s="261"/>
    </row>
    <row r="215" spans="1:14" s="146" customFormat="1">
      <c r="A215" s="257" t="s">
        <v>505</v>
      </c>
      <c r="B215" s="262" t="str">
        <f ca="1">IF(OFFSET('IWP07'!BackgroundChecks, 12, 0, 1, 1) = 0, "", OFFSET('IWP07'!BackgroundChecks, 12, 0, 1, 1))</f>
        <v/>
      </c>
      <c r="C215" s="262" t="str">
        <f ca="1">IF(OFFSET('IWP07'!BackgroundChecks, 12, 2, 1, 1) = 0, "", OFFSET('IWP07'!BackgroundChecks, 12, 2, 1, 1))</f>
        <v/>
      </c>
      <c r="D215" s="262" t="str">
        <f ca="1">IF(OFFSET('IWP07'!BackgroundChecks, 12, 4, 1, 1) = 0, "", OFFSET('IWP07'!BackgroundChecks, 12, 4, 1, 1))</f>
        <v/>
      </c>
      <c r="E215" s="254">
        <f ca="1">IF(OFFSET('IWP07'!BackgroundChecks, 12, 5, 1, 1)=DATE(1900,1,0), DATE(1900,1,1), OFFSET('IWP07'!BackgroundChecks, 12, 5, 1, 1))</f>
        <v>1</v>
      </c>
      <c r="F215" s="262" t="str">
        <f ca="1">IF(OFFSET('IWP07'!BackgroundChecks, 12, 6, 1, 1) = 0, "", OFFSET('IWP07'!BackgroundChecks, 12, 6, 1, 1))</f>
        <v/>
      </c>
      <c r="G215" s="254">
        <f ca="1">IF(OFFSET('IWP07'!BackgroundChecks, 12, 7, 1, 1)=DATE(1900,1,0), DATE(1900,1,1), OFFSET('IWP07'!BackgroundChecks, 12, 7, 1, 1))</f>
        <v>1</v>
      </c>
      <c r="H215" s="254">
        <f ca="1">IF(OFFSET('IWP07'!BackgroundChecks, 12, 8, 1, 1)=DATE(1900,1,0), DATE(1900,1,1), OFFSET('IWP07'!BackgroundChecks, 12, 8, 1, 1))</f>
        <v>1</v>
      </c>
      <c r="I215" s="262" t="str">
        <f ca="1">IF(OFFSET('IWP07'!BackgroundChecks, 12, 9, 1, 1) = 0, "", OFFSET('IWP07'!BackgroundChecks, 12, 9, 1, 1))</f>
        <v/>
      </c>
      <c r="J215" s="262" t="str">
        <f ca="1">IF(OFFSET('IWP07'!BackgroundChecks, 12, 10, 1, 1) = 0, "", OFFSET('IWP07'!BackgroundChecks, 12, 10, 1, 1))</f>
        <v/>
      </c>
      <c r="K215" s="262" t="str">
        <f ca="1">IF(OFFSET('IWP07'!BackgroundChecks, 12, 11, 1, 1) = 0, "", OFFSET('IWP07'!BackgroundChecks, 12, 11, 1, 1))</f>
        <v/>
      </c>
      <c r="L215" s="262" t="str">
        <f ca="1">IF(OFFSET('IWP07'!BackgroundChecks, 12, 12, 1, 1) = 0, "", OFFSET('IWP07'!BackgroundChecks, 12, 12, 1, 1))</f>
        <v/>
      </c>
      <c r="M215" s="262" t="str">
        <f ca="1">IF(OFFSET('IWP07'!BackgroundChecks, 12, 13, 1, 1) = 0, "", OFFSET('IWP07'!BackgroundChecks, 12, 13, 1, 1))</f>
        <v/>
      </c>
      <c r="N215" s="261"/>
    </row>
    <row r="216" spans="1:14" s="146" customFormat="1">
      <c r="A216" s="257" t="s">
        <v>505</v>
      </c>
      <c r="B216" s="262" t="str">
        <f ca="1">IF(OFFSET('IWP07'!BackgroundChecks, 13, 0, 1, 1) = 0, "", OFFSET('IWP07'!BackgroundChecks, 13, 0, 1, 1))</f>
        <v/>
      </c>
      <c r="C216" s="262" t="str">
        <f ca="1">IF(OFFSET('IWP07'!BackgroundChecks, 13, 2, 1, 1) = 0, "", OFFSET('IWP07'!BackgroundChecks, 13, 2, 1, 1))</f>
        <v/>
      </c>
      <c r="D216" s="262" t="str">
        <f ca="1">IF(OFFSET('IWP07'!BackgroundChecks, 13, 4, 1, 1) = 0, "", OFFSET('IWP07'!BackgroundChecks, 13, 4, 1, 1))</f>
        <v/>
      </c>
      <c r="E216" s="254">
        <f ca="1">IF(OFFSET('IWP07'!BackgroundChecks, 13, 5, 1, 1)=DATE(1900,1,0), DATE(1900,1,1), OFFSET('IWP07'!BackgroundChecks, 13, 5, 1, 1))</f>
        <v>1</v>
      </c>
      <c r="F216" s="262" t="str">
        <f ca="1">IF(OFFSET('IWP07'!BackgroundChecks, 13, 6, 1, 1) = 0, "", OFFSET('IWP07'!BackgroundChecks, 13, 6, 1, 1))</f>
        <v/>
      </c>
      <c r="G216" s="254">
        <f ca="1">IF(OFFSET('IWP07'!BackgroundChecks, 13, 7, 1, 1)=DATE(1900,1,0), DATE(1900,1,1), OFFSET('IWP07'!BackgroundChecks, 13, 7, 1, 1))</f>
        <v>1</v>
      </c>
      <c r="H216" s="254">
        <f ca="1">IF(OFFSET('IWP07'!BackgroundChecks, 13, 8, 1, 1)=DATE(1900,1,0), DATE(1900,1,1), OFFSET('IWP07'!BackgroundChecks, 13, 8, 1, 1))</f>
        <v>1</v>
      </c>
      <c r="I216" s="262" t="str">
        <f ca="1">IF(OFFSET('IWP07'!BackgroundChecks, 13, 9, 1, 1) = 0, "", OFFSET('IWP07'!BackgroundChecks, 13, 9, 1, 1))</f>
        <v/>
      </c>
      <c r="J216" s="262" t="str">
        <f ca="1">IF(OFFSET('IWP07'!BackgroundChecks, 13, 10, 1, 1) = 0, "", OFFSET('IWP07'!BackgroundChecks, 13, 10, 1, 1))</f>
        <v/>
      </c>
      <c r="K216" s="262" t="str">
        <f ca="1">IF(OFFSET('IWP07'!BackgroundChecks, 13, 11, 1, 1) = 0, "", OFFSET('IWP07'!BackgroundChecks, 13, 11, 1, 1))</f>
        <v/>
      </c>
      <c r="L216" s="262" t="str">
        <f ca="1">IF(OFFSET('IWP07'!BackgroundChecks, 13, 12, 1, 1) = 0, "", OFFSET('IWP07'!BackgroundChecks, 13, 12, 1, 1))</f>
        <v/>
      </c>
      <c r="M216" s="262" t="str">
        <f ca="1">IF(OFFSET('IWP07'!BackgroundChecks, 13, 13, 1, 1) = 0, "", OFFSET('IWP07'!BackgroundChecks, 13, 13, 1, 1))</f>
        <v/>
      </c>
      <c r="N216" s="261"/>
    </row>
    <row r="217" spans="1:14" s="146" customFormat="1">
      <c r="A217" s="257" t="s">
        <v>505</v>
      </c>
      <c r="B217" s="262" t="str">
        <f ca="1">IF(OFFSET('IWP07'!BackgroundChecks, 14, 0, 1, 1) = 0, "", OFFSET('IWP07'!BackgroundChecks, 14, 0, 1, 1))</f>
        <v/>
      </c>
      <c r="C217" s="262" t="str">
        <f ca="1">IF(OFFSET('IWP07'!BackgroundChecks, 14, 2, 1, 1) = 0, "", OFFSET('IWP07'!BackgroundChecks, 14, 2, 1, 1))</f>
        <v/>
      </c>
      <c r="D217" s="262" t="str">
        <f ca="1">IF(OFFSET('IWP07'!BackgroundChecks, 14, 4, 1, 1) = 0, "", OFFSET('IWP07'!BackgroundChecks, 14, 4, 1, 1))</f>
        <v/>
      </c>
      <c r="E217" s="254">
        <f ca="1">IF(OFFSET('IWP07'!BackgroundChecks, 14, 5, 1, 1)=DATE(1900,1,0), DATE(1900,1,1), OFFSET('IWP07'!BackgroundChecks, 14, 5, 1, 1))</f>
        <v>1</v>
      </c>
      <c r="F217" s="262" t="str">
        <f ca="1">IF(OFFSET('IWP07'!BackgroundChecks, 14, 6, 1, 1) = 0, "", OFFSET('IWP07'!BackgroundChecks, 14, 6, 1, 1))</f>
        <v/>
      </c>
      <c r="G217" s="254">
        <f ca="1">IF(OFFSET('IWP07'!BackgroundChecks, 14, 7, 1, 1)=DATE(1900,1,0), DATE(1900,1,1), OFFSET('IWP07'!BackgroundChecks, 14, 7, 1, 1))</f>
        <v>1</v>
      </c>
      <c r="H217" s="254">
        <f ca="1">IF(OFFSET('IWP07'!BackgroundChecks, 14, 8, 1, 1)=DATE(1900,1,0), DATE(1900,1,1), OFFSET('IWP07'!BackgroundChecks, 14, 8, 1, 1))</f>
        <v>1</v>
      </c>
      <c r="I217" s="262" t="str">
        <f ca="1">IF(OFFSET('IWP07'!BackgroundChecks, 14, 9, 1, 1) = 0, "", OFFSET('IWP07'!BackgroundChecks, 14, 9, 1, 1))</f>
        <v/>
      </c>
      <c r="J217" s="262" t="str">
        <f ca="1">IF(OFFSET('IWP07'!BackgroundChecks, 14, 10, 1, 1) = 0, "", OFFSET('IWP07'!BackgroundChecks, 14, 10, 1, 1))</f>
        <v/>
      </c>
      <c r="K217" s="262" t="str">
        <f ca="1">IF(OFFSET('IWP07'!BackgroundChecks, 14, 11, 1, 1) = 0, "", OFFSET('IWP07'!BackgroundChecks, 14, 11, 1, 1))</f>
        <v/>
      </c>
      <c r="L217" s="262" t="str">
        <f ca="1">IF(OFFSET('IWP07'!BackgroundChecks, 14, 12, 1, 1) = 0, "", OFFSET('IWP07'!BackgroundChecks, 14, 12, 1, 1))</f>
        <v/>
      </c>
      <c r="M217" s="262" t="str">
        <f ca="1">IF(OFFSET('IWP07'!BackgroundChecks, 14, 13, 1, 1) = 0, "", OFFSET('IWP07'!BackgroundChecks, 14, 13, 1, 1))</f>
        <v/>
      </c>
      <c r="N217" s="261"/>
    </row>
    <row r="218" spans="1:14" s="146" customFormat="1">
      <c r="A218" s="257" t="s">
        <v>505</v>
      </c>
      <c r="B218" s="262" t="str">
        <f ca="1">IF(OFFSET('IWP07'!BackgroundChecks, 15, 0, 1, 1) = 0, "", OFFSET('IWP07'!BackgroundChecks, 15, 0, 1, 1))</f>
        <v/>
      </c>
      <c r="C218" s="262" t="str">
        <f ca="1">IF(OFFSET('IWP07'!BackgroundChecks, 15, 2, 1, 1) = 0, "", OFFSET('IWP07'!BackgroundChecks, 15, 2, 1, 1))</f>
        <v/>
      </c>
      <c r="D218" s="262" t="str">
        <f ca="1">IF(OFFSET('IWP07'!BackgroundChecks, 15, 4, 1, 1) = 0, "", OFFSET('IWP07'!BackgroundChecks, 15, 4, 1, 1))</f>
        <v/>
      </c>
      <c r="E218" s="254">
        <f ca="1">IF(OFFSET('IWP07'!BackgroundChecks, 15, 5, 1, 1)=DATE(1900,1,0), DATE(1900,1,1), OFFSET('IWP07'!BackgroundChecks, 15, 5, 1, 1))</f>
        <v>1</v>
      </c>
      <c r="F218" s="262" t="str">
        <f ca="1">IF(OFFSET('IWP07'!BackgroundChecks, 15, 6, 1, 1) = 0, "", OFFSET('IWP07'!BackgroundChecks, 15, 6, 1, 1))</f>
        <v/>
      </c>
      <c r="G218" s="254">
        <f ca="1">IF(OFFSET('IWP07'!BackgroundChecks, 15, 7, 1, 1)=DATE(1900,1,0), DATE(1900,1,1), OFFSET('IWP07'!BackgroundChecks, 15, 7, 1, 1))</f>
        <v>1</v>
      </c>
      <c r="H218" s="254">
        <f ca="1">IF(OFFSET('IWP07'!BackgroundChecks, 15, 8, 1, 1)=DATE(1900,1,0), DATE(1900,1,1), OFFSET('IWP07'!BackgroundChecks, 15, 8, 1, 1))</f>
        <v>1</v>
      </c>
      <c r="I218" s="262" t="str">
        <f ca="1">IF(OFFSET('IWP07'!BackgroundChecks, 15, 9, 1, 1) = 0, "", OFFSET('IWP07'!BackgroundChecks, 15, 9, 1, 1))</f>
        <v/>
      </c>
      <c r="J218" s="262" t="str">
        <f ca="1">IF(OFFSET('IWP07'!BackgroundChecks, 15, 10, 1, 1) = 0, "", OFFSET('IWP07'!BackgroundChecks, 15, 10, 1, 1))</f>
        <v/>
      </c>
      <c r="K218" s="262" t="str">
        <f ca="1">IF(OFFSET('IWP07'!BackgroundChecks, 15, 11, 1, 1) = 0, "", OFFSET('IWP07'!BackgroundChecks, 15, 11, 1, 1))</f>
        <v/>
      </c>
      <c r="L218" s="262" t="str">
        <f ca="1">IF(OFFSET('IWP07'!BackgroundChecks, 15, 12, 1, 1) = 0, "", OFFSET('IWP07'!BackgroundChecks, 15, 12, 1, 1))</f>
        <v/>
      </c>
      <c r="M218" s="262" t="str">
        <f ca="1">IF(OFFSET('IWP07'!BackgroundChecks, 15, 13, 1, 1) = 0, "", OFFSET('IWP07'!BackgroundChecks, 15, 13, 1, 1))</f>
        <v/>
      </c>
      <c r="N218" s="261"/>
    </row>
    <row r="219" spans="1:14" s="146" customFormat="1">
      <c r="A219" s="257" t="s">
        <v>505</v>
      </c>
      <c r="B219" s="262" t="str">
        <f ca="1">IF(OFFSET('IWP07'!BackgroundChecks, 16, 0, 1, 1) = 0, "", OFFSET('IWP07'!BackgroundChecks, 16, 0, 1, 1))</f>
        <v/>
      </c>
      <c r="C219" s="262" t="str">
        <f ca="1">IF(OFFSET('IWP07'!BackgroundChecks, 16, 2, 1, 1) = 0, "", OFFSET('IWP07'!BackgroundChecks, 16, 2, 1, 1))</f>
        <v/>
      </c>
      <c r="D219" s="262" t="str">
        <f ca="1">IF(OFFSET('IWP07'!BackgroundChecks, 16, 4, 1, 1) = 0, "", OFFSET('IWP07'!BackgroundChecks, 16, 4, 1, 1))</f>
        <v/>
      </c>
      <c r="E219" s="254">
        <f ca="1">IF(OFFSET('IWP07'!BackgroundChecks, 16, 5, 1, 1)=DATE(1900,1,0), DATE(1900,1,1), OFFSET('IWP07'!BackgroundChecks, 16, 5, 1, 1))</f>
        <v>1</v>
      </c>
      <c r="F219" s="262" t="str">
        <f ca="1">IF(OFFSET('IWP07'!BackgroundChecks, 16, 6, 1, 1) = 0, "", OFFSET('IWP07'!BackgroundChecks, 16, 6, 1, 1))</f>
        <v/>
      </c>
      <c r="G219" s="254">
        <f ca="1">IF(OFFSET('IWP07'!BackgroundChecks, 16, 7, 1, 1)=DATE(1900,1,0), DATE(1900,1,1), OFFSET('IWP07'!BackgroundChecks, 16, 7, 1, 1))</f>
        <v>1</v>
      </c>
      <c r="H219" s="254">
        <f ca="1">IF(OFFSET('IWP07'!BackgroundChecks, 16, 8, 1, 1)=DATE(1900,1,0), DATE(1900,1,1), OFFSET('IWP07'!BackgroundChecks, 16, 8, 1, 1))</f>
        <v>1</v>
      </c>
      <c r="I219" s="262" t="str">
        <f ca="1">IF(OFFSET('IWP07'!BackgroundChecks, 16, 9, 1, 1) = 0, "", OFFSET('IWP07'!BackgroundChecks, 16, 9, 1, 1))</f>
        <v/>
      </c>
      <c r="J219" s="262" t="str">
        <f ca="1">IF(OFFSET('IWP07'!BackgroundChecks, 16, 10, 1, 1) = 0, "", OFFSET('IWP07'!BackgroundChecks, 16, 10, 1, 1))</f>
        <v/>
      </c>
      <c r="K219" s="262" t="str">
        <f ca="1">IF(OFFSET('IWP07'!BackgroundChecks, 16, 11, 1, 1) = 0, "", OFFSET('IWP07'!BackgroundChecks, 16, 11, 1, 1))</f>
        <v/>
      </c>
      <c r="L219" s="262" t="str">
        <f ca="1">IF(OFFSET('IWP07'!BackgroundChecks, 16, 12, 1, 1) = 0, "", OFFSET('IWP07'!BackgroundChecks, 16, 12, 1, 1))</f>
        <v/>
      </c>
      <c r="M219" s="262" t="str">
        <f ca="1">IF(OFFSET('IWP07'!BackgroundChecks, 16, 13, 1, 1) = 0, "", OFFSET('IWP07'!BackgroundChecks, 16, 13, 1, 1))</f>
        <v/>
      </c>
      <c r="N219" s="261"/>
    </row>
    <row r="220" spans="1:14" s="146" customFormat="1">
      <c r="A220" s="257" t="s">
        <v>505</v>
      </c>
      <c r="B220" s="262" t="str">
        <f ca="1">IF(OFFSET('IWP07'!BackgroundChecks, 17, 0, 1, 1) = 0, "", OFFSET('IWP07'!BackgroundChecks, 17, 0, 1, 1))</f>
        <v/>
      </c>
      <c r="C220" s="262" t="str">
        <f ca="1">IF(OFFSET('IWP07'!BackgroundChecks, 17, 2, 1, 1) = 0, "", OFFSET('IWP07'!BackgroundChecks, 17, 2, 1, 1))</f>
        <v/>
      </c>
      <c r="D220" s="262" t="str">
        <f ca="1">IF(OFFSET('IWP07'!BackgroundChecks, 17, 4, 1, 1) = 0, "", OFFSET('IWP07'!BackgroundChecks, 17, 4, 1, 1))</f>
        <v/>
      </c>
      <c r="E220" s="254">
        <f ca="1">IF(OFFSET('IWP07'!BackgroundChecks, 17, 5, 1, 1)=DATE(1900,1,0), DATE(1900,1,1), OFFSET('IWP07'!BackgroundChecks, 17, 5, 1, 1))</f>
        <v>1</v>
      </c>
      <c r="F220" s="262" t="str">
        <f ca="1">IF(OFFSET('IWP07'!BackgroundChecks, 17, 6, 1, 1) = 0, "", OFFSET('IWP07'!BackgroundChecks, 17, 6, 1, 1))</f>
        <v/>
      </c>
      <c r="G220" s="254">
        <f ca="1">IF(OFFSET('IWP07'!BackgroundChecks, 17, 7, 1, 1)=DATE(1900,1,0), DATE(1900,1,1), OFFSET('IWP07'!BackgroundChecks, 17, 7, 1, 1))</f>
        <v>1</v>
      </c>
      <c r="H220" s="254">
        <f ca="1">IF(OFFSET('IWP07'!BackgroundChecks, 17, 8, 1, 1)=DATE(1900,1,0), DATE(1900,1,1), OFFSET('IWP07'!BackgroundChecks, 17, 8, 1, 1))</f>
        <v>1</v>
      </c>
      <c r="I220" s="262" t="str">
        <f ca="1">IF(OFFSET('IWP07'!BackgroundChecks, 17, 9, 1, 1) = 0, "", OFFSET('IWP07'!BackgroundChecks, 17, 9, 1, 1))</f>
        <v/>
      </c>
      <c r="J220" s="262" t="str">
        <f ca="1">IF(OFFSET('IWP07'!BackgroundChecks, 17, 10, 1, 1) = 0, "", OFFSET('IWP07'!BackgroundChecks, 17, 10, 1, 1))</f>
        <v/>
      </c>
      <c r="K220" s="262" t="str">
        <f ca="1">IF(OFFSET('IWP07'!BackgroundChecks, 17, 11, 1, 1) = 0, "", OFFSET('IWP07'!BackgroundChecks, 17, 11, 1, 1))</f>
        <v/>
      </c>
      <c r="L220" s="262" t="str">
        <f ca="1">IF(OFFSET('IWP07'!BackgroundChecks, 17, 12, 1, 1) = 0, "", OFFSET('IWP07'!BackgroundChecks, 17, 12, 1, 1))</f>
        <v/>
      </c>
      <c r="M220" s="262" t="str">
        <f ca="1">IF(OFFSET('IWP07'!BackgroundChecks, 17, 13, 1, 1) = 0, "", OFFSET('IWP07'!BackgroundChecks, 17, 13, 1, 1))</f>
        <v/>
      </c>
      <c r="N220" s="261"/>
    </row>
    <row r="221" spans="1:14" s="146" customFormat="1">
      <c r="A221" s="257" t="s">
        <v>505</v>
      </c>
      <c r="B221" s="262" t="str">
        <f ca="1">IF(OFFSET('IWP07'!BackgroundChecks, 18, 0, 1, 1) = 0, "", OFFSET('IWP07'!BackgroundChecks, 18, 0, 1, 1))</f>
        <v/>
      </c>
      <c r="C221" s="262" t="str">
        <f ca="1">IF(OFFSET('IWP07'!BackgroundChecks, 18, 2, 1, 1) = 0, "", OFFSET('IWP07'!BackgroundChecks, 18, 2, 1, 1))</f>
        <v/>
      </c>
      <c r="D221" s="262" t="str">
        <f ca="1">IF(OFFSET('IWP07'!BackgroundChecks, 18, 4, 1, 1) = 0, "", OFFSET('IWP07'!BackgroundChecks, 18, 4, 1, 1))</f>
        <v/>
      </c>
      <c r="E221" s="254">
        <f ca="1">IF(OFFSET('IWP07'!BackgroundChecks, 18, 5, 1, 1)=DATE(1900,1,0), DATE(1900,1,1), OFFSET('IWP07'!BackgroundChecks, 18, 5, 1, 1))</f>
        <v>1</v>
      </c>
      <c r="F221" s="262" t="str">
        <f ca="1">IF(OFFSET('IWP07'!BackgroundChecks, 18, 6, 1, 1) = 0, "", OFFSET('IWP07'!BackgroundChecks, 18, 6, 1, 1))</f>
        <v/>
      </c>
      <c r="G221" s="254">
        <f ca="1">IF(OFFSET('IWP07'!BackgroundChecks, 18, 7, 1, 1)=DATE(1900,1,0), DATE(1900,1,1), OFFSET('IWP07'!BackgroundChecks, 18, 7, 1, 1))</f>
        <v>1</v>
      </c>
      <c r="H221" s="254">
        <f ca="1">IF(OFFSET('IWP07'!BackgroundChecks, 18, 8, 1, 1)=DATE(1900,1,0), DATE(1900,1,1), OFFSET('IWP07'!BackgroundChecks, 18, 8, 1, 1))</f>
        <v>1</v>
      </c>
      <c r="I221" s="262" t="str">
        <f ca="1">IF(OFFSET('IWP07'!BackgroundChecks, 18, 9, 1, 1) = 0, "", OFFSET('IWP07'!BackgroundChecks, 18, 9, 1, 1))</f>
        <v/>
      </c>
      <c r="J221" s="262" t="str">
        <f ca="1">IF(OFFSET('IWP07'!BackgroundChecks, 18, 10, 1, 1) = 0, "", OFFSET('IWP07'!BackgroundChecks, 18, 10, 1, 1))</f>
        <v/>
      </c>
      <c r="K221" s="262" t="str">
        <f ca="1">IF(OFFSET('IWP07'!BackgroundChecks, 18, 11, 1, 1) = 0, "", OFFSET('IWP07'!BackgroundChecks, 18, 11, 1, 1))</f>
        <v/>
      </c>
      <c r="L221" s="262" t="str">
        <f ca="1">IF(OFFSET('IWP07'!BackgroundChecks, 18, 12, 1, 1) = 0, "", OFFSET('IWP07'!BackgroundChecks, 18, 12, 1, 1))</f>
        <v/>
      </c>
      <c r="M221" s="262" t="str">
        <f ca="1">IF(OFFSET('IWP07'!BackgroundChecks, 18, 13, 1, 1) = 0, "", OFFSET('IWP07'!BackgroundChecks, 18, 13, 1, 1))</f>
        <v/>
      </c>
      <c r="N221" s="261"/>
    </row>
    <row r="222" spans="1:14" s="146" customFormat="1">
      <c r="A222" s="257" t="s">
        <v>505</v>
      </c>
      <c r="B222" s="262" t="str">
        <f ca="1">IF(OFFSET('IWP07'!BackgroundChecks, 19, 0, 1, 1) = 0, "", OFFSET('IWP07'!BackgroundChecks, 19, 0, 1, 1))</f>
        <v/>
      </c>
      <c r="C222" s="262" t="str">
        <f ca="1">IF(OFFSET('IWP07'!BackgroundChecks, 19, 2, 1, 1) = 0, "", OFFSET('IWP07'!BackgroundChecks, 19, 2, 1, 1))</f>
        <v/>
      </c>
      <c r="D222" s="262" t="str">
        <f ca="1">IF(OFFSET('IWP07'!BackgroundChecks, 19, 4, 1, 1) = 0, "", OFFSET('IWP07'!BackgroundChecks, 19, 4, 1, 1))</f>
        <v/>
      </c>
      <c r="E222" s="254">
        <f ca="1">IF(OFFSET('IWP07'!BackgroundChecks, 19, 5, 1, 1)=DATE(1900,1,0), DATE(1900,1,1), OFFSET('IWP07'!BackgroundChecks, 19, 5, 1, 1))</f>
        <v>1</v>
      </c>
      <c r="F222" s="262" t="str">
        <f ca="1">IF(OFFSET('IWP07'!BackgroundChecks, 19, 6, 1, 1) = 0, "", OFFSET('IWP07'!BackgroundChecks, 19, 6, 1, 1))</f>
        <v/>
      </c>
      <c r="G222" s="254">
        <f ca="1">IF(OFFSET('IWP07'!BackgroundChecks, 19, 7, 1, 1)=DATE(1900,1,0), DATE(1900,1,1), OFFSET('IWP07'!BackgroundChecks, 19, 7, 1, 1))</f>
        <v>1</v>
      </c>
      <c r="H222" s="254">
        <f ca="1">IF(OFFSET('IWP07'!BackgroundChecks, 19, 8, 1, 1)=DATE(1900,1,0), DATE(1900,1,1), OFFSET('IWP07'!BackgroundChecks, 19, 8, 1, 1))</f>
        <v>1</v>
      </c>
      <c r="I222" s="262" t="str">
        <f ca="1">IF(OFFSET('IWP07'!BackgroundChecks, 19, 9, 1, 1) = 0, "", OFFSET('IWP07'!BackgroundChecks, 19, 9, 1, 1))</f>
        <v/>
      </c>
      <c r="J222" s="262" t="str">
        <f ca="1">IF(OFFSET('IWP07'!BackgroundChecks, 19, 10, 1, 1) = 0, "", OFFSET('IWP07'!BackgroundChecks, 19, 10, 1, 1))</f>
        <v/>
      </c>
      <c r="K222" s="262" t="str">
        <f ca="1">IF(OFFSET('IWP07'!BackgroundChecks, 19, 11, 1, 1) = 0, "", OFFSET('IWP07'!BackgroundChecks, 19, 11, 1, 1))</f>
        <v/>
      </c>
      <c r="L222" s="262" t="str">
        <f ca="1">IF(OFFSET('IWP07'!BackgroundChecks, 19, 12, 1, 1) = 0, "", OFFSET('IWP07'!BackgroundChecks, 19, 12, 1, 1))</f>
        <v/>
      </c>
      <c r="M222" s="262" t="str">
        <f ca="1">IF(OFFSET('IWP07'!BackgroundChecks, 19, 13, 1, 1) = 0, "", OFFSET('IWP07'!BackgroundChecks, 19, 13, 1, 1))</f>
        <v/>
      </c>
      <c r="N222" s="261"/>
    </row>
    <row r="223" spans="1:14" s="146" customFormat="1">
      <c r="A223" s="257" t="s">
        <v>506</v>
      </c>
      <c r="B223" s="262" t="str">
        <f ca="1">IF(OFFSET('IWP08'!BackgroundChecks, 0, 0, 1, 1) = 0, "", OFFSET('IWP08'!BackgroundChecks, 0, 0, 1, 1))</f>
        <v/>
      </c>
      <c r="C223" s="262" t="str">
        <f ca="1">IF(OFFSET('IWP08'!BackgroundChecks, 0, 2, 1, 1) = 0, "", OFFSET('IWP08'!BackgroundChecks, 0, 2, 1, 1))</f>
        <v/>
      </c>
      <c r="D223" s="262" t="str">
        <f ca="1">IF(OFFSET('IWP08'!BackgroundChecks, 0, 4, 1, 1) = 0, "", OFFSET('IWP08'!BackgroundChecks, 0, 4, 1, 1))</f>
        <v/>
      </c>
      <c r="E223" s="254">
        <f ca="1">IF(OFFSET('IWP08'!BackgroundChecks, 0, 5, 1, 1)=DATE(1900,1,0), DATE(1900,1,1), OFFSET('IWP08'!BackgroundChecks, 0, 5, 1, 1))</f>
        <v>1</v>
      </c>
      <c r="F223" s="262" t="str">
        <f ca="1">IF(OFFSET('IWP08'!BackgroundChecks, 0, 6, 1, 1) = 0, "", OFFSET('IWP08'!BackgroundChecks, 0, 6, 1, 1))</f>
        <v/>
      </c>
      <c r="G223" s="254">
        <f ca="1">IF(OFFSET('IWP08'!BackgroundChecks, 0, 7, 1, 1)=DATE(1900,1,0), DATE(1900,1,1), OFFSET('IWP08'!BackgroundChecks, 0, 7, 1, 1))</f>
        <v>1</v>
      </c>
      <c r="H223" s="254">
        <f ca="1">IF(OFFSET('IWP08'!BackgroundChecks, 0, 8, 1, 1)=DATE(1900,1,0), DATE(1900,1,1), OFFSET('IWP08'!BackgroundChecks, 0, 8, 1, 1))</f>
        <v>1</v>
      </c>
      <c r="I223" s="262" t="str">
        <f ca="1">IF(OFFSET('IWP08'!BackgroundChecks, 0, 9, 1, 1) = 0, "", OFFSET('IWP08'!BackgroundChecks, 0, 9, 1, 1))</f>
        <v/>
      </c>
      <c r="J223" s="262" t="str">
        <f ca="1">IF(OFFSET('IWP08'!BackgroundChecks, 0, 10, 1, 1) = 0, "", OFFSET('IWP08'!BackgroundChecks, 0, 10, 1, 1))</f>
        <v/>
      </c>
      <c r="K223" s="262" t="str">
        <f ca="1">IF(OFFSET('IWP08'!BackgroundChecks, 0, 11, 1, 1) = 0, "", OFFSET('IWP08'!BackgroundChecks, 0, 11, 1, 1))</f>
        <v/>
      </c>
      <c r="L223" s="262" t="str">
        <f ca="1">IF(OFFSET('IWP08'!BackgroundChecks, 0, 12, 1, 1) = 0, "", OFFSET('IWP08'!BackgroundChecks, 0, 12, 1, 1))</f>
        <v/>
      </c>
      <c r="M223" s="262" t="str">
        <f ca="1">IF(OFFSET('IWP08'!BackgroundChecks, 0, 13, 1, 1) = 0, "", OFFSET('IWP08'!BackgroundChecks, 0, 13, 1, 1))</f>
        <v/>
      </c>
      <c r="N223" s="261"/>
    </row>
    <row r="224" spans="1:14" s="146" customFormat="1">
      <c r="A224" s="257" t="s">
        <v>506</v>
      </c>
      <c r="B224" s="262" t="str">
        <f ca="1">IF(OFFSET('IWP08'!BackgroundChecks, 1, 0, 1, 1) = 0, "", OFFSET('IWP08'!BackgroundChecks, 1, 0, 1, 1))</f>
        <v/>
      </c>
      <c r="C224" s="262" t="str">
        <f ca="1">IF(OFFSET('IWP08'!BackgroundChecks, 1, 2, 1, 1) = 0, "", OFFSET('IWP08'!BackgroundChecks, 1, 2, 1, 1))</f>
        <v/>
      </c>
      <c r="D224" s="262" t="str">
        <f ca="1">IF(OFFSET('IWP08'!BackgroundChecks, 1, 4, 1, 1) = 0, "", OFFSET('IWP08'!BackgroundChecks, 1, 4, 1, 1))</f>
        <v/>
      </c>
      <c r="E224" s="254">
        <f ca="1">IF(OFFSET('IWP08'!BackgroundChecks, 1, 5, 1, 1)=DATE(1900,1,0), DATE(1900,1,1), OFFSET('IWP08'!BackgroundChecks, 1, 5, 1, 1))</f>
        <v>1</v>
      </c>
      <c r="F224" s="262" t="str">
        <f ca="1">IF(OFFSET('IWP08'!BackgroundChecks, 1, 6, 1, 1) = 0, "", OFFSET('IWP08'!BackgroundChecks, 1, 6, 1, 1))</f>
        <v/>
      </c>
      <c r="G224" s="254">
        <f ca="1">IF(OFFSET('IWP08'!BackgroundChecks, 1, 7, 1, 1)=DATE(1900,1,0), DATE(1900,1,1), OFFSET('IWP08'!BackgroundChecks, 1, 7, 1, 1))</f>
        <v>1</v>
      </c>
      <c r="H224" s="254">
        <f ca="1">IF(OFFSET('IWP08'!BackgroundChecks, 1, 8, 1, 1)=DATE(1900,1,0), DATE(1900,1,1), OFFSET('IWP08'!BackgroundChecks, 1, 8, 1, 1))</f>
        <v>1</v>
      </c>
      <c r="I224" s="262" t="str">
        <f ca="1">IF(OFFSET('IWP08'!BackgroundChecks, 1, 9, 1, 1) = 0, "", OFFSET('IWP08'!BackgroundChecks, 1, 9, 1, 1))</f>
        <v/>
      </c>
      <c r="J224" s="262" t="str">
        <f ca="1">IF(OFFSET('IWP08'!BackgroundChecks, 1, 10, 1, 1) = 0, "", OFFSET('IWP08'!BackgroundChecks, 1, 10, 1, 1))</f>
        <v/>
      </c>
      <c r="K224" s="262" t="str">
        <f ca="1">IF(OFFSET('IWP08'!BackgroundChecks, 1, 11, 1, 1) = 0, "", OFFSET('IWP08'!BackgroundChecks, 1, 11, 1, 1))</f>
        <v/>
      </c>
      <c r="L224" s="262" t="str">
        <f ca="1">IF(OFFSET('IWP08'!BackgroundChecks, 1, 12, 1, 1) = 0, "", OFFSET('IWP08'!BackgroundChecks, 1, 12, 1, 1))</f>
        <v/>
      </c>
      <c r="M224" s="262" t="str">
        <f ca="1">IF(OFFSET('IWP08'!BackgroundChecks, 1, 13, 1, 1) = 0, "", OFFSET('IWP08'!BackgroundChecks, 1, 13, 1, 1))</f>
        <v/>
      </c>
      <c r="N224" s="261"/>
    </row>
    <row r="225" spans="1:14" s="146" customFormat="1">
      <c r="A225" s="257" t="s">
        <v>506</v>
      </c>
      <c r="B225" s="262" t="str">
        <f ca="1">IF(OFFSET('IWP08'!BackgroundChecks, 2, 0, 1, 1) = 0, "", OFFSET('IWP08'!BackgroundChecks, 2, 0, 1, 1))</f>
        <v/>
      </c>
      <c r="C225" s="262" t="str">
        <f ca="1">IF(OFFSET('IWP08'!BackgroundChecks, 2, 2, 1, 1) = 0, "", OFFSET('IWP08'!BackgroundChecks, 2, 2, 1, 1))</f>
        <v/>
      </c>
      <c r="D225" s="262" t="str">
        <f ca="1">IF(OFFSET('IWP08'!BackgroundChecks, 2, 4, 1, 1) = 0, "", OFFSET('IWP08'!BackgroundChecks, 2, 4, 1, 1))</f>
        <v/>
      </c>
      <c r="E225" s="254">
        <f ca="1">IF(OFFSET('IWP08'!BackgroundChecks, 2, 5, 1, 1)=DATE(1900,1,0), DATE(1900,1,1), OFFSET('IWP08'!BackgroundChecks, 2, 5, 1, 1))</f>
        <v>1</v>
      </c>
      <c r="F225" s="262" t="str">
        <f ca="1">IF(OFFSET('IWP08'!BackgroundChecks, 2, 6, 1, 1) = 0, "", OFFSET('IWP08'!BackgroundChecks, 2, 6, 1, 1))</f>
        <v/>
      </c>
      <c r="G225" s="254">
        <f ca="1">IF(OFFSET('IWP08'!BackgroundChecks, 2, 7, 1, 1)=DATE(1900,1,0), DATE(1900,1,1), OFFSET('IWP08'!BackgroundChecks, 2, 7, 1, 1))</f>
        <v>1</v>
      </c>
      <c r="H225" s="254">
        <f ca="1">IF(OFFSET('IWP08'!BackgroundChecks, 2, 8, 1, 1)=DATE(1900,1,0), DATE(1900,1,1), OFFSET('IWP08'!BackgroundChecks, 2, 8, 1, 1))</f>
        <v>1</v>
      </c>
      <c r="I225" s="262" t="str">
        <f ca="1">IF(OFFSET('IWP08'!BackgroundChecks, 2, 9, 1, 1) = 0, "", OFFSET('IWP08'!BackgroundChecks, 2, 9, 1, 1))</f>
        <v/>
      </c>
      <c r="J225" s="262" t="str">
        <f ca="1">IF(OFFSET('IWP08'!BackgroundChecks, 2, 10, 1, 1) = 0, "", OFFSET('IWP08'!BackgroundChecks, 2, 10, 1, 1))</f>
        <v/>
      </c>
      <c r="K225" s="262" t="str">
        <f ca="1">IF(OFFSET('IWP08'!BackgroundChecks, 2, 11, 1, 1) = 0, "", OFFSET('IWP08'!BackgroundChecks, 2, 11, 1, 1))</f>
        <v/>
      </c>
      <c r="L225" s="262" t="str">
        <f ca="1">IF(OFFSET('IWP08'!BackgroundChecks, 2, 12, 1, 1) = 0, "", OFFSET('IWP08'!BackgroundChecks, 2, 12, 1, 1))</f>
        <v/>
      </c>
      <c r="M225" s="262" t="str">
        <f ca="1">IF(OFFSET('IWP08'!BackgroundChecks, 2, 13, 1, 1) = 0, "", OFFSET('IWP08'!BackgroundChecks, 2, 13, 1, 1))</f>
        <v/>
      </c>
      <c r="N225" s="261"/>
    </row>
    <row r="226" spans="1:14" s="146" customFormat="1">
      <c r="A226" s="257" t="s">
        <v>506</v>
      </c>
      <c r="B226" s="262" t="str">
        <f ca="1">IF(OFFSET('IWP08'!BackgroundChecks, 3, 0, 1, 1) = 0, "", OFFSET('IWP08'!BackgroundChecks, 3, 0, 1, 1))</f>
        <v/>
      </c>
      <c r="C226" s="262" t="str">
        <f ca="1">IF(OFFSET('IWP08'!BackgroundChecks, 3, 2, 1, 1) = 0, "", OFFSET('IWP08'!BackgroundChecks, 3, 2, 1, 1))</f>
        <v/>
      </c>
      <c r="D226" s="262" t="str">
        <f ca="1">IF(OFFSET('IWP08'!BackgroundChecks, 3, 4, 1, 1) = 0, "", OFFSET('IWP08'!BackgroundChecks, 3, 4, 1, 1))</f>
        <v/>
      </c>
      <c r="E226" s="254">
        <f ca="1">IF(OFFSET('IWP08'!BackgroundChecks, 3, 5, 1, 1)=DATE(1900,1,0), DATE(1900,1,1), OFFSET('IWP08'!BackgroundChecks, 3, 5, 1, 1))</f>
        <v>1</v>
      </c>
      <c r="F226" s="262" t="str">
        <f ca="1">IF(OFFSET('IWP08'!BackgroundChecks, 3, 6, 1, 1) = 0, "", OFFSET('IWP08'!BackgroundChecks, 3, 6, 1, 1))</f>
        <v/>
      </c>
      <c r="G226" s="254">
        <f ca="1">IF(OFFSET('IWP08'!BackgroundChecks, 3, 7, 1, 1)=DATE(1900,1,0), DATE(1900,1,1), OFFSET('IWP08'!BackgroundChecks, 3, 7, 1, 1))</f>
        <v>1</v>
      </c>
      <c r="H226" s="254">
        <f ca="1">IF(OFFSET('IWP08'!BackgroundChecks, 3, 8, 1, 1)=DATE(1900,1,0), DATE(1900,1,1), OFFSET('IWP08'!BackgroundChecks, 3, 8, 1, 1))</f>
        <v>1</v>
      </c>
      <c r="I226" s="262" t="str">
        <f ca="1">IF(OFFSET('IWP08'!BackgroundChecks, 3, 9, 1, 1) = 0, "", OFFSET('IWP08'!BackgroundChecks, 3, 9, 1, 1))</f>
        <v/>
      </c>
      <c r="J226" s="262" t="str">
        <f ca="1">IF(OFFSET('IWP08'!BackgroundChecks, 3, 10, 1, 1) = 0, "", OFFSET('IWP08'!BackgroundChecks, 3, 10, 1, 1))</f>
        <v/>
      </c>
      <c r="K226" s="262" t="str">
        <f ca="1">IF(OFFSET('IWP08'!BackgroundChecks, 3, 11, 1, 1) = 0, "", OFFSET('IWP08'!BackgroundChecks, 3, 11, 1, 1))</f>
        <v/>
      </c>
      <c r="L226" s="262" t="str">
        <f ca="1">IF(OFFSET('IWP08'!BackgroundChecks, 3, 12, 1, 1) = 0, "", OFFSET('IWP08'!BackgroundChecks, 3, 12, 1, 1))</f>
        <v/>
      </c>
      <c r="M226" s="262" t="str">
        <f ca="1">IF(OFFSET('IWP08'!BackgroundChecks, 3, 13, 1, 1) = 0, "", OFFSET('IWP08'!BackgroundChecks, 3, 13, 1, 1))</f>
        <v/>
      </c>
      <c r="N226" s="261"/>
    </row>
    <row r="227" spans="1:14" s="146" customFormat="1">
      <c r="A227" s="257" t="s">
        <v>506</v>
      </c>
      <c r="B227" s="262" t="str">
        <f ca="1">IF(OFFSET('IWP08'!BackgroundChecks, 4, 0, 1, 1) = 0, "", OFFSET('IWP08'!BackgroundChecks, 4, 0, 1, 1))</f>
        <v/>
      </c>
      <c r="C227" s="262" t="str">
        <f ca="1">IF(OFFSET('IWP08'!BackgroundChecks, 4, 2, 1, 1) = 0, "", OFFSET('IWP08'!BackgroundChecks, 4, 2, 1, 1))</f>
        <v/>
      </c>
      <c r="D227" s="262" t="str">
        <f ca="1">IF(OFFSET('IWP08'!BackgroundChecks, 4, 4, 1, 1) = 0, "", OFFSET('IWP08'!BackgroundChecks, 4, 4, 1, 1))</f>
        <v/>
      </c>
      <c r="E227" s="254">
        <f ca="1">IF(OFFSET('IWP08'!BackgroundChecks, 4, 5, 1, 1)=DATE(1900,1,0), DATE(1900,1,1), OFFSET('IWP08'!BackgroundChecks, 4, 5, 1, 1))</f>
        <v>1</v>
      </c>
      <c r="F227" s="262" t="str">
        <f ca="1">IF(OFFSET('IWP08'!BackgroundChecks, 4, 6, 1, 1) = 0, "", OFFSET('IWP08'!BackgroundChecks, 4, 6, 1, 1))</f>
        <v/>
      </c>
      <c r="G227" s="254">
        <f ca="1">IF(OFFSET('IWP08'!BackgroundChecks, 4, 7, 1, 1)=DATE(1900,1,0), DATE(1900,1,1), OFFSET('IWP08'!BackgroundChecks, 4, 7, 1, 1))</f>
        <v>1</v>
      </c>
      <c r="H227" s="254">
        <f ca="1">IF(OFFSET('IWP08'!BackgroundChecks, 4, 8, 1, 1)=DATE(1900,1,0), DATE(1900,1,1), OFFSET('IWP08'!BackgroundChecks, 4, 8, 1, 1))</f>
        <v>1</v>
      </c>
      <c r="I227" s="262" t="str">
        <f ca="1">IF(OFFSET('IWP08'!BackgroundChecks, 4, 9, 1, 1) = 0, "", OFFSET('IWP08'!BackgroundChecks, 4, 9, 1, 1))</f>
        <v/>
      </c>
      <c r="J227" s="262" t="str">
        <f ca="1">IF(OFFSET('IWP08'!BackgroundChecks, 4, 10, 1, 1) = 0, "", OFFSET('IWP08'!BackgroundChecks, 4, 10, 1, 1))</f>
        <v/>
      </c>
      <c r="K227" s="262" t="str">
        <f ca="1">IF(OFFSET('IWP08'!BackgroundChecks, 4, 11, 1, 1) = 0, "", OFFSET('IWP08'!BackgroundChecks, 4, 11, 1, 1))</f>
        <v/>
      </c>
      <c r="L227" s="262" t="str">
        <f ca="1">IF(OFFSET('IWP08'!BackgroundChecks, 4, 12, 1, 1) = 0, "", OFFSET('IWP08'!BackgroundChecks, 4, 12, 1, 1))</f>
        <v/>
      </c>
      <c r="M227" s="262" t="str">
        <f ca="1">IF(OFFSET('IWP08'!BackgroundChecks, 4, 13, 1, 1) = 0, "", OFFSET('IWP08'!BackgroundChecks, 4, 13, 1, 1))</f>
        <v/>
      </c>
      <c r="N227" s="261"/>
    </row>
    <row r="228" spans="1:14" s="146" customFormat="1">
      <c r="A228" s="257" t="s">
        <v>506</v>
      </c>
      <c r="B228" s="262" t="str">
        <f ca="1">IF(OFFSET('IWP08'!BackgroundChecks, 5, 0, 1, 1) = 0, "", OFFSET('IWP08'!BackgroundChecks, 5, 0, 1, 1))</f>
        <v/>
      </c>
      <c r="C228" s="262" t="str">
        <f ca="1">IF(OFFSET('IWP08'!BackgroundChecks, 5, 2, 1, 1) = 0, "", OFFSET('IWP08'!BackgroundChecks, 5, 2, 1, 1))</f>
        <v/>
      </c>
      <c r="D228" s="262" t="str">
        <f ca="1">IF(OFFSET('IWP08'!BackgroundChecks, 5, 4, 1, 1) = 0, "", OFFSET('IWP08'!BackgroundChecks, 5, 4, 1, 1))</f>
        <v/>
      </c>
      <c r="E228" s="254">
        <f ca="1">IF(OFFSET('IWP08'!BackgroundChecks, 5, 5, 1, 1)=DATE(1900,1,0), DATE(1900,1,1), OFFSET('IWP08'!BackgroundChecks, 5, 5, 1, 1))</f>
        <v>1</v>
      </c>
      <c r="F228" s="262" t="str">
        <f ca="1">IF(OFFSET('IWP08'!BackgroundChecks, 5, 6, 1, 1) = 0, "", OFFSET('IWP08'!BackgroundChecks, 5, 6, 1, 1))</f>
        <v/>
      </c>
      <c r="G228" s="254">
        <f ca="1">IF(OFFSET('IWP08'!BackgroundChecks, 5, 7, 1, 1)=DATE(1900,1,0), DATE(1900,1,1), OFFSET('IWP08'!BackgroundChecks, 5, 7, 1, 1))</f>
        <v>1</v>
      </c>
      <c r="H228" s="254">
        <f ca="1">IF(OFFSET('IWP08'!BackgroundChecks, 5, 8, 1, 1)=DATE(1900,1,0), DATE(1900,1,1), OFFSET('IWP08'!BackgroundChecks, 5, 8, 1, 1))</f>
        <v>1</v>
      </c>
      <c r="I228" s="262" t="str">
        <f ca="1">IF(OFFSET('IWP08'!BackgroundChecks, 5, 9, 1, 1) = 0, "", OFFSET('IWP08'!BackgroundChecks, 5, 9, 1, 1))</f>
        <v/>
      </c>
      <c r="J228" s="262" t="str">
        <f ca="1">IF(OFFSET('IWP08'!BackgroundChecks, 5, 10, 1, 1) = 0, "", OFFSET('IWP08'!BackgroundChecks, 5, 10, 1, 1))</f>
        <v/>
      </c>
      <c r="K228" s="262" t="str">
        <f ca="1">IF(OFFSET('IWP08'!BackgroundChecks, 5, 11, 1, 1) = 0, "", OFFSET('IWP08'!BackgroundChecks, 5, 11, 1, 1))</f>
        <v/>
      </c>
      <c r="L228" s="262" t="str">
        <f ca="1">IF(OFFSET('IWP08'!BackgroundChecks, 5, 12, 1, 1) = 0, "", OFFSET('IWP08'!BackgroundChecks, 5, 12, 1, 1))</f>
        <v/>
      </c>
      <c r="M228" s="262" t="str">
        <f ca="1">IF(OFFSET('IWP08'!BackgroundChecks, 5, 13, 1, 1) = 0, "", OFFSET('IWP08'!BackgroundChecks, 5, 13, 1, 1))</f>
        <v/>
      </c>
      <c r="N228" s="261"/>
    </row>
    <row r="229" spans="1:14" s="146" customFormat="1">
      <c r="A229" s="257" t="s">
        <v>506</v>
      </c>
      <c r="B229" s="262" t="str">
        <f ca="1">IF(OFFSET('IWP08'!BackgroundChecks, 6, 0, 1, 1) = 0, "", OFFSET('IWP08'!BackgroundChecks, 6, 0, 1, 1))</f>
        <v/>
      </c>
      <c r="C229" s="262" t="str">
        <f ca="1">IF(OFFSET('IWP08'!BackgroundChecks, 6, 2, 1, 1) = 0, "", OFFSET('IWP08'!BackgroundChecks, 6, 2, 1, 1))</f>
        <v/>
      </c>
      <c r="D229" s="262" t="str">
        <f ca="1">IF(OFFSET('IWP08'!BackgroundChecks, 6, 4, 1, 1) = 0, "", OFFSET('IWP08'!BackgroundChecks, 6, 4, 1, 1))</f>
        <v/>
      </c>
      <c r="E229" s="254">
        <f ca="1">IF(OFFSET('IWP08'!BackgroundChecks, 6, 5, 1, 1)=DATE(1900,1,0), DATE(1900,1,1), OFFSET('IWP08'!BackgroundChecks, 6, 5, 1, 1))</f>
        <v>1</v>
      </c>
      <c r="F229" s="262" t="str">
        <f ca="1">IF(OFFSET('IWP08'!BackgroundChecks, 6, 6, 1, 1) = 0, "", OFFSET('IWP08'!BackgroundChecks, 6, 6, 1, 1))</f>
        <v/>
      </c>
      <c r="G229" s="254">
        <f ca="1">IF(OFFSET('IWP08'!BackgroundChecks, 6, 7, 1, 1)=DATE(1900,1,0), DATE(1900,1,1), OFFSET('IWP08'!BackgroundChecks, 6, 7, 1, 1))</f>
        <v>1</v>
      </c>
      <c r="H229" s="254">
        <f ca="1">IF(OFFSET('IWP08'!BackgroundChecks, 6, 8, 1, 1)=DATE(1900,1,0), DATE(1900,1,1), OFFSET('IWP08'!BackgroundChecks, 6, 8, 1, 1))</f>
        <v>1</v>
      </c>
      <c r="I229" s="262" t="str">
        <f ca="1">IF(OFFSET('IWP08'!BackgroundChecks, 6, 9, 1, 1) = 0, "", OFFSET('IWP08'!BackgroundChecks, 6, 9, 1, 1))</f>
        <v/>
      </c>
      <c r="J229" s="262" t="str">
        <f ca="1">IF(OFFSET('IWP08'!BackgroundChecks, 6, 10, 1, 1) = 0, "", OFFSET('IWP08'!BackgroundChecks, 6, 10, 1, 1))</f>
        <v/>
      </c>
      <c r="K229" s="262" t="str">
        <f ca="1">IF(OFFSET('IWP08'!BackgroundChecks, 6, 11, 1, 1) = 0, "", OFFSET('IWP08'!BackgroundChecks, 6, 11, 1, 1))</f>
        <v/>
      </c>
      <c r="L229" s="262" t="str">
        <f ca="1">IF(OFFSET('IWP08'!BackgroundChecks, 6, 12, 1, 1) = 0, "", OFFSET('IWP08'!BackgroundChecks, 6, 12, 1, 1))</f>
        <v/>
      </c>
      <c r="M229" s="262" t="str">
        <f ca="1">IF(OFFSET('IWP08'!BackgroundChecks, 6, 13, 1, 1) = 0, "", OFFSET('IWP08'!BackgroundChecks, 6, 13, 1, 1))</f>
        <v/>
      </c>
      <c r="N229" s="261"/>
    </row>
    <row r="230" spans="1:14" s="146" customFormat="1">
      <c r="A230" s="257" t="s">
        <v>506</v>
      </c>
      <c r="B230" s="262" t="str">
        <f ca="1">IF(OFFSET('IWP08'!BackgroundChecks, 7, 0, 1, 1) = 0, "", OFFSET('IWP08'!BackgroundChecks, 7, 0, 1, 1))</f>
        <v/>
      </c>
      <c r="C230" s="262" t="str">
        <f ca="1">IF(OFFSET('IWP08'!BackgroundChecks, 7, 2, 1, 1) = 0, "", OFFSET('IWP08'!BackgroundChecks, 7, 2, 1, 1))</f>
        <v/>
      </c>
      <c r="D230" s="262" t="str">
        <f ca="1">IF(OFFSET('IWP08'!BackgroundChecks, 7, 4, 1, 1) = 0, "", OFFSET('IWP08'!BackgroundChecks, 7, 4, 1, 1))</f>
        <v/>
      </c>
      <c r="E230" s="254">
        <f ca="1">IF(OFFSET('IWP08'!BackgroundChecks, 7, 5, 1, 1)=DATE(1900,1,0), DATE(1900,1,1), OFFSET('IWP08'!BackgroundChecks, 7, 5, 1, 1))</f>
        <v>1</v>
      </c>
      <c r="F230" s="262" t="str">
        <f ca="1">IF(OFFSET('IWP08'!BackgroundChecks, 7, 6, 1, 1) = 0, "", OFFSET('IWP08'!BackgroundChecks, 7, 6, 1, 1))</f>
        <v/>
      </c>
      <c r="G230" s="254">
        <f ca="1">IF(OFFSET('IWP08'!BackgroundChecks, 7, 7, 1, 1)=DATE(1900,1,0), DATE(1900,1,1), OFFSET('IWP08'!BackgroundChecks, 7, 7, 1, 1))</f>
        <v>1</v>
      </c>
      <c r="H230" s="254">
        <f ca="1">IF(OFFSET('IWP08'!BackgroundChecks, 7, 8, 1, 1)=DATE(1900,1,0), DATE(1900,1,1), OFFSET('IWP08'!BackgroundChecks, 7, 8, 1, 1))</f>
        <v>1</v>
      </c>
      <c r="I230" s="262" t="str">
        <f ca="1">IF(OFFSET('IWP08'!BackgroundChecks, 7, 9, 1, 1) = 0, "", OFFSET('IWP08'!BackgroundChecks, 7, 9, 1, 1))</f>
        <v/>
      </c>
      <c r="J230" s="262" t="str">
        <f ca="1">IF(OFFSET('IWP08'!BackgroundChecks, 7, 10, 1, 1) = 0, "", OFFSET('IWP08'!BackgroundChecks, 7, 10, 1, 1))</f>
        <v/>
      </c>
      <c r="K230" s="262" t="str">
        <f ca="1">IF(OFFSET('IWP08'!BackgroundChecks, 7, 11, 1, 1) = 0, "", OFFSET('IWP08'!BackgroundChecks, 7, 11, 1, 1))</f>
        <v/>
      </c>
      <c r="L230" s="262" t="str">
        <f ca="1">IF(OFFSET('IWP08'!BackgroundChecks, 7, 12, 1, 1) = 0, "", OFFSET('IWP08'!BackgroundChecks, 7, 12, 1, 1))</f>
        <v/>
      </c>
      <c r="M230" s="262" t="str">
        <f ca="1">IF(OFFSET('IWP08'!BackgroundChecks, 7, 13, 1, 1) = 0, "", OFFSET('IWP08'!BackgroundChecks, 7, 13, 1, 1))</f>
        <v/>
      </c>
      <c r="N230" s="261"/>
    </row>
    <row r="231" spans="1:14" s="146" customFormat="1">
      <c r="A231" s="257" t="s">
        <v>506</v>
      </c>
      <c r="B231" s="262" t="str">
        <f ca="1">IF(OFFSET('IWP08'!BackgroundChecks, 8, 0, 1, 1) = 0, "", OFFSET('IWP08'!BackgroundChecks, 8, 0, 1, 1))</f>
        <v/>
      </c>
      <c r="C231" s="262" t="str">
        <f ca="1">IF(OFFSET('IWP08'!BackgroundChecks, 8, 2, 1, 1) = 0, "", OFFSET('IWP08'!BackgroundChecks, 8, 2, 1, 1))</f>
        <v/>
      </c>
      <c r="D231" s="262" t="str">
        <f ca="1">IF(OFFSET('IWP08'!BackgroundChecks, 8, 4, 1, 1) = 0, "", OFFSET('IWP08'!BackgroundChecks, 8, 4, 1, 1))</f>
        <v/>
      </c>
      <c r="E231" s="254">
        <f ca="1">IF(OFFSET('IWP08'!BackgroundChecks, 8, 5, 1, 1)=DATE(1900,1,0), DATE(1900,1,1), OFFSET('IWP08'!BackgroundChecks, 8, 5, 1, 1))</f>
        <v>1</v>
      </c>
      <c r="F231" s="262" t="str">
        <f ca="1">IF(OFFSET('IWP08'!BackgroundChecks, 8, 6, 1, 1) = 0, "", OFFSET('IWP08'!BackgroundChecks, 8, 6, 1, 1))</f>
        <v/>
      </c>
      <c r="G231" s="254">
        <f ca="1">IF(OFFSET('IWP08'!BackgroundChecks, 8, 7, 1, 1)=DATE(1900,1,0), DATE(1900,1,1), OFFSET('IWP08'!BackgroundChecks, 8, 7, 1, 1))</f>
        <v>1</v>
      </c>
      <c r="H231" s="254">
        <f ca="1">IF(OFFSET('IWP08'!BackgroundChecks, 8, 8, 1, 1)=DATE(1900,1,0), DATE(1900,1,1), OFFSET('IWP08'!BackgroundChecks, 8, 8, 1, 1))</f>
        <v>1</v>
      </c>
      <c r="I231" s="262" t="str">
        <f ca="1">IF(OFFSET('IWP08'!BackgroundChecks, 8, 9, 1, 1) = 0, "", OFFSET('IWP08'!BackgroundChecks, 8, 9, 1, 1))</f>
        <v/>
      </c>
      <c r="J231" s="262" t="str">
        <f ca="1">IF(OFFSET('IWP08'!BackgroundChecks, 8, 10, 1, 1) = 0, "", OFFSET('IWP08'!BackgroundChecks, 8, 10, 1, 1))</f>
        <v/>
      </c>
      <c r="K231" s="262" t="str">
        <f ca="1">IF(OFFSET('IWP08'!BackgroundChecks, 8, 11, 1, 1) = 0, "", OFFSET('IWP08'!BackgroundChecks, 8, 11, 1, 1))</f>
        <v/>
      </c>
      <c r="L231" s="262" t="str">
        <f ca="1">IF(OFFSET('IWP08'!BackgroundChecks, 8, 12, 1, 1) = 0, "", OFFSET('IWP08'!BackgroundChecks, 8, 12, 1, 1))</f>
        <v/>
      </c>
      <c r="M231" s="262" t="str">
        <f ca="1">IF(OFFSET('IWP08'!BackgroundChecks, 8, 13, 1, 1) = 0, "", OFFSET('IWP08'!BackgroundChecks, 8, 13, 1, 1))</f>
        <v/>
      </c>
      <c r="N231" s="261"/>
    </row>
    <row r="232" spans="1:14" s="146" customFormat="1">
      <c r="A232" s="257" t="s">
        <v>506</v>
      </c>
      <c r="B232" s="262" t="str">
        <f ca="1">IF(OFFSET('IWP08'!BackgroundChecks, 9, 0, 1, 1) = 0, "", OFFSET('IWP08'!BackgroundChecks, 9, 0, 1, 1))</f>
        <v/>
      </c>
      <c r="C232" s="262" t="str">
        <f ca="1">IF(OFFSET('IWP08'!BackgroundChecks, 9, 2, 1, 1) = 0, "", OFFSET('IWP08'!BackgroundChecks, 9, 2, 1, 1))</f>
        <v/>
      </c>
      <c r="D232" s="262" t="str">
        <f ca="1">IF(OFFSET('IWP08'!BackgroundChecks, 9, 4, 1, 1) = 0, "", OFFSET('IWP08'!BackgroundChecks, 9, 4, 1, 1))</f>
        <v/>
      </c>
      <c r="E232" s="254">
        <f ca="1">IF(OFFSET('IWP08'!BackgroundChecks, 9, 5, 1, 1)=DATE(1900,1,0), DATE(1900,1,1), OFFSET('IWP08'!BackgroundChecks, 9, 5, 1, 1))</f>
        <v>1</v>
      </c>
      <c r="F232" s="262" t="str">
        <f ca="1">IF(OFFSET('IWP08'!BackgroundChecks, 9, 6, 1, 1) = 0, "", OFFSET('IWP08'!BackgroundChecks, 9, 6, 1, 1))</f>
        <v/>
      </c>
      <c r="G232" s="254">
        <f ca="1">IF(OFFSET('IWP08'!BackgroundChecks, 9, 7, 1, 1)=DATE(1900,1,0), DATE(1900,1,1), OFFSET('IWP08'!BackgroundChecks, 9, 7, 1, 1))</f>
        <v>1</v>
      </c>
      <c r="H232" s="254">
        <f ca="1">IF(OFFSET('IWP08'!BackgroundChecks, 9, 8, 1, 1)=DATE(1900,1,0), DATE(1900,1,1), OFFSET('IWP08'!BackgroundChecks, 9, 8, 1, 1))</f>
        <v>1</v>
      </c>
      <c r="I232" s="262" t="str">
        <f ca="1">IF(OFFSET('IWP08'!BackgroundChecks, 9, 9, 1, 1) = 0, "", OFFSET('IWP08'!BackgroundChecks, 9, 9, 1, 1))</f>
        <v/>
      </c>
      <c r="J232" s="262" t="str">
        <f ca="1">IF(OFFSET('IWP08'!BackgroundChecks, 9, 10, 1, 1) = 0, "", OFFSET('IWP08'!BackgroundChecks, 9, 10, 1, 1))</f>
        <v/>
      </c>
      <c r="K232" s="262" t="str">
        <f ca="1">IF(OFFSET('IWP08'!BackgroundChecks, 9, 11, 1, 1) = 0, "", OFFSET('IWP08'!BackgroundChecks, 9, 11, 1, 1))</f>
        <v/>
      </c>
      <c r="L232" s="262" t="str">
        <f ca="1">IF(OFFSET('IWP08'!BackgroundChecks, 9, 12, 1, 1) = 0, "", OFFSET('IWP08'!BackgroundChecks, 9, 12, 1, 1))</f>
        <v/>
      </c>
      <c r="M232" s="262" t="str">
        <f ca="1">IF(OFFSET('IWP08'!BackgroundChecks, 9, 13, 1, 1) = 0, "", OFFSET('IWP08'!BackgroundChecks, 9, 13, 1, 1))</f>
        <v/>
      </c>
      <c r="N232" s="261"/>
    </row>
    <row r="233" spans="1:14" s="146" customFormat="1">
      <c r="A233" s="257" t="s">
        <v>506</v>
      </c>
      <c r="B233" s="262" t="str">
        <f ca="1">IF(OFFSET('IWP08'!BackgroundChecks, 10, 0, 1, 1) = 0, "", OFFSET('IWP08'!BackgroundChecks, 10, 0, 1, 1))</f>
        <v/>
      </c>
      <c r="C233" s="262" t="str">
        <f ca="1">IF(OFFSET('IWP08'!BackgroundChecks, 10, 2, 1, 1) = 0, "", OFFSET('IWP08'!BackgroundChecks, 10, 2, 1, 1))</f>
        <v/>
      </c>
      <c r="D233" s="262" t="str">
        <f ca="1">IF(OFFSET('IWP08'!BackgroundChecks, 10, 4, 1, 1) = 0, "", OFFSET('IWP08'!BackgroundChecks, 10, 4, 1, 1))</f>
        <v/>
      </c>
      <c r="E233" s="254">
        <f ca="1">IF(OFFSET('IWP08'!BackgroundChecks, 10, 5, 1, 1)=DATE(1900,1,0), DATE(1900,1,1), OFFSET('IWP08'!BackgroundChecks, 10, 5, 1, 1))</f>
        <v>1</v>
      </c>
      <c r="F233" s="262" t="str">
        <f ca="1">IF(OFFSET('IWP08'!BackgroundChecks, 10, 6, 1, 1) = 0, "", OFFSET('IWP08'!BackgroundChecks, 10, 6, 1, 1))</f>
        <v/>
      </c>
      <c r="G233" s="254">
        <f ca="1">IF(OFFSET('IWP08'!BackgroundChecks, 10, 7, 1, 1)=DATE(1900,1,0), DATE(1900,1,1), OFFSET('IWP08'!BackgroundChecks, 10, 7, 1, 1))</f>
        <v>1</v>
      </c>
      <c r="H233" s="254">
        <f ca="1">IF(OFFSET('IWP08'!BackgroundChecks, 10, 8, 1, 1)=DATE(1900,1,0), DATE(1900,1,1), OFFSET('IWP08'!BackgroundChecks, 10, 8, 1, 1))</f>
        <v>1</v>
      </c>
      <c r="I233" s="262" t="str">
        <f ca="1">IF(OFFSET('IWP08'!BackgroundChecks, 10, 9, 1, 1) = 0, "", OFFSET('IWP08'!BackgroundChecks, 10, 9, 1, 1))</f>
        <v/>
      </c>
      <c r="J233" s="262" t="str">
        <f ca="1">IF(OFFSET('IWP08'!BackgroundChecks, 10, 10, 1, 1) = 0, "", OFFSET('IWP08'!BackgroundChecks, 10, 10, 1, 1))</f>
        <v/>
      </c>
      <c r="K233" s="262" t="str">
        <f ca="1">IF(OFFSET('IWP08'!BackgroundChecks, 10, 11, 1, 1) = 0, "", OFFSET('IWP08'!BackgroundChecks, 10, 11, 1, 1))</f>
        <v/>
      </c>
      <c r="L233" s="262" t="str">
        <f ca="1">IF(OFFSET('IWP08'!BackgroundChecks, 10, 12, 1, 1) = 0, "", OFFSET('IWP08'!BackgroundChecks, 10, 12, 1, 1))</f>
        <v/>
      </c>
      <c r="M233" s="262" t="str">
        <f ca="1">IF(OFFSET('IWP08'!BackgroundChecks, 10, 13, 1, 1) = 0, "", OFFSET('IWP08'!BackgroundChecks, 10, 13, 1, 1))</f>
        <v/>
      </c>
      <c r="N233" s="261"/>
    </row>
    <row r="234" spans="1:14" s="146" customFormat="1">
      <c r="A234" s="257" t="s">
        <v>506</v>
      </c>
      <c r="B234" s="262" t="str">
        <f ca="1">IF(OFFSET('IWP08'!BackgroundChecks, 11, 0, 1, 1) = 0, "", OFFSET('IWP08'!BackgroundChecks, 11, 0, 1, 1))</f>
        <v/>
      </c>
      <c r="C234" s="262" t="str">
        <f ca="1">IF(OFFSET('IWP08'!BackgroundChecks, 11, 2, 1, 1) = 0, "", OFFSET('IWP08'!BackgroundChecks, 11, 2, 1, 1))</f>
        <v/>
      </c>
      <c r="D234" s="262" t="str">
        <f ca="1">IF(OFFSET('IWP08'!BackgroundChecks, 11, 4, 1, 1) = 0, "", OFFSET('IWP08'!BackgroundChecks, 11, 4, 1, 1))</f>
        <v/>
      </c>
      <c r="E234" s="254">
        <f ca="1">IF(OFFSET('IWP08'!BackgroundChecks, 11, 5, 1, 1)=DATE(1900,1,0), DATE(1900,1,1), OFFSET('IWP08'!BackgroundChecks, 11, 5, 1, 1))</f>
        <v>1</v>
      </c>
      <c r="F234" s="262" t="str">
        <f ca="1">IF(OFFSET('IWP08'!BackgroundChecks, 11, 6, 1, 1) = 0, "", OFFSET('IWP08'!BackgroundChecks, 11, 6, 1, 1))</f>
        <v/>
      </c>
      <c r="G234" s="254">
        <f ca="1">IF(OFFSET('IWP08'!BackgroundChecks, 11, 7, 1, 1)=DATE(1900,1,0), DATE(1900,1,1), OFFSET('IWP08'!BackgroundChecks, 11, 7, 1, 1))</f>
        <v>1</v>
      </c>
      <c r="H234" s="254">
        <f ca="1">IF(OFFSET('IWP08'!BackgroundChecks, 11, 8, 1, 1)=DATE(1900,1,0), DATE(1900,1,1), OFFSET('IWP08'!BackgroundChecks, 11, 8, 1, 1))</f>
        <v>1</v>
      </c>
      <c r="I234" s="262" t="str">
        <f ca="1">IF(OFFSET('IWP08'!BackgroundChecks, 11, 9, 1, 1) = 0, "", OFFSET('IWP08'!BackgroundChecks, 11, 9, 1, 1))</f>
        <v/>
      </c>
      <c r="J234" s="262" t="str">
        <f ca="1">IF(OFFSET('IWP08'!BackgroundChecks, 11, 10, 1, 1) = 0, "", OFFSET('IWP08'!BackgroundChecks, 11, 10, 1, 1))</f>
        <v/>
      </c>
      <c r="K234" s="262" t="str">
        <f ca="1">IF(OFFSET('IWP08'!BackgroundChecks, 11, 11, 1, 1) = 0, "", OFFSET('IWP08'!BackgroundChecks, 11, 11, 1, 1))</f>
        <v/>
      </c>
      <c r="L234" s="262" t="str">
        <f ca="1">IF(OFFSET('IWP08'!BackgroundChecks, 11, 12, 1, 1) = 0, "", OFFSET('IWP08'!BackgroundChecks, 11, 12, 1, 1))</f>
        <v/>
      </c>
      <c r="M234" s="262" t="str">
        <f ca="1">IF(OFFSET('IWP08'!BackgroundChecks, 11, 13, 1, 1) = 0, "", OFFSET('IWP08'!BackgroundChecks, 11, 13, 1, 1))</f>
        <v/>
      </c>
      <c r="N234" s="261"/>
    </row>
    <row r="235" spans="1:14" s="146" customFormat="1">
      <c r="A235" s="257" t="s">
        <v>506</v>
      </c>
      <c r="B235" s="262" t="str">
        <f ca="1">IF(OFFSET('IWP08'!BackgroundChecks, 12, 0, 1, 1) = 0, "", OFFSET('IWP08'!BackgroundChecks, 12, 0, 1, 1))</f>
        <v/>
      </c>
      <c r="C235" s="262" t="str">
        <f ca="1">IF(OFFSET('IWP08'!BackgroundChecks, 12, 2, 1, 1) = 0, "", OFFSET('IWP08'!BackgroundChecks, 12, 2, 1, 1))</f>
        <v/>
      </c>
      <c r="D235" s="262" t="str">
        <f ca="1">IF(OFFSET('IWP08'!BackgroundChecks, 12, 4, 1, 1) = 0, "", OFFSET('IWP08'!BackgroundChecks, 12, 4, 1, 1))</f>
        <v/>
      </c>
      <c r="E235" s="254">
        <f ca="1">IF(OFFSET('IWP08'!BackgroundChecks, 12, 5, 1, 1)=DATE(1900,1,0), DATE(1900,1,1), OFFSET('IWP08'!BackgroundChecks, 12, 5, 1, 1))</f>
        <v>1</v>
      </c>
      <c r="F235" s="262" t="str">
        <f ca="1">IF(OFFSET('IWP08'!BackgroundChecks, 12, 6, 1, 1) = 0, "", OFFSET('IWP08'!BackgroundChecks, 12, 6, 1, 1))</f>
        <v/>
      </c>
      <c r="G235" s="254">
        <f ca="1">IF(OFFSET('IWP08'!BackgroundChecks, 12, 7, 1, 1)=DATE(1900,1,0), DATE(1900,1,1), OFFSET('IWP08'!BackgroundChecks, 12, 7, 1, 1))</f>
        <v>1</v>
      </c>
      <c r="H235" s="254">
        <f ca="1">IF(OFFSET('IWP08'!BackgroundChecks, 12, 8, 1, 1)=DATE(1900,1,0), DATE(1900,1,1), OFFSET('IWP08'!BackgroundChecks, 12, 8, 1, 1))</f>
        <v>1</v>
      </c>
      <c r="I235" s="262" t="str">
        <f ca="1">IF(OFFSET('IWP08'!BackgroundChecks, 12, 9, 1, 1) = 0, "", OFFSET('IWP08'!BackgroundChecks, 12, 9, 1, 1))</f>
        <v/>
      </c>
      <c r="J235" s="262" t="str">
        <f ca="1">IF(OFFSET('IWP08'!BackgroundChecks, 12, 10, 1, 1) = 0, "", OFFSET('IWP08'!BackgroundChecks, 12, 10, 1, 1))</f>
        <v/>
      </c>
      <c r="K235" s="262" t="str">
        <f ca="1">IF(OFFSET('IWP08'!BackgroundChecks, 12, 11, 1, 1) = 0, "", OFFSET('IWP08'!BackgroundChecks, 12, 11, 1, 1))</f>
        <v/>
      </c>
      <c r="L235" s="262" t="str">
        <f ca="1">IF(OFFSET('IWP08'!BackgroundChecks, 12, 12, 1, 1) = 0, "", OFFSET('IWP08'!BackgroundChecks, 12, 12, 1, 1))</f>
        <v/>
      </c>
      <c r="M235" s="262" t="str">
        <f ca="1">IF(OFFSET('IWP08'!BackgroundChecks, 12, 13, 1, 1) = 0, "", OFFSET('IWP08'!BackgroundChecks, 12, 13, 1, 1))</f>
        <v/>
      </c>
      <c r="N235" s="261"/>
    </row>
    <row r="236" spans="1:14" s="146" customFormat="1">
      <c r="A236" s="257" t="s">
        <v>506</v>
      </c>
      <c r="B236" s="262" t="str">
        <f ca="1">IF(OFFSET('IWP08'!BackgroundChecks, 13, 0, 1, 1) = 0, "", OFFSET('IWP08'!BackgroundChecks, 13, 0, 1, 1))</f>
        <v/>
      </c>
      <c r="C236" s="262" t="str">
        <f ca="1">IF(OFFSET('IWP08'!BackgroundChecks, 13, 2, 1, 1) = 0, "", OFFSET('IWP08'!BackgroundChecks, 13, 2, 1, 1))</f>
        <v/>
      </c>
      <c r="D236" s="262" t="str">
        <f ca="1">IF(OFFSET('IWP08'!BackgroundChecks, 13, 4, 1, 1) = 0, "", OFFSET('IWP08'!BackgroundChecks, 13, 4, 1, 1))</f>
        <v/>
      </c>
      <c r="E236" s="254">
        <f ca="1">IF(OFFSET('IWP08'!BackgroundChecks, 13, 5, 1, 1)=DATE(1900,1,0), DATE(1900,1,1), OFFSET('IWP08'!BackgroundChecks, 13, 5, 1, 1))</f>
        <v>1</v>
      </c>
      <c r="F236" s="262" t="str">
        <f ca="1">IF(OFFSET('IWP08'!BackgroundChecks, 13, 6, 1, 1) = 0, "", OFFSET('IWP08'!BackgroundChecks, 13, 6, 1, 1))</f>
        <v/>
      </c>
      <c r="G236" s="254">
        <f ca="1">IF(OFFSET('IWP08'!BackgroundChecks, 13, 7, 1, 1)=DATE(1900,1,0), DATE(1900,1,1), OFFSET('IWP08'!BackgroundChecks, 13, 7, 1, 1))</f>
        <v>1</v>
      </c>
      <c r="H236" s="254">
        <f ca="1">IF(OFFSET('IWP08'!BackgroundChecks, 13, 8, 1, 1)=DATE(1900,1,0), DATE(1900,1,1), OFFSET('IWP08'!BackgroundChecks, 13, 8, 1, 1))</f>
        <v>1</v>
      </c>
      <c r="I236" s="262" t="str">
        <f ca="1">IF(OFFSET('IWP08'!BackgroundChecks, 13, 9, 1, 1) = 0, "", OFFSET('IWP08'!BackgroundChecks, 13, 9, 1, 1))</f>
        <v/>
      </c>
      <c r="J236" s="262" t="str">
        <f ca="1">IF(OFFSET('IWP08'!BackgroundChecks, 13, 10, 1, 1) = 0, "", OFFSET('IWP08'!BackgroundChecks, 13, 10, 1, 1))</f>
        <v/>
      </c>
      <c r="K236" s="262" t="str">
        <f ca="1">IF(OFFSET('IWP08'!BackgroundChecks, 13, 11, 1, 1) = 0, "", OFFSET('IWP08'!BackgroundChecks, 13, 11, 1, 1))</f>
        <v/>
      </c>
      <c r="L236" s="262" t="str">
        <f ca="1">IF(OFFSET('IWP08'!BackgroundChecks, 13, 12, 1, 1) = 0, "", OFFSET('IWP08'!BackgroundChecks, 13, 12, 1, 1))</f>
        <v/>
      </c>
      <c r="M236" s="262" t="str">
        <f ca="1">IF(OFFSET('IWP08'!BackgroundChecks, 13, 13, 1, 1) = 0, "", OFFSET('IWP08'!BackgroundChecks, 13, 13, 1, 1))</f>
        <v/>
      </c>
      <c r="N236" s="261"/>
    </row>
    <row r="237" spans="1:14" s="146" customFormat="1">
      <c r="A237" s="257" t="s">
        <v>506</v>
      </c>
      <c r="B237" s="262" t="str">
        <f ca="1">IF(OFFSET('IWP08'!BackgroundChecks, 14, 0, 1, 1) = 0, "", OFFSET('IWP08'!BackgroundChecks, 14, 0, 1, 1))</f>
        <v/>
      </c>
      <c r="C237" s="262" t="str">
        <f ca="1">IF(OFFSET('IWP08'!BackgroundChecks, 14, 2, 1, 1) = 0, "", OFFSET('IWP08'!BackgroundChecks, 14, 2, 1, 1))</f>
        <v/>
      </c>
      <c r="D237" s="262" t="str">
        <f ca="1">IF(OFFSET('IWP08'!BackgroundChecks, 14, 4, 1, 1) = 0, "", OFFSET('IWP08'!BackgroundChecks, 14, 4, 1, 1))</f>
        <v/>
      </c>
      <c r="E237" s="254">
        <f ca="1">IF(OFFSET('IWP08'!BackgroundChecks, 14, 5, 1, 1)=DATE(1900,1,0), DATE(1900,1,1), OFFSET('IWP08'!BackgroundChecks, 14, 5, 1, 1))</f>
        <v>1</v>
      </c>
      <c r="F237" s="262" t="str">
        <f ca="1">IF(OFFSET('IWP08'!BackgroundChecks, 14, 6, 1, 1) = 0, "", OFFSET('IWP08'!BackgroundChecks, 14, 6, 1, 1))</f>
        <v/>
      </c>
      <c r="G237" s="254">
        <f ca="1">IF(OFFSET('IWP08'!BackgroundChecks, 14, 7, 1, 1)=DATE(1900,1,0), DATE(1900,1,1), OFFSET('IWP08'!BackgroundChecks, 14, 7, 1, 1))</f>
        <v>1</v>
      </c>
      <c r="H237" s="254">
        <f ca="1">IF(OFFSET('IWP08'!BackgroundChecks, 14, 8, 1, 1)=DATE(1900,1,0), DATE(1900,1,1), OFFSET('IWP08'!BackgroundChecks, 14, 8, 1, 1))</f>
        <v>1</v>
      </c>
      <c r="I237" s="262" t="str">
        <f ca="1">IF(OFFSET('IWP08'!BackgroundChecks, 14, 9, 1, 1) = 0, "", OFFSET('IWP08'!BackgroundChecks, 14, 9, 1, 1))</f>
        <v/>
      </c>
      <c r="J237" s="262" t="str">
        <f ca="1">IF(OFFSET('IWP08'!BackgroundChecks, 14, 10, 1, 1) = 0, "", OFFSET('IWP08'!BackgroundChecks, 14, 10, 1, 1))</f>
        <v/>
      </c>
      <c r="K237" s="262" t="str">
        <f ca="1">IF(OFFSET('IWP08'!BackgroundChecks, 14, 11, 1, 1) = 0, "", OFFSET('IWP08'!BackgroundChecks, 14, 11, 1, 1))</f>
        <v/>
      </c>
      <c r="L237" s="262" t="str">
        <f ca="1">IF(OFFSET('IWP08'!BackgroundChecks, 14, 12, 1, 1) = 0, "", OFFSET('IWP08'!BackgroundChecks, 14, 12, 1, 1))</f>
        <v/>
      </c>
      <c r="M237" s="262" t="str">
        <f ca="1">IF(OFFSET('IWP08'!BackgroundChecks, 14, 13, 1, 1) = 0, "", OFFSET('IWP08'!BackgroundChecks, 14, 13, 1, 1))</f>
        <v/>
      </c>
      <c r="N237" s="261"/>
    </row>
    <row r="238" spans="1:14" s="146" customFormat="1">
      <c r="A238" s="257" t="s">
        <v>506</v>
      </c>
      <c r="B238" s="262" t="str">
        <f ca="1">IF(OFFSET('IWP08'!BackgroundChecks, 15, 0, 1, 1) = 0, "", OFFSET('IWP08'!BackgroundChecks, 15, 0, 1, 1))</f>
        <v/>
      </c>
      <c r="C238" s="262" t="str">
        <f ca="1">IF(OFFSET('IWP08'!BackgroundChecks, 15, 2, 1, 1) = 0, "", OFFSET('IWP08'!BackgroundChecks, 15, 2, 1, 1))</f>
        <v/>
      </c>
      <c r="D238" s="262" t="str">
        <f ca="1">IF(OFFSET('IWP08'!BackgroundChecks, 15, 4, 1, 1) = 0, "", OFFSET('IWP08'!BackgroundChecks, 15, 4, 1, 1))</f>
        <v/>
      </c>
      <c r="E238" s="254">
        <f ca="1">IF(OFFSET('IWP08'!BackgroundChecks, 15, 5, 1, 1)=DATE(1900,1,0), DATE(1900,1,1), OFFSET('IWP08'!BackgroundChecks, 15, 5, 1, 1))</f>
        <v>1</v>
      </c>
      <c r="F238" s="262" t="str">
        <f ca="1">IF(OFFSET('IWP08'!BackgroundChecks, 15, 6, 1, 1) = 0, "", OFFSET('IWP08'!BackgroundChecks, 15, 6, 1, 1))</f>
        <v/>
      </c>
      <c r="G238" s="254">
        <f ca="1">IF(OFFSET('IWP08'!BackgroundChecks, 15, 7, 1, 1)=DATE(1900,1,0), DATE(1900,1,1), OFFSET('IWP08'!BackgroundChecks, 15, 7, 1, 1))</f>
        <v>1</v>
      </c>
      <c r="H238" s="254">
        <f ca="1">IF(OFFSET('IWP08'!BackgroundChecks, 15, 8, 1, 1)=DATE(1900,1,0), DATE(1900,1,1), OFFSET('IWP08'!BackgroundChecks, 15, 8, 1, 1))</f>
        <v>1</v>
      </c>
      <c r="I238" s="262" t="str">
        <f ca="1">IF(OFFSET('IWP08'!BackgroundChecks, 15, 9, 1, 1) = 0, "", OFFSET('IWP08'!BackgroundChecks, 15, 9, 1, 1))</f>
        <v/>
      </c>
      <c r="J238" s="262" t="str">
        <f ca="1">IF(OFFSET('IWP08'!BackgroundChecks, 15, 10, 1, 1) = 0, "", OFFSET('IWP08'!BackgroundChecks, 15, 10, 1, 1))</f>
        <v/>
      </c>
      <c r="K238" s="262" t="str">
        <f ca="1">IF(OFFSET('IWP08'!BackgroundChecks, 15, 11, 1, 1) = 0, "", OFFSET('IWP08'!BackgroundChecks, 15, 11, 1, 1))</f>
        <v/>
      </c>
      <c r="L238" s="262" t="str">
        <f ca="1">IF(OFFSET('IWP08'!BackgroundChecks, 15, 12, 1, 1) = 0, "", OFFSET('IWP08'!BackgroundChecks, 15, 12, 1, 1))</f>
        <v/>
      </c>
      <c r="M238" s="262" t="str">
        <f ca="1">IF(OFFSET('IWP08'!BackgroundChecks, 15, 13, 1, 1) = 0, "", OFFSET('IWP08'!BackgroundChecks, 15, 13, 1, 1))</f>
        <v/>
      </c>
      <c r="N238" s="261"/>
    </row>
    <row r="239" spans="1:14" s="146" customFormat="1">
      <c r="A239" s="257" t="s">
        <v>506</v>
      </c>
      <c r="B239" s="262" t="str">
        <f ca="1">IF(OFFSET('IWP08'!BackgroundChecks, 16, 0, 1, 1) = 0, "", OFFSET('IWP08'!BackgroundChecks, 16, 0, 1, 1))</f>
        <v/>
      </c>
      <c r="C239" s="262" t="str">
        <f ca="1">IF(OFFSET('IWP08'!BackgroundChecks, 16, 2, 1, 1) = 0, "", OFFSET('IWP08'!BackgroundChecks, 16, 2, 1, 1))</f>
        <v/>
      </c>
      <c r="D239" s="262" t="str">
        <f ca="1">IF(OFFSET('IWP08'!BackgroundChecks, 16, 4, 1, 1) = 0, "", OFFSET('IWP08'!BackgroundChecks, 16, 4, 1, 1))</f>
        <v/>
      </c>
      <c r="E239" s="254">
        <f ca="1">IF(OFFSET('IWP08'!BackgroundChecks, 16, 5, 1, 1)=DATE(1900,1,0), DATE(1900,1,1), OFFSET('IWP08'!BackgroundChecks, 16, 5, 1, 1))</f>
        <v>1</v>
      </c>
      <c r="F239" s="262" t="str">
        <f ca="1">IF(OFFSET('IWP08'!BackgroundChecks, 16, 6, 1, 1) = 0, "", OFFSET('IWP08'!BackgroundChecks, 16, 6, 1, 1))</f>
        <v/>
      </c>
      <c r="G239" s="254">
        <f ca="1">IF(OFFSET('IWP08'!BackgroundChecks, 16, 7, 1, 1)=DATE(1900,1,0), DATE(1900,1,1), OFFSET('IWP08'!BackgroundChecks, 16, 7, 1, 1))</f>
        <v>1</v>
      </c>
      <c r="H239" s="254">
        <f ca="1">IF(OFFSET('IWP08'!BackgroundChecks, 16, 8, 1, 1)=DATE(1900,1,0), DATE(1900,1,1), OFFSET('IWP08'!BackgroundChecks, 16, 8, 1, 1))</f>
        <v>1</v>
      </c>
      <c r="I239" s="262" t="str">
        <f ca="1">IF(OFFSET('IWP08'!BackgroundChecks, 16, 9, 1, 1) = 0, "", OFFSET('IWP08'!BackgroundChecks, 16, 9, 1, 1))</f>
        <v/>
      </c>
      <c r="J239" s="262" t="str">
        <f ca="1">IF(OFFSET('IWP08'!BackgroundChecks, 16, 10, 1, 1) = 0, "", OFFSET('IWP08'!BackgroundChecks, 16, 10, 1, 1))</f>
        <v/>
      </c>
      <c r="K239" s="262" t="str">
        <f ca="1">IF(OFFSET('IWP08'!BackgroundChecks, 16, 11, 1, 1) = 0, "", OFFSET('IWP08'!BackgroundChecks, 16, 11, 1, 1))</f>
        <v/>
      </c>
      <c r="L239" s="262" t="str">
        <f ca="1">IF(OFFSET('IWP08'!BackgroundChecks, 16, 12, 1, 1) = 0, "", OFFSET('IWP08'!BackgroundChecks, 16, 12, 1, 1))</f>
        <v/>
      </c>
      <c r="M239" s="262" t="str">
        <f ca="1">IF(OFFSET('IWP08'!BackgroundChecks, 16, 13, 1, 1) = 0, "", OFFSET('IWP08'!BackgroundChecks, 16, 13, 1, 1))</f>
        <v/>
      </c>
      <c r="N239" s="261"/>
    </row>
    <row r="240" spans="1:14" s="146" customFormat="1">
      <c r="A240" s="257" t="s">
        <v>506</v>
      </c>
      <c r="B240" s="262" t="str">
        <f ca="1">IF(OFFSET('IWP08'!BackgroundChecks, 17, 0, 1, 1) = 0, "", OFFSET('IWP08'!BackgroundChecks, 17, 0, 1, 1))</f>
        <v/>
      </c>
      <c r="C240" s="262" t="str">
        <f ca="1">IF(OFFSET('IWP08'!BackgroundChecks, 17, 2, 1, 1) = 0, "", OFFSET('IWP08'!BackgroundChecks, 17, 2, 1, 1))</f>
        <v/>
      </c>
      <c r="D240" s="262" t="str">
        <f ca="1">IF(OFFSET('IWP08'!BackgroundChecks, 17, 4, 1, 1) = 0, "", OFFSET('IWP08'!BackgroundChecks, 17, 4, 1, 1))</f>
        <v/>
      </c>
      <c r="E240" s="254">
        <f ca="1">IF(OFFSET('IWP08'!BackgroundChecks, 17, 5, 1, 1)=DATE(1900,1,0), DATE(1900,1,1), OFFSET('IWP08'!BackgroundChecks, 17, 5, 1, 1))</f>
        <v>1</v>
      </c>
      <c r="F240" s="262" t="str">
        <f ca="1">IF(OFFSET('IWP08'!BackgroundChecks, 17, 6, 1, 1) = 0, "", OFFSET('IWP08'!BackgroundChecks, 17, 6, 1, 1))</f>
        <v/>
      </c>
      <c r="G240" s="254">
        <f ca="1">IF(OFFSET('IWP08'!BackgroundChecks, 17, 7, 1, 1)=DATE(1900,1,0), DATE(1900,1,1), OFFSET('IWP08'!BackgroundChecks, 17, 7, 1, 1))</f>
        <v>1</v>
      </c>
      <c r="H240" s="254">
        <f ca="1">IF(OFFSET('IWP08'!BackgroundChecks, 17, 8, 1, 1)=DATE(1900,1,0), DATE(1900,1,1), OFFSET('IWP08'!BackgroundChecks, 17, 8, 1, 1))</f>
        <v>1</v>
      </c>
      <c r="I240" s="262" t="str">
        <f ca="1">IF(OFFSET('IWP08'!BackgroundChecks, 17, 9, 1, 1) = 0, "", OFFSET('IWP08'!BackgroundChecks, 17, 9, 1, 1))</f>
        <v/>
      </c>
      <c r="J240" s="262" t="str">
        <f ca="1">IF(OFFSET('IWP08'!BackgroundChecks, 17, 10, 1, 1) = 0, "", OFFSET('IWP08'!BackgroundChecks, 17, 10, 1, 1))</f>
        <v/>
      </c>
      <c r="K240" s="262" t="str">
        <f ca="1">IF(OFFSET('IWP08'!BackgroundChecks, 17, 11, 1, 1) = 0, "", OFFSET('IWP08'!BackgroundChecks, 17, 11, 1, 1))</f>
        <v/>
      </c>
      <c r="L240" s="262" t="str">
        <f ca="1">IF(OFFSET('IWP08'!BackgroundChecks, 17, 12, 1, 1) = 0, "", OFFSET('IWP08'!BackgroundChecks, 17, 12, 1, 1))</f>
        <v/>
      </c>
      <c r="M240" s="262" t="str">
        <f ca="1">IF(OFFSET('IWP08'!BackgroundChecks, 17, 13, 1, 1) = 0, "", OFFSET('IWP08'!BackgroundChecks, 17, 13, 1, 1))</f>
        <v/>
      </c>
      <c r="N240" s="261"/>
    </row>
    <row r="241" spans="1:14" s="146" customFormat="1">
      <c r="A241" s="257" t="s">
        <v>506</v>
      </c>
      <c r="B241" s="262" t="str">
        <f ca="1">IF(OFFSET('IWP08'!BackgroundChecks, 18, 0, 1, 1) = 0, "", OFFSET('IWP08'!BackgroundChecks, 18, 0, 1, 1))</f>
        <v/>
      </c>
      <c r="C241" s="262" t="str">
        <f ca="1">IF(OFFSET('IWP08'!BackgroundChecks, 18, 2, 1, 1) = 0, "", OFFSET('IWP08'!BackgroundChecks, 18, 2, 1, 1))</f>
        <v/>
      </c>
      <c r="D241" s="262" t="str">
        <f ca="1">IF(OFFSET('IWP08'!BackgroundChecks, 18, 4, 1, 1) = 0, "", OFFSET('IWP08'!BackgroundChecks, 18, 4, 1, 1))</f>
        <v/>
      </c>
      <c r="E241" s="254">
        <f ca="1">IF(OFFSET('IWP08'!BackgroundChecks, 18, 5, 1, 1)=DATE(1900,1,0), DATE(1900,1,1), OFFSET('IWP08'!BackgroundChecks, 18, 5, 1, 1))</f>
        <v>1</v>
      </c>
      <c r="F241" s="262" t="str">
        <f ca="1">IF(OFFSET('IWP08'!BackgroundChecks, 18, 6, 1, 1) = 0, "", OFFSET('IWP08'!BackgroundChecks, 18, 6, 1, 1))</f>
        <v/>
      </c>
      <c r="G241" s="254">
        <f ca="1">IF(OFFSET('IWP08'!BackgroundChecks, 18, 7, 1, 1)=DATE(1900,1,0), DATE(1900,1,1), OFFSET('IWP08'!BackgroundChecks, 18, 7, 1, 1))</f>
        <v>1</v>
      </c>
      <c r="H241" s="254">
        <f ca="1">IF(OFFSET('IWP08'!BackgroundChecks, 18, 8, 1, 1)=DATE(1900,1,0), DATE(1900,1,1), OFFSET('IWP08'!BackgroundChecks, 18, 8, 1, 1))</f>
        <v>1</v>
      </c>
      <c r="I241" s="262" t="str">
        <f ca="1">IF(OFFSET('IWP08'!BackgroundChecks, 18, 9, 1, 1) = 0, "", OFFSET('IWP08'!BackgroundChecks, 18, 9, 1, 1))</f>
        <v/>
      </c>
      <c r="J241" s="262" t="str">
        <f ca="1">IF(OFFSET('IWP08'!BackgroundChecks, 18, 10, 1, 1) = 0, "", OFFSET('IWP08'!BackgroundChecks, 18, 10, 1, 1))</f>
        <v/>
      </c>
      <c r="K241" s="262" t="str">
        <f ca="1">IF(OFFSET('IWP08'!BackgroundChecks, 18, 11, 1, 1) = 0, "", OFFSET('IWP08'!BackgroundChecks, 18, 11, 1, 1))</f>
        <v/>
      </c>
      <c r="L241" s="262" t="str">
        <f ca="1">IF(OFFSET('IWP08'!BackgroundChecks, 18, 12, 1, 1) = 0, "", OFFSET('IWP08'!BackgroundChecks, 18, 12, 1, 1))</f>
        <v/>
      </c>
      <c r="M241" s="262" t="str">
        <f ca="1">IF(OFFSET('IWP08'!BackgroundChecks, 18, 13, 1, 1) = 0, "", OFFSET('IWP08'!BackgroundChecks, 18, 13, 1, 1))</f>
        <v/>
      </c>
      <c r="N241" s="261"/>
    </row>
    <row r="242" spans="1:14" s="146" customFormat="1">
      <c r="A242" s="257" t="s">
        <v>506</v>
      </c>
      <c r="B242" s="262" t="str">
        <f ca="1">IF(OFFSET('IWP08'!BackgroundChecks, 19, 0, 1, 1) = 0, "", OFFSET('IWP08'!BackgroundChecks, 19, 0, 1, 1))</f>
        <v/>
      </c>
      <c r="C242" s="262" t="str">
        <f ca="1">IF(OFFSET('IWP08'!BackgroundChecks, 19, 2, 1, 1) = 0, "", OFFSET('IWP08'!BackgroundChecks, 19, 2, 1, 1))</f>
        <v/>
      </c>
      <c r="D242" s="262" t="str">
        <f ca="1">IF(OFFSET('IWP08'!BackgroundChecks, 19, 4, 1, 1) = 0, "", OFFSET('IWP08'!BackgroundChecks, 19, 4, 1, 1))</f>
        <v/>
      </c>
      <c r="E242" s="254">
        <f ca="1">IF(OFFSET('IWP08'!BackgroundChecks, 19, 5, 1, 1)=DATE(1900,1,0), DATE(1900,1,1), OFFSET('IWP08'!BackgroundChecks, 19, 5, 1, 1))</f>
        <v>1</v>
      </c>
      <c r="F242" s="262" t="str">
        <f ca="1">IF(OFFSET('IWP08'!BackgroundChecks, 19, 6, 1, 1) = 0, "", OFFSET('IWP08'!BackgroundChecks, 19, 6, 1, 1))</f>
        <v/>
      </c>
      <c r="G242" s="254">
        <f ca="1">IF(OFFSET('IWP08'!BackgroundChecks, 19, 7, 1, 1)=DATE(1900,1,0), DATE(1900,1,1), OFFSET('IWP08'!BackgroundChecks, 19, 7, 1, 1))</f>
        <v>1</v>
      </c>
      <c r="H242" s="254">
        <f ca="1">IF(OFFSET('IWP08'!BackgroundChecks, 19, 8, 1, 1)=DATE(1900,1,0), DATE(1900,1,1), OFFSET('IWP08'!BackgroundChecks, 19, 8, 1, 1))</f>
        <v>1</v>
      </c>
      <c r="I242" s="262" t="str">
        <f ca="1">IF(OFFSET('IWP08'!BackgroundChecks, 19, 9, 1, 1) = 0, "", OFFSET('IWP08'!BackgroundChecks, 19, 9, 1, 1))</f>
        <v/>
      </c>
      <c r="J242" s="262" t="str">
        <f ca="1">IF(OFFSET('IWP08'!BackgroundChecks, 19, 10, 1, 1) = 0, "", OFFSET('IWP08'!BackgroundChecks, 19, 10, 1, 1))</f>
        <v/>
      </c>
      <c r="K242" s="262" t="str">
        <f ca="1">IF(OFFSET('IWP08'!BackgroundChecks, 19, 11, 1, 1) = 0, "", OFFSET('IWP08'!BackgroundChecks, 19, 11, 1, 1))</f>
        <v/>
      </c>
      <c r="L242" s="262" t="str">
        <f ca="1">IF(OFFSET('IWP08'!BackgroundChecks, 19, 12, 1, 1) = 0, "", OFFSET('IWP08'!BackgroundChecks, 19, 12, 1, 1))</f>
        <v/>
      </c>
      <c r="M242" s="262" t="str">
        <f ca="1">IF(OFFSET('IWP08'!BackgroundChecks, 19, 13, 1, 1) = 0, "", OFFSET('IWP08'!BackgroundChecks, 19, 13, 1, 1))</f>
        <v/>
      </c>
      <c r="N242" s="261"/>
    </row>
    <row r="243" spans="1:14" s="146" customFormat="1">
      <c r="A243" s="257" t="s">
        <v>507</v>
      </c>
      <c r="B243" s="262" t="str">
        <f ca="1">IF(OFFSET('IWP09'!BackgroundChecks, 0, 0, 1, 1) = 0, "", OFFSET('IWP09'!BackgroundChecks, 0, 0, 1, 1))</f>
        <v/>
      </c>
      <c r="C243" s="262" t="str">
        <f ca="1">IF(OFFSET('IWP09'!BackgroundChecks, 0, 2, 1, 1) = 0, "", OFFSET('IWP09'!BackgroundChecks, 0, 2, 1, 1))</f>
        <v/>
      </c>
      <c r="D243" s="262" t="str">
        <f ca="1">IF(OFFSET('IWP09'!BackgroundChecks, 0, 4, 1, 1) = 0, "", OFFSET('IWP09'!BackgroundChecks, 0, 4, 1, 1))</f>
        <v/>
      </c>
      <c r="E243" s="254">
        <f ca="1">IF(OFFSET('IWP09'!BackgroundChecks, 0, 5, 1, 1)=DATE(1900,1,0), DATE(1900,1,1), OFFSET('IWP09'!BackgroundChecks, 0, 5, 1, 1))</f>
        <v>1</v>
      </c>
      <c r="F243" s="262" t="str">
        <f ca="1">IF(OFFSET('IWP09'!BackgroundChecks, 0, 6, 1, 1) = 0, "", OFFSET('IWP09'!BackgroundChecks, 0, 6, 1, 1))</f>
        <v/>
      </c>
      <c r="G243" s="254">
        <f ca="1">IF(OFFSET('IWP09'!BackgroundChecks, 0, 7, 1, 1)=DATE(1900,1,0), DATE(1900,1,1), OFFSET('IWP09'!BackgroundChecks, 0, 7, 1, 1))</f>
        <v>1</v>
      </c>
      <c r="H243" s="254">
        <f ca="1">IF(OFFSET('IWP09'!BackgroundChecks, 0, 8, 1, 1)=DATE(1900,1,0), DATE(1900,1,1), OFFSET('IWP09'!BackgroundChecks, 0, 8, 1, 1))</f>
        <v>1</v>
      </c>
      <c r="I243" s="262" t="str">
        <f ca="1">IF(OFFSET('IWP09'!BackgroundChecks, 0, 9, 1, 1) = 0, "", OFFSET('IWP09'!BackgroundChecks, 0, 9, 1, 1))</f>
        <v/>
      </c>
      <c r="J243" s="262" t="str">
        <f ca="1">IF(OFFSET('IWP09'!BackgroundChecks, 0, 10, 1, 1) = 0, "", OFFSET('IWP09'!BackgroundChecks, 0, 10, 1, 1))</f>
        <v/>
      </c>
      <c r="K243" s="262" t="str">
        <f ca="1">IF(OFFSET('IWP09'!BackgroundChecks, 0, 11, 1, 1) = 0, "", OFFSET('IWP09'!BackgroundChecks, 0, 11, 1, 1))</f>
        <v/>
      </c>
      <c r="L243" s="262" t="str">
        <f ca="1">IF(OFFSET('IWP09'!BackgroundChecks, 0, 12, 1, 1) = 0, "", OFFSET('IWP09'!BackgroundChecks, 0, 12, 1, 1))</f>
        <v/>
      </c>
      <c r="M243" s="262" t="str">
        <f ca="1">IF(OFFSET('IWP09'!BackgroundChecks, 0, 13, 1, 1) = 0, "", OFFSET('IWP09'!BackgroundChecks, 0, 13, 1, 1))</f>
        <v/>
      </c>
      <c r="N243" s="261"/>
    </row>
    <row r="244" spans="1:14" s="146" customFormat="1">
      <c r="A244" s="257" t="s">
        <v>507</v>
      </c>
      <c r="B244" s="262" t="str">
        <f ca="1">IF(OFFSET('IWP09'!BackgroundChecks, 1, 0, 1, 1) = 0, "", OFFSET('IWP09'!BackgroundChecks, 1, 0, 1, 1))</f>
        <v/>
      </c>
      <c r="C244" s="262" t="str">
        <f ca="1">IF(OFFSET('IWP09'!BackgroundChecks, 1, 2, 1, 1) = 0, "", OFFSET('IWP09'!BackgroundChecks, 1, 2, 1, 1))</f>
        <v/>
      </c>
      <c r="D244" s="262" t="str">
        <f ca="1">IF(OFFSET('IWP09'!BackgroundChecks, 1, 4, 1, 1) = 0, "", OFFSET('IWP09'!BackgroundChecks, 1, 4, 1, 1))</f>
        <v/>
      </c>
      <c r="E244" s="254">
        <f ca="1">IF(OFFSET('IWP09'!BackgroundChecks, 1, 5, 1, 1)=DATE(1900,1,0), DATE(1900,1,1), OFFSET('IWP09'!BackgroundChecks, 1, 5, 1, 1))</f>
        <v>1</v>
      </c>
      <c r="F244" s="262" t="str">
        <f ca="1">IF(OFFSET('IWP09'!BackgroundChecks, 1, 6, 1, 1) = 0, "", OFFSET('IWP09'!BackgroundChecks, 1, 6, 1, 1))</f>
        <v/>
      </c>
      <c r="G244" s="254">
        <f ca="1">IF(OFFSET('IWP09'!BackgroundChecks, 1, 7, 1, 1)=DATE(1900,1,0), DATE(1900,1,1), OFFSET('IWP09'!BackgroundChecks, 1, 7, 1, 1))</f>
        <v>1</v>
      </c>
      <c r="H244" s="254">
        <f ca="1">IF(OFFSET('IWP09'!BackgroundChecks, 1, 8, 1, 1)=DATE(1900,1,0), DATE(1900,1,1), OFFSET('IWP09'!BackgroundChecks, 1, 8, 1, 1))</f>
        <v>1</v>
      </c>
      <c r="I244" s="262" t="str">
        <f ca="1">IF(OFFSET('IWP09'!BackgroundChecks, 1, 9, 1, 1) = 0, "", OFFSET('IWP09'!BackgroundChecks, 1, 9, 1, 1))</f>
        <v/>
      </c>
      <c r="J244" s="262" t="str">
        <f ca="1">IF(OFFSET('IWP09'!BackgroundChecks, 1, 10, 1, 1) = 0, "", OFFSET('IWP09'!BackgroundChecks, 1, 10, 1, 1))</f>
        <v/>
      </c>
      <c r="K244" s="262" t="str">
        <f ca="1">IF(OFFSET('IWP09'!BackgroundChecks, 1, 11, 1, 1) = 0, "", OFFSET('IWP09'!BackgroundChecks, 1, 11, 1, 1))</f>
        <v/>
      </c>
      <c r="L244" s="262" t="str">
        <f ca="1">IF(OFFSET('IWP09'!BackgroundChecks, 1, 12, 1, 1) = 0, "", OFFSET('IWP09'!BackgroundChecks, 1, 12, 1, 1))</f>
        <v/>
      </c>
      <c r="M244" s="262" t="str">
        <f ca="1">IF(OFFSET('IWP09'!BackgroundChecks, 1, 13, 1, 1) = 0, "", OFFSET('IWP09'!BackgroundChecks, 1, 13, 1, 1))</f>
        <v/>
      </c>
      <c r="N244" s="261"/>
    </row>
    <row r="245" spans="1:14" s="146" customFormat="1">
      <c r="A245" s="257" t="s">
        <v>507</v>
      </c>
      <c r="B245" s="262" t="str">
        <f ca="1">IF(OFFSET('IWP09'!BackgroundChecks, 2, 0, 1, 1) = 0, "", OFFSET('IWP09'!BackgroundChecks, 2, 0, 1, 1))</f>
        <v/>
      </c>
      <c r="C245" s="262" t="str">
        <f ca="1">IF(OFFSET('IWP09'!BackgroundChecks, 2, 2, 1, 1) = 0, "", OFFSET('IWP09'!BackgroundChecks, 2, 2, 1, 1))</f>
        <v/>
      </c>
      <c r="D245" s="262" t="str">
        <f ca="1">IF(OFFSET('IWP09'!BackgroundChecks, 2, 4, 1, 1) = 0, "", OFFSET('IWP09'!BackgroundChecks, 2, 4, 1, 1))</f>
        <v/>
      </c>
      <c r="E245" s="254">
        <f ca="1">IF(OFFSET('IWP09'!BackgroundChecks, 2, 5, 1, 1)=DATE(1900,1,0), DATE(1900,1,1), OFFSET('IWP09'!BackgroundChecks, 2, 5, 1, 1))</f>
        <v>1</v>
      </c>
      <c r="F245" s="262" t="str">
        <f ca="1">IF(OFFSET('IWP09'!BackgroundChecks, 2, 6, 1, 1) = 0, "", OFFSET('IWP09'!BackgroundChecks, 2, 6, 1, 1))</f>
        <v/>
      </c>
      <c r="G245" s="254">
        <f ca="1">IF(OFFSET('IWP09'!BackgroundChecks, 2, 7, 1, 1)=DATE(1900,1,0), DATE(1900,1,1), OFFSET('IWP09'!BackgroundChecks, 2, 7, 1, 1))</f>
        <v>1</v>
      </c>
      <c r="H245" s="254">
        <f ca="1">IF(OFFSET('IWP09'!BackgroundChecks, 2, 8, 1, 1)=DATE(1900,1,0), DATE(1900,1,1), OFFSET('IWP09'!BackgroundChecks, 2, 8, 1, 1))</f>
        <v>1</v>
      </c>
      <c r="I245" s="262" t="str">
        <f ca="1">IF(OFFSET('IWP09'!BackgroundChecks, 2, 9, 1, 1) = 0, "", OFFSET('IWP09'!BackgroundChecks, 2, 9, 1, 1))</f>
        <v/>
      </c>
      <c r="J245" s="262" t="str">
        <f ca="1">IF(OFFSET('IWP09'!BackgroundChecks, 2, 10, 1, 1) = 0, "", OFFSET('IWP09'!BackgroundChecks, 2, 10, 1, 1))</f>
        <v/>
      </c>
      <c r="K245" s="262" t="str">
        <f ca="1">IF(OFFSET('IWP09'!BackgroundChecks, 2, 11, 1, 1) = 0, "", OFFSET('IWP09'!BackgroundChecks, 2, 11, 1, 1))</f>
        <v/>
      </c>
      <c r="L245" s="262" t="str">
        <f ca="1">IF(OFFSET('IWP09'!BackgroundChecks, 2, 12, 1, 1) = 0, "", OFFSET('IWP09'!BackgroundChecks, 2, 12, 1, 1))</f>
        <v/>
      </c>
      <c r="M245" s="262" t="str">
        <f ca="1">IF(OFFSET('IWP09'!BackgroundChecks, 2, 13, 1, 1) = 0, "", OFFSET('IWP09'!BackgroundChecks, 2, 13, 1, 1))</f>
        <v/>
      </c>
      <c r="N245" s="261"/>
    </row>
    <row r="246" spans="1:14" s="146" customFormat="1">
      <c r="A246" s="257" t="s">
        <v>507</v>
      </c>
      <c r="B246" s="262" t="str">
        <f ca="1">IF(OFFSET('IWP09'!BackgroundChecks, 3, 0, 1, 1) = 0, "", OFFSET('IWP09'!BackgroundChecks, 3, 0, 1, 1))</f>
        <v/>
      </c>
      <c r="C246" s="262" t="str">
        <f ca="1">IF(OFFSET('IWP09'!BackgroundChecks, 3, 2, 1, 1) = 0, "", OFFSET('IWP09'!BackgroundChecks, 3, 2, 1, 1))</f>
        <v/>
      </c>
      <c r="D246" s="262" t="str">
        <f ca="1">IF(OFFSET('IWP09'!BackgroundChecks, 3, 4, 1, 1) = 0, "", OFFSET('IWP09'!BackgroundChecks, 3, 4, 1, 1))</f>
        <v/>
      </c>
      <c r="E246" s="254">
        <f ca="1">IF(OFFSET('IWP09'!BackgroundChecks, 3, 5, 1, 1)=DATE(1900,1,0), DATE(1900,1,1), OFFSET('IWP09'!BackgroundChecks, 3, 5, 1, 1))</f>
        <v>1</v>
      </c>
      <c r="F246" s="262" t="str">
        <f ca="1">IF(OFFSET('IWP09'!BackgroundChecks, 3, 6, 1, 1) = 0, "", OFFSET('IWP09'!BackgroundChecks, 3, 6, 1, 1))</f>
        <v/>
      </c>
      <c r="G246" s="254">
        <f ca="1">IF(OFFSET('IWP09'!BackgroundChecks, 3, 7, 1, 1)=DATE(1900,1,0), DATE(1900,1,1), OFFSET('IWP09'!BackgroundChecks, 3, 7, 1, 1))</f>
        <v>1</v>
      </c>
      <c r="H246" s="254">
        <f ca="1">IF(OFFSET('IWP09'!BackgroundChecks, 3, 8, 1, 1)=DATE(1900,1,0), DATE(1900,1,1), OFFSET('IWP09'!BackgroundChecks, 3, 8, 1, 1))</f>
        <v>1</v>
      </c>
      <c r="I246" s="262" t="str">
        <f ca="1">IF(OFFSET('IWP09'!BackgroundChecks, 3, 9, 1, 1) = 0, "", OFFSET('IWP09'!BackgroundChecks, 3, 9, 1, 1))</f>
        <v/>
      </c>
      <c r="J246" s="262" t="str">
        <f ca="1">IF(OFFSET('IWP09'!BackgroundChecks, 3, 10, 1, 1) = 0, "", OFFSET('IWP09'!BackgroundChecks, 3, 10, 1, 1))</f>
        <v/>
      </c>
      <c r="K246" s="262" t="str">
        <f ca="1">IF(OFFSET('IWP09'!BackgroundChecks, 3, 11, 1, 1) = 0, "", OFFSET('IWP09'!BackgroundChecks, 3, 11, 1, 1))</f>
        <v/>
      </c>
      <c r="L246" s="262" t="str">
        <f ca="1">IF(OFFSET('IWP09'!BackgroundChecks, 3, 12, 1, 1) = 0, "", OFFSET('IWP09'!BackgroundChecks, 3, 12, 1, 1))</f>
        <v/>
      </c>
      <c r="M246" s="262" t="str">
        <f ca="1">IF(OFFSET('IWP09'!BackgroundChecks, 3, 13, 1, 1) = 0, "", OFFSET('IWP09'!BackgroundChecks, 3, 13, 1, 1))</f>
        <v/>
      </c>
      <c r="N246" s="261"/>
    </row>
    <row r="247" spans="1:14" s="146" customFormat="1">
      <c r="A247" s="257" t="s">
        <v>507</v>
      </c>
      <c r="B247" s="262" t="str">
        <f ca="1">IF(OFFSET('IWP09'!BackgroundChecks, 4, 0, 1, 1) = 0, "", OFFSET('IWP09'!BackgroundChecks, 4, 0, 1, 1))</f>
        <v/>
      </c>
      <c r="C247" s="262" t="str">
        <f ca="1">IF(OFFSET('IWP09'!BackgroundChecks, 4, 2, 1, 1) = 0, "", OFFSET('IWP09'!BackgroundChecks, 4, 2, 1, 1))</f>
        <v/>
      </c>
      <c r="D247" s="262" t="str">
        <f ca="1">IF(OFFSET('IWP09'!BackgroundChecks, 4, 4, 1, 1) = 0, "", OFFSET('IWP09'!BackgroundChecks, 4, 4, 1, 1))</f>
        <v/>
      </c>
      <c r="E247" s="254">
        <f ca="1">IF(OFFSET('IWP09'!BackgroundChecks, 4, 5, 1, 1)=DATE(1900,1,0), DATE(1900,1,1), OFFSET('IWP09'!BackgroundChecks, 4, 5, 1, 1))</f>
        <v>1</v>
      </c>
      <c r="F247" s="262" t="str">
        <f ca="1">IF(OFFSET('IWP09'!BackgroundChecks, 4, 6, 1, 1) = 0, "", OFFSET('IWP09'!BackgroundChecks, 4, 6, 1, 1))</f>
        <v/>
      </c>
      <c r="G247" s="254">
        <f ca="1">IF(OFFSET('IWP09'!BackgroundChecks, 4, 7, 1, 1)=DATE(1900,1,0), DATE(1900,1,1), OFFSET('IWP09'!BackgroundChecks, 4, 7, 1, 1))</f>
        <v>1</v>
      </c>
      <c r="H247" s="254">
        <f ca="1">IF(OFFSET('IWP09'!BackgroundChecks, 4, 8, 1, 1)=DATE(1900,1,0), DATE(1900,1,1), OFFSET('IWP09'!BackgroundChecks, 4, 8, 1, 1))</f>
        <v>1</v>
      </c>
      <c r="I247" s="262" t="str">
        <f ca="1">IF(OFFSET('IWP09'!BackgroundChecks, 4, 9, 1, 1) = 0, "", OFFSET('IWP09'!BackgroundChecks, 4, 9, 1, 1))</f>
        <v/>
      </c>
      <c r="J247" s="262" t="str">
        <f ca="1">IF(OFFSET('IWP09'!BackgroundChecks, 4, 10, 1, 1) = 0, "", OFFSET('IWP09'!BackgroundChecks, 4, 10, 1, 1))</f>
        <v/>
      </c>
      <c r="K247" s="262" t="str">
        <f ca="1">IF(OFFSET('IWP09'!BackgroundChecks, 4, 11, 1, 1) = 0, "", OFFSET('IWP09'!BackgroundChecks, 4, 11, 1, 1))</f>
        <v/>
      </c>
      <c r="L247" s="262" t="str">
        <f ca="1">IF(OFFSET('IWP09'!BackgroundChecks, 4, 12, 1, 1) = 0, "", OFFSET('IWP09'!BackgroundChecks, 4, 12, 1, 1))</f>
        <v/>
      </c>
      <c r="M247" s="262" t="str">
        <f ca="1">IF(OFFSET('IWP09'!BackgroundChecks, 4, 13, 1, 1) = 0, "", OFFSET('IWP09'!BackgroundChecks, 4, 13, 1, 1))</f>
        <v/>
      </c>
      <c r="N247" s="261"/>
    </row>
    <row r="248" spans="1:14" s="146" customFormat="1">
      <c r="A248" s="257" t="s">
        <v>507</v>
      </c>
      <c r="B248" s="262" t="str">
        <f ca="1">IF(OFFSET('IWP09'!BackgroundChecks, 5, 0, 1, 1) = 0, "", OFFSET('IWP09'!BackgroundChecks, 5, 0, 1, 1))</f>
        <v/>
      </c>
      <c r="C248" s="262" t="str">
        <f ca="1">IF(OFFSET('IWP09'!BackgroundChecks, 5, 2, 1, 1) = 0, "", OFFSET('IWP09'!BackgroundChecks, 5, 2, 1, 1))</f>
        <v/>
      </c>
      <c r="D248" s="262" t="str">
        <f ca="1">IF(OFFSET('IWP09'!BackgroundChecks, 5, 4, 1, 1) = 0, "", OFFSET('IWP09'!BackgroundChecks, 5, 4, 1, 1))</f>
        <v/>
      </c>
      <c r="E248" s="254">
        <f ca="1">IF(OFFSET('IWP09'!BackgroundChecks, 5, 5, 1, 1)=DATE(1900,1,0), DATE(1900,1,1), OFFSET('IWP09'!BackgroundChecks, 5, 5, 1, 1))</f>
        <v>1</v>
      </c>
      <c r="F248" s="262" t="str">
        <f ca="1">IF(OFFSET('IWP09'!BackgroundChecks, 5, 6, 1, 1) = 0, "", OFFSET('IWP09'!BackgroundChecks, 5, 6, 1, 1))</f>
        <v/>
      </c>
      <c r="G248" s="254">
        <f ca="1">IF(OFFSET('IWP09'!BackgroundChecks, 5, 7, 1, 1)=DATE(1900,1,0), DATE(1900,1,1), OFFSET('IWP09'!BackgroundChecks, 5, 7, 1, 1))</f>
        <v>1</v>
      </c>
      <c r="H248" s="254">
        <f ca="1">IF(OFFSET('IWP09'!BackgroundChecks, 5, 8, 1, 1)=DATE(1900,1,0), DATE(1900,1,1), OFFSET('IWP09'!BackgroundChecks, 5, 8, 1, 1))</f>
        <v>1</v>
      </c>
      <c r="I248" s="262" t="str">
        <f ca="1">IF(OFFSET('IWP09'!BackgroundChecks, 5, 9, 1, 1) = 0, "", OFFSET('IWP09'!BackgroundChecks, 5, 9, 1, 1))</f>
        <v/>
      </c>
      <c r="J248" s="262" t="str">
        <f ca="1">IF(OFFSET('IWP09'!BackgroundChecks, 5, 10, 1, 1) = 0, "", OFFSET('IWP09'!BackgroundChecks, 5, 10, 1, 1))</f>
        <v/>
      </c>
      <c r="K248" s="262" t="str">
        <f ca="1">IF(OFFSET('IWP09'!BackgroundChecks, 5, 11, 1, 1) = 0, "", OFFSET('IWP09'!BackgroundChecks, 5, 11, 1, 1))</f>
        <v/>
      </c>
      <c r="L248" s="262" t="str">
        <f ca="1">IF(OFFSET('IWP09'!BackgroundChecks, 5, 12, 1, 1) = 0, "", OFFSET('IWP09'!BackgroundChecks, 5, 12, 1, 1))</f>
        <v/>
      </c>
      <c r="M248" s="262" t="str">
        <f ca="1">IF(OFFSET('IWP09'!BackgroundChecks, 5, 13, 1, 1) = 0, "", OFFSET('IWP09'!BackgroundChecks, 5, 13, 1, 1))</f>
        <v/>
      </c>
      <c r="N248" s="261"/>
    </row>
    <row r="249" spans="1:14" s="146" customFormat="1">
      <c r="A249" s="257" t="s">
        <v>507</v>
      </c>
      <c r="B249" s="262" t="str">
        <f ca="1">IF(OFFSET('IWP09'!BackgroundChecks, 6, 0, 1, 1) = 0, "", OFFSET('IWP09'!BackgroundChecks, 6, 0, 1, 1))</f>
        <v/>
      </c>
      <c r="C249" s="262" t="str">
        <f ca="1">IF(OFFSET('IWP09'!BackgroundChecks, 6, 2, 1, 1) = 0, "", OFFSET('IWP09'!BackgroundChecks, 6, 2, 1, 1))</f>
        <v/>
      </c>
      <c r="D249" s="262" t="str">
        <f ca="1">IF(OFFSET('IWP09'!BackgroundChecks, 6, 4, 1, 1) = 0, "", OFFSET('IWP09'!BackgroundChecks, 6, 4, 1, 1))</f>
        <v/>
      </c>
      <c r="E249" s="254">
        <f ca="1">IF(OFFSET('IWP09'!BackgroundChecks, 6, 5, 1, 1)=DATE(1900,1,0), DATE(1900,1,1), OFFSET('IWP09'!BackgroundChecks, 6, 5, 1, 1))</f>
        <v>1</v>
      </c>
      <c r="F249" s="262" t="str">
        <f ca="1">IF(OFFSET('IWP09'!BackgroundChecks, 6, 6, 1, 1) = 0, "", OFFSET('IWP09'!BackgroundChecks, 6, 6, 1, 1))</f>
        <v/>
      </c>
      <c r="G249" s="254">
        <f ca="1">IF(OFFSET('IWP09'!BackgroundChecks, 6, 7, 1, 1)=DATE(1900,1,0), DATE(1900,1,1), OFFSET('IWP09'!BackgroundChecks, 6, 7, 1, 1))</f>
        <v>1</v>
      </c>
      <c r="H249" s="254">
        <f ca="1">IF(OFFSET('IWP09'!BackgroundChecks, 6, 8, 1, 1)=DATE(1900,1,0), DATE(1900,1,1), OFFSET('IWP09'!BackgroundChecks, 6, 8, 1, 1))</f>
        <v>1</v>
      </c>
      <c r="I249" s="262" t="str">
        <f ca="1">IF(OFFSET('IWP09'!BackgroundChecks, 6, 9, 1, 1) = 0, "", OFFSET('IWP09'!BackgroundChecks, 6, 9, 1, 1))</f>
        <v/>
      </c>
      <c r="J249" s="262" t="str">
        <f ca="1">IF(OFFSET('IWP09'!BackgroundChecks, 6, 10, 1, 1) = 0, "", OFFSET('IWP09'!BackgroundChecks, 6, 10, 1, 1))</f>
        <v/>
      </c>
      <c r="K249" s="262" t="str">
        <f ca="1">IF(OFFSET('IWP09'!BackgroundChecks, 6, 11, 1, 1) = 0, "", OFFSET('IWP09'!BackgroundChecks, 6, 11, 1, 1))</f>
        <v/>
      </c>
      <c r="L249" s="262" t="str">
        <f ca="1">IF(OFFSET('IWP09'!BackgroundChecks, 6, 12, 1, 1) = 0, "", OFFSET('IWP09'!BackgroundChecks, 6, 12, 1, 1))</f>
        <v/>
      </c>
      <c r="M249" s="262" t="str">
        <f ca="1">IF(OFFSET('IWP09'!BackgroundChecks, 6, 13, 1, 1) = 0, "", OFFSET('IWP09'!BackgroundChecks, 6, 13, 1, 1))</f>
        <v/>
      </c>
      <c r="N249" s="261"/>
    </row>
    <row r="250" spans="1:14" s="146" customFormat="1">
      <c r="A250" s="257" t="s">
        <v>507</v>
      </c>
      <c r="B250" s="262" t="str">
        <f ca="1">IF(OFFSET('IWP09'!BackgroundChecks, 7, 0, 1, 1) = 0, "", OFFSET('IWP09'!BackgroundChecks, 7, 0, 1, 1))</f>
        <v/>
      </c>
      <c r="C250" s="262" t="str">
        <f ca="1">IF(OFFSET('IWP09'!BackgroundChecks, 7, 2, 1, 1) = 0, "", OFFSET('IWP09'!BackgroundChecks, 7, 2, 1, 1))</f>
        <v/>
      </c>
      <c r="D250" s="262" t="str">
        <f ca="1">IF(OFFSET('IWP09'!BackgroundChecks, 7, 4, 1, 1) = 0, "", OFFSET('IWP09'!BackgroundChecks, 7, 4, 1, 1))</f>
        <v/>
      </c>
      <c r="E250" s="254">
        <f ca="1">IF(OFFSET('IWP09'!BackgroundChecks, 7, 5, 1, 1)=DATE(1900,1,0), DATE(1900,1,1), OFFSET('IWP09'!BackgroundChecks, 7, 5, 1, 1))</f>
        <v>1</v>
      </c>
      <c r="F250" s="262" t="str">
        <f ca="1">IF(OFFSET('IWP09'!BackgroundChecks, 7, 6, 1, 1) = 0, "", OFFSET('IWP09'!BackgroundChecks, 7, 6, 1, 1))</f>
        <v/>
      </c>
      <c r="G250" s="254">
        <f ca="1">IF(OFFSET('IWP09'!BackgroundChecks, 7, 7, 1, 1)=DATE(1900,1,0), DATE(1900,1,1), OFFSET('IWP09'!BackgroundChecks, 7, 7, 1, 1))</f>
        <v>1</v>
      </c>
      <c r="H250" s="254">
        <f ca="1">IF(OFFSET('IWP09'!BackgroundChecks, 7, 8, 1, 1)=DATE(1900,1,0), DATE(1900,1,1), OFFSET('IWP09'!BackgroundChecks, 7, 8, 1, 1))</f>
        <v>1</v>
      </c>
      <c r="I250" s="262" t="str">
        <f ca="1">IF(OFFSET('IWP09'!BackgroundChecks, 7, 9, 1, 1) = 0, "", OFFSET('IWP09'!BackgroundChecks, 7, 9, 1, 1))</f>
        <v/>
      </c>
      <c r="J250" s="262" t="str">
        <f ca="1">IF(OFFSET('IWP09'!BackgroundChecks, 7, 10, 1, 1) = 0, "", OFFSET('IWP09'!BackgroundChecks, 7, 10, 1, 1))</f>
        <v/>
      </c>
      <c r="K250" s="262" t="str">
        <f ca="1">IF(OFFSET('IWP09'!BackgroundChecks, 7, 11, 1, 1) = 0, "", OFFSET('IWP09'!BackgroundChecks, 7, 11, 1, 1))</f>
        <v/>
      </c>
      <c r="L250" s="262" t="str">
        <f ca="1">IF(OFFSET('IWP09'!BackgroundChecks, 7, 12, 1, 1) = 0, "", OFFSET('IWP09'!BackgroundChecks, 7, 12, 1, 1))</f>
        <v/>
      </c>
      <c r="M250" s="262" t="str">
        <f ca="1">IF(OFFSET('IWP09'!BackgroundChecks, 7, 13, 1, 1) = 0, "", OFFSET('IWP09'!BackgroundChecks, 7, 13, 1, 1))</f>
        <v/>
      </c>
      <c r="N250" s="261"/>
    </row>
    <row r="251" spans="1:14" s="146" customFormat="1">
      <c r="A251" s="257" t="s">
        <v>507</v>
      </c>
      <c r="B251" s="262" t="str">
        <f ca="1">IF(OFFSET('IWP09'!BackgroundChecks, 8, 0, 1, 1) = 0, "", OFFSET('IWP09'!BackgroundChecks, 8, 0, 1, 1))</f>
        <v/>
      </c>
      <c r="C251" s="262" t="str">
        <f ca="1">IF(OFFSET('IWP09'!BackgroundChecks, 8, 2, 1, 1) = 0, "", OFFSET('IWP09'!BackgroundChecks, 8, 2, 1, 1))</f>
        <v/>
      </c>
      <c r="D251" s="262" t="str">
        <f ca="1">IF(OFFSET('IWP09'!BackgroundChecks, 8, 4, 1, 1) = 0, "", OFFSET('IWP09'!BackgroundChecks, 8, 4, 1, 1))</f>
        <v/>
      </c>
      <c r="E251" s="254">
        <f ca="1">IF(OFFSET('IWP09'!BackgroundChecks, 8, 5, 1, 1)=DATE(1900,1,0), DATE(1900,1,1), OFFSET('IWP09'!BackgroundChecks, 8, 5, 1, 1))</f>
        <v>1</v>
      </c>
      <c r="F251" s="262" t="str">
        <f ca="1">IF(OFFSET('IWP09'!BackgroundChecks, 8, 6, 1, 1) = 0, "", OFFSET('IWP09'!BackgroundChecks, 8, 6, 1, 1))</f>
        <v/>
      </c>
      <c r="G251" s="254">
        <f ca="1">IF(OFFSET('IWP09'!BackgroundChecks, 8, 7, 1, 1)=DATE(1900,1,0), DATE(1900,1,1), OFFSET('IWP09'!BackgroundChecks, 8, 7, 1, 1))</f>
        <v>1</v>
      </c>
      <c r="H251" s="254">
        <f ca="1">IF(OFFSET('IWP09'!BackgroundChecks, 8, 8, 1, 1)=DATE(1900,1,0), DATE(1900,1,1), OFFSET('IWP09'!BackgroundChecks, 8, 8, 1, 1))</f>
        <v>1</v>
      </c>
      <c r="I251" s="262" t="str">
        <f ca="1">IF(OFFSET('IWP09'!BackgroundChecks, 8, 9, 1, 1) = 0, "", OFFSET('IWP09'!BackgroundChecks, 8, 9, 1, 1))</f>
        <v/>
      </c>
      <c r="J251" s="262" t="str">
        <f ca="1">IF(OFFSET('IWP09'!BackgroundChecks, 8, 10, 1, 1) = 0, "", OFFSET('IWP09'!BackgroundChecks, 8, 10, 1, 1))</f>
        <v/>
      </c>
      <c r="K251" s="262" t="str">
        <f ca="1">IF(OFFSET('IWP09'!BackgroundChecks, 8, 11, 1, 1) = 0, "", OFFSET('IWP09'!BackgroundChecks, 8, 11, 1, 1))</f>
        <v/>
      </c>
      <c r="L251" s="262" t="str">
        <f ca="1">IF(OFFSET('IWP09'!BackgroundChecks, 8, 12, 1, 1) = 0, "", OFFSET('IWP09'!BackgroundChecks, 8, 12, 1, 1))</f>
        <v/>
      </c>
      <c r="M251" s="262" t="str">
        <f ca="1">IF(OFFSET('IWP09'!BackgroundChecks, 8, 13, 1, 1) = 0, "", OFFSET('IWP09'!BackgroundChecks, 8, 13, 1, 1))</f>
        <v/>
      </c>
      <c r="N251" s="261"/>
    </row>
    <row r="252" spans="1:14" s="146" customFormat="1">
      <c r="A252" s="257" t="s">
        <v>507</v>
      </c>
      <c r="B252" s="262" t="str">
        <f ca="1">IF(OFFSET('IWP09'!BackgroundChecks, 9, 0, 1, 1) = 0, "", OFFSET('IWP09'!BackgroundChecks, 9, 0, 1, 1))</f>
        <v/>
      </c>
      <c r="C252" s="262" t="str">
        <f ca="1">IF(OFFSET('IWP09'!BackgroundChecks, 9, 2, 1, 1) = 0, "", OFFSET('IWP09'!BackgroundChecks, 9, 2, 1, 1))</f>
        <v/>
      </c>
      <c r="D252" s="262" t="str">
        <f ca="1">IF(OFFSET('IWP09'!BackgroundChecks, 9, 4, 1, 1) = 0, "", OFFSET('IWP09'!BackgroundChecks, 9, 4, 1, 1))</f>
        <v/>
      </c>
      <c r="E252" s="254">
        <f ca="1">IF(OFFSET('IWP09'!BackgroundChecks, 9, 5, 1, 1)=DATE(1900,1,0), DATE(1900,1,1), OFFSET('IWP09'!BackgroundChecks, 9, 5, 1, 1))</f>
        <v>1</v>
      </c>
      <c r="F252" s="262" t="str">
        <f ca="1">IF(OFFSET('IWP09'!BackgroundChecks, 9, 6, 1, 1) = 0, "", OFFSET('IWP09'!BackgroundChecks, 9, 6, 1, 1))</f>
        <v/>
      </c>
      <c r="G252" s="254">
        <f ca="1">IF(OFFSET('IWP09'!BackgroundChecks, 9, 7, 1, 1)=DATE(1900,1,0), DATE(1900,1,1), OFFSET('IWP09'!BackgroundChecks, 9, 7, 1, 1))</f>
        <v>1</v>
      </c>
      <c r="H252" s="254">
        <f ca="1">IF(OFFSET('IWP09'!BackgroundChecks, 9, 8, 1, 1)=DATE(1900,1,0), DATE(1900,1,1), OFFSET('IWP09'!BackgroundChecks, 9, 8, 1, 1))</f>
        <v>1</v>
      </c>
      <c r="I252" s="262" t="str">
        <f ca="1">IF(OFFSET('IWP09'!BackgroundChecks, 9, 9, 1, 1) = 0, "", OFFSET('IWP09'!BackgroundChecks, 9, 9, 1, 1))</f>
        <v/>
      </c>
      <c r="J252" s="262" t="str">
        <f ca="1">IF(OFFSET('IWP09'!BackgroundChecks, 9, 10, 1, 1) = 0, "", OFFSET('IWP09'!BackgroundChecks, 9, 10, 1, 1))</f>
        <v/>
      </c>
      <c r="K252" s="262" t="str">
        <f ca="1">IF(OFFSET('IWP09'!BackgroundChecks, 9, 11, 1, 1) = 0, "", OFFSET('IWP09'!BackgroundChecks, 9, 11, 1, 1))</f>
        <v/>
      </c>
      <c r="L252" s="262" t="str">
        <f ca="1">IF(OFFSET('IWP09'!BackgroundChecks, 9, 12, 1, 1) = 0, "", OFFSET('IWP09'!BackgroundChecks, 9, 12, 1, 1))</f>
        <v/>
      </c>
      <c r="M252" s="262" t="str">
        <f ca="1">IF(OFFSET('IWP09'!BackgroundChecks, 9, 13, 1, 1) = 0, "", OFFSET('IWP09'!BackgroundChecks, 9, 13, 1, 1))</f>
        <v/>
      </c>
      <c r="N252" s="261"/>
    </row>
    <row r="253" spans="1:14" s="146" customFormat="1">
      <c r="A253" s="257" t="s">
        <v>507</v>
      </c>
      <c r="B253" s="262" t="str">
        <f ca="1">IF(OFFSET('IWP09'!BackgroundChecks, 10, 0, 1, 1) = 0, "", OFFSET('IWP09'!BackgroundChecks, 10, 0, 1, 1))</f>
        <v/>
      </c>
      <c r="C253" s="262" t="str">
        <f ca="1">IF(OFFSET('IWP09'!BackgroundChecks, 10, 2, 1, 1) = 0, "", OFFSET('IWP09'!BackgroundChecks, 10, 2, 1, 1))</f>
        <v/>
      </c>
      <c r="D253" s="262" t="str">
        <f ca="1">IF(OFFSET('IWP09'!BackgroundChecks, 10, 4, 1, 1) = 0, "", OFFSET('IWP09'!BackgroundChecks, 10, 4, 1, 1))</f>
        <v/>
      </c>
      <c r="E253" s="254">
        <f ca="1">IF(OFFSET('IWP09'!BackgroundChecks, 10, 5, 1, 1)=DATE(1900,1,0), DATE(1900,1,1), OFFSET('IWP09'!BackgroundChecks, 10, 5, 1, 1))</f>
        <v>1</v>
      </c>
      <c r="F253" s="262" t="str">
        <f ca="1">IF(OFFSET('IWP09'!BackgroundChecks, 10, 6, 1, 1) = 0, "", OFFSET('IWP09'!BackgroundChecks, 10, 6, 1, 1))</f>
        <v/>
      </c>
      <c r="G253" s="254">
        <f ca="1">IF(OFFSET('IWP09'!BackgroundChecks, 10, 7, 1, 1)=DATE(1900,1,0), DATE(1900,1,1), OFFSET('IWP09'!BackgroundChecks, 10, 7, 1, 1))</f>
        <v>1</v>
      </c>
      <c r="H253" s="254">
        <f ca="1">IF(OFFSET('IWP09'!BackgroundChecks, 10, 8, 1, 1)=DATE(1900,1,0), DATE(1900,1,1), OFFSET('IWP09'!BackgroundChecks, 10, 8, 1, 1))</f>
        <v>1</v>
      </c>
      <c r="I253" s="262" t="str">
        <f ca="1">IF(OFFSET('IWP09'!BackgroundChecks, 10, 9, 1, 1) = 0, "", OFFSET('IWP09'!BackgroundChecks, 10, 9, 1, 1))</f>
        <v/>
      </c>
      <c r="J253" s="262" t="str">
        <f ca="1">IF(OFFSET('IWP09'!BackgroundChecks, 10, 10, 1, 1) = 0, "", OFFSET('IWP09'!BackgroundChecks, 10, 10, 1, 1))</f>
        <v/>
      </c>
      <c r="K253" s="262" t="str">
        <f ca="1">IF(OFFSET('IWP09'!BackgroundChecks, 10, 11, 1, 1) = 0, "", OFFSET('IWP09'!BackgroundChecks, 10, 11, 1, 1))</f>
        <v/>
      </c>
      <c r="L253" s="262" t="str">
        <f ca="1">IF(OFFSET('IWP09'!BackgroundChecks, 10, 12, 1, 1) = 0, "", OFFSET('IWP09'!BackgroundChecks, 10, 12, 1, 1))</f>
        <v/>
      </c>
      <c r="M253" s="262" t="str">
        <f ca="1">IF(OFFSET('IWP09'!BackgroundChecks, 10, 13, 1, 1) = 0, "", OFFSET('IWP09'!BackgroundChecks, 10, 13, 1, 1))</f>
        <v/>
      </c>
      <c r="N253" s="261"/>
    </row>
    <row r="254" spans="1:14" s="146" customFormat="1">
      <c r="A254" s="257" t="s">
        <v>507</v>
      </c>
      <c r="B254" s="262" t="str">
        <f ca="1">IF(OFFSET('IWP09'!BackgroundChecks, 11, 0, 1, 1) = 0, "", OFFSET('IWP09'!BackgroundChecks, 11, 0, 1, 1))</f>
        <v/>
      </c>
      <c r="C254" s="262" t="str">
        <f ca="1">IF(OFFSET('IWP09'!BackgroundChecks, 11, 2, 1, 1) = 0, "", OFFSET('IWP09'!BackgroundChecks, 11, 2, 1, 1))</f>
        <v/>
      </c>
      <c r="D254" s="262" t="str">
        <f ca="1">IF(OFFSET('IWP09'!BackgroundChecks, 11, 4, 1, 1) = 0, "", OFFSET('IWP09'!BackgroundChecks, 11, 4, 1, 1))</f>
        <v/>
      </c>
      <c r="E254" s="254">
        <f ca="1">IF(OFFSET('IWP09'!BackgroundChecks, 11, 5, 1, 1)=DATE(1900,1,0), DATE(1900,1,1), OFFSET('IWP09'!BackgroundChecks, 11, 5, 1, 1))</f>
        <v>1</v>
      </c>
      <c r="F254" s="262" t="str">
        <f ca="1">IF(OFFSET('IWP09'!BackgroundChecks, 11, 6, 1, 1) = 0, "", OFFSET('IWP09'!BackgroundChecks, 11, 6, 1, 1))</f>
        <v/>
      </c>
      <c r="G254" s="254">
        <f ca="1">IF(OFFSET('IWP09'!BackgroundChecks, 11, 7, 1, 1)=DATE(1900,1,0), DATE(1900,1,1), OFFSET('IWP09'!BackgroundChecks, 11, 7, 1, 1))</f>
        <v>1</v>
      </c>
      <c r="H254" s="254">
        <f ca="1">IF(OFFSET('IWP09'!BackgroundChecks, 11, 8, 1, 1)=DATE(1900,1,0), DATE(1900,1,1), OFFSET('IWP09'!BackgroundChecks, 11, 8, 1, 1))</f>
        <v>1</v>
      </c>
      <c r="I254" s="262" t="str">
        <f ca="1">IF(OFFSET('IWP09'!BackgroundChecks, 11, 9, 1, 1) = 0, "", OFFSET('IWP09'!BackgroundChecks, 11, 9, 1, 1))</f>
        <v/>
      </c>
      <c r="J254" s="262" t="str">
        <f ca="1">IF(OFFSET('IWP09'!BackgroundChecks, 11, 10, 1, 1) = 0, "", OFFSET('IWP09'!BackgroundChecks, 11, 10, 1, 1))</f>
        <v/>
      </c>
      <c r="K254" s="262" t="str">
        <f ca="1">IF(OFFSET('IWP09'!BackgroundChecks, 11, 11, 1, 1) = 0, "", OFFSET('IWP09'!BackgroundChecks, 11, 11, 1, 1))</f>
        <v/>
      </c>
      <c r="L254" s="262" t="str">
        <f ca="1">IF(OFFSET('IWP09'!BackgroundChecks, 11, 12, 1, 1) = 0, "", OFFSET('IWP09'!BackgroundChecks, 11, 12, 1, 1))</f>
        <v/>
      </c>
      <c r="M254" s="262" t="str">
        <f ca="1">IF(OFFSET('IWP09'!BackgroundChecks, 11, 13, 1, 1) = 0, "", OFFSET('IWP09'!BackgroundChecks, 11, 13, 1, 1))</f>
        <v/>
      </c>
      <c r="N254" s="261"/>
    </row>
    <row r="255" spans="1:14" s="146" customFormat="1">
      <c r="A255" s="257" t="s">
        <v>507</v>
      </c>
      <c r="B255" s="262" t="str">
        <f ca="1">IF(OFFSET('IWP09'!BackgroundChecks, 12, 0, 1, 1) = 0, "", OFFSET('IWP09'!BackgroundChecks, 12, 0, 1, 1))</f>
        <v/>
      </c>
      <c r="C255" s="262" t="str">
        <f ca="1">IF(OFFSET('IWP09'!BackgroundChecks, 12, 2, 1, 1) = 0, "", OFFSET('IWP09'!BackgroundChecks, 12, 2, 1, 1))</f>
        <v/>
      </c>
      <c r="D255" s="262" t="str">
        <f ca="1">IF(OFFSET('IWP09'!BackgroundChecks, 12, 4, 1, 1) = 0, "", OFFSET('IWP09'!BackgroundChecks, 12, 4, 1, 1))</f>
        <v/>
      </c>
      <c r="E255" s="254">
        <f ca="1">IF(OFFSET('IWP09'!BackgroundChecks, 12, 5, 1, 1)=DATE(1900,1,0), DATE(1900,1,1), OFFSET('IWP09'!BackgroundChecks, 12, 5, 1, 1))</f>
        <v>1</v>
      </c>
      <c r="F255" s="262" t="str">
        <f ca="1">IF(OFFSET('IWP09'!BackgroundChecks, 12, 6, 1, 1) = 0, "", OFFSET('IWP09'!BackgroundChecks, 12, 6, 1, 1))</f>
        <v/>
      </c>
      <c r="G255" s="254">
        <f ca="1">IF(OFFSET('IWP09'!BackgroundChecks, 12, 7, 1, 1)=DATE(1900,1,0), DATE(1900,1,1), OFFSET('IWP09'!BackgroundChecks, 12, 7, 1, 1))</f>
        <v>1</v>
      </c>
      <c r="H255" s="254">
        <f ca="1">IF(OFFSET('IWP09'!BackgroundChecks, 12, 8, 1, 1)=DATE(1900,1,0), DATE(1900,1,1), OFFSET('IWP09'!BackgroundChecks, 12, 8, 1, 1))</f>
        <v>1</v>
      </c>
      <c r="I255" s="262" t="str">
        <f ca="1">IF(OFFSET('IWP09'!BackgroundChecks, 12, 9, 1, 1) = 0, "", OFFSET('IWP09'!BackgroundChecks, 12, 9, 1, 1))</f>
        <v/>
      </c>
      <c r="J255" s="262" t="str">
        <f ca="1">IF(OFFSET('IWP09'!BackgroundChecks, 12, 10, 1, 1) = 0, "", OFFSET('IWP09'!BackgroundChecks, 12, 10, 1, 1))</f>
        <v/>
      </c>
      <c r="K255" s="262" t="str">
        <f ca="1">IF(OFFSET('IWP09'!BackgroundChecks, 12, 11, 1, 1) = 0, "", OFFSET('IWP09'!BackgroundChecks, 12, 11, 1, 1))</f>
        <v/>
      </c>
      <c r="L255" s="262" t="str">
        <f ca="1">IF(OFFSET('IWP09'!BackgroundChecks, 12, 12, 1, 1) = 0, "", OFFSET('IWP09'!BackgroundChecks, 12, 12, 1, 1))</f>
        <v/>
      </c>
      <c r="M255" s="262" t="str">
        <f ca="1">IF(OFFSET('IWP09'!BackgroundChecks, 12, 13, 1, 1) = 0, "", OFFSET('IWP09'!BackgroundChecks, 12, 13, 1, 1))</f>
        <v/>
      </c>
      <c r="N255" s="261"/>
    </row>
    <row r="256" spans="1:14" s="146" customFormat="1">
      <c r="A256" s="257" t="s">
        <v>507</v>
      </c>
      <c r="B256" s="262" t="str">
        <f ca="1">IF(OFFSET('IWP09'!BackgroundChecks, 13, 0, 1, 1) = 0, "", OFFSET('IWP09'!BackgroundChecks, 13, 0, 1, 1))</f>
        <v/>
      </c>
      <c r="C256" s="262" t="str">
        <f ca="1">IF(OFFSET('IWP09'!BackgroundChecks, 13, 2, 1, 1) = 0, "", OFFSET('IWP09'!BackgroundChecks, 13, 2, 1, 1))</f>
        <v/>
      </c>
      <c r="D256" s="262" t="str">
        <f ca="1">IF(OFFSET('IWP09'!BackgroundChecks, 13, 4, 1, 1) = 0, "", OFFSET('IWP09'!BackgroundChecks, 13, 4, 1, 1))</f>
        <v/>
      </c>
      <c r="E256" s="254">
        <f ca="1">IF(OFFSET('IWP09'!BackgroundChecks, 13, 5, 1, 1)=DATE(1900,1,0), DATE(1900,1,1), OFFSET('IWP09'!BackgroundChecks, 13, 5, 1, 1))</f>
        <v>1</v>
      </c>
      <c r="F256" s="262" t="str">
        <f ca="1">IF(OFFSET('IWP09'!BackgroundChecks, 13, 6, 1, 1) = 0, "", OFFSET('IWP09'!BackgroundChecks, 13, 6, 1, 1))</f>
        <v/>
      </c>
      <c r="G256" s="254">
        <f ca="1">IF(OFFSET('IWP09'!BackgroundChecks, 13, 7, 1, 1)=DATE(1900,1,0), DATE(1900,1,1), OFFSET('IWP09'!BackgroundChecks, 13, 7, 1, 1))</f>
        <v>1</v>
      </c>
      <c r="H256" s="254">
        <f ca="1">IF(OFFSET('IWP09'!BackgroundChecks, 13, 8, 1, 1)=DATE(1900,1,0), DATE(1900,1,1), OFFSET('IWP09'!BackgroundChecks, 13, 8, 1, 1))</f>
        <v>1</v>
      </c>
      <c r="I256" s="262" t="str">
        <f ca="1">IF(OFFSET('IWP09'!BackgroundChecks, 13, 9, 1, 1) = 0, "", OFFSET('IWP09'!BackgroundChecks, 13, 9, 1, 1))</f>
        <v/>
      </c>
      <c r="J256" s="262" t="str">
        <f ca="1">IF(OFFSET('IWP09'!BackgroundChecks, 13, 10, 1, 1) = 0, "", OFFSET('IWP09'!BackgroundChecks, 13, 10, 1, 1))</f>
        <v/>
      </c>
      <c r="K256" s="262" t="str">
        <f ca="1">IF(OFFSET('IWP09'!BackgroundChecks, 13, 11, 1, 1) = 0, "", OFFSET('IWP09'!BackgroundChecks, 13, 11, 1, 1))</f>
        <v/>
      </c>
      <c r="L256" s="262" t="str">
        <f ca="1">IF(OFFSET('IWP09'!BackgroundChecks, 13, 12, 1, 1) = 0, "", OFFSET('IWP09'!BackgroundChecks, 13, 12, 1, 1))</f>
        <v/>
      </c>
      <c r="M256" s="262" t="str">
        <f ca="1">IF(OFFSET('IWP09'!BackgroundChecks, 13, 13, 1, 1) = 0, "", OFFSET('IWP09'!BackgroundChecks, 13, 13, 1, 1))</f>
        <v/>
      </c>
      <c r="N256" s="261"/>
    </row>
    <row r="257" spans="1:14" s="146" customFormat="1">
      <c r="A257" s="257" t="s">
        <v>507</v>
      </c>
      <c r="B257" s="262" t="str">
        <f ca="1">IF(OFFSET('IWP09'!BackgroundChecks, 14, 0, 1, 1) = 0, "", OFFSET('IWP09'!BackgroundChecks, 14, 0, 1, 1))</f>
        <v/>
      </c>
      <c r="C257" s="262" t="str">
        <f ca="1">IF(OFFSET('IWP09'!BackgroundChecks, 14, 2, 1, 1) = 0, "", OFFSET('IWP09'!BackgroundChecks, 14, 2, 1, 1))</f>
        <v/>
      </c>
      <c r="D257" s="262" t="str">
        <f ca="1">IF(OFFSET('IWP09'!BackgroundChecks, 14, 4, 1, 1) = 0, "", OFFSET('IWP09'!BackgroundChecks, 14, 4, 1, 1))</f>
        <v/>
      </c>
      <c r="E257" s="254">
        <f ca="1">IF(OFFSET('IWP09'!BackgroundChecks, 14, 5, 1, 1)=DATE(1900,1,0), DATE(1900,1,1), OFFSET('IWP09'!BackgroundChecks, 14, 5, 1, 1))</f>
        <v>1</v>
      </c>
      <c r="F257" s="262" t="str">
        <f ca="1">IF(OFFSET('IWP09'!BackgroundChecks, 14, 6, 1, 1) = 0, "", OFFSET('IWP09'!BackgroundChecks, 14, 6, 1, 1))</f>
        <v/>
      </c>
      <c r="G257" s="254">
        <f ca="1">IF(OFFSET('IWP09'!BackgroundChecks, 14, 7, 1, 1)=DATE(1900,1,0), DATE(1900,1,1), OFFSET('IWP09'!BackgroundChecks, 14, 7, 1, 1))</f>
        <v>1</v>
      </c>
      <c r="H257" s="254">
        <f ca="1">IF(OFFSET('IWP09'!BackgroundChecks, 14, 8, 1, 1)=DATE(1900,1,0), DATE(1900,1,1), OFFSET('IWP09'!BackgroundChecks, 14, 8, 1, 1))</f>
        <v>1</v>
      </c>
      <c r="I257" s="262" t="str">
        <f ca="1">IF(OFFSET('IWP09'!BackgroundChecks, 14, 9, 1, 1) = 0, "", OFFSET('IWP09'!BackgroundChecks, 14, 9, 1, 1))</f>
        <v/>
      </c>
      <c r="J257" s="262" t="str">
        <f ca="1">IF(OFFSET('IWP09'!BackgroundChecks, 14, 10, 1, 1) = 0, "", OFFSET('IWP09'!BackgroundChecks, 14, 10, 1, 1))</f>
        <v/>
      </c>
      <c r="K257" s="262" t="str">
        <f ca="1">IF(OFFSET('IWP09'!BackgroundChecks, 14, 11, 1, 1) = 0, "", OFFSET('IWP09'!BackgroundChecks, 14, 11, 1, 1))</f>
        <v/>
      </c>
      <c r="L257" s="262" t="str">
        <f ca="1">IF(OFFSET('IWP09'!BackgroundChecks, 14, 12, 1, 1) = 0, "", OFFSET('IWP09'!BackgroundChecks, 14, 12, 1, 1))</f>
        <v/>
      </c>
      <c r="M257" s="262" t="str">
        <f ca="1">IF(OFFSET('IWP09'!BackgroundChecks, 14, 13, 1, 1) = 0, "", OFFSET('IWP09'!BackgroundChecks, 14, 13, 1, 1))</f>
        <v/>
      </c>
      <c r="N257" s="261"/>
    </row>
    <row r="258" spans="1:14" s="146" customFormat="1">
      <c r="A258" s="257" t="s">
        <v>507</v>
      </c>
      <c r="B258" s="262" t="str">
        <f ca="1">IF(OFFSET('IWP09'!BackgroundChecks, 15, 0, 1, 1) = 0, "", OFFSET('IWP09'!BackgroundChecks, 15, 0, 1, 1))</f>
        <v/>
      </c>
      <c r="C258" s="262" t="str">
        <f ca="1">IF(OFFSET('IWP09'!BackgroundChecks, 15, 2, 1, 1) = 0, "", OFFSET('IWP09'!BackgroundChecks, 15, 2, 1, 1))</f>
        <v/>
      </c>
      <c r="D258" s="262" t="str">
        <f ca="1">IF(OFFSET('IWP09'!BackgroundChecks, 15, 4, 1, 1) = 0, "", OFFSET('IWP09'!BackgroundChecks, 15, 4, 1, 1))</f>
        <v/>
      </c>
      <c r="E258" s="254">
        <f ca="1">IF(OFFSET('IWP09'!BackgroundChecks, 15, 5, 1, 1)=DATE(1900,1,0), DATE(1900,1,1), OFFSET('IWP09'!BackgroundChecks, 15, 5, 1, 1))</f>
        <v>1</v>
      </c>
      <c r="F258" s="262" t="str">
        <f ca="1">IF(OFFSET('IWP09'!BackgroundChecks, 15, 6, 1, 1) = 0, "", OFFSET('IWP09'!BackgroundChecks, 15, 6, 1, 1))</f>
        <v/>
      </c>
      <c r="G258" s="254">
        <f ca="1">IF(OFFSET('IWP09'!BackgroundChecks, 15, 7, 1, 1)=DATE(1900,1,0), DATE(1900,1,1), OFFSET('IWP09'!BackgroundChecks, 15, 7, 1, 1))</f>
        <v>1</v>
      </c>
      <c r="H258" s="254">
        <f ca="1">IF(OFFSET('IWP09'!BackgroundChecks, 15, 8, 1, 1)=DATE(1900,1,0), DATE(1900,1,1), OFFSET('IWP09'!BackgroundChecks, 15, 8, 1, 1))</f>
        <v>1</v>
      </c>
      <c r="I258" s="262" t="str">
        <f ca="1">IF(OFFSET('IWP09'!BackgroundChecks, 15, 9, 1, 1) = 0, "", OFFSET('IWP09'!BackgroundChecks, 15, 9, 1, 1))</f>
        <v/>
      </c>
      <c r="J258" s="262" t="str">
        <f ca="1">IF(OFFSET('IWP09'!BackgroundChecks, 15, 10, 1, 1) = 0, "", OFFSET('IWP09'!BackgroundChecks, 15, 10, 1, 1))</f>
        <v/>
      </c>
      <c r="K258" s="262" t="str">
        <f ca="1">IF(OFFSET('IWP09'!BackgroundChecks, 15, 11, 1, 1) = 0, "", OFFSET('IWP09'!BackgroundChecks, 15, 11, 1, 1))</f>
        <v/>
      </c>
      <c r="L258" s="262" t="str">
        <f ca="1">IF(OFFSET('IWP09'!BackgroundChecks, 15, 12, 1, 1) = 0, "", OFFSET('IWP09'!BackgroundChecks, 15, 12, 1, 1))</f>
        <v/>
      </c>
      <c r="M258" s="262" t="str">
        <f ca="1">IF(OFFSET('IWP09'!BackgroundChecks, 15, 13, 1, 1) = 0, "", OFFSET('IWP09'!BackgroundChecks, 15, 13, 1, 1))</f>
        <v/>
      </c>
      <c r="N258" s="261"/>
    </row>
    <row r="259" spans="1:14" s="146" customFormat="1">
      <c r="A259" s="257" t="s">
        <v>507</v>
      </c>
      <c r="B259" s="262" t="str">
        <f ca="1">IF(OFFSET('IWP09'!BackgroundChecks, 16, 0, 1, 1) = 0, "", OFFSET('IWP09'!BackgroundChecks, 16, 0, 1, 1))</f>
        <v/>
      </c>
      <c r="C259" s="262" t="str">
        <f ca="1">IF(OFFSET('IWP09'!BackgroundChecks, 16, 2, 1, 1) = 0, "", OFFSET('IWP09'!BackgroundChecks, 16, 2, 1, 1))</f>
        <v/>
      </c>
      <c r="D259" s="262" t="str">
        <f ca="1">IF(OFFSET('IWP09'!BackgroundChecks, 16, 4, 1, 1) = 0, "", OFFSET('IWP09'!BackgroundChecks, 16, 4, 1, 1))</f>
        <v/>
      </c>
      <c r="E259" s="254">
        <f ca="1">IF(OFFSET('IWP09'!BackgroundChecks, 16, 5, 1, 1)=DATE(1900,1,0), DATE(1900,1,1), OFFSET('IWP09'!BackgroundChecks, 16, 5, 1, 1))</f>
        <v>1</v>
      </c>
      <c r="F259" s="262" t="str">
        <f ca="1">IF(OFFSET('IWP09'!BackgroundChecks, 16, 6, 1, 1) = 0, "", OFFSET('IWP09'!BackgroundChecks, 16, 6, 1, 1))</f>
        <v/>
      </c>
      <c r="G259" s="254">
        <f ca="1">IF(OFFSET('IWP09'!BackgroundChecks, 16, 7, 1, 1)=DATE(1900,1,0), DATE(1900,1,1), OFFSET('IWP09'!BackgroundChecks, 16, 7, 1, 1))</f>
        <v>1</v>
      </c>
      <c r="H259" s="254">
        <f ca="1">IF(OFFSET('IWP09'!BackgroundChecks, 16, 8, 1, 1)=DATE(1900,1,0), DATE(1900,1,1), OFFSET('IWP09'!BackgroundChecks, 16, 8, 1, 1))</f>
        <v>1</v>
      </c>
      <c r="I259" s="262" t="str">
        <f ca="1">IF(OFFSET('IWP09'!BackgroundChecks, 16, 9, 1, 1) = 0, "", OFFSET('IWP09'!BackgroundChecks, 16, 9, 1, 1))</f>
        <v/>
      </c>
      <c r="J259" s="262" t="str">
        <f ca="1">IF(OFFSET('IWP09'!BackgroundChecks, 16, 10, 1, 1) = 0, "", OFFSET('IWP09'!BackgroundChecks, 16, 10, 1, 1))</f>
        <v/>
      </c>
      <c r="K259" s="262" t="str">
        <f ca="1">IF(OFFSET('IWP09'!BackgroundChecks, 16, 11, 1, 1) = 0, "", OFFSET('IWP09'!BackgroundChecks, 16, 11, 1, 1))</f>
        <v/>
      </c>
      <c r="L259" s="262" t="str">
        <f ca="1">IF(OFFSET('IWP09'!BackgroundChecks, 16, 12, 1, 1) = 0, "", OFFSET('IWP09'!BackgroundChecks, 16, 12, 1, 1))</f>
        <v/>
      </c>
      <c r="M259" s="262" t="str">
        <f ca="1">IF(OFFSET('IWP09'!BackgroundChecks, 16, 13, 1, 1) = 0, "", OFFSET('IWP09'!BackgroundChecks, 16, 13, 1, 1))</f>
        <v/>
      </c>
      <c r="N259" s="261"/>
    </row>
    <row r="260" spans="1:14" s="146" customFormat="1">
      <c r="A260" s="257" t="s">
        <v>507</v>
      </c>
      <c r="B260" s="262" t="str">
        <f ca="1">IF(OFFSET('IWP09'!BackgroundChecks, 17, 0, 1, 1) = 0, "", OFFSET('IWP09'!BackgroundChecks, 17, 0, 1, 1))</f>
        <v/>
      </c>
      <c r="C260" s="262" t="str">
        <f ca="1">IF(OFFSET('IWP09'!BackgroundChecks, 17, 2, 1, 1) = 0, "", OFFSET('IWP09'!BackgroundChecks, 17, 2, 1, 1))</f>
        <v/>
      </c>
      <c r="D260" s="262" t="str">
        <f ca="1">IF(OFFSET('IWP09'!BackgroundChecks, 17, 4, 1, 1) = 0, "", OFFSET('IWP09'!BackgroundChecks, 17, 4, 1, 1))</f>
        <v/>
      </c>
      <c r="E260" s="254">
        <f ca="1">IF(OFFSET('IWP09'!BackgroundChecks, 17, 5, 1, 1)=DATE(1900,1,0), DATE(1900,1,1), OFFSET('IWP09'!BackgroundChecks, 17, 5, 1, 1))</f>
        <v>1</v>
      </c>
      <c r="F260" s="262" t="str">
        <f ca="1">IF(OFFSET('IWP09'!BackgroundChecks, 17, 6, 1, 1) = 0, "", OFFSET('IWP09'!BackgroundChecks, 17, 6, 1, 1))</f>
        <v/>
      </c>
      <c r="G260" s="254">
        <f ca="1">IF(OFFSET('IWP09'!BackgroundChecks, 17, 7, 1, 1)=DATE(1900,1,0), DATE(1900,1,1), OFFSET('IWP09'!BackgroundChecks, 17, 7, 1, 1))</f>
        <v>1</v>
      </c>
      <c r="H260" s="254">
        <f ca="1">IF(OFFSET('IWP09'!BackgroundChecks, 17, 8, 1, 1)=DATE(1900,1,0), DATE(1900,1,1), OFFSET('IWP09'!BackgroundChecks, 17, 8, 1, 1))</f>
        <v>1</v>
      </c>
      <c r="I260" s="262" t="str">
        <f ca="1">IF(OFFSET('IWP09'!BackgroundChecks, 17, 9, 1, 1) = 0, "", OFFSET('IWP09'!BackgroundChecks, 17, 9, 1, 1))</f>
        <v/>
      </c>
      <c r="J260" s="262" t="str">
        <f ca="1">IF(OFFSET('IWP09'!BackgroundChecks, 17, 10, 1, 1) = 0, "", OFFSET('IWP09'!BackgroundChecks, 17, 10, 1, 1))</f>
        <v/>
      </c>
      <c r="K260" s="262" t="str">
        <f ca="1">IF(OFFSET('IWP09'!BackgroundChecks, 17, 11, 1, 1) = 0, "", OFFSET('IWP09'!BackgroundChecks, 17, 11, 1, 1))</f>
        <v/>
      </c>
      <c r="L260" s="262" t="str">
        <f ca="1">IF(OFFSET('IWP09'!BackgroundChecks, 17, 12, 1, 1) = 0, "", OFFSET('IWP09'!BackgroundChecks, 17, 12, 1, 1))</f>
        <v/>
      </c>
      <c r="M260" s="262" t="str">
        <f ca="1">IF(OFFSET('IWP09'!BackgroundChecks, 17, 13, 1, 1) = 0, "", OFFSET('IWP09'!BackgroundChecks, 17, 13, 1, 1))</f>
        <v/>
      </c>
      <c r="N260" s="261"/>
    </row>
    <row r="261" spans="1:14" s="146" customFormat="1">
      <c r="A261" s="257" t="s">
        <v>507</v>
      </c>
      <c r="B261" s="262" t="str">
        <f ca="1">IF(OFFSET('IWP09'!BackgroundChecks, 18, 0, 1, 1) = 0, "", OFFSET('IWP09'!BackgroundChecks, 18, 0, 1, 1))</f>
        <v/>
      </c>
      <c r="C261" s="262" t="str">
        <f ca="1">IF(OFFSET('IWP09'!BackgroundChecks, 18, 2, 1, 1) = 0, "", OFFSET('IWP09'!BackgroundChecks, 18, 2, 1, 1))</f>
        <v/>
      </c>
      <c r="D261" s="262" t="str">
        <f ca="1">IF(OFFSET('IWP09'!BackgroundChecks, 18, 4, 1, 1) = 0, "", OFFSET('IWP09'!BackgroundChecks, 18, 4, 1, 1))</f>
        <v/>
      </c>
      <c r="E261" s="254">
        <f ca="1">IF(OFFSET('IWP09'!BackgroundChecks, 18, 5, 1, 1)=DATE(1900,1,0), DATE(1900,1,1), OFFSET('IWP09'!BackgroundChecks, 18, 5, 1, 1))</f>
        <v>1</v>
      </c>
      <c r="F261" s="262" t="str">
        <f ca="1">IF(OFFSET('IWP09'!BackgroundChecks, 18, 6, 1, 1) = 0, "", OFFSET('IWP09'!BackgroundChecks, 18, 6, 1, 1))</f>
        <v/>
      </c>
      <c r="G261" s="254">
        <f ca="1">IF(OFFSET('IWP09'!BackgroundChecks, 18, 7, 1, 1)=DATE(1900,1,0), DATE(1900,1,1), OFFSET('IWP09'!BackgroundChecks, 18, 7, 1, 1))</f>
        <v>1</v>
      </c>
      <c r="H261" s="254">
        <f ca="1">IF(OFFSET('IWP09'!BackgroundChecks, 18, 8, 1, 1)=DATE(1900,1,0), DATE(1900,1,1), OFFSET('IWP09'!BackgroundChecks, 18, 8, 1, 1))</f>
        <v>1</v>
      </c>
      <c r="I261" s="262" t="str">
        <f ca="1">IF(OFFSET('IWP09'!BackgroundChecks, 18, 9, 1, 1) = 0, "", OFFSET('IWP09'!BackgroundChecks, 18, 9, 1, 1))</f>
        <v/>
      </c>
      <c r="J261" s="262" t="str">
        <f ca="1">IF(OFFSET('IWP09'!BackgroundChecks, 18, 10, 1, 1) = 0, "", OFFSET('IWP09'!BackgroundChecks, 18, 10, 1, 1))</f>
        <v/>
      </c>
      <c r="K261" s="262" t="str">
        <f ca="1">IF(OFFSET('IWP09'!BackgroundChecks, 18, 11, 1, 1) = 0, "", OFFSET('IWP09'!BackgroundChecks, 18, 11, 1, 1))</f>
        <v/>
      </c>
      <c r="L261" s="262" t="str">
        <f ca="1">IF(OFFSET('IWP09'!BackgroundChecks, 18, 12, 1, 1) = 0, "", OFFSET('IWP09'!BackgroundChecks, 18, 12, 1, 1))</f>
        <v/>
      </c>
      <c r="M261" s="262" t="str">
        <f ca="1">IF(OFFSET('IWP09'!BackgroundChecks, 18, 13, 1, 1) = 0, "", OFFSET('IWP09'!BackgroundChecks, 18, 13, 1, 1))</f>
        <v/>
      </c>
      <c r="N261" s="261"/>
    </row>
    <row r="262" spans="1:14" s="146" customFormat="1">
      <c r="A262" s="257" t="s">
        <v>507</v>
      </c>
      <c r="B262" s="262" t="str">
        <f ca="1">IF(OFFSET('IWP09'!BackgroundChecks, 19, 0, 1, 1) = 0, "", OFFSET('IWP09'!BackgroundChecks, 19, 0, 1, 1))</f>
        <v/>
      </c>
      <c r="C262" s="262" t="str">
        <f ca="1">IF(OFFSET('IWP09'!BackgroundChecks, 19, 2, 1, 1) = 0, "", OFFSET('IWP09'!BackgroundChecks, 19, 2, 1, 1))</f>
        <v/>
      </c>
      <c r="D262" s="262" t="str">
        <f ca="1">IF(OFFSET('IWP09'!BackgroundChecks, 19, 4, 1, 1) = 0, "", OFFSET('IWP09'!BackgroundChecks, 19, 4, 1, 1))</f>
        <v/>
      </c>
      <c r="E262" s="254">
        <f ca="1">IF(OFFSET('IWP09'!BackgroundChecks, 19, 5, 1, 1)=DATE(1900,1,0), DATE(1900,1,1), OFFSET('IWP09'!BackgroundChecks, 19, 5, 1, 1))</f>
        <v>1</v>
      </c>
      <c r="F262" s="262" t="str">
        <f ca="1">IF(OFFSET('IWP09'!BackgroundChecks, 19, 6, 1, 1) = 0, "", OFFSET('IWP09'!BackgroundChecks, 19, 6, 1, 1))</f>
        <v/>
      </c>
      <c r="G262" s="254">
        <f ca="1">IF(OFFSET('IWP09'!BackgroundChecks, 19, 7, 1, 1)=DATE(1900,1,0), DATE(1900,1,1), OFFSET('IWP09'!BackgroundChecks, 19, 7, 1, 1))</f>
        <v>1</v>
      </c>
      <c r="H262" s="254">
        <f ca="1">IF(OFFSET('IWP09'!BackgroundChecks, 19, 8, 1, 1)=DATE(1900,1,0), DATE(1900,1,1), OFFSET('IWP09'!BackgroundChecks, 19, 8, 1, 1))</f>
        <v>1</v>
      </c>
      <c r="I262" s="262" t="str">
        <f ca="1">IF(OFFSET('IWP09'!BackgroundChecks, 19, 9, 1, 1) = 0, "", OFFSET('IWP09'!BackgroundChecks, 19, 9, 1, 1))</f>
        <v/>
      </c>
      <c r="J262" s="262" t="str">
        <f ca="1">IF(OFFSET('IWP09'!BackgroundChecks, 19, 10, 1, 1) = 0, "", OFFSET('IWP09'!BackgroundChecks, 19, 10, 1, 1))</f>
        <v/>
      </c>
      <c r="K262" s="262" t="str">
        <f ca="1">IF(OFFSET('IWP09'!BackgroundChecks, 19, 11, 1, 1) = 0, "", OFFSET('IWP09'!BackgroundChecks, 19, 11, 1, 1))</f>
        <v/>
      </c>
      <c r="L262" s="262" t="str">
        <f ca="1">IF(OFFSET('IWP09'!BackgroundChecks, 19, 12, 1, 1) = 0, "", OFFSET('IWP09'!BackgroundChecks, 19, 12, 1, 1))</f>
        <v/>
      </c>
      <c r="M262" s="262" t="str">
        <f ca="1">IF(OFFSET('IWP09'!BackgroundChecks, 19, 13, 1, 1) = 0, "", OFFSET('IWP09'!BackgroundChecks, 19, 13, 1, 1))</f>
        <v/>
      </c>
      <c r="N262" s="261"/>
    </row>
    <row r="263" spans="1:14" s="146" customFormat="1">
      <c r="A263" s="257" t="s">
        <v>508</v>
      </c>
      <c r="B263" s="262" t="str">
        <f ca="1">IF(OFFSET('IWP10'!BackgroundChecks, 0, 0, 1, 1) = 0, "", OFFSET('IWP10'!BackgroundChecks, 0, 0, 1, 1))</f>
        <v/>
      </c>
      <c r="C263" s="262" t="str">
        <f ca="1">IF(OFFSET('IWP10'!BackgroundChecks, 0, 2, 1, 1) = 0, "", OFFSET('IWP10'!BackgroundChecks, 0, 2, 1, 1))</f>
        <v/>
      </c>
      <c r="D263" s="262" t="str">
        <f ca="1">IF(OFFSET('IWP10'!BackgroundChecks, 0, 4, 1, 1) = 0, "", OFFSET('IWP10'!BackgroundChecks, 0, 4, 1, 1))</f>
        <v/>
      </c>
      <c r="E263" s="254">
        <f ca="1">IF(OFFSET('IWP10'!BackgroundChecks, 0, 5, 1, 1)=DATE(1900,1,0), DATE(1900,1,1), OFFSET('IWP10'!BackgroundChecks, 0, 5, 1, 1))</f>
        <v>1</v>
      </c>
      <c r="F263" s="262" t="str">
        <f ca="1">IF(OFFSET('IWP10'!BackgroundChecks, 0, 6, 1, 1) = 0, "", OFFSET('IWP10'!BackgroundChecks, 0, 6, 1, 1))</f>
        <v/>
      </c>
      <c r="G263" s="254">
        <f ca="1">IF(OFFSET('IWP10'!BackgroundChecks, 0, 7, 1, 1)=DATE(1900,1,0), DATE(1900,1,1), OFFSET('IWP10'!BackgroundChecks, 0, 7, 1, 1))</f>
        <v>1</v>
      </c>
      <c r="H263" s="254">
        <f ca="1">IF(OFFSET('IWP10'!BackgroundChecks, 0, 8, 1, 1)=DATE(1900,1,0), DATE(1900,1,1), OFFSET('IWP10'!BackgroundChecks, 0, 8, 1, 1))</f>
        <v>1</v>
      </c>
      <c r="I263" s="262" t="str">
        <f ca="1">IF(OFFSET('IWP10'!BackgroundChecks, 0, 9, 1, 1) = 0, "", OFFSET('IWP10'!BackgroundChecks, 0, 9, 1, 1))</f>
        <v/>
      </c>
      <c r="J263" s="262" t="str">
        <f ca="1">IF(OFFSET('IWP10'!BackgroundChecks, 0, 10, 1, 1) = 0, "", OFFSET('IWP10'!BackgroundChecks, 0, 10, 1, 1))</f>
        <v/>
      </c>
      <c r="K263" s="262" t="str">
        <f ca="1">IF(OFFSET('IWP10'!BackgroundChecks, 0, 11, 1, 1) = 0, "", OFFSET('IWP10'!BackgroundChecks, 0, 11, 1, 1))</f>
        <v/>
      </c>
      <c r="L263" s="262" t="str">
        <f ca="1">IF(OFFSET('IWP10'!BackgroundChecks, 0, 12, 1, 1) = 0, "", OFFSET('IWP10'!BackgroundChecks, 0, 12, 1, 1))</f>
        <v/>
      </c>
      <c r="M263" s="262" t="str">
        <f ca="1">IF(OFFSET('IWP10'!BackgroundChecks, 0, 13, 1, 1) = 0, "", OFFSET('IWP10'!BackgroundChecks, 0, 13, 1, 1))</f>
        <v/>
      </c>
      <c r="N263" s="261"/>
    </row>
    <row r="264" spans="1:14" s="146" customFormat="1">
      <c r="A264" s="257" t="s">
        <v>508</v>
      </c>
      <c r="B264" s="262" t="str">
        <f ca="1">IF(OFFSET('IWP10'!BackgroundChecks, 1, 0, 1, 1) = 0, "", OFFSET('IWP10'!BackgroundChecks, 1, 0, 1, 1))</f>
        <v/>
      </c>
      <c r="C264" s="262" t="str">
        <f ca="1">IF(OFFSET('IWP10'!BackgroundChecks, 1, 2, 1, 1) = 0, "", OFFSET('IWP10'!BackgroundChecks, 1, 2, 1, 1))</f>
        <v/>
      </c>
      <c r="D264" s="262" t="str">
        <f ca="1">IF(OFFSET('IWP10'!BackgroundChecks, 1, 4, 1, 1) = 0, "", OFFSET('IWP10'!BackgroundChecks, 1, 4, 1, 1))</f>
        <v/>
      </c>
      <c r="E264" s="254">
        <f ca="1">IF(OFFSET('IWP10'!BackgroundChecks, 1, 5, 1, 1)=DATE(1900,1,0), DATE(1900,1,1), OFFSET('IWP10'!BackgroundChecks, 1, 5, 1, 1))</f>
        <v>1</v>
      </c>
      <c r="F264" s="262" t="str">
        <f ca="1">IF(OFFSET('IWP10'!BackgroundChecks, 1, 6, 1, 1) = 0, "", OFFSET('IWP10'!BackgroundChecks, 1, 6, 1, 1))</f>
        <v/>
      </c>
      <c r="G264" s="254">
        <f ca="1">IF(OFFSET('IWP10'!BackgroundChecks, 1, 7, 1, 1)=DATE(1900,1,0), DATE(1900,1,1), OFFSET('IWP10'!BackgroundChecks, 1, 7, 1, 1))</f>
        <v>1</v>
      </c>
      <c r="H264" s="254">
        <f ca="1">IF(OFFSET('IWP10'!BackgroundChecks, 1, 8, 1, 1)=DATE(1900,1,0), DATE(1900,1,1), OFFSET('IWP10'!BackgroundChecks, 1, 8, 1, 1))</f>
        <v>1</v>
      </c>
      <c r="I264" s="262" t="str">
        <f ca="1">IF(OFFSET('IWP10'!BackgroundChecks, 1, 9, 1, 1) = 0, "", OFFSET('IWP10'!BackgroundChecks, 1, 9, 1, 1))</f>
        <v/>
      </c>
      <c r="J264" s="262" t="str">
        <f ca="1">IF(OFFSET('IWP10'!BackgroundChecks, 1, 10, 1, 1) = 0, "", OFFSET('IWP10'!BackgroundChecks, 1, 10, 1, 1))</f>
        <v/>
      </c>
      <c r="K264" s="262" t="str">
        <f ca="1">IF(OFFSET('IWP10'!BackgroundChecks, 1, 11, 1, 1) = 0, "", OFFSET('IWP10'!BackgroundChecks, 1, 11, 1, 1))</f>
        <v/>
      </c>
      <c r="L264" s="262" t="str">
        <f ca="1">IF(OFFSET('IWP10'!BackgroundChecks, 1, 12, 1, 1) = 0, "", OFFSET('IWP10'!BackgroundChecks, 1, 12, 1, 1))</f>
        <v/>
      </c>
      <c r="M264" s="262" t="str">
        <f ca="1">IF(OFFSET('IWP10'!BackgroundChecks, 1, 13, 1, 1) = 0, "", OFFSET('IWP10'!BackgroundChecks, 1, 13, 1, 1))</f>
        <v/>
      </c>
      <c r="N264" s="261"/>
    </row>
    <row r="265" spans="1:14" s="146" customFormat="1">
      <c r="A265" s="257" t="s">
        <v>508</v>
      </c>
      <c r="B265" s="262" t="str">
        <f ca="1">IF(OFFSET('IWP10'!BackgroundChecks, 2, 0, 1, 1) = 0, "", OFFSET('IWP10'!BackgroundChecks, 2, 0, 1, 1))</f>
        <v/>
      </c>
      <c r="C265" s="262" t="str">
        <f ca="1">IF(OFFSET('IWP10'!BackgroundChecks, 2, 2, 1, 1) = 0, "", OFFSET('IWP10'!BackgroundChecks, 2, 2, 1, 1))</f>
        <v/>
      </c>
      <c r="D265" s="262" t="str">
        <f ca="1">IF(OFFSET('IWP10'!BackgroundChecks, 2, 4, 1, 1) = 0, "", OFFSET('IWP10'!BackgroundChecks, 2, 4, 1, 1))</f>
        <v/>
      </c>
      <c r="E265" s="254">
        <f ca="1">IF(OFFSET('IWP10'!BackgroundChecks, 2, 5, 1, 1)=DATE(1900,1,0), DATE(1900,1,1), OFFSET('IWP10'!BackgroundChecks, 2, 5, 1, 1))</f>
        <v>1</v>
      </c>
      <c r="F265" s="262" t="str">
        <f ca="1">IF(OFFSET('IWP10'!BackgroundChecks, 2, 6, 1, 1) = 0, "", OFFSET('IWP10'!BackgroundChecks, 2, 6, 1, 1))</f>
        <v/>
      </c>
      <c r="G265" s="254">
        <f ca="1">IF(OFFSET('IWP10'!BackgroundChecks, 2, 7, 1, 1)=DATE(1900,1,0), DATE(1900,1,1), OFFSET('IWP10'!BackgroundChecks, 2, 7, 1, 1))</f>
        <v>1</v>
      </c>
      <c r="H265" s="254">
        <f ca="1">IF(OFFSET('IWP10'!BackgroundChecks, 2, 8, 1, 1)=DATE(1900,1,0), DATE(1900,1,1), OFFSET('IWP10'!BackgroundChecks, 2, 8, 1, 1))</f>
        <v>1</v>
      </c>
      <c r="I265" s="262" t="str">
        <f ca="1">IF(OFFSET('IWP10'!BackgroundChecks, 2, 9, 1, 1) = 0, "", OFFSET('IWP10'!BackgroundChecks, 2, 9, 1, 1))</f>
        <v/>
      </c>
      <c r="J265" s="262" t="str">
        <f ca="1">IF(OFFSET('IWP10'!BackgroundChecks, 2, 10, 1, 1) = 0, "", OFFSET('IWP10'!BackgroundChecks, 2, 10, 1, 1))</f>
        <v/>
      </c>
      <c r="K265" s="262" t="str">
        <f ca="1">IF(OFFSET('IWP10'!BackgroundChecks, 2, 11, 1, 1) = 0, "", OFFSET('IWP10'!BackgroundChecks, 2, 11, 1, 1))</f>
        <v/>
      </c>
      <c r="L265" s="262" t="str">
        <f ca="1">IF(OFFSET('IWP10'!BackgroundChecks, 2, 12, 1, 1) = 0, "", OFFSET('IWP10'!BackgroundChecks, 2, 12, 1, 1))</f>
        <v/>
      </c>
      <c r="M265" s="262" t="str">
        <f ca="1">IF(OFFSET('IWP10'!BackgroundChecks, 2, 13, 1, 1) = 0, "", OFFSET('IWP10'!BackgroundChecks, 2, 13, 1, 1))</f>
        <v/>
      </c>
      <c r="N265" s="261"/>
    </row>
    <row r="266" spans="1:14" s="146" customFormat="1">
      <c r="A266" s="257" t="s">
        <v>508</v>
      </c>
      <c r="B266" s="262" t="str">
        <f ca="1">IF(OFFSET('IWP10'!BackgroundChecks, 3, 0, 1, 1) = 0, "", OFFSET('IWP10'!BackgroundChecks, 3, 0, 1, 1))</f>
        <v/>
      </c>
      <c r="C266" s="262" t="str">
        <f ca="1">IF(OFFSET('IWP10'!BackgroundChecks, 3, 2, 1, 1) = 0, "", OFFSET('IWP10'!BackgroundChecks, 3, 2, 1, 1))</f>
        <v/>
      </c>
      <c r="D266" s="262" t="str">
        <f ca="1">IF(OFFSET('IWP10'!BackgroundChecks, 3, 4, 1, 1) = 0, "", OFFSET('IWP10'!BackgroundChecks, 3, 4, 1, 1))</f>
        <v/>
      </c>
      <c r="E266" s="254">
        <f ca="1">IF(OFFSET('IWP10'!BackgroundChecks, 3, 5, 1, 1)=DATE(1900,1,0), DATE(1900,1,1), OFFSET('IWP10'!BackgroundChecks, 3, 5, 1, 1))</f>
        <v>1</v>
      </c>
      <c r="F266" s="262" t="str">
        <f ca="1">IF(OFFSET('IWP10'!BackgroundChecks, 3, 6, 1, 1) = 0, "", OFFSET('IWP10'!BackgroundChecks, 3, 6, 1, 1))</f>
        <v/>
      </c>
      <c r="G266" s="254">
        <f ca="1">IF(OFFSET('IWP10'!BackgroundChecks, 3, 7, 1, 1)=DATE(1900,1,0), DATE(1900,1,1), OFFSET('IWP10'!BackgroundChecks, 3, 7, 1, 1))</f>
        <v>1</v>
      </c>
      <c r="H266" s="254">
        <f ca="1">IF(OFFSET('IWP10'!BackgroundChecks, 3, 8, 1, 1)=DATE(1900,1,0), DATE(1900,1,1), OFFSET('IWP10'!BackgroundChecks, 3, 8, 1, 1))</f>
        <v>1</v>
      </c>
      <c r="I266" s="262" t="str">
        <f ca="1">IF(OFFSET('IWP10'!BackgroundChecks, 3, 9, 1, 1) = 0, "", OFFSET('IWP10'!BackgroundChecks, 3, 9, 1, 1))</f>
        <v/>
      </c>
      <c r="J266" s="262" t="str">
        <f ca="1">IF(OFFSET('IWP10'!BackgroundChecks, 3, 10, 1, 1) = 0, "", OFFSET('IWP10'!BackgroundChecks, 3, 10, 1, 1))</f>
        <v/>
      </c>
      <c r="K266" s="262" t="str">
        <f ca="1">IF(OFFSET('IWP10'!BackgroundChecks, 3, 11, 1, 1) = 0, "", OFFSET('IWP10'!BackgroundChecks, 3, 11, 1, 1))</f>
        <v/>
      </c>
      <c r="L266" s="262" t="str">
        <f ca="1">IF(OFFSET('IWP10'!BackgroundChecks, 3, 12, 1, 1) = 0, "", OFFSET('IWP10'!BackgroundChecks, 3, 12, 1, 1))</f>
        <v/>
      </c>
      <c r="M266" s="262" t="str">
        <f ca="1">IF(OFFSET('IWP10'!BackgroundChecks, 3, 13, 1, 1) = 0, "", OFFSET('IWP10'!BackgroundChecks, 3, 13, 1, 1))</f>
        <v/>
      </c>
      <c r="N266" s="261"/>
    </row>
    <row r="267" spans="1:14" s="146" customFormat="1">
      <c r="A267" s="257" t="s">
        <v>508</v>
      </c>
      <c r="B267" s="262" t="str">
        <f ca="1">IF(OFFSET('IWP10'!BackgroundChecks, 4, 0, 1, 1) = 0, "", OFFSET('IWP10'!BackgroundChecks, 4, 0, 1, 1))</f>
        <v/>
      </c>
      <c r="C267" s="262" t="str">
        <f ca="1">IF(OFFSET('IWP10'!BackgroundChecks, 4, 2, 1, 1) = 0, "", OFFSET('IWP10'!BackgroundChecks, 4, 2, 1, 1))</f>
        <v/>
      </c>
      <c r="D267" s="262" t="str">
        <f ca="1">IF(OFFSET('IWP10'!BackgroundChecks, 4, 4, 1, 1) = 0, "", OFFSET('IWP10'!BackgroundChecks, 4, 4, 1, 1))</f>
        <v/>
      </c>
      <c r="E267" s="254">
        <f ca="1">IF(OFFSET('IWP10'!BackgroundChecks, 4, 5, 1, 1)=DATE(1900,1,0), DATE(1900,1,1), OFFSET('IWP10'!BackgroundChecks, 4, 5, 1, 1))</f>
        <v>1</v>
      </c>
      <c r="F267" s="262" t="str">
        <f ca="1">IF(OFFSET('IWP10'!BackgroundChecks, 4, 6, 1, 1) = 0, "", OFFSET('IWP10'!BackgroundChecks, 4, 6, 1, 1))</f>
        <v/>
      </c>
      <c r="G267" s="254">
        <f ca="1">IF(OFFSET('IWP10'!BackgroundChecks, 4, 7, 1, 1)=DATE(1900,1,0), DATE(1900,1,1), OFFSET('IWP10'!BackgroundChecks, 4, 7, 1, 1))</f>
        <v>1</v>
      </c>
      <c r="H267" s="254">
        <f ca="1">IF(OFFSET('IWP10'!BackgroundChecks, 4, 8, 1, 1)=DATE(1900,1,0), DATE(1900,1,1), OFFSET('IWP10'!BackgroundChecks, 4, 8, 1, 1))</f>
        <v>1</v>
      </c>
      <c r="I267" s="262" t="str">
        <f ca="1">IF(OFFSET('IWP10'!BackgroundChecks, 4, 9, 1, 1) = 0, "", OFFSET('IWP10'!BackgroundChecks, 4, 9, 1, 1))</f>
        <v/>
      </c>
      <c r="J267" s="262" t="str">
        <f ca="1">IF(OFFSET('IWP10'!BackgroundChecks, 4, 10, 1, 1) = 0, "", OFFSET('IWP10'!BackgroundChecks, 4, 10, 1, 1))</f>
        <v/>
      </c>
      <c r="K267" s="262" t="str">
        <f ca="1">IF(OFFSET('IWP10'!BackgroundChecks, 4, 11, 1, 1) = 0, "", OFFSET('IWP10'!BackgroundChecks, 4, 11, 1, 1))</f>
        <v/>
      </c>
      <c r="L267" s="262" t="str">
        <f ca="1">IF(OFFSET('IWP10'!BackgroundChecks, 4, 12, 1, 1) = 0, "", OFFSET('IWP10'!BackgroundChecks, 4, 12, 1, 1))</f>
        <v/>
      </c>
      <c r="M267" s="262" t="str">
        <f ca="1">IF(OFFSET('IWP10'!BackgroundChecks, 4, 13, 1, 1) = 0, "", OFFSET('IWP10'!BackgroundChecks, 4, 13, 1, 1))</f>
        <v/>
      </c>
      <c r="N267" s="261"/>
    </row>
    <row r="268" spans="1:14" s="146" customFormat="1">
      <c r="A268" s="257" t="s">
        <v>508</v>
      </c>
      <c r="B268" s="262" t="str">
        <f ca="1">IF(OFFSET('IWP10'!BackgroundChecks, 5, 0, 1, 1) = 0, "", OFFSET('IWP10'!BackgroundChecks, 5, 0, 1, 1))</f>
        <v/>
      </c>
      <c r="C268" s="262" t="str">
        <f ca="1">IF(OFFSET('IWP10'!BackgroundChecks, 5, 2, 1, 1) = 0, "", OFFSET('IWP10'!BackgroundChecks, 5, 2, 1, 1))</f>
        <v/>
      </c>
      <c r="D268" s="262" t="str">
        <f ca="1">IF(OFFSET('IWP10'!BackgroundChecks, 5, 4, 1, 1) = 0, "", OFFSET('IWP10'!BackgroundChecks, 5, 4, 1, 1))</f>
        <v/>
      </c>
      <c r="E268" s="254">
        <f ca="1">IF(OFFSET('IWP10'!BackgroundChecks, 5, 5, 1, 1)=DATE(1900,1,0), DATE(1900,1,1), OFFSET('IWP10'!BackgroundChecks, 5, 5, 1, 1))</f>
        <v>1</v>
      </c>
      <c r="F268" s="262" t="str">
        <f ca="1">IF(OFFSET('IWP10'!BackgroundChecks, 5, 6, 1, 1) = 0, "", OFFSET('IWP10'!BackgroundChecks, 5, 6, 1, 1))</f>
        <v/>
      </c>
      <c r="G268" s="254">
        <f ca="1">IF(OFFSET('IWP10'!BackgroundChecks, 5, 7, 1, 1)=DATE(1900,1,0), DATE(1900,1,1), OFFSET('IWP10'!BackgroundChecks, 5, 7, 1, 1))</f>
        <v>1</v>
      </c>
      <c r="H268" s="254">
        <f ca="1">IF(OFFSET('IWP10'!BackgroundChecks, 5, 8, 1, 1)=DATE(1900,1,0), DATE(1900,1,1), OFFSET('IWP10'!BackgroundChecks, 5, 8, 1, 1))</f>
        <v>1</v>
      </c>
      <c r="I268" s="262" t="str">
        <f ca="1">IF(OFFSET('IWP10'!BackgroundChecks, 5, 9, 1, 1) = 0, "", OFFSET('IWP10'!BackgroundChecks, 5, 9, 1, 1))</f>
        <v/>
      </c>
      <c r="J268" s="262" t="str">
        <f ca="1">IF(OFFSET('IWP10'!BackgroundChecks, 5, 10, 1, 1) = 0, "", OFFSET('IWP10'!BackgroundChecks, 5, 10, 1, 1))</f>
        <v/>
      </c>
      <c r="K268" s="262" t="str">
        <f ca="1">IF(OFFSET('IWP10'!BackgroundChecks, 5, 11, 1, 1) = 0, "", OFFSET('IWP10'!BackgroundChecks, 5, 11, 1, 1))</f>
        <v/>
      </c>
      <c r="L268" s="262" t="str">
        <f ca="1">IF(OFFSET('IWP10'!BackgroundChecks, 5, 12, 1, 1) = 0, "", OFFSET('IWP10'!BackgroundChecks, 5, 12, 1, 1))</f>
        <v/>
      </c>
      <c r="M268" s="262" t="str">
        <f ca="1">IF(OFFSET('IWP10'!BackgroundChecks, 5, 13, 1, 1) = 0, "", OFFSET('IWP10'!BackgroundChecks, 5, 13, 1, 1))</f>
        <v/>
      </c>
      <c r="N268" s="261"/>
    </row>
    <row r="269" spans="1:14" s="146" customFormat="1">
      <c r="A269" s="257" t="s">
        <v>508</v>
      </c>
      <c r="B269" s="262" t="str">
        <f ca="1">IF(OFFSET('IWP10'!BackgroundChecks, 6, 0, 1, 1) = 0, "", OFFSET('IWP10'!BackgroundChecks, 6, 0, 1, 1))</f>
        <v/>
      </c>
      <c r="C269" s="262" t="str">
        <f ca="1">IF(OFFSET('IWP10'!BackgroundChecks, 6, 2, 1, 1) = 0, "", OFFSET('IWP10'!BackgroundChecks, 6, 2, 1, 1))</f>
        <v/>
      </c>
      <c r="D269" s="262" t="str">
        <f ca="1">IF(OFFSET('IWP10'!BackgroundChecks, 6, 4, 1, 1) = 0, "", OFFSET('IWP10'!BackgroundChecks, 6, 4, 1, 1))</f>
        <v/>
      </c>
      <c r="E269" s="254">
        <f ca="1">IF(OFFSET('IWP10'!BackgroundChecks, 6, 5, 1, 1)=DATE(1900,1,0), DATE(1900,1,1), OFFSET('IWP10'!BackgroundChecks, 6, 5, 1, 1))</f>
        <v>1</v>
      </c>
      <c r="F269" s="262" t="str">
        <f ca="1">IF(OFFSET('IWP10'!BackgroundChecks, 6, 6, 1, 1) = 0, "", OFFSET('IWP10'!BackgroundChecks, 6, 6, 1, 1))</f>
        <v/>
      </c>
      <c r="G269" s="254">
        <f ca="1">IF(OFFSET('IWP10'!BackgroundChecks, 6, 7, 1, 1)=DATE(1900,1,0), DATE(1900,1,1), OFFSET('IWP10'!BackgroundChecks, 6, 7, 1, 1))</f>
        <v>1</v>
      </c>
      <c r="H269" s="254">
        <f ca="1">IF(OFFSET('IWP10'!BackgroundChecks, 6, 8, 1, 1)=DATE(1900,1,0), DATE(1900,1,1), OFFSET('IWP10'!BackgroundChecks, 6, 8, 1, 1))</f>
        <v>1</v>
      </c>
      <c r="I269" s="262" t="str">
        <f ca="1">IF(OFFSET('IWP10'!BackgroundChecks, 6, 9, 1, 1) = 0, "", OFFSET('IWP10'!BackgroundChecks, 6, 9, 1, 1))</f>
        <v/>
      </c>
      <c r="J269" s="262" t="str">
        <f ca="1">IF(OFFSET('IWP10'!BackgroundChecks, 6, 10, 1, 1) = 0, "", OFFSET('IWP10'!BackgroundChecks, 6, 10, 1, 1))</f>
        <v/>
      </c>
      <c r="K269" s="262" t="str">
        <f ca="1">IF(OFFSET('IWP10'!BackgroundChecks, 6, 11, 1, 1) = 0, "", OFFSET('IWP10'!BackgroundChecks, 6, 11, 1, 1))</f>
        <v/>
      </c>
      <c r="L269" s="262" t="str">
        <f ca="1">IF(OFFSET('IWP10'!BackgroundChecks, 6, 12, 1, 1) = 0, "", OFFSET('IWP10'!BackgroundChecks, 6, 12, 1, 1))</f>
        <v/>
      </c>
      <c r="M269" s="262" t="str">
        <f ca="1">IF(OFFSET('IWP10'!BackgroundChecks, 6, 13, 1, 1) = 0, "", OFFSET('IWP10'!BackgroundChecks, 6, 13, 1, 1))</f>
        <v/>
      </c>
      <c r="N269" s="261"/>
    </row>
    <row r="270" spans="1:14" s="146" customFormat="1">
      <c r="A270" s="257" t="s">
        <v>508</v>
      </c>
      <c r="B270" s="262" t="str">
        <f ca="1">IF(OFFSET('IWP10'!BackgroundChecks, 7, 0, 1, 1) = 0, "", OFFSET('IWP10'!BackgroundChecks, 7, 0, 1, 1))</f>
        <v/>
      </c>
      <c r="C270" s="262" t="str">
        <f ca="1">IF(OFFSET('IWP10'!BackgroundChecks, 7, 2, 1, 1) = 0, "", OFFSET('IWP10'!BackgroundChecks, 7, 2, 1, 1))</f>
        <v/>
      </c>
      <c r="D270" s="262" t="str">
        <f ca="1">IF(OFFSET('IWP10'!BackgroundChecks, 7, 4, 1, 1) = 0, "", OFFSET('IWP10'!BackgroundChecks, 7, 4, 1, 1))</f>
        <v/>
      </c>
      <c r="E270" s="254">
        <f ca="1">IF(OFFSET('IWP10'!BackgroundChecks, 7, 5, 1, 1)=DATE(1900,1,0), DATE(1900,1,1), OFFSET('IWP10'!BackgroundChecks, 7, 5, 1, 1))</f>
        <v>1</v>
      </c>
      <c r="F270" s="262" t="str">
        <f ca="1">IF(OFFSET('IWP10'!BackgroundChecks, 7, 6, 1, 1) = 0, "", OFFSET('IWP10'!BackgroundChecks, 7, 6, 1, 1))</f>
        <v/>
      </c>
      <c r="G270" s="254">
        <f ca="1">IF(OFFSET('IWP10'!BackgroundChecks, 7, 7, 1, 1)=DATE(1900,1,0), DATE(1900,1,1), OFFSET('IWP10'!BackgroundChecks, 7, 7, 1, 1))</f>
        <v>1</v>
      </c>
      <c r="H270" s="254">
        <f ca="1">IF(OFFSET('IWP10'!BackgroundChecks, 7, 8, 1, 1)=DATE(1900,1,0), DATE(1900,1,1), OFFSET('IWP10'!BackgroundChecks, 7, 8, 1, 1))</f>
        <v>1</v>
      </c>
      <c r="I270" s="262" t="str">
        <f ca="1">IF(OFFSET('IWP10'!BackgroundChecks, 7, 9, 1, 1) = 0, "", OFFSET('IWP10'!BackgroundChecks, 7, 9, 1, 1))</f>
        <v/>
      </c>
      <c r="J270" s="262" t="str">
        <f ca="1">IF(OFFSET('IWP10'!BackgroundChecks, 7, 10, 1, 1) = 0, "", OFFSET('IWP10'!BackgroundChecks, 7, 10, 1, 1))</f>
        <v/>
      </c>
      <c r="K270" s="262" t="str">
        <f ca="1">IF(OFFSET('IWP10'!BackgroundChecks, 7, 11, 1, 1) = 0, "", OFFSET('IWP10'!BackgroundChecks, 7, 11, 1, 1))</f>
        <v/>
      </c>
      <c r="L270" s="262" t="str">
        <f ca="1">IF(OFFSET('IWP10'!BackgroundChecks, 7, 12, 1, 1) = 0, "", OFFSET('IWP10'!BackgroundChecks, 7, 12, 1, 1))</f>
        <v/>
      </c>
      <c r="M270" s="262" t="str">
        <f ca="1">IF(OFFSET('IWP10'!BackgroundChecks, 7, 13, 1, 1) = 0, "", OFFSET('IWP10'!BackgroundChecks, 7, 13, 1, 1))</f>
        <v/>
      </c>
      <c r="N270" s="261"/>
    </row>
    <row r="271" spans="1:14" s="146" customFormat="1">
      <c r="A271" s="257" t="s">
        <v>508</v>
      </c>
      <c r="B271" s="262" t="str">
        <f ca="1">IF(OFFSET('IWP10'!BackgroundChecks, 8, 0, 1, 1) = 0, "", OFFSET('IWP10'!BackgroundChecks, 8, 0, 1, 1))</f>
        <v/>
      </c>
      <c r="C271" s="262" t="str">
        <f ca="1">IF(OFFSET('IWP10'!BackgroundChecks, 8, 2, 1, 1) = 0, "", OFFSET('IWP10'!BackgroundChecks, 8, 2, 1, 1))</f>
        <v/>
      </c>
      <c r="D271" s="262" t="str">
        <f ca="1">IF(OFFSET('IWP10'!BackgroundChecks, 8, 4, 1, 1) = 0, "", OFFSET('IWP10'!BackgroundChecks, 8, 4, 1, 1))</f>
        <v/>
      </c>
      <c r="E271" s="254">
        <f ca="1">IF(OFFSET('IWP10'!BackgroundChecks, 8, 5, 1, 1)=DATE(1900,1,0), DATE(1900,1,1), OFFSET('IWP10'!BackgroundChecks, 8, 5, 1, 1))</f>
        <v>1</v>
      </c>
      <c r="F271" s="262" t="str">
        <f ca="1">IF(OFFSET('IWP10'!BackgroundChecks, 8, 6, 1, 1) = 0, "", OFFSET('IWP10'!BackgroundChecks, 8, 6, 1, 1))</f>
        <v/>
      </c>
      <c r="G271" s="254">
        <f ca="1">IF(OFFSET('IWP10'!BackgroundChecks, 8, 7, 1, 1)=DATE(1900,1,0), DATE(1900,1,1), OFFSET('IWP10'!BackgroundChecks, 8, 7, 1, 1))</f>
        <v>1</v>
      </c>
      <c r="H271" s="254">
        <f ca="1">IF(OFFSET('IWP10'!BackgroundChecks, 8, 8, 1, 1)=DATE(1900,1,0), DATE(1900,1,1), OFFSET('IWP10'!BackgroundChecks, 8, 8, 1, 1))</f>
        <v>1</v>
      </c>
      <c r="I271" s="262" t="str">
        <f ca="1">IF(OFFSET('IWP10'!BackgroundChecks, 8, 9, 1, 1) = 0, "", OFFSET('IWP10'!BackgroundChecks, 8, 9, 1, 1))</f>
        <v/>
      </c>
      <c r="J271" s="262" t="str">
        <f ca="1">IF(OFFSET('IWP10'!BackgroundChecks, 8, 10, 1, 1) = 0, "", OFFSET('IWP10'!BackgroundChecks, 8, 10, 1, 1))</f>
        <v/>
      </c>
      <c r="K271" s="262" t="str">
        <f ca="1">IF(OFFSET('IWP10'!BackgroundChecks, 8, 11, 1, 1) = 0, "", OFFSET('IWP10'!BackgroundChecks, 8, 11, 1, 1))</f>
        <v/>
      </c>
      <c r="L271" s="262" t="str">
        <f ca="1">IF(OFFSET('IWP10'!BackgroundChecks, 8, 12, 1, 1) = 0, "", OFFSET('IWP10'!BackgroundChecks, 8, 12, 1, 1))</f>
        <v/>
      </c>
      <c r="M271" s="262" t="str">
        <f ca="1">IF(OFFSET('IWP10'!BackgroundChecks, 8, 13, 1, 1) = 0, "", OFFSET('IWP10'!BackgroundChecks, 8, 13, 1, 1))</f>
        <v/>
      </c>
      <c r="N271" s="261"/>
    </row>
    <row r="272" spans="1:14" s="146" customFormat="1">
      <c r="A272" s="257" t="s">
        <v>508</v>
      </c>
      <c r="B272" s="262" t="str">
        <f ca="1">IF(OFFSET('IWP10'!BackgroundChecks, 9, 0, 1, 1) = 0, "", OFFSET('IWP10'!BackgroundChecks, 9, 0, 1, 1))</f>
        <v/>
      </c>
      <c r="C272" s="262" t="str">
        <f ca="1">IF(OFFSET('IWP10'!BackgroundChecks, 9, 2, 1, 1) = 0, "", OFFSET('IWP10'!BackgroundChecks, 9, 2, 1, 1))</f>
        <v/>
      </c>
      <c r="D272" s="262" t="str">
        <f ca="1">IF(OFFSET('IWP10'!BackgroundChecks, 9, 4, 1, 1) = 0, "", OFFSET('IWP10'!BackgroundChecks, 9, 4, 1, 1))</f>
        <v/>
      </c>
      <c r="E272" s="254">
        <f ca="1">IF(OFFSET('IWP10'!BackgroundChecks, 9, 5, 1, 1)=DATE(1900,1,0), DATE(1900,1,1), OFFSET('IWP10'!BackgroundChecks, 9, 5, 1, 1))</f>
        <v>1</v>
      </c>
      <c r="F272" s="262" t="str">
        <f ca="1">IF(OFFSET('IWP10'!BackgroundChecks, 9, 6, 1, 1) = 0, "", OFFSET('IWP10'!BackgroundChecks, 9, 6, 1, 1))</f>
        <v/>
      </c>
      <c r="G272" s="254">
        <f ca="1">IF(OFFSET('IWP10'!BackgroundChecks, 9, 7, 1, 1)=DATE(1900,1,0), DATE(1900,1,1), OFFSET('IWP10'!BackgroundChecks, 9, 7, 1, 1))</f>
        <v>1</v>
      </c>
      <c r="H272" s="254">
        <f ca="1">IF(OFFSET('IWP10'!BackgroundChecks, 9, 8, 1, 1)=DATE(1900,1,0), DATE(1900,1,1), OFFSET('IWP10'!BackgroundChecks, 9, 8, 1, 1))</f>
        <v>1</v>
      </c>
      <c r="I272" s="262" t="str">
        <f ca="1">IF(OFFSET('IWP10'!BackgroundChecks, 9, 9, 1, 1) = 0, "", OFFSET('IWP10'!BackgroundChecks, 9, 9, 1, 1))</f>
        <v/>
      </c>
      <c r="J272" s="262" t="str">
        <f ca="1">IF(OFFSET('IWP10'!BackgroundChecks, 9, 10, 1, 1) = 0, "", OFFSET('IWP10'!BackgroundChecks, 9, 10, 1, 1))</f>
        <v/>
      </c>
      <c r="K272" s="262" t="str">
        <f ca="1">IF(OFFSET('IWP10'!BackgroundChecks, 9, 11, 1, 1) = 0, "", OFFSET('IWP10'!BackgroundChecks, 9, 11, 1, 1))</f>
        <v/>
      </c>
      <c r="L272" s="262" t="str">
        <f ca="1">IF(OFFSET('IWP10'!BackgroundChecks, 9, 12, 1, 1) = 0, "", OFFSET('IWP10'!BackgroundChecks, 9, 12, 1, 1))</f>
        <v/>
      </c>
      <c r="M272" s="262" t="str">
        <f ca="1">IF(OFFSET('IWP10'!BackgroundChecks, 9, 13, 1, 1) = 0, "", OFFSET('IWP10'!BackgroundChecks, 9, 13, 1, 1))</f>
        <v/>
      </c>
      <c r="N272" s="261"/>
    </row>
    <row r="273" spans="1:14" s="146" customFormat="1">
      <c r="A273" s="257" t="s">
        <v>508</v>
      </c>
      <c r="B273" s="262" t="str">
        <f ca="1">IF(OFFSET('IWP10'!BackgroundChecks, 10, 0, 1, 1) = 0, "", OFFSET('IWP10'!BackgroundChecks, 10, 0, 1, 1))</f>
        <v/>
      </c>
      <c r="C273" s="262" t="str">
        <f ca="1">IF(OFFSET('IWP10'!BackgroundChecks, 10, 2, 1, 1) = 0, "", OFFSET('IWP10'!BackgroundChecks, 10, 2, 1, 1))</f>
        <v/>
      </c>
      <c r="D273" s="262" t="str">
        <f ca="1">IF(OFFSET('IWP10'!BackgroundChecks, 10, 4, 1, 1) = 0, "", OFFSET('IWP10'!BackgroundChecks, 10, 4, 1, 1))</f>
        <v/>
      </c>
      <c r="E273" s="254">
        <f ca="1">IF(OFFSET('IWP10'!BackgroundChecks, 10, 5, 1, 1)=DATE(1900,1,0), DATE(1900,1,1), OFFSET('IWP10'!BackgroundChecks, 10, 5, 1, 1))</f>
        <v>1</v>
      </c>
      <c r="F273" s="262" t="str">
        <f ca="1">IF(OFFSET('IWP10'!BackgroundChecks, 10, 6, 1, 1) = 0, "", OFFSET('IWP10'!BackgroundChecks, 10, 6, 1, 1))</f>
        <v/>
      </c>
      <c r="G273" s="254">
        <f ca="1">IF(OFFSET('IWP10'!BackgroundChecks, 10, 7, 1, 1)=DATE(1900,1,0), DATE(1900,1,1), OFFSET('IWP10'!BackgroundChecks, 10, 7, 1, 1))</f>
        <v>1</v>
      </c>
      <c r="H273" s="254">
        <f ca="1">IF(OFFSET('IWP10'!BackgroundChecks, 10, 8, 1, 1)=DATE(1900,1,0), DATE(1900,1,1), OFFSET('IWP10'!BackgroundChecks, 10, 8, 1, 1))</f>
        <v>1</v>
      </c>
      <c r="I273" s="262" t="str">
        <f ca="1">IF(OFFSET('IWP10'!BackgroundChecks, 10, 9, 1, 1) = 0, "", OFFSET('IWP10'!BackgroundChecks, 10, 9, 1, 1))</f>
        <v/>
      </c>
      <c r="J273" s="262" t="str">
        <f ca="1">IF(OFFSET('IWP10'!BackgroundChecks, 10, 10, 1, 1) = 0, "", OFFSET('IWP10'!BackgroundChecks, 10, 10, 1, 1))</f>
        <v/>
      </c>
      <c r="K273" s="262" t="str">
        <f ca="1">IF(OFFSET('IWP10'!BackgroundChecks, 10, 11, 1, 1) = 0, "", OFFSET('IWP10'!BackgroundChecks, 10, 11, 1, 1))</f>
        <v/>
      </c>
      <c r="L273" s="262" t="str">
        <f ca="1">IF(OFFSET('IWP10'!BackgroundChecks, 10, 12, 1, 1) = 0, "", OFFSET('IWP10'!BackgroundChecks, 10, 12, 1, 1))</f>
        <v/>
      </c>
      <c r="M273" s="262" t="str">
        <f ca="1">IF(OFFSET('IWP10'!BackgroundChecks, 10, 13, 1, 1) = 0, "", OFFSET('IWP10'!BackgroundChecks, 10, 13, 1, 1))</f>
        <v/>
      </c>
      <c r="N273" s="261"/>
    </row>
    <row r="274" spans="1:14" s="146" customFormat="1">
      <c r="A274" s="257" t="s">
        <v>508</v>
      </c>
      <c r="B274" s="262" t="str">
        <f ca="1">IF(OFFSET('IWP10'!BackgroundChecks, 11, 0, 1, 1) = 0, "", OFFSET('IWP10'!BackgroundChecks, 11, 0, 1, 1))</f>
        <v/>
      </c>
      <c r="C274" s="262" t="str">
        <f ca="1">IF(OFFSET('IWP10'!BackgroundChecks, 11, 2, 1, 1) = 0, "", OFFSET('IWP10'!BackgroundChecks, 11, 2, 1, 1))</f>
        <v/>
      </c>
      <c r="D274" s="262" t="str">
        <f ca="1">IF(OFFSET('IWP10'!BackgroundChecks, 11, 4, 1, 1) = 0, "", OFFSET('IWP10'!BackgroundChecks, 11, 4, 1, 1))</f>
        <v/>
      </c>
      <c r="E274" s="254">
        <f ca="1">IF(OFFSET('IWP10'!BackgroundChecks, 11, 5, 1, 1)=DATE(1900,1,0), DATE(1900,1,1), OFFSET('IWP10'!BackgroundChecks, 11, 5, 1, 1))</f>
        <v>1</v>
      </c>
      <c r="F274" s="262" t="str">
        <f ca="1">IF(OFFSET('IWP10'!BackgroundChecks, 11, 6, 1, 1) = 0, "", OFFSET('IWP10'!BackgroundChecks, 11, 6, 1, 1))</f>
        <v/>
      </c>
      <c r="G274" s="254">
        <f ca="1">IF(OFFSET('IWP10'!BackgroundChecks, 11, 7, 1, 1)=DATE(1900,1,0), DATE(1900,1,1), OFFSET('IWP10'!BackgroundChecks, 11, 7, 1, 1))</f>
        <v>1</v>
      </c>
      <c r="H274" s="254">
        <f ca="1">IF(OFFSET('IWP10'!BackgroundChecks, 11, 8, 1, 1)=DATE(1900,1,0), DATE(1900,1,1), OFFSET('IWP10'!BackgroundChecks, 11, 8, 1, 1))</f>
        <v>1</v>
      </c>
      <c r="I274" s="262" t="str">
        <f ca="1">IF(OFFSET('IWP10'!BackgroundChecks, 11, 9, 1, 1) = 0, "", OFFSET('IWP10'!BackgroundChecks, 11, 9, 1, 1))</f>
        <v/>
      </c>
      <c r="J274" s="262" t="str">
        <f ca="1">IF(OFFSET('IWP10'!BackgroundChecks, 11, 10, 1, 1) = 0, "", OFFSET('IWP10'!BackgroundChecks, 11, 10, 1, 1))</f>
        <v/>
      </c>
      <c r="K274" s="262" t="str">
        <f ca="1">IF(OFFSET('IWP10'!BackgroundChecks, 11, 11, 1, 1) = 0, "", OFFSET('IWP10'!BackgroundChecks, 11, 11, 1, 1))</f>
        <v/>
      </c>
      <c r="L274" s="262" t="str">
        <f ca="1">IF(OFFSET('IWP10'!BackgroundChecks, 11, 12, 1, 1) = 0, "", OFFSET('IWP10'!BackgroundChecks, 11, 12, 1, 1))</f>
        <v/>
      </c>
      <c r="M274" s="262" t="str">
        <f ca="1">IF(OFFSET('IWP10'!BackgroundChecks, 11, 13, 1, 1) = 0, "", OFFSET('IWP10'!BackgroundChecks, 11, 13, 1, 1))</f>
        <v/>
      </c>
      <c r="N274" s="261"/>
    </row>
    <row r="275" spans="1:14" s="146" customFormat="1">
      <c r="A275" s="257" t="s">
        <v>508</v>
      </c>
      <c r="B275" s="262" t="str">
        <f ca="1">IF(OFFSET('IWP10'!BackgroundChecks, 12, 0, 1, 1) = 0, "", OFFSET('IWP10'!BackgroundChecks, 12, 0, 1, 1))</f>
        <v/>
      </c>
      <c r="C275" s="262" t="str">
        <f ca="1">IF(OFFSET('IWP10'!BackgroundChecks, 12, 2, 1, 1) = 0, "", OFFSET('IWP10'!BackgroundChecks, 12, 2, 1, 1))</f>
        <v/>
      </c>
      <c r="D275" s="262" t="str">
        <f ca="1">IF(OFFSET('IWP10'!BackgroundChecks, 12, 4, 1, 1) = 0, "", OFFSET('IWP10'!BackgroundChecks, 12, 4, 1, 1))</f>
        <v/>
      </c>
      <c r="E275" s="254">
        <f ca="1">IF(OFFSET('IWP10'!BackgroundChecks, 12, 5, 1, 1)=DATE(1900,1,0), DATE(1900,1,1), OFFSET('IWP10'!BackgroundChecks, 12, 5, 1, 1))</f>
        <v>1</v>
      </c>
      <c r="F275" s="262" t="str">
        <f ca="1">IF(OFFSET('IWP10'!BackgroundChecks, 12, 6, 1, 1) = 0, "", OFFSET('IWP10'!BackgroundChecks, 12, 6, 1, 1))</f>
        <v/>
      </c>
      <c r="G275" s="254">
        <f ca="1">IF(OFFSET('IWP10'!BackgroundChecks, 12, 7, 1, 1)=DATE(1900,1,0), DATE(1900,1,1), OFFSET('IWP10'!BackgroundChecks, 12, 7, 1, 1))</f>
        <v>1</v>
      </c>
      <c r="H275" s="254">
        <f ca="1">IF(OFFSET('IWP10'!BackgroundChecks, 12, 8, 1, 1)=DATE(1900,1,0), DATE(1900,1,1), OFFSET('IWP10'!BackgroundChecks, 12, 8, 1, 1))</f>
        <v>1</v>
      </c>
      <c r="I275" s="262" t="str">
        <f ca="1">IF(OFFSET('IWP10'!BackgroundChecks, 12, 9, 1, 1) = 0, "", OFFSET('IWP10'!BackgroundChecks, 12, 9, 1, 1))</f>
        <v/>
      </c>
      <c r="J275" s="262" t="str">
        <f ca="1">IF(OFFSET('IWP10'!BackgroundChecks, 12, 10, 1, 1) = 0, "", OFFSET('IWP10'!BackgroundChecks, 12, 10, 1, 1))</f>
        <v/>
      </c>
      <c r="K275" s="262" t="str">
        <f ca="1">IF(OFFSET('IWP10'!BackgroundChecks, 12, 11, 1, 1) = 0, "", OFFSET('IWP10'!BackgroundChecks, 12, 11, 1, 1))</f>
        <v/>
      </c>
      <c r="L275" s="262" t="str">
        <f ca="1">IF(OFFSET('IWP10'!BackgroundChecks, 12, 12, 1, 1) = 0, "", OFFSET('IWP10'!BackgroundChecks, 12, 12, 1, 1))</f>
        <v/>
      </c>
      <c r="M275" s="262" t="str">
        <f ca="1">IF(OFFSET('IWP10'!BackgroundChecks, 12, 13, 1, 1) = 0, "", OFFSET('IWP10'!BackgroundChecks, 12, 13, 1, 1))</f>
        <v/>
      </c>
      <c r="N275" s="261"/>
    </row>
    <row r="276" spans="1:14" s="146" customFormat="1">
      <c r="A276" s="257" t="s">
        <v>508</v>
      </c>
      <c r="B276" s="262" t="str">
        <f ca="1">IF(OFFSET('IWP10'!BackgroundChecks, 13, 0, 1, 1) = 0, "", OFFSET('IWP10'!BackgroundChecks, 13, 0, 1, 1))</f>
        <v/>
      </c>
      <c r="C276" s="262" t="str">
        <f ca="1">IF(OFFSET('IWP10'!BackgroundChecks, 13, 2, 1, 1) = 0, "", OFFSET('IWP10'!BackgroundChecks, 13, 2, 1, 1))</f>
        <v/>
      </c>
      <c r="D276" s="262" t="str">
        <f ca="1">IF(OFFSET('IWP10'!BackgroundChecks, 13, 4, 1, 1) = 0, "", OFFSET('IWP10'!BackgroundChecks, 13, 4, 1, 1))</f>
        <v/>
      </c>
      <c r="E276" s="254">
        <f ca="1">IF(OFFSET('IWP10'!BackgroundChecks, 13, 5, 1, 1)=DATE(1900,1,0), DATE(1900,1,1), OFFSET('IWP10'!BackgroundChecks, 13, 5, 1, 1))</f>
        <v>1</v>
      </c>
      <c r="F276" s="262" t="str">
        <f ca="1">IF(OFFSET('IWP10'!BackgroundChecks, 13, 6, 1, 1) = 0, "", OFFSET('IWP10'!BackgroundChecks, 13, 6, 1, 1))</f>
        <v/>
      </c>
      <c r="G276" s="254">
        <f ca="1">IF(OFFSET('IWP10'!BackgroundChecks, 13, 7, 1, 1)=DATE(1900,1,0), DATE(1900,1,1), OFFSET('IWP10'!BackgroundChecks, 13, 7, 1, 1))</f>
        <v>1</v>
      </c>
      <c r="H276" s="254">
        <f ca="1">IF(OFFSET('IWP10'!BackgroundChecks, 13, 8, 1, 1)=DATE(1900,1,0), DATE(1900,1,1), OFFSET('IWP10'!BackgroundChecks, 13, 8, 1, 1))</f>
        <v>1</v>
      </c>
      <c r="I276" s="262" t="str">
        <f ca="1">IF(OFFSET('IWP10'!BackgroundChecks, 13, 9, 1, 1) = 0, "", OFFSET('IWP10'!BackgroundChecks, 13, 9, 1, 1))</f>
        <v/>
      </c>
      <c r="J276" s="262" t="str">
        <f ca="1">IF(OFFSET('IWP10'!BackgroundChecks, 13, 10, 1, 1) = 0, "", OFFSET('IWP10'!BackgroundChecks, 13, 10, 1, 1))</f>
        <v/>
      </c>
      <c r="K276" s="262" t="str">
        <f ca="1">IF(OFFSET('IWP10'!BackgroundChecks, 13, 11, 1, 1) = 0, "", OFFSET('IWP10'!BackgroundChecks, 13, 11, 1, 1))</f>
        <v/>
      </c>
      <c r="L276" s="262" t="str">
        <f ca="1">IF(OFFSET('IWP10'!BackgroundChecks, 13, 12, 1, 1) = 0, "", OFFSET('IWP10'!BackgroundChecks, 13, 12, 1, 1))</f>
        <v/>
      </c>
      <c r="M276" s="262" t="str">
        <f ca="1">IF(OFFSET('IWP10'!BackgroundChecks, 13, 13, 1, 1) = 0, "", OFFSET('IWP10'!BackgroundChecks, 13, 13, 1, 1))</f>
        <v/>
      </c>
      <c r="N276" s="261"/>
    </row>
    <row r="277" spans="1:14" s="146" customFormat="1">
      <c r="A277" s="257" t="s">
        <v>508</v>
      </c>
      <c r="B277" s="262" t="str">
        <f ca="1">IF(OFFSET('IWP10'!BackgroundChecks, 14, 0, 1, 1) = 0, "", OFFSET('IWP10'!BackgroundChecks, 14, 0, 1, 1))</f>
        <v/>
      </c>
      <c r="C277" s="262" t="str">
        <f ca="1">IF(OFFSET('IWP10'!BackgroundChecks, 14, 2, 1, 1) = 0, "", OFFSET('IWP10'!BackgroundChecks, 14, 2, 1, 1))</f>
        <v/>
      </c>
      <c r="D277" s="262" t="str">
        <f ca="1">IF(OFFSET('IWP10'!BackgroundChecks, 14, 4, 1, 1) = 0, "", OFFSET('IWP10'!BackgroundChecks, 14, 4, 1, 1))</f>
        <v/>
      </c>
      <c r="E277" s="254">
        <f ca="1">IF(OFFSET('IWP10'!BackgroundChecks, 14, 5, 1, 1)=DATE(1900,1,0), DATE(1900,1,1), OFFSET('IWP10'!BackgroundChecks, 14, 5, 1, 1))</f>
        <v>1</v>
      </c>
      <c r="F277" s="262" t="str">
        <f ca="1">IF(OFFSET('IWP10'!BackgroundChecks, 14, 6, 1, 1) = 0, "", OFFSET('IWP10'!BackgroundChecks, 14, 6, 1, 1))</f>
        <v/>
      </c>
      <c r="G277" s="254">
        <f ca="1">IF(OFFSET('IWP10'!BackgroundChecks, 14, 7, 1, 1)=DATE(1900,1,0), DATE(1900,1,1), OFFSET('IWP10'!BackgroundChecks, 14, 7, 1, 1))</f>
        <v>1</v>
      </c>
      <c r="H277" s="254">
        <f ca="1">IF(OFFSET('IWP10'!BackgroundChecks, 14, 8, 1, 1)=DATE(1900,1,0), DATE(1900,1,1), OFFSET('IWP10'!BackgroundChecks, 14, 8, 1, 1))</f>
        <v>1</v>
      </c>
      <c r="I277" s="262" t="str">
        <f ca="1">IF(OFFSET('IWP10'!BackgroundChecks, 14, 9, 1, 1) = 0, "", OFFSET('IWP10'!BackgroundChecks, 14, 9, 1, 1))</f>
        <v/>
      </c>
      <c r="J277" s="262" t="str">
        <f ca="1">IF(OFFSET('IWP10'!BackgroundChecks, 14, 10, 1, 1) = 0, "", OFFSET('IWP10'!BackgroundChecks, 14, 10, 1, 1))</f>
        <v/>
      </c>
      <c r="K277" s="262" t="str">
        <f ca="1">IF(OFFSET('IWP10'!BackgroundChecks, 14, 11, 1, 1) = 0, "", OFFSET('IWP10'!BackgroundChecks, 14, 11, 1, 1))</f>
        <v/>
      </c>
      <c r="L277" s="262" t="str">
        <f ca="1">IF(OFFSET('IWP10'!BackgroundChecks, 14, 12, 1, 1) = 0, "", OFFSET('IWP10'!BackgroundChecks, 14, 12, 1, 1))</f>
        <v/>
      </c>
      <c r="M277" s="262" t="str">
        <f ca="1">IF(OFFSET('IWP10'!BackgroundChecks, 14, 13, 1, 1) = 0, "", OFFSET('IWP10'!BackgroundChecks, 14, 13, 1, 1))</f>
        <v/>
      </c>
      <c r="N277" s="261"/>
    </row>
    <row r="278" spans="1:14" s="146" customFormat="1">
      <c r="A278" s="257" t="s">
        <v>508</v>
      </c>
      <c r="B278" s="262" t="str">
        <f ca="1">IF(OFFSET('IWP10'!BackgroundChecks, 15, 0, 1, 1) = 0, "", OFFSET('IWP10'!BackgroundChecks, 15, 0, 1, 1))</f>
        <v/>
      </c>
      <c r="C278" s="262" t="str">
        <f ca="1">IF(OFFSET('IWP10'!BackgroundChecks, 15, 2, 1, 1) = 0, "", OFFSET('IWP10'!BackgroundChecks, 15, 2, 1, 1))</f>
        <v/>
      </c>
      <c r="D278" s="262" t="str">
        <f ca="1">IF(OFFSET('IWP10'!BackgroundChecks, 15, 4, 1, 1) = 0, "", OFFSET('IWP10'!BackgroundChecks, 15, 4, 1, 1))</f>
        <v/>
      </c>
      <c r="E278" s="254">
        <f ca="1">IF(OFFSET('IWP10'!BackgroundChecks, 15, 5, 1, 1)=DATE(1900,1,0), DATE(1900,1,1), OFFSET('IWP10'!BackgroundChecks, 15, 5, 1, 1))</f>
        <v>1</v>
      </c>
      <c r="F278" s="262" t="str">
        <f ca="1">IF(OFFSET('IWP10'!BackgroundChecks, 15, 6, 1, 1) = 0, "", OFFSET('IWP10'!BackgroundChecks, 15, 6, 1, 1))</f>
        <v/>
      </c>
      <c r="G278" s="254">
        <f ca="1">IF(OFFSET('IWP10'!BackgroundChecks, 15, 7, 1, 1)=DATE(1900,1,0), DATE(1900,1,1), OFFSET('IWP10'!BackgroundChecks, 15, 7, 1, 1))</f>
        <v>1</v>
      </c>
      <c r="H278" s="254">
        <f ca="1">IF(OFFSET('IWP10'!BackgroundChecks, 15, 8, 1, 1)=DATE(1900,1,0), DATE(1900,1,1), OFFSET('IWP10'!BackgroundChecks, 15, 8, 1, 1))</f>
        <v>1</v>
      </c>
      <c r="I278" s="262" t="str">
        <f ca="1">IF(OFFSET('IWP10'!BackgroundChecks, 15, 9, 1, 1) = 0, "", OFFSET('IWP10'!BackgroundChecks, 15, 9, 1, 1))</f>
        <v/>
      </c>
      <c r="J278" s="262" t="str">
        <f ca="1">IF(OFFSET('IWP10'!BackgroundChecks, 15, 10, 1, 1) = 0, "", OFFSET('IWP10'!BackgroundChecks, 15, 10, 1, 1))</f>
        <v/>
      </c>
      <c r="K278" s="262" t="str">
        <f ca="1">IF(OFFSET('IWP10'!BackgroundChecks, 15, 11, 1, 1) = 0, "", OFFSET('IWP10'!BackgroundChecks, 15, 11, 1, 1))</f>
        <v/>
      </c>
      <c r="L278" s="262" t="str">
        <f ca="1">IF(OFFSET('IWP10'!BackgroundChecks, 15, 12, 1, 1) = 0, "", OFFSET('IWP10'!BackgroundChecks, 15, 12, 1, 1))</f>
        <v/>
      </c>
      <c r="M278" s="262" t="str">
        <f ca="1">IF(OFFSET('IWP10'!BackgroundChecks, 15, 13, 1, 1) = 0, "", OFFSET('IWP10'!BackgroundChecks, 15, 13, 1, 1))</f>
        <v/>
      </c>
      <c r="N278" s="261"/>
    </row>
    <row r="279" spans="1:14" s="146" customFormat="1">
      <c r="A279" s="257" t="s">
        <v>508</v>
      </c>
      <c r="B279" s="262" t="str">
        <f ca="1">IF(OFFSET('IWP10'!BackgroundChecks, 16, 0, 1, 1) = 0, "", OFFSET('IWP10'!BackgroundChecks, 16, 0, 1, 1))</f>
        <v/>
      </c>
      <c r="C279" s="262" t="str">
        <f ca="1">IF(OFFSET('IWP10'!BackgroundChecks, 16, 2, 1, 1) = 0, "", OFFSET('IWP10'!BackgroundChecks, 16, 2, 1, 1))</f>
        <v/>
      </c>
      <c r="D279" s="262" t="str">
        <f ca="1">IF(OFFSET('IWP10'!BackgroundChecks, 16, 4, 1, 1) = 0, "", OFFSET('IWP10'!BackgroundChecks, 16, 4, 1, 1))</f>
        <v/>
      </c>
      <c r="E279" s="254">
        <f ca="1">IF(OFFSET('IWP10'!BackgroundChecks, 16, 5, 1, 1)=DATE(1900,1,0), DATE(1900,1,1), OFFSET('IWP10'!BackgroundChecks, 16, 5, 1, 1))</f>
        <v>1</v>
      </c>
      <c r="F279" s="262" t="str">
        <f ca="1">IF(OFFSET('IWP10'!BackgroundChecks, 16, 6, 1, 1) = 0, "", OFFSET('IWP10'!BackgroundChecks, 16, 6, 1, 1))</f>
        <v/>
      </c>
      <c r="G279" s="254">
        <f ca="1">IF(OFFSET('IWP10'!BackgroundChecks, 16, 7, 1, 1)=DATE(1900,1,0), DATE(1900,1,1), OFFSET('IWP10'!BackgroundChecks, 16, 7, 1, 1))</f>
        <v>1</v>
      </c>
      <c r="H279" s="254">
        <f ca="1">IF(OFFSET('IWP10'!BackgroundChecks, 16, 8, 1, 1)=DATE(1900,1,0), DATE(1900,1,1), OFFSET('IWP10'!BackgroundChecks, 16, 8, 1, 1))</f>
        <v>1</v>
      </c>
      <c r="I279" s="262" t="str">
        <f ca="1">IF(OFFSET('IWP10'!BackgroundChecks, 16, 9, 1, 1) = 0, "", OFFSET('IWP10'!BackgroundChecks, 16, 9, 1, 1))</f>
        <v/>
      </c>
      <c r="J279" s="262" t="str">
        <f ca="1">IF(OFFSET('IWP10'!BackgroundChecks, 16, 10, 1, 1) = 0, "", OFFSET('IWP10'!BackgroundChecks, 16, 10, 1, 1))</f>
        <v/>
      </c>
      <c r="K279" s="262" t="str">
        <f ca="1">IF(OFFSET('IWP10'!BackgroundChecks, 16, 11, 1, 1) = 0, "", OFFSET('IWP10'!BackgroundChecks, 16, 11, 1, 1))</f>
        <v/>
      </c>
      <c r="L279" s="262" t="str">
        <f ca="1">IF(OFFSET('IWP10'!BackgroundChecks, 16, 12, 1, 1) = 0, "", OFFSET('IWP10'!BackgroundChecks, 16, 12, 1, 1))</f>
        <v/>
      </c>
      <c r="M279" s="262" t="str">
        <f ca="1">IF(OFFSET('IWP10'!BackgroundChecks, 16, 13, 1, 1) = 0, "", OFFSET('IWP10'!BackgroundChecks, 16, 13, 1, 1))</f>
        <v/>
      </c>
      <c r="N279" s="261"/>
    </row>
    <row r="280" spans="1:14" s="146" customFormat="1">
      <c r="A280" s="257" t="s">
        <v>508</v>
      </c>
      <c r="B280" s="262" t="str">
        <f ca="1">IF(OFFSET('IWP10'!BackgroundChecks, 17, 0, 1, 1) = 0, "", OFFSET('IWP10'!BackgroundChecks, 17, 0, 1, 1))</f>
        <v/>
      </c>
      <c r="C280" s="262" t="str">
        <f ca="1">IF(OFFSET('IWP10'!BackgroundChecks, 17, 2, 1, 1) = 0, "", OFFSET('IWP10'!BackgroundChecks, 17, 2, 1, 1))</f>
        <v/>
      </c>
      <c r="D280" s="262" t="str">
        <f ca="1">IF(OFFSET('IWP10'!BackgroundChecks, 17, 4, 1, 1) = 0, "", OFFSET('IWP10'!BackgroundChecks, 17, 4, 1, 1))</f>
        <v/>
      </c>
      <c r="E280" s="254">
        <f ca="1">IF(OFFSET('IWP10'!BackgroundChecks, 17, 5, 1, 1)=DATE(1900,1,0), DATE(1900,1,1), OFFSET('IWP10'!BackgroundChecks, 17, 5, 1, 1))</f>
        <v>1</v>
      </c>
      <c r="F280" s="262" t="str">
        <f ca="1">IF(OFFSET('IWP10'!BackgroundChecks, 17, 6, 1, 1) = 0, "", OFFSET('IWP10'!BackgroundChecks, 17, 6, 1, 1))</f>
        <v/>
      </c>
      <c r="G280" s="254">
        <f ca="1">IF(OFFSET('IWP10'!BackgroundChecks, 17, 7, 1, 1)=DATE(1900,1,0), DATE(1900,1,1), OFFSET('IWP10'!BackgroundChecks, 17, 7, 1, 1))</f>
        <v>1</v>
      </c>
      <c r="H280" s="254">
        <f ca="1">IF(OFFSET('IWP10'!BackgroundChecks, 17, 8, 1, 1)=DATE(1900,1,0), DATE(1900,1,1), OFFSET('IWP10'!BackgroundChecks, 17, 8, 1, 1))</f>
        <v>1</v>
      </c>
      <c r="I280" s="262" t="str">
        <f ca="1">IF(OFFSET('IWP10'!BackgroundChecks, 17, 9, 1, 1) = 0, "", OFFSET('IWP10'!BackgroundChecks, 17, 9, 1, 1))</f>
        <v/>
      </c>
      <c r="J280" s="262" t="str">
        <f ca="1">IF(OFFSET('IWP10'!BackgroundChecks, 17, 10, 1, 1) = 0, "", OFFSET('IWP10'!BackgroundChecks, 17, 10, 1, 1))</f>
        <v/>
      </c>
      <c r="K280" s="262" t="str">
        <f ca="1">IF(OFFSET('IWP10'!BackgroundChecks, 17, 11, 1, 1) = 0, "", OFFSET('IWP10'!BackgroundChecks, 17, 11, 1, 1))</f>
        <v/>
      </c>
      <c r="L280" s="262" t="str">
        <f ca="1">IF(OFFSET('IWP10'!BackgroundChecks, 17, 12, 1, 1) = 0, "", OFFSET('IWP10'!BackgroundChecks, 17, 12, 1, 1))</f>
        <v/>
      </c>
      <c r="M280" s="262" t="str">
        <f ca="1">IF(OFFSET('IWP10'!BackgroundChecks, 17, 13, 1, 1) = 0, "", OFFSET('IWP10'!BackgroundChecks, 17, 13, 1, 1))</f>
        <v/>
      </c>
      <c r="N280" s="261"/>
    </row>
    <row r="281" spans="1:14" s="146" customFormat="1">
      <c r="A281" s="257" t="s">
        <v>508</v>
      </c>
      <c r="B281" s="262" t="str">
        <f ca="1">IF(OFFSET('IWP10'!BackgroundChecks, 18, 0, 1, 1) = 0, "", OFFSET('IWP10'!BackgroundChecks, 18, 0, 1, 1))</f>
        <v/>
      </c>
      <c r="C281" s="262" t="str">
        <f ca="1">IF(OFFSET('IWP10'!BackgroundChecks, 18, 2, 1, 1) = 0, "", OFFSET('IWP10'!BackgroundChecks, 18, 2, 1, 1))</f>
        <v/>
      </c>
      <c r="D281" s="262" t="str">
        <f ca="1">IF(OFFSET('IWP10'!BackgroundChecks, 18, 4, 1, 1) = 0, "", OFFSET('IWP10'!BackgroundChecks, 18, 4, 1, 1))</f>
        <v/>
      </c>
      <c r="E281" s="254">
        <f ca="1">IF(OFFSET('IWP10'!BackgroundChecks, 18, 5, 1, 1)=DATE(1900,1,0), DATE(1900,1,1), OFFSET('IWP10'!BackgroundChecks, 18, 5, 1, 1))</f>
        <v>1</v>
      </c>
      <c r="F281" s="262" t="str">
        <f ca="1">IF(OFFSET('IWP10'!BackgroundChecks, 18, 6, 1, 1) = 0, "", OFFSET('IWP10'!BackgroundChecks, 18, 6, 1, 1))</f>
        <v/>
      </c>
      <c r="G281" s="254">
        <f ca="1">IF(OFFSET('IWP10'!BackgroundChecks, 18, 7, 1, 1)=DATE(1900,1,0), DATE(1900,1,1), OFFSET('IWP10'!BackgroundChecks, 18, 7, 1, 1))</f>
        <v>1</v>
      </c>
      <c r="H281" s="254">
        <f ca="1">IF(OFFSET('IWP10'!BackgroundChecks, 18, 8, 1, 1)=DATE(1900,1,0), DATE(1900,1,1), OFFSET('IWP10'!BackgroundChecks, 18, 8, 1, 1))</f>
        <v>1</v>
      </c>
      <c r="I281" s="262" t="str">
        <f ca="1">IF(OFFSET('IWP10'!BackgroundChecks, 18, 9, 1, 1) = 0, "", OFFSET('IWP10'!BackgroundChecks, 18, 9, 1, 1))</f>
        <v/>
      </c>
      <c r="J281" s="262" t="str">
        <f ca="1">IF(OFFSET('IWP10'!BackgroundChecks, 18, 10, 1, 1) = 0, "", OFFSET('IWP10'!BackgroundChecks, 18, 10, 1, 1))</f>
        <v/>
      </c>
      <c r="K281" s="262" t="str">
        <f ca="1">IF(OFFSET('IWP10'!BackgroundChecks, 18, 11, 1, 1) = 0, "", OFFSET('IWP10'!BackgroundChecks, 18, 11, 1, 1))</f>
        <v/>
      </c>
      <c r="L281" s="262" t="str">
        <f ca="1">IF(OFFSET('IWP10'!BackgroundChecks, 18, 12, 1, 1) = 0, "", OFFSET('IWP10'!BackgroundChecks, 18, 12, 1, 1))</f>
        <v/>
      </c>
      <c r="M281" s="262" t="str">
        <f ca="1">IF(OFFSET('IWP10'!BackgroundChecks, 18, 13, 1, 1) = 0, "", OFFSET('IWP10'!BackgroundChecks, 18, 13, 1, 1))</f>
        <v/>
      </c>
      <c r="N281" s="261"/>
    </row>
    <row r="282" spans="1:14" s="146" customFormat="1">
      <c r="A282" s="257" t="s">
        <v>508</v>
      </c>
      <c r="B282" s="262" t="str">
        <f ca="1">IF(OFFSET('IWP10'!BackgroundChecks, 19, 0, 1, 1) = 0, "", OFFSET('IWP10'!BackgroundChecks, 19, 0, 1, 1))</f>
        <v/>
      </c>
      <c r="C282" s="262" t="str">
        <f ca="1">IF(OFFSET('IWP10'!BackgroundChecks, 19, 2, 1, 1) = 0, "", OFFSET('IWP10'!BackgroundChecks, 19, 2, 1, 1))</f>
        <v/>
      </c>
      <c r="D282" s="262" t="str">
        <f ca="1">IF(OFFSET('IWP10'!BackgroundChecks, 19, 4, 1, 1) = 0, "", OFFSET('IWP10'!BackgroundChecks, 19, 4, 1, 1))</f>
        <v/>
      </c>
      <c r="E282" s="254">
        <f ca="1">IF(OFFSET('IWP10'!BackgroundChecks, 19, 5, 1, 1)=DATE(1900,1,0), DATE(1900,1,1), OFFSET('IWP10'!BackgroundChecks, 19, 5, 1, 1))</f>
        <v>1</v>
      </c>
      <c r="F282" s="262" t="str">
        <f ca="1">IF(OFFSET('IWP10'!BackgroundChecks, 19, 6, 1, 1) = 0, "", OFFSET('IWP10'!BackgroundChecks, 19, 6, 1, 1))</f>
        <v/>
      </c>
      <c r="G282" s="254">
        <f ca="1">IF(OFFSET('IWP10'!BackgroundChecks, 19, 7, 1, 1)=DATE(1900,1,0), DATE(1900,1,1), OFFSET('IWP10'!BackgroundChecks, 19, 7, 1, 1))</f>
        <v>1</v>
      </c>
      <c r="H282" s="254">
        <f ca="1">IF(OFFSET('IWP10'!BackgroundChecks, 19, 8, 1, 1)=DATE(1900,1,0), DATE(1900,1,1), OFFSET('IWP10'!BackgroundChecks, 19, 8, 1, 1))</f>
        <v>1</v>
      </c>
      <c r="I282" s="262" t="str">
        <f ca="1">IF(OFFSET('IWP10'!BackgroundChecks, 19, 9, 1, 1) = 0, "", OFFSET('IWP10'!BackgroundChecks, 19, 9, 1, 1))</f>
        <v/>
      </c>
      <c r="J282" s="262" t="str">
        <f ca="1">IF(OFFSET('IWP10'!BackgroundChecks, 19, 10, 1, 1) = 0, "", OFFSET('IWP10'!BackgroundChecks, 19, 10, 1, 1))</f>
        <v/>
      </c>
      <c r="K282" s="262" t="str">
        <f ca="1">IF(OFFSET('IWP10'!BackgroundChecks, 19, 11, 1, 1) = 0, "", OFFSET('IWP10'!BackgroundChecks, 19, 11, 1, 1))</f>
        <v/>
      </c>
      <c r="L282" s="262" t="str">
        <f ca="1">IF(OFFSET('IWP10'!BackgroundChecks, 19, 12, 1, 1) = 0, "", OFFSET('IWP10'!BackgroundChecks, 19, 12, 1, 1))</f>
        <v/>
      </c>
      <c r="M282" s="262" t="str">
        <f ca="1">IF(OFFSET('IWP10'!BackgroundChecks, 19, 13, 1, 1) = 0, "", OFFSET('IWP10'!BackgroundChecks, 19, 13, 1, 1))</f>
        <v/>
      </c>
      <c r="N282" s="261"/>
    </row>
    <row r="283" spans="1:14" s="146" customFormat="1">
      <c r="A283" s="257" t="s">
        <v>509</v>
      </c>
      <c r="B283" s="262" t="str">
        <f ca="1">IF(OFFSET('IWP11'!BackgroundChecks, 0, 0, 1, 1) = 0, "", OFFSET('IWP11'!BackgroundChecks, 0, 0, 1, 1))</f>
        <v/>
      </c>
      <c r="C283" s="262" t="str">
        <f ca="1">IF(OFFSET('IWP11'!BackgroundChecks, 0, 2, 1, 1) = 0, "", OFFSET('IWP11'!BackgroundChecks, 0, 2, 1, 1))</f>
        <v/>
      </c>
      <c r="D283" s="262" t="str">
        <f ca="1">IF(OFFSET('IWP11'!BackgroundChecks, 0, 4, 1, 1) = 0, "", OFFSET('IWP11'!BackgroundChecks, 0, 4, 1, 1))</f>
        <v/>
      </c>
      <c r="E283" s="254">
        <f ca="1">IF(OFFSET('IWP11'!BackgroundChecks, 0, 5, 1, 1)=DATE(1900,1,0), DATE(1900,1,1), OFFSET('IWP11'!BackgroundChecks, 0, 5, 1, 1))</f>
        <v>1</v>
      </c>
      <c r="F283" s="262" t="str">
        <f ca="1">IF(OFFSET('IWP11'!BackgroundChecks, 0, 6, 1, 1) = 0, "", OFFSET('IWP11'!BackgroundChecks, 0, 6, 1, 1))</f>
        <v/>
      </c>
      <c r="G283" s="254">
        <f ca="1">IF(OFFSET('IWP11'!BackgroundChecks, 0, 7, 1, 1)=DATE(1900,1,0), DATE(1900,1,1), OFFSET('IWP11'!BackgroundChecks, 0, 7, 1, 1))</f>
        <v>1</v>
      </c>
      <c r="H283" s="254">
        <f ca="1">IF(OFFSET('IWP11'!BackgroundChecks, 0, 8, 1, 1)=DATE(1900,1,0), DATE(1900,1,1), OFFSET('IWP11'!BackgroundChecks, 0, 8, 1, 1))</f>
        <v>1</v>
      </c>
      <c r="I283" s="262" t="str">
        <f ca="1">IF(OFFSET('IWP11'!BackgroundChecks, 0, 9, 1, 1) = 0, "", OFFSET('IWP11'!BackgroundChecks, 0, 9, 1, 1))</f>
        <v/>
      </c>
      <c r="J283" s="262" t="str">
        <f ca="1">IF(OFFSET('IWP11'!BackgroundChecks, 0, 10, 1, 1) = 0, "", OFFSET('IWP11'!BackgroundChecks, 0, 10, 1, 1))</f>
        <v/>
      </c>
      <c r="K283" s="262" t="str">
        <f ca="1">IF(OFFSET('IWP11'!BackgroundChecks, 0, 11, 1, 1) = 0, "", OFFSET('IWP11'!BackgroundChecks, 0, 11, 1, 1))</f>
        <v/>
      </c>
      <c r="L283" s="262" t="str">
        <f ca="1">IF(OFFSET('IWP11'!BackgroundChecks, 0, 12, 1, 1) = 0, "", OFFSET('IWP11'!BackgroundChecks, 0, 12, 1, 1))</f>
        <v/>
      </c>
      <c r="M283" s="262" t="str">
        <f ca="1">IF(OFFSET('IWP11'!BackgroundChecks, 0, 13, 1, 1) = 0, "", OFFSET('IWP11'!BackgroundChecks, 0, 13, 1, 1))</f>
        <v/>
      </c>
      <c r="N283" s="261"/>
    </row>
    <row r="284" spans="1:14" s="146" customFormat="1">
      <c r="A284" s="257" t="s">
        <v>509</v>
      </c>
      <c r="B284" s="262" t="str">
        <f ca="1">IF(OFFSET('IWP11'!BackgroundChecks, 1, 0, 1, 1) = 0, "", OFFSET('IWP11'!BackgroundChecks, 1, 0, 1, 1))</f>
        <v/>
      </c>
      <c r="C284" s="262" t="str">
        <f ca="1">IF(OFFSET('IWP11'!BackgroundChecks, 1, 2, 1, 1) = 0, "", OFFSET('IWP11'!BackgroundChecks, 1, 2, 1, 1))</f>
        <v/>
      </c>
      <c r="D284" s="262" t="str">
        <f ca="1">IF(OFFSET('IWP11'!BackgroundChecks, 1, 4, 1, 1) = 0, "", OFFSET('IWP11'!BackgroundChecks, 1, 4, 1, 1))</f>
        <v/>
      </c>
      <c r="E284" s="254">
        <f ca="1">IF(OFFSET('IWP11'!BackgroundChecks, 1, 5, 1, 1)=DATE(1900,1,0), DATE(1900,1,1), OFFSET('IWP11'!BackgroundChecks, 1, 5, 1, 1))</f>
        <v>1</v>
      </c>
      <c r="F284" s="262" t="str">
        <f ca="1">IF(OFFSET('IWP11'!BackgroundChecks, 1, 6, 1, 1) = 0, "", OFFSET('IWP11'!BackgroundChecks, 1, 6, 1, 1))</f>
        <v/>
      </c>
      <c r="G284" s="254">
        <f ca="1">IF(OFFSET('IWP11'!BackgroundChecks, 1, 7, 1, 1)=DATE(1900,1,0), DATE(1900,1,1), OFFSET('IWP11'!BackgroundChecks, 1, 7, 1, 1))</f>
        <v>1</v>
      </c>
      <c r="H284" s="254">
        <f ca="1">IF(OFFSET('IWP11'!BackgroundChecks, 1, 8, 1, 1)=DATE(1900,1,0), DATE(1900,1,1), OFFSET('IWP11'!BackgroundChecks, 1, 8, 1, 1))</f>
        <v>1</v>
      </c>
      <c r="I284" s="262" t="str">
        <f ca="1">IF(OFFSET('IWP11'!BackgroundChecks, 1, 9, 1, 1) = 0, "", OFFSET('IWP11'!BackgroundChecks, 1, 9, 1, 1))</f>
        <v/>
      </c>
      <c r="J284" s="262" t="str">
        <f ca="1">IF(OFFSET('IWP11'!BackgroundChecks, 1, 10, 1, 1) = 0, "", OFFSET('IWP11'!BackgroundChecks, 1, 10, 1, 1))</f>
        <v/>
      </c>
      <c r="K284" s="262" t="str">
        <f ca="1">IF(OFFSET('IWP11'!BackgroundChecks, 1, 11, 1, 1) = 0, "", OFFSET('IWP11'!BackgroundChecks, 1, 11, 1, 1))</f>
        <v/>
      </c>
      <c r="L284" s="262" t="str">
        <f ca="1">IF(OFFSET('IWP11'!BackgroundChecks, 1, 12, 1, 1) = 0, "", OFFSET('IWP11'!BackgroundChecks, 1, 12, 1, 1))</f>
        <v/>
      </c>
      <c r="M284" s="262" t="str">
        <f ca="1">IF(OFFSET('IWP11'!BackgroundChecks, 1, 13, 1, 1) = 0, "", OFFSET('IWP11'!BackgroundChecks, 1, 13, 1, 1))</f>
        <v/>
      </c>
      <c r="N284" s="261"/>
    </row>
    <row r="285" spans="1:14" s="146" customFormat="1">
      <c r="A285" s="257" t="s">
        <v>509</v>
      </c>
      <c r="B285" s="262" t="str">
        <f ca="1">IF(OFFSET('IWP11'!BackgroundChecks, 2, 0, 1, 1) = 0, "", OFFSET('IWP11'!BackgroundChecks, 2, 0, 1, 1))</f>
        <v/>
      </c>
      <c r="C285" s="262" t="str">
        <f ca="1">IF(OFFSET('IWP11'!BackgroundChecks, 2, 2, 1, 1) = 0, "", OFFSET('IWP11'!BackgroundChecks, 2, 2, 1, 1))</f>
        <v/>
      </c>
      <c r="D285" s="262" t="str">
        <f ca="1">IF(OFFSET('IWP11'!BackgroundChecks, 2, 4, 1, 1) = 0, "", OFFSET('IWP11'!BackgroundChecks, 2, 4, 1, 1))</f>
        <v/>
      </c>
      <c r="E285" s="254">
        <f ca="1">IF(OFFSET('IWP11'!BackgroundChecks, 2, 5, 1, 1)=DATE(1900,1,0), DATE(1900,1,1), OFFSET('IWP11'!BackgroundChecks, 2, 5, 1, 1))</f>
        <v>1</v>
      </c>
      <c r="F285" s="262" t="str">
        <f ca="1">IF(OFFSET('IWP11'!BackgroundChecks, 2, 6, 1, 1) = 0, "", OFFSET('IWP11'!BackgroundChecks, 2, 6, 1, 1))</f>
        <v/>
      </c>
      <c r="G285" s="254">
        <f ca="1">IF(OFFSET('IWP11'!BackgroundChecks, 2, 7, 1, 1)=DATE(1900,1,0), DATE(1900,1,1), OFFSET('IWP11'!BackgroundChecks, 2, 7, 1, 1))</f>
        <v>1</v>
      </c>
      <c r="H285" s="254">
        <f ca="1">IF(OFFSET('IWP11'!BackgroundChecks, 2, 8, 1, 1)=DATE(1900,1,0), DATE(1900,1,1), OFFSET('IWP11'!BackgroundChecks, 2, 8, 1, 1))</f>
        <v>1</v>
      </c>
      <c r="I285" s="262" t="str">
        <f ca="1">IF(OFFSET('IWP11'!BackgroundChecks, 2, 9, 1, 1) = 0, "", OFFSET('IWP11'!BackgroundChecks, 2, 9, 1, 1))</f>
        <v/>
      </c>
      <c r="J285" s="262" t="str">
        <f ca="1">IF(OFFSET('IWP11'!BackgroundChecks, 2, 10, 1, 1) = 0, "", OFFSET('IWP11'!BackgroundChecks, 2, 10, 1, 1))</f>
        <v/>
      </c>
      <c r="K285" s="262" t="str">
        <f ca="1">IF(OFFSET('IWP11'!BackgroundChecks, 2, 11, 1, 1) = 0, "", OFFSET('IWP11'!BackgroundChecks, 2, 11, 1, 1))</f>
        <v/>
      </c>
      <c r="L285" s="262" t="str">
        <f ca="1">IF(OFFSET('IWP11'!BackgroundChecks, 2, 12, 1, 1) = 0, "", OFFSET('IWP11'!BackgroundChecks, 2, 12, 1, 1))</f>
        <v/>
      </c>
      <c r="M285" s="262" t="str">
        <f ca="1">IF(OFFSET('IWP11'!BackgroundChecks, 2, 13, 1, 1) = 0, "", OFFSET('IWP11'!BackgroundChecks, 2, 13, 1, 1))</f>
        <v/>
      </c>
      <c r="N285" s="261"/>
    </row>
    <row r="286" spans="1:14" s="146" customFormat="1">
      <c r="A286" s="257" t="s">
        <v>509</v>
      </c>
      <c r="B286" s="262" t="str">
        <f ca="1">IF(OFFSET('IWP11'!BackgroundChecks, 3, 0, 1, 1) = 0, "", OFFSET('IWP11'!BackgroundChecks, 3, 0, 1, 1))</f>
        <v/>
      </c>
      <c r="C286" s="262" t="str">
        <f ca="1">IF(OFFSET('IWP11'!BackgroundChecks, 3, 2, 1, 1) = 0, "", OFFSET('IWP11'!BackgroundChecks, 3, 2, 1, 1))</f>
        <v/>
      </c>
      <c r="D286" s="262" t="str">
        <f ca="1">IF(OFFSET('IWP11'!BackgroundChecks, 3, 4, 1, 1) = 0, "", OFFSET('IWP11'!BackgroundChecks, 3, 4, 1, 1))</f>
        <v/>
      </c>
      <c r="E286" s="254">
        <f ca="1">IF(OFFSET('IWP11'!BackgroundChecks, 3, 5, 1, 1)=DATE(1900,1,0), DATE(1900,1,1), OFFSET('IWP11'!BackgroundChecks, 3, 5, 1, 1))</f>
        <v>1</v>
      </c>
      <c r="F286" s="262" t="str">
        <f ca="1">IF(OFFSET('IWP11'!BackgroundChecks, 3, 6, 1, 1) = 0, "", OFFSET('IWP11'!BackgroundChecks, 3, 6, 1, 1))</f>
        <v/>
      </c>
      <c r="G286" s="254">
        <f ca="1">IF(OFFSET('IWP11'!BackgroundChecks, 3, 7, 1, 1)=DATE(1900,1,0), DATE(1900,1,1), OFFSET('IWP11'!BackgroundChecks, 3, 7, 1, 1))</f>
        <v>1</v>
      </c>
      <c r="H286" s="254">
        <f ca="1">IF(OFFSET('IWP11'!BackgroundChecks, 3, 8, 1, 1)=DATE(1900,1,0), DATE(1900,1,1), OFFSET('IWP11'!BackgroundChecks, 3, 8, 1, 1))</f>
        <v>1</v>
      </c>
      <c r="I286" s="262" t="str">
        <f ca="1">IF(OFFSET('IWP11'!BackgroundChecks, 3, 9, 1, 1) = 0, "", OFFSET('IWP11'!BackgroundChecks, 3, 9, 1, 1))</f>
        <v/>
      </c>
      <c r="J286" s="262" t="str">
        <f ca="1">IF(OFFSET('IWP11'!BackgroundChecks, 3, 10, 1, 1) = 0, "", OFFSET('IWP11'!BackgroundChecks, 3, 10, 1, 1))</f>
        <v/>
      </c>
      <c r="K286" s="262" t="str">
        <f ca="1">IF(OFFSET('IWP11'!BackgroundChecks, 3, 11, 1, 1) = 0, "", OFFSET('IWP11'!BackgroundChecks, 3, 11, 1, 1))</f>
        <v/>
      </c>
      <c r="L286" s="262" t="str">
        <f ca="1">IF(OFFSET('IWP11'!BackgroundChecks, 3, 12, 1, 1) = 0, "", OFFSET('IWP11'!BackgroundChecks, 3, 12, 1, 1))</f>
        <v/>
      </c>
      <c r="M286" s="262" t="str">
        <f ca="1">IF(OFFSET('IWP11'!BackgroundChecks, 3, 13, 1, 1) = 0, "", OFFSET('IWP11'!BackgroundChecks, 3, 13, 1, 1))</f>
        <v/>
      </c>
      <c r="N286" s="261"/>
    </row>
    <row r="287" spans="1:14" s="146" customFormat="1">
      <c r="A287" s="257" t="s">
        <v>509</v>
      </c>
      <c r="B287" s="262" t="str">
        <f ca="1">IF(OFFSET('IWP11'!BackgroundChecks, 4, 0, 1, 1) = 0, "", OFFSET('IWP11'!BackgroundChecks, 4, 0, 1, 1))</f>
        <v/>
      </c>
      <c r="C287" s="262" t="str">
        <f ca="1">IF(OFFSET('IWP11'!BackgroundChecks, 4, 2, 1, 1) = 0, "", OFFSET('IWP11'!BackgroundChecks, 4, 2, 1, 1))</f>
        <v/>
      </c>
      <c r="D287" s="262" t="str">
        <f ca="1">IF(OFFSET('IWP11'!BackgroundChecks, 4, 4, 1, 1) = 0, "", OFFSET('IWP11'!BackgroundChecks, 4, 4, 1, 1))</f>
        <v/>
      </c>
      <c r="E287" s="254">
        <f ca="1">IF(OFFSET('IWP11'!BackgroundChecks, 4, 5, 1, 1)=DATE(1900,1,0), DATE(1900,1,1), OFFSET('IWP11'!BackgroundChecks, 4, 5, 1, 1))</f>
        <v>1</v>
      </c>
      <c r="F287" s="262" t="str">
        <f ca="1">IF(OFFSET('IWP11'!BackgroundChecks, 4, 6, 1, 1) = 0, "", OFFSET('IWP11'!BackgroundChecks, 4, 6, 1, 1))</f>
        <v/>
      </c>
      <c r="G287" s="254">
        <f ca="1">IF(OFFSET('IWP11'!BackgroundChecks, 4, 7, 1, 1)=DATE(1900,1,0), DATE(1900,1,1), OFFSET('IWP11'!BackgroundChecks, 4, 7, 1, 1))</f>
        <v>1</v>
      </c>
      <c r="H287" s="254">
        <f ca="1">IF(OFFSET('IWP11'!BackgroundChecks, 4, 8, 1, 1)=DATE(1900,1,0), DATE(1900,1,1), OFFSET('IWP11'!BackgroundChecks, 4, 8, 1, 1))</f>
        <v>1</v>
      </c>
      <c r="I287" s="262" t="str">
        <f ca="1">IF(OFFSET('IWP11'!BackgroundChecks, 4, 9, 1, 1) = 0, "", OFFSET('IWP11'!BackgroundChecks, 4, 9, 1, 1))</f>
        <v/>
      </c>
      <c r="J287" s="262" t="str">
        <f ca="1">IF(OFFSET('IWP11'!BackgroundChecks, 4, 10, 1, 1) = 0, "", OFFSET('IWP11'!BackgroundChecks, 4, 10, 1, 1))</f>
        <v/>
      </c>
      <c r="K287" s="262" t="str">
        <f ca="1">IF(OFFSET('IWP11'!BackgroundChecks, 4, 11, 1, 1) = 0, "", OFFSET('IWP11'!BackgroundChecks, 4, 11, 1, 1))</f>
        <v/>
      </c>
      <c r="L287" s="262" t="str">
        <f ca="1">IF(OFFSET('IWP11'!BackgroundChecks, 4, 12, 1, 1) = 0, "", OFFSET('IWP11'!BackgroundChecks, 4, 12, 1, 1))</f>
        <v/>
      </c>
      <c r="M287" s="262" t="str">
        <f ca="1">IF(OFFSET('IWP11'!BackgroundChecks, 4, 13, 1, 1) = 0, "", OFFSET('IWP11'!BackgroundChecks, 4, 13, 1, 1))</f>
        <v/>
      </c>
      <c r="N287" s="261"/>
    </row>
    <row r="288" spans="1:14" s="146" customFormat="1">
      <c r="A288" s="257" t="s">
        <v>509</v>
      </c>
      <c r="B288" s="262" t="str">
        <f ca="1">IF(OFFSET('IWP11'!BackgroundChecks, 5, 0, 1, 1) = 0, "", OFFSET('IWP11'!BackgroundChecks, 5, 0, 1, 1))</f>
        <v/>
      </c>
      <c r="C288" s="262" t="str">
        <f ca="1">IF(OFFSET('IWP11'!BackgroundChecks, 5, 2, 1, 1) = 0, "", OFFSET('IWP11'!BackgroundChecks, 5, 2, 1, 1))</f>
        <v/>
      </c>
      <c r="D288" s="262" t="str">
        <f ca="1">IF(OFFSET('IWP11'!BackgroundChecks, 5, 4, 1, 1) = 0, "", OFFSET('IWP11'!BackgroundChecks, 5, 4, 1, 1))</f>
        <v/>
      </c>
      <c r="E288" s="254">
        <f ca="1">IF(OFFSET('IWP11'!BackgroundChecks, 5, 5, 1, 1)=DATE(1900,1,0), DATE(1900,1,1), OFFSET('IWP11'!BackgroundChecks, 5, 5, 1, 1))</f>
        <v>1</v>
      </c>
      <c r="F288" s="262" t="str">
        <f ca="1">IF(OFFSET('IWP11'!BackgroundChecks, 5, 6, 1, 1) = 0, "", OFFSET('IWP11'!BackgroundChecks, 5, 6, 1, 1))</f>
        <v/>
      </c>
      <c r="G288" s="254">
        <f ca="1">IF(OFFSET('IWP11'!BackgroundChecks, 5, 7, 1, 1)=DATE(1900,1,0), DATE(1900,1,1), OFFSET('IWP11'!BackgroundChecks, 5, 7, 1, 1))</f>
        <v>1</v>
      </c>
      <c r="H288" s="254">
        <f ca="1">IF(OFFSET('IWP11'!BackgroundChecks, 5, 8, 1, 1)=DATE(1900,1,0), DATE(1900,1,1), OFFSET('IWP11'!BackgroundChecks, 5, 8, 1, 1))</f>
        <v>1</v>
      </c>
      <c r="I288" s="262" t="str">
        <f ca="1">IF(OFFSET('IWP11'!BackgroundChecks, 5, 9, 1, 1) = 0, "", OFFSET('IWP11'!BackgroundChecks, 5, 9, 1, 1))</f>
        <v/>
      </c>
      <c r="J288" s="262" t="str">
        <f ca="1">IF(OFFSET('IWP11'!BackgroundChecks, 5, 10, 1, 1) = 0, "", OFFSET('IWP11'!BackgroundChecks, 5, 10, 1, 1))</f>
        <v/>
      </c>
      <c r="K288" s="262" t="str">
        <f ca="1">IF(OFFSET('IWP11'!BackgroundChecks, 5, 11, 1, 1) = 0, "", OFFSET('IWP11'!BackgroundChecks, 5, 11, 1, 1))</f>
        <v/>
      </c>
      <c r="L288" s="262" t="str">
        <f ca="1">IF(OFFSET('IWP11'!BackgroundChecks, 5, 12, 1, 1) = 0, "", OFFSET('IWP11'!BackgroundChecks, 5, 12, 1, 1))</f>
        <v/>
      </c>
      <c r="M288" s="262" t="str">
        <f ca="1">IF(OFFSET('IWP11'!BackgroundChecks, 5, 13, 1, 1) = 0, "", OFFSET('IWP11'!BackgroundChecks, 5, 13, 1, 1))</f>
        <v/>
      </c>
      <c r="N288" s="261"/>
    </row>
    <row r="289" spans="1:14" s="146" customFormat="1">
      <c r="A289" s="257" t="s">
        <v>509</v>
      </c>
      <c r="B289" s="262" t="str">
        <f ca="1">IF(OFFSET('IWP11'!BackgroundChecks, 6, 0, 1, 1) = 0, "", OFFSET('IWP11'!BackgroundChecks, 6, 0, 1, 1))</f>
        <v/>
      </c>
      <c r="C289" s="262" t="str">
        <f ca="1">IF(OFFSET('IWP11'!BackgroundChecks, 6, 2, 1, 1) = 0, "", OFFSET('IWP11'!BackgroundChecks, 6, 2, 1, 1))</f>
        <v/>
      </c>
      <c r="D289" s="262" t="str">
        <f ca="1">IF(OFFSET('IWP11'!BackgroundChecks, 6, 4, 1, 1) = 0, "", OFFSET('IWP11'!BackgroundChecks, 6, 4, 1, 1))</f>
        <v/>
      </c>
      <c r="E289" s="254">
        <f ca="1">IF(OFFSET('IWP11'!BackgroundChecks, 6, 5, 1, 1)=DATE(1900,1,0), DATE(1900,1,1), OFFSET('IWP11'!BackgroundChecks, 6, 5, 1, 1))</f>
        <v>1</v>
      </c>
      <c r="F289" s="262" t="str">
        <f ca="1">IF(OFFSET('IWP11'!BackgroundChecks, 6, 6, 1, 1) = 0, "", OFFSET('IWP11'!BackgroundChecks, 6, 6, 1, 1))</f>
        <v/>
      </c>
      <c r="G289" s="254">
        <f ca="1">IF(OFFSET('IWP11'!BackgroundChecks, 6, 7, 1, 1)=DATE(1900,1,0), DATE(1900,1,1), OFFSET('IWP11'!BackgroundChecks, 6, 7, 1, 1))</f>
        <v>1</v>
      </c>
      <c r="H289" s="254">
        <f ca="1">IF(OFFSET('IWP11'!BackgroundChecks, 6, 8, 1, 1)=DATE(1900,1,0), DATE(1900,1,1), OFFSET('IWP11'!BackgroundChecks, 6, 8, 1, 1))</f>
        <v>1</v>
      </c>
      <c r="I289" s="262" t="str">
        <f ca="1">IF(OFFSET('IWP11'!BackgroundChecks, 6, 9, 1, 1) = 0, "", OFFSET('IWP11'!BackgroundChecks, 6, 9, 1, 1))</f>
        <v/>
      </c>
      <c r="J289" s="262" t="str">
        <f ca="1">IF(OFFSET('IWP11'!BackgroundChecks, 6, 10, 1, 1) = 0, "", OFFSET('IWP11'!BackgroundChecks, 6, 10, 1, 1))</f>
        <v/>
      </c>
      <c r="K289" s="262" t="str">
        <f ca="1">IF(OFFSET('IWP11'!BackgroundChecks, 6, 11, 1, 1) = 0, "", OFFSET('IWP11'!BackgroundChecks, 6, 11, 1, 1))</f>
        <v/>
      </c>
      <c r="L289" s="262" t="str">
        <f ca="1">IF(OFFSET('IWP11'!BackgroundChecks, 6, 12, 1, 1) = 0, "", OFFSET('IWP11'!BackgroundChecks, 6, 12, 1, 1))</f>
        <v/>
      </c>
      <c r="M289" s="262" t="str">
        <f ca="1">IF(OFFSET('IWP11'!BackgroundChecks, 6, 13, 1, 1) = 0, "", OFFSET('IWP11'!BackgroundChecks, 6, 13, 1, 1))</f>
        <v/>
      </c>
      <c r="N289" s="261"/>
    </row>
    <row r="290" spans="1:14" s="146" customFormat="1">
      <c r="A290" s="257" t="s">
        <v>509</v>
      </c>
      <c r="B290" s="262" t="str">
        <f ca="1">IF(OFFSET('IWP11'!BackgroundChecks, 7, 0, 1, 1) = 0, "", OFFSET('IWP11'!BackgroundChecks, 7, 0, 1, 1))</f>
        <v/>
      </c>
      <c r="C290" s="262" t="str">
        <f ca="1">IF(OFFSET('IWP11'!BackgroundChecks, 7, 2, 1, 1) = 0, "", OFFSET('IWP11'!BackgroundChecks, 7, 2, 1, 1))</f>
        <v/>
      </c>
      <c r="D290" s="262" t="str">
        <f ca="1">IF(OFFSET('IWP11'!BackgroundChecks, 7, 4, 1, 1) = 0, "", OFFSET('IWP11'!BackgroundChecks, 7, 4, 1, 1))</f>
        <v/>
      </c>
      <c r="E290" s="254">
        <f ca="1">IF(OFFSET('IWP11'!BackgroundChecks, 7, 5, 1, 1)=DATE(1900,1,0), DATE(1900,1,1), OFFSET('IWP11'!BackgroundChecks, 7, 5, 1, 1))</f>
        <v>1</v>
      </c>
      <c r="F290" s="262" t="str">
        <f ca="1">IF(OFFSET('IWP11'!BackgroundChecks, 7, 6, 1, 1) = 0, "", OFFSET('IWP11'!BackgroundChecks, 7, 6, 1, 1))</f>
        <v/>
      </c>
      <c r="G290" s="254">
        <f ca="1">IF(OFFSET('IWP11'!BackgroundChecks, 7, 7, 1, 1)=DATE(1900,1,0), DATE(1900,1,1), OFFSET('IWP11'!BackgroundChecks, 7, 7, 1, 1))</f>
        <v>1</v>
      </c>
      <c r="H290" s="254">
        <f ca="1">IF(OFFSET('IWP11'!BackgroundChecks, 7, 8, 1, 1)=DATE(1900,1,0), DATE(1900,1,1), OFFSET('IWP11'!BackgroundChecks, 7, 8, 1, 1))</f>
        <v>1</v>
      </c>
      <c r="I290" s="262" t="str">
        <f ca="1">IF(OFFSET('IWP11'!BackgroundChecks, 7, 9, 1, 1) = 0, "", OFFSET('IWP11'!BackgroundChecks, 7, 9, 1, 1))</f>
        <v/>
      </c>
      <c r="J290" s="262" t="str">
        <f ca="1">IF(OFFSET('IWP11'!BackgroundChecks, 7, 10, 1, 1) = 0, "", OFFSET('IWP11'!BackgroundChecks, 7, 10, 1, 1))</f>
        <v/>
      </c>
      <c r="K290" s="262" t="str">
        <f ca="1">IF(OFFSET('IWP11'!BackgroundChecks, 7, 11, 1, 1) = 0, "", OFFSET('IWP11'!BackgroundChecks, 7, 11, 1, 1))</f>
        <v/>
      </c>
      <c r="L290" s="262" t="str">
        <f ca="1">IF(OFFSET('IWP11'!BackgroundChecks, 7, 12, 1, 1) = 0, "", OFFSET('IWP11'!BackgroundChecks, 7, 12, 1, 1))</f>
        <v/>
      </c>
      <c r="M290" s="262" t="str">
        <f ca="1">IF(OFFSET('IWP11'!BackgroundChecks, 7, 13, 1, 1) = 0, "", OFFSET('IWP11'!BackgroundChecks, 7, 13, 1, 1))</f>
        <v/>
      </c>
      <c r="N290" s="261"/>
    </row>
    <row r="291" spans="1:14" s="146" customFormat="1">
      <c r="A291" s="257" t="s">
        <v>509</v>
      </c>
      <c r="B291" s="262" t="str">
        <f ca="1">IF(OFFSET('IWP11'!BackgroundChecks, 8, 0, 1, 1) = 0, "", OFFSET('IWP11'!BackgroundChecks, 8, 0, 1, 1))</f>
        <v/>
      </c>
      <c r="C291" s="262" t="str">
        <f ca="1">IF(OFFSET('IWP11'!BackgroundChecks, 8, 2, 1, 1) = 0, "", OFFSET('IWP11'!BackgroundChecks, 8, 2, 1, 1))</f>
        <v/>
      </c>
      <c r="D291" s="262" t="str">
        <f ca="1">IF(OFFSET('IWP11'!BackgroundChecks, 8, 4, 1, 1) = 0, "", OFFSET('IWP11'!BackgroundChecks, 8, 4, 1, 1))</f>
        <v/>
      </c>
      <c r="E291" s="254">
        <f ca="1">IF(OFFSET('IWP11'!BackgroundChecks, 8, 5, 1, 1)=DATE(1900,1,0), DATE(1900,1,1), OFFSET('IWP11'!BackgroundChecks, 8, 5, 1, 1))</f>
        <v>1</v>
      </c>
      <c r="F291" s="262" t="str">
        <f ca="1">IF(OFFSET('IWP11'!BackgroundChecks, 8, 6, 1, 1) = 0, "", OFFSET('IWP11'!BackgroundChecks, 8, 6, 1, 1))</f>
        <v/>
      </c>
      <c r="G291" s="254">
        <f ca="1">IF(OFFSET('IWP11'!BackgroundChecks, 8, 7, 1, 1)=DATE(1900,1,0), DATE(1900,1,1), OFFSET('IWP11'!BackgroundChecks, 8, 7, 1, 1))</f>
        <v>1</v>
      </c>
      <c r="H291" s="254">
        <f ca="1">IF(OFFSET('IWP11'!BackgroundChecks, 8, 8, 1, 1)=DATE(1900,1,0), DATE(1900,1,1), OFFSET('IWP11'!BackgroundChecks, 8, 8, 1, 1))</f>
        <v>1</v>
      </c>
      <c r="I291" s="262" t="str">
        <f ca="1">IF(OFFSET('IWP11'!BackgroundChecks, 8, 9, 1, 1) = 0, "", OFFSET('IWP11'!BackgroundChecks, 8, 9, 1, 1))</f>
        <v/>
      </c>
      <c r="J291" s="262" t="str">
        <f ca="1">IF(OFFSET('IWP11'!BackgroundChecks, 8, 10, 1, 1) = 0, "", OFFSET('IWP11'!BackgroundChecks, 8, 10, 1, 1))</f>
        <v/>
      </c>
      <c r="K291" s="262" t="str">
        <f ca="1">IF(OFFSET('IWP11'!BackgroundChecks, 8, 11, 1, 1) = 0, "", OFFSET('IWP11'!BackgroundChecks, 8, 11, 1, 1))</f>
        <v/>
      </c>
      <c r="L291" s="262" t="str">
        <f ca="1">IF(OFFSET('IWP11'!BackgroundChecks, 8, 12, 1, 1) = 0, "", OFFSET('IWP11'!BackgroundChecks, 8, 12, 1, 1))</f>
        <v/>
      </c>
      <c r="M291" s="262" t="str">
        <f ca="1">IF(OFFSET('IWP11'!BackgroundChecks, 8, 13, 1, 1) = 0, "", OFFSET('IWP11'!BackgroundChecks, 8, 13, 1, 1))</f>
        <v/>
      </c>
      <c r="N291" s="261"/>
    </row>
    <row r="292" spans="1:14" s="146" customFormat="1">
      <c r="A292" s="257" t="s">
        <v>509</v>
      </c>
      <c r="B292" s="262" t="str">
        <f ca="1">IF(OFFSET('IWP11'!BackgroundChecks, 9, 0, 1, 1) = 0, "", OFFSET('IWP11'!BackgroundChecks, 9, 0, 1, 1))</f>
        <v/>
      </c>
      <c r="C292" s="262" t="str">
        <f ca="1">IF(OFFSET('IWP11'!BackgroundChecks, 9, 2, 1, 1) = 0, "", OFFSET('IWP11'!BackgroundChecks, 9, 2, 1, 1))</f>
        <v/>
      </c>
      <c r="D292" s="262" t="str">
        <f ca="1">IF(OFFSET('IWP11'!BackgroundChecks, 9, 4, 1, 1) = 0, "", OFFSET('IWP11'!BackgroundChecks, 9, 4, 1, 1))</f>
        <v/>
      </c>
      <c r="E292" s="254">
        <f ca="1">IF(OFFSET('IWP11'!BackgroundChecks, 9, 5, 1, 1)=DATE(1900,1,0), DATE(1900,1,1), OFFSET('IWP11'!BackgroundChecks, 9, 5, 1, 1))</f>
        <v>1</v>
      </c>
      <c r="F292" s="262" t="str">
        <f ca="1">IF(OFFSET('IWP11'!BackgroundChecks, 9, 6, 1, 1) = 0, "", OFFSET('IWP11'!BackgroundChecks, 9, 6, 1, 1))</f>
        <v/>
      </c>
      <c r="G292" s="254">
        <f ca="1">IF(OFFSET('IWP11'!BackgroundChecks, 9, 7, 1, 1)=DATE(1900,1,0), DATE(1900,1,1), OFFSET('IWP11'!BackgroundChecks, 9, 7, 1, 1))</f>
        <v>1</v>
      </c>
      <c r="H292" s="254">
        <f ca="1">IF(OFFSET('IWP11'!BackgroundChecks, 9, 8, 1, 1)=DATE(1900,1,0), DATE(1900,1,1), OFFSET('IWP11'!BackgroundChecks, 9, 8, 1, 1))</f>
        <v>1</v>
      </c>
      <c r="I292" s="262" t="str">
        <f ca="1">IF(OFFSET('IWP11'!BackgroundChecks, 9, 9, 1, 1) = 0, "", OFFSET('IWP11'!BackgroundChecks, 9, 9, 1, 1))</f>
        <v/>
      </c>
      <c r="J292" s="262" t="str">
        <f ca="1">IF(OFFSET('IWP11'!BackgroundChecks, 9, 10, 1, 1) = 0, "", OFFSET('IWP11'!BackgroundChecks, 9, 10, 1, 1))</f>
        <v/>
      </c>
      <c r="K292" s="262" t="str">
        <f ca="1">IF(OFFSET('IWP11'!BackgroundChecks, 9, 11, 1, 1) = 0, "", OFFSET('IWP11'!BackgroundChecks, 9, 11, 1, 1))</f>
        <v/>
      </c>
      <c r="L292" s="262" t="str">
        <f ca="1">IF(OFFSET('IWP11'!BackgroundChecks, 9, 12, 1, 1) = 0, "", OFFSET('IWP11'!BackgroundChecks, 9, 12, 1, 1))</f>
        <v/>
      </c>
      <c r="M292" s="262" t="str">
        <f ca="1">IF(OFFSET('IWP11'!BackgroundChecks, 9, 13, 1, 1) = 0, "", OFFSET('IWP11'!BackgroundChecks, 9, 13, 1, 1))</f>
        <v/>
      </c>
      <c r="N292" s="261"/>
    </row>
    <row r="293" spans="1:14" s="146" customFormat="1">
      <c r="A293" s="257" t="s">
        <v>509</v>
      </c>
      <c r="B293" s="262" t="str">
        <f ca="1">IF(OFFSET('IWP11'!BackgroundChecks, 10, 0, 1, 1) = 0, "", OFFSET('IWP11'!BackgroundChecks, 10, 0, 1, 1))</f>
        <v/>
      </c>
      <c r="C293" s="262" t="str">
        <f ca="1">IF(OFFSET('IWP11'!BackgroundChecks, 10, 2, 1, 1) = 0, "", OFFSET('IWP11'!BackgroundChecks, 10, 2, 1, 1))</f>
        <v/>
      </c>
      <c r="D293" s="262" t="str">
        <f ca="1">IF(OFFSET('IWP11'!BackgroundChecks, 10, 4, 1, 1) = 0, "", OFFSET('IWP11'!BackgroundChecks, 10, 4, 1, 1))</f>
        <v/>
      </c>
      <c r="E293" s="254">
        <f ca="1">IF(OFFSET('IWP11'!BackgroundChecks, 10, 5, 1, 1)=DATE(1900,1,0), DATE(1900,1,1), OFFSET('IWP11'!BackgroundChecks, 10, 5, 1, 1))</f>
        <v>1</v>
      </c>
      <c r="F293" s="262" t="str">
        <f ca="1">IF(OFFSET('IWP11'!BackgroundChecks, 10, 6, 1, 1) = 0, "", OFFSET('IWP11'!BackgroundChecks, 10, 6, 1, 1))</f>
        <v/>
      </c>
      <c r="G293" s="254">
        <f ca="1">IF(OFFSET('IWP11'!BackgroundChecks, 10, 7, 1, 1)=DATE(1900,1,0), DATE(1900,1,1), OFFSET('IWP11'!BackgroundChecks, 10, 7, 1, 1))</f>
        <v>1</v>
      </c>
      <c r="H293" s="254">
        <f ca="1">IF(OFFSET('IWP11'!BackgroundChecks, 10, 8, 1, 1)=DATE(1900,1,0), DATE(1900,1,1), OFFSET('IWP11'!BackgroundChecks, 10, 8, 1, 1))</f>
        <v>1</v>
      </c>
      <c r="I293" s="262" t="str">
        <f ca="1">IF(OFFSET('IWP11'!BackgroundChecks, 10, 9, 1, 1) = 0, "", OFFSET('IWP11'!BackgroundChecks, 10, 9, 1, 1))</f>
        <v/>
      </c>
      <c r="J293" s="262" t="str">
        <f ca="1">IF(OFFSET('IWP11'!BackgroundChecks, 10, 10, 1, 1) = 0, "", OFFSET('IWP11'!BackgroundChecks, 10, 10, 1, 1))</f>
        <v/>
      </c>
      <c r="K293" s="262" t="str">
        <f ca="1">IF(OFFSET('IWP11'!BackgroundChecks, 10, 11, 1, 1) = 0, "", OFFSET('IWP11'!BackgroundChecks, 10, 11, 1, 1))</f>
        <v/>
      </c>
      <c r="L293" s="262" t="str">
        <f ca="1">IF(OFFSET('IWP11'!BackgroundChecks, 10, 12, 1, 1) = 0, "", OFFSET('IWP11'!BackgroundChecks, 10, 12, 1, 1))</f>
        <v/>
      </c>
      <c r="M293" s="262" t="str">
        <f ca="1">IF(OFFSET('IWP11'!BackgroundChecks, 10, 13, 1, 1) = 0, "", OFFSET('IWP11'!BackgroundChecks, 10, 13, 1, 1))</f>
        <v/>
      </c>
      <c r="N293" s="261"/>
    </row>
    <row r="294" spans="1:14" s="146" customFormat="1">
      <c r="A294" s="257" t="s">
        <v>509</v>
      </c>
      <c r="B294" s="262" t="str">
        <f ca="1">IF(OFFSET('IWP11'!BackgroundChecks, 11, 0, 1, 1) = 0, "", OFFSET('IWP11'!BackgroundChecks, 11, 0, 1, 1))</f>
        <v/>
      </c>
      <c r="C294" s="262" t="str">
        <f ca="1">IF(OFFSET('IWP11'!BackgroundChecks, 11, 2, 1, 1) = 0, "", OFFSET('IWP11'!BackgroundChecks, 11, 2, 1, 1))</f>
        <v/>
      </c>
      <c r="D294" s="262" t="str">
        <f ca="1">IF(OFFSET('IWP11'!BackgroundChecks, 11, 4, 1, 1) = 0, "", OFFSET('IWP11'!BackgroundChecks, 11, 4, 1, 1))</f>
        <v/>
      </c>
      <c r="E294" s="254">
        <f ca="1">IF(OFFSET('IWP11'!BackgroundChecks, 11, 5, 1, 1)=DATE(1900,1,0), DATE(1900,1,1), OFFSET('IWP11'!BackgroundChecks, 11, 5, 1, 1))</f>
        <v>1</v>
      </c>
      <c r="F294" s="262" t="str">
        <f ca="1">IF(OFFSET('IWP11'!BackgroundChecks, 11, 6, 1, 1) = 0, "", OFFSET('IWP11'!BackgroundChecks, 11, 6, 1, 1))</f>
        <v/>
      </c>
      <c r="G294" s="254">
        <f ca="1">IF(OFFSET('IWP11'!BackgroundChecks, 11, 7, 1, 1)=DATE(1900,1,0), DATE(1900,1,1), OFFSET('IWP11'!BackgroundChecks, 11, 7, 1, 1))</f>
        <v>1</v>
      </c>
      <c r="H294" s="254">
        <f ca="1">IF(OFFSET('IWP11'!BackgroundChecks, 11, 8, 1, 1)=DATE(1900,1,0), DATE(1900,1,1), OFFSET('IWP11'!BackgroundChecks, 11, 8, 1, 1))</f>
        <v>1</v>
      </c>
      <c r="I294" s="262" t="str">
        <f ca="1">IF(OFFSET('IWP11'!BackgroundChecks, 11, 9, 1, 1) = 0, "", OFFSET('IWP11'!BackgroundChecks, 11, 9, 1, 1))</f>
        <v/>
      </c>
      <c r="J294" s="262" t="str">
        <f ca="1">IF(OFFSET('IWP11'!BackgroundChecks, 11, 10, 1, 1) = 0, "", OFFSET('IWP11'!BackgroundChecks, 11, 10, 1, 1))</f>
        <v/>
      </c>
      <c r="K294" s="262" t="str">
        <f ca="1">IF(OFFSET('IWP11'!BackgroundChecks, 11, 11, 1, 1) = 0, "", OFFSET('IWP11'!BackgroundChecks, 11, 11, 1, 1))</f>
        <v/>
      </c>
      <c r="L294" s="262" t="str">
        <f ca="1">IF(OFFSET('IWP11'!BackgroundChecks, 11, 12, 1, 1) = 0, "", OFFSET('IWP11'!BackgroundChecks, 11, 12, 1, 1))</f>
        <v/>
      </c>
      <c r="M294" s="262" t="str">
        <f ca="1">IF(OFFSET('IWP11'!BackgroundChecks, 11, 13, 1, 1) = 0, "", OFFSET('IWP11'!BackgroundChecks, 11, 13, 1, 1))</f>
        <v/>
      </c>
      <c r="N294" s="261"/>
    </row>
    <row r="295" spans="1:14" s="146" customFormat="1">
      <c r="A295" s="257" t="s">
        <v>509</v>
      </c>
      <c r="B295" s="262" t="str">
        <f ca="1">IF(OFFSET('IWP11'!BackgroundChecks, 12, 0, 1, 1) = 0, "", OFFSET('IWP11'!BackgroundChecks, 12, 0, 1, 1))</f>
        <v/>
      </c>
      <c r="C295" s="262" t="str">
        <f ca="1">IF(OFFSET('IWP11'!BackgroundChecks, 12, 2, 1, 1) = 0, "", OFFSET('IWP11'!BackgroundChecks, 12, 2, 1, 1))</f>
        <v/>
      </c>
      <c r="D295" s="262" t="str">
        <f ca="1">IF(OFFSET('IWP11'!BackgroundChecks, 12, 4, 1, 1) = 0, "", OFFSET('IWP11'!BackgroundChecks, 12, 4, 1, 1))</f>
        <v/>
      </c>
      <c r="E295" s="254">
        <f ca="1">IF(OFFSET('IWP11'!BackgroundChecks, 12, 5, 1, 1)=DATE(1900,1,0), DATE(1900,1,1), OFFSET('IWP11'!BackgroundChecks, 12, 5, 1, 1))</f>
        <v>1</v>
      </c>
      <c r="F295" s="262" t="str">
        <f ca="1">IF(OFFSET('IWP11'!BackgroundChecks, 12, 6, 1, 1) = 0, "", OFFSET('IWP11'!BackgroundChecks, 12, 6, 1, 1))</f>
        <v/>
      </c>
      <c r="G295" s="254">
        <f ca="1">IF(OFFSET('IWP11'!BackgroundChecks, 12, 7, 1, 1)=DATE(1900,1,0), DATE(1900,1,1), OFFSET('IWP11'!BackgroundChecks, 12, 7, 1, 1))</f>
        <v>1</v>
      </c>
      <c r="H295" s="254">
        <f ca="1">IF(OFFSET('IWP11'!BackgroundChecks, 12, 8, 1, 1)=DATE(1900,1,0), DATE(1900,1,1), OFFSET('IWP11'!BackgroundChecks, 12, 8, 1, 1))</f>
        <v>1</v>
      </c>
      <c r="I295" s="262" t="str">
        <f ca="1">IF(OFFSET('IWP11'!BackgroundChecks, 12, 9, 1, 1) = 0, "", OFFSET('IWP11'!BackgroundChecks, 12, 9, 1, 1))</f>
        <v/>
      </c>
      <c r="J295" s="262" t="str">
        <f ca="1">IF(OFFSET('IWP11'!BackgroundChecks, 12, 10, 1, 1) = 0, "", OFFSET('IWP11'!BackgroundChecks, 12, 10, 1, 1))</f>
        <v/>
      </c>
      <c r="K295" s="262" t="str">
        <f ca="1">IF(OFFSET('IWP11'!BackgroundChecks, 12, 11, 1, 1) = 0, "", OFFSET('IWP11'!BackgroundChecks, 12, 11, 1, 1))</f>
        <v/>
      </c>
      <c r="L295" s="262" t="str">
        <f ca="1">IF(OFFSET('IWP11'!BackgroundChecks, 12, 12, 1, 1) = 0, "", OFFSET('IWP11'!BackgroundChecks, 12, 12, 1, 1))</f>
        <v/>
      </c>
      <c r="M295" s="262" t="str">
        <f ca="1">IF(OFFSET('IWP11'!BackgroundChecks, 12, 13, 1, 1) = 0, "", OFFSET('IWP11'!BackgroundChecks, 12, 13, 1, 1))</f>
        <v/>
      </c>
      <c r="N295" s="261"/>
    </row>
    <row r="296" spans="1:14" s="146" customFormat="1">
      <c r="A296" s="257" t="s">
        <v>509</v>
      </c>
      <c r="B296" s="262" t="str">
        <f ca="1">IF(OFFSET('IWP11'!BackgroundChecks, 13, 0, 1, 1) = 0, "", OFFSET('IWP11'!BackgroundChecks, 13, 0, 1, 1))</f>
        <v/>
      </c>
      <c r="C296" s="262" t="str">
        <f ca="1">IF(OFFSET('IWP11'!BackgroundChecks, 13, 2, 1, 1) = 0, "", OFFSET('IWP11'!BackgroundChecks, 13, 2, 1, 1))</f>
        <v/>
      </c>
      <c r="D296" s="262" t="str">
        <f ca="1">IF(OFFSET('IWP11'!BackgroundChecks, 13, 4, 1, 1) = 0, "", OFFSET('IWP11'!BackgroundChecks, 13, 4, 1, 1))</f>
        <v/>
      </c>
      <c r="E296" s="254">
        <f ca="1">IF(OFFSET('IWP11'!BackgroundChecks, 13, 5, 1, 1)=DATE(1900,1,0), DATE(1900,1,1), OFFSET('IWP11'!BackgroundChecks, 13, 5, 1, 1))</f>
        <v>1</v>
      </c>
      <c r="F296" s="262" t="str">
        <f ca="1">IF(OFFSET('IWP11'!BackgroundChecks, 13, 6, 1, 1) = 0, "", OFFSET('IWP11'!BackgroundChecks, 13, 6, 1, 1))</f>
        <v/>
      </c>
      <c r="G296" s="254">
        <f ca="1">IF(OFFSET('IWP11'!BackgroundChecks, 13, 7, 1, 1)=DATE(1900,1,0), DATE(1900,1,1), OFFSET('IWP11'!BackgroundChecks, 13, 7, 1, 1))</f>
        <v>1</v>
      </c>
      <c r="H296" s="254">
        <f ca="1">IF(OFFSET('IWP11'!BackgroundChecks, 13, 8, 1, 1)=DATE(1900,1,0), DATE(1900,1,1), OFFSET('IWP11'!BackgroundChecks, 13, 8, 1, 1))</f>
        <v>1</v>
      </c>
      <c r="I296" s="262" t="str">
        <f ca="1">IF(OFFSET('IWP11'!BackgroundChecks, 13, 9, 1, 1) = 0, "", OFFSET('IWP11'!BackgroundChecks, 13, 9, 1, 1))</f>
        <v/>
      </c>
      <c r="J296" s="262" t="str">
        <f ca="1">IF(OFFSET('IWP11'!BackgroundChecks, 13, 10, 1, 1) = 0, "", OFFSET('IWP11'!BackgroundChecks, 13, 10, 1, 1))</f>
        <v/>
      </c>
      <c r="K296" s="262" t="str">
        <f ca="1">IF(OFFSET('IWP11'!BackgroundChecks, 13, 11, 1, 1) = 0, "", OFFSET('IWP11'!BackgroundChecks, 13, 11, 1, 1))</f>
        <v/>
      </c>
      <c r="L296" s="262" t="str">
        <f ca="1">IF(OFFSET('IWP11'!BackgroundChecks, 13, 12, 1, 1) = 0, "", OFFSET('IWP11'!BackgroundChecks, 13, 12, 1, 1))</f>
        <v/>
      </c>
      <c r="M296" s="262" t="str">
        <f ca="1">IF(OFFSET('IWP11'!BackgroundChecks, 13, 13, 1, 1) = 0, "", OFFSET('IWP11'!BackgroundChecks, 13, 13, 1, 1))</f>
        <v/>
      </c>
      <c r="N296" s="261"/>
    </row>
    <row r="297" spans="1:14" s="146" customFormat="1">
      <c r="A297" s="257" t="s">
        <v>509</v>
      </c>
      <c r="B297" s="262" t="str">
        <f ca="1">IF(OFFSET('IWP11'!BackgroundChecks, 14, 0, 1, 1) = 0, "", OFFSET('IWP11'!BackgroundChecks, 14, 0, 1, 1))</f>
        <v/>
      </c>
      <c r="C297" s="262" t="str">
        <f ca="1">IF(OFFSET('IWP11'!BackgroundChecks, 14, 2, 1, 1) = 0, "", OFFSET('IWP11'!BackgroundChecks, 14, 2, 1, 1))</f>
        <v/>
      </c>
      <c r="D297" s="262" t="str">
        <f ca="1">IF(OFFSET('IWP11'!BackgroundChecks, 14, 4, 1, 1) = 0, "", OFFSET('IWP11'!BackgroundChecks, 14, 4, 1, 1))</f>
        <v/>
      </c>
      <c r="E297" s="254">
        <f ca="1">IF(OFFSET('IWP11'!BackgroundChecks, 14, 5, 1, 1)=DATE(1900,1,0), DATE(1900,1,1), OFFSET('IWP11'!BackgroundChecks, 14, 5, 1, 1))</f>
        <v>1</v>
      </c>
      <c r="F297" s="262" t="str">
        <f ca="1">IF(OFFSET('IWP11'!BackgroundChecks, 14, 6, 1, 1) = 0, "", OFFSET('IWP11'!BackgroundChecks, 14, 6, 1, 1))</f>
        <v/>
      </c>
      <c r="G297" s="254">
        <f ca="1">IF(OFFSET('IWP11'!BackgroundChecks, 14, 7, 1, 1)=DATE(1900,1,0), DATE(1900,1,1), OFFSET('IWP11'!BackgroundChecks, 14, 7, 1, 1))</f>
        <v>1</v>
      </c>
      <c r="H297" s="254">
        <f ca="1">IF(OFFSET('IWP11'!BackgroundChecks, 14, 8, 1, 1)=DATE(1900,1,0), DATE(1900,1,1), OFFSET('IWP11'!BackgroundChecks, 14, 8, 1, 1))</f>
        <v>1</v>
      </c>
      <c r="I297" s="262" t="str">
        <f ca="1">IF(OFFSET('IWP11'!BackgroundChecks, 14, 9, 1, 1) = 0, "", OFFSET('IWP11'!BackgroundChecks, 14, 9, 1, 1))</f>
        <v/>
      </c>
      <c r="J297" s="262" t="str">
        <f ca="1">IF(OFFSET('IWP11'!BackgroundChecks, 14, 10, 1, 1) = 0, "", OFFSET('IWP11'!BackgroundChecks, 14, 10, 1, 1))</f>
        <v/>
      </c>
      <c r="K297" s="262" t="str">
        <f ca="1">IF(OFFSET('IWP11'!BackgroundChecks, 14, 11, 1, 1) = 0, "", OFFSET('IWP11'!BackgroundChecks, 14, 11, 1, 1))</f>
        <v/>
      </c>
      <c r="L297" s="262" t="str">
        <f ca="1">IF(OFFSET('IWP11'!BackgroundChecks, 14, 12, 1, 1) = 0, "", OFFSET('IWP11'!BackgroundChecks, 14, 12, 1, 1))</f>
        <v/>
      </c>
      <c r="M297" s="262" t="str">
        <f ca="1">IF(OFFSET('IWP11'!BackgroundChecks, 14, 13, 1, 1) = 0, "", OFFSET('IWP11'!BackgroundChecks, 14, 13, 1, 1))</f>
        <v/>
      </c>
      <c r="N297" s="261"/>
    </row>
    <row r="298" spans="1:14" s="146" customFormat="1">
      <c r="A298" s="257" t="s">
        <v>509</v>
      </c>
      <c r="B298" s="262" t="str">
        <f ca="1">IF(OFFSET('IWP11'!BackgroundChecks, 15, 0, 1, 1) = 0, "", OFFSET('IWP11'!BackgroundChecks, 15, 0, 1, 1))</f>
        <v/>
      </c>
      <c r="C298" s="262" t="str">
        <f ca="1">IF(OFFSET('IWP11'!BackgroundChecks, 15, 2, 1, 1) = 0, "", OFFSET('IWP11'!BackgroundChecks, 15, 2, 1, 1))</f>
        <v/>
      </c>
      <c r="D298" s="262" t="str">
        <f ca="1">IF(OFFSET('IWP11'!BackgroundChecks, 15, 4, 1, 1) = 0, "", OFFSET('IWP11'!BackgroundChecks, 15, 4, 1, 1))</f>
        <v/>
      </c>
      <c r="E298" s="254">
        <f ca="1">IF(OFFSET('IWP11'!BackgroundChecks, 15, 5, 1, 1)=DATE(1900,1,0), DATE(1900,1,1), OFFSET('IWP11'!BackgroundChecks, 15, 5, 1, 1))</f>
        <v>1</v>
      </c>
      <c r="F298" s="262" t="str">
        <f ca="1">IF(OFFSET('IWP11'!BackgroundChecks, 15, 6, 1, 1) = 0, "", OFFSET('IWP11'!BackgroundChecks, 15, 6, 1, 1))</f>
        <v/>
      </c>
      <c r="G298" s="254">
        <f ca="1">IF(OFFSET('IWP11'!BackgroundChecks, 15, 7, 1, 1)=DATE(1900,1,0), DATE(1900,1,1), OFFSET('IWP11'!BackgroundChecks, 15, 7, 1, 1))</f>
        <v>1</v>
      </c>
      <c r="H298" s="254">
        <f ca="1">IF(OFFSET('IWP11'!BackgroundChecks, 15, 8, 1, 1)=DATE(1900,1,0), DATE(1900,1,1), OFFSET('IWP11'!BackgroundChecks, 15, 8, 1, 1))</f>
        <v>1</v>
      </c>
      <c r="I298" s="262" t="str">
        <f ca="1">IF(OFFSET('IWP11'!BackgroundChecks, 15, 9, 1, 1) = 0, "", OFFSET('IWP11'!BackgroundChecks, 15, 9, 1, 1))</f>
        <v/>
      </c>
      <c r="J298" s="262" t="str">
        <f ca="1">IF(OFFSET('IWP11'!BackgroundChecks, 15, 10, 1, 1) = 0, "", OFFSET('IWP11'!BackgroundChecks, 15, 10, 1, 1))</f>
        <v/>
      </c>
      <c r="K298" s="262" t="str">
        <f ca="1">IF(OFFSET('IWP11'!BackgroundChecks, 15, 11, 1, 1) = 0, "", OFFSET('IWP11'!BackgroundChecks, 15, 11, 1, 1))</f>
        <v/>
      </c>
      <c r="L298" s="262" t="str">
        <f ca="1">IF(OFFSET('IWP11'!BackgroundChecks, 15, 12, 1, 1) = 0, "", OFFSET('IWP11'!BackgroundChecks, 15, 12, 1, 1))</f>
        <v/>
      </c>
      <c r="M298" s="262" t="str">
        <f ca="1">IF(OFFSET('IWP11'!BackgroundChecks, 15, 13, 1, 1) = 0, "", OFFSET('IWP11'!BackgroundChecks, 15, 13, 1, 1))</f>
        <v/>
      </c>
      <c r="N298" s="261"/>
    </row>
    <row r="299" spans="1:14" s="146" customFormat="1">
      <c r="A299" s="257" t="s">
        <v>509</v>
      </c>
      <c r="B299" s="262" t="str">
        <f ca="1">IF(OFFSET('IWP11'!BackgroundChecks, 16, 0, 1, 1) = 0, "", OFFSET('IWP11'!BackgroundChecks, 16, 0, 1, 1))</f>
        <v/>
      </c>
      <c r="C299" s="262" t="str">
        <f ca="1">IF(OFFSET('IWP11'!BackgroundChecks, 16, 2, 1, 1) = 0, "", OFFSET('IWP11'!BackgroundChecks, 16, 2, 1, 1))</f>
        <v/>
      </c>
      <c r="D299" s="262" t="str">
        <f ca="1">IF(OFFSET('IWP11'!BackgroundChecks, 16, 4, 1, 1) = 0, "", OFFSET('IWP11'!BackgroundChecks, 16, 4, 1, 1))</f>
        <v/>
      </c>
      <c r="E299" s="254">
        <f ca="1">IF(OFFSET('IWP11'!BackgroundChecks, 16, 5, 1, 1)=DATE(1900,1,0), DATE(1900,1,1), OFFSET('IWP11'!BackgroundChecks, 16, 5, 1, 1))</f>
        <v>1</v>
      </c>
      <c r="F299" s="262" t="str">
        <f ca="1">IF(OFFSET('IWP11'!BackgroundChecks, 16, 6, 1, 1) = 0, "", OFFSET('IWP11'!BackgroundChecks, 16, 6, 1, 1))</f>
        <v/>
      </c>
      <c r="G299" s="254">
        <f ca="1">IF(OFFSET('IWP11'!BackgroundChecks, 16, 7, 1, 1)=DATE(1900,1,0), DATE(1900,1,1), OFFSET('IWP11'!BackgroundChecks, 16, 7, 1, 1))</f>
        <v>1</v>
      </c>
      <c r="H299" s="254">
        <f ca="1">IF(OFFSET('IWP11'!BackgroundChecks, 16, 8, 1, 1)=DATE(1900,1,0), DATE(1900,1,1), OFFSET('IWP11'!BackgroundChecks, 16, 8, 1, 1))</f>
        <v>1</v>
      </c>
      <c r="I299" s="262" t="str">
        <f ca="1">IF(OFFSET('IWP11'!BackgroundChecks, 16, 9, 1, 1) = 0, "", OFFSET('IWP11'!BackgroundChecks, 16, 9, 1, 1))</f>
        <v/>
      </c>
      <c r="J299" s="262" t="str">
        <f ca="1">IF(OFFSET('IWP11'!BackgroundChecks, 16, 10, 1, 1) = 0, "", OFFSET('IWP11'!BackgroundChecks, 16, 10, 1, 1))</f>
        <v/>
      </c>
      <c r="K299" s="262" t="str">
        <f ca="1">IF(OFFSET('IWP11'!BackgroundChecks, 16, 11, 1, 1) = 0, "", OFFSET('IWP11'!BackgroundChecks, 16, 11, 1, 1))</f>
        <v/>
      </c>
      <c r="L299" s="262" t="str">
        <f ca="1">IF(OFFSET('IWP11'!BackgroundChecks, 16, 12, 1, 1) = 0, "", OFFSET('IWP11'!BackgroundChecks, 16, 12, 1, 1))</f>
        <v/>
      </c>
      <c r="M299" s="262" t="str">
        <f ca="1">IF(OFFSET('IWP11'!BackgroundChecks, 16, 13, 1, 1) = 0, "", OFFSET('IWP11'!BackgroundChecks, 16, 13, 1, 1))</f>
        <v/>
      </c>
      <c r="N299" s="261"/>
    </row>
    <row r="300" spans="1:14" s="146" customFormat="1">
      <c r="A300" s="257" t="s">
        <v>509</v>
      </c>
      <c r="B300" s="262" t="str">
        <f ca="1">IF(OFFSET('IWP11'!BackgroundChecks, 17, 0, 1, 1) = 0, "", OFFSET('IWP11'!BackgroundChecks, 17, 0, 1, 1))</f>
        <v/>
      </c>
      <c r="C300" s="262" t="str">
        <f ca="1">IF(OFFSET('IWP11'!BackgroundChecks, 17, 2, 1, 1) = 0, "", OFFSET('IWP11'!BackgroundChecks, 17, 2, 1, 1))</f>
        <v/>
      </c>
      <c r="D300" s="262" t="str">
        <f ca="1">IF(OFFSET('IWP11'!BackgroundChecks, 17, 4, 1, 1) = 0, "", OFFSET('IWP11'!BackgroundChecks, 17, 4, 1, 1))</f>
        <v/>
      </c>
      <c r="E300" s="254">
        <f ca="1">IF(OFFSET('IWP11'!BackgroundChecks, 17, 5, 1, 1)=DATE(1900,1,0), DATE(1900,1,1), OFFSET('IWP11'!BackgroundChecks, 17, 5, 1, 1))</f>
        <v>1</v>
      </c>
      <c r="F300" s="262" t="str">
        <f ca="1">IF(OFFSET('IWP11'!BackgroundChecks, 17, 6, 1, 1) = 0, "", OFFSET('IWP11'!BackgroundChecks, 17, 6, 1, 1))</f>
        <v/>
      </c>
      <c r="G300" s="254">
        <f ca="1">IF(OFFSET('IWP11'!BackgroundChecks, 17, 7, 1, 1)=DATE(1900,1,0), DATE(1900,1,1), OFFSET('IWP11'!BackgroundChecks, 17, 7, 1, 1))</f>
        <v>1</v>
      </c>
      <c r="H300" s="254">
        <f ca="1">IF(OFFSET('IWP11'!BackgroundChecks, 17, 8, 1, 1)=DATE(1900,1,0), DATE(1900,1,1), OFFSET('IWP11'!BackgroundChecks, 17, 8, 1, 1))</f>
        <v>1</v>
      </c>
      <c r="I300" s="262" t="str">
        <f ca="1">IF(OFFSET('IWP11'!BackgroundChecks, 17, 9, 1, 1) = 0, "", OFFSET('IWP11'!BackgroundChecks, 17, 9, 1, 1))</f>
        <v/>
      </c>
      <c r="J300" s="262" t="str">
        <f ca="1">IF(OFFSET('IWP11'!BackgroundChecks, 17, 10, 1, 1) = 0, "", OFFSET('IWP11'!BackgroundChecks, 17, 10, 1, 1))</f>
        <v/>
      </c>
      <c r="K300" s="262" t="str">
        <f ca="1">IF(OFFSET('IWP11'!BackgroundChecks, 17, 11, 1, 1) = 0, "", OFFSET('IWP11'!BackgroundChecks, 17, 11, 1, 1))</f>
        <v/>
      </c>
      <c r="L300" s="262" t="str">
        <f ca="1">IF(OFFSET('IWP11'!BackgroundChecks, 17, 12, 1, 1) = 0, "", OFFSET('IWP11'!BackgroundChecks, 17, 12, 1, 1))</f>
        <v/>
      </c>
      <c r="M300" s="262" t="str">
        <f ca="1">IF(OFFSET('IWP11'!BackgroundChecks, 17, 13, 1, 1) = 0, "", OFFSET('IWP11'!BackgroundChecks, 17, 13, 1, 1))</f>
        <v/>
      </c>
      <c r="N300" s="261"/>
    </row>
    <row r="301" spans="1:14" s="146" customFormat="1">
      <c r="A301" s="257" t="s">
        <v>509</v>
      </c>
      <c r="B301" s="262" t="str">
        <f ca="1">IF(OFFSET('IWP11'!BackgroundChecks, 18, 0, 1, 1) = 0, "", OFFSET('IWP11'!BackgroundChecks, 18, 0, 1, 1))</f>
        <v/>
      </c>
      <c r="C301" s="262" t="str">
        <f ca="1">IF(OFFSET('IWP11'!BackgroundChecks, 18, 2, 1, 1) = 0, "", OFFSET('IWP11'!BackgroundChecks, 18, 2, 1, 1))</f>
        <v/>
      </c>
      <c r="D301" s="262" t="str">
        <f ca="1">IF(OFFSET('IWP11'!BackgroundChecks, 18, 4, 1, 1) = 0, "", OFFSET('IWP11'!BackgroundChecks, 18, 4, 1, 1))</f>
        <v/>
      </c>
      <c r="E301" s="254">
        <f ca="1">IF(OFFSET('IWP11'!BackgroundChecks, 18, 5, 1, 1)=DATE(1900,1,0), DATE(1900,1,1), OFFSET('IWP11'!BackgroundChecks, 18, 5, 1, 1))</f>
        <v>1</v>
      </c>
      <c r="F301" s="262" t="str">
        <f ca="1">IF(OFFSET('IWP11'!BackgroundChecks, 18, 6, 1, 1) = 0, "", OFFSET('IWP11'!BackgroundChecks, 18, 6, 1, 1))</f>
        <v/>
      </c>
      <c r="G301" s="254">
        <f ca="1">IF(OFFSET('IWP11'!BackgroundChecks, 18, 7, 1, 1)=DATE(1900,1,0), DATE(1900,1,1), OFFSET('IWP11'!BackgroundChecks, 18, 7, 1, 1))</f>
        <v>1</v>
      </c>
      <c r="H301" s="254">
        <f ca="1">IF(OFFSET('IWP11'!BackgroundChecks, 18, 8, 1, 1)=DATE(1900,1,0), DATE(1900,1,1), OFFSET('IWP11'!BackgroundChecks, 18, 8, 1, 1))</f>
        <v>1</v>
      </c>
      <c r="I301" s="262" t="str">
        <f ca="1">IF(OFFSET('IWP11'!BackgroundChecks, 18, 9, 1, 1) = 0, "", OFFSET('IWP11'!BackgroundChecks, 18, 9, 1, 1))</f>
        <v/>
      </c>
      <c r="J301" s="262" t="str">
        <f ca="1">IF(OFFSET('IWP11'!BackgroundChecks, 18, 10, 1, 1) = 0, "", OFFSET('IWP11'!BackgroundChecks, 18, 10, 1, 1))</f>
        <v/>
      </c>
      <c r="K301" s="262" t="str">
        <f ca="1">IF(OFFSET('IWP11'!BackgroundChecks, 18, 11, 1, 1) = 0, "", OFFSET('IWP11'!BackgroundChecks, 18, 11, 1, 1))</f>
        <v/>
      </c>
      <c r="L301" s="262" t="str">
        <f ca="1">IF(OFFSET('IWP11'!BackgroundChecks, 18, 12, 1, 1) = 0, "", OFFSET('IWP11'!BackgroundChecks, 18, 12, 1, 1))</f>
        <v/>
      </c>
      <c r="M301" s="262" t="str">
        <f ca="1">IF(OFFSET('IWP11'!BackgroundChecks, 18, 13, 1, 1) = 0, "", OFFSET('IWP11'!BackgroundChecks, 18, 13, 1, 1))</f>
        <v/>
      </c>
      <c r="N301" s="261"/>
    </row>
    <row r="302" spans="1:14" s="146" customFormat="1">
      <c r="A302" s="257" t="s">
        <v>509</v>
      </c>
      <c r="B302" s="262" t="str">
        <f ca="1">IF(OFFSET('IWP11'!BackgroundChecks, 19, 0, 1, 1) = 0, "", OFFSET('IWP11'!BackgroundChecks, 19, 0, 1, 1))</f>
        <v/>
      </c>
      <c r="C302" s="262" t="str">
        <f ca="1">IF(OFFSET('IWP11'!BackgroundChecks, 19, 2, 1, 1) = 0, "", OFFSET('IWP11'!BackgroundChecks, 19, 2, 1, 1))</f>
        <v/>
      </c>
      <c r="D302" s="262" t="str">
        <f ca="1">IF(OFFSET('IWP11'!BackgroundChecks, 19, 4, 1, 1) = 0, "", OFFSET('IWP11'!BackgroundChecks, 19, 4, 1, 1))</f>
        <v/>
      </c>
      <c r="E302" s="254">
        <f ca="1">IF(OFFSET('IWP11'!BackgroundChecks, 19, 5, 1, 1)=DATE(1900,1,0), DATE(1900,1,1), OFFSET('IWP11'!BackgroundChecks, 19, 5, 1, 1))</f>
        <v>1</v>
      </c>
      <c r="F302" s="262" t="str">
        <f ca="1">IF(OFFSET('IWP11'!BackgroundChecks, 19, 6, 1, 1) = 0, "", OFFSET('IWP11'!BackgroundChecks, 19, 6, 1, 1))</f>
        <v/>
      </c>
      <c r="G302" s="254">
        <f ca="1">IF(OFFSET('IWP11'!BackgroundChecks, 19, 7, 1, 1)=DATE(1900,1,0), DATE(1900,1,1), OFFSET('IWP11'!BackgroundChecks, 19, 7, 1, 1))</f>
        <v>1</v>
      </c>
      <c r="H302" s="254">
        <f ca="1">IF(OFFSET('IWP11'!BackgroundChecks, 19, 8, 1, 1)=DATE(1900,1,0), DATE(1900,1,1), OFFSET('IWP11'!BackgroundChecks, 19, 8, 1, 1))</f>
        <v>1</v>
      </c>
      <c r="I302" s="262" t="str">
        <f ca="1">IF(OFFSET('IWP11'!BackgroundChecks, 19, 9, 1, 1) = 0, "", OFFSET('IWP11'!BackgroundChecks, 19, 9, 1, 1))</f>
        <v/>
      </c>
      <c r="J302" s="262" t="str">
        <f ca="1">IF(OFFSET('IWP11'!BackgroundChecks, 19, 10, 1, 1) = 0, "", OFFSET('IWP11'!BackgroundChecks, 19, 10, 1, 1))</f>
        <v/>
      </c>
      <c r="K302" s="262" t="str">
        <f ca="1">IF(OFFSET('IWP11'!BackgroundChecks, 19, 11, 1, 1) = 0, "", OFFSET('IWP11'!BackgroundChecks, 19, 11, 1, 1))</f>
        <v/>
      </c>
      <c r="L302" s="262" t="str">
        <f ca="1">IF(OFFSET('IWP11'!BackgroundChecks, 19, 12, 1, 1) = 0, "", OFFSET('IWP11'!BackgroundChecks, 19, 12, 1, 1))</f>
        <v/>
      </c>
      <c r="M302" s="262" t="str">
        <f ca="1">IF(OFFSET('IWP11'!BackgroundChecks, 19, 13, 1, 1) = 0, "", OFFSET('IWP11'!BackgroundChecks, 19, 13, 1, 1))</f>
        <v/>
      </c>
      <c r="N302" s="261"/>
    </row>
    <row r="303" spans="1:14" s="146" customFormat="1">
      <c r="A303" s="257" t="s">
        <v>510</v>
      </c>
      <c r="B303" s="262" t="str">
        <f ca="1">IF(OFFSET('IWP12'!BackgroundChecks, 0, 0, 1, 1) = 0, "", OFFSET('IWP12'!BackgroundChecks, 0, 0, 1, 1))</f>
        <v/>
      </c>
      <c r="C303" s="262" t="str">
        <f ca="1">IF(OFFSET('IWP12'!BackgroundChecks, 0, 2, 1, 1) = 0, "", OFFSET('IWP12'!BackgroundChecks, 0, 2, 1, 1))</f>
        <v/>
      </c>
      <c r="D303" s="262" t="str">
        <f ca="1">IF(OFFSET('IWP12'!BackgroundChecks, 0, 4, 1, 1) = 0, "", OFFSET('IWP12'!BackgroundChecks, 0, 4, 1, 1))</f>
        <v/>
      </c>
      <c r="E303" s="254">
        <f ca="1">IF(OFFSET('IWP12'!BackgroundChecks, 0, 5, 1, 1)=DATE(1900,1,0), DATE(1900,1,1), OFFSET('IWP12'!BackgroundChecks, 0, 5, 1, 1))</f>
        <v>1</v>
      </c>
      <c r="F303" s="262" t="str">
        <f ca="1">IF(OFFSET('IWP12'!BackgroundChecks, 0, 6, 1, 1) = 0, "", OFFSET('IWP12'!BackgroundChecks, 0, 6, 1, 1))</f>
        <v/>
      </c>
      <c r="G303" s="254">
        <f ca="1">IF(OFFSET('IWP12'!BackgroundChecks, 0, 7, 1, 1)=DATE(1900,1,0), DATE(1900,1,1), OFFSET('IWP12'!BackgroundChecks, 0, 7, 1, 1))</f>
        <v>1</v>
      </c>
      <c r="H303" s="254">
        <f ca="1">IF(OFFSET('IWP12'!BackgroundChecks, 0, 8, 1, 1)=DATE(1900,1,0), DATE(1900,1,1), OFFSET('IWP12'!BackgroundChecks, 0, 8, 1, 1))</f>
        <v>1</v>
      </c>
      <c r="I303" s="262" t="str">
        <f ca="1">IF(OFFSET('IWP12'!BackgroundChecks, 0, 9, 1, 1) = 0, "", OFFSET('IWP12'!BackgroundChecks, 0, 9, 1, 1))</f>
        <v/>
      </c>
      <c r="J303" s="262" t="str">
        <f ca="1">IF(OFFSET('IWP12'!BackgroundChecks, 0, 10, 1, 1) = 0, "", OFFSET('IWP12'!BackgroundChecks, 0, 10, 1, 1))</f>
        <v/>
      </c>
      <c r="K303" s="262" t="str">
        <f ca="1">IF(OFFSET('IWP12'!BackgroundChecks, 0, 11, 1, 1) = 0, "", OFFSET('IWP12'!BackgroundChecks, 0, 11, 1, 1))</f>
        <v/>
      </c>
      <c r="L303" s="262" t="str">
        <f ca="1">IF(OFFSET('IWP12'!BackgroundChecks, 0, 12, 1, 1) = 0, "", OFFSET('IWP12'!BackgroundChecks, 0, 12, 1, 1))</f>
        <v/>
      </c>
      <c r="M303" s="262" t="str">
        <f ca="1">IF(OFFSET('IWP12'!BackgroundChecks, 0, 13, 1, 1) = 0, "", OFFSET('IWP12'!BackgroundChecks, 0, 13, 1, 1))</f>
        <v/>
      </c>
      <c r="N303" s="261"/>
    </row>
    <row r="304" spans="1:14" s="146" customFormat="1">
      <c r="A304" s="257" t="s">
        <v>510</v>
      </c>
      <c r="B304" s="262" t="str">
        <f ca="1">IF(OFFSET('IWP12'!BackgroundChecks, 1, 0, 1, 1) = 0, "", OFFSET('IWP12'!BackgroundChecks, 1, 0, 1, 1))</f>
        <v/>
      </c>
      <c r="C304" s="262" t="str">
        <f ca="1">IF(OFFSET('IWP12'!BackgroundChecks, 1, 2, 1, 1) = 0, "", OFFSET('IWP12'!BackgroundChecks, 1, 2, 1, 1))</f>
        <v/>
      </c>
      <c r="D304" s="262" t="str">
        <f ca="1">IF(OFFSET('IWP12'!BackgroundChecks, 1, 4, 1, 1) = 0, "", OFFSET('IWP12'!BackgroundChecks, 1, 4, 1, 1))</f>
        <v/>
      </c>
      <c r="E304" s="254">
        <f ca="1">IF(OFFSET('IWP12'!BackgroundChecks, 1, 5, 1, 1)=DATE(1900,1,0), DATE(1900,1,1), OFFSET('IWP12'!BackgroundChecks, 1, 5, 1, 1))</f>
        <v>1</v>
      </c>
      <c r="F304" s="262" t="str">
        <f ca="1">IF(OFFSET('IWP12'!BackgroundChecks, 1, 6, 1, 1) = 0, "", OFFSET('IWP12'!BackgroundChecks, 1, 6, 1, 1))</f>
        <v/>
      </c>
      <c r="G304" s="254">
        <f ca="1">IF(OFFSET('IWP12'!BackgroundChecks, 1, 7, 1, 1)=DATE(1900,1,0), DATE(1900,1,1), OFFSET('IWP12'!BackgroundChecks, 1, 7, 1, 1))</f>
        <v>1</v>
      </c>
      <c r="H304" s="254">
        <f ca="1">IF(OFFSET('IWP12'!BackgroundChecks, 1, 8, 1, 1)=DATE(1900,1,0), DATE(1900,1,1), OFFSET('IWP12'!BackgroundChecks, 1, 8, 1, 1))</f>
        <v>1</v>
      </c>
      <c r="I304" s="262" t="str">
        <f ca="1">IF(OFFSET('IWP12'!BackgroundChecks, 1, 9, 1, 1) = 0, "", OFFSET('IWP12'!BackgroundChecks, 1, 9, 1, 1))</f>
        <v/>
      </c>
      <c r="J304" s="262" t="str">
        <f ca="1">IF(OFFSET('IWP12'!BackgroundChecks, 1, 10, 1, 1) = 0, "", OFFSET('IWP12'!BackgroundChecks, 1, 10, 1, 1))</f>
        <v/>
      </c>
      <c r="K304" s="262" t="str">
        <f ca="1">IF(OFFSET('IWP12'!BackgroundChecks, 1, 11, 1, 1) = 0, "", OFFSET('IWP12'!BackgroundChecks, 1, 11, 1, 1))</f>
        <v/>
      </c>
      <c r="L304" s="262" t="str">
        <f ca="1">IF(OFFSET('IWP12'!BackgroundChecks, 1, 12, 1, 1) = 0, "", OFFSET('IWP12'!BackgroundChecks, 1, 12, 1, 1))</f>
        <v/>
      </c>
      <c r="M304" s="262" t="str">
        <f ca="1">IF(OFFSET('IWP12'!BackgroundChecks, 1, 13, 1, 1) = 0, "", OFFSET('IWP12'!BackgroundChecks, 1, 13, 1, 1))</f>
        <v/>
      </c>
      <c r="N304" s="261"/>
    </row>
    <row r="305" spans="1:14" s="146" customFormat="1">
      <c r="A305" s="257" t="s">
        <v>510</v>
      </c>
      <c r="B305" s="262" t="str">
        <f ca="1">IF(OFFSET('IWP12'!BackgroundChecks, 2, 0, 1, 1) = 0, "", OFFSET('IWP12'!BackgroundChecks, 2, 0, 1, 1))</f>
        <v/>
      </c>
      <c r="C305" s="262" t="str">
        <f ca="1">IF(OFFSET('IWP12'!BackgroundChecks, 2, 2, 1, 1) = 0, "", OFFSET('IWP12'!BackgroundChecks, 2, 2, 1, 1))</f>
        <v/>
      </c>
      <c r="D305" s="262" t="str">
        <f ca="1">IF(OFFSET('IWP12'!BackgroundChecks, 2, 4, 1, 1) = 0, "", OFFSET('IWP12'!BackgroundChecks, 2, 4, 1, 1))</f>
        <v/>
      </c>
      <c r="E305" s="254">
        <f ca="1">IF(OFFSET('IWP12'!BackgroundChecks, 2, 5, 1, 1)=DATE(1900,1,0), DATE(1900,1,1), OFFSET('IWP12'!BackgroundChecks, 2, 5, 1, 1))</f>
        <v>1</v>
      </c>
      <c r="F305" s="262" t="str">
        <f ca="1">IF(OFFSET('IWP12'!BackgroundChecks, 2, 6, 1, 1) = 0, "", OFFSET('IWP12'!BackgroundChecks, 2, 6, 1, 1))</f>
        <v/>
      </c>
      <c r="G305" s="254">
        <f ca="1">IF(OFFSET('IWP12'!BackgroundChecks, 2, 7, 1, 1)=DATE(1900,1,0), DATE(1900,1,1), OFFSET('IWP12'!BackgroundChecks, 2, 7, 1, 1))</f>
        <v>1</v>
      </c>
      <c r="H305" s="254">
        <f ca="1">IF(OFFSET('IWP12'!BackgroundChecks, 2, 8, 1, 1)=DATE(1900,1,0), DATE(1900,1,1), OFFSET('IWP12'!BackgroundChecks, 2, 8, 1, 1))</f>
        <v>1</v>
      </c>
      <c r="I305" s="262" t="str">
        <f ca="1">IF(OFFSET('IWP12'!BackgroundChecks, 2, 9, 1, 1) = 0, "", OFFSET('IWP12'!BackgroundChecks, 2, 9, 1, 1))</f>
        <v/>
      </c>
      <c r="J305" s="262" t="str">
        <f ca="1">IF(OFFSET('IWP12'!BackgroundChecks, 2, 10, 1, 1) = 0, "", OFFSET('IWP12'!BackgroundChecks, 2, 10, 1, 1))</f>
        <v/>
      </c>
      <c r="K305" s="262" t="str">
        <f ca="1">IF(OFFSET('IWP12'!BackgroundChecks, 2, 11, 1, 1) = 0, "", OFFSET('IWP12'!BackgroundChecks, 2, 11, 1, 1))</f>
        <v/>
      </c>
      <c r="L305" s="262" t="str">
        <f ca="1">IF(OFFSET('IWP12'!BackgroundChecks, 2, 12, 1, 1) = 0, "", OFFSET('IWP12'!BackgroundChecks, 2, 12, 1, 1))</f>
        <v/>
      </c>
      <c r="M305" s="262" t="str">
        <f ca="1">IF(OFFSET('IWP12'!BackgroundChecks, 2, 13, 1, 1) = 0, "", OFFSET('IWP12'!BackgroundChecks, 2, 13, 1, 1))</f>
        <v/>
      </c>
      <c r="N305" s="261"/>
    </row>
    <row r="306" spans="1:14" s="146" customFormat="1">
      <c r="A306" s="257" t="s">
        <v>510</v>
      </c>
      <c r="B306" s="262" t="str">
        <f ca="1">IF(OFFSET('IWP12'!BackgroundChecks, 3, 0, 1, 1) = 0, "", OFFSET('IWP12'!BackgroundChecks, 3, 0, 1, 1))</f>
        <v/>
      </c>
      <c r="C306" s="262" t="str">
        <f ca="1">IF(OFFSET('IWP12'!BackgroundChecks, 3, 2, 1, 1) = 0, "", OFFSET('IWP12'!BackgroundChecks, 3, 2, 1, 1))</f>
        <v/>
      </c>
      <c r="D306" s="262" t="str">
        <f ca="1">IF(OFFSET('IWP12'!BackgroundChecks, 3, 4, 1, 1) = 0, "", OFFSET('IWP12'!BackgroundChecks, 3, 4, 1, 1))</f>
        <v/>
      </c>
      <c r="E306" s="254">
        <f ca="1">IF(OFFSET('IWP12'!BackgroundChecks, 3, 5, 1, 1)=DATE(1900,1,0), DATE(1900,1,1), OFFSET('IWP12'!BackgroundChecks, 3, 5, 1, 1))</f>
        <v>1</v>
      </c>
      <c r="F306" s="262" t="str">
        <f ca="1">IF(OFFSET('IWP12'!BackgroundChecks, 3, 6, 1, 1) = 0, "", OFFSET('IWP12'!BackgroundChecks, 3, 6, 1, 1))</f>
        <v/>
      </c>
      <c r="G306" s="254">
        <f ca="1">IF(OFFSET('IWP12'!BackgroundChecks, 3, 7, 1, 1)=DATE(1900,1,0), DATE(1900,1,1), OFFSET('IWP12'!BackgroundChecks, 3, 7, 1, 1))</f>
        <v>1</v>
      </c>
      <c r="H306" s="254">
        <f ca="1">IF(OFFSET('IWP12'!BackgroundChecks, 3, 8, 1, 1)=DATE(1900,1,0), DATE(1900,1,1), OFFSET('IWP12'!BackgroundChecks, 3, 8, 1, 1))</f>
        <v>1</v>
      </c>
      <c r="I306" s="262" t="str">
        <f ca="1">IF(OFFSET('IWP12'!BackgroundChecks, 3, 9, 1, 1) = 0, "", OFFSET('IWP12'!BackgroundChecks, 3, 9, 1, 1))</f>
        <v/>
      </c>
      <c r="J306" s="262" t="str">
        <f ca="1">IF(OFFSET('IWP12'!BackgroundChecks, 3, 10, 1, 1) = 0, "", OFFSET('IWP12'!BackgroundChecks, 3, 10, 1, 1))</f>
        <v/>
      </c>
      <c r="K306" s="262" t="str">
        <f ca="1">IF(OFFSET('IWP12'!BackgroundChecks, 3, 11, 1, 1) = 0, "", OFFSET('IWP12'!BackgroundChecks, 3, 11, 1, 1))</f>
        <v/>
      </c>
      <c r="L306" s="262" t="str">
        <f ca="1">IF(OFFSET('IWP12'!BackgroundChecks, 3, 12, 1, 1) = 0, "", OFFSET('IWP12'!BackgroundChecks, 3, 12, 1, 1))</f>
        <v/>
      </c>
      <c r="M306" s="262" t="str">
        <f ca="1">IF(OFFSET('IWP12'!BackgroundChecks, 3, 13, 1, 1) = 0, "", OFFSET('IWP12'!BackgroundChecks, 3, 13, 1, 1))</f>
        <v/>
      </c>
      <c r="N306" s="261"/>
    </row>
    <row r="307" spans="1:14" s="146" customFormat="1">
      <c r="A307" s="257" t="s">
        <v>510</v>
      </c>
      <c r="B307" s="262" t="str">
        <f ca="1">IF(OFFSET('IWP12'!BackgroundChecks, 4, 0, 1, 1) = 0, "", OFFSET('IWP12'!BackgroundChecks, 4, 0, 1, 1))</f>
        <v/>
      </c>
      <c r="C307" s="262" t="str">
        <f ca="1">IF(OFFSET('IWP12'!BackgroundChecks, 4, 2, 1, 1) = 0, "", OFFSET('IWP12'!BackgroundChecks, 4, 2, 1, 1))</f>
        <v/>
      </c>
      <c r="D307" s="262" t="str">
        <f ca="1">IF(OFFSET('IWP12'!BackgroundChecks, 4, 4, 1, 1) = 0, "", OFFSET('IWP12'!BackgroundChecks, 4, 4, 1, 1))</f>
        <v/>
      </c>
      <c r="E307" s="254">
        <f ca="1">IF(OFFSET('IWP12'!BackgroundChecks, 4, 5, 1, 1)=DATE(1900,1,0), DATE(1900,1,1), OFFSET('IWP12'!BackgroundChecks, 4, 5, 1, 1))</f>
        <v>1</v>
      </c>
      <c r="F307" s="262" t="str">
        <f ca="1">IF(OFFSET('IWP12'!BackgroundChecks, 4, 6, 1, 1) = 0, "", OFFSET('IWP12'!BackgroundChecks, 4, 6, 1, 1))</f>
        <v/>
      </c>
      <c r="G307" s="254">
        <f ca="1">IF(OFFSET('IWP12'!BackgroundChecks, 4, 7, 1, 1)=DATE(1900,1,0), DATE(1900,1,1), OFFSET('IWP12'!BackgroundChecks, 4, 7, 1, 1))</f>
        <v>1</v>
      </c>
      <c r="H307" s="254">
        <f ca="1">IF(OFFSET('IWP12'!BackgroundChecks, 4, 8, 1, 1)=DATE(1900,1,0), DATE(1900,1,1), OFFSET('IWP12'!BackgroundChecks, 4, 8, 1, 1))</f>
        <v>1</v>
      </c>
      <c r="I307" s="262" t="str">
        <f ca="1">IF(OFFSET('IWP12'!BackgroundChecks, 4, 9, 1, 1) = 0, "", OFFSET('IWP12'!BackgroundChecks, 4, 9, 1, 1))</f>
        <v/>
      </c>
      <c r="J307" s="262" t="str">
        <f ca="1">IF(OFFSET('IWP12'!BackgroundChecks, 4, 10, 1, 1) = 0, "", OFFSET('IWP12'!BackgroundChecks, 4, 10, 1, 1))</f>
        <v/>
      </c>
      <c r="K307" s="262" t="str">
        <f ca="1">IF(OFFSET('IWP12'!BackgroundChecks, 4, 11, 1, 1) = 0, "", OFFSET('IWP12'!BackgroundChecks, 4, 11, 1, 1))</f>
        <v/>
      </c>
      <c r="L307" s="262" t="str">
        <f ca="1">IF(OFFSET('IWP12'!BackgroundChecks, 4, 12, 1, 1) = 0, "", OFFSET('IWP12'!BackgroundChecks, 4, 12, 1, 1))</f>
        <v/>
      </c>
      <c r="M307" s="262" t="str">
        <f ca="1">IF(OFFSET('IWP12'!BackgroundChecks, 4, 13, 1, 1) = 0, "", OFFSET('IWP12'!BackgroundChecks, 4, 13, 1, 1))</f>
        <v/>
      </c>
      <c r="N307" s="261"/>
    </row>
    <row r="308" spans="1:14" s="146" customFormat="1">
      <c r="A308" s="257" t="s">
        <v>510</v>
      </c>
      <c r="B308" s="262" t="str">
        <f ca="1">IF(OFFSET('IWP12'!BackgroundChecks, 5, 0, 1, 1) = 0, "", OFFSET('IWP12'!BackgroundChecks, 5, 0, 1, 1))</f>
        <v/>
      </c>
      <c r="C308" s="262" t="str">
        <f ca="1">IF(OFFSET('IWP12'!BackgroundChecks, 5, 2, 1, 1) = 0, "", OFFSET('IWP12'!BackgroundChecks, 5, 2, 1, 1))</f>
        <v/>
      </c>
      <c r="D308" s="262" t="str">
        <f ca="1">IF(OFFSET('IWP12'!BackgroundChecks, 5, 4, 1, 1) = 0, "", OFFSET('IWP12'!BackgroundChecks, 5, 4, 1, 1))</f>
        <v/>
      </c>
      <c r="E308" s="254">
        <f ca="1">IF(OFFSET('IWP12'!BackgroundChecks, 5, 5, 1, 1)=DATE(1900,1,0), DATE(1900,1,1), OFFSET('IWP12'!BackgroundChecks, 5, 5, 1, 1))</f>
        <v>1</v>
      </c>
      <c r="F308" s="262" t="str">
        <f ca="1">IF(OFFSET('IWP12'!BackgroundChecks, 5, 6, 1, 1) = 0, "", OFFSET('IWP12'!BackgroundChecks, 5, 6, 1, 1))</f>
        <v/>
      </c>
      <c r="G308" s="254">
        <f ca="1">IF(OFFSET('IWP12'!BackgroundChecks, 5, 7, 1, 1)=DATE(1900,1,0), DATE(1900,1,1), OFFSET('IWP12'!BackgroundChecks, 5, 7, 1, 1))</f>
        <v>1</v>
      </c>
      <c r="H308" s="254">
        <f ca="1">IF(OFFSET('IWP12'!BackgroundChecks, 5, 8, 1, 1)=DATE(1900,1,0), DATE(1900,1,1), OFFSET('IWP12'!BackgroundChecks, 5, 8, 1, 1))</f>
        <v>1</v>
      </c>
      <c r="I308" s="262" t="str">
        <f ca="1">IF(OFFSET('IWP12'!BackgroundChecks, 5, 9, 1, 1) = 0, "", OFFSET('IWP12'!BackgroundChecks, 5, 9, 1, 1))</f>
        <v/>
      </c>
      <c r="J308" s="262" t="str">
        <f ca="1">IF(OFFSET('IWP12'!BackgroundChecks, 5, 10, 1, 1) = 0, "", OFFSET('IWP12'!BackgroundChecks, 5, 10, 1, 1))</f>
        <v/>
      </c>
      <c r="K308" s="262" t="str">
        <f ca="1">IF(OFFSET('IWP12'!BackgroundChecks, 5, 11, 1, 1) = 0, "", OFFSET('IWP12'!BackgroundChecks, 5, 11, 1, 1))</f>
        <v/>
      </c>
      <c r="L308" s="262" t="str">
        <f ca="1">IF(OFFSET('IWP12'!BackgroundChecks, 5, 12, 1, 1) = 0, "", OFFSET('IWP12'!BackgroundChecks, 5, 12, 1, 1))</f>
        <v/>
      </c>
      <c r="M308" s="262" t="str">
        <f ca="1">IF(OFFSET('IWP12'!BackgroundChecks, 5, 13, 1, 1) = 0, "", OFFSET('IWP12'!BackgroundChecks, 5, 13, 1, 1))</f>
        <v/>
      </c>
      <c r="N308" s="261"/>
    </row>
    <row r="309" spans="1:14" s="146" customFormat="1">
      <c r="A309" s="257" t="s">
        <v>510</v>
      </c>
      <c r="B309" s="262" t="str">
        <f ca="1">IF(OFFSET('IWP12'!BackgroundChecks, 6, 0, 1, 1) = 0, "", OFFSET('IWP12'!BackgroundChecks, 6, 0, 1, 1))</f>
        <v/>
      </c>
      <c r="C309" s="262" t="str">
        <f ca="1">IF(OFFSET('IWP12'!BackgroundChecks, 6, 2, 1, 1) = 0, "", OFFSET('IWP12'!BackgroundChecks, 6, 2, 1, 1))</f>
        <v/>
      </c>
      <c r="D309" s="262" t="str">
        <f ca="1">IF(OFFSET('IWP12'!BackgroundChecks, 6, 4, 1, 1) = 0, "", OFFSET('IWP12'!BackgroundChecks, 6, 4, 1, 1))</f>
        <v/>
      </c>
      <c r="E309" s="254">
        <f ca="1">IF(OFFSET('IWP12'!BackgroundChecks, 6, 5, 1, 1)=DATE(1900,1,0), DATE(1900,1,1), OFFSET('IWP12'!BackgroundChecks, 6, 5, 1, 1))</f>
        <v>1</v>
      </c>
      <c r="F309" s="262" t="str">
        <f ca="1">IF(OFFSET('IWP12'!BackgroundChecks, 6, 6, 1, 1) = 0, "", OFFSET('IWP12'!BackgroundChecks, 6, 6, 1, 1))</f>
        <v/>
      </c>
      <c r="G309" s="254">
        <f ca="1">IF(OFFSET('IWP12'!BackgroundChecks, 6, 7, 1, 1)=DATE(1900,1,0), DATE(1900,1,1), OFFSET('IWP12'!BackgroundChecks, 6, 7, 1, 1))</f>
        <v>1</v>
      </c>
      <c r="H309" s="254">
        <f ca="1">IF(OFFSET('IWP12'!BackgroundChecks, 6, 8, 1, 1)=DATE(1900,1,0), DATE(1900,1,1), OFFSET('IWP12'!BackgroundChecks, 6, 8, 1, 1))</f>
        <v>1</v>
      </c>
      <c r="I309" s="262" t="str">
        <f ca="1">IF(OFFSET('IWP12'!BackgroundChecks, 6, 9, 1, 1) = 0, "", OFFSET('IWP12'!BackgroundChecks, 6, 9, 1, 1))</f>
        <v/>
      </c>
      <c r="J309" s="262" t="str">
        <f ca="1">IF(OFFSET('IWP12'!BackgroundChecks, 6, 10, 1, 1) = 0, "", OFFSET('IWP12'!BackgroundChecks, 6, 10, 1, 1))</f>
        <v/>
      </c>
      <c r="K309" s="262" t="str">
        <f ca="1">IF(OFFSET('IWP12'!BackgroundChecks, 6, 11, 1, 1) = 0, "", OFFSET('IWP12'!BackgroundChecks, 6, 11, 1, 1))</f>
        <v/>
      </c>
      <c r="L309" s="262" t="str">
        <f ca="1">IF(OFFSET('IWP12'!BackgroundChecks, 6, 12, 1, 1) = 0, "", OFFSET('IWP12'!BackgroundChecks, 6, 12, 1, 1))</f>
        <v/>
      </c>
      <c r="M309" s="262" t="str">
        <f ca="1">IF(OFFSET('IWP12'!BackgroundChecks, 6, 13, 1, 1) = 0, "", OFFSET('IWP12'!BackgroundChecks, 6, 13, 1, 1))</f>
        <v/>
      </c>
      <c r="N309" s="261"/>
    </row>
    <row r="310" spans="1:14" s="146" customFormat="1">
      <c r="A310" s="257" t="s">
        <v>510</v>
      </c>
      <c r="B310" s="262" t="str">
        <f ca="1">IF(OFFSET('IWP12'!BackgroundChecks, 7, 0, 1, 1) = 0, "", OFFSET('IWP12'!BackgroundChecks, 7, 0, 1, 1))</f>
        <v/>
      </c>
      <c r="C310" s="262" t="str">
        <f ca="1">IF(OFFSET('IWP12'!BackgroundChecks, 7, 2, 1, 1) = 0, "", OFFSET('IWP12'!BackgroundChecks, 7, 2, 1, 1))</f>
        <v/>
      </c>
      <c r="D310" s="262" t="str">
        <f ca="1">IF(OFFSET('IWP12'!BackgroundChecks, 7, 4, 1, 1) = 0, "", OFFSET('IWP12'!BackgroundChecks, 7, 4, 1, 1))</f>
        <v/>
      </c>
      <c r="E310" s="254">
        <f ca="1">IF(OFFSET('IWP12'!BackgroundChecks, 7, 5, 1, 1)=DATE(1900,1,0), DATE(1900,1,1), OFFSET('IWP12'!BackgroundChecks, 7, 5, 1, 1))</f>
        <v>1</v>
      </c>
      <c r="F310" s="262" t="str">
        <f ca="1">IF(OFFSET('IWP12'!BackgroundChecks, 7, 6, 1, 1) = 0, "", OFFSET('IWP12'!BackgroundChecks, 7, 6, 1, 1))</f>
        <v/>
      </c>
      <c r="G310" s="254">
        <f ca="1">IF(OFFSET('IWP12'!BackgroundChecks, 7, 7, 1, 1)=DATE(1900,1,0), DATE(1900,1,1), OFFSET('IWP12'!BackgroundChecks, 7, 7, 1, 1))</f>
        <v>1</v>
      </c>
      <c r="H310" s="254">
        <f ca="1">IF(OFFSET('IWP12'!BackgroundChecks, 7, 8, 1, 1)=DATE(1900,1,0), DATE(1900,1,1), OFFSET('IWP12'!BackgroundChecks, 7, 8, 1, 1))</f>
        <v>1</v>
      </c>
      <c r="I310" s="262" t="str">
        <f ca="1">IF(OFFSET('IWP12'!BackgroundChecks, 7, 9, 1, 1) = 0, "", OFFSET('IWP12'!BackgroundChecks, 7, 9, 1, 1))</f>
        <v/>
      </c>
      <c r="J310" s="262" t="str">
        <f ca="1">IF(OFFSET('IWP12'!BackgroundChecks, 7, 10, 1, 1) = 0, "", OFFSET('IWP12'!BackgroundChecks, 7, 10, 1, 1))</f>
        <v/>
      </c>
      <c r="K310" s="262" t="str">
        <f ca="1">IF(OFFSET('IWP12'!BackgroundChecks, 7, 11, 1, 1) = 0, "", OFFSET('IWP12'!BackgroundChecks, 7, 11, 1, 1))</f>
        <v/>
      </c>
      <c r="L310" s="262" t="str">
        <f ca="1">IF(OFFSET('IWP12'!BackgroundChecks, 7, 12, 1, 1) = 0, "", OFFSET('IWP12'!BackgroundChecks, 7, 12, 1, 1))</f>
        <v/>
      </c>
      <c r="M310" s="262" t="str">
        <f ca="1">IF(OFFSET('IWP12'!BackgroundChecks, 7, 13, 1, 1) = 0, "", OFFSET('IWP12'!BackgroundChecks, 7, 13, 1, 1))</f>
        <v/>
      </c>
      <c r="N310" s="261"/>
    </row>
    <row r="311" spans="1:14" s="146" customFormat="1">
      <c r="A311" s="257" t="s">
        <v>510</v>
      </c>
      <c r="B311" s="262" t="str">
        <f ca="1">IF(OFFSET('IWP12'!BackgroundChecks, 8, 0, 1, 1) = 0, "", OFFSET('IWP12'!BackgroundChecks, 8, 0, 1, 1))</f>
        <v/>
      </c>
      <c r="C311" s="262" t="str">
        <f ca="1">IF(OFFSET('IWP12'!BackgroundChecks, 8, 2, 1, 1) = 0, "", OFFSET('IWP12'!BackgroundChecks, 8, 2, 1, 1))</f>
        <v/>
      </c>
      <c r="D311" s="262" t="str">
        <f ca="1">IF(OFFSET('IWP12'!BackgroundChecks, 8, 4, 1, 1) = 0, "", OFFSET('IWP12'!BackgroundChecks, 8, 4, 1, 1))</f>
        <v/>
      </c>
      <c r="E311" s="254">
        <f ca="1">IF(OFFSET('IWP12'!BackgroundChecks, 8, 5, 1, 1)=DATE(1900,1,0), DATE(1900,1,1), OFFSET('IWP12'!BackgroundChecks, 8, 5, 1, 1))</f>
        <v>1</v>
      </c>
      <c r="F311" s="262" t="str">
        <f ca="1">IF(OFFSET('IWP12'!BackgroundChecks, 8, 6, 1, 1) = 0, "", OFFSET('IWP12'!BackgroundChecks, 8, 6, 1, 1))</f>
        <v/>
      </c>
      <c r="G311" s="254">
        <f ca="1">IF(OFFSET('IWP12'!BackgroundChecks, 8, 7, 1, 1)=DATE(1900,1,0), DATE(1900,1,1), OFFSET('IWP12'!BackgroundChecks, 8, 7, 1, 1))</f>
        <v>1</v>
      </c>
      <c r="H311" s="254">
        <f ca="1">IF(OFFSET('IWP12'!BackgroundChecks, 8, 8, 1, 1)=DATE(1900,1,0), DATE(1900,1,1), OFFSET('IWP12'!BackgroundChecks, 8, 8, 1, 1))</f>
        <v>1</v>
      </c>
      <c r="I311" s="262" t="str">
        <f ca="1">IF(OFFSET('IWP12'!BackgroundChecks, 8, 9, 1, 1) = 0, "", OFFSET('IWP12'!BackgroundChecks, 8, 9, 1, 1))</f>
        <v/>
      </c>
      <c r="J311" s="262" t="str">
        <f ca="1">IF(OFFSET('IWP12'!BackgroundChecks, 8, 10, 1, 1) = 0, "", OFFSET('IWP12'!BackgroundChecks, 8, 10, 1, 1))</f>
        <v/>
      </c>
      <c r="K311" s="262" t="str">
        <f ca="1">IF(OFFSET('IWP12'!BackgroundChecks, 8, 11, 1, 1) = 0, "", OFFSET('IWP12'!BackgroundChecks, 8, 11, 1, 1))</f>
        <v/>
      </c>
      <c r="L311" s="262" t="str">
        <f ca="1">IF(OFFSET('IWP12'!BackgroundChecks, 8, 12, 1, 1) = 0, "", OFFSET('IWP12'!BackgroundChecks, 8, 12, 1, 1))</f>
        <v/>
      </c>
      <c r="M311" s="262" t="str">
        <f ca="1">IF(OFFSET('IWP12'!BackgroundChecks, 8, 13, 1, 1) = 0, "", OFFSET('IWP12'!BackgroundChecks, 8, 13, 1, 1))</f>
        <v/>
      </c>
      <c r="N311" s="261"/>
    </row>
    <row r="312" spans="1:14" s="146" customFormat="1">
      <c r="A312" s="257" t="s">
        <v>510</v>
      </c>
      <c r="B312" s="262" t="str">
        <f ca="1">IF(OFFSET('IWP12'!BackgroundChecks, 9, 0, 1, 1) = 0, "", OFFSET('IWP12'!BackgroundChecks, 9, 0, 1, 1))</f>
        <v/>
      </c>
      <c r="C312" s="262" t="str">
        <f ca="1">IF(OFFSET('IWP12'!BackgroundChecks, 9, 2, 1, 1) = 0, "", OFFSET('IWP12'!BackgroundChecks, 9, 2, 1, 1))</f>
        <v/>
      </c>
      <c r="D312" s="262" t="str">
        <f ca="1">IF(OFFSET('IWP12'!BackgroundChecks, 9, 4, 1, 1) = 0, "", OFFSET('IWP12'!BackgroundChecks, 9, 4, 1, 1))</f>
        <v/>
      </c>
      <c r="E312" s="254">
        <f ca="1">IF(OFFSET('IWP12'!BackgroundChecks, 9, 5, 1, 1)=DATE(1900,1,0), DATE(1900,1,1), OFFSET('IWP12'!BackgroundChecks, 9, 5, 1, 1))</f>
        <v>1</v>
      </c>
      <c r="F312" s="262" t="str">
        <f ca="1">IF(OFFSET('IWP12'!BackgroundChecks, 9, 6, 1, 1) = 0, "", OFFSET('IWP12'!BackgroundChecks, 9, 6, 1, 1))</f>
        <v/>
      </c>
      <c r="G312" s="254">
        <f ca="1">IF(OFFSET('IWP12'!BackgroundChecks, 9, 7, 1, 1)=DATE(1900,1,0), DATE(1900,1,1), OFFSET('IWP12'!BackgroundChecks, 9, 7, 1, 1))</f>
        <v>1</v>
      </c>
      <c r="H312" s="254">
        <f ca="1">IF(OFFSET('IWP12'!BackgroundChecks, 9, 8, 1, 1)=DATE(1900,1,0), DATE(1900,1,1), OFFSET('IWP12'!BackgroundChecks, 9, 8, 1, 1))</f>
        <v>1</v>
      </c>
      <c r="I312" s="262" t="str">
        <f ca="1">IF(OFFSET('IWP12'!BackgroundChecks, 9, 9, 1, 1) = 0, "", OFFSET('IWP12'!BackgroundChecks, 9, 9, 1, 1))</f>
        <v/>
      </c>
      <c r="J312" s="262" t="str">
        <f ca="1">IF(OFFSET('IWP12'!BackgroundChecks, 9, 10, 1, 1) = 0, "", OFFSET('IWP12'!BackgroundChecks, 9, 10, 1, 1))</f>
        <v/>
      </c>
      <c r="K312" s="262" t="str">
        <f ca="1">IF(OFFSET('IWP12'!BackgroundChecks, 9, 11, 1, 1) = 0, "", OFFSET('IWP12'!BackgroundChecks, 9, 11, 1, 1))</f>
        <v/>
      </c>
      <c r="L312" s="262" t="str">
        <f ca="1">IF(OFFSET('IWP12'!BackgroundChecks, 9, 12, 1, 1) = 0, "", OFFSET('IWP12'!BackgroundChecks, 9, 12, 1, 1))</f>
        <v/>
      </c>
      <c r="M312" s="262" t="str">
        <f ca="1">IF(OFFSET('IWP12'!BackgroundChecks, 9, 13, 1, 1) = 0, "", OFFSET('IWP12'!BackgroundChecks, 9, 13, 1, 1))</f>
        <v/>
      </c>
      <c r="N312" s="261"/>
    </row>
    <row r="313" spans="1:14" s="146" customFormat="1">
      <c r="A313" s="257" t="s">
        <v>510</v>
      </c>
      <c r="B313" s="262" t="str">
        <f ca="1">IF(OFFSET('IWP12'!BackgroundChecks, 10, 0, 1, 1) = 0, "", OFFSET('IWP12'!BackgroundChecks, 10, 0, 1, 1))</f>
        <v/>
      </c>
      <c r="C313" s="262" t="str">
        <f ca="1">IF(OFFSET('IWP12'!BackgroundChecks, 10, 2, 1, 1) = 0, "", OFFSET('IWP12'!BackgroundChecks, 10, 2, 1, 1))</f>
        <v/>
      </c>
      <c r="D313" s="262" t="str">
        <f ca="1">IF(OFFSET('IWP12'!BackgroundChecks, 10, 4, 1, 1) = 0, "", OFFSET('IWP12'!BackgroundChecks, 10, 4, 1, 1))</f>
        <v/>
      </c>
      <c r="E313" s="254">
        <f ca="1">IF(OFFSET('IWP12'!BackgroundChecks, 10, 5, 1, 1)=DATE(1900,1,0), DATE(1900,1,1), OFFSET('IWP12'!BackgroundChecks, 10, 5, 1, 1))</f>
        <v>1</v>
      </c>
      <c r="F313" s="262" t="str">
        <f ca="1">IF(OFFSET('IWP12'!BackgroundChecks, 10, 6, 1, 1) = 0, "", OFFSET('IWP12'!BackgroundChecks, 10, 6, 1, 1))</f>
        <v/>
      </c>
      <c r="G313" s="254">
        <f ca="1">IF(OFFSET('IWP12'!BackgroundChecks, 10, 7, 1, 1)=DATE(1900,1,0), DATE(1900,1,1), OFFSET('IWP12'!BackgroundChecks, 10, 7, 1, 1))</f>
        <v>1</v>
      </c>
      <c r="H313" s="254">
        <f ca="1">IF(OFFSET('IWP12'!BackgroundChecks, 10, 8, 1, 1)=DATE(1900,1,0), DATE(1900,1,1), OFFSET('IWP12'!BackgroundChecks, 10, 8, 1, 1))</f>
        <v>1</v>
      </c>
      <c r="I313" s="262" t="str">
        <f ca="1">IF(OFFSET('IWP12'!BackgroundChecks, 10, 9, 1, 1) = 0, "", OFFSET('IWP12'!BackgroundChecks, 10, 9, 1, 1))</f>
        <v/>
      </c>
      <c r="J313" s="262" t="str">
        <f ca="1">IF(OFFSET('IWP12'!BackgroundChecks, 10, 10, 1, 1) = 0, "", OFFSET('IWP12'!BackgroundChecks, 10, 10, 1, 1))</f>
        <v/>
      </c>
      <c r="K313" s="262" t="str">
        <f ca="1">IF(OFFSET('IWP12'!BackgroundChecks, 10, 11, 1, 1) = 0, "", OFFSET('IWP12'!BackgroundChecks, 10, 11, 1, 1))</f>
        <v/>
      </c>
      <c r="L313" s="262" t="str">
        <f ca="1">IF(OFFSET('IWP12'!BackgroundChecks, 10, 12, 1, 1) = 0, "", OFFSET('IWP12'!BackgroundChecks, 10, 12, 1, 1))</f>
        <v/>
      </c>
      <c r="M313" s="262" t="str">
        <f ca="1">IF(OFFSET('IWP12'!BackgroundChecks, 10, 13, 1, 1) = 0, "", OFFSET('IWP12'!BackgroundChecks, 10, 13, 1, 1))</f>
        <v/>
      </c>
      <c r="N313" s="261"/>
    </row>
    <row r="314" spans="1:14" s="146" customFormat="1">
      <c r="A314" s="257" t="s">
        <v>510</v>
      </c>
      <c r="B314" s="262" t="str">
        <f ca="1">IF(OFFSET('IWP12'!BackgroundChecks, 11, 0, 1, 1) = 0, "", OFFSET('IWP12'!BackgroundChecks, 11, 0, 1, 1))</f>
        <v/>
      </c>
      <c r="C314" s="262" t="str">
        <f ca="1">IF(OFFSET('IWP12'!BackgroundChecks, 11, 2, 1, 1) = 0, "", OFFSET('IWP12'!BackgroundChecks, 11, 2, 1, 1))</f>
        <v/>
      </c>
      <c r="D314" s="262" t="str">
        <f ca="1">IF(OFFSET('IWP12'!BackgroundChecks, 11, 4, 1, 1) = 0, "", OFFSET('IWP12'!BackgroundChecks, 11, 4, 1, 1))</f>
        <v/>
      </c>
      <c r="E314" s="254">
        <f ca="1">IF(OFFSET('IWP12'!BackgroundChecks, 11, 5, 1, 1)=DATE(1900,1,0), DATE(1900,1,1), OFFSET('IWP12'!BackgroundChecks, 11, 5, 1, 1))</f>
        <v>1</v>
      </c>
      <c r="F314" s="262" t="str">
        <f ca="1">IF(OFFSET('IWP12'!BackgroundChecks, 11, 6, 1, 1) = 0, "", OFFSET('IWP12'!BackgroundChecks, 11, 6, 1, 1))</f>
        <v/>
      </c>
      <c r="G314" s="254">
        <f ca="1">IF(OFFSET('IWP12'!BackgroundChecks, 11, 7, 1, 1)=DATE(1900,1,0), DATE(1900,1,1), OFFSET('IWP12'!BackgroundChecks, 11, 7, 1, 1))</f>
        <v>1</v>
      </c>
      <c r="H314" s="254">
        <f ca="1">IF(OFFSET('IWP12'!BackgroundChecks, 11, 8, 1, 1)=DATE(1900,1,0), DATE(1900,1,1), OFFSET('IWP12'!BackgroundChecks, 11, 8, 1, 1))</f>
        <v>1</v>
      </c>
      <c r="I314" s="262" t="str">
        <f ca="1">IF(OFFSET('IWP12'!BackgroundChecks, 11, 9, 1, 1) = 0, "", OFFSET('IWP12'!BackgroundChecks, 11, 9, 1, 1))</f>
        <v/>
      </c>
      <c r="J314" s="262" t="str">
        <f ca="1">IF(OFFSET('IWP12'!BackgroundChecks, 11, 10, 1, 1) = 0, "", OFFSET('IWP12'!BackgroundChecks, 11, 10, 1, 1))</f>
        <v/>
      </c>
      <c r="K314" s="262" t="str">
        <f ca="1">IF(OFFSET('IWP12'!BackgroundChecks, 11, 11, 1, 1) = 0, "", OFFSET('IWP12'!BackgroundChecks, 11, 11, 1, 1))</f>
        <v/>
      </c>
      <c r="L314" s="262" t="str">
        <f ca="1">IF(OFFSET('IWP12'!BackgroundChecks, 11, 12, 1, 1) = 0, "", OFFSET('IWP12'!BackgroundChecks, 11, 12, 1, 1))</f>
        <v/>
      </c>
      <c r="M314" s="262" t="str">
        <f ca="1">IF(OFFSET('IWP12'!BackgroundChecks, 11, 13, 1, 1) = 0, "", OFFSET('IWP12'!BackgroundChecks, 11, 13, 1, 1))</f>
        <v/>
      </c>
      <c r="N314" s="261"/>
    </row>
    <row r="315" spans="1:14" s="146" customFormat="1">
      <c r="A315" s="257" t="s">
        <v>510</v>
      </c>
      <c r="B315" s="262" t="str">
        <f ca="1">IF(OFFSET('IWP12'!BackgroundChecks, 12, 0, 1, 1) = 0, "", OFFSET('IWP12'!BackgroundChecks, 12, 0, 1, 1))</f>
        <v/>
      </c>
      <c r="C315" s="262" t="str">
        <f ca="1">IF(OFFSET('IWP12'!BackgroundChecks, 12, 2, 1, 1) = 0, "", OFFSET('IWP12'!BackgroundChecks, 12, 2, 1, 1))</f>
        <v/>
      </c>
      <c r="D315" s="262" t="str">
        <f ca="1">IF(OFFSET('IWP12'!BackgroundChecks, 12, 4, 1, 1) = 0, "", OFFSET('IWP12'!BackgroundChecks, 12, 4, 1, 1))</f>
        <v/>
      </c>
      <c r="E315" s="254">
        <f ca="1">IF(OFFSET('IWP12'!BackgroundChecks, 12, 5, 1, 1)=DATE(1900,1,0), DATE(1900,1,1), OFFSET('IWP12'!BackgroundChecks, 12, 5, 1, 1))</f>
        <v>1</v>
      </c>
      <c r="F315" s="262" t="str">
        <f ca="1">IF(OFFSET('IWP12'!BackgroundChecks, 12, 6, 1, 1) = 0, "", OFFSET('IWP12'!BackgroundChecks, 12, 6, 1, 1))</f>
        <v/>
      </c>
      <c r="G315" s="254">
        <f ca="1">IF(OFFSET('IWP12'!BackgroundChecks, 12, 7, 1, 1)=DATE(1900,1,0), DATE(1900,1,1), OFFSET('IWP12'!BackgroundChecks, 12, 7, 1, 1))</f>
        <v>1</v>
      </c>
      <c r="H315" s="254">
        <f ca="1">IF(OFFSET('IWP12'!BackgroundChecks, 12, 8, 1, 1)=DATE(1900,1,0), DATE(1900,1,1), OFFSET('IWP12'!BackgroundChecks, 12, 8, 1, 1))</f>
        <v>1</v>
      </c>
      <c r="I315" s="262" t="str">
        <f ca="1">IF(OFFSET('IWP12'!BackgroundChecks, 12, 9, 1, 1) = 0, "", OFFSET('IWP12'!BackgroundChecks, 12, 9, 1, 1))</f>
        <v/>
      </c>
      <c r="J315" s="262" t="str">
        <f ca="1">IF(OFFSET('IWP12'!BackgroundChecks, 12, 10, 1, 1) = 0, "", OFFSET('IWP12'!BackgroundChecks, 12, 10, 1, 1))</f>
        <v/>
      </c>
      <c r="K315" s="262" t="str">
        <f ca="1">IF(OFFSET('IWP12'!BackgroundChecks, 12, 11, 1, 1) = 0, "", OFFSET('IWP12'!BackgroundChecks, 12, 11, 1, 1))</f>
        <v/>
      </c>
      <c r="L315" s="262" t="str">
        <f ca="1">IF(OFFSET('IWP12'!BackgroundChecks, 12, 12, 1, 1) = 0, "", OFFSET('IWP12'!BackgroundChecks, 12, 12, 1, 1))</f>
        <v/>
      </c>
      <c r="M315" s="262" t="str">
        <f ca="1">IF(OFFSET('IWP12'!BackgroundChecks, 12, 13, 1, 1) = 0, "", OFFSET('IWP12'!BackgroundChecks, 12, 13, 1, 1))</f>
        <v/>
      </c>
      <c r="N315" s="261"/>
    </row>
    <row r="316" spans="1:14" s="146" customFormat="1">
      <c r="A316" s="257" t="s">
        <v>510</v>
      </c>
      <c r="B316" s="262" t="str">
        <f ca="1">IF(OFFSET('IWP12'!BackgroundChecks, 13, 0, 1, 1) = 0, "", OFFSET('IWP12'!BackgroundChecks, 13, 0, 1, 1))</f>
        <v/>
      </c>
      <c r="C316" s="262" t="str">
        <f ca="1">IF(OFFSET('IWP12'!BackgroundChecks, 13, 2, 1, 1) = 0, "", OFFSET('IWP12'!BackgroundChecks, 13, 2, 1, 1))</f>
        <v/>
      </c>
      <c r="D316" s="262" t="str">
        <f ca="1">IF(OFFSET('IWP12'!BackgroundChecks, 13, 4, 1, 1) = 0, "", OFFSET('IWP12'!BackgroundChecks, 13, 4, 1, 1))</f>
        <v/>
      </c>
      <c r="E316" s="254">
        <f ca="1">IF(OFFSET('IWP12'!BackgroundChecks, 13, 5, 1, 1)=DATE(1900,1,0), DATE(1900,1,1), OFFSET('IWP12'!BackgroundChecks, 13, 5, 1, 1))</f>
        <v>1</v>
      </c>
      <c r="F316" s="262" t="str">
        <f ca="1">IF(OFFSET('IWP12'!BackgroundChecks, 13, 6, 1, 1) = 0, "", OFFSET('IWP12'!BackgroundChecks, 13, 6, 1, 1))</f>
        <v/>
      </c>
      <c r="G316" s="254">
        <f ca="1">IF(OFFSET('IWP12'!BackgroundChecks, 13, 7, 1, 1)=DATE(1900,1,0), DATE(1900,1,1), OFFSET('IWP12'!BackgroundChecks, 13, 7, 1, 1))</f>
        <v>1</v>
      </c>
      <c r="H316" s="254">
        <f ca="1">IF(OFFSET('IWP12'!BackgroundChecks, 13, 8, 1, 1)=DATE(1900,1,0), DATE(1900,1,1), OFFSET('IWP12'!BackgroundChecks, 13, 8, 1, 1))</f>
        <v>1</v>
      </c>
      <c r="I316" s="262" t="str">
        <f ca="1">IF(OFFSET('IWP12'!BackgroundChecks, 13, 9, 1, 1) = 0, "", OFFSET('IWP12'!BackgroundChecks, 13, 9, 1, 1))</f>
        <v/>
      </c>
      <c r="J316" s="262" t="str">
        <f ca="1">IF(OFFSET('IWP12'!BackgroundChecks, 13, 10, 1, 1) = 0, "", OFFSET('IWP12'!BackgroundChecks, 13, 10, 1, 1))</f>
        <v/>
      </c>
      <c r="K316" s="262" t="str">
        <f ca="1">IF(OFFSET('IWP12'!BackgroundChecks, 13, 11, 1, 1) = 0, "", OFFSET('IWP12'!BackgroundChecks, 13, 11, 1, 1))</f>
        <v/>
      </c>
      <c r="L316" s="262" t="str">
        <f ca="1">IF(OFFSET('IWP12'!BackgroundChecks, 13, 12, 1, 1) = 0, "", OFFSET('IWP12'!BackgroundChecks, 13, 12, 1, 1))</f>
        <v/>
      </c>
      <c r="M316" s="262" t="str">
        <f ca="1">IF(OFFSET('IWP12'!BackgroundChecks, 13, 13, 1, 1) = 0, "", OFFSET('IWP12'!BackgroundChecks, 13, 13, 1, 1))</f>
        <v/>
      </c>
      <c r="N316" s="261"/>
    </row>
    <row r="317" spans="1:14" s="146" customFormat="1">
      <c r="A317" s="257" t="s">
        <v>510</v>
      </c>
      <c r="B317" s="262" t="str">
        <f ca="1">IF(OFFSET('IWP12'!BackgroundChecks, 14, 0, 1, 1) = 0, "", OFFSET('IWP12'!BackgroundChecks, 14, 0, 1, 1))</f>
        <v/>
      </c>
      <c r="C317" s="262" t="str">
        <f ca="1">IF(OFFSET('IWP12'!BackgroundChecks, 14, 2, 1, 1) = 0, "", OFFSET('IWP12'!BackgroundChecks, 14, 2, 1, 1))</f>
        <v/>
      </c>
      <c r="D317" s="262" t="str">
        <f ca="1">IF(OFFSET('IWP12'!BackgroundChecks, 14, 4, 1, 1) = 0, "", OFFSET('IWP12'!BackgroundChecks, 14, 4, 1, 1))</f>
        <v/>
      </c>
      <c r="E317" s="254">
        <f ca="1">IF(OFFSET('IWP12'!BackgroundChecks, 14, 5, 1, 1)=DATE(1900,1,0), DATE(1900,1,1), OFFSET('IWP12'!BackgroundChecks, 14, 5, 1, 1))</f>
        <v>1</v>
      </c>
      <c r="F317" s="262" t="str">
        <f ca="1">IF(OFFSET('IWP12'!BackgroundChecks, 14, 6, 1, 1) = 0, "", OFFSET('IWP12'!BackgroundChecks, 14, 6, 1, 1))</f>
        <v/>
      </c>
      <c r="G317" s="254">
        <f ca="1">IF(OFFSET('IWP12'!BackgroundChecks, 14, 7, 1, 1)=DATE(1900,1,0), DATE(1900,1,1), OFFSET('IWP12'!BackgroundChecks, 14, 7, 1, 1))</f>
        <v>1</v>
      </c>
      <c r="H317" s="254">
        <f ca="1">IF(OFFSET('IWP12'!BackgroundChecks, 14, 8, 1, 1)=DATE(1900,1,0), DATE(1900,1,1), OFFSET('IWP12'!BackgroundChecks, 14, 8, 1, 1))</f>
        <v>1</v>
      </c>
      <c r="I317" s="262" t="str">
        <f ca="1">IF(OFFSET('IWP12'!BackgroundChecks, 14, 9, 1, 1) = 0, "", OFFSET('IWP12'!BackgroundChecks, 14, 9, 1, 1))</f>
        <v/>
      </c>
      <c r="J317" s="262" t="str">
        <f ca="1">IF(OFFSET('IWP12'!BackgroundChecks, 14, 10, 1, 1) = 0, "", OFFSET('IWP12'!BackgroundChecks, 14, 10, 1, 1))</f>
        <v/>
      </c>
      <c r="K317" s="262" t="str">
        <f ca="1">IF(OFFSET('IWP12'!BackgroundChecks, 14, 11, 1, 1) = 0, "", OFFSET('IWP12'!BackgroundChecks, 14, 11, 1, 1))</f>
        <v/>
      </c>
      <c r="L317" s="262" t="str">
        <f ca="1">IF(OFFSET('IWP12'!BackgroundChecks, 14, 12, 1, 1) = 0, "", OFFSET('IWP12'!BackgroundChecks, 14, 12, 1, 1))</f>
        <v/>
      </c>
      <c r="M317" s="262" t="str">
        <f ca="1">IF(OFFSET('IWP12'!BackgroundChecks, 14, 13, 1, 1) = 0, "", OFFSET('IWP12'!BackgroundChecks, 14, 13, 1, 1))</f>
        <v/>
      </c>
      <c r="N317" s="261"/>
    </row>
    <row r="318" spans="1:14" s="146" customFormat="1">
      <c r="A318" s="257" t="s">
        <v>510</v>
      </c>
      <c r="B318" s="262" t="str">
        <f ca="1">IF(OFFSET('IWP12'!BackgroundChecks, 15, 0, 1, 1) = 0, "", OFFSET('IWP12'!BackgroundChecks, 15, 0, 1, 1))</f>
        <v/>
      </c>
      <c r="C318" s="262" t="str">
        <f ca="1">IF(OFFSET('IWP12'!BackgroundChecks, 15, 2, 1, 1) = 0, "", OFFSET('IWP12'!BackgroundChecks, 15, 2, 1, 1))</f>
        <v/>
      </c>
      <c r="D318" s="262" t="str">
        <f ca="1">IF(OFFSET('IWP12'!BackgroundChecks, 15, 4, 1, 1) = 0, "", OFFSET('IWP12'!BackgroundChecks, 15, 4, 1, 1))</f>
        <v/>
      </c>
      <c r="E318" s="254">
        <f ca="1">IF(OFFSET('IWP12'!BackgroundChecks, 15, 5, 1, 1)=DATE(1900,1,0), DATE(1900,1,1), OFFSET('IWP12'!BackgroundChecks, 15, 5, 1, 1))</f>
        <v>1</v>
      </c>
      <c r="F318" s="262" t="str">
        <f ca="1">IF(OFFSET('IWP12'!BackgroundChecks, 15, 6, 1, 1) = 0, "", OFFSET('IWP12'!BackgroundChecks, 15, 6, 1, 1))</f>
        <v/>
      </c>
      <c r="G318" s="254">
        <f ca="1">IF(OFFSET('IWP12'!BackgroundChecks, 15, 7, 1, 1)=DATE(1900,1,0), DATE(1900,1,1), OFFSET('IWP12'!BackgroundChecks, 15, 7, 1, 1))</f>
        <v>1</v>
      </c>
      <c r="H318" s="254">
        <f ca="1">IF(OFFSET('IWP12'!BackgroundChecks, 15, 8, 1, 1)=DATE(1900,1,0), DATE(1900,1,1), OFFSET('IWP12'!BackgroundChecks, 15, 8, 1, 1))</f>
        <v>1</v>
      </c>
      <c r="I318" s="262" t="str">
        <f ca="1">IF(OFFSET('IWP12'!BackgroundChecks, 15, 9, 1, 1) = 0, "", OFFSET('IWP12'!BackgroundChecks, 15, 9, 1, 1))</f>
        <v/>
      </c>
      <c r="J318" s="262" t="str">
        <f ca="1">IF(OFFSET('IWP12'!BackgroundChecks, 15, 10, 1, 1) = 0, "", OFFSET('IWP12'!BackgroundChecks, 15, 10, 1, 1))</f>
        <v/>
      </c>
      <c r="K318" s="262" t="str">
        <f ca="1">IF(OFFSET('IWP12'!BackgroundChecks, 15, 11, 1, 1) = 0, "", OFFSET('IWP12'!BackgroundChecks, 15, 11, 1, 1))</f>
        <v/>
      </c>
      <c r="L318" s="262" t="str">
        <f ca="1">IF(OFFSET('IWP12'!BackgroundChecks, 15, 12, 1, 1) = 0, "", OFFSET('IWP12'!BackgroundChecks, 15, 12, 1, 1))</f>
        <v/>
      </c>
      <c r="M318" s="262" t="str">
        <f ca="1">IF(OFFSET('IWP12'!BackgroundChecks, 15, 13, 1, 1) = 0, "", OFFSET('IWP12'!BackgroundChecks, 15, 13, 1, 1))</f>
        <v/>
      </c>
      <c r="N318" s="261"/>
    </row>
    <row r="319" spans="1:14" s="146" customFormat="1">
      <c r="A319" s="257" t="s">
        <v>510</v>
      </c>
      <c r="B319" s="262" t="str">
        <f ca="1">IF(OFFSET('IWP12'!BackgroundChecks, 16, 0, 1, 1) = 0, "", OFFSET('IWP12'!BackgroundChecks, 16, 0, 1, 1))</f>
        <v/>
      </c>
      <c r="C319" s="262" t="str">
        <f ca="1">IF(OFFSET('IWP12'!BackgroundChecks, 16, 2, 1, 1) = 0, "", OFFSET('IWP12'!BackgroundChecks, 16, 2, 1, 1))</f>
        <v/>
      </c>
      <c r="D319" s="262" t="str">
        <f ca="1">IF(OFFSET('IWP12'!BackgroundChecks, 16, 4, 1, 1) = 0, "", OFFSET('IWP12'!BackgroundChecks, 16, 4, 1, 1))</f>
        <v/>
      </c>
      <c r="E319" s="254">
        <f ca="1">IF(OFFSET('IWP12'!BackgroundChecks, 16, 5, 1, 1)=DATE(1900,1,0), DATE(1900,1,1), OFFSET('IWP12'!BackgroundChecks, 16, 5, 1, 1))</f>
        <v>1</v>
      </c>
      <c r="F319" s="262" t="str">
        <f ca="1">IF(OFFSET('IWP12'!BackgroundChecks, 16, 6, 1, 1) = 0, "", OFFSET('IWP12'!BackgroundChecks, 16, 6, 1, 1))</f>
        <v/>
      </c>
      <c r="G319" s="254">
        <f ca="1">IF(OFFSET('IWP12'!BackgroundChecks, 16, 7, 1, 1)=DATE(1900,1,0), DATE(1900,1,1), OFFSET('IWP12'!BackgroundChecks, 16, 7, 1, 1))</f>
        <v>1</v>
      </c>
      <c r="H319" s="254">
        <f ca="1">IF(OFFSET('IWP12'!BackgroundChecks, 16, 8, 1, 1)=DATE(1900,1,0), DATE(1900,1,1), OFFSET('IWP12'!BackgroundChecks, 16, 8, 1, 1))</f>
        <v>1</v>
      </c>
      <c r="I319" s="262" t="str">
        <f ca="1">IF(OFFSET('IWP12'!BackgroundChecks, 16, 9, 1, 1) = 0, "", OFFSET('IWP12'!BackgroundChecks, 16, 9, 1, 1))</f>
        <v/>
      </c>
      <c r="J319" s="262" t="str">
        <f ca="1">IF(OFFSET('IWP12'!BackgroundChecks, 16, 10, 1, 1) = 0, "", OFFSET('IWP12'!BackgroundChecks, 16, 10, 1, 1))</f>
        <v/>
      </c>
      <c r="K319" s="262" t="str">
        <f ca="1">IF(OFFSET('IWP12'!BackgroundChecks, 16, 11, 1, 1) = 0, "", OFFSET('IWP12'!BackgroundChecks, 16, 11, 1, 1))</f>
        <v/>
      </c>
      <c r="L319" s="262" t="str">
        <f ca="1">IF(OFFSET('IWP12'!BackgroundChecks, 16, 12, 1, 1) = 0, "", OFFSET('IWP12'!BackgroundChecks, 16, 12, 1, 1))</f>
        <v/>
      </c>
      <c r="M319" s="262" t="str">
        <f ca="1">IF(OFFSET('IWP12'!BackgroundChecks, 16, 13, 1, 1) = 0, "", OFFSET('IWP12'!BackgroundChecks, 16, 13, 1, 1))</f>
        <v/>
      </c>
      <c r="N319" s="261"/>
    </row>
    <row r="320" spans="1:14" s="146" customFormat="1">
      <c r="A320" s="257" t="s">
        <v>510</v>
      </c>
      <c r="B320" s="262" t="str">
        <f ca="1">IF(OFFSET('IWP12'!BackgroundChecks, 17, 0, 1, 1) = 0, "", OFFSET('IWP12'!BackgroundChecks, 17, 0, 1, 1))</f>
        <v/>
      </c>
      <c r="C320" s="262" t="str">
        <f ca="1">IF(OFFSET('IWP12'!BackgroundChecks, 17, 2, 1, 1) = 0, "", OFFSET('IWP12'!BackgroundChecks, 17, 2, 1, 1))</f>
        <v/>
      </c>
      <c r="D320" s="262" t="str">
        <f ca="1">IF(OFFSET('IWP12'!BackgroundChecks, 17, 4, 1, 1) = 0, "", OFFSET('IWP12'!BackgroundChecks, 17, 4, 1, 1))</f>
        <v/>
      </c>
      <c r="E320" s="254">
        <f ca="1">IF(OFFSET('IWP12'!BackgroundChecks, 17, 5, 1, 1)=DATE(1900,1,0), DATE(1900,1,1), OFFSET('IWP12'!BackgroundChecks, 17, 5, 1, 1))</f>
        <v>1</v>
      </c>
      <c r="F320" s="262" t="str">
        <f ca="1">IF(OFFSET('IWP12'!BackgroundChecks, 17, 6, 1, 1) = 0, "", OFFSET('IWP12'!BackgroundChecks, 17, 6, 1, 1))</f>
        <v/>
      </c>
      <c r="G320" s="254">
        <f ca="1">IF(OFFSET('IWP12'!BackgroundChecks, 17, 7, 1, 1)=DATE(1900,1,0), DATE(1900,1,1), OFFSET('IWP12'!BackgroundChecks, 17, 7, 1, 1))</f>
        <v>1</v>
      </c>
      <c r="H320" s="254">
        <f ca="1">IF(OFFSET('IWP12'!BackgroundChecks, 17, 8, 1, 1)=DATE(1900,1,0), DATE(1900,1,1), OFFSET('IWP12'!BackgroundChecks, 17, 8, 1, 1))</f>
        <v>1</v>
      </c>
      <c r="I320" s="262" t="str">
        <f ca="1">IF(OFFSET('IWP12'!BackgroundChecks, 17, 9, 1, 1) = 0, "", OFFSET('IWP12'!BackgroundChecks, 17, 9, 1, 1))</f>
        <v/>
      </c>
      <c r="J320" s="262" t="str">
        <f ca="1">IF(OFFSET('IWP12'!BackgroundChecks, 17, 10, 1, 1) = 0, "", OFFSET('IWP12'!BackgroundChecks, 17, 10, 1, 1))</f>
        <v/>
      </c>
      <c r="K320" s="262" t="str">
        <f ca="1">IF(OFFSET('IWP12'!BackgroundChecks, 17, 11, 1, 1) = 0, "", OFFSET('IWP12'!BackgroundChecks, 17, 11, 1, 1))</f>
        <v/>
      </c>
      <c r="L320" s="262" t="str">
        <f ca="1">IF(OFFSET('IWP12'!BackgroundChecks, 17, 12, 1, 1) = 0, "", OFFSET('IWP12'!BackgroundChecks, 17, 12, 1, 1))</f>
        <v/>
      </c>
      <c r="M320" s="262" t="str">
        <f ca="1">IF(OFFSET('IWP12'!BackgroundChecks, 17, 13, 1, 1) = 0, "", OFFSET('IWP12'!BackgroundChecks, 17, 13, 1, 1))</f>
        <v/>
      </c>
      <c r="N320" s="261"/>
    </row>
    <row r="321" spans="1:14" s="146" customFormat="1">
      <c r="A321" s="257" t="s">
        <v>510</v>
      </c>
      <c r="B321" s="262" t="str">
        <f ca="1">IF(OFFSET('IWP12'!BackgroundChecks, 18, 0, 1, 1) = 0, "", OFFSET('IWP12'!BackgroundChecks, 18, 0, 1, 1))</f>
        <v/>
      </c>
      <c r="C321" s="262" t="str">
        <f ca="1">IF(OFFSET('IWP12'!BackgroundChecks, 18, 2, 1, 1) = 0, "", OFFSET('IWP12'!BackgroundChecks, 18, 2, 1, 1))</f>
        <v/>
      </c>
      <c r="D321" s="262" t="str">
        <f ca="1">IF(OFFSET('IWP12'!BackgroundChecks, 18, 4, 1, 1) = 0, "", OFFSET('IWP12'!BackgroundChecks, 18, 4, 1, 1))</f>
        <v/>
      </c>
      <c r="E321" s="254">
        <f ca="1">IF(OFFSET('IWP12'!BackgroundChecks, 18, 5, 1, 1)=DATE(1900,1,0), DATE(1900,1,1), OFFSET('IWP12'!BackgroundChecks, 18, 5, 1, 1))</f>
        <v>1</v>
      </c>
      <c r="F321" s="262" t="str">
        <f ca="1">IF(OFFSET('IWP12'!BackgroundChecks, 18, 6, 1, 1) = 0, "", OFFSET('IWP12'!BackgroundChecks, 18, 6, 1, 1))</f>
        <v/>
      </c>
      <c r="G321" s="254">
        <f ca="1">IF(OFFSET('IWP12'!BackgroundChecks, 18, 7, 1, 1)=DATE(1900,1,0), DATE(1900,1,1), OFFSET('IWP12'!BackgroundChecks, 18, 7, 1, 1))</f>
        <v>1</v>
      </c>
      <c r="H321" s="254">
        <f ca="1">IF(OFFSET('IWP12'!BackgroundChecks, 18, 8, 1, 1)=DATE(1900,1,0), DATE(1900,1,1), OFFSET('IWP12'!BackgroundChecks, 18, 8, 1, 1))</f>
        <v>1</v>
      </c>
      <c r="I321" s="262" t="str">
        <f ca="1">IF(OFFSET('IWP12'!BackgroundChecks, 18, 9, 1, 1) = 0, "", OFFSET('IWP12'!BackgroundChecks, 18, 9, 1, 1))</f>
        <v/>
      </c>
      <c r="J321" s="262" t="str">
        <f ca="1">IF(OFFSET('IWP12'!BackgroundChecks, 18, 10, 1, 1) = 0, "", OFFSET('IWP12'!BackgroundChecks, 18, 10, 1, 1))</f>
        <v/>
      </c>
      <c r="K321" s="262" t="str">
        <f ca="1">IF(OFFSET('IWP12'!BackgroundChecks, 18, 11, 1, 1) = 0, "", OFFSET('IWP12'!BackgroundChecks, 18, 11, 1, 1))</f>
        <v/>
      </c>
      <c r="L321" s="262" t="str">
        <f ca="1">IF(OFFSET('IWP12'!BackgroundChecks, 18, 12, 1, 1) = 0, "", OFFSET('IWP12'!BackgroundChecks, 18, 12, 1, 1))</f>
        <v/>
      </c>
      <c r="M321" s="262" t="str">
        <f ca="1">IF(OFFSET('IWP12'!BackgroundChecks, 18, 13, 1, 1) = 0, "", OFFSET('IWP12'!BackgroundChecks, 18, 13, 1, 1))</f>
        <v/>
      </c>
      <c r="N321" s="261"/>
    </row>
    <row r="322" spans="1:14" s="146" customFormat="1">
      <c r="A322" s="257" t="s">
        <v>510</v>
      </c>
      <c r="B322" s="262" t="str">
        <f ca="1">IF(OFFSET('IWP12'!BackgroundChecks, 19, 0, 1, 1) = 0, "", OFFSET('IWP12'!BackgroundChecks, 19, 0, 1, 1))</f>
        <v/>
      </c>
      <c r="C322" s="262" t="str">
        <f ca="1">IF(OFFSET('IWP12'!BackgroundChecks, 19, 2, 1, 1) = 0, "", OFFSET('IWP12'!BackgroundChecks, 19, 2, 1, 1))</f>
        <v/>
      </c>
      <c r="D322" s="262" t="str">
        <f ca="1">IF(OFFSET('IWP12'!BackgroundChecks, 19, 4, 1, 1) = 0, "", OFFSET('IWP12'!BackgroundChecks, 19, 4, 1, 1))</f>
        <v/>
      </c>
      <c r="E322" s="254">
        <f ca="1">IF(OFFSET('IWP12'!BackgroundChecks, 19, 5, 1, 1)=DATE(1900,1,0), DATE(1900,1,1), OFFSET('IWP12'!BackgroundChecks, 19, 5, 1, 1))</f>
        <v>1</v>
      </c>
      <c r="F322" s="262" t="str">
        <f ca="1">IF(OFFSET('IWP12'!BackgroundChecks, 19, 6, 1, 1) = 0, "", OFFSET('IWP12'!BackgroundChecks, 19, 6, 1, 1))</f>
        <v/>
      </c>
      <c r="G322" s="254">
        <f ca="1">IF(OFFSET('IWP12'!BackgroundChecks, 19, 7, 1, 1)=DATE(1900,1,0), DATE(1900,1,1), OFFSET('IWP12'!BackgroundChecks, 19, 7, 1, 1))</f>
        <v>1</v>
      </c>
      <c r="H322" s="254">
        <f ca="1">IF(OFFSET('IWP12'!BackgroundChecks, 19, 8, 1, 1)=DATE(1900,1,0), DATE(1900,1,1), OFFSET('IWP12'!BackgroundChecks, 19, 8, 1, 1))</f>
        <v>1</v>
      </c>
      <c r="I322" s="262" t="str">
        <f ca="1">IF(OFFSET('IWP12'!BackgroundChecks, 19, 9, 1, 1) = 0, "", OFFSET('IWP12'!BackgroundChecks, 19, 9, 1, 1))</f>
        <v/>
      </c>
      <c r="J322" s="262" t="str">
        <f ca="1">IF(OFFSET('IWP12'!BackgroundChecks, 19, 10, 1, 1) = 0, "", OFFSET('IWP12'!BackgroundChecks, 19, 10, 1, 1))</f>
        <v/>
      </c>
      <c r="K322" s="262" t="str">
        <f ca="1">IF(OFFSET('IWP12'!BackgroundChecks, 19, 11, 1, 1) = 0, "", OFFSET('IWP12'!BackgroundChecks, 19, 11, 1, 1))</f>
        <v/>
      </c>
      <c r="L322" s="262" t="str">
        <f ca="1">IF(OFFSET('IWP12'!BackgroundChecks, 19, 12, 1, 1) = 0, "", OFFSET('IWP12'!BackgroundChecks, 19, 12, 1, 1))</f>
        <v/>
      </c>
      <c r="M322" s="262" t="str">
        <f ca="1">IF(OFFSET('IWP12'!BackgroundChecks, 19, 13, 1, 1) = 0, "", OFFSET('IWP12'!BackgroundChecks, 19, 13, 1, 1))</f>
        <v/>
      </c>
      <c r="N322" s="261"/>
    </row>
    <row r="323" spans="1:14" s="146" customFormat="1">
      <c r="A323" s="257" t="s">
        <v>511</v>
      </c>
      <c r="B323" s="262" t="str">
        <f ca="1">IF(OFFSET('IWP13'!BackgroundChecks, 0, 0, 1, 1) = 0, "", OFFSET('IWP13'!BackgroundChecks, 0, 0, 1, 1))</f>
        <v/>
      </c>
      <c r="C323" s="262" t="str">
        <f ca="1">IF(OFFSET('IWP13'!BackgroundChecks, 0, 2, 1, 1) = 0, "", OFFSET('IWP13'!BackgroundChecks, 0, 2, 1, 1))</f>
        <v/>
      </c>
      <c r="D323" s="262" t="str">
        <f ca="1">IF(OFFSET('IWP13'!BackgroundChecks, 0, 4, 1, 1) = 0, "", OFFSET('IWP13'!BackgroundChecks, 0, 4, 1, 1))</f>
        <v/>
      </c>
      <c r="E323" s="254">
        <f ca="1">IF(OFFSET('IWP13'!BackgroundChecks, 0, 5, 1, 1)=DATE(1900,1,0), DATE(1900,1,1), OFFSET('IWP13'!BackgroundChecks, 0, 5, 1, 1))</f>
        <v>1</v>
      </c>
      <c r="F323" s="262" t="str">
        <f ca="1">IF(OFFSET('IWP13'!BackgroundChecks, 0, 6, 1, 1) = 0, "", OFFSET('IWP13'!BackgroundChecks, 0, 6, 1, 1))</f>
        <v/>
      </c>
      <c r="G323" s="254">
        <f ca="1">IF(OFFSET('IWP13'!BackgroundChecks, 0, 7, 1, 1)=DATE(1900,1,0), DATE(1900,1,1), OFFSET('IWP13'!BackgroundChecks, 0, 7, 1, 1))</f>
        <v>1</v>
      </c>
      <c r="H323" s="254">
        <f ca="1">IF(OFFSET('IWP13'!BackgroundChecks, 0, 8, 1, 1)=DATE(1900,1,0), DATE(1900,1,1), OFFSET('IWP13'!BackgroundChecks, 0, 8, 1, 1))</f>
        <v>1</v>
      </c>
      <c r="I323" s="262" t="str">
        <f ca="1">IF(OFFSET('IWP13'!BackgroundChecks, 0, 9, 1, 1) = 0, "", OFFSET('IWP13'!BackgroundChecks, 0, 9, 1, 1))</f>
        <v/>
      </c>
      <c r="J323" s="262" t="str">
        <f ca="1">IF(OFFSET('IWP13'!BackgroundChecks, 0, 10, 1, 1) = 0, "", OFFSET('IWP13'!BackgroundChecks, 0, 10, 1, 1))</f>
        <v/>
      </c>
      <c r="K323" s="262" t="str">
        <f ca="1">IF(OFFSET('IWP13'!BackgroundChecks, 0, 11, 1, 1) = 0, "", OFFSET('IWP13'!BackgroundChecks, 0, 11, 1, 1))</f>
        <v/>
      </c>
      <c r="L323" s="262" t="str">
        <f ca="1">IF(OFFSET('IWP13'!BackgroundChecks, 0, 12, 1, 1) = 0, "", OFFSET('IWP13'!BackgroundChecks, 0, 12, 1, 1))</f>
        <v/>
      </c>
      <c r="M323" s="262" t="str">
        <f ca="1">IF(OFFSET('IWP13'!BackgroundChecks, 0, 13, 1, 1) = 0, "", OFFSET('IWP13'!BackgroundChecks, 0, 13, 1, 1))</f>
        <v/>
      </c>
      <c r="N323" s="261"/>
    </row>
    <row r="324" spans="1:14" s="146" customFormat="1">
      <c r="A324" s="257" t="s">
        <v>511</v>
      </c>
      <c r="B324" s="262" t="str">
        <f ca="1">IF(OFFSET('IWP13'!BackgroundChecks, 1, 0, 1, 1) = 0, "", OFFSET('IWP13'!BackgroundChecks, 1, 0, 1, 1))</f>
        <v/>
      </c>
      <c r="C324" s="262" t="str">
        <f ca="1">IF(OFFSET('IWP13'!BackgroundChecks, 1, 2, 1, 1) = 0, "", OFFSET('IWP13'!BackgroundChecks, 1, 2, 1, 1))</f>
        <v/>
      </c>
      <c r="D324" s="262" t="str">
        <f ca="1">IF(OFFSET('IWP13'!BackgroundChecks, 1, 4, 1, 1) = 0, "", OFFSET('IWP13'!BackgroundChecks, 1, 4, 1, 1))</f>
        <v/>
      </c>
      <c r="E324" s="254">
        <f ca="1">IF(OFFSET('IWP13'!BackgroundChecks, 1, 5, 1, 1)=DATE(1900,1,0), DATE(1900,1,1), OFFSET('IWP13'!BackgroundChecks, 1, 5, 1, 1))</f>
        <v>1</v>
      </c>
      <c r="F324" s="262" t="str">
        <f ca="1">IF(OFFSET('IWP13'!BackgroundChecks, 1, 6, 1, 1) = 0, "", OFFSET('IWP13'!BackgroundChecks, 1, 6, 1, 1))</f>
        <v/>
      </c>
      <c r="G324" s="254">
        <f ca="1">IF(OFFSET('IWP13'!BackgroundChecks, 1, 7, 1, 1)=DATE(1900,1,0), DATE(1900,1,1), OFFSET('IWP13'!BackgroundChecks, 1, 7, 1, 1))</f>
        <v>1</v>
      </c>
      <c r="H324" s="254">
        <f ca="1">IF(OFFSET('IWP13'!BackgroundChecks, 1, 8, 1, 1)=DATE(1900,1,0), DATE(1900,1,1), OFFSET('IWP13'!BackgroundChecks, 1, 8, 1, 1))</f>
        <v>1</v>
      </c>
      <c r="I324" s="262" t="str">
        <f ca="1">IF(OFFSET('IWP13'!BackgroundChecks, 1, 9, 1, 1) = 0, "", OFFSET('IWP13'!BackgroundChecks, 1, 9, 1, 1))</f>
        <v/>
      </c>
      <c r="J324" s="262" t="str">
        <f ca="1">IF(OFFSET('IWP13'!BackgroundChecks, 1, 10, 1, 1) = 0, "", OFFSET('IWP13'!BackgroundChecks, 1, 10, 1, 1))</f>
        <v/>
      </c>
      <c r="K324" s="262" t="str">
        <f ca="1">IF(OFFSET('IWP13'!BackgroundChecks, 1, 11, 1, 1) = 0, "", OFFSET('IWP13'!BackgroundChecks, 1, 11, 1, 1))</f>
        <v/>
      </c>
      <c r="L324" s="262" t="str">
        <f ca="1">IF(OFFSET('IWP13'!BackgroundChecks, 1, 12, 1, 1) = 0, "", OFFSET('IWP13'!BackgroundChecks, 1, 12, 1, 1))</f>
        <v/>
      </c>
      <c r="M324" s="262" t="str">
        <f ca="1">IF(OFFSET('IWP13'!BackgroundChecks, 1, 13, 1, 1) = 0, "", OFFSET('IWP13'!BackgroundChecks, 1, 13, 1, 1))</f>
        <v/>
      </c>
      <c r="N324" s="261"/>
    </row>
    <row r="325" spans="1:14" s="146" customFormat="1">
      <c r="A325" s="257" t="s">
        <v>511</v>
      </c>
      <c r="B325" s="262" t="str">
        <f ca="1">IF(OFFSET('IWP13'!BackgroundChecks, 2, 0, 1, 1) = 0, "", OFFSET('IWP13'!BackgroundChecks, 2, 0, 1, 1))</f>
        <v/>
      </c>
      <c r="C325" s="262" t="str">
        <f ca="1">IF(OFFSET('IWP13'!BackgroundChecks, 2, 2, 1, 1) = 0, "", OFFSET('IWP13'!BackgroundChecks, 2, 2, 1, 1))</f>
        <v/>
      </c>
      <c r="D325" s="262" t="str">
        <f ca="1">IF(OFFSET('IWP13'!BackgroundChecks, 2, 4, 1, 1) = 0, "", OFFSET('IWP13'!BackgroundChecks, 2, 4, 1, 1))</f>
        <v/>
      </c>
      <c r="E325" s="254">
        <f ca="1">IF(OFFSET('IWP13'!BackgroundChecks, 2, 5, 1, 1)=DATE(1900,1,0), DATE(1900,1,1), OFFSET('IWP13'!BackgroundChecks, 2, 5, 1, 1))</f>
        <v>1</v>
      </c>
      <c r="F325" s="262" t="str">
        <f ca="1">IF(OFFSET('IWP13'!BackgroundChecks, 2, 6, 1, 1) = 0, "", OFFSET('IWP13'!BackgroundChecks, 2, 6, 1, 1))</f>
        <v/>
      </c>
      <c r="G325" s="254">
        <f ca="1">IF(OFFSET('IWP13'!BackgroundChecks, 2, 7, 1, 1)=DATE(1900,1,0), DATE(1900,1,1), OFFSET('IWP13'!BackgroundChecks, 2, 7, 1, 1))</f>
        <v>1</v>
      </c>
      <c r="H325" s="254">
        <f ca="1">IF(OFFSET('IWP13'!BackgroundChecks, 2, 8, 1, 1)=DATE(1900,1,0), DATE(1900,1,1), OFFSET('IWP13'!BackgroundChecks, 2, 8, 1, 1))</f>
        <v>1</v>
      </c>
      <c r="I325" s="262" t="str">
        <f ca="1">IF(OFFSET('IWP13'!BackgroundChecks, 2, 9, 1, 1) = 0, "", OFFSET('IWP13'!BackgroundChecks, 2, 9, 1, 1))</f>
        <v/>
      </c>
      <c r="J325" s="262" t="str">
        <f ca="1">IF(OFFSET('IWP13'!BackgroundChecks, 2, 10, 1, 1) = 0, "", OFFSET('IWP13'!BackgroundChecks, 2, 10, 1, 1))</f>
        <v/>
      </c>
      <c r="K325" s="262" t="str">
        <f ca="1">IF(OFFSET('IWP13'!BackgroundChecks, 2, 11, 1, 1) = 0, "", OFFSET('IWP13'!BackgroundChecks, 2, 11, 1, 1))</f>
        <v/>
      </c>
      <c r="L325" s="262" t="str">
        <f ca="1">IF(OFFSET('IWP13'!BackgroundChecks, 2, 12, 1, 1) = 0, "", OFFSET('IWP13'!BackgroundChecks, 2, 12, 1, 1))</f>
        <v/>
      </c>
      <c r="M325" s="262" t="str">
        <f ca="1">IF(OFFSET('IWP13'!BackgroundChecks, 2, 13, 1, 1) = 0, "", OFFSET('IWP13'!BackgroundChecks, 2, 13, 1, 1))</f>
        <v/>
      </c>
      <c r="N325" s="261"/>
    </row>
    <row r="326" spans="1:14" s="146" customFormat="1">
      <c r="A326" s="257" t="s">
        <v>511</v>
      </c>
      <c r="B326" s="262" t="str">
        <f ca="1">IF(OFFSET('IWP13'!BackgroundChecks, 3, 0, 1, 1) = 0, "", OFFSET('IWP13'!BackgroundChecks, 3, 0, 1, 1))</f>
        <v/>
      </c>
      <c r="C326" s="262" t="str">
        <f ca="1">IF(OFFSET('IWP13'!BackgroundChecks, 3, 2, 1, 1) = 0, "", OFFSET('IWP13'!BackgroundChecks, 3, 2, 1, 1))</f>
        <v/>
      </c>
      <c r="D326" s="262" t="str">
        <f ca="1">IF(OFFSET('IWP13'!BackgroundChecks, 3, 4, 1, 1) = 0, "", OFFSET('IWP13'!BackgroundChecks, 3, 4, 1, 1))</f>
        <v/>
      </c>
      <c r="E326" s="254">
        <f ca="1">IF(OFFSET('IWP13'!BackgroundChecks, 3, 5, 1, 1)=DATE(1900,1,0), DATE(1900,1,1), OFFSET('IWP13'!BackgroundChecks, 3, 5, 1, 1))</f>
        <v>1</v>
      </c>
      <c r="F326" s="262" t="str">
        <f ca="1">IF(OFFSET('IWP13'!BackgroundChecks, 3, 6, 1, 1) = 0, "", OFFSET('IWP13'!BackgroundChecks, 3, 6, 1, 1))</f>
        <v/>
      </c>
      <c r="G326" s="254">
        <f ca="1">IF(OFFSET('IWP13'!BackgroundChecks, 3, 7, 1, 1)=DATE(1900,1,0), DATE(1900,1,1), OFFSET('IWP13'!BackgroundChecks, 3, 7, 1, 1))</f>
        <v>1</v>
      </c>
      <c r="H326" s="254">
        <f ca="1">IF(OFFSET('IWP13'!BackgroundChecks, 3, 8, 1, 1)=DATE(1900,1,0), DATE(1900,1,1), OFFSET('IWP13'!BackgroundChecks, 3, 8, 1, 1))</f>
        <v>1</v>
      </c>
      <c r="I326" s="262" t="str">
        <f ca="1">IF(OFFSET('IWP13'!BackgroundChecks, 3, 9, 1, 1) = 0, "", OFFSET('IWP13'!BackgroundChecks, 3, 9, 1, 1))</f>
        <v/>
      </c>
      <c r="J326" s="262" t="str">
        <f ca="1">IF(OFFSET('IWP13'!BackgroundChecks, 3, 10, 1, 1) = 0, "", OFFSET('IWP13'!BackgroundChecks, 3, 10, 1, 1))</f>
        <v/>
      </c>
      <c r="K326" s="262" t="str">
        <f ca="1">IF(OFFSET('IWP13'!BackgroundChecks, 3, 11, 1, 1) = 0, "", OFFSET('IWP13'!BackgroundChecks, 3, 11, 1, 1))</f>
        <v/>
      </c>
      <c r="L326" s="262" t="str">
        <f ca="1">IF(OFFSET('IWP13'!BackgroundChecks, 3, 12, 1, 1) = 0, "", OFFSET('IWP13'!BackgroundChecks, 3, 12, 1, 1))</f>
        <v/>
      </c>
      <c r="M326" s="262" t="str">
        <f ca="1">IF(OFFSET('IWP13'!BackgroundChecks, 3, 13, 1, 1) = 0, "", OFFSET('IWP13'!BackgroundChecks, 3, 13, 1, 1))</f>
        <v/>
      </c>
      <c r="N326" s="261"/>
    </row>
    <row r="327" spans="1:14" s="146" customFormat="1">
      <c r="A327" s="257" t="s">
        <v>511</v>
      </c>
      <c r="B327" s="262" t="str">
        <f ca="1">IF(OFFSET('IWP13'!BackgroundChecks, 4, 0, 1, 1) = 0, "", OFFSET('IWP13'!BackgroundChecks, 4, 0, 1, 1))</f>
        <v/>
      </c>
      <c r="C327" s="262" t="str">
        <f ca="1">IF(OFFSET('IWP13'!BackgroundChecks, 4, 2, 1, 1) = 0, "", OFFSET('IWP13'!BackgroundChecks, 4, 2, 1, 1))</f>
        <v/>
      </c>
      <c r="D327" s="262" t="str">
        <f ca="1">IF(OFFSET('IWP13'!BackgroundChecks, 4, 4, 1, 1) = 0, "", OFFSET('IWP13'!BackgroundChecks, 4, 4, 1, 1))</f>
        <v/>
      </c>
      <c r="E327" s="254">
        <f ca="1">IF(OFFSET('IWP13'!BackgroundChecks, 4, 5, 1, 1)=DATE(1900,1,0), DATE(1900,1,1), OFFSET('IWP13'!BackgroundChecks, 4, 5, 1, 1))</f>
        <v>1</v>
      </c>
      <c r="F327" s="262" t="str">
        <f ca="1">IF(OFFSET('IWP13'!BackgroundChecks, 4, 6, 1, 1) = 0, "", OFFSET('IWP13'!BackgroundChecks, 4, 6, 1, 1))</f>
        <v/>
      </c>
      <c r="G327" s="254">
        <f ca="1">IF(OFFSET('IWP13'!BackgroundChecks, 4, 7, 1, 1)=DATE(1900,1,0), DATE(1900,1,1), OFFSET('IWP13'!BackgroundChecks, 4, 7, 1, 1))</f>
        <v>1</v>
      </c>
      <c r="H327" s="254">
        <f ca="1">IF(OFFSET('IWP13'!BackgroundChecks, 4, 8, 1, 1)=DATE(1900,1,0), DATE(1900,1,1), OFFSET('IWP13'!BackgroundChecks, 4, 8, 1, 1))</f>
        <v>1</v>
      </c>
      <c r="I327" s="262" t="str">
        <f ca="1">IF(OFFSET('IWP13'!BackgroundChecks, 4, 9, 1, 1) = 0, "", OFFSET('IWP13'!BackgroundChecks, 4, 9, 1, 1))</f>
        <v/>
      </c>
      <c r="J327" s="262" t="str">
        <f ca="1">IF(OFFSET('IWP13'!BackgroundChecks, 4, 10, 1, 1) = 0, "", OFFSET('IWP13'!BackgroundChecks, 4, 10, 1, 1))</f>
        <v/>
      </c>
      <c r="K327" s="262" t="str">
        <f ca="1">IF(OFFSET('IWP13'!BackgroundChecks, 4, 11, 1, 1) = 0, "", OFFSET('IWP13'!BackgroundChecks, 4, 11, 1, 1))</f>
        <v/>
      </c>
      <c r="L327" s="262" t="str">
        <f ca="1">IF(OFFSET('IWP13'!BackgroundChecks, 4, 12, 1, 1) = 0, "", OFFSET('IWP13'!BackgroundChecks, 4, 12, 1, 1))</f>
        <v/>
      </c>
      <c r="M327" s="262" t="str">
        <f ca="1">IF(OFFSET('IWP13'!BackgroundChecks, 4, 13, 1, 1) = 0, "", OFFSET('IWP13'!BackgroundChecks, 4, 13, 1, 1))</f>
        <v/>
      </c>
      <c r="N327" s="261"/>
    </row>
    <row r="328" spans="1:14" s="146" customFormat="1">
      <c r="A328" s="257" t="s">
        <v>511</v>
      </c>
      <c r="B328" s="262" t="str">
        <f ca="1">IF(OFFSET('IWP13'!BackgroundChecks, 5, 0, 1, 1) = 0, "", OFFSET('IWP13'!BackgroundChecks, 5, 0, 1, 1))</f>
        <v/>
      </c>
      <c r="C328" s="262" t="str">
        <f ca="1">IF(OFFSET('IWP13'!BackgroundChecks, 5, 2, 1, 1) = 0, "", OFFSET('IWP13'!BackgroundChecks, 5, 2, 1, 1))</f>
        <v/>
      </c>
      <c r="D328" s="262" t="str">
        <f ca="1">IF(OFFSET('IWP13'!BackgroundChecks, 5, 4, 1, 1) = 0, "", OFFSET('IWP13'!BackgroundChecks, 5, 4, 1, 1))</f>
        <v/>
      </c>
      <c r="E328" s="254">
        <f ca="1">IF(OFFSET('IWP13'!BackgroundChecks, 5, 5, 1, 1)=DATE(1900,1,0), DATE(1900,1,1), OFFSET('IWP13'!BackgroundChecks, 5, 5, 1, 1))</f>
        <v>1</v>
      </c>
      <c r="F328" s="262" t="str">
        <f ca="1">IF(OFFSET('IWP13'!BackgroundChecks, 5, 6, 1, 1) = 0, "", OFFSET('IWP13'!BackgroundChecks, 5, 6, 1, 1))</f>
        <v/>
      </c>
      <c r="G328" s="254">
        <f ca="1">IF(OFFSET('IWP13'!BackgroundChecks, 5, 7, 1, 1)=DATE(1900,1,0), DATE(1900,1,1), OFFSET('IWP13'!BackgroundChecks, 5, 7, 1, 1))</f>
        <v>1</v>
      </c>
      <c r="H328" s="254">
        <f ca="1">IF(OFFSET('IWP13'!BackgroundChecks, 5, 8, 1, 1)=DATE(1900,1,0), DATE(1900,1,1), OFFSET('IWP13'!BackgroundChecks, 5, 8, 1, 1))</f>
        <v>1</v>
      </c>
      <c r="I328" s="262" t="str">
        <f ca="1">IF(OFFSET('IWP13'!BackgroundChecks, 5, 9, 1, 1) = 0, "", OFFSET('IWP13'!BackgroundChecks, 5, 9, 1, 1))</f>
        <v/>
      </c>
      <c r="J328" s="262" t="str">
        <f ca="1">IF(OFFSET('IWP13'!BackgroundChecks, 5, 10, 1, 1) = 0, "", OFFSET('IWP13'!BackgroundChecks, 5, 10, 1, 1))</f>
        <v/>
      </c>
      <c r="K328" s="262" t="str">
        <f ca="1">IF(OFFSET('IWP13'!BackgroundChecks, 5, 11, 1, 1) = 0, "", OFFSET('IWP13'!BackgroundChecks, 5, 11, 1, 1))</f>
        <v/>
      </c>
      <c r="L328" s="262" t="str">
        <f ca="1">IF(OFFSET('IWP13'!BackgroundChecks, 5, 12, 1, 1) = 0, "", OFFSET('IWP13'!BackgroundChecks, 5, 12, 1, 1))</f>
        <v/>
      </c>
      <c r="M328" s="262" t="str">
        <f ca="1">IF(OFFSET('IWP13'!BackgroundChecks, 5, 13, 1, 1) = 0, "", OFFSET('IWP13'!BackgroundChecks, 5, 13, 1, 1))</f>
        <v/>
      </c>
      <c r="N328" s="261"/>
    </row>
    <row r="329" spans="1:14" s="146" customFormat="1">
      <c r="A329" s="257" t="s">
        <v>511</v>
      </c>
      <c r="B329" s="262" t="str">
        <f ca="1">IF(OFFSET('IWP13'!BackgroundChecks, 6, 0, 1, 1) = 0, "", OFFSET('IWP13'!BackgroundChecks, 6, 0, 1, 1))</f>
        <v/>
      </c>
      <c r="C329" s="262" t="str">
        <f ca="1">IF(OFFSET('IWP13'!BackgroundChecks, 6, 2, 1, 1) = 0, "", OFFSET('IWP13'!BackgroundChecks, 6, 2, 1, 1))</f>
        <v/>
      </c>
      <c r="D329" s="262" t="str">
        <f ca="1">IF(OFFSET('IWP13'!BackgroundChecks, 6, 4, 1, 1) = 0, "", OFFSET('IWP13'!BackgroundChecks, 6, 4, 1, 1))</f>
        <v/>
      </c>
      <c r="E329" s="254">
        <f ca="1">IF(OFFSET('IWP13'!BackgroundChecks, 6, 5, 1, 1)=DATE(1900,1,0), DATE(1900,1,1), OFFSET('IWP13'!BackgroundChecks, 6, 5, 1, 1))</f>
        <v>1</v>
      </c>
      <c r="F329" s="262" t="str">
        <f ca="1">IF(OFFSET('IWP13'!BackgroundChecks, 6, 6, 1, 1) = 0, "", OFFSET('IWP13'!BackgroundChecks, 6, 6, 1, 1))</f>
        <v/>
      </c>
      <c r="G329" s="254">
        <f ca="1">IF(OFFSET('IWP13'!BackgroundChecks, 6, 7, 1, 1)=DATE(1900,1,0), DATE(1900,1,1), OFFSET('IWP13'!BackgroundChecks, 6, 7, 1, 1))</f>
        <v>1</v>
      </c>
      <c r="H329" s="254">
        <f ca="1">IF(OFFSET('IWP13'!BackgroundChecks, 6, 8, 1, 1)=DATE(1900,1,0), DATE(1900,1,1), OFFSET('IWP13'!BackgroundChecks, 6, 8, 1, 1))</f>
        <v>1</v>
      </c>
      <c r="I329" s="262" t="str">
        <f ca="1">IF(OFFSET('IWP13'!BackgroundChecks, 6, 9, 1, 1) = 0, "", OFFSET('IWP13'!BackgroundChecks, 6, 9, 1, 1))</f>
        <v/>
      </c>
      <c r="J329" s="262" t="str">
        <f ca="1">IF(OFFSET('IWP13'!BackgroundChecks, 6, 10, 1, 1) = 0, "", OFFSET('IWP13'!BackgroundChecks, 6, 10, 1, 1))</f>
        <v/>
      </c>
      <c r="K329" s="262" t="str">
        <f ca="1">IF(OFFSET('IWP13'!BackgroundChecks, 6, 11, 1, 1) = 0, "", OFFSET('IWP13'!BackgroundChecks, 6, 11, 1, 1))</f>
        <v/>
      </c>
      <c r="L329" s="262" t="str">
        <f ca="1">IF(OFFSET('IWP13'!BackgroundChecks, 6, 12, 1, 1) = 0, "", OFFSET('IWP13'!BackgroundChecks, 6, 12, 1, 1))</f>
        <v/>
      </c>
      <c r="M329" s="262" t="str">
        <f ca="1">IF(OFFSET('IWP13'!BackgroundChecks, 6, 13, 1, 1) = 0, "", OFFSET('IWP13'!BackgroundChecks, 6, 13, 1, 1))</f>
        <v/>
      </c>
      <c r="N329" s="261"/>
    </row>
    <row r="330" spans="1:14" s="146" customFormat="1">
      <c r="A330" s="257" t="s">
        <v>511</v>
      </c>
      <c r="B330" s="262" t="str">
        <f ca="1">IF(OFFSET('IWP13'!BackgroundChecks, 7, 0, 1, 1) = 0, "", OFFSET('IWP13'!BackgroundChecks, 7, 0, 1, 1))</f>
        <v/>
      </c>
      <c r="C330" s="262" t="str">
        <f ca="1">IF(OFFSET('IWP13'!BackgroundChecks, 7, 2, 1, 1) = 0, "", OFFSET('IWP13'!BackgroundChecks, 7, 2, 1, 1))</f>
        <v/>
      </c>
      <c r="D330" s="262" t="str">
        <f ca="1">IF(OFFSET('IWP13'!BackgroundChecks, 7, 4, 1, 1) = 0, "", OFFSET('IWP13'!BackgroundChecks, 7, 4, 1, 1))</f>
        <v/>
      </c>
      <c r="E330" s="254">
        <f ca="1">IF(OFFSET('IWP13'!BackgroundChecks, 7, 5, 1, 1)=DATE(1900,1,0), DATE(1900,1,1), OFFSET('IWP13'!BackgroundChecks, 7, 5, 1, 1))</f>
        <v>1</v>
      </c>
      <c r="F330" s="262" t="str">
        <f ca="1">IF(OFFSET('IWP13'!BackgroundChecks, 7, 6, 1, 1) = 0, "", OFFSET('IWP13'!BackgroundChecks, 7, 6, 1, 1))</f>
        <v/>
      </c>
      <c r="G330" s="254">
        <f ca="1">IF(OFFSET('IWP13'!BackgroundChecks, 7, 7, 1, 1)=DATE(1900,1,0), DATE(1900,1,1), OFFSET('IWP13'!BackgroundChecks, 7, 7, 1, 1))</f>
        <v>1</v>
      </c>
      <c r="H330" s="254">
        <f ca="1">IF(OFFSET('IWP13'!BackgroundChecks, 7, 8, 1, 1)=DATE(1900,1,0), DATE(1900,1,1), OFFSET('IWP13'!BackgroundChecks, 7, 8, 1, 1))</f>
        <v>1</v>
      </c>
      <c r="I330" s="262" t="str">
        <f ca="1">IF(OFFSET('IWP13'!BackgroundChecks, 7, 9, 1, 1) = 0, "", OFFSET('IWP13'!BackgroundChecks, 7, 9, 1, 1))</f>
        <v/>
      </c>
      <c r="J330" s="262" t="str">
        <f ca="1">IF(OFFSET('IWP13'!BackgroundChecks, 7, 10, 1, 1) = 0, "", OFFSET('IWP13'!BackgroundChecks, 7, 10, 1, 1))</f>
        <v/>
      </c>
      <c r="K330" s="262" t="str">
        <f ca="1">IF(OFFSET('IWP13'!BackgroundChecks, 7, 11, 1, 1) = 0, "", OFFSET('IWP13'!BackgroundChecks, 7, 11, 1, 1))</f>
        <v/>
      </c>
      <c r="L330" s="262" t="str">
        <f ca="1">IF(OFFSET('IWP13'!BackgroundChecks, 7, 12, 1, 1) = 0, "", OFFSET('IWP13'!BackgroundChecks, 7, 12, 1, 1))</f>
        <v/>
      </c>
      <c r="M330" s="262" t="str">
        <f ca="1">IF(OFFSET('IWP13'!BackgroundChecks, 7, 13, 1, 1) = 0, "", OFFSET('IWP13'!BackgroundChecks, 7, 13, 1, 1))</f>
        <v/>
      </c>
      <c r="N330" s="261"/>
    </row>
    <row r="331" spans="1:14" s="146" customFormat="1">
      <c r="A331" s="257" t="s">
        <v>511</v>
      </c>
      <c r="B331" s="262" t="str">
        <f ca="1">IF(OFFSET('IWP13'!BackgroundChecks, 8, 0, 1, 1) = 0, "", OFFSET('IWP13'!BackgroundChecks, 8, 0, 1, 1))</f>
        <v/>
      </c>
      <c r="C331" s="262" t="str">
        <f ca="1">IF(OFFSET('IWP13'!BackgroundChecks, 8, 2, 1, 1) = 0, "", OFFSET('IWP13'!BackgroundChecks, 8, 2, 1, 1))</f>
        <v/>
      </c>
      <c r="D331" s="262" t="str">
        <f ca="1">IF(OFFSET('IWP13'!BackgroundChecks, 8, 4, 1, 1) = 0, "", OFFSET('IWP13'!BackgroundChecks, 8, 4, 1, 1))</f>
        <v/>
      </c>
      <c r="E331" s="254">
        <f ca="1">IF(OFFSET('IWP13'!BackgroundChecks, 8, 5, 1, 1)=DATE(1900,1,0), DATE(1900,1,1), OFFSET('IWP13'!BackgroundChecks, 8, 5, 1, 1))</f>
        <v>1</v>
      </c>
      <c r="F331" s="262" t="str">
        <f ca="1">IF(OFFSET('IWP13'!BackgroundChecks, 8, 6, 1, 1) = 0, "", OFFSET('IWP13'!BackgroundChecks, 8, 6, 1, 1))</f>
        <v/>
      </c>
      <c r="G331" s="254">
        <f ca="1">IF(OFFSET('IWP13'!BackgroundChecks, 8, 7, 1, 1)=DATE(1900,1,0), DATE(1900,1,1), OFFSET('IWP13'!BackgroundChecks, 8, 7, 1, 1))</f>
        <v>1</v>
      </c>
      <c r="H331" s="254">
        <f ca="1">IF(OFFSET('IWP13'!BackgroundChecks, 8, 8, 1, 1)=DATE(1900,1,0), DATE(1900,1,1), OFFSET('IWP13'!BackgroundChecks, 8, 8, 1, 1))</f>
        <v>1</v>
      </c>
      <c r="I331" s="262" t="str">
        <f ca="1">IF(OFFSET('IWP13'!BackgroundChecks, 8, 9, 1, 1) = 0, "", OFFSET('IWP13'!BackgroundChecks, 8, 9, 1, 1))</f>
        <v/>
      </c>
      <c r="J331" s="262" t="str">
        <f ca="1">IF(OFFSET('IWP13'!BackgroundChecks, 8, 10, 1, 1) = 0, "", OFFSET('IWP13'!BackgroundChecks, 8, 10, 1, 1))</f>
        <v/>
      </c>
      <c r="K331" s="262" t="str">
        <f ca="1">IF(OFFSET('IWP13'!BackgroundChecks, 8, 11, 1, 1) = 0, "", OFFSET('IWP13'!BackgroundChecks, 8, 11, 1, 1))</f>
        <v/>
      </c>
      <c r="L331" s="262" t="str">
        <f ca="1">IF(OFFSET('IWP13'!BackgroundChecks, 8, 12, 1, 1) = 0, "", OFFSET('IWP13'!BackgroundChecks, 8, 12, 1, 1))</f>
        <v/>
      </c>
      <c r="M331" s="262" t="str">
        <f ca="1">IF(OFFSET('IWP13'!BackgroundChecks, 8, 13, 1, 1) = 0, "", OFFSET('IWP13'!BackgroundChecks, 8, 13, 1, 1))</f>
        <v/>
      </c>
      <c r="N331" s="261"/>
    </row>
    <row r="332" spans="1:14" s="146" customFormat="1">
      <c r="A332" s="257" t="s">
        <v>511</v>
      </c>
      <c r="B332" s="262" t="str">
        <f ca="1">IF(OFFSET('IWP13'!BackgroundChecks, 9, 0, 1, 1) = 0, "", OFFSET('IWP13'!BackgroundChecks, 9, 0, 1, 1))</f>
        <v/>
      </c>
      <c r="C332" s="262" t="str">
        <f ca="1">IF(OFFSET('IWP13'!BackgroundChecks, 9, 2, 1, 1) = 0, "", OFFSET('IWP13'!BackgroundChecks, 9, 2, 1, 1))</f>
        <v/>
      </c>
      <c r="D332" s="262" t="str">
        <f ca="1">IF(OFFSET('IWP13'!BackgroundChecks, 9, 4, 1, 1) = 0, "", OFFSET('IWP13'!BackgroundChecks, 9, 4, 1, 1))</f>
        <v/>
      </c>
      <c r="E332" s="254">
        <f ca="1">IF(OFFSET('IWP13'!BackgroundChecks, 9, 5, 1, 1)=DATE(1900,1,0), DATE(1900,1,1), OFFSET('IWP13'!BackgroundChecks, 9, 5, 1, 1))</f>
        <v>1</v>
      </c>
      <c r="F332" s="262" t="str">
        <f ca="1">IF(OFFSET('IWP13'!BackgroundChecks, 9, 6, 1, 1) = 0, "", OFFSET('IWP13'!BackgroundChecks, 9, 6, 1, 1))</f>
        <v/>
      </c>
      <c r="G332" s="254">
        <f ca="1">IF(OFFSET('IWP13'!BackgroundChecks, 9, 7, 1, 1)=DATE(1900,1,0), DATE(1900,1,1), OFFSET('IWP13'!BackgroundChecks, 9, 7, 1, 1))</f>
        <v>1</v>
      </c>
      <c r="H332" s="254">
        <f ca="1">IF(OFFSET('IWP13'!BackgroundChecks, 9, 8, 1, 1)=DATE(1900,1,0), DATE(1900,1,1), OFFSET('IWP13'!BackgroundChecks, 9, 8, 1, 1))</f>
        <v>1</v>
      </c>
      <c r="I332" s="262" t="str">
        <f ca="1">IF(OFFSET('IWP13'!BackgroundChecks, 9, 9, 1, 1) = 0, "", OFFSET('IWP13'!BackgroundChecks, 9, 9, 1, 1))</f>
        <v/>
      </c>
      <c r="J332" s="262" t="str">
        <f ca="1">IF(OFFSET('IWP13'!BackgroundChecks, 9, 10, 1, 1) = 0, "", OFFSET('IWP13'!BackgroundChecks, 9, 10, 1, 1))</f>
        <v/>
      </c>
      <c r="K332" s="262" t="str">
        <f ca="1">IF(OFFSET('IWP13'!BackgroundChecks, 9, 11, 1, 1) = 0, "", OFFSET('IWP13'!BackgroundChecks, 9, 11, 1, 1))</f>
        <v/>
      </c>
      <c r="L332" s="262" t="str">
        <f ca="1">IF(OFFSET('IWP13'!BackgroundChecks, 9, 12, 1, 1) = 0, "", OFFSET('IWP13'!BackgroundChecks, 9, 12, 1, 1))</f>
        <v/>
      </c>
      <c r="M332" s="262" t="str">
        <f ca="1">IF(OFFSET('IWP13'!BackgroundChecks, 9, 13, 1, 1) = 0, "", OFFSET('IWP13'!BackgroundChecks, 9, 13, 1, 1))</f>
        <v/>
      </c>
      <c r="N332" s="261"/>
    </row>
    <row r="333" spans="1:14" s="146" customFormat="1">
      <c r="A333" s="257" t="s">
        <v>511</v>
      </c>
      <c r="B333" s="262" t="str">
        <f ca="1">IF(OFFSET('IWP13'!BackgroundChecks, 10, 0, 1, 1) = 0, "", OFFSET('IWP13'!BackgroundChecks, 10, 0, 1, 1))</f>
        <v/>
      </c>
      <c r="C333" s="262" t="str">
        <f ca="1">IF(OFFSET('IWP13'!BackgroundChecks, 10, 2, 1, 1) = 0, "", OFFSET('IWP13'!BackgroundChecks, 10, 2, 1, 1))</f>
        <v/>
      </c>
      <c r="D333" s="262" t="str">
        <f ca="1">IF(OFFSET('IWP13'!BackgroundChecks, 10, 4, 1, 1) = 0, "", OFFSET('IWP13'!BackgroundChecks, 10, 4, 1, 1))</f>
        <v/>
      </c>
      <c r="E333" s="254">
        <f ca="1">IF(OFFSET('IWP13'!BackgroundChecks, 10, 5, 1, 1)=DATE(1900,1,0), DATE(1900,1,1), OFFSET('IWP13'!BackgroundChecks, 10, 5, 1, 1))</f>
        <v>1</v>
      </c>
      <c r="F333" s="262" t="str">
        <f ca="1">IF(OFFSET('IWP13'!BackgroundChecks, 10, 6, 1, 1) = 0, "", OFFSET('IWP13'!BackgroundChecks, 10, 6, 1, 1))</f>
        <v/>
      </c>
      <c r="G333" s="254">
        <f ca="1">IF(OFFSET('IWP13'!BackgroundChecks, 10, 7, 1, 1)=DATE(1900,1,0), DATE(1900,1,1), OFFSET('IWP13'!BackgroundChecks, 10, 7, 1, 1))</f>
        <v>1</v>
      </c>
      <c r="H333" s="254">
        <f ca="1">IF(OFFSET('IWP13'!BackgroundChecks, 10, 8, 1, 1)=DATE(1900,1,0), DATE(1900,1,1), OFFSET('IWP13'!BackgroundChecks, 10, 8, 1, 1))</f>
        <v>1</v>
      </c>
      <c r="I333" s="262" t="str">
        <f ca="1">IF(OFFSET('IWP13'!BackgroundChecks, 10, 9, 1, 1) = 0, "", OFFSET('IWP13'!BackgroundChecks, 10, 9, 1, 1))</f>
        <v/>
      </c>
      <c r="J333" s="262" t="str">
        <f ca="1">IF(OFFSET('IWP13'!BackgroundChecks, 10, 10, 1, 1) = 0, "", OFFSET('IWP13'!BackgroundChecks, 10, 10, 1, 1))</f>
        <v/>
      </c>
      <c r="K333" s="262" t="str">
        <f ca="1">IF(OFFSET('IWP13'!BackgroundChecks, 10, 11, 1, 1) = 0, "", OFFSET('IWP13'!BackgroundChecks, 10, 11, 1, 1))</f>
        <v/>
      </c>
      <c r="L333" s="262" t="str">
        <f ca="1">IF(OFFSET('IWP13'!BackgroundChecks, 10, 12, 1, 1) = 0, "", OFFSET('IWP13'!BackgroundChecks, 10, 12, 1, 1))</f>
        <v/>
      </c>
      <c r="M333" s="262" t="str">
        <f ca="1">IF(OFFSET('IWP13'!BackgroundChecks, 10, 13, 1, 1) = 0, "", OFFSET('IWP13'!BackgroundChecks, 10, 13, 1, 1))</f>
        <v/>
      </c>
      <c r="N333" s="261"/>
    </row>
    <row r="334" spans="1:14" s="146" customFormat="1">
      <c r="A334" s="257" t="s">
        <v>511</v>
      </c>
      <c r="B334" s="262" t="str">
        <f ca="1">IF(OFFSET('IWP13'!BackgroundChecks, 11, 0, 1, 1) = 0, "", OFFSET('IWP13'!BackgroundChecks, 11, 0, 1, 1))</f>
        <v/>
      </c>
      <c r="C334" s="262" t="str">
        <f ca="1">IF(OFFSET('IWP13'!BackgroundChecks, 11, 2, 1, 1) = 0, "", OFFSET('IWP13'!BackgroundChecks, 11, 2, 1, 1))</f>
        <v/>
      </c>
      <c r="D334" s="262" t="str">
        <f ca="1">IF(OFFSET('IWP13'!BackgroundChecks, 11, 4, 1, 1) = 0, "", OFFSET('IWP13'!BackgroundChecks, 11, 4, 1, 1))</f>
        <v/>
      </c>
      <c r="E334" s="254">
        <f ca="1">IF(OFFSET('IWP13'!BackgroundChecks, 11, 5, 1, 1)=DATE(1900,1,0), DATE(1900,1,1), OFFSET('IWP13'!BackgroundChecks, 11, 5, 1, 1))</f>
        <v>1</v>
      </c>
      <c r="F334" s="262" t="str">
        <f ca="1">IF(OFFSET('IWP13'!BackgroundChecks, 11, 6, 1, 1) = 0, "", OFFSET('IWP13'!BackgroundChecks, 11, 6, 1, 1))</f>
        <v/>
      </c>
      <c r="G334" s="254">
        <f ca="1">IF(OFFSET('IWP13'!BackgroundChecks, 11, 7, 1, 1)=DATE(1900,1,0), DATE(1900,1,1), OFFSET('IWP13'!BackgroundChecks, 11, 7, 1, 1))</f>
        <v>1</v>
      </c>
      <c r="H334" s="254">
        <f ca="1">IF(OFFSET('IWP13'!BackgroundChecks, 11, 8, 1, 1)=DATE(1900,1,0), DATE(1900,1,1), OFFSET('IWP13'!BackgroundChecks, 11, 8, 1, 1))</f>
        <v>1</v>
      </c>
      <c r="I334" s="262" t="str">
        <f ca="1">IF(OFFSET('IWP13'!BackgroundChecks, 11, 9, 1, 1) = 0, "", OFFSET('IWP13'!BackgroundChecks, 11, 9, 1, 1))</f>
        <v/>
      </c>
      <c r="J334" s="262" t="str">
        <f ca="1">IF(OFFSET('IWP13'!BackgroundChecks, 11, 10, 1, 1) = 0, "", OFFSET('IWP13'!BackgroundChecks, 11, 10, 1, 1))</f>
        <v/>
      </c>
      <c r="K334" s="262" t="str">
        <f ca="1">IF(OFFSET('IWP13'!BackgroundChecks, 11, 11, 1, 1) = 0, "", OFFSET('IWP13'!BackgroundChecks, 11, 11, 1, 1))</f>
        <v/>
      </c>
      <c r="L334" s="262" t="str">
        <f ca="1">IF(OFFSET('IWP13'!BackgroundChecks, 11, 12, 1, 1) = 0, "", OFFSET('IWP13'!BackgroundChecks, 11, 12, 1, 1))</f>
        <v/>
      </c>
      <c r="M334" s="262" t="str">
        <f ca="1">IF(OFFSET('IWP13'!BackgroundChecks, 11, 13, 1, 1) = 0, "", OFFSET('IWP13'!BackgroundChecks, 11, 13, 1, 1))</f>
        <v/>
      </c>
      <c r="N334" s="261"/>
    </row>
    <row r="335" spans="1:14" s="146" customFormat="1">
      <c r="A335" s="257" t="s">
        <v>511</v>
      </c>
      <c r="B335" s="262" t="str">
        <f ca="1">IF(OFFSET('IWP13'!BackgroundChecks, 12, 0, 1, 1) = 0, "", OFFSET('IWP13'!BackgroundChecks, 12, 0, 1, 1))</f>
        <v/>
      </c>
      <c r="C335" s="262" t="str">
        <f ca="1">IF(OFFSET('IWP13'!BackgroundChecks, 12, 2, 1, 1) = 0, "", OFFSET('IWP13'!BackgroundChecks, 12, 2, 1, 1))</f>
        <v/>
      </c>
      <c r="D335" s="262" t="str">
        <f ca="1">IF(OFFSET('IWP13'!BackgroundChecks, 12, 4, 1, 1) = 0, "", OFFSET('IWP13'!BackgroundChecks, 12, 4, 1, 1))</f>
        <v/>
      </c>
      <c r="E335" s="254">
        <f ca="1">IF(OFFSET('IWP13'!BackgroundChecks, 12, 5, 1, 1)=DATE(1900,1,0), DATE(1900,1,1), OFFSET('IWP13'!BackgroundChecks, 12, 5, 1, 1))</f>
        <v>1</v>
      </c>
      <c r="F335" s="262" t="str">
        <f ca="1">IF(OFFSET('IWP13'!BackgroundChecks, 12, 6, 1, 1) = 0, "", OFFSET('IWP13'!BackgroundChecks, 12, 6, 1, 1))</f>
        <v/>
      </c>
      <c r="G335" s="254">
        <f ca="1">IF(OFFSET('IWP13'!BackgroundChecks, 12, 7, 1, 1)=DATE(1900,1,0), DATE(1900,1,1), OFFSET('IWP13'!BackgroundChecks, 12, 7, 1, 1))</f>
        <v>1</v>
      </c>
      <c r="H335" s="254">
        <f ca="1">IF(OFFSET('IWP13'!BackgroundChecks, 12, 8, 1, 1)=DATE(1900,1,0), DATE(1900,1,1), OFFSET('IWP13'!BackgroundChecks, 12, 8, 1, 1))</f>
        <v>1</v>
      </c>
      <c r="I335" s="262" t="str">
        <f ca="1">IF(OFFSET('IWP13'!BackgroundChecks, 12, 9, 1, 1) = 0, "", OFFSET('IWP13'!BackgroundChecks, 12, 9, 1, 1))</f>
        <v/>
      </c>
      <c r="J335" s="262" t="str">
        <f ca="1">IF(OFFSET('IWP13'!BackgroundChecks, 12, 10, 1, 1) = 0, "", OFFSET('IWP13'!BackgroundChecks, 12, 10, 1, 1))</f>
        <v/>
      </c>
      <c r="K335" s="262" t="str">
        <f ca="1">IF(OFFSET('IWP13'!BackgroundChecks, 12, 11, 1, 1) = 0, "", OFFSET('IWP13'!BackgroundChecks, 12, 11, 1, 1))</f>
        <v/>
      </c>
      <c r="L335" s="262" t="str">
        <f ca="1">IF(OFFSET('IWP13'!BackgroundChecks, 12, 12, 1, 1) = 0, "", OFFSET('IWP13'!BackgroundChecks, 12, 12, 1, 1))</f>
        <v/>
      </c>
      <c r="M335" s="262" t="str">
        <f ca="1">IF(OFFSET('IWP13'!BackgroundChecks, 12, 13, 1, 1) = 0, "", OFFSET('IWP13'!BackgroundChecks, 12, 13, 1, 1))</f>
        <v/>
      </c>
      <c r="N335" s="261"/>
    </row>
    <row r="336" spans="1:14" s="146" customFormat="1">
      <c r="A336" s="257" t="s">
        <v>511</v>
      </c>
      <c r="B336" s="262" t="str">
        <f ca="1">IF(OFFSET('IWP13'!BackgroundChecks, 13, 0, 1, 1) = 0, "", OFFSET('IWP13'!BackgroundChecks, 13, 0, 1, 1))</f>
        <v/>
      </c>
      <c r="C336" s="262" t="str">
        <f ca="1">IF(OFFSET('IWP13'!BackgroundChecks, 13, 2, 1, 1) = 0, "", OFFSET('IWP13'!BackgroundChecks, 13, 2, 1, 1))</f>
        <v/>
      </c>
      <c r="D336" s="262" t="str">
        <f ca="1">IF(OFFSET('IWP13'!BackgroundChecks, 13, 4, 1, 1) = 0, "", OFFSET('IWP13'!BackgroundChecks, 13, 4, 1, 1))</f>
        <v/>
      </c>
      <c r="E336" s="254">
        <f ca="1">IF(OFFSET('IWP13'!BackgroundChecks, 13, 5, 1, 1)=DATE(1900,1,0), DATE(1900,1,1), OFFSET('IWP13'!BackgroundChecks, 13, 5, 1, 1))</f>
        <v>1</v>
      </c>
      <c r="F336" s="262" t="str">
        <f ca="1">IF(OFFSET('IWP13'!BackgroundChecks, 13, 6, 1, 1) = 0, "", OFFSET('IWP13'!BackgroundChecks, 13, 6, 1, 1))</f>
        <v/>
      </c>
      <c r="G336" s="254">
        <f ca="1">IF(OFFSET('IWP13'!BackgroundChecks, 13, 7, 1, 1)=DATE(1900,1,0), DATE(1900,1,1), OFFSET('IWP13'!BackgroundChecks, 13, 7, 1, 1))</f>
        <v>1</v>
      </c>
      <c r="H336" s="254">
        <f ca="1">IF(OFFSET('IWP13'!BackgroundChecks, 13, 8, 1, 1)=DATE(1900,1,0), DATE(1900,1,1), OFFSET('IWP13'!BackgroundChecks, 13, 8, 1, 1))</f>
        <v>1</v>
      </c>
      <c r="I336" s="262" t="str">
        <f ca="1">IF(OFFSET('IWP13'!BackgroundChecks, 13, 9, 1, 1) = 0, "", OFFSET('IWP13'!BackgroundChecks, 13, 9, 1, 1))</f>
        <v/>
      </c>
      <c r="J336" s="262" t="str">
        <f ca="1">IF(OFFSET('IWP13'!BackgroundChecks, 13, 10, 1, 1) = 0, "", OFFSET('IWP13'!BackgroundChecks, 13, 10, 1, 1))</f>
        <v/>
      </c>
      <c r="K336" s="262" t="str">
        <f ca="1">IF(OFFSET('IWP13'!BackgroundChecks, 13, 11, 1, 1) = 0, "", OFFSET('IWP13'!BackgroundChecks, 13, 11, 1, 1))</f>
        <v/>
      </c>
      <c r="L336" s="262" t="str">
        <f ca="1">IF(OFFSET('IWP13'!BackgroundChecks, 13, 12, 1, 1) = 0, "", OFFSET('IWP13'!BackgroundChecks, 13, 12, 1, 1))</f>
        <v/>
      </c>
      <c r="M336" s="262" t="str">
        <f ca="1">IF(OFFSET('IWP13'!BackgroundChecks, 13, 13, 1, 1) = 0, "", OFFSET('IWP13'!BackgroundChecks, 13, 13, 1, 1))</f>
        <v/>
      </c>
      <c r="N336" s="261"/>
    </row>
    <row r="337" spans="1:14" s="146" customFormat="1">
      <c r="A337" s="257" t="s">
        <v>511</v>
      </c>
      <c r="B337" s="262" t="str">
        <f ca="1">IF(OFFSET('IWP13'!BackgroundChecks, 14, 0, 1, 1) = 0, "", OFFSET('IWP13'!BackgroundChecks, 14, 0, 1, 1))</f>
        <v/>
      </c>
      <c r="C337" s="262" t="str">
        <f ca="1">IF(OFFSET('IWP13'!BackgroundChecks, 14, 2, 1, 1) = 0, "", OFFSET('IWP13'!BackgroundChecks, 14, 2, 1, 1))</f>
        <v/>
      </c>
      <c r="D337" s="262" t="str">
        <f ca="1">IF(OFFSET('IWP13'!BackgroundChecks, 14, 4, 1, 1) = 0, "", OFFSET('IWP13'!BackgroundChecks, 14, 4, 1, 1))</f>
        <v/>
      </c>
      <c r="E337" s="254">
        <f ca="1">IF(OFFSET('IWP13'!BackgroundChecks, 14, 5, 1, 1)=DATE(1900,1,0), DATE(1900,1,1), OFFSET('IWP13'!BackgroundChecks, 14, 5, 1, 1))</f>
        <v>1</v>
      </c>
      <c r="F337" s="262" t="str">
        <f ca="1">IF(OFFSET('IWP13'!BackgroundChecks, 14, 6, 1, 1) = 0, "", OFFSET('IWP13'!BackgroundChecks, 14, 6, 1, 1))</f>
        <v/>
      </c>
      <c r="G337" s="254">
        <f ca="1">IF(OFFSET('IWP13'!BackgroundChecks, 14, 7, 1, 1)=DATE(1900,1,0), DATE(1900,1,1), OFFSET('IWP13'!BackgroundChecks, 14, 7, 1, 1))</f>
        <v>1</v>
      </c>
      <c r="H337" s="254">
        <f ca="1">IF(OFFSET('IWP13'!BackgroundChecks, 14, 8, 1, 1)=DATE(1900,1,0), DATE(1900,1,1), OFFSET('IWP13'!BackgroundChecks, 14, 8, 1, 1))</f>
        <v>1</v>
      </c>
      <c r="I337" s="262" t="str">
        <f ca="1">IF(OFFSET('IWP13'!BackgroundChecks, 14, 9, 1, 1) = 0, "", OFFSET('IWP13'!BackgroundChecks, 14, 9, 1, 1))</f>
        <v/>
      </c>
      <c r="J337" s="262" t="str">
        <f ca="1">IF(OFFSET('IWP13'!BackgroundChecks, 14, 10, 1, 1) = 0, "", OFFSET('IWP13'!BackgroundChecks, 14, 10, 1, 1))</f>
        <v/>
      </c>
      <c r="K337" s="262" t="str">
        <f ca="1">IF(OFFSET('IWP13'!BackgroundChecks, 14, 11, 1, 1) = 0, "", OFFSET('IWP13'!BackgroundChecks, 14, 11, 1, 1))</f>
        <v/>
      </c>
      <c r="L337" s="262" t="str">
        <f ca="1">IF(OFFSET('IWP13'!BackgroundChecks, 14, 12, 1, 1) = 0, "", OFFSET('IWP13'!BackgroundChecks, 14, 12, 1, 1))</f>
        <v/>
      </c>
      <c r="M337" s="262" t="str">
        <f ca="1">IF(OFFSET('IWP13'!BackgroundChecks, 14, 13, 1, 1) = 0, "", OFFSET('IWP13'!BackgroundChecks, 14, 13, 1, 1))</f>
        <v/>
      </c>
      <c r="N337" s="261"/>
    </row>
    <row r="338" spans="1:14" s="146" customFormat="1">
      <c r="A338" s="257" t="s">
        <v>511</v>
      </c>
      <c r="B338" s="262" t="str">
        <f ca="1">IF(OFFSET('IWP13'!BackgroundChecks, 15, 0, 1, 1) = 0, "", OFFSET('IWP13'!BackgroundChecks, 15, 0, 1, 1))</f>
        <v/>
      </c>
      <c r="C338" s="262" t="str">
        <f ca="1">IF(OFFSET('IWP13'!BackgroundChecks, 15, 2, 1, 1) = 0, "", OFFSET('IWP13'!BackgroundChecks, 15, 2, 1, 1))</f>
        <v/>
      </c>
      <c r="D338" s="262" t="str">
        <f ca="1">IF(OFFSET('IWP13'!BackgroundChecks, 15, 4, 1, 1) = 0, "", OFFSET('IWP13'!BackgroundChecks, 15, 4, 1, 1))</f>
        <v/>
      </c>
      <c r="E338" s="254">
        <f ca="1">IF(OFFSET('IWP13'!BackgroundChecks, 15, 5, 1, 1)=DATE(1900,1,0), DATE(1900,1,1), OFFSET('IWP13'!BackgroundChecks, 15, 5, 1, 1))</f>
        <v>1</v>
      </c>
      <c r="F338" s="262" t="str">
        <f ca="1">IF(OFFSET('IWP13'!BackgroundChecks, 15, 6, 1, 1) = 0, "", OFFSET('IWP13'!BackgroundChecks, 15, 6, 1, 1))</f>
        <v/>
      </c>
      <c r="G338" s="254">
        <f ca="1">IF(OFFSET('IWP13'!BackgroundChecks, 15, 7, 1, 1)=DATE(1900,1,0), DATE(1900,1,1), OFFSET('IWP13'!BackgroundChecks, 15, 7, 1, 1))</f>
        <v>1</v>
      </c>
      <c r="H338" s="254">
        <f ca="1">IF(OFFSET('IWP13'!BackgroundChecks, 15, 8, 1, 1)=DATE(1900,1,0), DATE(1900,1,1), OFFSET('IWP13'!BackgroundChecks, 15, 8, 1, 1))</f>
        <v>1</v>
      </c>
      <c r="I338" s="262" t="str">
        <f ca="1">IF(OFFSET('IWP13'!BackgroundChecks, 15, 9, 1, 1) = 0, "", OFFSET('IWP13'!BackgroundChecks, 15, 9, 1, 1))</f>
        <v/>
      </c>
      <c r="J338" s="262" t="str">
        <f ca="1">IF(OFFSET('IWP13'!BackgroundChecks, 15, 10, 1, 1) = 0, "", OFFSET('IWP13'!BackgroundChecks, 15, 10, 1, 1))</f>
        <v/>
      </c>
      <c r="K338" s="262" t="str">
        <f ca="1">IF(OFFSET('IWP13'!BackgroundChecks, 15, 11, 1, 1) = 0, "", OFFSET('IWP13'!BackgroundChecks, 15, 11, 1, 1))</f>
        <v/>
      </c>
      <c r="L338" s="262" t="str">
        <f ca="1">IF(OFFSET('IWP13'!BackgroundChecks, 15, 12, 1, 1) = 0, "", OFFSET('IWP13'!BackgroundChecks, 15, 12, 1, 1))</f>
        <v/>
      </c>
      <c r="M338" s="262" t="str">
        <f ca="1">IF(OFFSET('IWP13'!BackgroundChecks, 15, 13, 1, 1) = 0, "", OFFSET('IWP13'!BackgroundChecks, 15, 13, 1, 1))</f>
        <v/>
      </c>
      <c r="N338" s="261"/>
    </row>
    <row r="339" spans="1:14" s="146" customFormat="1">
      <c r="A339" s="257" t="s">
        <v>511</v>
      </c>
      <c r="B339" s="262" t="str">
        <f ca="1">IF(OFFSET('IWP13'!BackgroundChecks, 16, 0, 1, 1) = 0, "", OFFSET('IWP13'!BackgroundChecks, 16, 0, 1, 1))</f>
        <v/>
      </c>
      <c r="C339" s="262" t="str">
        <f ca="1">IF(OFFSET('IWP13'!BackgroundChecks, 16, 2, 1, 1) = 0, "", OFFSET('IWP13'!BackgroundChecks, 16, 2, 1, 1))</f>
        <v/>
      </c>
      <c r="D339" s="262" t="str">
        <f ca="1">IF(OFFSET('IWP13'!BackgroundChecks, 16, 4, 1, 1) = 0, "", OFFSET('IWP13'!BackgroundChecks, 16, 4, 1, 1))</f>
        <v/>
      </c>
      <c r="E339" s="254">
        <f ca="1">IF(OFFSET('IWP13'!BackgroundChecks, 16, 5, 1, 1)=DATE(1900,1,0), DATE(1900,1,1), OFFSET('IWP13'!BackgroundChecks, 16, 5, 1, 1))</f>
        <v>1</v>
      </c>
      <c r="F339" s="262" t="str">
        <f ca="1">IF(OFFSET('IWP13'!BackgroundChecks, 16, 6, 1, 1) = 0, "", OFFSET('IWP13'!BackgroundChecks, 16, 6, 1, 1))</f>
        <v/>
      </c>
      <c r="G339" s="254">
        <f ca="1">IF(OFFSET('IWP13'!BackgroundChecks, 16, 7, 1, 1)=DATE(1900,1,0), DATE(1900,1,1), OFFSET('IWP13'!BackgroundChecks, 16, 7, 1, 1))</f>
        <v>1</v>
      </c>
      <c r="H339" s="254">
        <f ca="1">IF(OFFSET('IWP13'!BackgroundChecks, 16, 8, 1, 1)=DATE(1900,1,0), DATE(1900,1,1), OFFSET('IWP13'!BackgroundChecks, 16, 8, 1, 1))</f>
        <v>1</v>
      </c>
      <c r="I339" s="262" t="str">
        <f ca="1">IF(OFFSET('IWP13'!BackgroundChecks, 16, 9, 1, 1) = 0, "", OFFSET('IWP13'!BackgroundChecks, 16, 9, 1, 1))</f>
        <v/>
      </c>
      <c r="J339" s="262" t="str">
        <f ca="1">IF(OFFSET('IWP13'!BackgroundChecks, 16, 10, 1, 1) = 0, "", OFFSET('IWP13'!BackgroundChecks, 16, 10, 1, 1))</f>
        <v/>
      </c>
      <c r="K339" s="262" t="str">
        <f ca="1">IF(OFFSET('IWP13'!BackgroundChecks, 16, 11, 1, 1) = 0, "", OFFSET('IWP13'!BackgroundChecks, 16, 11, 1, 1))</f>
        <v/>
      </c>
      <c r="L339" s="262" t="str">
        <f ca="1">IF(OFFSET('IWP13'!BackgroundChecks, 16, 12, 1, 1) = 0, "", OFFSET('IWP13'!BackgroundChecks, 16, 12, 1, 1))</f>
        <v/>
      </c>
      <c r="M339" s="262" t="str">
        <f ca="1">IF(OFFSET('IWP13'!BackgroundChecks, 16, 13, 1, 1) = 0, "", OFFSET('IWP13'!BackgroundChecks, 16, 13, 1, 1))</f>
        <v/>
      </c>
      <c r="N339" s="261"/>
    </row>
    <row r="340" spans="1:14" s="146" customFormat="1">
      <c r="A340" s="257" t="s">
        <v>511</v>
      </c>
      <c r="B340" s="262" t="str">
        <f ca="1">IF(OFFSET('IWP13'!BackgroundChecks, 17, 0, 1, 1) = 0, "", OFFSET('IWP13'!BackgroundChecks, 17, 0, 1, 1))</f>
        <v/>
      </c>
      <c r="C340" s="262" t="str">
        <f ca="1">IF(OFFSET('IWP13'!BackgroundChecks, 17, 2, 1, 1) = 0, "", OFFSET('IWP13'!BackgroundChecks, 17, 2, 1, 1))</f>
        <v/>
      </c>
      <c r="D340" s="262" t="str">
        <f ca="1">IF(OFFSET('IWP13'!BackgroundChecks, 17, 4, 1, 1) = 0, "", OFFSET('IWP13'!BackgroundChecks, 17, 4, 1, 1))</f>
        <v/>
      </c>
      <c r="E340" s="254">
        <f ca="1">IF(OFFSET('IWP13'!BackgroundChecks, 17, 5, 1, 1)=DATE(1900,1,0), DATE(1900,1,1), OFFSET('IWP13'!BackgroundChecks, 17, 5, 1, 1))</f>
        <v>1</v>
      </c>
      <c r="F340" s="262" t="str">
        <f ca="1">IF(OFFSET('IWP13'!BackgroundChecks, 17, 6, 1, 1) = 0, "", OFFSET('IWP13'!BackgroundChecks, 17, 6, 1, 1))</f>
        <v/>
      </c>
      <c r="G340" s="254">
        <f ca="1">IF(OFFSET('IWP13'!BackgroundChecks, 17, 7, 1, 1)=DATE(1900,1,0), DATE(1900,1,1), OFFSET('IWP13'!BackgroundChecks, 17, 7, 1, 1))</f>
        <v>1</v>
      </c>
      <c r="H340" s="254">
        <f ca="1">IF(OFFSET('IWP13'!BackgroundChecks, 17, 8, 1, 1)=DATE(1900,1,0), DATE(1900,1,1), OFFSET('IWP13'!BackgroundChecks, 17, 8, 1, 1))</f>
        <v>1</v>
      </c>
      <c r="I340" s="262" t="str">
        <f ca="1">IF(OFFSET('IWP13'!BackgroundChecks, 17, 9, 1, 1) = 0, "", OFFSET('IWP13'!BackgroundChecks, 17, 9, 1, 1))</f>
        <v/>
      </c>
      <c r="J340" s="262" t="str">
        <f ca="1">IF(OFFSET('IWP13'!BackgroundChecks, 17, 10, 1, 1) = 0, "", OFFSET('IWP13'!BackgroundChecks, 17, 10, 1, 1))</f>
        <v/>
      </c>
      <c r="K340" s="262" t="str">
        <f ca="1">IF(OFFSET('IWP13'!BackgroundChecks, 17, 11, 1, 1) = 0, "", OFFSET('IWP13'!BackgroundChecks, 17, 11, 1, 1))</f>
        <v/>
      </c>
      <c r="L340" s="262" t="str">
        <f ca="1">IF(OFFSET('IWP13'!BackgroundChecks, 17, 12, 1, 1) = 0, "", OFFSET('IWP13'!BackgroundChecks, 17, 12, 1, 1))</f>
        <v/>
      </c>
      <c r="M340" s="262" t="str">
        <f ca="1">IF(OFFSET('IWP13'!BackgroundChecks, 17, 13, 1, 1) = 0, "", OFFSET('IWP13'!BackgroundChecks, 17, 13, 1, 1))</f>
        <v/>
      </c>
      <c r="N340" s="261"/>
    </row>
    <row r="341" spans="1:14" s="146" customFormat="1">
      <c r="A341" s="257" t="s">
        <v>511</v>
      </c>
      <c r="B341" s="262" t="str">
        <f ca="1">IF(OFFSET('IWP13'!BackgroundChecks, 18, 0, 1, 1) = 0, "", OFFSET('IWP13'!BackgroundChecks, 18, 0, 1, 1))</f>
        <v/>
      </c>
      <c r="C341" s="262" t="str">
        <f ca="1">IF(OFFSET('IWP13'!BackgroundChecks, 18, 2, 1, 1) = 0, "", OFFSET('IWP13'!BackgroundChecks, 18, 2, 1, 1))</f>
        <v/>
      </c>
      <c r="D341" s="262" t="str">
        <f ca="1">IF(OFFSET('IWP13'!BackgroundChecks, 18, 4, 1, 1) = 0, "", OFFSET('IWP13'!BackgroundChecks, 18, 4, 1, 1))</f>
        <v/>
      </c>
      <c r="E341" s="254">
        <f ca="1">IF(OFFSET('IWP13'!BackgroundChecks, 18, 5, 1, 1)=DATE(1900,1,0), DATE(1900,1,1), OFFSET('IWP13'!BackgroundChecks, 18, 5, 1, 1))</f>
        <v>1</v>
      </c>
      <c r="F341" s="262" t="str">
        <f ca="1">IF(OFFSET('IWP13'!BackgroundChecks, 18, 6, 1, 1) = 0, "", OFFSET('IWP13'!BackgroundChecks, 18, 6, 1, 1))</f>
        <v/>
      </c>
      <c r="G341" s="254">
        <f ca="1">IF(OFFSET('IWP13'!BackgroundChecks, 18, 7, 1, 1)=DATE(1900,1,0), DATE(1900,1,1), OFFSET('IWP13'!BackgroundChecks, 18, 7, 1, 1))</f>
        <v>1</v>
      </c>
      <c r="H341" s="254">
        <f ca="1">IF(OFFSET('IWP13'!BackgroundChecks, 18, 8, 1, 1)=DATE(1900,1,0), DATE(1900,1,1), OFFSET('IWP13'!BackgroundChecks, 18, 8, 1, 1))</f>
        <v>1</v>
      </c>
      <c r="I341" s="262" t="str">
        <f ca="1">IF(OFFSET('IWP13'!BackgroundChecks, 18, 9, 1, 1) = 0, "", OFFSET('IWP13'!BackgroundChecks, 18, 9, 1, 1))</f>
        <v/>
      </c>
      <c r="J341" s="262" t="str">
        <f ca="1">IF(OFFSET('IWP13'!BackgroundChecks, 18, 10, 1, 1) = 0, "", OFFSET('IWP13'!BackgroundChecks, 18, 10, 1, 1))</f>
        <v/>
      </c>
      <c r="K341" s="262" t="str">
        <f ca="1">IF(OFFSET('IWP13'!BackgroundChecks, 18, 11, 1, 1) = 0, "", OFFSET('IWP13'!BackgroundChecks, 18, 11, 1, 1))</f>
        <v/>
      </c>
      <c r="L341" s="262" t="str">
        <f ca="1">IF(OFFSET('IWP13'!BackgroundChecks, 18, 12, 1, 1) = 0, "", OFFSET('IWP13'!BackgroundChecks, 18, 12, 1, 1))</f>
        <v/>
      </c>
      <c r="M341" s="262" t="str">
        <f ca="1">IF(OFFSET('IWP13'!BackgroundChecks, 18, 13, 1, 1) = 0, "", OFFSET('IWP13'!BackgroundChecks, 18, 13, 1, 1))</f>
        <v/>
      </c>
      <c r="N341" s="261"/>
    </row>
    <row r="342" spans="1:14" s="146" customFormat="1">
      <c r="A342" s="257" t="s">
        <v>511</v>
      </c>
      <c r="B342" s="262" t="str">
        <f ca="1">IF(OFFSET('IWP13'!BackgroundChecks, 19, 0, 1, 1) = 0, "", OFFSET('IWP13'!BackgroundChecks, 19, 0, 1, 1))</f>
        <v/>
      </c>
      <c r="C342" s="262" t="str">
        <f ca="1">IF(OFFSET('IWP13'!BackgroundChecks, 19, 2, 1, 1) = 0, "", OFFSET('IWP13'!BackgroundChecks, 19, 2, 1, 1))</f>
        <v/>
      </c>
      <c r="D342" s="262" t="str">
        <f ca="1">IF(OFFSET('IWP13'!BackgroundChecks, 19, 4, 1, 1) = 0, "", OFFSET('IWP13'!BackgroundChecks, 19, 4, 1, 1))</f>
        <v/>
      </c>
      <c r="E342" s="254">
        <f ca="1">IF(OFFSET('IWP13'!BackgroundChecks, 19, 5, 1, 1)=DATE(1900,1,0), DATE(1900,1,1), OFFSET('IWP13'!BackgroundChecks, 19, 5, 1, 1))</f>
        <v>1</v>
      </c>
      <c r="F342" s="262" t="str">
        <f ca="1">IF(OFFSET('IWP13'!BackgroundChecks, 19, 6, 1, 1) = 0, "", OFFSET('IWP13'!BackgroundChecks, 19, 6, 1, 1))</f>
        <v/>
      </c>
      <c r="G342" s="254">
        <f ca="1">IF(OFFSET('IWP13'!BackgroundChecks, 19, 7, 1, 1)=DATE(1900,1,0), DATE(1900,1,1), OFFSET('IWP13'!BackgroundChecks, 19, 7, 1, 1))</f>
        <v>1</v>
      </c>
      <c r="H342" s="254">
        <f ca="1">IF(OFFSET('IWP13'!BackgroundChecks, 19, 8, 1, 1)=DATE(1900,1,0), DATE(1900,1,1), OFFSET('IWP13'!BackgroundChecks, 19, 8, 1, 1))</f>
        <v>1</v>
      </c>
      <c r="I342" s="262" t="str">
        <f ca="1">IF(OFFSET('IWP13'!BackgroundChecks, 19, 9, 1, 1) = 0, "", OFFSET('IWP13'!BackgroundChecks, 19, 9, 1, 1))</f>
        <v/>
      </c>
      <c r="J342" s="262" t="str">
        <f ca="1">IF(OFFSET('IWP13'!BackgroundChecks, 19, 10, 1, 1) = 0, "", OFFSET('IWP13'!BackgroundChecks, 19, 10, 1, 1))</f>
        <v/>
      </c>
      <c r="K342" s="262" t="str">
        <f ca="1">IF(OFFSET('IWP13'!BackgroundChecks, 19, 11, 1, 1) = 0, "", OFFSET('IWP13'!BackgroundChecks, 19, 11, 1, 1))</f>
        <v/>
      </c>
      <c r="L342" s="262" t="str">
        <f ca="1">IF(OFFSET('IWP13'!BackgroundChecks, 19, 12, 1, 1) = 0, "", OFFSET('IWP13'!BackgroundChecks, 19, 12, 1, 1))</f>
        <v/>
      </c>
      <c r="M342" s="262" t="str">
        <f ca="1">IF(OFFSET('IWP13'!BackgroundChecks, 19, 13, 1, 1) = 0, "", OFFSET('IWP13'!BackgroundChecks, 19, 13, 1, 1))</f>
        <v/>
      </c>
      <c r="N342" s="261"/>
    </row>
    <row r="343" spans="1:14" s="146" customFormat="1">
      <c r="A343" s="257" t="s">
        <v>512</v>
      </c>
      <c r="B343" s="262" t="str">
        <f ca="1">IF(OFFSET('IWP14'!BackgroundChecks, 0, 0, 1, 1) = 0, "", OFFSET('IWP14'!BackgroundChecks, 0, 0, 1, 1))</f>
        <v/>
      </c>
      <c r="C343" s="262" t="str">
        <f ca="1">IF(OFFSET('IWP14'!BackgroundChecks, 0, 2, 1, 1) = 0, "", OFFSET('IWP14'!BackgroundChecks, 0, 2, 1, 1))</f>
        <v/>
      </c>
      <c r="D343" s="262" t="str">
        <f ca="1">IF(OFFSET('IWP14'!BackgroundChecks, 0, 4, 1, 1) = 0, "", OFFSET('IWP14'!BackgroundChecks, 0, 4, 1, 1))</f>
        <v/>
      </c>
      <c r="E343" s="254">
        <f ca="1">IF(OFFSET('IWP14'!BackgroundChecks, 0, 5, 1, 1)=DATE(1900,1,0), DATE(1900,1,1), OFFSET('IWP14'!BackgroundChecks, 0, 5, 1, 1))</f>
        <v>1</v>
      </c>
      <c r="F343" s="262" t="str">
        <f ca="1">IF(OFFSET('IWP14'!BackgroundChecks, 0, 6, 1, 1) = 0, "", OFFSET('IWP14'!BackgroundChecks, 0, 6, 1, 1))</f>
        <v/>
      </c>
      <c r="G343" s="254">
        <f ca="1">IF(OFFSET('IWP14'!BackgroundChecks, 0, 7, 1, 1)=DATE(1900,1,0), DATE(1900,1,1), OFFSET('IWP14'!BackgroundChecks, 0, 7, 1, 1))</f>
        <v>1</v>
      </c>
      <c r="H343" s="254">
        <f ca="1">IF(OFFSET('IWP14'!BackgroundChecks, 0, 8, 1, 1)=DATE(1900,1,0), DATE(1900,1,1), OFFSET('IWP14'!BackgroundChecks, 0, 8, 1, 1))</f>
        <v>1</v>
      </c>
      <c r="I343" s="262" t="str">
        <f ca="1">IF(OFFSET('IWP14'!BackgroundChecks, 0, 9, 1, 1) = 0, "", OFFSET('IWP14'!BackgroundChecks, 0, 9, 1, 1))</f>
        <v/>
      </c>
      <c r="J343" s="262" t="str">
        <f ca="1">IF(OFFSET('IWP14'!BackgroundChecks, 0, 10, 1, 1) = 0, "", OFFSET('IWP14'!BackgroundChecks, 0, 10, 1, 1))</f>
        <v/>
      </c>
      <c r="K343" s="262" t="str">
        <f ca="1">IF(OFFSET('IWP14'!BackgroundChecks, 0, 11, 1, 1) = 0, "", OFFSET('IWP14'!BackgroundChecks, 0, 11, 1, 1))</f>
        <v/>
      </c>
      <c r="L343" s="262" t="str">
        <f ca="1">IF(OFFSET('IWP14'!BackgroundChecks, 0, 12, 1, 1) = 0, "", OFFSET('IWP14'!BackgroundChecks, 0, 12, 1, 1))</f>
        <v/>
      </c>
      <c r="M343" s="262" t="str">
        <f ca="1">IF(OFFSET('IWP14'!BackgroundChecks, 0, 13, 1, 1) = 0, "", OFFSET('IWP14'!BackgroundChecks, 0, 13, 1, 1))</f>
        <v/>
      </c>
      <c r="N343" s="261"/>
    </row>
    <row r="344" spans="1:14" s="146" customFormat="1">
      <c r="A344" s="257" t="s">
        <v>512</v>
      </c>
      <c r="B344" s="262" t="str">
        <f ca="1">IF(OFFSET('IWP14'!BackgroundChecks, 1, 0, 1, 1) = 0, "", OFFSET('IWP14'!BackgroundChecks, 1, 0, 1, 1))</f>
        <v/>
      </c>
      <c r="C344" s="262" t="str">
        <f ca="1">IF(OFFSET('IWP14'!BackgroundChecks, 1, 2, 1, 1) = 0, "", OFFSET('IWP14'!BackgroundChecks, 1, 2, 1, 1))</f>
        <v/>
      </c>
      <c r="D344" s="262" t="str">
        <f ca="1">IF(OFFSET('IWP14'!BackgroundChecks, 1, 4, 1, 1) = 0, "", OFFSET('IWP14'!BackgroundChecks, 1, 4, 1, 1))</f>
        <v/>
      </c>
      <c r="E344" s="254">
        <f ca="1">IF(OFFSET('IWP14'!BackgroundChecks, 1, 5, 1, 1)=DATE(1900,1,0), DATE(1900,1,1), OFFSET('IWP14'!BackgroundChecks, 1, 5, 1, 1))</f>
        <v>1</v>
      </c>
      <c r="F344" s="262" t="str">
        <f ca="1">IF(OFFSET('IWP14'!BackgroundChecks, 1, 6, 1, 1) = 0, "", OFFSET('IWP14'!BackgroundChecks, 1, 6, 1, 1))</f>
        <v/>
      </c>
      <c r="G344" s="254">
        <f ca="1">IF(OFFSET('IWP14'!BackgroundChecks, 1, 7, 1, 1)=DATE(1900,1,0), DATE(1900,1,1), OFFSET('IWP14'!BackgroundChecks, 1, 7, 1, 1))</f>
        <v>1</v>
      </c>
      <c r="H344" s="254">
        <f ca="1">IF(OFFSET('IWP14'!BackgroundChecks, 1, 8, 1, 1)=DATE(1900,1,0), DATE(1900,1,1), OFFSET('IWP14'!BackgroundChecks, 1, 8, 1, 1))</f>
        <v>1</v>
      </c>
      <c r="I344" s="262" t="str">
        <f ca="1">IF(OFFSET('IWP14'!BackgroundChecks, 1, 9, 1, 1) = 0, "", OFFSET('IWP14'!BackgroundChecks, 1, 9, 1, 1))</f>
        <v/>
      </c>
      <c r="J344" s="262" t="str">
        <f ca="1">IF(OFFSET('IWP14'!BackgroundChecks, 1, 10, 1, 1) = 0, "", OFFSET('IWP14'!BackgroundChecks, 1, 10, 1, 1))</f>
        <v/>
      </c>
      <c r="K344" s="262" t="str">
        <f ca="1">IF(OFFSET('IWP14'!BackgroundChecks, 1, 11, 1, 1) = 0, "", OFFSET('IWP14'!BackgroundChecks, 1, 11, 1, 1))</f>
        <v/>
      </c>
      <c r="L344" s="262" t="str">
        <f ca="1">IF(OFFSET('IWP14'!BackgroundChecks, 1, 12, 1, 1) = 0, "", OFFSET('IWP14'!BackgroundChecks, 1, 12, 1, 1))</f>
        <v/>
      </c>
      <c r="M344" s="262" t="str">
        <f ca="1">IF(OFFSET('IWP14'!BackgroundChecks, 1, 13, 1, 1) = 0, "", OFFSET('IWP14'!BackgroundChecks, 1, 13, 1, 1))</f>
        <v/>
      </c>
      <c r="N344" s="261"/>
    </row>
    <row r="345" spans="1:14" s="146" customFormat="1">
      <c r="A345" s="257" t="s">
        <v>512</v>
      </c>
      <c r="B345" s="262" t="str">
        <f ca="1">IF(OFFSET('IWP14'!BackgroundChecks, 2, 0, 1, 1) = 0, "", OFFSET('IWP14'!BackgroundChecks, 2, 0, 1, 1))</f>
        <v/>
      </c>
      <c r="C345" s="262" t="str">
        <f ca="1">IF(OFFSET('IWP14'!BackgroundChecks, 2, 2, 1, 1) = 0, "", OFFSET('IWP14'!BackgroundChecks, 2, 2, 1, 1))</f>
        <v/>
      </c>
      <c r="D345" s="262" t="str">
        <f ca="1">IF(OFFSET('IWP14'!BackgroundChecks, 2, 4, 1, 1) = 0, "", OFFSET('IWP14'!BackgroundChecks, 2, 4, 1, 1))</f>
        <v/>
      </c>
      <c r="E345" s="254">
        <f ca="1">IF(OFFSET('IWP14'!BackgroundChecks, 2, 5, 1, 1)=DATE(1900,1,0), DATE(1900,1,1), OFFSET('IWP14'!BackgroundChecks, 2, 5, 1, 1))</f>
        <v>1</v>
      </c>
      <c r="F345" s="262" t="str">
        <f ca="1">IF(OFFSET('IWP14'!BackgroundChecks, 2, 6, 1, 1) = 0, "", OFFSET('IWP14'!BackgroundChecks, 2, 6, 1, 1))</f>
        <v/>
      </c>
      <c r="G345" s="254">
        <f ca="1">IF(OFFSET('IWP14'!BackgroundChecks, 2, 7, 1, 1)=DATE(1900,1,0), DATE(1900,1,1), OFFSET('IWP14'!BackgroundChecks, 2, 7, 1, 1))</f>
        <v>1</v>
      </c>
      <c r="H345" s="254">
        <f ca="1">IF(OFFSET('IWP14'!BackgroundChecks, 2, 8, 1, 1)=DATE(1900,1,0), DATE(1900,1,1), OFFSET('IWP14'!BackgroundChecks, 2, 8, 1, 1))</f>
        <v>1</v>
      </c>
      <c r="I345" s="262" t="str">
        <f ca="1">IF(OFFSET('IWP14'!BackgroundChecks, 2, 9, 1, 1) = 0, "", OFFSET('IWP14'!BackgroundChecks, 2, 9, 1, 1))</f>
        <v/>
      </c>
      <c r="J345" s="262" t="str">
        <f ca="1">IF(OFFSET('IWP14'!BackgroundChecks, 2, 10, 1, 1) = 0, "", OFFSET('IWP14'!BackgroundChecks, 2, 10, 1, 1))</f>
        <v/>
      </c>
      <c r="K345" s="262" t="str">
        <f ca="1">IF(OFFSET('IWP14'!BackgroundChecks, 2, 11, 1, 1) = 0, "", OFFSET('IWP14'!BackgroundChecks, 2, 11, 1, 1))</f>
        <v/>
      </c>
      <c r="L345" s="262" t="str">
        <f ca="1">IF(OFFSET('IWP14'!BackgroundChecks, 2, 12, 1, 1) = 0, "", OFFSET('IWP14'!BackgroundChecks, 2, 12, 1, 1))</f>
        <v/>
      </c>
      <c r="M345" s="262" t="str">
        <f ca="1">IF(OFFSET('IWP14'!BackgroundChecks, 2, 13, 1, 1) = 0, "", OFFSET('IWP14'!BackgroundChecks, 2, 13, 1, 1))</f>
        <v/>
      </c>
      <c r="N345" s="261"/>
    </row>
    <row r="346" spans="1:14" s="146" customFormat="1">
      <c r="A346" s="257" t="s">
        <v>512</v>
      </c>
      <c r="B346" s="262" t="str">
        <f ca="1">IF(OFFSET('IWP14'!BackgroundChecks, 3, 0, 1, 1) = 0, "", OFFSET('IWP14'!BackgroundChecks, 3, 0, 1, 1))</f>
        <v/>
      </c>
      <c r="C346" s="262" t="str">
        <f ca="1">IF(OFFSET('IWP14'!BackgroundChecks, 3, 2, 1, 1) = 0, "", OFFSET('IWP14'!BackgroundChecks, 3, 2, 1, 1))</f>
        <v/>
      </c>
      <c r="D346" s="262" t="str">
        <f ca="1">IF(OFFSET('IWP14'!BackgroundChecks, 3, 4, 1, 1) = 0, "", OFFSET('IWP14'!BackgroundChecks, 3, 4, 1, 1))</f>
        <v/>
      </c>
      <c r="E346" s="254">
        <f ca="1">IF(OFFSET('IWP14'!BackgroundChecks, 3, 5, 1, 1)=DATE(1900,1,0), DATE(1900,1,1), OFFSET('IWP14'!BackgroundChecks, 3, 5, 1, 1))</f>
        <v>1</v>
      </c>
      <c r="F346" s="262" t="str">
        <f ca="1">IF(OFFSET('IWP14'!BackgroundChecks, 3, 6, 1, 1) = 0, "", OFFSET('IWP14'!BackgroundChecks, 3, 6, 1, 1))</f>
        <v/>
      </c>
      <c r="G346" s="254">
        <f ca="1">IF(OFFSET('IWP14'!BackgroundChecks, 3, 7, 1, 1)=DATE(1900,1,0), DATE(1900,1,1), OFFSET('IWP14'!BackgroundChecks, 3, 7, 1, 1))</f>
        <v>1</v>
      </c>
      <c r="H346" s="254">
        <f ca="1">IF(OFFSET('IWP14'!BackgroundChecks, 3, 8, 1, 1)=DATE(1900,1,0), DATE(1900,1,1), OFFSET('IWP14'!BackgroundChecks, 3, 8, 1, 1))</f>
        <v>1</v>
      </c>
      <c r="I346" s="262" t="str">
        <f ca="1">IF(OFFSET('IWP14'!BackgroundChecks, 3, 9, 1, 1) = 0, "", OFFSET('IWP14'!BackgroundChecks, 3, 9, 1, 1))</f>
        <v/>
      </c>
      <c r="J346" s="262" t="str">
        <f ca="1">IF(OFFSET('IWP14'!BackgroundChecks, 3, 10, 1, 1) = 0, "", OFFSET('IWP14'!BackgroundChecks, 3, 10, 1, 1))</f>
        <v/>
      </c>
      <c r="K346" s="262" t="str">
        <f ca="1">IF(OFFSET('IWP14'!BackgroundChecks, 3, 11, 1, 1) = 0, "", OFFSET('IWP14'!BackgroundChecks, 3, 11, 1, 1))</f>
        <v/>
      </c>
      <c r="L346" s="262" t="str">
        <f ca="1">IF(OFFSET('IWP14'!BackgroundChecks, 3, 12, 1, 1) = 0, "", OFFSET('IWP14'!BackgroundChecks, 3, 12, 1, 1))</f>
        <v/>
      </c>
      <c r="M346" s="262" t="str">
        <f ca="1">IF(OFFSET('IWP14'!BackgroundChecks, 3, 13, 1, 1) = 0, "", OFFSET('IWP14'!BackgroundChecks, 3, 13, 1, 1))</f>
        <v/>
      </c>
      <c r="N346" s="261"/>
    </row>
    <row r="347" spans="1:14" s="146" customFormat="1">
      <c r="A347" s="257" t="s">
        <v>512</v>
      </c>
      <c r="B347" s="262" t="str">
        <f ca="1">IF(OFFSET('IWP14'!BackgroundChecks, 4, 0, 1, 1) = 0, "", OFFSET('IWP14'!BackgroundChecks, 4, 0, 1, 1))</f>
        <v/>
      </c>
      <c r="C347" s="262" t="str">
        <f ca="1">IF(OFFSET('IWP14'!BackgroundChecks, 4, 2, 1, 1) = 0, "", OFFSET('IWP14'!BackgroundChecks, 4, 2, 1, 1))</f>
        <v/>
      </c>
      <c r="D347" s="262" t="str">
        <f ca="1">IF(OFFSET('IWP14'!BackgroundChecks, 4, 4, 1, 1) = 0, "", OFFSET('IWP14'!BackgroundChecks, 4, 4, 1, 1))</f>
        <v/>
      </c>
      <c r="E347" s="254">
        <f ca="1">IF(OFFSET('IWP14'!BackgroundChecks, 4, 5, 1, 1)=DATE(1900,1,0), DATE(1900,1,1), OFFSET('IWP14'!BackgroundChecks, 4, 5, 1, 1))</f>
        <v>1</v>
      </c>
      <c r="F347" s="262" t="str">
        <f ca="1">IF(OFFSET('IWP14'!BackgroundChecks, 4, 6, 1, 1) = 0, "", OFFSET('IWP14'!BackgroundChecks, 4, 6, 1, 1))</f>
        <v/>
      </c>
      <c r="G347" s="254">
        <f ca="1">IF(OFFSET('IWP14'!BackgroundChecks, 4, 7, 1, 1)=DATE(1900,1,0), DATE(1900,1,1), OFFSET('IWP14'!BackgroundChecks, 4, 7, 1, 1))</f>
        <v>1</v>
      </c>
      <c r="H347" s="254">
        <f ca="1">IF(OFFSET('IWP14'!BackgroundChecks, 4, 8, 1, 1)=DATE(1900,1,0), DATE(1900,1,1), OFFSET('IWP14'!BackgroundChecks, 4, 8, 1, 1))</f>
        <v>1</v>
      </c>
      <c r="I347" s="262" t="str">
        <f ca="1">IF(OFFSET('IWP14'!BackgroundChecks, 4, 9, 1, 1) = 0, "", OFFSET('IWP14'!BackgroundChecks, 4, 9, 1, 1))</f>
        <v/>
      </c>
      <c r="J347" s="262" t="str">
        <f ca="1">IF(OFFSET('IWP14'!BackgroundChecks, 4, 10, 1, 1) = 0, "", OFFSET('IWP14'!BackgroundChecks, 4, 10, 1, 1))</f>
        <v/>
      </c>
      <c r="K347" s="262" t="str">
        <f ca="1">IF(OFFSET('IWP14'!BackgroundChecks, 4, 11, 1, 1) = 0, "", OFFSET('IWP14'!BackgroundChecks, 4, 11, 1, 1))</f>
        <v/>
      </c>
      <c r="L347" s="262" t="str">
        <f ca="1">IF(OFFSET('IWP14'!BackgroundChecks, 4, 12, 1, 1) = 0, "", OFFSET('IWP14'!BackgroundChecks, 4, 12, 1, 1))</f>
        <v/>
      </c>
      <c r="M347" s="262" t="str">
        <f ca="1">IF(OFFSET('IWP14'!BackgroundChecks, 4, 13, 1, 1) = 0, "", OFFSET('IWP14'!BackgroundChecks, 4, 13, 1, 1))</f>
        <v/>
      </c>
      <c r="N347" s="261"/>
    </row>
    <row r="348" spans="1:14" s="146" customFormat="1">
      <c r="A348" s="257" t="s">
        <v>512</v>
      </c>
      <c r="B348" s="262" t="str">
        <f ca="1">IF(OFFSET('IWP14'!BackgroundChecks, 5, 0, 1, 1) = 0, "", OFFSET('IWP14'!BackgroundChecks, 5, 0, 1, 1))</f>
        <v/>
      </c>
      <c r="C348" s="262" t="str">
        <f ca="1">IF(OFFSET('IWP14'!BackgroundChecks, 5, 2, 1, 1) = 0, "", OFFSET('IWP14'!BackgroundChecks, 5, 2, 1, 1))</f>
        <v/>
      </c>
      <c r="D348" s="262" t="str">
        <f ca="1">IF(OFFSET('IWP14'!BackgroundChecks, 5, 4, 1, 1) = 0, "", OFFSET('IWP14'!BackgroundChecks, 5, 4, 1, 1))</f>
        <v/>
      </c>
      <c r="E348" s="254">
        <f ca="1">IF(OFFSET('IWP14'!BackgroundChecks, 5, 5, 1, 1)=DATE(1900,1,0), DATE(1900,1,1), OFFSET('IWP14'!BackgroundChecks, 5, 5, 1, 1))</f>
        <v>1</v>
      </c>
      <c r="F348" s="262" t="str">
        <f ca="1">IF(OFFSET('IWP14'!BackgroundChecks, 5, 6, 1, 1) = 0, "", OFFSET('IWP14'!BackgroundChecks, 5, 6, 1, 1))</f>
        <v/>
      </c>
      <c r="G348" s="254">
        <f ca="1">IF(OFFSET('IWP14'!BackgroundChecks, 5, 7, 1, 1)=DATE(1900,1,0), DATE(1900,1,1), OFFSET('IWP14'!BackgroundChecks, 5, 7, 1, 1))</f>
        <v>1</v>
      </c>
      <c r="H348" s="254">
        <f ca="1">IF(OFFSET('IWP14'!BackgroundChecks, 5, 8, 1, 1)=DATE(1900,1,0), DATE(1900,1,1), OFFSET('IWP14'!BackgroundChecks, 5, 8, 1, 1))</f>
        <v>1</v>
      </c>
      <c r="I348" s="262" t="str">
        <f ca="1">IF(OFFSET('IWP14'!BackgroundChecks, 5, 9, 1, 1) = 0, "", OFFSET('IWP14'!BackgroundChecks, 5, 9, 1, 1))</f>
        <v/>
      </c>
      <c r="J348" s="262" t="str">
        <f ca="1">IF(OFFSET('IWP14'!BackgroundChecks, 5, 10, 1, 1) = 0, "", OFFSET('IWP14'!BackgroundChecks, 5, 10, 1, 1))</f>
        <v/>
      </c>
      <c r="K348" s="262" t="str">
        <f ca="1">IF(OFFSET('IWP14'!BackgroundChecks, 5, 11, 1, 1) = 0, "", OFFSET('IWP14'!BackgroundChecks, 5, 11, 1, 1))</f>
        <v/>
      </c>
      <c r="L348" s="262" t="str">
        <f ca="1">IF(OFFSET('IWP14'!BackgroundChecks, 5, 12, 1, 1) = 0, "", OFFSET('IWP14'!BackgroundChecks, 5, 12, 1, 1))</f>
        <v/>
      </c>
      <c r="M348" s="262" t="str">
        <f ca="1">IF(OFFSET('IWP14'!BackgroundChecks, 5, 13, 1, 1) = 0, "", OFFSET('IWP14'!BackgroundChecks, 5, 13, 1, 1))</f>
        <v/>
      </c>
      <c r="N348" s="261"/>
    </row>
    <row r="349" spans="1:14" s="146" customFormat="1">
      <c r="A349" s="257" t="s">
        <v>512</v>
      </c>
      <c r="B349" s="262" t="str">
        <f ca="1">IF(OFFSET('IWP14'!BackgroundChecks, 6, 0, 1, 1) = 0, "", OFFSET('IWP14'!BackgroundChecks, 6, 0, 1, 1))</f>
        <v/>
      </c>
      <c r="C349" s="262" t="str">
        <f ca="1">IF(OFFSET('IWP14'!BackgroundChecks, 6, 2, 1, 1) = 0, "", OFFSET('IWP14'!BackgroundChecks, 6, 2, 1, 1))</f>
        <v/>
      </c>
      <c r="D349" s="262" t="str">
        <f ca="1">IF(OFFSET('IWP14'!BackgroundChecks, 6, 4, 1, 1) = 0, "", OFFSET('IWP14'!BackgroundChecks, 6, 4, 1, 1))</f>
        <v/>
      </c>
      <c r="E349" s="254">
        <f ca="1">IF(OFFSET('IWP14'!BackgroundChecks, 6, 5, 1, 1)=DATE(1900,1,0), DATE(1900,1,1), OFFSET('IWP14'!BackgroundChecks, 6, 5, 1, 1))</f>
        <v>1</v>
      </c>
      <c r="F349" s="262" t="str">
        <f ca="1">IF(OFFSET('IWP14'!BackgroundChecks, 6, 6, 1, 1) = 0, "", OFFSET('IWP14'!BackgroundChecks, 6, 6, 1, 1))</f>
        <v/>
      </c>
      <c r="G349" s="254">
        <f ca="1">IF(OFFSET('IWP14'!BackgroundChecks, 6, 7, 1, 1)=DATE(1900,1,0), DATE(1900,1,1), OFFSET('IWP14'!BackgroundChecks, 6, 7, 1, 1))</f>
        <v>1</v>
      </c>
      <c r="H349" s="254">
        <f ca="1">IF(OFFSET('IWP14'!BackgroundChecks, 6, 8, 1, 1)=DATE(1900,1,0), DATE(1900,1,1), OFFSET('IWP14'!BackgroundChecks, 6, 8, 1, 1))</f>
        <v>1</v>
      </c>
      <c r="I349" s="262" t="str">
        <f ca="1">IF(OFFSET('IWP14'!BackgroundChecks, 6, 9, 1, 1) = 0, "", OFFSET('IWP14'!BackgroundChecks, 6, 9, 1, 1))</f>
        <v/>
      </c>
      <c r="J349" s="262" t="str">
        <f ca="1">IF(OFFSET('IWP14'!BackgroundChecks, 6, 10, 1, 1) = 0, "", OFFSET('IWP14'!BackgroundChecks, 6, 10, 1, 1))</f>
        <v/>
      </c>
      <c r="K349" s="262" t="str">
        <f ca="1">IF(OFFSET('IWP14'!BackgroundChecks, 6, 11, 1, 1) = 0, "", OFFSET('IWP14'!BackgroundChecks, 6, 11, 1, 1))</f>
        <v/>
      </c>
      <c r="L349" s="262" t="str">
        <f ca="1">IF(OFFSET('IWP14'!BackgroundChecks, 6, 12, 1, 1) = 0, "", OFFSET('IWP14'!BackgroundChecks, 6, 12, 1, 1))</f>
        <v/>
      </c>
      <c r="M349" s="262" t="str">
        <f ca="1">IF(OFFSET('IWP14'!BackgroundChecks, 6, 13, 1, 1) = 0, "", OFFSET('IWP14'!BackgroundChecks, 6, 13, 1, 1))</f>
        <v/>
      </c>
      <c r="N349" s="261"/>
    </row>
    <row r="350" spans="1:14" s="146" customFormat="1">
      <c r="A350" s="257" t="s">
        <v>512</v>
      </c>
      <c r="B350" s="262" t="str">
        <f ca="1">IF(OFFSET('IWP14'!BackgroundChecks, 7, 0, 1, 1) = 0, "", OFFSET('IWP14'!BackgroundChecks, 7, 0, 1, 1))</f>
        <v/>
      </c>
      <c r="C350" s="262" t="str">
        <f ca="1">IF(OFFSET('IWP14'!BackgroundChecks, 7, 2, 1, 1) = 0, "", OFFSET('IWP14'!BackgroundChecks, 7, 2, 1, 1))</f>
        <v/>
      </c>
      <c r="D350" s="262" t="str">
        <f ca="1">IF(OFFSET('IWP14'!BackgroundChecks, 7, 4, 1, 1) = 0, "", OFFSET('IWP14'!BackgroundChecks, 7, 4, 1, 1))</f>
        <v/>
      </c>
      <c r="E350" s="254">
        <f ca="1">IF(OFFSET('IWP14'!BackgroundChecks, 7, 5, 1, 1)=DATE(1900,1,0), DATE(1900,1,1), OFFSET('IWP14'!BackgroundChecks, 7, 5, 1, 1))</f>
        <v>1</v>
      </c>
      <c r="F350" s="262" t="str">
        <f ca="1">IF(OFFSET('IWP14'!BackgroundChecks, 7, 6, 1, 1) = 0, "", OFFSET('IWP14'!BackgroundChecks, 7, 6, 1, 1))</f>
        <v/>
      </c>
      <c r="G350" s="254">
        <f ca="1">IF(OFFSET('IWP14'!BackgroundChecks, 7, 7, 1, 1)=DATE(1900,1,0), DATE(1900,1,1), OFFSET('IWP14'!BackgroundChecks, 7, 7, 1, 1))</f>
        <v>1</v>
      </c>
      <c r="H350" s="254">
        <f ca="1">IF(OFFSET('IWP14'!BackgroundChecks, 7, 8, 1, 1)=DATE(1900,1,0), DATE(1900,1,1), OFFSET('IWP14'!BackgroundChecks, 7, 8, 1, 1))</f>
        <v>1</v>
      </c>
      <c r="I350" s="262" t="str">
        <f ca="1">IF(OFFSET('IWP14'!BackgroundChecks, 7, 9, 1, 1) = 0, "", OFFSET('IWP14'!BackgroundChecks, 7, 9, 1, 1))</f>
        <v/>
      </c>
      <c r="J350" s="262" t="str">
        <f ca="1">IF(OFFSET('IWP14'!BackgroundChecks, 7, 10, 1, 1) = 0, "", OFFSET('IWP14'!BackgroundChecks, 7, 10, 1, 1))</f>
        <v/>
      </c>
      <c r="K350" s="262" t="str">
        <f ca="1">IF(OFFSET('IWP14'!BackgroundChecks, 7, 11, 1, 1) = 0, "", OFFSET('IWP14'!BackgroundChecks, 7, 11, 1, 1))</f>
        <v/>
      </c>
      <c r="L350" s="262" t="str">
        <f ca="1">IF(OFFSET('IWP14'!BackgroundChecks, 7, 12, 1, 1) = 0, "", OFFSET('IWP14'!BackgroundChecks, 7, 12, 1, 1))</f>
        <v/>
      </c>
      <c r="M350" s="262" t="str">
        <f ca="1">IF(OFFSET('IWP14'!BackgroundChecks, 7, 13, 1, 1) = 0, "", OFFSET('IWP14'!BackgroundChecks, 7, 13, 1, 1))</f>
        <v/>
      </c>
      <c r="N350" s="261"/>
    </row>
    <row r="351" spans="1:14" s="146" customFormat="1">
      <c r="A351" s="257" t="s">
        <v>512</v>
      </c>
      <c r="B351" s="262" t="str">
        <f ca="1">IF(OFFSET('IWP14'!BackgroundChecks, 8, 0, 1, 1) = 0, "", OFFSET('IWP14'!BackgroundChecks, 8, 0, 1, 1))</f>
        <v/>
      </c>
      <c r="C351" s="262" t="str">
        <f ca="1">IF(OFFSET('IWP14'!BackgroundChecks, 8, 2, 1, 1) = 0, "", OFFSET('IWP14'!BackgroundChecks, 8, 2, 1, 1))</f>
        <v/>
      </c>
      <c r="D351" s="262" t="str">
        <f ca="1">IF(OFFSET('IWP14'!BackgroundChecks, 8, 4, 1, 1) = 0, "", OFFSET('IWP14'!BackgroundChecks, 8, 4, 1, 1))</f>
        <v/>
      </c>
      <c r="E351" s="254">
        <f ca="1">IF(OFFSET('IWP14'!BackgroundChecks, 8, 5, 1, 1)=DATE(1900,1,0), DATE(1900,1,1), OFFSET('IWP14'!BackgroundChecks, 8, 5, 1, 1))</f>
        <v>1</v>
      </c>
      <c r="F351" s="262" t="str">
        <f ca="1">IF(OFFSET('IWP14'!BackgroundChecks, 8, 6, 1, 1) = 0, "", OFFSET('IWP14'!BackgroundChecks, 8, 6, 1, 1))</f>
        <v/>
      </c>
      <c r="G351" s="254">
        <f ca="1">IF(OFFSET('IWP14'!BackgroundChecks, 8, 7, 1, 1)=DATE(1900,1,0), DATE(1900,1,1), OFFSET('IWP14'!BackgroundChecks, 8, 7, 1, 1))</f>
        <v>1</v>
      </c>
      <c r="H351" s="254">
        <f ca="1">IF(OFFSET('IWP14'!BackgroundChecks, 8, 8, 1, 1)=DATE(1900,1,0), DATE(1900,1,1), OFFSET('IWP14'!BackgroundChecks, 8, 8, 1, 1))</f>
        <v>1</v>
      </c>
      <c r="I351" s="262" t="str">
        <f ca="1">IF(OFFSET('IWP14'!BackgroundChecks, 8, 9, 1, 1) = 0, "", OFFSET('IWP14'!BackgroundChecks, 8, 9, 1, 1))</f>
        <v/>
      </c>
      <c r="J351" s="262" t="str">
        <f ca="1">IF(OFFSET('IWP14'!BackgroundChecks, 8, 10, 1, 1) = 0, "", OFFSET('IWP14'!BackgroundChecks, 8, 10, 1, 1))</f>
        <v/>
      </c>
      <c r="K351" s="262" t="str">
        <f ca="1">IF(OFFSET('IWP14'!BackgroundChecks, 8, 11, 1, 1) = 0, "", OFFSET('IWP14'!BackgroundChecks, 8, 11, 1, 1))</f>
        <v/>
      </c>
      <c r="L351" s="262" t="str">
        <f ca="1">IF(OFFSET('IWP14'!BackgroundChecks, 8, 12, 1, 1) = 0, "", OFFSET('IWP14'!BackgroundChecks, 8, 12, 1, 1))</f>
        <v/>
      </c>
      <c r="M351" s="262" t="str">
        <f ca="1">IF(OFFSET('IWP14'!BackgroundChecks, 8, 13, 1, 1) = 0, "", OFFSET('IWP14'!BackgroundChecks, 8, 13, 1, 1))</f>
        <v/>
      </c>
      <c r="N351" s="261"/>
    </row>
    <row r="352" spans="1:14" s="146" customFormat="1">
      <c r="A352" s="257" t="s">
        <v>512</v>
      </c>
      <c r="B352" s="262" t="str">
        <f ca="1">IF(OFFSET('IWP14'!BackgroundChecks, 9, 0, 1, 1) = 0, "", OFFSET('IWP14'!BackgroundChecks, 9, 0, 1, 1))</f>
        <v/>
      </c>
      <c r="C352" s="262" t="str">
        <f ca="1">IF(OFFSET('IWP14'!BackgroundChecks, 9, 2, 1, 1) = 0, "", OFFSET('IWP14'!BackgroundChecks, 9, 2, 1, 1))</f>
        <v/>
      </c>
      <c r="D352" s="262" t="str">
        <f ca="1">IF(OFFSET('IWP14'!BackgroundChecks, 9, 4, 1, 1) = 0, "", OFFSET('IWP14'!BackgroundChecks, 9, 4, 1, 1))</f>
        <v/>
      </c>
      <c r="E352" s="254">
        <f ca="1">IF(OFFSET('IWP14'!BackgroundChecks, 9, 5, 1, 1)=DATE(1900,1,0), DATE(1900,1,1), OFFSET('IWP14'!BackgroundChecks, 9, 5, 1, 1))</f>
        <v>1</v>
      </c>
      <c r="F352" s="262" t="str">
        <f ca="1">IF(OFFSET('IWP14'!BackgroundChecks, 9, 6, 1, 1) = 0, "", OFFSET('IWP14'!BackgroundChecks, 9, 6, 1, 1))</f>
        <v/>
      </c>
      <c r="G352" s="254">
        <f ca="1">IF(OFFSET('IWP14'!BackgroundChecks, 9, 7, 1, 1)=DATE(1900,1,0), DATE(1900,1,1), OFFSET('IWP14'!BackgroundChecks, 9, 7, 1, 1))</f>
        <v>1</v>
      </c>
      <c r="H352" s="254">
        <f ca="1">IF(OFFSET('IWP14'!BackgroundChecks, 9, 8, 1, 1)=DATE(1900,1,0), DATE(1900,1,1), OFFSET('IWP14'!BackgroundChecks, 9, 8, 1, 1))</f>
        <v>1</v>
      </c>
      <c r="I352" s="262" t="str">
        <f ca="1">IF(OFFSET('IWP14'!BackgroundChecks, 9, 9, 1, 1) = 0, "", OFFSET('IWP14'!BackgroundChecks, 9, 9, 1, 1))</f>
        <v/>
      </c>
      <c r="J352" s="262" t="str">
        <f ca="1">IF(OFFSET('IWP14'!BackgroundChecks, 9, 10, 1, 1) = 0, "", OFFSET('IWP14'!BackgroundChecks, 9, 10, 1, 1))</f>
        <v/>
      </c>
      <c r="K352" s="262" t="str">
        <f ca="1">IF(OFFSET('IWP14'!BackgroundChecks, 9, 11, 1, 1) = 0, "", OFFSET('IWP14'!BackgroundChecks, 9, 11, 1, 1))</f>
        <v/>
      </c>
      <c r="L352" s="262" t="str">
        <f ca="1">IF(OFFSET('IWP14'!BackgroundChecks, 9, 12, 1, 1) = 0, "", OFFSET('IWP14'!BackgroundChecks, 9, 12, 1, 1))</f>
        <v/>
      </c>
      <c r="M352" s="262" t="str">
        <f ca="1">IF(OFFSET('IWP14'!BackgroundChecks, 9, 13, 1, 1) = 0, "", OFFSET('IWP14'!BackgroundChecks, 9, 13, 1, 1))</f>
        <v/>
      </c>
      <c r="N352" s="261"/>
    </row>
    <row r="353" spans="1:14" s="146" customFormat="1">
      <c r="A353" s="257" t="s">
        <v>512</v>
      </c>
      <c r="B353" s="262" t="str">
        <f ca="1">IF(OFFSET('IWP14'!BackgroundChecks, 10, 0, 1, 1) = 0, "", OFFSET('IWP14'!BackgroundChecks, 10, 0, 1, 1))</f>
        <v/>
      </c>
      <c r="C353" s="262" t="str">
        <f ca="1">IF(OFFSET('IWP14'!BackgroundChecks, 10, 2, 1, 1) = 0, "", OFFSET('IWP14'!BackgroundChecks, 10, 2, 1, 1))</f>
        <v/>
      </c>
      <c r="D353" s="262" t="str">
        <f ca="1">IF(OFFSET('IWP14'!BackgroundChecks, 10, 4, 1, 1) = 0, "", OFFSET('IWP14'!BackgroundChecks, 10, 4, 1, 1))</f>
        <v/>
      </c>
      <c r="E353" s="254">
        <f ca="1">IF(OFFSET('IWP14'!BackgroundChecks, 10, 5, 1, 1)=DATE(1900,1,0), DATE(1900,1,1), OFFSET('IWP14'!BackgroundChecks, 10, 5, 1, 1))</f>
        <v>1</v>
      </c>
      <c r="F353" s="262" t="str">
        <f ca="1">IF(OFFSET('IWP14'!BackgroundChecks, 10, 6, 1, 1) = 0, "", OFFSET('IWP14'!BackgroundChecks, 10, 6, 1, 1))</f>
        <v/>
      </c>
      <c r="G353" s="254">
        <f ca="1">IF(OFFSET('IWP14'!BackgroundChecks, 10, 7, 1, 1)=DATE(1900,1,0), DATE(1900,1,1), OFFSET('IWP14'!BackgroundChecks, 10, 7, 1, 1))</f>
        <v>1</v>
      </c>
      <c r="H353" s="254">
        <f ca="1">IF(OFFSET('IWP14'!BackgroundChecks, 10, 8, 1, 1)=DATE(1900,1,0), DATE(1900,1,1), OFFSET('IWP14'!BackgroundChecks, 10, 8, 1, 1))</f>
        <v>1</v>
      </c>
      <c r="I353" s="262" t="str">
        <f ca="1">IF(OFFSET('IWP14'!BackgroundChecks, 10, 9, 1, 1) = 0, "", OFFSET('IWP14'!BackgroundChecks, 10, 9, 1, 1))</f>
        <v/>
      </c>
      <c r="J353" s="262" t="str">
        <f ca="1">IF(OFFSET('IWP14'!BackgroundChecks, 10, 10, 1, 1) = 0, "", OFFSET('IWP14'!BackgroundChecks, 10, 10, 1, 1))</f>
        <v/>
      </c>
      <c r="K353" s="262" t="str">
        <f ca="1">IF(OFFSET('IWP14'!BackgroundChecks, 10, 11, 1, 1) = 0, "", OFFSET('IWP14'!BackgroundChecks, 10, 11, 1, 1))</f>
        <v/>
      </c>
      <c r="L353" s="262" t="str">
        <f ca="1">IF(OFFSET('IWP14'!BackgroundChecks, 10, 12, 1, 1) = 0, "", OFFSET('IWP14'!BackgroundChecks, 10, 12, 1, 1))</f>
        <v/>
      </c>
      <c r="M353" s="262" t="str">
        <f ca="1">IF(OFFSET('IWP14'!BackgroundChecks, 10, 13, 1, 1) = 0, "", OFFSET('IWP14'!BackgroundChecks, 10, 13, 1, 1))</f>
        <v/>
      </c>
      <c r="N353" s="261"/>
    </row>
    <row r="354" spans="1:14" s="146" customFormat="1">
      <c r="A354" s="257" t="s">
        <v>512</v>
      </c>
      <c r="B354" s="262" t="str">
        <f ca="1">IF(OFFSET('IWP14'!BackgroundChecks, 11, 0, 1, 1) = 0, "", OFFSET('IWP14'!BackgroundChecks, 11, 0, 1, 1))</f>
        <v/>
      </c>
      <c r="C354" s="262" t="str">
        <f ca="1">IF(OFFSET('IWP14'!BackgroundChecks, 11, 2, 1, 1) = 0, "", OFFSET('IWP14'!BackgroundChecks, 11, 2, 1, 1))</f>
        <v/>
      </c>
      <c r="D354" s="262" t="str">
        <f ca="1">IF(OFFSET('IWP14'!BackgroundChecks, 11, 4, 1, 1) = 0, "", OFFSET('IWP14'!BackgroundChecks, 11, 4, 1, 1))</f>
        <v/>
      </c>
      <c r="E354" s="254">
        <f ca="1">IF(OFFSET('IWP14'!BackgroundChecks, 11, 5, 1, 1)=DATE(1900,1,0), DATE(1900,1,1), OFFSET('IWP14'!BackgroundChecks, 11, 5, 1, 1))</f>
        <v>1</v>
      </c>
      <c r="F354" s="262" t="str">
        <f ca="1">IF(OFFSET('IWP14'!BackgroundChecks, 11, 6, 1, 1) = 0, "", OFFSET('IWP14'!BackgroundChecks, 11, 6, 1, 1))</f>
        <v/>
      </c>
      <c r="G354" s="254">
        <f ca="1">IF(OFFSET('IWP14'!BackgroundChecks, 11, 7, 1, 1)=DATE(1900,1,0), DATE(1900,1,1), OFFSET('IWP14'!BackgroundChecks, 11, 7, 1, 1))</f>
        <v>1</v>
      </c>
      <c r="H354" s="254">
        <f ca="1">IF(OFFSET('IWP14'!BackgroundChecks, 11, 8, 1, 1)=DATE(1900,1,0), DATE(1900,1,1), OFFSET('IWP14'!BackgroundChecks, 11, 8, 1, 1))</f>
        <v>1</v>
      </c>
      <c r="I354" s="262" t="str">
        <f ca="1">IF(OFFSET('IWP14'!BackgroundChecks, 11, 9, 1, 1) = 0, "", OFFSET('IWP14'!BackgroundChecks, 11, 9, 1, 1))</f>
        <v/>
      </c>
      <c r="J354" s="262" t="str">
        <f ca="1">IF(OFFSET('IWP14'!BackgroundChecks, 11, 10, 1, 1) = 0, "", OFFSET('IWP14'!BackgroundChecks, 11, 10, 1, 1))</f>
        <v/>
      </c>
      <c r="K354" s="262" t="str">
        <f ca="1">IF(OFFSET('IWP14'!BackgroundChecks, 11, 11, 1, 1) = 0, "", OFFSET('IWP14'!BackgroundChecks, 11, 11, 1, 1))</f>
        <v/>
      </c>
      <c r="L354" s="262" t="str">
        <f ca="1">IF(OFFSET('IWP14'!BackgroundChecks, 11, 12, 1, 1) = 0, "", OFFSET('IWP14'!BackgroundChecks, 11, 12, 1, 1))</f>
        <v/>
      </c>
      <c r="M354" s="262" t="str">
        <f ca="1">IF(OFFSET('IWP14'!BackgroundChecks, 11, 13, 1, 1) = 0, "", OFFSET('IWP14'!BackgroundChecks, 11, 13, 1, 1))</f>
        <v/>
      </c>
      <c r="N354" s="261"/>
    </row>
    <row r="355" spans="1:14" s="146" customFormat="1">
      <c r="A355" s="257" t="s">
        <v>512</v>
      </c>
      <c r="B355" s="262" t="str">
        <f ca="1">IF(OFFSET('IWP14'!BackgroundChecks, 12, 0, 1, 1) = 0, "", OFFSET('IWP14'!BackgroundChecks, 12, 0, 1, 1))</f>
        <v/>
      </c>
      <c r="C355" s="262" t="str">
        <f ca="1">IF(OFFSET('IWP14'!BackgroundChecks, 12, 2, 1, 1) = 0, "", OFFSET('IWP14'!BackgroundChecks, 12, 2, 1, 1))</f>
        <v/>
      </c>
      <c r="D355" s="262" t="str">
        <f ca="1">IF(OFFSET('IWP14'!BackgroundChecks, 12, 4, 1, 1) = 0, "", OFFSET('IWP14'!BackgroundChecks, 12, 4, 1, 1))</f>
        <v/>
      </c>
      <c r="E355" s="254">
        <f ca="1">IF(OFFSET('IWP14'!BackgroundChecks, 12, 5, 1, 1)=DATE(1900,1,0), DATE(1900,1,1), OFFSET('IWP14'!BackgroundChecks, 12, 5, 1, 1))</f>
        <v>1</v>
      </c>
      <c r="F355" s="262" t="str">
        <f ca="1">IF(OFFSET('IWP14'!BackgroundChecks, 12, 6, 1, 1) = 0, "", OFFSET('IWP14'!BackgroundChecks, 12, 6, 1, 1))</f>
        <v/>
      </c>
      <c r="G355" s="254">
        <f ca="1">IF(OFFSET('IWP14'!BackgroundChecks, 12, 7, 1, 1)=DATE(1900,1,0), DATE(1900,1,1), OFFSET('IWP14'!BackgroundChecks, 12, 7, 1, 1))</f>
        <v>1</v>
      </c>
      <c r="H355" s="254">
        <f ca="1">IF(OFFSET('IWP14'!BackgroundChecks, 12, 8, 1, 1)=DATE(1900,1,0), DATE(1900,1,1), OFFSET('IWP14'!BackgroundChecks, 12, 8, 1, 1))</f>
        <v>1</v>
      </c>
      <c r="I355" s="262" t="str">
        <f ca="1">IF(OFFSET('IWP14'!BackgroundChecks, 12, 9, 1, 1) = 0, "", OFFSET('IWP14'!BackgroundChecks, 12, 9, 1, 1))</f>
        <v/>
      </c>
      <c r="J355" s="262" t="str">
        <f ca="1">IF(OFFSET('IWP14'!BackgroundChecks, 12, 10, 1, 1) = 0, "", OFFSET('IWP14'!BackgroundChecks, 12, 10, 1, 1))</f>
        <v/>
      </c>
      <c r="K355" s="262" t="str">
        <f ca="1">IF(OFFSET('IWP14'!BackgroundChecks, 12, 11, 1, 1) = 0, "", OFFSET('IWP14'!BackgroundChecks, 12, 11, 1, 1))</f>
        <v/>
      </c>
      <c r="L355" s="262" t="str">
        <f ca="1">IF(OFFSET('IWP14'!BackgroundChecks, 12, 12, 1, 1) = 0, "", OFFSET('IWP14'!BackgroundChecks, 12, 12, 1, 1))</f>
        <v/>
      </c>
      <c r="M355" s="262" t="str">
        <f ca="1">IF(OFFSET('IWP14'!BackgroundChecks, 12, 13, 1, 1) = 0, "", OFFSET('IWP14'!BackgroundChecks, 12, 13, 1, 1))</f>
        <v/>
      </c>
      <c r="N355" s="261"/>
    </row>
    <row r="356" spans="1:14" s="146" customFormat="1">
      <c r="A356" s="257" t="s">
        <v>512</v>
      </c>
      <c r="B356" s="262" t="str">
        <f ca="1">IF(OFFSET('IWP14'!BackgroundChecks, 13, 0, 1, 1) = 0, "", OFFSET('IWP14'!BackgroundChecks, 13, 0, 1, 1))</f>
        <v/>
      </c>
      <c r="C356" s="262" t="str">
        <f ca="1">IF(OFFSET('IWP14'!BackgroundChecks, 13, 2, 1, 1) = 0, "", OFFSET('IWP14'!BackgroundChecks, 13, 2, 1, 1))</f>
        <v/>
      </c>
      <c r="D356" s="262" t="str">
        <f ca="1">IF(OFFSET('IWP14'!BackgroundChecks, 13, 4, 1, 1) = 0, "", OFFSET('IWP14'!BackgroundChecks, 13, 4, 1, 1))</f>
        <v/>
      </c>
      <c r="E356" s="254">
        <f ca="1">IF(OFFSET('IWP14'!BackgroundChecks, 13, 5, 1, 1)=DATE(1900,1,0), DATE(1900,1,1), OFFSET('IWP14'!BackgroundChecks, 13, 5, 1, 1))</f>
        <v>1</v>
      </c>
      <c r="F356" s="262" t="str">
        <f ca="1">IF(OFFSET('IWP14'!BackgroundChecks, 13, 6, 1, 1) = 0, "", OFFSET('IWP14'!BackgroundChecks, 13, 6, 1, 1))</f>
        <v/>
      </c>
      <c r="G356" s="254">
        <f ca="1">IF(OFFSET('IWP14'!BackgroundChecks, 13, 7, 1, 1)=DATE(1900,1,0), DATE(1900,1,1), OFFSET('IWP14'!BackgroundChecks, 13, 7, 1, 1))</f>
        <v>1</v>
      </c>
      <c r="H356" s="254">
        <f ca="1">IF(OFFSET('IWP14'!BackgroundChecks, 13, 8, 1, 1)=DATE(1900,1,0), DATE(1900,1,1), OFFSET('IWP14'!BackgroundChecks, 13, 8, 1, 1))</f>
        <v>1</v>
      </c>
      <c r="I356" s="262" t="str">
        <f ca="1">IF(OFFSET('IWP14'!BackgroundChecks, 13, 9, 1, 1) = 0, "", OFFSET('IWP14'!BackgroundChecks, 13, 9, 1, 1))</f>
        <v/>
      </c>
      <c r="J356" s="262" t="str">
        <f ca="1">IF(OFFSET('IWP14'!BackgroundChecks, 13, 10, 1, 1) = 0, "", OFFSET('IWP14'!BackgroundChecks, 13, 10, 1, 1))</f>
        <v/>
      </c>
      <c r="K356" s="262" t="str">
        <f ca="1">IF(OFFSET('IWP14'!BackgroundChecks, 13, 11, 1, 1) = 0, "", OFFSET('IWP14'!BackgroundChecks, 13, 11, 1, 1))</f>
        <v/>
      </c>
      <c r="L356" s="262" t="str">
        <f ca="1">IF(OFFSET('IWP14'!BackgroundChecks, 13, 12, 1, 1) = 0, "", OFFSET('IWP14'!BackgroundChecks, 13, 12, 1, 1))</f>
        <v/>
      </c>
      <c r="M356" s="262" t="str">
        <f ca="1">IF(OFFSET('IWP14'!BackgroundChecks, 13, 13, 1, 1) = 0, "", OFFSET('IWP14'!BackgroundChecks, 13, 13, 1, 1))</f>
        <v/>
      </c>
      <c r="N356" s="261"/>
    </row>
    <row r="357" spans="1:14" s="146" customFormat="1">
      <c r="A357" s="257" t="s">
        <v>512</v>
      </c>
      <c r="B357" s="262" t="str">
        <f ca="1">IF(OFFSET('IWP14'!BackgroundChecks, 14, 0, 1, 1) = 0, "", OFFSET('IWP14'!BackgroundChecks, 14, 0, 1, 1))</f>
        <v/>
      </c>
      <c r="C357" s="262" t="str">
        <f ca="1">IF(OFFSET('IWP14'!BackgroundChecks, 14, 2, 1, 1) = 0, "", OFFSET('IWP14'!BackgroundChecks, 14, 2, 1, 1))</f>
        <v/>
      </c>
      <c r="D357" s="262" t="str">
        <f ca="1">IF(OFFSET('IWP14'!BackgroundChecks, 14, 4, 1, 1) = 0, "", OFFSET('IWP14'!BackgroundChecks, 14, 4, 1, 1))</f>
        <v/>
      </c>
      <c r="E357" s="254">
        <f ca="1">IF(OFFSET('IWP14'!BackgroundChecks, 14, 5, 1, 1)=DATE(1900,1,0), DATE(1900,1,1), OFFSET('IWP14'!BackgroundChecks, 14, 5, 1, 1))</f>
        <v>1</v>
      </c>
      <c r="F357" s="262" t="str">
        <f ca="1">IF(OFFSET('IWP14'!BackgroundChecks, 14, 6, 1, 1) = 0, "", OFFSET('IWP14'!BackgroundChecks, 14, 6, 1, 1))</f>
        <v/>
      </c>
      <c r="G357" s="254">
        <f ca="1">IF(OFFSET('IWP14'!BackgroundChecks, 14, 7, 1, 1)=DATE(1900,1,0), DATE(1900,1,1), OFFSET('IWP14'!BackgroundChecks, 14, 7, 1, 1))</f>
        <v>1</v>
      </c>
      <c r="H357" s="254">
        <f ca="1">IF(OFFSET('IWP14'!BackgroundChecks, 14, 8, 1, 1)=DATE(1900,1,0), DATE(1900,1,1), OFFSET('IWP14'!BackgroundChecks, 14, 8, 1, 1))</f>
        <v>1</v>
      </c>
      <c r="I357" s="262" t="str">
        <f ca="1">IF(OFFSET('IWP14'!BackgroundChecks, 14, 9, 1, 1) = 0, "", OFFSET('IWP14'!BackgroundChecks, 14, 9, 1, 1))</f>
        <v/>
      </c>
      <c r="J357" s="262" t="str">
        <f ca="1">IF(OFFSET('IWP14'!BackgroundChecks, 14, 10, 1, 1) = 0, "", OFFSET('IWP14'!BackgroundChecks, 14, 10, 1, 1))</f>
        <v/>
      </c>
      <c r="K357" s="262" t="str">
        <f ca="1">IF(OFFSET('IWP14'!BackgroundChecks, 14, 11, 1, 1) = 0, "", OFFSET('IWP14'!BackgroundChecks, 14, 11, 1, 1))</f>
        <v/>
      </c>
      <c r="L357" s="262" t="str">
        <f ca="1">IF(OFFSET('IWP14'!BackgroundChecks, 14, 12, 1, 1) = 0, "", OFFSET('IWP14'!BackgroundChecks, 14, 12, 1, 1))</f>
        <v/>
      </c>
      <c r="M357" s="262" t="str">
        <f ca="1">IF(OFFSET('IWP14'!BackgroundChecks, 14, 13, 1, 1) = 0, "", OFFSET('IWP14'!BackgroundChecks, 14, 13, 1, 1))</f>
        <v/>
      </c>
      <c r="N357" s="261"/>
    </row>
    <row r="358" spans="1:14" s="146" customFormat="1">
      <c r="A358" s="257" t="s">
        <v>512</v>
      </c>
      <c r="B358" s="262" t="str">
        <f ca="1">IF(OFFSET('IWP14'!BackgroundChecks, 15, 0, 1, 1) = 0, "", OFFSET('IWP14'!BackgroundChecks, 15, 0, 1, 1))</f>
        <v/>
      </c>
      <c r="C358" s="262" t="str">
        <f ca="1">IF(OFFSET('IWP14'!BackgroundChecks, 15, 2, 1, 1) = 0, "", OFFSET('IWP14'!BackgroundChecks, 15, 2, 1, 1))</f>
        <v/>
      </c>
      <c r="D358" s="262" t="str">
        <f ca="1">IF(OFFSET('IWP14'!BackgroundChecks, 15, 4, 1, 1) = 0, "", OFFSET('IWP14'!BackgroundChecks, 15, 4, 1, 1))</f>
        <v/>
      </c>
      <c r="E358" s="254">
        <f ca="1">IF(OFFSET('IWP14'!BackgroundChecks, 15, 5, 1, 1)=DATE(1900,1,0), DATE(1900,1,1), OFFSET('IWP14'!BackgroundChecks, 15, 5, 1, 1))</f>
        <v>1</v>
      </c>
      <c r="F358" s="262" t="str">
        <f ca="1">IF(OFFSET('IWP14'!BackgroundChecks, 15, 6, 1, 1) = 0, "", OFFSET('IWP14'!BackgroundChecks, 15, 6, 1, 1))</f>
        <v/>
      </c>
      <c r="G358" s="254">
        <f ca="1">IF(OFFSET('IWP14'!BackgroundChecks, 15, 7, 1, 1)=DATE(1900,1,0), DATE(1900,1,1), OFFSET('IWP14'!BackgroundChecks, 15, 7, 1, 1))</f>
        <v>1</v>
      </c>
      <c r="H358" s="254">
        <f ca="1">IF(OFFSET('IWP14'!BackgroundChecks, 15, 8, 1, 1)=DATE(1900,1,0), DATE(1900,1,1), OFFSET('IWP14'!BackgroundChecks, 15, 8, 1, 1))</f>
        <v>1</v>
      </c>
      <c r="I358" s="262" t="str">
        <f ca="1">IF(OFFSET('IWP14'!BackgroundChecks, 15, 9, 1, 1) = 0, "", OFFSET('IWP14'!BackgroundChecks, 15, 9, 1, 1))</f>
        <v/>
      </c>
      <c r="J358" s="262" t="str">
        <f ca="1">IF(OFFSET('IWP14'!BackgroundChecks, 15, 10, 1, 1) = 0, "", OFFSET('IWP14'!BackgroundChecks, 15, 10, 1, 1))</f>
        <v/>
      </c>
      <c r="K358" s="262" t="str">
        <f ca="1">IF(OFFSET('IWP14'!BackgroundChecks, 15, 11, 1, 1) = 0, "", OFFSET('IWP14'!BackgroundChecks, 15, 11, 1, 1))</f>
        <v/>
      </c>
      <c r="L358" s="262" t="str">
        <f ca="1">IF(OFFSET('IWP14'!BackgroundChecks, 15, 12, 1, 1) = 0, "", OFFSET('IWP14'!BackgroundChecks, 15, 12, 1, 1))</f>
        <v/>
      </c>
      <c r="M358" s="262" t="str">
        <f ca="1">IF(OFFSET('IWP14'!BackgroundChecks, 15, 13, 1, 1) = 0, "", OFFSET('IWP14'!BackgroundChecks, 15, 13, 1, 1))</f>
        <v/>
      </c>
      <c r="N358" s="261"/>
    </row>
    <row r="359" spans="1:14" s="146" customFormat="1">
      <c r="A359" s="257" t="s">
        <v>512</v>
      </c>
      <c r="B359" s="262" t="str">
        <f ca="1">IF(OFFSET('IWP14'!BackgroundChecks, 16, 0, 1, 1) = 0, "", OFFSET('IWP14'!BackgroundChecks, 16, 0, 1, 1))</f>
        <v/>
      </c>
      <c r="C359" s="262" t="str">
        <f ca="1">IF(OFFSET('IWP14'!BackgroundChecks, 16, 2, 1, 1) = 0, "", OFFSET('IWP14'!BackgroundChecks, 16, 2, 1, 1))</f>
        <v/>
      </c>
      <c r="D359" s="262" t="str">
        <f ca="1">IF(OFFSET('IWP14'!BackgroundChecks, 16, 4, 1, 1) = 0, "", OFFSET('IWP14'!BackgroundChecks, 16, 4, 1, 1))</f>
        <v/>
      </c>
      <c r="E359" s="254">
        <f ca="1">IF(OFFSET('IWP14'!BackgroundChecks, 16, 5, 1, 1)=DATE(1900,1,0), DATE(1900,1,1), OFFSET('IWP14'!BackgroundChecks, 16, 5, 1, 1))</f>
        <v>1</v>
      </c>
      <c r="F359" s="262" t="str">
        <f ca="1">IF(OFFSET('IWP14'!BackgroundChecks, 16, 6, 1, 1) = 0, "", OFFSET('IWP14'!BackgroundChecks, 16, 6, 1, 1))</f>
        <v/>
      </c>
      <c r="G359" s="254">
        <f ca="1">IF(OFFSET('IWP14'!BackgroundChecks, 16, 7, 1, 1)=DATE(1900,1,0), DATE(1900,1,1), OFFSET('IWP14'!BackgroundChecks, 16, 7, 1, 1))</f>
        <v>1</v>
      </c>
      <c r="H359" s="254">
        <f ca="1">IF(OFFSET('IWP14'!BackgroundChecks, 16, 8, 1, 1)=DATE(1900,1,0), DATE(1900,1,1), OFFSET('IWP14'!BackgroundChecks, 16, 8, 1, 1))</f>
        <v>1</v>
      </c>
      <c r="I359" s="262" t="str">
        <f ca="1">IF(OFFSET('IWP14'!BackgroundChecks, 16, 9, 1, 1) = 0, "", OFFSET('IWP14'!BackgroundChecks, 16, 9, 1, 1))</f>
        <v/>
      </c>
      <c r="J359" s="262" t="str">
        <f ca="1">IF(OFFSET('IWP14'!BackgroundChecks, 16, 10, 1, 1) = 0, "", OFFSET('IWP14'!BackgroundChecks, 16, 10, 1, 1))</f>
        <v/>
      </c>
      <c r="K359" s="262" t="str">
        <f ca="1">IF(OFFSET('IWP14'!BackgroundChecks, 16, 11, 1, 1) = 0, "", OFFSET('IWP14'!BackgroundChecks, 16, 11, 1, 1))</f>
        <v/>
      </c>
      <c r="L359" s="262" t="str">
        <f ca="1">IF(OFFSET('IWP14'!BackgroundChecks, 16, 12, 1, 1) = 0, "", OFFSET('IWP14'!BackgroundChecks, 16, 12, 1, 1))</f>
        <v/>
      </c>
      <c r="M359" s="262" t="str">
        <f ca="1">IF(OFFSET('IWP14'!BackgroundChecks, 16, 13, 1, 1) = 0, "", OFFSET('IWP14'!BackgroundChecks, 16, 13, 1, 1))</f>
        <v/>
      </c>
      <c r="N359" s="261"/>
    </row>
    <row r="360" spans="1:14" s="146" customFormat="1">
      <c r="A360" s="257" t="s">
        <v>512</v>
      </c>
      <c r="B360" s="262" t="str">
        <f ca="1">IF(OFFSET('IWP14'!BackgroundChecks, 17, 0, 1, 1) = 0, "", OFFSET('IWP14'!BackgroundChecks, 17, 0, 1, 1))</f>
        <v/>
      </c>
      <c r="C360" s="262" t="str">
        <f ca="1">IF(OFFSET('IWP14'!BackgroundChecks, 17, 2, 1, 1) = 0, "", OFFSET('IWP14'!BackgroundChecks, 17, 2, 1, 1))</f>
        <v/>
      </c>
      <c r="D360" s="262" t="str">
        <f ca="1">IF(OFFSET('IWP14'!BackgroundChecks, 17, 4, 1, 1) = 0, "", OFFSET('IWP14'!BackgroundChecks, 17, 4, 1, 1))</f>
        <v/>
      </c>
      <c r="E360" s="254">
        <f ca="1">IF(OFFSET('IWP14'!BackgroundChecks, 17, 5, 1, 1)=DATE(1900,1,0), DATE(1900,1,1), OFFSET('IWP14'!BackgroundChecks, 17, 5, 1, 1))</f>
        <v>1</v>
      </c>
      <c r="F360" s="262" t="str">
        <f ca="1">IF(OFFSET('IWP14'!BackgroundChecks, 17, 6, 1, 1) = 0, "", OFFSET('IWP14'!BackgroundChecks, 17, 6, 1, 1))</f>
        <v/>
      </c>
      <c r="G360" s="254">
        <f ca="1">IF(OFFSET('IWP14'!BackgroundChecks, 17, 7, 1, 1)=DATE(1900,1,0), DATE(1900,1,1), OFFSET('IWP14'!BackgroundChecks, 17, 7, 1, 1))</f>
        <v>1</v>
      </c>
      <c r="H360" s="254">
        <f ca="1">IF(OFFSET('IWP14'!BackgroundChecks, 17, 8, 1, 1)=DATE(1900,1,0), DATE(1900,1,1), OFFSET('IWP14'!BackgroundChecks, 17, 8, 1, 1))</f>
        <v>1</v>
      </c>
      <c r="I360" s="262" t="str">
        <f ca="1">IF(OFFSET('IWP14'!BackgroundChecks, 17, 9, 1, 1) = 0, "", OFFSET('IWP14'!BackgroundChecks, 17, 9, 1, 1))</f>
        <v/>
      </c>
      <c r="J360" s="262" t="str">
        <f ca="1">IF(OFFSET('IWP14'!BackgroundChecks, 17, 10, 1, 1) = 0, "", OFFSET('IWP14'!BackgroundChecks, 17, 10, 1, 1))</f>
        <v/>
      </c>
      <c r="K360" s="262" t="str">
        <f ca="1">IF(OFFSET('IWP14'!BackgroundChecks, 17, 11, 1, 1) = 0, "", OFFSET('IWP14'!BackgroundChecks, 17, 11, 1, 1))</f>
        <v/>
      </c>
      <c r="L360" s="262" t="str">
        <f ca="1">IF(OFFSET('IWP14'!BackgroundChecks, 17, 12, 1, 1) = 0, "", OFFSET('IWP14'!BackgroundChecks, 17, 12, 1, 1))</f>
        <v/>
      </c>
      <c r="M360" s="262" t="str">
        <f ca="1">IF(OFFSET('IWP14'!BackgroundChecks, 17, 13, 1, 1) = 0, "", OFFSET('IWP14'!BackgroundChecks, 17, 13, 1, 1))</f>
        <v/>
      </c>
      <c r="N360" s="261"/>
    </row>
    <row r="361" spans="1:14" s="146" customFormat="1">
      <c r="A361" s="257" t="s">
        <v>512</v>
      </c>
      <c r="B361" s="262" t="str">
        <f ca="1">IF(OFFSET('IWP14'!BackgroundChecks, 18, 0, 1, 1) = 0, "", OFFSET('IWP14'!BackgroundChecks, 18, 0, 1, 1))</f>
        <v/>
      </c>
      <c r="C361" s="262" t="str">
        <f ca="1">IF(OFFSET('IWP14'!BackgroundChecks, 18, 2, 1, 1) = 0, "", OFFSET('IWP14'!BackgroundChecks, 18, 2, 1, 1))</f>
        <v/>
      </c>
      <c r="D361" s="262" t="str">
        <f ca="1">IF(OFFSET('IWP14'!BackgroundChecks, 18, 4, 1, 1) = 0, "", OFFSET('IWP14'!BackgroundChecks, 18, 4, 1, 1))</f>
        <v/>
      </c>
      <c r="E361" s="254">
        <f ca="1">IF(OFFSET('IWP14'!BackgroundChecks, 18, 5, 1, 1)=DATE(1900,1,0), DATE(1900,1,1), OFFSET('IWP14'!BackgroundChecks, 18, 5, 1, 1))</f>
        <v>1</v>
      </c>
      <c r="F361" s="262" t="str">
        <f ca="1">IF(OFFSET('IWP14'!BackgroundChecks, 18, 6, 1, 1) = 0, "", OFFSET('IWP14'!BackgroundChecks, 18, 6, 1, 1))</f>
        <v/>
      </c>
      <c r="G361" s="254">
        <f ca="1">IF(OFFSET('IWP14'!BackgroundChecks, 18, 7, 1, 1)=DATE(1900,1,0), DATE(1900,1,1), OFFSET('IWP14'!BackgroundChecks, 18, 7, 1, 1))</f>
        <v>1</v>
      </c>
      <c r="H361" s="254">
        <f ca="1">IF(OFFSET('IWP14'!BackgroundChecks, 18, 8, 1, 1)=DATE(1900,1,0), DATE(1900,1,1), OFFSET('IWP14'!BackgroundChecks, 18, 8, 1, 1))</f>
        <v>1</v>
      </c>
      <c r="I361" s="262" t="str">
        <f ca="1">IF(OFFSET('IWP14'!BackgroundChecks, 18, 9, 1, 1) = 0, "", OFFSET('IWP14'!BackgroundChecks, 18, 9, 1, 1))</f>
        <v/>
      </c>
      <c r="J361" s="262" t="str">
        <f ca="1">IF(OFFSET('IWP14'!BackgroundChecks, 18, 10, 1, 1) = 0, "", OFFSET('IWP14'!BackgroundChecks, 18, 10, 1, 1))</f>
        <v/>
      </c>
      <c r="K361" s="262" t="str">
        <f ca="1">IF(OFFSET('IWP14'!BackgroundChecks, 18, 11, 1, 1) = 0, "", OFFSET('IWP14'!BackgroundChecks, 18, 11, 1, 1))</f>
        <v/>
      </c>
      <c r="L361" s="262" t="str">
        <f ca="1">IF(OFFSET('IWP14'!BackgroundChecks, 18, 12, 1, 1) = 0, "", OFFSET('IWP14'!BackgroundChecks, 18, 12, 1, 1))</f>
        <v/>
      </c>
      <c r="M361" s="262" t="str">
        <f ca="1">IF(OFFSET('IWP14'!BackgroundChecks, 18, 13, 1, 1) = 0, "", OFFSET('IWP14'!BackgroundChecks, 18, 13, 1, 1))</f>
        <v/>
      </c>
      <c r="N361" s="261"/>
    </row>
    <row r="362" spans="1:14" s="146" customFormat="1">
      <c r="A362" s="257" t="s">
        <v>512</v>
      </c>
      <c r="B362" s="262" t="str">
        <f ca="1">IF(OFFSET('IWP14'!BackgroundChecks, 19, 0, 1, 1) = 0, "", OFFSET('IWP14'!BackgroundChecks, 19, 0, 1, 1))</f>
        <v/>
      </c>
      <c r="C362" s="262" t="str">
        <f ca="1">IF(OFFSET('IWP14'!BackgroundChecks, 19, 2, 1, 1) = 0, "", OFFSET('IWP14'!BackgroundChecks, 19, 2, 1, 1))</f>
        <v/>
      </c>
      <c r="D362" s="262" t="str">
        <f ca="1">IF(OFFSET('IWP14'!BackgroundChecks, 19, 4, 1, 1) = 0, "", OFFSET('IWP14'!BackgroundChecks, 19, 4, 1, 1))</f>
        <v/>
      </c>
      <c r="E362" s="254">
        <f ca="1">IF(OFFSET('IWP14'!BackgroundChecks, 19, 5, 1, 1)=DATE(1900,1,0), DATE(1900,1,1), OFFSET('IWP14'!BackgroundChecks, 19, 5, 1, 1))</f>
        <v>1</v>
      </c>
      <c r="F362" s="262" t="str">
        <f ca="1">IF(OFFSET('IWP14'!BackgroundChecks, 19, 6, 1, 1) = 0, "", OFFSET('IWP14'!BackgroundChecks, 19, 6, 1, 1))</f>
        <v/>
      </c>
      <c r="G362" s="254">
        <f ca="1">IF(OFFSET('IWP14'!BackgroundChecks, 19, 7, 1, 1)=DATE(1900,1,0), DATE(1900,1,1), OFFSET('IWP14'!BackgroundChecks, 19, 7, 1, 1))</f>
        <v>1</v>
      </c>
      <c r="H362" s="254">
        <f ca="1">IF(OFFSET('IWP14'!BackgroundChecks, 19, 8, 1, 1)=DATE(1900,1,0), DATE(1900,1,1), OFFSET('IWP14'!BackgroundChecks, 19, 8, 1, 1))</f>
        <v>1</v>
      </c>
      <c r="I362" s="262" t="str">
        <f ca="1">IF(OFFSET('IWP14'!BackgroundChecks, 19, 9, 1, 1) = 0, "", OFFSET('IWP14'!BackgroundChecks, 19, 9, 1, 1))</f>
        <v/>
      </c>
      <c r="J362" s="262" t="str">
        <f ca="1">IF(OFFSET('IWP14'!BackgroundChecks, 19, 10, 1, 1) = 0, "", OFFSET('IWP14'!BackgroundChecks, 19, 10, 1, 1))</f>
        <v/>
      </c>
      <c r="K362" s="262" t="str">
        <f ca="1">IF(OFFSET('IWP14'!BackgroundChecks, 19, 11, 1, 1) = 0, "", OFFSET('IWP14'!BackgroundChecks, 19, 11, 1, 1))</f>
        <v/>
      </c>
      <c r="L362" s="262" t="str">
        <f ca="1">IF(OFFSET('IWP14'!BackgroundChecks, 19, 12, 1, 1) = 0, "", OFFSET('IWP14'!BackgroundChecks, 19, 12, 1, 1))</f>
        <v/>
      </c>
      <c r="M362" s="262" t="str">
        <f ca="1">IF(OFFSET('IWP14'!BackgroundChecks, 19, 13, 1, 1) = 0, "", OFFSET('IWP14'!BackgroundChecks, 19, 13, 1, 1))</f>
        <v/>
      </c>
      <c r="N362" s="261"/>
    </row>
    <row r="363" spans="1:14" s="146" customFormat="1">
      <c r="A363" s="257" t="s">
        <v>513</v>
      </c>
      <c r="B363" s="262" t="str">
        <f ca="1">IF(OFFSET('IWP15'!BackgroundChecks, 0, 0, 1, 1) = 0, "", OFFSET('IWP15'!BackgroundChecks, 0, 0, 1, 1))</f>
        <v/>
      </c>
      <c r="C363" s="262" t="str">
        <f ca="1">IF(OFFSET('IWP15'!BackgroundChecks, 0, 2, 1, 1) = 0, "", OFFSET('IWP15'!BackgroundChecks, 0, 2, 1, 1))</f>
        <v/>
      </c>
      <c r="D363" s="262" t="str">
        <f ca="1">IF(OFFSET('IWP15'!BackgroundChecks, 0, 4, 1, 1) = 0, "", OFFSET('IWP15'!BackgroundChecks, 0, 4, 1, 1))</f>
        <v/>
      </c>
      <c r="E363" s="254">
        <f ca="1">IF(OFFSET('IWP15'!BackgroundChecks, 0, 5, 1, 1)=DATE(1900,1,0), DATE(1900,1,1), OFFSET('IWP15'!BackgroundChecks, 0, 5, 1, 1))</f>
        <v>1</v>
      </c>
      <c r="F363" s="262" t="str">
        <f ca="1">IF(OFFSET('IWP15'!BackgroundChecks, 0, 6, 1, 1) = 0, "", OFFSET('IWP15'!BackgroundChecks, 0, 6, 1, 1))</f>
        <v/>
      </c>
      <c r="G363" s="254">
        <f ca="1">IF(OFFSET('IWP15'!BackgroundChecks, 0, 7, 1, 1)=DATE(1900,1,0), DATE(1900,1,1), OFFSET('IWP15'!BackgroundChecks, 0, 7, 1, 1))</f>
        <v>1</v>
      </c>
      <c r="H363" s="254">
        <f ca="1">IF(OFFSET('IWP15'!BackgroundChecks, 0, 8, 1, 1)=DATE(1900,1,0), DATE(1900,1,1), OFFSET('IWP15'!BackgroundChecks, 0, 8, 1, 1))</f>
        <v>1</v>
      </c>
      <c r="I363" s="262" t="str">
        <f ca="1">IF(OFFSET('IWP15'!BackgroundChecks, 0, 9, 1, 1) = 0, "", OFFSET('IWP15'!BackgroundChecks, 0, 9, 1, 1))</f>
        <v/>
      </c>
      <c r="J363" s="262" t="str">
        <f ca="1">IF(OFFSET('IWP15'!BackgroundChecks, 0, 10, 1, 1) = 0, "", OFFSET('IWP15'!BackgroundChecks, 0, 10, 1, 1))</f>
        <v/>
      </c>
      <c r="K363" s="262" t="str">
        <f ca="1">IF(OFFSET('IWP15'!BackgroundChecks, 0, 11, 1, 1) = 0, "", OFFSET('IWP15'!BackgroundChecks, 0, 11, 1, 1))</f>
        <v/>
      </c>
      <c r="L363" s="262" t="str">
        <f ca="1">IF(OFFSET('IWP15'!BackgroundChecks, 0, 12, 1, 1) = 0, "", OFFSET('IWP15'!BackgroundChecks, 0, 12, 1, 1))</f>
        <v/>
      </c>
      <c r="M363" s="262" t="str">
        <f ca="1">IF(OFFSET('IWP15'!BackgroundChecks, 0, 13, 1, 1) = 0, "", OFFSET('IWP15'!BackgroundChecks, 0, 13, 1, 1))</f>
        <v/>
      </c>
      <c r="N363" s="261"/>
    </row>
    <row r="364" spans="1:14" s="146" customFormat="1">
      <c r="A364" s="257" t="s">
        <v>513</v>
      </c>
      <c r="B364" s="262" t="str">
        <f ca="1">IF(OFFSET('IWP15'!BackgroundChecks, 1, 0, 1, 1) = 0, "", OFFSET('IWP15'!BackgroundChecks, 1, 0, 1, 1))</f>
        <v/>
      </c>
      <c r="C364" s="262" t="str">
        <f ca="1">IF(OFFSET('IWP15'!BackgroundChecks, 1, 2, 1, 1) = 0, "", OFFSET('IWP15'!BackgroundChecks, 1, 2, 1, 1))</f>
        <v/>
      </c>
      <c r="D364" s="262" t="str">
        <f ca="1">IF(OFFSET('IWP15'!BackgroundChecks, 1, 4, 1, 1) = 0, "", OFFSET('IWP15'!BackgroundChecks, 1, 4, 1, 1))</f>
        <v/>
      </c>
      <c r="E364" s="254">
        <f ca="1">IF(OFFSET('IWP15'!BackgroundChecks, 1, 5, 1, 1)=DATE(1900,1,0), DATE(1900,1,1), OFFSET('IWP15'!BackgroundChecks, 1, 5, 1, 1))</f>
        <v>1</v>
      </c>
      <c r="F364" s="262" t="str">
        <f ca="1">IF(OFFSET('IWP15'!BackgroundChecks, 1, 6, 1, 1) = 0, "", OFFSET('IWP15'!BackgroundChecks, 1, 6, 1, 1))</f>
        <v/>
      </c>
      <c r="G364" s="254">
        <f ca="1">IF(OFFSET('IWP15'!BackgroundChecks, 1, 7, 1, 1)=DATE(1900,1,0), DATE(1900,1,1), OFFSET('IWP15'!BackgroundChecks, 1, 7, 1, 1))</f>
        <v>1</v>
      </c>
      <c r="H364" s="254">
        <f ca="1">IF(OFFSET('IWP15'!BackgroundChecks, 1, 8, 1, 1)=DATE(1900,1,0), DATE(1900,1,1), OFFSET('IWP15'!BackgroundChecks, 1, 8, 1, 1))</f>
        <v>1</v>
      </c>
      <c r="I364" s="262" t="str">
        <f ca="1">IF(OFFSET('IWP15'!BackgroundChecks, 1, 9, 1, 1) = 0, "", OFFSET('IWP15'!BackgroundChecks, 1, 9, 1, 1))</f>
        <v/>
      </c>
      <c r="J364" s="262" t="str">
        <f ca="1">IF(OFFSET('IWP15'!BackgroundChecks, 1, 10, 1, 1) = 0, "", OFFSET('IWP15'!BackgroundChecks, 1, 10, 1, 1))</f>
        <v/>
      </c>
      <c r="K364" s="262" t="str">
        <f ca="1">IF(OFFSET('IWP15'!BackgroundChecks, 1, 11, 1, 1) = 0, "", OFFSET('IWP15'!BackgroundChecks, 1, 11, 1, 1))</f>
        <v/>
      </c>
      <c r="L364" s="262" t="str">
        <f ca="1">IF(OFFSET('IWP15'!BackgroundChecks, 1, 12, 1, 1) = 0, "", OFFSET('IWP15'!BackgroundChecks, 1, 12, 1, 1))</f>
        <v/>
      </c>
      <c r="M364" s="262" t="str">
        <f ca="1">IF(OFFSET('IWP15'!BackgroundChecks, 1, 13, 1, 1) = 0, "", OFFSET('IWP15'!BackgroundChecks, 1, 13, 1, 1))</f>
        <v/>
      </c>
      <c r="N364" s="261"/>
    </row>
    <row r="365" spans="1:14" s="146" customFormat="1">
      <c r="A365" s="257" t="s">
        <v>513</v>
      </c>
      <c r="B365" s="262" t="str">
        <f ca="1">IF(OFFSET('IWP15'!BackgroundChecks, 2, 0, 1, 1) = 0, "", OFFSET('IWP15'!BackgroundChecks, 2, 0, 1, 1))</f>
        <v/>
      </c>
      <c r="C365" s="262" t="str">
        <f ca="1">IF(OFFSET('IWP15'!BackgroundChecks, 2, 2, 1, 1) = 0, "", OFFSET('IWP15'!BackgroundChecks, 2, 2, 1, 1))</f>
        <v/>
      </c>
      <c r="D365" s="262" t="str">
        <f ca="1">IF(OFFSET('IWP15'!BackgroundChecks, 2, 4, 1, 1) = 0, "", OFFSET('IWP15'!BackgroundChecks, 2, 4, 1, 1))</f>
        <v/>
      </c>
      <c r="E365" s="254">
        <f ca="1">IF(OFFSET('IWP15'!BackgroundChecks, 2, 5, 1, 1)=DATE(1900,1,0), DATE(1900,1,1), OFFSET('IWP15'!BackgroundChecks, 2, 5, 1, 1))</f>
        <v>1</v>
      </c>
      <c r="F365" s="262" t="str">
        <f ca="1">IF(OFFSET('IWP15'!BackgroundChecks, 2, 6, 1, 1) = 0, "", OFFSET('IWP15'!BackgroundChecks, 2, 6, 1, 1))</f>
        <v/>
      </c>
      <c r="G365" s="254">
        <f ca="1">IF(OFFSET('IWP15'!BackgroundChecks, 2, 7, 1, 1)=DATE(1900,1,0), DATE(1900,1,1), OFFSET('IWP15'!BackgroundChecks, 2, 7, 1, 1))</f>
        <v>1</v>
      </c>
      <c r="H365" s="254">
        <f ca="1">IF(OFFSET('IWP15'!BackgroundChecks, 2, 8, 1, 1)=DATE(1900,1,0), DATE(1900,1,1), OFFSET('IWP15'!BackgroundChecks, 2, 8, 1, 1))</f>
        <v>1</v>
      </c>
      <c r="I365" s="262" t="str">
        <f ca="1">IF(OFFSET('IWP15'!BackgroundChecks, 2, 9, 1, 1) = 0, "", OFFSET('IWP15'!BackgroundChecks, 2, 9, 1, 1))</f>
        <v/>
      </c>
      <c r="J365" s="262" t="str">
        <f ca="1">IF(OFFSET('IWP15'!BackgroundChecks, 2, 10, 1, 1) = 0, "", OFFSET('IWP15'!BackgroundChecks, 2, 10, 1, 1))</f>
        <v/>
      </c>
      <c r="K365" s="262" t="str">
        <f ca="1">IF(OFFSET('IWP15'!BackgroundChecks, 2, 11, 1, 1) = 0, "", OFFSET('IWP15'!BackgroundChecks, 2, 11, 1, 1))</f>
        <v/>
      </c>
      <c r="L365" s="262" t="str">
        <f ca="1">IF(OFFSET('IWP15'!BackgroundChecks, 2, 12, 1, 1) = 0, "", OFFSET('IWP15'!BackgroundChecks, 2, 12, 1, 1))</f>
        <v/>
      </c>
      <c r="M365" s="262" t="str">
        <f ca="1">IF(OFFSET('IWP15'!BackgroundChecks, 2, 13, 1, 1) = 0, "", OFFSET('IWP15'!BackgroundChecks, 2, 13, 1, 1))</f>
        <v/>
      </c>
      <c r="N365" s="261"/>
    </row>
    <row r="366" spans="1:14" s="146" customFormat="1">
      <c r="A366" s="257" t="s">
        <v>513</v>
      </c>
      <c r="B366" s="262" t="str">
        <f ca="1">IF(OFFSET('IWP15'!BackgroundChecks, 3, 0, 1, 1) = 0, "", OFFSET('IWP15'!BackgroundChecks, 3, 0, 1, 1))</f>
        <v/>
      </c>
      <c r="C366" s="262" t="str">
        <f ca="1">IF(OFFSET('IWP15'!BackgroundChecks, 3, 2, 1, 1) = 0, "", OFFSET('IWP15'!BackgroundChecks, 3, 2, 1, 1))</f>
        <v/>
      </c>
      <c r="D366" s="262" t="str">
        <f ca="1">IF(OFFSET('IWP15'!BackgroundChecks, 3, 4, 1, 1) = 0, "", OFFSET('IWP15'!BackgroundChecks, 3, 4, 1, 1))</f>
        <v/>
      </c>
      <c r="E366" s="254">
        <f ca="1">IF(OFFSET('IWP15'!BackgroundChecks, 3, 5, 1, 1)=DATE(1900,1,0), DATE(1900,1,1), OFFSET('IWP15'!BackgroundChecks, 3, 5, 1, 1))</f>
        <v>1</v>
      </c>
      <c r="F366" s="262" t="str">
        <f ca="1">IF(OFFSET('IWP15'!BackgroundChecks, 3, 6, 1, 1) = 0, "", OFFSET('IWP15'!BackgroundChecks, 3, 6, 1, 1))</f>
        <v/>
      </c>
      <c r="G366" s="254">
        <f ca="1">IF(OFFSET('IWP15'!BackgroundChecks, 3, 7, 1, 1)=DATE(1900,1,0), DATE(1900,1,1), OFFSET('IWP15'!BackgroundChecks, 3, 7, 1, 1))</f>
        <v>1</v>
      </c>
      <c r="H366" s="254">
        <f ca="1">IF(OFFSET('IWP15'!BackgroundChecks, 3, 8, 1, 1)=DATE(1900,1,0), DATE(1900,1,1), OFFSET('IWP15'!BackgroundChecks, 3, 8, 1, 1))</f>
        <v>1</v>
      </c>
      <c r="I366" s="262" t="str">
        <f ca="1">IF(OFFSET('IWP15'!BackgroundChecks, 3, 9, 1, 1) = 0, "", OFFSET('IWP15'!BackgroundChecks, 3, 9, 1, 1))</f>
        <v/>
      </c>
      <c r="J366" s="262" t="str">
        <f ca="1">IF(OFFSET('IWP15'!BackgroundChecks, 3, 10, 1, 1) = 0, "", OFFSET('IWP15'!BackgroundChecks, 3, 10, 1, 1))</f>
        <v/>
      </c>
      <c r="K366" s="262" t="str">
        <f ca="1">IF(OFFSET('IWP15'!BackgroundChecks, 3, 11, 1, 1) = 0, "", OFFSET('IWP15'!BackgroundChecks, 3, 11, 1, 1))</f>
        <v/>
      </c>
      <c r="L366" s="262" t="str">
        <f ca="1">IF(OFFSET('IWP15'!BackgroundChecks, 3, 12, 1, 1) = 0, "", OFFSET('IWP15'!BackgroundChecks, 3, 12, 1, 1))</f>
        <v/>
      </c>
      <c r="M366" s="262" t="str">
        <f ca="1">IF(OFFSET('IWP15'!BackgroundChecks, 3, 13, 1, 1) = 0, "", OFFSET('IWP15'!BackgroundChecks, 3, 13, 1, 1))</f>
        <v/>
      </c>
      <c r="N366" s="261"/>
    </row>
    <row r="367" spans="1:14" s="146" customFormat="1">
      <c r="A367" s="257" t="s">
        <v>513</v>
      </c>
      <c r="B367" s="262" t="str">
        <f ca="1">IF(OFFSET('IWP15'!BackgroundChecks, 4, 0, 1, 1) = 0, "", OFFSET('IWP15'!BackgroundChecks, 4, 0, 1, 1))</f>
        <v/>
      </c>
      <c r="C367" s="262" t="str">
        <f ca="1">IF(OFFSET('IWP15'!BackgroundChecks, 4, 2, 1, 1) = 0, "", OFFSET('IWP15'!BackgroundChecks, 4, 2, 1, 1))</f>
        <v/>
      </c>
      <c r="D367" s="262" t="str">
        <f ca="1">IF(OFFSET('IWP15'!BackgroundChecks, 4, 4, 1, 1) = 0, "", OFFSET('IWP15'!BackgroundChecks, 4, 4, 1, 1))</f>
        <v/>
      </c>
      <c r="E367" s="254">
        <f ca="1">IF(OFFSET('IWP15'!BackgroundChecks, 4, 5, 1, 1)=DATE(1900,1,0), DATE(1900,1,1), OFFSET('IWP15'!BackgroundChecks, 4, 5, 1, 1))</f>
        <v>1</v>
      </c>
      <c r="F367" s="262" t="str">
        <f ca="1">IF(OFFSET('IWP15'!BackgroundChecks, 4, 6, 1, 1) = 0, "", OFFSET('IWP15'!BackgroundChecks, 4, 6, 1, 1))</f>
        <v/>
      </c>
      <c r="G367" s="254">
        <f ca="1">IF(OFFSET('IWP15'!BackgroundChecks, 4, 7, 1, 1)=DATE(1900,1,0), DATE(1900,1,1), OFFSET('IWP15'!BackgroundChecks, 4, 7, 1, 1))</f>
        <v>1</v>
      </c>
      <c r="H367" s="254">
        <f ca="1">IF(OFFSET('IWP15'!BackgroundChecks, 4, 8, 1, 1)=DATE(1900,1,0), DATE(1900,1,1), OFFSET('IWP15'!BackgroundChecks, 4, 8, 1, 1))</f>
        <v>1</v>
      </c>
      <c r="I367" s="262" t="str">
        <f ca="1">IF(OFFSET('IWP15'!BackgroundChecks, 4, 9, 1, 1) = 0, "", OFFSET('IWP15'!BackgroundChecks, 4, 9, 1, 1))</f>
        <v/>
      </c>
      <c r="J367" s="262" t="str">
        <f ca="1">IF(OFFSET('IWP15'!BackgroundChecks, 4, 10, 1, 1) = 0, "", OFFSET('IWP15'!BackgroundChecks, 4, 10, 1, 1))</f>
        <v/>
      </c>
      <c r="K367" s="262" t="str">
        <f ca="1">IF(OFFSET('IWP15'!BackgroundChecks, 4, 11, 1, 1) = 0, "", OFFSET('IWP15'!BackgroundChecks, 4, 11, 1, 1))</f>
        <v/>
      </c>
      <c r="L367" s="262" t="str">
        <f ca="1">IF(OFFSET('IWP15'!BackgroundChecks, 4, 12, 1, 1) = 0, "", OFFSET('IWP15'!BackgroundChecks, 4, 12, 1, 1))</f>
        <v/>
      </c>
      <c r="M367" s="262" t="str">
        <f ca="1">IF(OFFSET('IWP15'!BackgroundChecks, 4, 13, 1, 1) = 0, "", OFFSET('IWP15'!BackgroundChecks, 4, 13, 1, 1))</f>
        <v/>
      </c>
      <c r="N367" s="261"/>
    </row>
    <row r="368" spans="1:14" s="146" customFormat="1">
      <c r="A368" s="257" t="s">
        <v>513</v>
      </c>
      <c r="B368" s="262" t="str">
        <f ca="1">IF(OFFSET('IWP15'!BackgroundChecks, 5, 0, 1, 1) = 0, "", OFFSET('IWP15'!BackgroundChecks, 5, 0, 1, 1))</f>
        <v/>
      </c>
      <c r="C368" s="262" t="str">
        <f ca="1">IF(OFFSET('IWP15'!BackgroundChecks, 5, 2, 1, 1) = 0, "", OFFSET('IWP15'!BackgroundChecks, 5, 2, 1, 1))</f>
        <v/>
      </c>
      <c r="D368" s="262" t="str">
        <f ca="1">IF(OFFSET('IWP15'!BackgroundChecks, 5, 4, 1, 1) = 0, "", OFFSET('IWP15'!BackgroundChecks, 5, 4, 1, 1))</f>
        <v/>
      </c>
      <c r="E368" s="254">
        <f ca="1">IF(OFFSET('IWP15'!BackgroundChecks, 5, 5, 1, 1)=DATE(1900,1,0), DATE(1900,1,1), OFFSET('IWP15'!BackgroundChecks, 5, 5, 1, 1))</f>
        <v>1</v>
      </c>
      <c r="F368" s="262" t="str">
        <f ca="1">IF(OFFSET('IWP15'!BackgroundChecks, 5, 6, 1, 1) = 0, "", OFFSET('IWP15'!BackgroundChecks, 5, 6, 1, 1))</f>
        <v/>
      </c>
      <c r="G368" s="254">
        <f ca="1">IF(OFFSET('IWP15'!BackgroundChecks, 5, 7, 1, 1)=DATE(1900,1,0), DATE(1900,1,1), OFFSET('IWP15'!BackgroundChecks, 5, 7, 1, 1))</f>
        <v>1</v>
      </c>
      <c r="H368" s="254">
        <f ca="1">IF(OFFSET('IWP15'!BackgroundChecks, 5, 8, 1, 1)=DATE(1900,1,0), DATE(1900,1,1), OFFSET('IWP15'!BackgroundChecks, 5, 8, 1, 1))</f>
        <v>1</v>
      </c>
      <c r="I368" s="262" t="str">
        <f ca="1">IF(OFFSET('IWP15'!BackgroundChecks, 5, 9, 1, 1) = 0, "", OFFSET('IWP15'!BackgroundChecks, 5, 9, 1, 1))</f>
        <v/>
      </c>
      <c r="J368" s="262" t="str">
        <f ca="1">IF(OFFSET('IWP15'!BackgroundChecks, 5, 10, 1, 1) = 0, "", OFFSET('IWP15'!BackgroundChecks, 5, 10, 1, 1))</f>
        <v/>
      </c>
      <c r="K368" s="262" t="str">
        <f ca="1">IF(OFFSET('IWP15'!BackgroundChecks, 5, 11, 1, 1) = 0, "", OFFSET('IWP15'!BackgroundChecks, 5, 11, 1, 1))</f>
        <v/>
      </c>
      <c r="L368" s="262" t="str">
        <f ca="1">IF(OFFSET('IWP15'!BackgroundChecks, 5, 12, 1, 1) = 0, "", OFFSET('IWP15'!BackgroundChecks, 5, 12, 1, 1))</f>
        <v/>
      </c>
      <c r="M368" s="262" t="str">
        <f ca="1">IF(OFFSET('IWP15'!BackgroundChecks, 5, 13, 1, 1) = 0, "", OFFSET('IWP15'!BackgroundChecks, 5, 13, 1, 1))</f>
        <v/>
      </c>
      <c r="N368" s="261"/>
    </row>
    <row r="369" spans="1:14" s="146" customFormat="1">
      <c r="A369" s="257" t="s">
        <v>513</v>
      </c>
      <c r="B369" s="262" t="str">
        <f ca="1">IF(OFFSET('IWP15'!BackgroundChecks, 6, 0, 1, 1) = 0, "", OFFSET('IWP15'!BackgroundChecks, 6, 0, 1, 1))</f>
        <v/>
      </c>
      <c r="C369" s="262" t="str">
        <f ca="1">IF(OFFSET('IWP15'!BackgroundChecks, 6, 2, 1, 1) = 0, "", OFFSET('IWP15'!BackgroundChecks, 6, 2, 1, 1))</f>
        <v/>
      </c>
      <c r="D369" s="262" t="str">
        <f ca="1">IF(OFFSET('IWP15'!BackgroundChecks, 6, 4, 1, 1) = 0, "", OFFSET('IWP15'!BackgroundChecks, 6, 4, 1, 1))</f>
        <v/>
      </c>
      <c r="E369" s="254">
        <f ca="1">IF(OFFSET('IWP15'!BackgroundChecks, 6, 5, 1, 1)=DATE(1900,1,0), DATE(1900,1,1), OFFSET('IWP15'!BackgroundChecks, 6, 5, 1, 1))</f>
        <v>1</v>
      </c>
      <c r="F369" s="262" t="str">
        <f ca="1">IF(OFFSET('IWP15'!BackgroundChecks, 6, 6, 1, 1) = 0, "", OFFSET('IWP15'!BackgroundChecks, 6, 6, 1, 1))</f>
        <v/>
      </c>
      <c r="G369" s="254">
        <f ca="1">IF(OFFSET('IWP15'!BackgroundChecks, 6, 7, 1, 1)=DATE(1900,1,0), DATE(1900,1,1), OFFSET('IWP15'!BackgroundChecks, 6, 7, 1, 1))</f>
        <v>1</v>
      </c>
      <c r="H369" s="254">
        <f ca="1">IF(OFFSET('IWP15'!BackgroundChecks, 6, 8, 1, 1)=DATE(1900,1,0), DATE(1900,1,1), OFFSET('IWP15'!BackgroundChecks, 6, 8, 1, 1))</f>
        <v>1</v>
      </c>
      <c r="I369" s="262" t="str">
        <f ca="1">IF(OFFSET('IWP15'!BackgroundChecks, 6, 9, 1, 1) = 0, "", OFFSET('IWP15'!BackgroundChecks, 6, 9, 1, 1))</f>
        <v/>
      </c>
      <c r="J369" s="262" t="str">
        <f ca="1">IF(OFFSET('IWP15'!BackgroundChecks, 6, 10, 1, 1) = 0, "", OFFSET('IWP15'!BackgroundChecks, 6, 10, 1, 1))</f>
        <v/>
      </c>
      <c r="K369" s="262" t="str">
        <f ca="1">IF(OFFSET('IWP15'!BackgroundChecks, 6, 11, 1, 1) = 0, "", OFFSET('IWP15'!BackgroundChecks, 6, 11, 1, 1))</f>
        <v/>
      </c>
      <c r="L369" s="262" t="str">
        <f ca="1">IF(OFFSET('IWP15'!BackgroundChecks, 6, 12, 1, 1) = 0, "", OFFSET('IWP15'!BackgroundChecks, 6, 12, 1, 1))</f>
        <v/>
      </c>
      <c r="M369" s="262" t="str">
        <f ca="1">IF(OFFSET('IWP15'!BackgroundChecks, 6, 13, 1, 1) = 0, "", OFFSET('IWP15'!BackgroundChecks, 6, 13, 1, 1))</f>
        <v/>
      </c>
      <c r="N369" s="261"/>
    </row>
    <row r="370" spans="1:14" s="146" customFormat="1">
      <c r="A370" s="257" t="s">
        <v>513</v>
      </c>
      <c r="B370" s="262" t="str">
        <f ca="1">IF(OFFSET('IWP15'!BackgroundChecks, 7, 0, 1, 1) = 0, "", OFFSET('IWP15'!BackgroundChecks, 7, 0, 1, 1))</f>
        <v/>
      </c>
      <c r="C370" s="262" t="str">
        <f ca="1">IF(OFFSET('IWP15'!BackgroundChecks, 7, 2, 1, 1) = 0, "", OFFSET('IWP15'!BackgroundChecks, 7, 2, 1, 1))</f>
        <v/>
      </c>
      <c r="D370" s="262" t="str">
        <f ca="1">IF(OFFSET('IWP15'!BackgroundChecks, 7, 4, 1, 1) = 0, "", OFFSET('IWP15'!BackgroundChecks, 7, 4, 1, 1))</f>
        <v/>
      </c>
      <c r="E370" s="254">
        <f ca="1">IF(OFFSET('IWP15'!BackgroundChecks, 7, 5, 1, 1)=DATE(1900,1,0), DATE(1900,1,1), OFFSET('IWP15'!BackgroundChecks, 7, 5, 1, 1))</f>
        <v>1</v>
      </c>
      <c r="F370" s="262" t="str">
        <f ca="1">IF(OFFSET('IWP15'!BackgroundChecks, 7, 6, 1, 1) = 0, "", OFFSET('IWP15'!BackgroundChecks, 7, 6, 1, 1))</f>
        <v/>
      </c>
      <c r="G370" s="254">
        <f ca="1">IF(OFFSET('IWP15'!BackgroundChecks, 7, 7, 1, 1)=DATE(1900,1,0), DATE(1900,1,1), OFFSET('IWP15'!BackgroundChecks, 7, 7, 1, 1))</f>
        <v>1</v>
      </c>
      <c r="H370" s="254">
        <f ca="1">IF(OFFSET('IWP15'!BackgroundChecks, 7, 8, 1, 1)=DATE(1900,1,0), DATE(1900,1,1), OFFSET('IWP15'!BackgroundChecks, 7, 8, 1, 1))</f>
        <v>1</v>
      </c>
      <c r="I370" s="262" t="str">
        <f ca="1">IF(OFFSET('IWP15'!BackgroundChecks, 7, 9, 1, 1) = 0, "", OFFSET('IWP15'!BackgroundChecks, 7, 9, 1, 1))</f>
        <v/>
      </c>
      <c r="J370" s="262" t="str">
        <f ca="1">IF(OFFSET('IWP15'!BackgroundChecks, 7, 10, 1, 1) = 0, "", OFFSET('IWP15'!BackgroundChecks, 7, 10, 1, 1))</f>
        <v/>
      </c>
      <c r="K370" s="262" t="str">
        <f ca="1">IF(OFFSET('IWP15'!BackgroundChecks, 7, 11, 1, 1) = 0, "", OFFSET('IWP15'!BackgroundChecks, 7, 11, 1, 1))</f>
        <v/>
      </c>
      <c r="L370" s="262" t="str">
        <f ca="1">IF(OFFSET('IWP15'!BackgroundChecks, 7, 12, 1, 1) = 0, "", OFFSET('IWP15'!BackgroundChecks, 7, 12, 1, 1))</f>
        <v/>
      </c>
      <c r="M370" s="262" t="str">
        <f ca="1">IF(OFFSET('IWP15'!BackgroundChecks, 7, 13, 1, 1) = 0, "", OFFSET('IWP15'!BackgroundChecks, 7, 13, 1, 1))</f>
        <v/>
      </c>
      <c r="N370" s="261"/>
    </row>
    <row r="371" spans="1:14" s="146" customFormat="1">
      <c r="A371" s="257" t="s">
        <v>513</v>
      </c>
      <c r="B371" s="262" t="str">
        <f ca="1">IF(OFFSET('IWP15'!BackgroundChecks, 8, 0, 1, 1) = 0, "", OFFSET('IWP15'!BackgroundChecks, 8, 0, 1, 1))</f>
        <v/>
      </c>
      <c r="C371" s="262" t="str">
        <f ca="1">IF(OFFSET('IWP15'!BackgroundChecks, 8, 2, 1, 1) = 0, "", OFFSET('IWP15'!BackgroundChecks, 8, 2, 1, 1))</f>
        <v/>
      </c>
      <c r="D371" s="262" t="str">
        <f ca="1">IF(OFFSET('IWP15'!BackgroundChecks, 8, 4, 1, 1) = 0, "", OFFSET('IWP15'!BackgroundChecks, 8, 4, 1, 1))</f>
        <v/>
      </c>
      <c r="E371" s="254">
        <f ca="1">IF(OFFSET('IWP15'!BackgroundChecks, 8, 5, 1, 1)=DATE(1900,1,0), DATE(1900,1,1), OFFSET('IWP15'!BackgroundChecks, 8, 5, 1, 1))</f>
        <v>1</v>
      </c>
      <c r="F371" s="262" t="str">
        <f ca="1">IF(OFFSET('IWP15'!BackgroundChecks, 8, 6, 1, 1) = 0, "", OFFSET('IWP15'!BackgroundChecks, 8, 6, 1, 1))</f>
        <v/>
      </c>
      <c r="G371" s="254">
        <f ca="1">IF(OFFSET('IWP15'!BackgroundChecks, 8, 7, 1, 1)=DATE(1900,1,0), DATE(1900,1,1), OFFSET('IWP15'!BackgroundChecks, 8, 7, 1, 1))</f>
        <v>1</v>
      </c>
      <c r="H371" s="254">
        <f ca="1">IF(OFFSET('IWP15'!BackgroundChecks, 8, 8, 1, 1)=DATE(1900,1,0), DATE(1900,1,1), OFFSET('IWP15'!BackgroundChecks, 8, 8, 1, 1))</f>
        <v>1</v>
      </c>
      <c r="I371" s="262" t="str">
        <f ca="1">IF(OFFSET('IWP15'!BackgroundChecks, 8, 9, 1, 1) = 0, "", OFFSET('IWP15'!BackgroundChecks, 8, 9, 1, 1))</f>
        <v/>
      </c>
      <c r="J371" s="262" t="str">
        <f ca="1">IF(OFFSET('IWP15'!BackgroundChecks, 8, 10, 1, 1) = 0, "", OFFSET('IWP15'!BackgroundChecks, 8, 10, 1, 1))</f>
        <v/>
      </c>
      <c r="K371" s="262" t="str">
        <f ca="1">IF(OFFSET('IWP15'!BackgroundChecks, 8, 11, 1, 1) = 0, "", OFFSET('IWP15'!BackgroundChecks, 8, 11, 1, 1))</f>
        <v/>
      </c>
      <c r="L371" s="262" t="str">
        <f ca="1">IF(OFFSET('IWP15'!BackgroundChecks, 8, 12, 1, 1) = 0, "", OFFSET('IWP15'!BackgroundChecks, 8, 12, 1, 1))</f>
        <v/>
      </c>
      <c r="M371" s="262" t="str">
        <f ca="1">IF(OFFSET('IWP15'!BackgroundChecks, 8, 13, 1, 1) = 0, "", OFFSET('IWP15'!BackgroundChecks, 8, 13, 1, 1))</f>
        <v/>
      </c>
      <c r="N371" s="261"/>
    </row>
    <row r="372" spans="1:14" s="146" customFormat="1">
      <c r="A372" s="257" t="s">
        <v>513</v>
      </c>
      <c r="B372" s="262" t="str">
        <f ca="1">IF(OFFSET('IWP15'!BackgroundChecks, 9, 0, 1, 1) = 0, "", OFFSET('IWP15'!BackgroundChecks, 9, 0, 1, 1))</f>
        <v/>
      </c>
      <c r="C372" s="262" t="str">
        <f ca="1">IF(OFFSET('IWP15'!BackgroundChecks, 9, 2, 1, 1) = 0, "", OFFSET('IWP15'!BackgroundChecks, 9, 2, 1, 1))</f>
        <v/>
      </c>
      <c r="D372" s="262" t="str">
        <f ca="1">IF(OFFSET('IWP15'!BackgroundChecks, 9, 4, 1, 1) = 0, "", OFFSET('IWP15'!BackgroundChecks, 9, 4, 1, 1))</f>
        <v/>
      </c>
      <c r="E372" s="254">
        <f ca="1">IF(OFFSET('IWP15'!BackgroundChecks, 9, 5, 1, 1)=DATE(1900,1,0), DATE(1900,1,1), OFFSET('IWP15'!BackgroundChecks, 9, 5, 1, 1))</f>
        <v>1</v>
      </c>
      <c r="F372" s="262" t="str">
        <f ca="1">IF(OFFSET('IWP15'!BackgroundChecks, 9, 6, 1, 1) = 0, "", OFFSET('IWP15'!BackgroundChecks, 9, 6, 1, 1))</f>
        <v/>
      </c>
      <c r="G372" s="254">
        <f ca="1">IF(OFFSET('IWP15'!BackgroundChecks, 9, 7, 1, 1)=DATE(1900,1,0), DATE(1900,1,1), OFFSET('IWP15'!BackgroundChecks, 9, 7, 1, 1))</f>
        <v>1</v>
      </c>
      <c r="H372" s="254">
        <f ca="1">IF(OFFSET('IWP15'!BackgroundChecks, 9, 8, 1, 1)=DATE(1900,1,0), DATE(1900,1,1), OFFSET('IWP15'!BackgroundChecks, 9, 8, 1, 1))</f>
        <v>1</v>
      </c>
      <c r="I372" s="262" t="str">
        <f ca="1">IF(OFFSET('IWP15'!BackgroundChecks, 9, 9, 1, 1) = 0, "", OFFSET('IWP15'!BackgroundChecks, 9, 9, 1, 1))</f>
        <v/>
      </c>
      <c r="J372" s="262" t="str">
        <f ca="1">IF(OFFSET('IWP15'!BackgroundChecks, 9, 10, 1, 1) = 0, "", OFFSET('IWP15'!BackgroundChecks, 9, 10, 1, 1))</f>
        <v/>
      </c>
      <c r="K372" s="262" t="str">
        <f ca="1">IF(OFFSET('IWP15'!BackgroundChecks, 9, 11, 1, 1) = 0, "", OFFSET('IWP15'!BackgroundChecks, 9, 11, 1, 1))</f>
        <v/>
      </c>
      <c r="L372" s="262" t="str">
        <f ca="1">IF(OFFSET('IWP15'!BackgroundChecks, 9, 12, 1, 1) = 0, "", OFFSET('IWP15'!BackgroundChecks, 9, 12, 1, 1))</f>
        <v/>
      </c>
      <c r="M372" s="262" t="str">
        <f ca="1">IF(OFFSET('IWP15'!BackgroundChecks, 9, 13, 1, 1) = 0, "", OFFSET('IWP15'!BackgroundChecks, 9, 13, 1, 1))</f>
        <v/>
      </c>
      <c r="N372" s="261"/>
    </row>
    <row r="373" spans="1:14" s="146" customFormat="1">
      <c r="A373" s="257" t="s">
        <v>513</v>
      </c>
      <c r="B373" s="262" t="str">
        <f ca="1">IF(OFFSET('IWP15'!BackgroundChecks, 10, 0, 1, 1) = 0, "", OFFSET('IWP15'!BackgroundChecks, 10, 0, 1, 1))</f>
        <v/>
      </c>
      <c r="C373" s="262" t="str">
        <f ca="1">IF(OFFSET('IWP15'!BackgroundChecks, 10, 2, 1, 1) = 0, "", OFFSET('IWP15'!BackgroundChecks, 10, 2, 1, 1))</f>
        <v/>
      </c>
      <c r="D373" s="262" t="str">
        <f ca="1">IF(OFFSET('IWP15'!BackgroundChecks, 10, 4, 1, 1) = 0, "", OFFSET('IWP15'!BackgroundChecks, 10, 4, 1, 1))</f>
        <v/>
      </c>
      <c r="E373" s="254">
        <f ca="1">IF(OFFSET('IWP15'!BackgroundChecks, 10, 5, 1, 1)=DATE(1900,1,0), DATE(1900,1,1), OFFSET('IWP15'!BackgroundChecks, 10, 5, 1, 1))</f>
        <v>1</v>
      </c>
      <c r="F373" s="262" t="str">
        <f ca="1">IF(OFFSET('IWP15'!BackgroundChecks, 10, 6, 1, 1) = 0, "", OFFSET('IWP15'!BackgroundChecks, 10, 6, 1, 1))</f>
        <v/>
      </c>
      <c r="G373" s="254">
        <f ca="1">IF(OFFSET('IWP15'!BackgroundChecks, 10, 7, 1, 1)=DATE(1900,1,0), DATE(1900,1,1), OFFSET('IWP15'!BackgroundChecks, 10, 7, 1, 1))</f>
        <v>1</v>
      </c>
      <c r="H373" s="254">
        <f ca="1">IF(OFFSET('IWP15'!BackgroundChecks, 10, 8, 1, 1)=DATE(1900,1,0), DATE(1900,1,1), OFFSET('IWP15'!BackgroundChecks, 10, 8, 1, 1))</f>
        <v>1</v>
      </c>
      <c r="I373" s="262" t="str">
        <f ca="1">IF(OFFSET('IWP15'!BackgroundChecks, 10, 9, 1, 1) = 0, "", OFFSET('IWP15'!BackgroundChecks, 10, 9, 1, 1))</f>
        <v/>
      </c>
      <c r="J373" s="262" t="str">
        <f ca="1">IF(OFFSET('IWP15'!BackgroundChecks, 10, 10, 1, 1) = 0, "", OFFSET('IWP15'!BackgroundChecks, 10, 10, 1, 1))</f>
        <v/>
      </c>
      <c r="K373" s="262" t="str">
        <f ca="1">IF(OFFSET('IWP15'!BackgroundChecks, 10, 11, 1, 1) = 0, "", OFFSET('IWP15'!BackgroundChecks, 10, 11, 1, 1))</f>
        <v/>
      </c>
      <c r="L373" s="262" t="str">
        <f ca="1">IF(OFFSET('IWP15'!BackgroundChecks, 10, 12, 1, 1) = 0, "", OFFSET('IWP15'!BackgroundChecks, 10, 12, 1, 1))</f>
        <v/>
      </c>
      <c r="M373" s="262" t="str">
        <f ca="1">IF(OFFSET('IWP15'!BackgroundChecks, 10, 13, 1, 1) = 0, "", OFFSET('IWP15'!BackgroundChecks, 10, 13, 1, 1))</f>
        <v/>
      </c>
      <c r="N373" s="261"/>
    </row>
    <row r="374" spans="1:14" s="146" customFormat="1">
      <c r="A374" s="257" t="s">
        <v>513</v>
      </c>
      <c r="B374" s="262" t="str">
        <f ca="1">IF(OFFSET('IWP15'!BackgroundChecks, 11, 0, 1, 1) = 0, "", OFFSET('IWP15'!BackgroundChecks, 11, 0, 1, 1))</f>
        <v/>
      </c>
      <c r="C374" s="262" t="str">
        <f ca="1">IF(OFFSET('IWP15'!BackgroundChecks, 11, 2, 1, 1) = 0, "", OFFSET('IWP15'!BackgroundChecks, 11, 2, 1, 1))</f>
        <v/>
      </c>
      <c r="D374" s="262" t="str">
        <f ca="1">IF(OFFSET('IWP15'!BackgroundChecks, 11, 4, 1, 1) = 0, "", OFFSET('IWP15'!BackgroundChecks, 11, 4, 1, 1))</f>
        <v/>
      </c>
      <c r="E374" s="254">
        <f ca="1">IF(OFFSET('IWP15'!BackgroundChecks, 11, 5, 1, 1)=DATE(1900,1,0), DATE(1900,1,1), OFFSET('IWP15'!BackgroundChecks, 11, 5, 1, 1))</f>
        <v>1</v>
      </c>
      <c r="F374" s="262" t="str">
        <f ca="1">IF(OFFSET('IWP15'!BackgroundChecks, 11, 6, 1, 1) = 0, "", OFFSET('IWP15'!BackgroundChecks, 11, 6, 1, 1))</f>
        <v/>
      </c>
      <c r="G374" s="254">
        <f ca="1">IF(OFFSET('IWP15'!BackgroundChecks, 11, 7, 1, 1)=DATE(1900,1,0), DATE(1900,1,1), OFFSET('IWP15'!BackgroundChecks, 11, 7, 1, 1))</f>
        <v>1</v>
      </c>
      <c r="H374" s="254">
        <f ca="1">IF(OFFSET('IWP15'!BackgroundChecks, 11, 8, 1, 1)=DATE(1900,1,0), DATE(1900,1,1), OFFSET('IWP15'!BackgroundChecks, 11, 8, 1, 1))</f>
        <v>1</v>
      </c>
      <c r="I374" s="262" t="str">
        <f ca="1">IF(OFFSET('IWP15'!BackgroundChecks, 11, 9, 1, 1) = 0, "", OFFSET('IWP15'!BackgroundChecks, 11, 9, 1, 1))</f>
        <v/>
      </c>
      <c r="J374" s="262" t="str">
        <f ca="1">IF(OFFSET('IWP15'!BackgroundChecks, 11, 10, 1, 1) = 0, "", OFFSET('IWP15'!BackgroundChecks, 11, 10, 1, 1))</f>
        <v/>
      </c>
      <c r="K374" s="262" t="str">
        <f ca="1">IF(OFFSET('IWP15'!BackgroundChecks, 11, 11, 1, 1) = 0, "", OFFSET('IWP15'!BackgroundChecks, 11, 11, 1, 1))</f>
        <v/>
      </c>
      <c r="L374" s="262" t="str">
        <f ca="1">IF(OFFSET('IWP15'!BackgroundChecks, 11, 12, 1, 1) = 0, "", OFFSET('IWP15'!BackgroundChecks, 11, 12, 1, 1))</f>
        <v/>
      </c>
      <c r="M374" s="262" t="str">
        <f ca="1">IF(OFFSET('IWP15'!BackgroundChecks, 11, 13, 1, 1) = 0, "", OFFSET('IWP15'!BackgroundChecks, 11, 13, 1, 1))</f>
        <v/>
      </c>
      <c r="N374" s="261"/>
    </row>
    <row r="375" spans="1:14" s="146" customFormat="1">
      <c r="A375" s="257" t="s">
        <v>513</v>
      </c>
      <c r="B375" s="262" t="str">
        <f ca="1">IF(OFFSET('IWP15'!BackgroundChecks, 12, 0, 1, 1) = 0, "", OFFSET('IWP15'!BackgroundChecks, 12, 0, 1, 1))</f>
        <v/>
      </c>
      <c r="C375" s="262" t="str">
        <f ca="1">IF(OFFSET('IWP15'!BackgroundChecks, 12, 2, 1, 1) = 0, "", OFFSET('IWP15'!BackgroundChecks, 12, 2, 1, 1))</f>
        <v/>
      </c>
      <c r="D375" s="262" t="str">
        <f ca="1">IF(OFFSET('IWP15'!BackgroundChecks, 12, 4, 1, 1) = 0, "", OFFSET('IWP15'!BackgroundChecks, 12, 4, 1, 1))</f>
        <v/>
      </c>
      <c r="E375" s="254">
        <f ca="1">IF(OFFSET('IWP15'!BackgroundChecks, 12, 5, 1, 1)=DATE(1900,1,0), DATE(1900,1,1), OFFSET('IWP15'!BackgroundChecks, 12, 5, 1, 1))</f>
        <v>1</v>
      </c>
      <c r="F375" s="262" t="str">
        <f ca="1">IF(OFFSET('IWP15'!BackgroundChecks, 12, 6, 1, 1) = 0, "", OFFSET('IWP15'!BackgroundChecks, 12, 6, 1, 1))</f>
        <v/>
      </c>
      <c r="G375" s="254">
        <f ca="1">IF(OFFSET('IWP15'!BackgroundChecks, 12, 7, 1, 1)=DATE(1900,1,0), DATE(1900,1,1), OFFSET('IWP15'!BackgroundChecks, 12, 7, 1, 1))</f>
        <v>1</v>
      </c>
      <c r="H375" s="254">
        <f ca="1">IF(OFFSET('IWP15'!BackgroundChecks, 12, 8, 1, 1)=DATE(1900,1,0), DATE(1900,1,1), OFFSET('IWP15'!BackgroundChecks, 12, 8, 1, 1))</f>
        <v>1</v>
      </c>
      <c r="I375" s="262" t="str">
        <f ca="1">IF(OFFSET('IWP15'!BackgroundChecks, 12, 9, 1, 1) = 0, "", OFFSET('IWP15'!BackgroundChecks, 12, 9, 1, 1))</f>
        <v/>
      </c>
      <c r="J375" s="262" t="str">
        <f ca="1">IF(OFFSET('IWP15'!BackgroundChecks, 12, 10, 1, 1) = 0, "", OFFSET('IWP15'!BackgroundChecks, 12, 10, 1, 1))</f>
        <v/>
      </c>
      <c r="K375" s="262" t="str">
        <f ca="1">IF(OFFSET('IWP15'!BackgroundChecks, 12, 11, 1, 1) = 0, "", OFFSET('IWP15'!BackgroundChecks, 12, 11, 1, 1))</f>
        <v/>
      </c>
      <c r="L375" s="262" t="str">
        <f ca="1">IF(OFFSET('IWP15'!BackgroundChecks, 12, 12, 1, 1) = 0, "", OFFSET('IWP15'!BackgroundChecks, 12, 12, 1, 1))</f>
        <v/>
      </c>
      <c r="M375" s="262" t="str">
        <f ca="1">IF(OFFSET('IWP15'!BackgroundChecks, 12, 13, 1, 1) = 0, "", OFFSET('IWP15'!BackgroundChecks, 12, 13, 1, 1))</f>
        <v/>
      </c>
      <c r="N375" s="261"/>
    </row>
    <row r="376" spans="1:14" s="146" customFormat="1">
      <c r="A376" s="257" t="s">
        <v>513</v>
      </c>
      <c r="B376" s="262" t="str">
        <f ca="1">IF(OFFSET('IWP15'!BackgroundChecks, 13, 0, 1, 1) = 0, "", OFFSET('IWP15'!BackgroundChecks, 13, 0, 1, 1))</f>
        <v/>
      </c>
      <c r="C376" s="262" t="str">
        <f ca="1">IF(OFFSET('IWP15'!BackgroundChecks, 13, 2, 1, 1) = 0, "", OFFSET('IWP15'!BackgroundChecks, 13, 2, 1, 1))</f>
        <v/>
      </c>
      <c r="D376" s="262" t="str">
        <f ca="1">IF(OFFSET('IWP15'!BackgroundChecks, 13, 4, 1, 1) = 0, "", OFFSET('IWP15'!BackgroundChecks, 13, 4, 1, 1))</f>
        <v/>
      </c>
      <c r="E376" s="254">
        <f ca="1">IF(OFFSET('IWP15'!BackgroundChecks, 13, 5, 1, 1)=DATE(1900,1,0), DATE(1900,1,1), OFFSET('IWP15'!BackgroundChecks, 13, 5, 1, 1))</f>
        <v>1</v>
      </c>
      <c r="F376" s="262" t="str">
        <f ca="1">IF(OFFSET('IWP15'!BackgroundChecks, 13, 6, 1, 1) = 0, "", OFFSET('IWP15'!BackgroundChecks, 13, 6, 1, 1))</f>
        <v/>
      </c>
      <c r="G376" s="254">
        <f ca="1">IF(OFFSET('IWP15'!BackgroundChecks, 13, 7, 1, 1)=DATE(1900,1,0), DATE(1900,1,1), OFFSET('IWP15'!BackgroundChecks, 13, 7, 1, 1))</f>
        <v>1</v>
      </c>
      <c r="H376" s="254">
        <f ca="1">IF(OFFSET('IWP15'!BackgroundChecks, 13, 8, 1, 1)=DATE(1900,1,0), DATE(1900,1,1), OFFSET('IWP15'!BackgroundChecks, 13, 8, 1, 1))</f>
        <v>1</v>
      </c>
      <c r="I376" s="262" t="str">
        <f ca="1">IF(OFFSET('IWP15'!BackgroundChecks, 13, 9, 1, 1) = 0, "", OFFSET('IWP15'!BackgroundChecks, 13, 9, 1, 1))</f>
        <v/>
      </c>
      <c r="J376" s="262" t="str">
        <f ca="1">IF(OFFSET('IWP15'!BackgroundChecks, 13, 10, 1, 1) = 0, "", OFFSET('IWP15'!BackgroundChecks, 13, 10, 1, 1))</f>
        <v/>
      </c>
      <c r="K376" s="262" t="str">
        <f ca="1">IF(OFFSET('IWP15'!BackgroundChecks, 13, 11, 1, 1) = 0, "", OFFSET('IWP15'!BackgroundChecks, 13, 11, 1, 1))</f>
        <v/>
      </c>
      <c r="L376" s="262" t="str">
        <f ca="1">IF(OFFSET('IWP15'!BackgroundChecks, 13, 12, 1, 1) = 0, "", OFFSET('IWP15'!BackgroundChecks, 13, 12, 1, 1))</f>
        <v/>
      </c>
      <c r="M376" s="262" t="str">
        <f ca="1">IF(OFFSET('IWP15'!BackgroundChecks, 13, 13, 1, 1) = 0, "", OFFSET('IWP15'!BackgroundChecks, 13, 13, 1, 1))</f>
        <v/>
      </c>
      <c r="N376" s="261"/>
    </row>
    <row r="377" spans="1:14" s="146" customFormat="1">
      <c r="A377" s="257" t="s">
        <v>513</v>
      </c>
      <c r="B377" s="262" t="str">
        <f ca="1">IF(OFFSET('IWP15'!BackgroundChecks, 14, 0, 1, 1) = 0, "", OFFSET('IWP15'!BackgroundChecks, 14, 0, 1, 1))</f>
        <v/>
      </c>
      <c r="C377" s="262" t="str">
        <f ca="1">IF(OFFSET('IWP15'!BackgroundChecks, 14, 2, 1, 1) = 0, "", OFFSET('IWP15'!BackgroundChecks, 14, 2, 1, 1))</f>
        <v/>
      </c>
      <c r="D377" s="262" t="str">
        <f ca="1">IF(OFFSET('IWP15'!BackgroundChecks, 14, 4, 1, 1) = 0, "", OFFSET('IWP15'!BackgroundChecks, 14, 4, 1, 1))</f>
        <v/>
      </c>
      <c r="E377" s="254">
        <f ca="1">IF(OFFSET('IWP15'!BackgroundChecks, 14, 5, 1, 1)=DATE(1900,1,0), DATE(1900,1,1), OFFSET('IWP15'!BackgroundChecks, 14, 5, 1, 1))</f>
        <v>1</v>
      </c>
      <c r="F377" s="262" t="str">
        <f ca="1">IF(OFFSET('IWP15'!BackgroundChecks, 14, 6, 1, 1) = 0, "", OFFSET('IWP15'!BackgroundChecks, 14, 6, 1, 1))</f>
        <v/>
      </c>
      <c r="G377" s="254">
        <f ca="1">IF(OFFSET('IWP15'!BackgroundChecks, 14, 7, 1, 1)=DATE(1900,1,0), DATE(1900,1,1), OFFSET('IWP15'!BackgroundChecks, 14, 7, 1, 1))</f>
        <v>1</v>
      </c>
      <c r="H377" s="254">
        <f ca="1">IF(OFFSET('IWP15'!BackgroundChecks, 14, 8, 1, 1)=DATE(1900,1,0), DATE(1900,1,1), OFFSET('IWP15'!BackgroundChecks, 14, 8, 1, 1))</f>
        <v>1</v>
      </c>
      <c r="I377" s="262" t="str">
        <f ca="1">IF(OFFSET('IWP15'!BackgroundChecks, 14, 9, 1, 1) = 0, "", OFFSET('IWP15'!BackgroundChecks, 14, 9, 1, 1))</f>
        <v/>
      </c>
      <c r="J377" s="262" t="str">
        <f ca="1">IF(OFFSET('IWP15'!BackgroundChecks, 14, 10, 1, 1) = 0, "", OFFSET('IWP15'!BackgroundChecks, 14, 10, 1, 1))</f>
        <v/>
      </c>
      <c r="K377" s="262" t="str">
        <f ca="1">IF(OFFSET('IWP15'!BackgroundChecks, 14, 11, 1, 1) = 0, "", OFFSET('IWP15'!BackgroundChecks, 14, 11, 1, 1))</f>
        <v/>
      </c>
      <c r="L377" s="262" t="str">
        <f ca="1">IF(OFFSET('IWP15'!BackgroundChecks, 14, 12, 1, 1) = 0, "", OFFSET('IWP15'!BackgroundChecks, 14, 12, 1, 1))</f>
        <v/>
      </c>
      <c r="M377" s="262" t="str">
        <f ca="1">IF(OFFSET('IWP15'!BackgroundChecks, 14, 13, 1, 1) = 0, "", OFFSET('IWP15'!BackgroundChecks, 14, 13, 1, 1))</f>
        <v/>
      </c>
      <c r="N377" s="261"/>
    </row>
    <row r="378" spans="1:14" s="146" customFormat="1">
      <c r="A378" s="257" t="s">
        <v>513</v>
      </c>
      <c r="B378" s="262" t="str">
        <f ca="1">IF(OFFSET('IWP15'!BackgroundChecks, 15, 0, 1, 1) = 0, "", OFFSET('IWP15'!BackgroundChecks, 15, 0, 1, 1))</f>
        <v/>
      </c>
      <c r="C378" s="262" t="str">
        <f ca="1">IF(OFFSET('IWP15'!BackgroundChecks, 15, 2, 1, 1) = 0, "", OFFSET('IWP15'!BackgroundChecks, 15, 2, 1, 1))</f>
        <v/>
      </c>
      <c r="D378" s="262" t="str">
        <f ca="1">IF(OFFSET('IWP15'!BackgroundChecks, 15, 4, 1, 1) = 0, "", OFFSET('IWP15'!BackgroundChecks, 15, 4, 1, 1))</f>
        <v/>
      </c>
      <c r="E378" s="254">
        <f ca="1">IF(OFFSET('IWP15'!BackgroundChecks, 15, 5, 1, 1)=DATE(1900,1,0), DATE(1900,1,1), OFFSET('IWP15'!BackgroundChecks, 15, 5, 1, 1))</f>
        <v>1</v>
      </c>
      <c r="F378" s="262" t="str">
        <f ca="1">IF(OFFSET('IWP15'!BackgroundChecks, 15, 6, 1, 1) = 0, "", OFFSET('IWP15'!BackgroundChecks, 15, 6, 1, 1))</f>
        <v/>
      </c>
      <c r="G378" s="254">
        <f ca="1">IF(OFFSET('IWP15'!BackgroundChecks, 15, 7, 1, 1)=DATE(1900,1,0), DATE(1900,1,1), OFFSET('IWP15'!BackgroundChecks, 15, 7, 1, 1))</f>
        <v>1</v>
      </c>
      <c r="H378" s="254">
        <f ca="1">IF(OFFSET('IWP15'!BackgroundChecks, 15, 8, 1, 1)=DATE(1900,1,0), DATE(1900,1,1), OFFSET('IWP15'!BackgroundChecks, 15, 8, 1, 1))</f>
        <v>1</v>
      </c>
      <c r="I378" s="262" t="str">
        <f ca="1">IF(OFFSET('IWP15'!BackgroundChecks, 15, 9, 1, 1) = 0, "", OFFSET('IWP15'!BackgroundChecks, 15, 9, 1, 1))</f>
        <v/>
      </c>
      <c r="J378" s="262" t="str">
        <f ca="1">IF(OFFSET('IWP15'!BackgroundChecks, 15, 10, 1, 1) = 0, "", OFFSET('IWP15'!BackgroundChecks, 15, 10, 1, 1))</f>
        <v/>
      </c>
      <c r="K378" s="262" t="str">
        <f ca="1">IF(OFFSET('IWP15'!BackgroundChecks, 15, 11, 1, 1) = 0, "", OFFSET('IWP15'!BackgroundChecks, 15, 11, 1, 1))</f>
        <v/>
      </c>
      <c r="L378" s="262" t="str">
        <f ca="1">IF(OFFSET('IWP15'!BackgroundChecks, 15, 12, 1, 1) = 0, "", OFFSET('IWP15'!BackgroundChecks, 15, 12, 1, 1))</f>
        <v/>
      </c>
      <c r="M378" s="262" t="str">
        <f ca="1">IF(OFFSET('IWP15'!BackgroundChecks, 15, 13, 1, 1) = 0, "", OFFSET('IWP15'!BackgroundChecks, 15, 13, 1, 1))</f>
        <v/>
      </c>
      <c r="N378" s="261"/>
    </row>
    <row r="379" spans="1:14" s="146" customFormat="1">
      <c r="A379" s="257" t="s">
        <v>513</v>
      </c>
      <c r="B379" s="262" t="str">
        <f ca="1">IF(OFFSET('IWP15'!BackgroundChecks, 16, 0, 1, 1) = 0, "", OFFSET('IWP15'!BackgroundChecks, 16, 0, 1, 1))</f>
        <v/>
      </c>
      <c r="C379" s="262" t="str">
        <f ca="1">IF(OFFSET('IWP15'!BackgroundChecks, 16, 2, 1, 1) = 0, "", OFFSET('IWP15'!BackgroundChecks, 16, 2, 1, 1))</f>
        <v/>
      </c>
      <c r="D379" s="262" t="str">
        <f ca="1">IF(OFFSET('IWP15'!BackgroundChecks, 16, 4, 1, 1) = 0, "", OFFSET('IWP15'!BackgroundChecks, 16, 4, 1, 1))</f>
        <v/>
      </c>
      <c r="E379" s="254">
        <f ca="1">IF(OFFSET('IWP15'!BackgroundChecks, 16, 5, 1, 1)=DATE(1900,1,0), DATE(1900,1,1), OFFSET('IWP15'!BackgroundChecks, 16, 5, 1, 1))</f>
        <v>1</v>
      </c>
      <c r="F379" s="262" t="str">
        <f ca="1">IF(OFFSET('IWP15'!BackgroundChecks, 16, 6, 1, 1) = 0, "", OFFSET('IWP15'!BackgroundChecks, 16, 6, 1, 1))</f>
        <v/>
      </c>
      <c r="G379" s="254">
        <f ca="1">IF(OFFSET('IWP15'!BackgroundChecks, 16, 7, 1, 1)=DATE(1900,1,0), DATE(1900,1,1), OFFSET('IWP15'!BackgroundChecks, 16, 7, 1, 1))</f>
        <v>1</v>
      </c>
      <c r="H379" s="254">
        <f ca="1">IF(OFFSET('IWP15'!BackgroundChecks, 16, 8, 1, 1)=DATE(1900,1,0), DATE(1900,1,1), OFFSET('IWP15'!BackgroundChecks, 16, 8, 1, 1))</f>
        <v>1</v>
      </c>
      <c r="I379" s="262" t="str">
        <f ca="1">IF(OFFSET('IWP15'!BackgroundChecks, 16, 9, 1, 1) = 0, "", OFFSET('IWP15'!BackgroundChecks, 16, 9, 1, 1))</f>
        <v/>
      </c>
      <c r="J379" s="262" t="str">
        <f ca="1">IF(OFFSET('IWP15'!BackgroundChecks, 16, 10, 1, 1) = 0, "", OFFSET('IWP15'!BackgroundChecks, 16, 10, 1, 1))</f>
        <v/>
      </c>
      <c r="K379" s="262" t="str">
        <f ca="1">IF(OFFSET('IWP15'!BackgroundChecks, 16, 11, 1, 1) = 0, "", OFFSET('IWP15'!BackgroundChecks, 16, 11, 1, 1))</f>
        <v/>
      </c>
      <c r="L379" s="262" t="str">
        <f ca="1">IF(OFFSET('IWP15'!BackgroundChecks, 16, 12, 1, 1) = 0, "", OFFSET('IWP15'!BackgroundChecks, 16, 12, 1, 1))</f>
        <v/>
      </c>
      <c r="M379" s="262" t="str">
        <f ca="1">IF(OFFSET('IWP15'!BackgroundChecks, 16, 13, 1, 1) = 0, "", OFFSET('IWP15'!BackgroundChecks, 16, 13, 1, 1))</f>
        <v/>
      </c>
      <c r="N379" s="261"/>
    </row>
    <row r="380" spans="1:14" s="146" customFormat="1">
      <c r="A380" s="257" t="s">
        <v>513</v>
      </c>
      <c r="B380" s="262" t="str">
        <f ca="1">IF(OFFSET('IWP15'!BackgroundChecks, 17, 0, 1, 1) = 0, "", OFFSET('IWP15'!BackgroundChecks, 17, 0, 1, 1))</f>
        <v/>
      </c>
      <c r="C380" s="262" t="str">
        <f ca="1">IF(OFFSET('IWP15'!BackgroundChecks, 17, 2, 1, 1) = 0, "", OFFSET('IWP15'!BackgroundChecks, 17, 2, 1, 1))</f>
        <v/>
      </c>
      <c r="D380" s="262" t="str">
        <f ca="1">IF(OFFSET('IWP15'!BackgroundChecks, 17, 4, 1, 1) = 0, "", OFFSET('IWP15'!BackgroundChecks, 17, 4, 1, 1))</f>
        <v/>
      </c>
      <c r="E380" s="254">
        <f ca="1">IF(OFFSET('IWP15'!BackgroundChecks, 17, 5, 1, 1)=DATE(1900,1,0), DATE(1900,1,1), OFFSET('IWP15'!BackgroundChecks, 17, 5, 1, 1))</f>
        <v>1</v>
      </c>
      <c r="F380" s="262" t="str">
        <f ca="1">IF(OFFSET('IWP15'!BackgroundChecks, 17, 6, 1, 1) = 0, "", OFFSET('IWP15'!BackgroundChecks, 17, 6, 1, 1))</f>
        <v/>
      </c>
      <c r="G380" s="254">
        <f ca="1">IF(OFFSET('IWP15'!BackgroundChecks, 17, 7, 1, 1)=DATE(1900,1,0), DATE(1900,1,1), OFFSET('IWP15'!BackgroundChecks, 17, 7, 1, 1))</f>
        <v>1</v>
      </c>
      <c r="H380" s="254">
        <f ca="1">IF(OFFSET('IWP15'!BackgroundChecks, 17, 8, 1, 1)=DATE(1900,1,0), DATE(1900,1,1), OFFSET('IWP15'!BackgroundChecks, 17, 8, 1, 1))</f>
        <v>1</v>
      </c>
      <c r="I380" s="262" t="str">
        <f ca="1">IF(OFFSET('IWP15'!BackgroundChecks, 17, 9, 1, 1) = 0, "", OFFSET('IWP15'!BackgroundChecks, 17, 9, 1, 1))</f>
        <v/>
      </c>
      <c r="J380" s="262" t="str">
        <f ca="1">IF(OFFSET('IWP15'!BackgroundChecks, 17, 10, 1, 1) = 0, "", OFFSET('IWP15'!BackgroundChecks, 17, 10, 1, 1))</f>
        <v/>
      </c>
      <c r="K380" s="262" t="str">
        <f ca="1">IF(OFFSET('IWP15'!BackgroundChecks, 17, 11, 1, 1) = 0, "", OFFSET('IWP15'!BackgroundChecks, 17, 11, 1, 1))</f>
        <v/>
      </c>
      <c r="L380" s="262" t="str">
        <f ca="1">IF(OFFSET('IWP15'!BackgroundChecks, 17, 12, 1, 1) = 0, "", OFFSET('IWP15'!BackgroundChecks, 17, 12, 1, 1))</f>
        <v/>
      </c>
      <c r="M380" s="262" t="str">
        <f ca="1">IF(OFFSET('IWP15'!BackgroundChecks, 17, 13, 1, 1) = 0, "", OFFSET('IWP15'!BackgroundChecks, 17, 13, 1, 1))</f>
        <v/>
      </c>
      <c r="N380" s="261"/>
    </row>
    <row r="381" spans="1:14" s="146" customFormat="1">
      <c r="A381" s="257" t="s">
        <v>513</v>
      </c>
      <c r="B381" s="262" t="str">
        <f ca="1">IF(OFFSET('IWP15'!BackgroundChecks, 18, 0, 1, 1) = 0, "", OFFSET('IWP15'!BackgroundChecks, 18, 0, 1, 1))</f>
        <v/>
      </c>
      <c r="C381" s="262" t="str">
        <f ca="1">IF(OFFSET('IWP15'!BackgroundChecks, 18, 2, 1, 1) = 0, "", OFFSET('IWP15'!BackgroundChecks, 18, 2, 1, 1))</f>
        <v/>
      </c>
      <c r="D381" s="262" t="str">
        <f ca="1">IF(OFFSET('IWP15'!BackgroundChecks, 18, 4, 1, 1) = 0, "", OFFSET('IWP15'!BackgroundChecks, 18, 4, 1, 1))</f>
        <v/>
      </c>
      <c r="E381" s="254">
        <f ca="1">IF(OFFSET('IWP15'!BackgroundChecks, 18, 5, 1, 1)=DATE(1900,1,0), DATE(1900,1,1), OFFSET('IWP15'!BackgroundChecks, 18, 5, 1, 1))</f>
        <v>1</v>
      </c>
      <c r="F381" s="262" t="str">
        <f ca="1">IF(OFFSET('IWP15'!BackgroundChecks, 18, 6, 1, 1) = 0, "", OFFSET('IWP15'!BackgroundChecks, 18, 6, 1, 1))</f>
        <v/>
      </c>
      <c r="G381" s="254">
        <f ca="1">IF(OFFSET('IWP15'!BackgroundChecks, 18, 7, 1, 1)=DATE(1900,1,0), DATE(1900,1,1), OFFSET('IWP15'!BackgroundChecks, 18, 7, 1, 1))</f>
        <v>1</v>
      </c>
      <c r="H381" s="254">
        <f ca="1">IF(OFFSET('IWP15'!BackgroundChecks, 18, 8, 1, 1)=DATE(1900,1,0), DATE(1900,1,1), OFFSET('IWP15'!BackgroundChecks, 18, 8, 1, 1))</f>
        <v>1</v>
      </c>
      <c r="I381" s="262" t="str">
        <f ca="1">IF(OFFSET('IWP15'!BackgroundChecks, 18, 9, 1, 1) = 0, "", OFFSET('IWP15'!BackgroundChecks, 18, 9, 1, 1))</f>
        <v/>
      </c>
      <c r="J381" s="262" t="str">
        <f ca="1">IF(OFFSET('IWP15'!BackgroundChecks, 18, 10, 1, 1) = 0, "", OFFSET('IWP15'!BackgroundChecks, 18, 10, 1, 1))</f>
        <v/>
      </c>
      <c r="K381" s="262" t="str">
        <f ca="1">IF(OFFSET('IWP15'!BackgroundChecks, 18, 11, 1, 1) = 0, "", OFFSET('IWP15'!BackgroundChecks, 18, 11, 1, 1))</f>
        <v/>
      </c>
      <c r="L381" s="262" t="str">
        <f ca="1">IF(OFFSET('IWP15'!BackgroundChecks, 18, 12, 1, 1) = 0, "", OFFSET('IWP15'!BackgroundChecks, 18, 12, 1, 1))</f>
        <v/>
      </c>
      <c r="M381" s="262" t="str">
        <f ca="1">IF(OFFSET('IWP15'!BackgroundChecks, 18, 13, 1, 1) = 0, "", OFFSET('IWP15'!BackgroundChecks, 18, 13, 1, 1))</f>
        <v/>
      </c>
      <c r="N381" s="261"/>
    </row>
    <row r="382" spans="1:14" s="146" customFormat="1">
      <c r="A382" s="257" t="s">
        <v>513</v>
      </c>
      <c r="B382" s="262" t="str">
        <f ca="1">IF(OFFSET('IWP15'!BackgroundChecks, 19, 0, 1, 1) = 0, "", OFFSET('IWP15'!BackgroundChecks, 19, 0, 1, 1))</f>
        <v/>
      </c>
      <c r="C382" s="262" t="str">
        <f ca="1">IF(OFFSET('IWP15'!BackgroundChecks, 19, 2, 1, 1) = 0, "", OFFSET('IWP15'!BackgroundChecks, 19, 2, 1, 1))</f>
        <v/>
      </c>
      <c r="D382" s="262" t="str">
        <f ca="1">IF(OFFSET('IWP15'!BackgroundChecks, 19, 4, 1, 1) = 0, "", OFFSET('IWP15'!BackgroundChecks, 19, 4, 1, 1))</f>
        <v/>
      </c>
      <c r="E382" s="254">
        <f ca="1">IF(OFFSET('IWP15'!BackgroundChecks, 19, 5, 1, 1)=DATE(1900,1,0), DATE(1900,1,1), OFFSET('IWP15'!BackgroundChecks, 19, 5, 1, 1))</f>
        <v>1</v>
      </c>
      <c r="F382" s="262" t="str">
        <f ca="1">IF(OFFSET('IWP15'!BackgroundChecks, 19, 6, 1, 1) = 0, "", OFFSET('IWP15'!BackgroundChecks, 19, 6, 1, 1))</f>
        <v/>
      </c>
      <c r="G382" s="254">
        <f ca="1">IF(OFFSET('IWP15'!BackgroundChecks, 19, 7, 1, 1)=DATE(1900,1,0), DATE(1900,1,1), OFFSET('IWP15'!BackgroundChecks, 19, 7, 1, 1))</f>
        <v>1</v>
      </c>
      <c r="H382" s="254">
        <f ca="1">IF(OFFSET('IWP15'!BackgroundChecks, 19, 8, 1, 1)=DATE(1900,1,0), DATE(1900,1,1), OFFSET('IWP15'!BackgroundChecks, 19, 8, 1, 1))</f>
        <v>1</v>
      </c>
      <c r="I382" s="262" t="str">
        <f ca="1">IF(OFFSET('IWP15'!BackgroundChecks, 19, 9, 1, 1) = 0, "", OFFSET('IWP15'!BackgroundChecks, 19, 9, 1, 1))</f>
        <v/>
      </c>
      <c r="J382" s="262" t="str">
        <f ca="1">IF(OFFSET('IWP15'!BackgroundChecks, 19, 10, 1, 1) = 0, "", OFFSET('IWP15'!BackgroundChecks, 19, 10, 1, 1))</f>
        <v/>
      </c>
      <c r="K382" s="262" t="str">
        <f ca="1">IF(OFFSET('IWP15'!BackgroundChecks, 19, 11, 1, 1) = 0, "", OFFSET('IWP15'!BackgroundChecks, 19, 11, 1, 1))</f>
        <v/>
      </c>
      <c r="L382" s="262" t="str">
        <f ca="1">IF(OFFSET('IWP15'!BackgroundChecks, 19, 12, 1, 1) = 0, "", OFFSET('IWP15'!BackgroundChecks, 19, 12, 1, 1))</f>
        <v/>
      </c>
      <c r="M382" s="262" t="str">
        <f ca="1">IF(OFFSET('IWP15'!BackgroundChecks, 19, 13, 1, 1) = 0, "", OFFSET('IWP15'!BackgroundChecks, 19, 13, 1, 1))</f>
        <v/>
      </c>
      <c r="N382" s="261"/>
    </row>
    <row r="383" spans="1:14" s="146" customFormat="1">
      <c r="A383" s="257" t="s">
        <v>514</v>
      </c>
      <c r="B383" s="262" t="str">
        <f ca="1">IF(OFFSET('IWP16'!BackgroundChecks, 0, 0, 1, 1) = 0, "", OFFSET('IWP16'!BackgroundChecks, 0, 0, 1, 1))</f>
        <v/>
      </c>
      <c r="C383" s="262" t="str">
        <f ca="1">IF(OFFSET('IWP16'!BackgroundChecks, 0, 2, 1, 1) = 0, "", OFFSET('IWP16'!BackgroundChecks, 0, 2, 1, 1))</f>
        <v/>
      </c>
      <c r="D383" s="262" t="str">
        <f ca="1">IF(OFFSET('IWP16'!BackgroundChecks, 0, 4, 1, 1) = 0, "", OFFSET('IWP16'!BackgroundChecks, 0, 4, 1, 1))</f>
        <v/>
      </c>
      <c r="E383" s="254">
        <f ca="1">IF(OFFSET('IWP16'!BackgroundChecks, 0, 5, 1, 1)=DATE(1900,1,0), DATE(1900,1,1), OFFSET('IWP16'!BackgroundChecks, 0, 5, 1, 1))</f>
        <v>1</v>
      </c>
      <c r="F383" s="262" t="str">
        <f ca="1">IF(OFFSET('IWP16'!BackgroundChecks, 0, 6, 1, 1) = 0, "", OFFSET('IWP16'!BackgroundChecks, 0, 6, 1, 1))</f>
        <v/>
      </c>
      <c r="G383" s="254">
        <f ca="1">IF(OFFSET('IWP16'!BackgroundChecks, 0, 7, 1, 1)=DATE(1900,1,0), DATE(1900,1,1), OFFSET('IWP16'!BackgroundChecks, 0, 7, 1, 1))</f>
        <v>1</v>
      </c>
      <c r="H383" s="254">
        <f ca="1">IF(OFFSET('IWP16'!BackgroundChecks, 0, 8, 1, 1)=DATE(1900,1,0), DATE(1900,1,1), OFFSET('IWP16'!BackgroundChecks, 0, 8, 1, 1))</f>
        <v>1</v>
      </c>
      <c r="I383" s="262" t="str">
        <f ca="1">IF(OFFSET('IWP16'!BackgroundChecks, 0, 9, 1, 1) = 0, "", OFFSET('IWP16'!BackgroundChecks, 0, 9, 1, 1))</f>
        <v/>
      </c>
      <c r="J383" s="262" t="str">
        <f ca="1">IF(OFFSET('IWP16'!BackgroundChecks, 0, 10, 1, 1) = 0, "", OFFSET('IWP16'!BackgroundChecks, 0, 10, 1, 1))</f>
        <v/>
      </c>
      <c r="K383" s="262" t="str">
        <f ca="1">IF(OFFSET('IWP16'!BackgroundChecks, 0, 11, 1, 1) = 0, "", OFFSET('IWP16'!BackgroundChecks, 0, 11, 1, 1))</f>
        <v/>
      </c>
      <c r="L383" s="262" t="str">
        <f ca="1">IF(OFFSET('IWP16'!BackgroundChecks, 0, 12, 1, 1) = 0, "", OFFSET('IWP16'!BackgroundChecks, 0, 12, 1, 1))</f>
        <v/>
      </c>
      <c r="M383" s="262" t="str">
        <f ca="1">IF(OFFSET('IWP16'!BackgroundChecks, 0, 13, 1, 1) = 0, "", OFFSET('IWP16'!BackgroundChecks, 0, 13, 1, 1))</f>
        <v/>
      </c>
      <c r="N383" s="261"/>
    </row>
    <row r="384" spans="1:14" s="146" customFormat="1">
      <c r="A384" s="257" t="s">
        <v>514</v>
      </c>
      <c r="B384" s="262" t="str">
        <f ca="1">IF(OFFSET('IWP16'!BackgroundChecks, 1, 0, 1, 1) = 0, "", OFFSET('IWP16'!BackgroundChecks, 1, 0, 1, 1))</f>
        <v/>
      </c>
      <c r="C384" s="262" t="str">
        <f ca="1">IF(OFFSET('IWP16'!BackgroundChecks, 1, 2, 1, 1) = 0, "", OFFSET('IWP16'!BackgroundChecks, 1, 2, 1, 1))</f>
        <v/>
      </c>
      <c r="D384" s="262" t="str">
        <f ca="1">IF(OFFSET('IWP16'!BackgroundChecks, 1, 4, 1, 1) = 0, "", OFFSET('IWP16'!BackgroundChecks, 1, 4, 1, 1))</f>
        <v/>
      </c>
      <c r="E384" s="254">
        <f ca="1">IF(OFFSET('IWP16'!BackgroundChecks, 1, 5, 1, 1)=DATE(1900,1,0), DATE(1900,1,1), OFFSET('IWP16'!BackgroundChecks, 1, 5, 1, 1))</f>
        <v>1</v>
      </c>
      <c r="F384" s="262" t="str">
        <f ca="1">IF(OFFSET('IWP16'!BackgroundChecks, 1, 6, 1, 1) = 0, "", OFFSET('IWP16'!BackgroundChecks, 1, 6, 1, 1))</f>
        <v/>
      </c>
      <c r="G384" s="254">
        <f ca="1">IF(OFFSET('IWP16'!BackgroundChecks, 1, 7, 1, 1)=DATE(1900,1,0), DATE(1900,1,1), OFFSET('IWP16'!BackgroundChecks, 1, 7, 1, 1))</f>
        <v>1</v>
      </c>
      <c r="H384" s="254">
        <f ca="1">IF(OFFSET('IWP16'!BackgroundChecks, 1, 8, 1, 1)=DATE(1900,1,0), DATE(1900,1,1), OFFSET('IWP16'!BackgroundChecks, 1, 8, 1, 1))</f>
        <v>1</v>
      </c>
      <c r="I384" s="262" t="str">
        <f ca="1">IF(OFFSET('IWP16'!BackgroundChecks, 1, 9, 1, 1) = 0, "", OFFSET('IWP16'!BackgroundChecks, 1, 9, 1, 1))</f>
        <v/>
      </c>
      <c r="J384" s="262" t="str">
        <f ca="1">IF(OFFSET('IWP16'!BackgroundChecks, 1, 10, 1, 1) = 0, "", OFFSET('IWP16'!BackgroundChecks, 1, 10, 1, 1))</f>
        <v/>
      </c>
      <c r="K384" s="262" t="str">
        <f ca="1">IF(OFFSET('IWP16'!BackgroundChecks, 1, 11, 1, 1) = 0, "", OFFSET('IWP16'!BackgroundChecks, 1, 11, 1, 1))</f>
        <v/>
      </c>
      <c r="L384" s="262" t="str">
        <f ca="1">IF(OFFSET('IWP16'!BackgroundChecks, 1, 12, 1, 1) = 0, "", OFFSET('IWP16'!BackgroundChecks, 1, 12, 1, 1))</f>
        <v/>
      </c>
      <c r="M384" s="262" t="str">
        <f ca="1">IF(OFFSET('IWP16'!BackgroundChecks, 1, 13, 1, 1) = 0, "", OFFSET('IWP16'!BackgroundChecks, 1, 13, 1, 1))</f>
        <v/>
      </c>
      <c r="N384" s="261"/>
    </row>
    <row r="385" spans="1:14" s="146" customFormat="1">
      <c r="A385" s="257" t="s">
        <v>514</v>
      </c>
      <c r="B385" s="262" t="str">
        <f ca="1">IF(OFFSET('IWP16'!BackgroundChecks, 2, 0, 1, 1) = 0, "", OFFSET('IWP16'!BackgroundChecks, 2, 0, 1, 1))</f>
        <v/>
      </c>
      <c r="C385" s="262" t="str">
        <f ca="1">IF(OFFSET('IWP16'!BackgroundChecks, 2, 2, 1, 1) = 0, "", OFFSET('IWP16'!BackgroundChecks, 2, 2, 1, 1))</f>
        <v/>
      </c>
      <c r="D385" s="262" t="str">
        <f ca="1">IF(OFFSET('IWP16'!BackgroundChecks, 2, 4, 1, 1) = 0, "", OFFSET('IWP16'!BackgroundChecks, 2, 4, 1, 1))</f>
        <v/>
      </c>
      <c r="E385" s="254">
        <f ca="1">IF(OFFSET('IWP16'!BackgroundChecks, 2, 5, 1, 1)=DATE(1900,1,0), DATE(1900,1,1), OFFSET('IWP16'!BackgroundChecks, 2, 5, 1, 1))</f>
        <v>1</v>
      </c>
      <c r="F385" s="262" t="str">
        <f ca="1">IF(OFFSET('IWP16'!BackgroundChecks, 2, 6, 1, 1) = 0, "", OFFSET('IWP16'!BackgroundChecks, 2, 6, 1, 1))</f>
        <v/>
      </c>
      <c r="G385" s="254">
        <f ca="1">IF(OFFSET('IWP16'!BackgroundChecks, 2, 7, 1, 1)=DATE(1900,1,0), DATE(1900,1,1), OFFSET('IWP16'!BackgroundChecks, 2, 7, 1, 1))</f>
        <v>1</v>
      </c>
      <c r="H385" s="254">
        <f ca="1">IF(OFFSET('IWP16'!BackgroundChecks, 2, 8, 1, 1)=DATE(1900,1,0), DATE(1900,1,1), OFFSET('IWP16'!BackgroundChecks, 2, 8, 1, 1))</f>
        <v>1</v>
      </c>
      <c r="I385" s="262" t="str">
        <f ca="1">IF(OFFSET('IWP16'!BackgroundChecks, 2, 9, 1, 1) = 0, "", OFFSET('IWP16'!BackgroundChecks, 2, 9, 1, 1))</f>
        <v/>
      </c>
      <c r="J385" s="262" t="str">
        <f ca="1">IF(OFFSET('IWP16'!BackgroundChecks, 2, 10, 1, 1) = 0, "", OFFSET('IWP16'!BackgroundChecks, 2, 10, 1, 1))</f>
        <v/>
      </c>
      <c r="K385" s="262" t="str">
        <f ca="1">IF(OFFSET('IWP16'!BackgroundChecks, 2, 11, 1, 1) = 0, "", OFFSET('IWP16'!BackgroundChecks, 2, 11, 1, 1))</f>
        <v/>
      </c>
      <c r="L385" s="262" t="str">
        <f ca="1">IF(OFFSET('IWP16'!BackgroundChecks, 2, 12, 1, 1) = 0, "", OFFSET('IWP16'!BackgroundChecks, 2, 12, 1, 1))</f>
        <v/>
      </c>
      <c r="M385" s="262" t="str">
        <f ca="1">IF(OFFSET('IWP16'!BackgroundChecks, 2, 13, 1, 1) = 0, "", OFFSET('IWP16'!BackgroundChecks, 2, 13, 1, 1))</f>
        <v/>
      </c>
      <c r="N385" s="261"/>
    </row>
    <row r="386" spans="1:14" s="146" customFormat="1">
      <c r="A386" s="257" t="s">
        <v>514</v>
      </c>
      <c r="B386" s="262" t="str">
        <f ca="1">IF(OFFSET('IWP16'!BackgroundChecks, 3, 0, 1, 1) = 0, "", OFFSET('IWP16'!BackgroundChecks, 3, 0, 1, 1))</f>
        <v/>
      </c>
      <c r="C386" s="262" t="str">
        <f ca="1">IF(OFFSET('IWP16'!BackgroundChecks, 3, 2, 1, 1) = 0, "", OFFSET('IWP16'!BackgroundChecks, 3, 2, 1, 1))</f>
        <v/>
      </c>
      <c r="D386" s="262" t="str">
        <f ca="1">IF(OFFSET('IWP16'!BackgroundChecks, 3, 4, 1, 1) = 0, "", OFFSET('IWP16'!BackgroundChecks, 3, 4, 1, 1))</f>
        <v/>
      </c>
      <c r="E386" s="254">
        <f ca="1">IF(OFFSET('IWP16'!BackgroundChecks, 3, 5, 1, 1)=DATE(1900,1,0), DATE(1900,1,1), OFFSET('IWP16'!BackgroundChecks, 3, 5, 1, 1))</f>
        <v>1</v>
      </c>
      <c r="F386" s="262" t="str">
        <f ca="1">IF(OFFSET('IWP16'!BackgroundChecks, 3, 6, 1, 1) = 0, "", OFFSET('IWP16'!BackgroundChecks, 3, 6, 1, 1))</f>
        <v/>
      </c>
      <c r="G386" s="254">
        <f ca="1">IF(OFFSET('IWP16'!BackgroundChecks, 3, 7, 1, 1)=DATE(1900,1,0), DATE(1900,1,1), OFFSET('IWP16'!BackgroundChecks, 3, 7, 1, 1))</f>
        <v>1</v>
      </c>
      <c r="H386" s="254">
        <f ca="1">IF(OFFSET('IWP16'!BackgroundChecks, 3, 8, 1, 1)=DATE(1900,1,0), DATE(1900,1,1), OFFSET('IWP16'!BackgroundChecks, 3, 8, 1, 1))</f>
        <v>1</v>
      </c>
      <c r="I386" s="262" t="str">
        <f ca="1">IF(OFFSET('IWP16'!BackgroundChecks, 3, 9, 1, 1) = 0, "", OFFSET('IWP16'!BackgroundChecks, 3, 9, 1, 1))</f>
        <v/>
      </c>
      <c r="J386" s="262" t="str">
        <f ca="1">IF(OFFSET('IWP16'!BackgroundChecks, 3, 10, 1, 1) = 0, "", OFFSET('IWP16'!BackgroundChecks, 3, 10, 1, 1))</f>
        <v/>
      </c>
      <c r="K386" s="262" t="str">
        <f ca="1">IF(OFFSET('IWP16'!BackgroundChecks, 3, 11, 1, 1) = 0, "", OFFSET('IWP16'!BackgroundChecks, 3, 11, 1, 1))</f>
        <v/>
      </c>
      <c r="L386" s="262" t="str">
        <f ca="1">IF(OFFSET('IWP16'!BackgroundChecks, 3, 12, 1, 1) = 0, "", OFFSET('IWP16'!BackgroundChecks, 3, 12, 1, 1))</f>
        <v/>
      </c>
      <c r="M386" s="262" t="str">
        <f ca="1">IF(OFFSET('IWP16'!BackgroundChecks, 3, 13, 1, 1) = 0, "", OFFSET('IWP16'!BackgroundChecks, 3, 13, 1, 1))</f>
        <v/>
      </c>
      <c r="N386" s="261"/>
    </row>
    <row r="387" spans="1:14" s="146" customFormat="1">
      <c r="A387" s="257" t="s">
        <v>514</v>
      </c>
      <c r="B387" s="262" t="str">
        <f ca="1">IF(OFFSET('IWP16'!BackgroundChecks, 4, 0, 1, 1) = 0, "", OFFSET('IWP16'!BackgroundChecks, 4, 0, 1, 1))</f>
        <v/>
      </c>
      <c r="C387" s="262" t="str">
        <f ca="1">IF(OFFSET('IWP16'!BackgroundChecks, 4, 2, 1, 1) = 0, "", OFFSET('IWP16'!BackgroundChecks, 4, 2, 1, 1))</f>
        <v/>
      </c>
      <c r="D387" s="262" t="str">
        <f ca="1">IF(OFFSET('IWP16'!BackgroundChecks, 4, 4, 1, 1) = 0, "", OFFSET('IWP16'!BackgroundChecks, 4, 4, 1, 1))</f>
        <v/>
      </c>
      <c r="E387" s="254">
        <f ca="1">IF(OFFSET('IWP16'!BackgroundChecks, 4, 5, 1, 1)=DATE(1900,1,0), DATE(1900,1,1), OFFSET('IWP16'!BackgroundChecks, 4, 5, 1, 1))</f>
        <v>1</v>
      </c>
      <c r="F387" s="262" t="str">
        <f ca="1">IF(OFFSET('IWP16'!BackgroundChecks, 4, 6, 1, 1) = 0, "", OFFSET('IWP16'!BackgroundChecks, 4, 6, 1, 1))</f>
        <v/>
      </c>
      <c r="G387" s="254">
        <f ca="1">IF(OFFSET('IWP16'!BackgroundChecks, 4, 7, 1, 1)=DATE(1900,1,0), DATE(1900,1,1), OFFSET('IWP16'!BackgroundChecks, 4, 7, 1, 1))</f>
        <v>1</v>
      </c>
      <c r="H387" s="254">
        <f ca="1">IF(OFFSET('IWP16'!BackgroundChecks, 4, 8, 1, 1)=DATE(1900,1,0), DATE(1900,1,1), OFFSET('IWP16'!BackgroundChecks, 4, 8, 1, 1))</f>
        <v>1</v>
      </c>
      <c r="I387" s="262" t="str">
        <f ca="1">IF(OFFSET('IWP16'!BackgroundChecks, 4, 9, 1, 1) = 0, "", OFFSET('IWP16'!BackgroundChecks, 4, 9, 1, 1))</f>
        <v/>
      </c>
      <c r="J387" s="262" t="str">
        <f ca="1">IF(OFFSET('IWP16'!BackgroundChecks, 4, 10, 1, 1) = 0, "", OFFSET('IWP16'!BackgroundChecks, 4, 10, 1, 1))</f>
        <v/>
      </c>
      <c r="K387" s="262" t="str">
        <f ca="1">IF(OFFSET('IWP16'!BackgroundChecks, 4, 11, 1, 1) = 0, "", OFFSET('IWP16'!BackgroundChecks, 4, 11, 1, 1))</f>
        <v/>
      </c>
      <c r="L387" s="262" t="str">
        <f ca="1">IF(OFFSET('IWP16'!BackgroundChecks, 4, 12, 1, 1) = 0, "", OFFSET('IWP16'!BackgroundChecks, 4, 12, 1, 1))</f>
        <v/>
      </c>
      <c r="M387" s="262" t="str">
        <f ca="1">IF(OFFSET('IWP16'!BackgroundChecks, 4, 13, 1, 1) = 0, "", OFFSET('IWP16'!BackgroundChecks, 4, 13, 1, 1))</f>
        <v/>
      </c>
      <c r="N387" s="261"/>
    </row>
    <row r="388" spans="1:14" s="146" customFormat="1">
      <c r="A388" s="257" t="s">
        <v>514</v>
      </c>
      <c r="B388" s="262" t="str">
        <f ca="1">IF(OFFSET('IWP16'!BackgroundChecks, 5, 0, 1, 1) = 0, "", OFFSET('IWP16'!BackgroundChecks, 5, 0, 1, 1))</f>
        <v/>
      </c>
      <c r="C388" s="262" t="str">
        <f ca="1">IF(OFFSET('IWP16'!BackgroundChecks, 5, 2, 1, 1) = 0, "", OFFSET('IWP16'!BackgroundChecks, 5, 2, 1, 1))</f>
        <v/>
      </c>
      <c r="D388" s="262" t="str">
        <f ca="1">IF(OFFSET('IWP16'!BackgroundChecks, 5, 4, 1, 1) = 0, "", OFFSET('IWP16'!BackgroundChecks, 5, 4, 1, 1))</f>
        <v/>
      </c>
      <c r="E388" s="254">
        <f ca="1">IF(OFFSET('IWP16'!BackgroundChecks, 5, 5, 1, 1)=DATE(1900,1,0), DATE(1900,1,1), OFFSET('IWP16'!BackgroundChecks, 5, 5, 1, 1))</f>
        <v>1</v>
      </c>
      <c r="F388" s="262" t="str">
        <f ca="1">IF(OFFSET('IWP16'!BackgroundChecks, 5, 6, 1, 1) = 0, "", OFFSET('IWP16'!BackgroundChecks, 5, 6, 1, 1))</f>
        <v/>
      </c>
      <c r="G388" s="254">
        <f ca="1">IF(OFFSET('IWP16'!BackgroundChecks, 5, 7, 1, 1)=DATE(1900,1,0), DATE(1900,1,1), OFFSET('IWP16'!BackgroundChecks, 5, 7, 1, 1))</f>
        <v>1</v>
      </c>
      <c r="H388" s="254">
        <f ca="1">IF(OFFSET('IWP16'!BackgroundChecks, 5, 8, 1, 1)=DATE(1900,1,0), DATE(1900,1,1), OFFSET('IWP16'!BackgroundChecks, 5, 8, 1, 1))</f>
        <v>1</v>
      </c>
      <c r="I388" s="262" t="str">
        <f ca="1">IF(OFFSET('IWP16'!BackgroundChecks, 5, 9, 1, 1) = 0, "", OFFSET('IWP16'!BackgroundChecks, 5, 9, 1, 1))</f>
        <v/>
      </c>
      <c r="J388" s="262" t="str">
        <f ca="1">IF(OFFSET('IWP16'!BackgroundChecks, 5, 10, 1, 1) = 0, "", OFFSET('IWP16'!BackgroundChecks, 5, 10, 1, 1))</f>
        <v/>
      </c>
      <c r="K388" s="262" t="str">
        <f ca="1">IF(OFFSET('IWP16'!BackgroundChecks, 5, 11, 1, 1) = 0, "", OFFSET('IWP16'!BackgroundChecks, 5, 11, 1, 1))</f>
        <v/>
      </c>
      <c r="L388" s="262" t="str">
        <f ca="1">IF(OFFSET('IWP16'!BackgroundChecks, 5, 12, 1, 1) = 0, "", OFFSET('IWP16'!BackgroundChecks, 5, 12, 1, 1))</f>
        <v/>
      </c>
      <c r="M388" s="262" t="str">
        <f ca="1">IF(OFFSET('IWP16'!BackgroundChecks, 5, 13, 1, 1) = 0, "", OFFSET('IWP16'!BackgroundChecks, 5, 13, 1, 1))</f>
        <v/>
      </c>
      <c r="N388" s="261"/>
    </row>
    <row r="389" spans="1:14" s="146" customFormat="1">
      <c r="A389" s="257" t="s">
        <v>514</v>
      </c>
      <c r="B389" s="262" t="str">
        <f ca="1">IF(OFFSET('IWP16'!BackgroundChecks, 6, 0, 1, 1) = 0, "", OFFSET('IWP16'!BackgroundChecks, 6, 0, 1, 1))</f>
        <v/>
      </c>
      <c r="C389" s="262" t="str">
        <f ca="1">IF(OFFSET('IWP16'!BackgroundChecks, 6, 2, 1, 1) = 0, "", OFFSET('IWP16'!BackgroundChecks, 6, 2, 1, 1))</f>
        <v/>
      </c>
      <c r="D389" s="262" t="str">
        <f ca="1">IF(OFFSET('IWP16'!BackgroundChecks, 6, 4, 1, 1) = 0, "", OFFSET('IWP16'!BackgroundChecks, 6, 4, 1, 1))</f>
        <v/>
      </c>
      <c r="E389" s="254">
        <f ca="1">IF(OFFSET('IWP16'!BackgroundChecks, 6, 5, 1, 1)=DATE(1900,1,0), DATE(1900,1,1), OFFSET('IWP16'!BackgroundChecks, 6, 5, 1, 1))</f>
        <v>1</v>
      </c>
      <c r="F389" s="262" t="str">
        <f ca="1">IF(OFFSET('IWP16'!BackgroundChecks, 6, 6, 1, 1) = 0, "", OFFSET('IWP16'!BackgroundChecks, 6, 6, 1, 1))</f>
        <v/>
      </c>
      <c r="G389" s="254">
        <f ca="1">IF(OFFSET('IWP16'!BackgroundChecks, 6, 7, 1, 1)=DATE(1900,1,0), DATE(1900,1,1), OFFSET('IWP16'!BackgroundChecks, 6, 7, 1, 1))</f>
        <v>1</v>
      </c>
      <c r="H389" s="254">
        <f ca="1">IF(OFFSET('IWP16'!BackgroundChecks, 6, 8, 1, 1)=DATE(1900,1,0), DATE(1900,1,1), OFFSET('IWP16'!BackgroundChecks, 6, 8, 1, 1))</f>
        <v>1</v>
      </c>
      <c r="I389" s="262" t="str">
        <f ca="1">IF(OFFSET('IWP16'!BackgroundChecks, 6, 9, 1, 1) = 0, "", OFFSET('IWP16'!BackgroundChecks, 6, 9, 1, 1))</f>
        <v/>
      </c>
      <c r="J389" s="262" t="str">
        <f ca="1">IF(OFFSET('IWP16'!BackgroundChecks, 6, 10, 1, 1) = 0, "", OFFSET('IWP16'!BackgroundChecks, 6, 10, 1, 1))</f>
        <v/>
      </c>
      <c r="K389" s="262" t="str">
        <f ca="1">IF(OFFSET('IWP16'!BackgroundChecks, 6, 11, 1, 1) = 0, "", OFFSET('IWP16'!BackgroundChecks, 6, 11, 1, 1))</f>
        <v/>
      </c>
      <c r="L389" s="262" t="str">
        <f ca="1">IF(OFFSET('IWP16'!BackgroundChecks, 6, 12, 1, 1) = 0, "", OFFSET('IWP16'!BackgroundChecks, 6, 12, 1, 1))</f>
        <v/>
      </c>
      <c r="M389" s="262" t="str">
        <f ca="1">IF(OFFSET('IWP16'!BackgroundChecks, 6, 13, 1, 1) = 0, "", OFFSET('IWP16'!BackgroundChecks, 6, 13, 1, 1))</f>
        <v/>
      </c>
      <c r="N389" s="261"/>
    </row>
    <row r="390" spans="1:14" s="146" customFormat="1">
      <c r="A390" s="257" t="s">
        <v>514</v>
      </c>
      <c r="B390" s="262" t="str">
        <f ca="1">IF(OFFSET('IWP16'!BackgroundChecks, 7, 0, 1, 1) = 0, "", OFFSET('IWP16'!BackgroundChecks, 7, 0, 1, 1))</f>
        <v/>
      </c>
      <c r="C390" s="262" t="str">
        <f ca="1">IF(OFFSET('IWP16'!BackgroundChecks, 7, 2, 1, 1) = 0, "", OFFSET('IWP16'!BackgroundChecks, 7, 2, 1, 1))</f>
        <v/>
      </c>
      <c r="D390" s="262" t="str">
        <f ca="1">IF(OFFSET('IWP16'!BackgroundChecks, 7, 4, 1, 1) = 0, "", OFFSET('IWP16'!BackgroundChecks, 7, 4, 1, 1))</f>
        <v/>
      </c>
      <c r="E390" s="254">
        <f ca="1">IF(OFFSET('IWP16'!BackgroundChecks, 7, 5, 1, 1)=DATE(1900,1,0), DATE(1900,1,1), OFFSET('IWP16'!BackgroundChecks, 7, 5, 1, 1))</f>
        <v>1</v>
      </c>
      <c r="F390" s="262" t="str">
        <f ca="1">IF(OFFSET('IWP16'!BackgroundChecks, 7, 6, 1, 1) = 0, "", OFFSET('IWP16'!BackgroundChecks, 7, 6, 1, 1))</f>
        <v/>
      </c>
      <c r="G390" s="254">
        <f ca="1">IF(OFFSET('IWP16'!BackgroundChecks, 7, 7, 1, 1)=DATE(1900,1,0), DATE(1900,1,1), OFFSET('IWP16'!BackgroundChecks, 7, 7, 1, 1))</f>
        <v>1</v>
      </c>
      <c r="H390" s="254">
        <f ca="1">IF(OFFSET('IWP16'!BackgroundChecks, 7, 8, 1, 1)=DATE(1900,1,0), DATE(1900,1,1), OFFSET('IWP16'!BackgroundChecks, 7, 8, 1, 1))</f>
        <v>1</v>
      </c>
      <c r="I390" s="262" t="str">
        <f ca="1">IF(OFFSET('IWP16'!BackgroundChecks, 7, 9, 1, 1) = 0, "", OFFSET('IWP16'!BackgroundChecks, 7, 9, 1, 1))</f>
        <v/>
      </c>
      <c r="J390" s="262" t="str">
        <f ca="1">IF(OFFSET('IWP16'!BackgroundChecks, 7, 10, 1, 1) = 0, "", OFFSET('IWP16'!BackgroundChecks, 7, 10, 1, 1))</f>
        <v/>
      </c>
      <c r="K390" s="262" t="str">
        <f ca="1">IF(OFFSET('IWP16'!BackgroundChecks, 7, 11, 1, 1) = 0, "", OFFSET('IWP16'!BackgroundChecks, 7, 11, 1, 1))</f>
        <v/>
      </c>
      <c r="L390" s="262" t="str">
        <f ca="1">IF(OFFSET('IWP16'!BackgroundChecks, 7, 12, 1, 1) = 0, "", OFFSET('IWP16'!BackgroundChecks, 7, 12, 1, 1))</f>
        <v/>
      </c>
      <c r="M390" s="262" t="str">
        <f ca="1">IF(OFFSET('IWP16'!BackgroundChecks, 7, 13, 1, 1) = 0, "", OFFSET('IWP16'!BackgroundChecks, 7, 13, 1, 1))</f>
        <v/>
      </c>
      <c r="N390" s="261"/>
    </row>
    <row r="391" spans="1:14" s="146" customFormat="1">
      <c r="A391" s="257" t="s">
        <v>514</v>
      </c>
      <c r="B391" s="262" t="str">
        <f ca="1">IF(OFFSET('IWP16'!BackgroundChecks, 8, 0, 1, 1) = 0, "", OFFSET('IWP16'!BackgroundChecks, 8, 0, 1, 1))</f>
        <v/>
      </c>
      <c r="C391" s="262" t="str">
        <f ca="1">IF(OFFSET('IWP16'!BackgroundChecks, 8, 2, 1, 1) = 0, "", OFFSET('IWP16'!BackgroundChecks, 8, 2, 1, 1))</f>
        <v/>
      </c>
      <c r="D391" s="262" t="str">
        <f ca="1">IF(OFFSET('IWP16'!BackgroundChecks, 8, 4, 1, 1) = 0, "", OFFSET('IWP16'!BackgroundChecks, 8, 4, 1, 1))</f>
        <v/>
      </c>
      <c r="E391" s="254">
        <f ca="1">IF(OFFSET('IWP16'!BackgroundChecks, 8, 5, 1, 1)=DATE(1900,1,0), DATE(1900,1,1), OFFSET('IWP16'!BackgroundChecks, 8, 5, 1, 1))</f>
        <v>1</v>
      </c>
      <c r="F391" s="262" t="str">
        <f ca="1">IF(OFFSET('IWP16'!BackgroundChecks, 8, 6, 1, 1) = 0, "", OFFSET('IWP16'!BackgroundChecks, 8, 6, 1, 1))</f>
        <v/>
      </c>
      <c r="G391" s="254">
        <f ca="1">IF(OFFSET('IWP16'!BackgroundChecks, 8, 7, 1, 1)=DATE(1900,1,0), DATE(1900,1,1), OFFSET('IWP16'!BackgroundChecks, 8, 7, 1, 1))</f>
        <v>1</v>
      </c>
      <c r="H391" s="254">
        <f ca="1">IF(OFFSET('IWP16'!BackgroundChecks, 8, 8, 1, 1)=DATE(1900,1,0), DATE(1900,1,1), OFFSET('IWP16'!BackgroundChecks, 8, 8, 1, 1))</f>
        <v>1</v>
      </c>
      <c r="I391" s="262" t="str">
        <f ca="1">IF(OFFSET('IWP16'!BackgroundChecks, 8, 9, 1, 1) = 0, "", OFFSET('IWP16'!BackgroundChecks, 8, 9, 1, 1))</f>
        <v/>
      </c>
      <c r="J391" s="262" t="str">
        <f ca="1">IF(OFFSET('IWP16'!BackgroundChecks, 8, 10, 1, 1) = 0, "", OFFSET('IWP16'!BackgroundChecks, 8, 10, 1, 1))</f>
        <v/>
      </c>
      <c r="K391" s="262" t="str">
        <f ca="1">IF(OFFSET('IWP16'!BackgroundChecks, 8, 11, 1, 1) = 0, "", OFFSET('IWP16'!BackgroundChecks, 8, 11, 1, 1))</f>
        <v/>
      </c>
      <c r="L391" s="262" t="str">
        <f ca="1">IF(OFFSET('IWP16'!BackgroundChecks, 8, 12, 1, 1) = 0, "", OFFSET('IWP16'!BackgroundChecks, 8, 12, 1, 1))</f>
        <v/>
      </c>
      <c r="M391" s="262" t="str">
        <f ca="1">IF(OFFSET('IWP16'!BackgroundChecks, 8, 13, 1, 1) = 0, "", OFFSET('IWP16'!BackgroundChecks, 8, 13, 1, 1))</f>
        <v/>
      </c>
      <c r="N391" s="261"/>
    </row>
    <row r="392" spans="1:14" s="146" customFormat="1">
      <c r="A392" s="257" t="s">
        <v>514</v>
      </c>
      <c r="B392" s="262" t="str">
        <f ca="1">IF(OFFSET('IWP16'!BackgroundChecks, 9, 0, 1, 1) = 0, "", OFFSET('IWP16'!BackgroundChecks, 9, 0, 1, 1))</f>
        <v/>
      </c>
      <c r="C392" s="262" t="str">
        <f ca="1">IF(OFFSET('IWP16'!BackgroundChecks, 9, 2, 1, 1) = 0, "", OFFSET('IWP16'!BackgroundChecks, 9, 2, 1, 1))</f>
        <v/>
      </c>
      <c r="D392" s="262" t="str">
        <f ca="1">IF(OFFSET('IWP16'!BackgroundChecks, 9, 4, 1, 1) = 0, "", OFFSET('IWP16'!BackgroundChecks, 9, 4, 1, 1))</f>
        <v/>
      </c>
      <c r="E392" s="254">
        <f ca="1">IF(OFFSET('IWP16'!BackgroundChecks, 9, 5, 1, 1)=DATE(1900,1,0), DATE(1900,1,1), OFFSET('IWP16'!BackgroundChecks, 9, 5, 1, 1))</f>
        <v>1</v>
      </c>
      <c r="F392" s="262" t="str">
        <f ca="1">IF(OFFSET('IWP16'!BackgroundChecks, 9, 6, 1, 1) = 0, "", OFFSET('IWP16'!BackgroundChecks, 9, 6, 1, 1))</f>
        <v/>
      </c>
      <c r="G392" s="254">
        <f ca="1">IF(OFFSET('IWP16'!BackgroundChecks, 9, 7, 1, 1)=DATE(1900,1,0), DATE(1900,1,1), OFFSET('IWP16'!BackgroundChecks, 9, 7, 1, 1))</f>
        <v>1</v>
      </c>
      <c r="H392" s="254">
        <f ca="1">IF(OFFSET('IWP16'!BackgroundChecks, 9, 8, 1, 1)=DATE(1900,1,0), DATE(1900,1,1), OFFSET('IWP16'!BackgroundChecks, 9, 8, 1, 1))</f>
        <v>1</v>
      </c>
      <c r="I392" s="262" t="str">
        <f ca="1">IF(OFFSET('IWP16'!BackgroundChecks, 9, 9, 1, 1) = 0, "", OFFSET('IWP16'!BackgroundChecks, 9, 9, 1, 1))</f>
        <v/>
      </c>
      <c r="J392" s="262" t="str">
        <f ca="1">IF(OFFSET('IWP16'!BackgroundChecks, 9, 10, 1, 1) = 0, "", OFFSET('IWP16'!BackgroundChecks, 9, 10, 1, 1))</f>
        <v/>
      </c>
      <c r="K392" s="262" t="str">
        <f ca="1">IF(OFFSET('IWP16'!BackgroundChecks, 9, 11, 1, 1) = 0, "", OFFSET('IWP16'!BackgroundChecks, 9, 11, 1, 1))</f>
        <v/>
      </c>
      <c r="L392" s="262" t="str">
        <f ca="1">IF(OFFSET('IWP16'!BackgroundChecks, 9, 12, 1, 1) = 0, "", OFFSET('IWP16'!BackgroundChecks, 9, 12, 1, 1))</f>
        <v/>
      </c>
      <c r="M392" s="262" t="str">
        <f ca="1">IF(OFFSET('IWP16'!BackgroundChecks, 9, 13, 1, 1) = 0, "", OFFSET('IWP16'!BackgroundChecks, 9, 13, 1, 1))</f>
        <v/>
      </c>
      <c r="N392" s="261"/>
    </row>
    <row r="393" spans="1:14" s="146" customFormat="1">
      <c r="A393" s="257" t="s">
        <v>514</v>
      </c>
      <c r="B393" s="262" t="str">
        <f ca="1">IF(OFFSET('IWP16'!BackgroundChecks, 10, 0, 1, 1) = 0, "", OFFSET('IWP16'!BackgroundChecks, 10, 0, 1, 1))</f>
        <v/>
      </c>
      <c r="C393" s="262" t="str">
        <f ca="1">IF(OFFSET('IWP16'!BackgroundChecks, 10, 2, 1, 1) = 0, "", OFFSET('IWP16'!BackgroundChecks, 10, 2, 1, 1))</f>
        <v/>
      </c>
      <c r="D393" s="262" t="str">
        <f ca="1">IF(OFFSET('IWP16'!BackgroundChecks, 10, 4, 1, 1) = 0, "", OFFSET('IWP16'!BackgroundChecks, 10, 4, 1, 1))</f>
        <v/>
      </c>
      <c r="E393" s="254">
        <f ca="1">IF(OFFSET('IWP16'!BackgroundChecks, 10, 5, 1, 1)=DATE(1900,1,0), DATE(1900,1,1), OFFSET('IWP16'!BackgroundChecks, 10, 5, 1, 1))</f>
        <v>1</v>
      </c>
      <c r="F393" s="262" t="str">
        <f ca="1">IF(OFFSET('IWP16'!BackgroundChecks, 10, 6, 1, 1) = 0, "", OFFSET('IWP16'!BackgroundChecks, 10, 6, 1, 1))</f>
        <v/>
      </c>
      <c r="G393" s="254">
        <f ca="1">IF(OFFSET('IWP16'!BackgroundChecks, 10, 7, 1, 1)=DATE(1900,1,0), DATE(1900,1,1), OFFSET('IWP16'!BackgroundChecks, 10, 7, 1, 1))</f>
        <v>1</v>
      </c>
      <c r="H393" s="254">
        <f ca="1">IF(OFFSET('IWP16'!BackgroundChecks, 10, 8, 1, 1)=DATE(1900,1,0), DATE(1900,1,1), OFFSET('IWP16'!BackgroundChecks, 10, 8, 1, 1))</f>
        <v>1</v>
      </c>
      <c r="I393" s="262" t="str">
        <f ca="1">IF(OFFSET('IWP16'!BackgroundChecks, 10, 9, 1, 1) = 0, "", OFFSET('IWP16'!BackgroundChecks, 10, 9, 1, 1))</f>
        <v/>
      </c>
      <c r="J393" s="262" t="str">
        <f ca="1">IF(OFFSET('IWP16'!BackgroundChecks, 10, 10, 1, 1) = 0, "", OFFSET('IWP16'!BackgroundChecks, 10, 10, 1, 1))</f>
        <v/>
      </c>
      <c r="K393" s="262" t="str">
        <f ca="1">IF(OFFSET('IWP16'!BackgroundChecks, 10, 11, 1, 1) = 0, "", OFFSET('IWP16'!BackgroundChecks, 10, 11, 1, 1))</f>
        <v/>
      </c>
      <c r="L393" s="262" t="str">
        <f ca="1">IF(OFFSET('IWP16'!BackgroundChecks, 10, 12, 1, 1) = 0, "", OFFSET('IWP16'!BackgroundChecks, 10, 12, 1, 1))</f>
        <v/>
      </c>
      <c r="M393" s="262" t="str">
        <f ca="1">IF(OFFSET('IWP16'!BackgroundChecks, 10, 13, 1, 1) = 0, "", OFFSET('IWP16'!BackgroundChecks, 10, 13, 1, 1))</f>
        <v/>
      </c>
      <c r="N393" s="261"/>
    </row>
    <row r="394" spans="1:14" s="146" customFormat="1">
      <c r="A394" s="257" t="s">
        <v>514</v>
      </c>
      <c r="B394" s="262" t="str">
        <f ca="1">IF(OFFSET('IWP16'!BackgroundChecks, 11, 0, 1, 1) = 0, "", OFFSET('IWP16'!BackgroundChecks, 11, 0, 1, 1))</f>
        <v/>
      </c>
      <c r="C394" s="262" t="str">
        <f ca="1">IF(OFFSET('IWP16'!BackgroundChecks, 11, 2, 1, 1) = 0, "", OFFSET('IWP16'!BackgroundChecks, 11, 2, 1, 1))</f>
        <v/>
      </c>
      <c r="D394" s="262" t="str">
        <f ca="1">IF(OFFSET('IWP16'!BackgroundChecks, 11, 4, 1, 1) = 0, "", OFFSET('IWP16'!BackgroundChecks, 11, 4, 1, 1))</f>
        <v/>
      </c>
      <c r="E394" s="254">
        <f ca="1">IF(OFFSET('IWP16'!BackgroundChecks, 11, 5, 1, 1)=DATE(1900,1,0), DATE(1900,1,1), OFFSET('IWP16'!BackgroundChecks, 11, 5, 1, 1))</f>
        <v>1</v>
      </c>
      <c r="F394" s="262" t="str">
        <f ca="1">IF(OFFSET('IWP16'!BackgroundChecks, 11, 6, 1, 1) = 0, "", OFFSET('IWP16'!BackgroundChecks, 11, 6, 1, 1))</f>
        <v/>
      </c>
      <c r="G394" s="254">
        <f ca="1">IF(OFFSET('IWP16'!BackgroundChecks, 11, 7, 1, 1)=DATE(1900,1,0), DATE(1900,1,1), OFFSET('IWP16'!BackgroundChecks, 11, 7, 1, 1))</f>
        <v>1</v>
      </c>
      <c r="H394" s="254">
        <f ca="1">IF(OFFSET('IWP16'!BackgroundChecks, 11, 8, 1, 1)=DATE(1900,1,0), DATE(1900,1,1), OFFSET('IWP16'!BackgroundChecks, 11, 8, 1, 1))</f>
        <v>1</v>
      </c>
      <c r="I394" s="262" t="str">
        <f ca="1">IF(OFFSET('IWP16'!BackgroundChecks, 11, 9, 1, 1) = 0, "", OFFSET('IWP16'!BackgroundChecks, 11, 9, 1, 1))</f>
        <v/>
      </c>
      <c r="J394" s="262" t="str">
        <f ca="1">IF(OFFSET('IWP16'!BackgroundChecks, 11, 10, 1, 1) = 0, "", OFFSET('IWP16'!BackgroundChecks, 11, 10, 1, 1))</f>
        <v/>
      </c>
      <c r="K394" s="262" t="str">
        <f ca="1">IF(OFFSET('IWP16'!BackgroundChecks, 11, 11, 1, 1) = 0, "", OFFSET('IWP16'!BackgroundChecks, 11, 11, 1, 1))</f>
        <v/>
      </c>
      <c r="L394" s="262" t="str">
        <f ca="1">IF(OFFSET('IWP16'!BackgroundChecks, 11, 12, 1, 1) = 0, "", OFFSET('IWP16'!BackgroundChecks, 11, 12, 1, 1))</f>
        <v/>
      </c>
      <c r="M394" s="262" t="str">
        <f ca="1">IF(OFFSET('IWP16'!BackgroundChecks, 11, 13, 1, 1) = 0, "", OFFSET('IWP16'!BackgroundChecks, 11, 13, 1, 1))</f>
        <v/>
      </c>
      <c r="N394" s="261"/>
    </row>
    <row r="395" spans="1:14" s="146" customFormat="1">
      <c r="A395" s="257" t="s">
        <v>514</v>
      </c>
      <c r="B395" s="262" t="str">
        <f ca="1">IF(OFFSET('IWP16'!BackgroundChecks, 12, 0, 1, 1) = 0, "", OFFSET('IWP16'!BackgroundChecks, 12, 0, 1, 1))</f>
        <v/>
      </c>
      <c r="C395" s="262" t="str">
        <f ca="1">IF(OFFSET('IWP16'!BackgroundChecks, 12, 2, 1, 1) = 0, "", OFFSET('IWP16'!BackgroundChecks, 12, 2, 1, 1))</f>
        <v/>
      </c>
      <c r="D395" s="262" t="str">
        <f ca="1">IF(OFFSET('IWP16'!BackgroundChecks, 12, 4, 1, 1) = 0, "", OFFSET('IWP16'!BackgroundChecks, 12, 4, 1, 1))</f>
        <v/>
      </c>
      <c r="E395" s="254">
        <f ca="1">IF(OFFSET('IWP16'!BackgroundChecks, 12, 5, 1, 1)=DATE(1900,1,0), DATE(1900,1,1), OFFSET('IWP16'!BackgroundChecks, 12, 5, 1, 1))</f>
        <v>1</v>
      </c>
      <c r="F395" s="262" t="str">
        <f ca="1">IF(OFFSET('IWP16'!BackgroundChecks, 12, 6, 1, 1) = 0, "", OFFSET('IWP16'!BackgroundChecks, 12, 6, 1, 1))</f>
        <v/>
      </c>
      <c r="G395" s="254">
        <f ca="1">IF(OFFSET('IWP16'!BackgroundChecks, 12, 7, 1, 1)=DATE(1900,1,0), DATE(1900,1,1), OFFSET('IWP16'!BackgroundChecks, 12, 7, 1, 1))</f>
        <v>1</v>
      </c>
      <c r="H395" s="254">
        <f ca="1">IF(OFFSET('IWP16'!BackgroundChecks, 12, 8, 1, 1)=DATE(1900,1,0), DATE(1900,1,1), OFFSET('IWP16'!BackgroundChecks, 12, 8, 1, 1))</f>
        <v>1</v>
      </c>
      <c r="I395" s="262" t="str">
        <f ca="1">IF(OFFSET('IWP16'!BackgroundChecks, 12, 9, 1, 1) = 0, "", OFFSET('IWP16'!BackgroundChecks, 12, 9, 1, 1))</f>
        <v/>
      </c>
      <c r="J395" s="262" t="str">
        <f ca="1">IF(OFFSET('IWP16'!BackgroundChecks, 12, 10, 1, 1) = 0, "", OFFSET('IWP16'!BackgroundChecks, 12, 10, 1, 1))</f>
        <v/>
      </c>
      <c r="K395" s="262" t="str">
        <f ca="1">IF(OFFSET('IWP16'!BackgroundChecks, 12, 11, 1, 1) = 0, "", OFFSET('IWP16'!BackgroundChecks, 12, 11, 1, 1))</f>
        <v/>
      </c>
      <c r="L395" s="262" t="str">
        <f ca="1">IF(OFFSET('IWP16'!BackgroundChecks, 12, 12, 1, 1) = 0, "", OFFSET('IWP16'!BackgroundChecks, 12, 12, 1, 1))</f>
        <v/>
      </c>
      <c r="M395" s="262" t="str">
        <f ca="1">IF(OFFSET('IWP16'!BackgroundChecks, 12, 13, 1, 1) = 0, "", OFFSET('IWP16'!BackgroundChecks, 12, 13, 1, 1))</f>
        <v/>
      </c>
      <c r="N395" s="261"/>
    </row>
    <row r="396" spans="1:14" s="146" customFormat="1">
      <c r="A396" s="257" t="s">
        <v>514</v>
      </c>
      <c r="B396" s="262" t="str">
        <f ca="1">IF(OFFSET('IWP16'!BackgroundChecks, 13, 0, 1, 1) = 0, "", OFFSET('IWP16'!BackgroundChecks, 13, 0, 1, 1))</f>
        <v/>
      </c>
      <c r="C396" s="262" t="str">
        <f ca="1">IF(OFFSET('IWP16'!BackgroundChecks, 13, 2, 1, 1) = 0, "", OFFSET('IWP16'!BackgroundChecks, 13, 2, 1, 1))</f>
        <v/>
      </c>
      <c r="D396" s="262" t="str">
        <f ca="1">IF(OFFSET('IWP16'!BackgroundChecks, 13, 4, 1, 1) = 0, "", OFFSET('IWP16'!BackgroundChecks, 13, 4, 1, 1))</f>
        <v/>
      </c>
      <c r="E396" s="254">
        <f ca="1">IF(OFFSET('IWP16'!BackgroundChecks, 13, 5, 1, 1)=DATE(1900,1,0), DATE(1900,1,1), OFFSET('IWP16'!BackgroundChecks, 13, 5, 1, 1))</f>
        <v>1</v>
      </c>
      <c r="F396" s="262" t="str">
        <f ca="1">IF(OFFSET('IWP16'!BackgroundChecks, 13, 6, 1, 1) = 0, "", OFFSET('IWP16'!BackgroundChecks, 13, 6, 1, 1))</f>
        <v/>
      </c>
      <c r="G396" s="254">
        <f ca="1">IF(OFFSET('IWP16'!BackgroundChecks, 13, 7, 1, 1)=DATE(1900,1,0), DATE(1900,1,1), OFFSET('IWP16'!BackgroundChecks, 13, 7, 1, 1))</f>
        <v>1</v>
      </c>
      <c r="H396" s="254">
        <f ca="1">IF(OFFSET('IWP16'!BackgroundChecks, 13, 8, 1, 1)=DATE(1900,1,0), DATE(1900,1,1), OFFSET('IWP16'!BackgroundChecks, 13, 8, 1, 1))</f>
        <v>1</v>
      </c>
      <c r="I396" s="262" t="str">
        <f ca="1">IF(OFFSET('IWP16'!BackgroundChecks, 13, 9, 1, 1) = 0, "", OFFSET('IWP16'!BackgroundChecks, 13, 9, 1, 1))</f>
        <v/>
      </c>
      <c r="J396" s="262" t="str">
        <f ca="1">IF(OFFSET('IWP16'!BackgroundChecks, 13, 10, 1, 1) = 0, "", OFFSET('IWP16'!BackgroundChecks, 13, 10, 1, 1))</f>
        <v/>
      </c>
      <c r="K396" s="262" t="str">
        <f ca="1">IF(OFFSET('IWP16'!BackgroundChecks, 13, 11, 1, 1) = 0, "", OFFSET('IWP16'!BackgroundChecks, 13, 11, 1, 1))</f>
        <v/>
      </c>
      <c r="L396" s="262" t="str">
        <f ca="1">IF(OFFSET('IWP16'!BackgroundChecks, 13, 12, 1, 1) = 0, "", OFFSET('IWP16'!BackgroundChecks, 13, 12, 1, 1))</f>
        <v/>
      </c>
      <c r="M396" s="262" t="str">
        <f ca="1">IF(OFFSET('IWP16'!BackgroundChecks, 13, 13, 1, 1) = 0, "", OFFSET('IWP16'!BackgroundChecks, 13, 13, 1, 1))</f>
        <v/>
      </c>
      <c r="N396" s="261"/>
    </row>
    <row r="397" spans="1:14" s="146" customFormat="1">
      <c r="A397" s="257" t="s">
        <v>514</v>
      </c>
      <c r="B397" s="262" t="str">
        <f ca="1">IF(OFFSET('IWP16'!BackgroundChecks, 14, 0, 1, 1) = 0, "", OFFSET('IWP16'!BackgroundChecks, 14, 0, 1, 1))</f>
        <v/>
      </c>
      <c r="C397" s="262" t="str">
        <f ca="1">IF(OFFSET('IWP16'!BackgroundChecks, 14, 2, 1, 1) = 0, "", OFFSET('IWP16'!BackgroundChecks, 14, 2, 1, 1))</f>
        <v/>
      </c>
      <c r="D397" s="262" t="str">
        <f ca="1">IF(OFFSET('IWP16'!BackgroundChecks, 14, 4, 1, 1) = 0, "", OFFSET('IWP16'!BackgroundChecks, 14, 4, 1, 1))</f>
        <v/>
      </c>
      <c r="E397" s="254">
        <f ca="1">IF(OFFSET('IWP16'!BackgroundChecks, 14, 5, 1, 1)=DATE(1900,1,0), DATE(1900,1,1), OFFSET('IWP16'!BackgroundChecks, 14, 5, 1, 1))</f>
        <v>1</v>
      </c>
      <c r="F397" s="262" t="str">
        <f ca="1">IF(OFFSET('IWP16'!BackgroundChecks, 14, 6, 1, 1) = 0, "", OFFSET('IWP16'!BackgroundChecks, 14, 6, 1, 1))</f>
        <v/>
      </c>
      <c r="G397" s="254">
        <f ca="1">IF(OFFSET('IWP16'!BackgroundChecks, 14, 7, 1, 1)=DATE(1900,1,0), DATE(1900,1,1), OFFSET('IWP16'!BackgroundChecks, 14, 7, 1, 1))</f>
        <v>1</v>
      </c>
      <c r="H397" s="254">
        <f ca="1">IF(OFFSET('IWP16'!BackgroundChecks, 14, 8, 1, 1)=DATE(1900,1,0), DATE(1900,1,1), OFFSET('IWP16'!BackgroundChecks, 14, 8, 1, 1))</f>
        <v>1</v>
      </c>
      <c r="I397" s="262" t="str">
        <f ca="1">IF(OFFSET('IWP16'!BackgroundChecks, 14, 9, 1, 1) = 0, "", OFFSET('IWP16'!BackgroundChecks, 14, 9, 1, 1))</f>
        <v/>
      </c>
      <c r="J397" s="262" t="str">
        <f ca="1">IF(OFFSET('IWP16'!BackgroundChecks, 14, 10, 1, 1) = 0, "", OFFSET('IWP16'!BackgroundChecks, 14, 10, 1, 1))</f>
        <v/>
      </c>
      <c r="K397" s="262" t="str">
        <f ca="1">IF(OFFSET('IWP16'!BackgroundChecks, 14, 11, 1, 1) = 0, "", OFFSET('IWP16'!BackgroundChecks, 14, 11, 1, 1))</f>
        <v/>
      </c>
      <c r="L397" s="262" t="str">
        <f ca="1">IF(OFFSET('IWP16'!BackgroundChecks, 14, 12, 1, 1) = 0, "", OFFSET('IWP16'!BackgroundChecks, 14, 12, 1, 1))</f>
        <v/>
      </c>
      <c r="M397" s="262" t="str">
        <f ca="1">IF(OFFSET('IWP16'!BackgroundChecks, 14, 13, 1, 1) = 0, "", OFFSET('IWP16'!BackgroundChecks, 14, 13, 1, 1))</f>
        <v/>
      </c>
      <c r="N397" s="261"/>
    </row>
    <row r="398" spans="1:14" s="146" customFormat="1">
      <c r="A398" s="257" t="s">
        <v>514</v>
      </c>
      <c r="B398" s="262" t="str">
        <f ca="1">IF(OFFSET('IWP16'!BackgroundChecks, 15, 0, 1, 1) = 0, "", OFFSET('IWP16'!BackgroundChecks, 15, 0, 1, 1))</f>
        <v/>
      </c>
      <c r="C398" s="262" t="str">
        <f ca="1">IF(OFFSET('IWP16'!BackgroundChecks, 15, 2, 1, 1) = 0, "", OFFSET('IWP16'!BackgroundChecks, 15, 2, 1, 1))</f>
        <v/>
      </c>
      <c r="D398" s="262" t="str">
        <f ca="1">IF(OFFSET('IWP16'!BackgroundChecks, 15, 4, 1, 1) = 0, "", OFFSET('IWP16'!BackgroundChecks, 15, 4, 1, 1))</f>
        <v/>
      </c>
      <c r="E398" s="254">
        <f ca="1">IF(OFFSET('IWP16'!BackgroundChecks, 15, 5, 1, 1)=DATE(1900,1,0), DATE(1900,1,1), OFFSET('IWP16'!BackgroundChecks, 15, 5, 1, 1))</f>
        <v>1</v>
      </c>
      <c r="F398" s="262" t="str">
        <f ca="1">IF(OFFSET('IWP16'!BackgroundChecks, 15, 6, 1, 1) = 0, "", OFFSET('IWP16'!BackgroundChecks, 15, 6, 1, 1))</f>
        <v/>
      </c>
      <c r="G398" s="254">
        <f ca="1">IF(OFFSET('IWP16'!BackgroundChecks, 15, 7, 1, 1)=DATE(1900,1,0), DATE(1900,1,1), OFFSET('IWP16'!BackgroundChecks, 15, 7, 1, 1))</f>
        <v>1</v>
      </c>
      <c r="H398" s="254">
        <f ca="1">IF(OFFSET('IWP16'!BackgroundChecks, 15, 8, 1, 1)=DATE(1900,1,0), DATE(1900,1,1), OFFSET('IWP16'!BackgroundChecks, 15, 8, 1, 1))</f>
        <v>1</v>
      </c>
      <c r="I398" s="262" t="str">
        <f ca="1">IF(OFFSET('IWP16'!BackgroundChecks, 15, 9, 1, 1) = 0, "", OFFSET('IWP16'!BackgroundChecks, 15, 9, 1, 1))</f>
        <v/>
      </c>
      <c r="J398" s="262" t="str">
        <f ca="1">IF(OFFSET('IWP16'!BackgroundChecks, 15, 10, 1, 1) = 0, "", OFFSET('IWP16'!BackgroundChecks, 15, 10, 1, 1))</f>
        <v/>
      </c>
      <c r="K398" s="262" t="str">
        <f ca="1">IF(OFFSET('IWP16'!BackgroundChecks, 15, 11, 1, 1) = 0, "", OFFSET('IWP16'!BackgroundChecks, 15, 11, 1, 1))</f>
        <v/>
      </c>
      <c r="L398" s="262" t="str">
        <f ca="1">IF(OFFSET('IWP16'!BackgroundChecks, 15, 12, 1, 1) = 0, "", OFFSET('IWP16'!BackgroundChecks, 15, 12, 1, 1))</f>
        <v/>
      </c>
      <c r="M398" s="262" t="str">
        <f ca="1">IF(OFFSET('IWP16'!BackgroundChecks, 15, 13, 1, 1) = 0, "", OFFSET('IWP16'!BackgroundChecks, 15, 13, 1, 1))</f>
        <v/>
      </c>
      <c r="N398" s="261"/>
    </row>
    <row r="399" spans="1:14" s="146" customFormat="1">
      <c r="A399" s="257" t="s">
        <v>514</v>
      </c>
      <c r="B399" s="262" t="str">
        <f ca="1">IF(OFFSET('IWP16'!BackgroundChecks, 16, 0, 1, 1) = 0, "", OFFSET('IWP16'!BackgroundChecks, 16, 0, 1, 1))</f>
        <v/>
      </c>
      <c r="C399" s="262" t="str">
        <f ca="1">IF(OFFSET('IWP16'!BackgroundChecks, 16, 2, 1, 1) = 0, "", OFFSET('IWP16'!BackgroundChecks, 16, 2, 1, 1))</f>
        <v/>
      </c>
      <c r="D399" s="262" t="str">
        <f ca="1">IF(OFFSET('IWP16'!BackgroundChecks, 16, 4, 1, 1) = 0, "", OFFSET('IWP16'!BackgroundChecks, 16, 4, 1, 1))</f>
        <v/>
      </c>
      <c r="E399" s="254">
        <f ca="1">IF(OFFSET('IWP16'!BackgroundChecks, 16, 5, 1, 1)=DATE(1900,1,0), DATE(1900,1,1), OFFSET('IWP16'!BackgroundChecks, 16, 5, 1, 1))</f>
        <v>1</v>
      </c>
      <c r="F399" s="262" t="str">
        <f ca="1">IF(OFFSET('IWP16'!BackgroundChecks, 16, 6, 1, 1) = 0, "", OFFSET('IWP16'!BackgroundChecks, 16, 6, 1, 1))</f>
        <v/>
      </c>
      <c r="G399" s="254">
        <f ca="1">IF(OFFSET('IWP16'!BackgroundChecks, 16, 7, 1, 1)=DATE(1900,1,0), DATE(1900,1,1), OFFSET('IWP16'!BackgroundChecks, 16, 7, 1, 1))</f>
        <v>1</v>
      </c>
      <c r="H399" s="254">
        <f ca="1">IF(OFFSET('IWP16'!BackgroundChecks, 16, 8, 1, 1)=DATE(1900,1,0), DATE(1900,1,1), OFFSET('IWP16'!BackgroundChecks, 16, 8, 1, 1))</f>
        <v>1</v>
      </c>
      <c r="I399" s="262" t="str">
        <f ca="1">IF(OFFSET('IWP16'!BackgroundChecks, 16, 9, 1, 1) = 0, "", OFFSET('IWP16'!BackgroundChecks, 16, 9, 1, 1))</f>
        <v/>
      </c>
      <c r="J399" s="262" t="str">
        <f ca="1">IF(OFFSET('IWP16'!BackgroundChecks, 16, 10, 1, 1) = 0, "", OFFSET('IWP16'!BackgroundChecks, 16, 10, 1, 1))</f>
        <v/>
      </c>
      <c r="K399" s="262" t="str">
        <f ca="1">IF(OFFSET('IWP16'!BackgroundChecks, 16, 11, 1, 1) = 0, "", OFFSET('IWP16'!BackgroundChecks, 16, 11, 1, 1))</f>
        <v/>
      </c>
      <c r="L399" s="262" t="str">
        <f ca="1">IF(OFFSET('IWP16'!BackgroundChecks, 16, 12, 1, 1) = 0, "", OFFSET('IWP16'!BackgroundChecks, 16, 12, 1, 1))</f>
        <v/>
      </c>
      <c r="M399" s="262" t="str">
        <f ca="1">IF(OFFSET('IWP16'!BackgroundChecks, 16, 13, 1, 1) = 0, "", OFFSET('IWP16'!BackgroundChecks, 16, 13, 1, 1))</f>
        <v/>
      </c>
      <c r="N399" s="261"/>
    </row>
    <row r="400" spans="1:14" s="146" customFormat="1">
      <c r="A400" s="257" t="s">
        <v>514</v>
      </c>
      <c r="B400" s="262" t="str">
        <f ca="1">IF(OFFSET('IWP16'!BackgroundChecks, 17, 0, 1, 1) = 0, "", OFFSET('IWP16'!BackgroundChecks, 17, 0, 1, 1))</f>
        <v/>
      </c>
      <c r="C400" s="262" t="str">
        <f ca="1">IF(OFFSET('IWP16'!BackgroundChecks, 17, 2, 1, 1) = 0, "", OFFSET('IWP16'!BackgroundChecks, 17, 2, 1, 1))</f>
        <v/>
      </c>
      <c r="D400" s="262" t="str">
        <f ca="1">IF(OFFSET('IWP16'!BackgroundChecks, 17, 4, 1, 1) = 0, "", OFFSET('IWP16'!BackgroundChecks, 17, 4, 1, 1))</f>
        <v/>
      </c>
      <c r="E400" s="254">
        <f ca="1">IF(OFFSET('IWP16'!BackgroundChecks, 17, 5, 1, 1)=DATE(1900,1,0), DATE(1900,1,1), OFFSET('IWP16'!BackgroundChecks, 17, 5, 1, 1))</f>
        <v>1</v>
      </c>
      <c r="F400" s="262" t="str">
        <f ca="1">IF(OFFSET('IWP16'!BackgroundChecks, 17, 6, 1, 1) = 0, "", OFFSET('IWP16'!BackgroundChecks, 17, 6, 1, 1))</f>
        <v/>
      </c>
      <c r="G400" s="254">
        <f ca="1">IF(OFFSET('IWP16'!BackgroundChecks, 17, 7, 1, 1)=DATE(1900,1,0), DATE(1900,1,1), OFFSET('IWP16'!BackgroundChecks, 17, 7, 1, 1))</f>
        <v>1</v>
      </c>
      <c r="H400" s="254">
        <f ca="1">IF(OFFSET('IWP16'!BackgroundChecks, 17, 8, 1, 1)=DATE(1900,1,0), DATE(1900,1,1), OFFSET('IWP16'!BackgroundChecks, 17, 8, 1, 1))</f>
        <v>1</v>
      </c>
      <c r="I400" s="262" t="str">
        <f ca="1">IF(OFFSET('IWP16'!BackgroundChecks, 17, 9, 1, 1) = 0, "", OFFSET('IWP16'!BackgroundChecks, 17, 9, 1, 1))</f>
        <v/>
      </c>
      <c r="J400" s="262" t="str">
        <f ca="1">IF(OFFSET('IWP16'!BackgroundChecks, 17, 10, 1, 1) = 0, "", OFFSET('IWP16'!BackgroundChecks, 17, 10, 1, 1))</f>
        <v/>
      </c>
      <c r="K400" s="262" t="str">
        <f ca="1">IF(OFFSET('IWP16'!BackgroundChecks, 17, 11, 1, 1) = 0, "", OFFSET('IWP16'!BackgroundChecks, 17, 11, 1, 1))</f>
        <v/>
      </c>
      <c r="L400" s="262" t="str">
        <f ca="1">IF(OFFSET('IWP16'!BackgroundChecks, 17, 12, 1, 1) = 0, "", OFFSET('IWP16'!BackgroundChecks, 17, 12, 1, 1))</f>
        <v/>
      </c>
      <c r="M400" s="262" t="str">
        <f ca="1">IF(OFFSET('IWP16'!BackgroundChecks, 17, 13, 1, 1) = 0, "", OFFSET('IWP16'!BackgroundChecks, 17, 13, 1, 1))</f>
        <v/>
      </c>
      <c r="N400" s="261"/>
    </row>
    <row r="401" spans="1:14" s="146" customFormat="1">
      <c r="A401" s="257" t="s">
        <v>514</v>
      </c>
      <c r="B401" s="262" t="str">
        <f ca="1">IF(OFFSET('IWP16'!BackgroundChecks, 18, 0, 1, 1) = 0, "", OFFSET('IWP16'!BackgroundChecks, 18, 0, 1, 1))</f>
        <v/>
      </c>
      <c r="C401" s="262" t="str">
        <f ca="1">IF(OFFSET('IWP16'!BackgroundChecks, 18, 2, 1, 1) = 0, "", OFFSET('IWP16'!BackgroundChecks, 18, 2, 1, 1))</f>
        <v/>
      </c>
      <c r="D401" s="262" t="str">
        <f ca="1">IF(OFFSET('IWP16'!BackgroundChecks, 18, 4, 1, 1) = 0, "", OFFSET('IWP16'!BackgroundChecks, 18, 4, 1, 1))</f>
        <v/>
      </c>
      <c r="E401" s="254">
        <f ca="1">IF(OFFSET('IWP16'!BackgroundChecks, 18, 5, 1, 1)=DATE(1900,1,0), DATE(1900,1,1), OFFSET('IWP16'!BackgroundChecks, 18, 5, 1, 1))</f>
        <v>1</v>
      </c>
      <c r="F401" s="262" t="str">
        <f ca="1">IF(OFFSET('IWP16'!BackgroundChecks, 18, 6, 1, 1) = 0, "", OFFSET('IWP16'!BackgroundChecks, 18, 6, 1, 1))</f>
        <v/>
      </c>
      <c r="G401" s="254">
        <f ca="1">IF(OFFSET('IWP16'!BackgroundChecks, 18, 7, 1, 1)=DATE(1900,1,0), DATE(1900,1,1), OFFSET('IWP16'!BackgroundChecks, 18, 7, 1, 1))</f>
        <v>1</v>
      </c>
      <c r="H401" s="254">
        <f ca="1">IF(OFFSET('IWP16'!BackgroundChecks, 18, 8, 1, 1)=DATE(1900,1,0), DATE(1900,1,1), OFFSET('IWP16'!BackgroundChecks, 18, 8, 1, 1))</f>
        <v>1</v>
      </c>
      <c r="I401" s="262" t="str">
        <f ca="1">IF(OFFSET('IWP16'!BackgroundChecks, 18, 9, 1, 1) = 0, "", OFFSET('IWP16'!BackgroundChecks, 18, 9, 1, 1))</f>
        <v/>
      </c>
      <c r="J401" s="262" t="str">
        <f ca="1">IF(OFFSET('IWP16'!BackgroundChecks, 18, 10, 1, 1) = 0, "", OFFSET('IWP16'!BackgroundChecks, 18, 10, 1, 1))</f>
        <v/>
      </c>
      <c r="K401" s="262" t="str">
        <f ca="1">IF(OFFSET('IWP16'!BackgroundChecks, 18, 11, 1, 1) = 0, "", OFFSET('IWP16'!BackgroundChecks, 18, 11, 1, 1))</f>
        <v/>
      </c>
      <c r="L401" s="262" t="str">
        <f ca="1">IF(OFFSET('IWP16'!BackgroundChecks, 18, 12, 1, 1) = 0, "", OFFSET('IWP16'!BackgroundChecks, 18, 12, 1, 1))</f>
        <v/>
      </c>
      <c r="M401" s="262" t="str">
        <f ca="1">IF(OFFSET('IWP16'!BackgroundChecks, 18, 13, 1, 1) = 0, "", OFFSET('IWP16'!BackgroundChecks, 18, 13, 1, 1))</f>
        <v/>
      </c>
      <c r="N401" s="261"/>
    </row>
    <row r="402" spans="1:14" s="146" customFormat="1">
      <c r="A402" s="257" t="s">
        <v>514</v>
      </c>
      <c r="B402" s="262" t="str">
        <f ca="1">IF(OFFSET('IWP16'!BackgroundChecks, 19, 0, 1, 1) = 0, "", OFFSET('IWP16'!BackgroundChecks, 19, 0, 1, 1))</f>
        <v/>
      </c>
      <c r="C402" s="262" t="str">
        <f ca="1">IF(OFFSET('IWP16'!BackgroundChecks, 19, 2, 1, 1) = 0, "", OFFSET('IWP16'!BackgroundChecks, 19, 2, 1, 1))</f>
        <v/>
      </c>
      <c r="D402" s="262" t="str">
        <f ca="1">IF(OFFSET('IWP16'!BackgroundChecks, 19, 4, 1, 1) = 0, "", OFFSET('IWP16'!BackgroundChecks, 19, 4, 1, 1))</f>
        <v/>
      </c>
      <c r="E402" s="254">
        <f ca="1">IF(OFFSET('IWP16'!BackgroundChecks, 19, 5, 1, 1)=DATE(1900,1,0), DATE(1900,1,1), OFFSET('IWP16'!BackgroundChecks, 19, 5, 1, 1))</f>
        <v>1</v>
      </c>
      <c r="F402" s="262" t="str">
        <f ca="1">IF(OFFSET('IWP16'!BackgroundChecks, 19, 6, 1, 1) = 0, "", OFFSET('IWP16'!BackgroundChecks, 19, 6, 1, 1))</f>
        <v/>
      </c>
      <c r="G402" s="254">
        <f ca="1">IF(OFFSET('IWP16'!BackgroundChecks, 19, 7, 1, 1)=DATE(1900,1,0), DATE(1900,1,1), OFFSET('IWP16'!BackgroundChecks, 19, 7, 1, 1))</f>
        <v>1</v>
      </c>
      <c r="H402" s="254">
        <f ca="1">IF(OFFSET('IWP16'!BackgroundChecks, 19, 8, 1, 1)=DATE(1900,1,0), DATE(1900,1,1), OFFSET('IWP16'!BackgroundChecks, 19, 8, 1, 1))</f>
        <v>1</v>
      </c>
      <c r="I402" s="262" t="str">
        <f ca="1">IF(OFFSET('IWP16'!BackgroundChecks, 19, 9, 1, 1) = 0, "", OFFSET('IWP16'!BackgroundChecks, 19, 9, 1, 1))</f>
        <v/>
      </c>
      <c r="J402" s="262" t="str">
        <f ca="1">IF(OFFSET('IWP16'!BackgroundChecks, 19, 10, 1, 1) = 0, "", OFFSET('IWP16'!BackgroundChecks, 19, 10, 1, 1))</f>
        <v/>
      </c>
      <c r="K402" s="262" t="str">
        <f ca="1">IF(OFFSET('IWP16'!BackgroundChecks, 19, 11, 1, 1) = 0, "", OFFSET('IWP16'!BackgroundChecks, 19, 11, 1, 1))</f>
        <v/>
      </c>
      <c r="L402" s="262" t="str">
        <f ca="1">IF(OFFSET('IWP16'!BackgroundChecks, 19, 12, 1, 1) = 0, "", OFFSET('IWP16'!BackgroundChecks, 19, 12, 1, 1))</f>
        <v/>
      </c>
      <c r="M402" s="262" t="str">
        <f ca="1">IF(OFFSET('IWP16'!BackgroundChecks, 19, 13, 1, 1) = 0, "", OFFSET('IWP16'!BackgroundChecks, 19, 13, 1, 1))</f>
        <v/>
      </c>
      <c r="N402" s="261"/>
    </row>
    <row r="403" spans="1:14" s="146" customFormat="1">
      <c r="A403" s="257" t="s">
        <v>515</v>
      </c>
      <c r="B403" s="262" t="str">
        <f ca="1">IF(OFFSET('IWP17'!BackgroundChecks, 0, 0, 1, 1) = 0, "", OFFSET('IWP17'!BackgroundChecks, 0, 0, 1, 1))</f>
        <v/>
      </c>
      <c r="C403" s="262" t="str">
        <f ca="1">IF(OFFSET('IWP17'!BackgroundChecks, 0, 2, 1, 1) = 0, "", OFFSET('IWP17'!BackgroundChecks, 0, 2, 1, 1))</f>
        <v/>
      </c>
      <c r="D403" s="262" t="str">
        <f ca="1">IF(OFFSET('IWP17'!BackgroundChecks, 0, 4, 1, 1) = 0, "", OFFSET('IWP17'!BackgroundChecks, 0, 4, 1, 1))</f>
        <v/>
      </c>
      <c r="E403" s="254">
        <f ca="1">IF(OFFSET('IWP17'!BackgroundChecks, 0, 5, 1, 1)=DATE(1900,1,0), DATE(1900,1,1), OFFSET('IWP17'!BackgroundChecks, 0, 5, 1, 1))</f>
        <v>1</v>
      </c>
      <c r="F403" s="262" t="str">
        <f ca="1">IF(OFFSET('IWP17'!BackgroundChecks, 0, 6, 1, 1) = 0, "", OFFSET('IWP17'!BackgroundChecks, 0, 6, 1, 1))</f>
        <v/>
      </c>
      <c r="G403" s="254">
        <f ca="1">IF(OFFSET('IWP17'!BackgroundChecks, 0, 7, 1, 1)=DATE(1900,1,0), DATE(1900,1,1), OFFSET('IWP17'!BackgroundChecks, 0, 7, 1, 1))</f>
        <v>1</v>
      </c>
      <c r="H403" s="254">
        <f ca="1">IF(OFFSET('IWP17'!BackgroundChecks, 0, 8, 1, 1)=DATE(1900,1,0), DATE(1900,1,1), OFFSET('IWP17'!BackgroundChecks, 0, 8, 1, 1))</f>
        <v>1</v>
      </c>
      <c r="I403" s="262" t="str">
        <f ca="1">IF(OFFSET('IWP17'!BackgroundChecks, 0, 9, 1, 1) = 0, "", OFFSET('IWP17'!BackgroundChecks, 0, 9, 1, 1))</f>
        <v/>
      </c>
      <c r="J403" s="262" t="str">
        <f ca="1">IF(OFFSET('IWP17'!BackgroundChecks, 0, 10, 1, 1) = 0, "", OFFSET('IWP17'!BackgroundChecks, 0, 10, 1, 1))</f>
        <v/>
      </c>
      <c r="K403" s="262" t="str">
        <f ca="1">IF(OFFSET('IWP17'!BackgroundChecks, 0, 11, 1, 1) = 0, "", OFFSET('IWP17'!BackgroundChecks, 0, 11, 1, 1))</f>
        <v/>
      </c>
      <c r="L403" s="262" t="str">
        <f ca="1">IF(OFFSET('IWP17'!BackgroundChecks, 0, 12, 1, 1) = 0, "", OFFSET('IWP17'!BackgroundChecks, 0, 12, 1, 1))</f>
        <v/>
      </c>
      <c r="M403" s="262" t="str">
        <f ca="1">IF(OFFSET('IWP17'!BackgroundChecks, 0, 13, 1, 1) = 0, "", OFFSET('IWP17'!BackgroundChecks, 0, 13, 1, 1))</f>
        <v/>
      </c>
      <c r="N403" s="261"/>
    </row>
    <row r="404" spans="1:14" s="146" customFormat="1">
      <c r="A404" s="257" t="s">
        <v>515</v>
      </c>
      <c r="B404" s="262" t="str">
        <f ca="1">IF(OFFSET('IWP17'!BackgroundChecks, 1, 0, 1, 1) = 0, "", OFFSET('IWP17'!BackgroundChecks, 1, 0, 1, 1))</f>
        <v/>
      </c>
      <c r="C404" s="262" t="str">
        <f ca="1">IF(OFFSET('IWP17'!BackgroundChecks, 1, 2, 1, 1) = 0, "", OFFSET('IWP17'!BackgroundChecks, 1, 2, 1, 1))</f>
        <v/>
      </c>
      <c r="D404" s="262" t="str">
        <f ca="1">IF(OFFSET('IWP17'!BackgroundChecks, 1, 4, 1, 1) = 0, "", OFFSET('IWP17'!BackgroundChecks, 1, 4, 1, 1))</f>
        <v/>
      </c>
      <c r="E404" s="254">
        <f ca="1">IF(OFFSET('IWP17'!BackgroundChecks, 1, 5, 1, 1)=DATE(1900,1,0), DATE(1900,1,1), OFFSET('IWP17'!BackgroundChecks, 1, 5, 1, 1))</f>
        <v>1</v>
      </c>
      <c r="F404" s="262" t="str">
        <f ca="1">IF(OFFSET('IWP17'!BackgroundChecks, 1, 6, 1, 1) = 0, "", OFFSET('IWP17'!BackgroundChecks, 1, 6, 1, 1))</f>
        <v/>
      </c>
      <c r="G404" s="254">
        <f ca="1">IF(OFFSET('IWP17'!BackgroundChecks, 1, 7, 1, 1)=DATE(1900,1,0), DATE(1900,1,1), OFFSET('IWP17'!BackgroundChecks, 1, 7, 1, 1))</f>
        <v>1</v>
      </c>
      <c r="H404" s="254">
        <f ca="1">IF(OFFSET('IWP17'!BackgroundChecks, 1, 8, 1, 1)=DATE(1900,1,0), DATE(1900,1,1), OFFSET('IWP17'!BackgroundChecks, 1, 8, 1, 1))</f>
        <v>1</v>
      </c>
      <c r="I404" s="262" t="str">
        <f ca="1">IF(OFFSET('IWP17'!BackgroundChecks, 1, 9, 1, 1) = 0, "", OFFSET('IWP17'!BackgroundChecks, 1, 9, 1, 1))</f>
        <v/>
      </c>
      <c r="J404" s="262" t="str">
        <f ca="1">IF(OFFSET('IWP17'!BackgroundChecks, 1, 10, 1, 1) = 0, "", OFFSET('IWP17'!BackgroundChecks, 1, 10, 1, 1))</f>
        <v/>
      </c>
      <c r="K404" s="262" t="str">
        <f ca="1">IF(OFFSET('IWP17'!BackgroundChecks, 1, 11, 1, 1) = 0, "", OFFSET('IWP17'!BackgroundChecks, 1, 11, 1, 1))</f>
        <v/>
      </c>
      <c r="L404" s="262" t="str">
        <f ca="1">IF(OFFSET('IWP17'!BackgroundChecks, 1, 12, 1, 1) = 0, "", OFFSET('IWP17'!BackgroundChecks, 1, 12, 1, 1))</f>
        <v/>
      </c>
      <c r="M404" s="262" t="str">
        <f ca="1">IF(OFFSET('IWP17'!BackgroundChecks, 1, 13, 1, 1) = 0, "", OFFSET('IWP17'!BackgroundChecks, 1, 13, 1, 1))</f>
        <v/>
      </c>
      <c r="N404" s="261"/>
    </row>
    <row r="405" spans="1:14" s="146" customFormat="1">
      <c r="A405" s="257" t="s">
        <v>515</v>
      </c>
      <c r="B405" s="262" t="str">
        <f ca="1">IF(OFFSET('IWP17'!BackgroundChecks, 2, 0, 1, 1) = 0, "", OFFSET('IWP17'!BackgroundChecks, 2, 0, 1, 1))</f>
        <v/>
      </c>
      <c r="C405" s="262" t="str">
        <f ca="1">IF(OFFSET('IWP17'!BackgroundChecks, 2, 2, 1, 1) = 0, "", OFFSET('IWP17'!BackgroundChecks, 2, 2, 1, 1))</f>
        <v/>
      </c>
      <c r="D405" s="262" t="str">
        <f ca="1">IF(OFFSET('IWP17'!BackgroundChecks, 2, 4, 1, 1) = 0, "", OFFSET('IWP17'!BackgroundChecks, 2, 4, 1, 1))</f>
        <v/>
      </c>
      <c r="E405" s="254">
        <f ca="1">IF(OFFSET('IWP17'!BackgroundChecks, 2, 5, 1, 1)=DATE(1900,1,0), DATE(1900,1,1), OFFSET('IWP17'!BackgroundChecks, 2, 5, 1, 1))</f>
        <v>1</v>
      </c>
      <c r="F405" s="262" t="str">
        <f ca="1">IF(OFFSET('IWP17'!BackgroundChecks, 2, 6, 1, 1) = 0, "", OFFSET('IWP17'!BackgroundChecks, 2, 6, 1, 1))</f>
        <v/>
      </c>
      <c r="G405" s="254">
        <f ca="1">IF(OFFSET('IWP17'!BackgroundChecks, 2, 7, 1, 1)=DATE(1900,1,0), DATE(1900,1,1), OFFSET('IWP17'!BackgroundChecks, 2, 7, 1, 1))</f>
        <v>1</v>
      </c>
      <c r="H405" s="254">
        <f ca="1">IF(OFFSET('IWP17'!BackgroundChecks, 2, 8, 1, 1)=DATE(1900,1,0), DATE(1900,1,1), OFFSET('IWP17'!BackgroundChecks, 2, 8, 1, 1))</f>
        <v>1</v>
      </c>
      <c r="I405" s="262" t="str">
        <f ca="1">IF(OFFSET('IWP17'!BackgroundChecks, 2, 9, 1, 1) = 0, "", OFFSET('IWP17'!BackgroundChecks, 2, 9, 1, 1))</f>
        <v/>
      </c>
      <c r="J405" s="262" t="str">
        <f ca="1">IF(OFFSET('IWP17'!BackgroundChecks, 2, 10, 1, 1) = 0, "", OFFSET('IWP17'!BackgroundChecks, 2, 10, 1, 1))</f>
        <v/>
      </c>
      <c r="K405" s="262" t="str">
        <f ca="1">IF(OFFSET('IWP17'!BackgroundChecks, 2, 11, 1, 1) = 0, "", OFFSET('IWP17'!BackgroundChecks, 2, 11, 1, 1))</f>
        <v/>
      </c>
      <c r="L405" s="262" t="str">
        <f ca="1">IF(OFFSET('IWP17'!BackgroundChecks, 2, 12, 1, 1) = 0, "", OFFSET('IWP17'!BackgroundChecks, 2, 12, 1, 1))</f>
        <v/>
      </c>
      <c r="M405" s="262" t="str">
        <f ca="1">IF(OFFSET('IWP17'!BackgroundChecks, 2, 13, 1, 1) = 0, "", OFFSET('IWP17'!BackgroundChecks, 2, 13, 1, 1))</f>
        <v/>
      </c>
      <c r="N405" s="261"/>
    </row>
    <row r="406" spans="1:14" s="146" customFormat="1">
      <c r="A406" s="257" t="s">
        <v>515</v>
      </c>
      <c r="B406" s="262" t="str">
        <f ca="1">IF(OFFSET('IWP17'!BackgroundChecks, 3, 0, 1, 1) = 0, "", OFFSET('IWP17'!BackgroundChecks, 3, 0, 1, 1))</f>
        <v/>
      </c>
      <c r="C406" s="262" t="str">
        <f ca="1">IF(OFFSET('IWP17'!BackgroundChecks, 3, 2, 1, 1) = 0, "", OFFSET('IWP17'!BackgroundChecks, 3, 2, 1, 1))</f>
        <v/>
      </c>
      <c r="D406" s="262" t="str">
        <f ca="1">IF(OFFSET('IWP17'!BackgroundChecks, 3, 4, 1, 1) = 0, "", OFFSET('IWP17'!BackgroundChecks, 3, 4, 1, 1))</f>
        <v/>
      </c>
      <c r="E406" s="254">
        <f ca="1">IF(OFFSET('IWP17'!BackgroundChecks, 3, 5, 1, 1)=DATE(1900,1,0), DATE(1900,1,1), OFFSET('IWP17'!BackgroundChecks, 3, 5, 1, 1))</f>
        <v>1</v>
      </c>
      <c r="F406" s="262" t="str">
        <f ca="1">IF(OFFSET('IWP17'!BackgroundChecks, 3, 6, 1, 1) = 0, "", OFFSET('IWP17'!BackgroundChecks, 3, 6, 1, 1))</f>
        <v/>
      </c>
      <c r="G406" s="254">
        <f ca="1">IF(OFFSET('IWP17'!BackgroundChecks, 3, 7, 1, 1)=DATE(1900,1,0), DATE(1900,1,1), OFFSET('IWP17'!BackgroundChecks, 3, 7, 1, 1))</f>
        <v>1</v>
      </c>
      <c r="H406" s="254">
        <f ca="1">IF(OFFSET('IWP17'!BackgroundChecks, 3, 8, 1, 1)=DATE(1900,1,0), DATE(1900,1,1), OFFSET('IWP17'!BackgroundChecks, 3, 8, 1, 1))</f>
        <v>1</v>
      </c>
      <c r="I406" s="262" t="str">
        <f ca="1">IF(OFFSET('IWP17'!BackgroundChecks, 3, 9, 1, 1) = 0, "", OFFSET('IWP17'!BackgroundChecks, 3, 9, 1, 1))</f>
        <v/>
      </c>
      <c r="J406" s="262" t="str">
        <f ca="1">IF(OFFSET('IWP17'!BackgroundChecks, 3, 10, 1, 1) = 0, "", OFFSET('IWP17'!BackgroundChecks, 3, 10, 1, 1))</f>
        <v/>
      </c>
      <c r="K406" s="262" t="str">
        <f ca="1">IF(OFFSET('IWP17'!BackgroundChecks, 3, 11, 1, 1) = 0, "", OFFSET('IWP17'!BackgroundChecks, 3, 11, 1, 1))</f>
        <v/>
      </c>
      <c r="L406" s="262" t="str">
        <f ca="1">IF(OFFSET('IWP17'!BackgroundChecks, 3, 12, 1, 1) = 0, "", OFFSET('IWP17'!BackgroundChecks, 3, 12, 1, 1))</f>
        <v/>
      </c>
      <c r="M406" s="262" t="str">
        <f ca="1">IF(OFFSET('IWP17'!BackgroundChecks, 3, 13, 1, 1) = 0, "", OFFSET('IWP17'!BackgroundChecks, 3, 13, 1, 1))</f>
        <v/>
      </c>
      <c r="N406" s="261"/>
    </row>
    <row r="407" spans="1:14" s="146" customFormat="1">
      <c r="A407" s="257" t="s">
        <v>515</v>
      </c>
      <c r="B407" s="262" t="str">
        <f ca="1">IF(OFFSET('IWP17'!BackgroundChecks, 4, 0, 1, 1) = 0, "", OFFSET('IWP17'!BackgroundChecks, 4, 0, 1, 1))</f>
        <v/>
      </c>
      <c r="C407" s="262" t="str">
        <f ca="1">IF(OFFSET('IWP17'!BackgroundChecks, 4, 2, 1, 1) = 0, "", OFFSET('IWP17'!BackgroundChecks, 4, 2, 1, 1))</f>
        <v/>
      </c>
      <c r="D407" s="262" t="str">
        <f ca="1">IF(OFFSET('IWP17'!BackgroundChecks, 4, 4, 1, 1) = 0, "", OFFSET('IWP17'!BackgroundChecks, 4, 4, 1, 1))</f>
        <v/>
      </c>
      <c r="E407" s="254">
        <f ca="1">IF(OFFSET('IWP17'!BackgroundChecks, 4, 5, 1, 1)=DATE(1900,1,0), DATE(1900,1,1), OFFSET('IWP17'!BackgroundChecks, 4, 5, 1, 1))</f>
        <v>1</v>
      </c>
      <c r="F407" s="262" t="str">
        <f ca="1">IF(OFFSET('IWP17'!BackgroundChecks, 4, 6, 1, 1) = 0, "", OFFSET('IWP17'!BackgroundChecks, 4, 6, 1, 1))</f>
        <v/>
      </c>
      <c r="G407" s="254">
        <f ca="1">IF(OFFSET('IWP17'!BackgroundChecks, 4, 7, 1, 1)=DATE(1900,1,0), DATE(1900,1,1), OFFSET('IWP17'!BackgroundChecks, 4, 7, 1, 1))</f>
        <v>1</v>
      </c>
      <c r="H407" s="254">
        <f ca="1">IF(OFFSET('IWP17'!BackgroundChecks, 4, 8, 1, 1)=DATE(1900,1,0), DATE(1900,1,1), OFFSET('IWP17'!BackgroundChecks, 4, 8, 1, 1))</f>
        <v>1</v>
      </c>
      <c r="I407" s="262" t="str">
        <f ca="1">IF(OFFSET('IWP17'!BackgroundChecks, 4, 9, 1, 1) = 0, "", OFFSET('IWP17'!BackgroundChecks, 4, 9, 1, 1))</f>
        <v/>
      </c>
      <c r="J407" s="262" t="str">
        <f ca="1">IF(OFFSET('IWP17'!BackgroundChecks, 4, 10, 1, 1) = 0, "", OFFSET('IWP17'!BackgroundChecks, 4, 10, 1, 1))</f>
        <v/>
      </c>
      <c r="K407" s="262" t="str">
        <f ca="1">IF(OFFSET('IWP17'!BackgroundChecks, 4, 11, 1, 1) = 0, "", OFFSET('IWP17'!BackgroundChecks, 4, 11, 1, 1))</f>
        <v/>
      </c>
      <c r="L407" s="262" t="str">
        <f ca="1">IF(OFFSET('IWP17'!BackgroundChecks, 4, 12, 1, 1) = 0, "", OFFSET('IWP17'!BackgroundChecks, 4, 12, 1, 1))</f>
        <v/>
      </c>
      <c r="M407" s="262" t="str">
        <f ca="1">IF(OFFSET('IWP17'!BackgroundChecks, 4, 13, 1, 1) = 0, "", OFFSET('IWP17'!BackgroundChecks, 4, 13, 1, 1))</f>
        <v/>
      </c>
      <c r="N407" s="261"/>
    </row>
    <row r="408" spans="1:14" s="146" customFormat="1">
      <c r="A408" s="257" t="s">
        <v>515</v>
      </c>
      <c r="B408" s="262" t="str">
        <f ca="1">IF(OFFSET('IWP17'!BackgroundChecks, 5, 0, 1, 1) = 0, "", OFFSET('IWP17'!BackgroundChecks, 5, 0, 1, 1))</f>
        <v/>
      </c>
      <c r="C408" s="262" t="str">
        <f ca="1">IF(OFFSET('IWP17'!BackgroundChecks, 5, 2, 1, 1) = 0, "", OFFSET('IWP17'!BackgroundChecks, 5, 2, 1, 1))</f>
        <v/>
      </c>
      <c r="D408" s="262" t="str">
        <f ca="1">IF(OFFSET('IWP17'!BackgroundChecks, 5, 4, 1, 1) = 0, "", OFFSET('IWP17'!BackgroundChecks, 5, 4, 1, 1))</f>
        <v/>
      </c>
      <c r="E408" s="254">
        <f ca="1">IF(OFFSET('IWP17'!BackgroundChecks, 5, 5, 1, 1)=DATE(1900,1,0), DATE(1900,1,1), OFFSET('IWP17'!BackgroundChecks, 5, 5, 1, 1))</f>
        <v>1</v>
      </c>
      <c r="F408" s="262" t="str">
        <f ca="1">IF(OFFSET('IWP17'!BackgroundChecks, 5, 6, 1, 1) = 0, "", OFFSET('IWP17'!BackgroundChecks, 5, 6, 1, 1))</f>
        <v/>
      </c>
      <c r="G408" s="254">
        <f ca="1">IF(OFFSET('IWP17'!BackgroundChecks, 5, 7, 1, 1)=DATE(1900,1,0), DATE(1900,1,1), OFFSET('IWP17'!BackgroundChecks, 5, 7, 1, 1))</f>
        <v>1</v>
      </c>
      <c r="H408" s="254">
        <f ca="1">IF(OFFSET('IWP17'!BackgroundChecks, 5, 8, 1, 1)=DATE(1900,1,0), DATE(1900,1,1), OFFSET('IWP17'!BackgroundChecks, 5, 8, 1, 1))</f>
        <v>1</v>
      </c>
      <c r="I408" s="262" t="str">
        <f ca="1">IF(OFFSET('IWP17'!BackgroundChecks, 5, 9, 1, 1) = 0, "", OFFSET('IWP17'!BackgroundChecks, 5, 9, 1, 1))</f>
        <v/>
      </c>
      <c r="J408" s="262" t="str">
        <f ca="1">IF(OFFSET('IWP17'!BackgroundChecks, 5, 10, 1, 1) = 0, "", OFFSET('IWP17'!BackgroundChecks, 5, 10, 1, 1))</f>
        <v/>
      </c>
      <c r="K408" s="262" t="str">
        <f ca="1">IF(OFFSET('IWP17'!BackgroundChecks, 5, 11, 1, 1) = 0, "", OFFSET('IWP17'!BackgroundChecks, 5, 11, 1, 1))</f>
        <v/>
      </c>
      <c r="L408" s="262" t="str">
        <f ca="1">IF(OFFSET('IWP17'!BackgroundChecks, 5, 12, 1, 1) = 0, "", OFFSET('IWP17'!BackgroundChecks, 5, 12, 1, 1))</f>
        <v/>
      </c>
      <c r="M408" s="262" t="str">
        <f ca="1">IF(OFFSET('IWP17'!BackgroundChecks, 5, 13, 1, 1) = 0, "", OFFSET('IWP17'!BackgroundChecks, 5, 13, 1, 1))</f>
        <v/>
      </c>
      <c r="N408" s="261"/>
    </row>
    <row r="409" spans="1:14" s="146" customFormat="1">
      <c r="A409" s="257" t="s">
        <v>515</v>
      </c>
      <c r="B409" s="262" t="str">
        <f ca="1">IF(OFFSET('IWP17'!BackgroundChecks, 6, 0, 1, 1) = 0, "", OFFSET('IWP17'!BackgroundChecks, 6, 0, 1, 1))</f>
        <v/>
      </c>
      <c r="C409" s="262" t="str">
        <f ca="1">IF(OFFSET('IWP17'!BackgroundChecks, 6, 2, 1, 1) = 0, "", OFFSET('IWP17'!BackgroundChecks, 6, 2, 1, 1))</f>
        <v/>
      </c>
      <c r="D409" s="262" t="str">
        <f ca="1">IF(OFFSET('IWP17'!BackgroundChecks, 6, 4, 1, 1) = 0, "", OFFSET('IWP17'!BackgroundChecks, 6, 4, 1, 1))</f>
        <v/>
      </c>
      <c r="E409" s="254">
        <f ca="1">IF(OFFSET('IWP17'!BackgroundChecks, 6, 5, 1, 1)=DATE(1900,1,0), DATE(1900,1,1), OFFSET('IWP17'!BackgroundChecks, 6, 5, 1, 1))</f>
        <v>1</v>
      </c>
      <c r="F409" s="262" t="str">
        <f ca="1">IF(OFFSET('IWP17'!BackgroundChecks, 6, 6, 1, 1) = 0, "", OFFSET('IWP17'!BackgroundChecks, 6, 6, 1, 1))</f>
        <v/>
      </c>
      <c r="G409" s="254">
        <f ca="1">IF(OFFSET('IWP17'!BackgroundChecks, 6, 7, 1, 1)=DATE(1900,1,0), DATE(1900,1,1), OFFSET('IWP17'!BackgroundChecks, 6, 7, 1, 1))</f>
        <v>1</v>
      </c>
      <c r="H409" s="254">
        <f ca="1">IF(OFFSET('IWP17'!BackgroundChecks, 6, 8, 1, 1)=DATE(1900,1,0), DATE(1900,1,1), OFFSET('IWP17'!BackgroundChecks, 6, 8, 1, 1))</f>
        <v>1</v>
      </c>
      <c r="I409" s="262" t="str">
        <f ca="1">IF(OFFSET('IWP17'!BackgroundChecks, 6, 9, 1, 1) = 0, "", OFFSET('IWP17'!BackgroundChecks, 6, 9, 1, 1))</f>
        <v/>
      </c>
      <c r="J409" s="262" t="str">
        <f ca="1">IF(OFFSET('IWP17'!BackgroundChecks, 6, 10, 1, 1) = 0, "", OFFSET('IWP17'!BackgroundChecks, 6, 10, 1, 1))</f>
        <v/>
      </c>
      <c r="K409" s="262" t="str">
        <f ca="1">IF(OFFSET('IWP17'!BackgroundChecks, 6, 11, 1, 1) = 0, "", OFFSET('IWP17'!BackgroundChecks, 6, 11, 1, 1))</f>
        <v/>
      </c>
      <c r="L409" s="262" t="str">
        <f ca="1">IF(OFFSET('IWP17'!BackgroundChecks, 6, 12, 1, 1) = 0, "", OFFSET('IWP17'!BackgroundChecks, 6, 12, 1, 1))</f>
        <v/>
      </c>
      <c r="M409" s="262" t="str">
        <f ca="1">IF(OFFSET('IWP17'!BackgroundChecks, 6, 13, 1, 1) = 0, "", OFFSET('IWP17'!BackgroundChecks, 6, 13, 1, 1))</f>
        <v/>
      </c>
      <c r="N409" s="261"/>
    </row>
    <row r="410" spans="1:14" s="146" customFormat="1">
      <c r="A410" s="257" t="s">
        <v>515</v>
      </c>
      <c r="B410" s="262" t="str">
        <f ca="1">IF(OFFSET('IWP17'!BackgroundChecks, 7, 0, 1, 1) = 0, "", OFFSET('IWP17'!BackgroundChecks, 7, 0, 1, 1))</f>
        <v/>
      </c>
      <c r="C410" s="262" t="str">
        <f ca="1">IF(OFFSET('IWP17'!BackgroundChecks, 7, 2, 1, 1) = 0, "", OFFSET('IWP17'!BackgroundChecks, 7, 2, 1, 1))</f>
        <v/>
      </c>
      <c r="D410" s="262" t="str">
        <f ca="1">IF(OFFSET('IWP17'!BackgroundChecks, 7, 4, 1, 1) = 0, "", OFFSET('IWP17'!BackgroundChecks, 7, 4, 1, 1))</f>
        <v/>
      </c>
      <c r="E410" s="254">
        <f ca="1">IF(OFFSET('IWP17'!BackgroundChecks, 7, 5, 1, 1)=DATE(1900,1,0), DATE(1900,1,1), OFFSET('IWP17'!BackgroundChecks, 7, 5, 1, 1))</f>
        <v>1</v>
      </c>
      <c r="F410" s="262" t="str">
        <f ca="1">IF(OFFSET('IWP17'!BackgroundChecks, 7, 6, 1, 1) = 0, "", OFFSET('IWP17'!BackgroundChecks, 7, 6, 1, 1))</f>
        <v/>
      </c>
      <c r="G410" s="254">
        <f ca="1">IF(OFFSET('IWP17'!BackgroundChecks, 7, 7, 1, 1)=DATE(1900,1,0), DATE(1900,1,1), OFFSET('IWP17'!BackgroundChecks, 7, 7, 1, 1))</f>
        <v>1</v>
      </c>
      <c r="H410" s="254">
        <f ca="1">IF(OFFSET('IWP17'!BackgroundChecks, 7, 8, 1, 1)=DATE(1900,1,0), DATE(1900,1,1), OFFSET('IWP17'!BackgroundChecks, 7, 8, 1, 1))</f>
        <v>1</v>
      </c>
      <c r="I410" s="262" t="str">
        <f ca="1">IF(OFFSET('IWP17'!BackgroundChecks, 7, 9, 1, 1) = 0, "", OFFSET('IWP17'!BackgroundChecks, 7, 9, 1, 1))</f>
        <v/>
      </c>
      <c r="J410" s="262" t="str">
        <f ca="1">IF(OFFSET('IWP17'!BackgroundChecks, 7, 10, 1, 1) = 0, "", OFFSET('IWP17'!BackgroundChecks, 7, 10, 1, 1))</f>
        <v/>
      </c>
      <c r="K410" s="262" t="str">
        <f ca="1">IF(OFFSET('IWP17'!BackgroundChecks, 7, 11, 1, 1) = 0, "", OFFSET('IWP17'!BackgroundChecks, 7, 11, 1, 1))</f>
        <v/>
      </c>
      <c r="L410" s="262" t="str">
        <f ca="1">IF(OFFSET('IWP17'!BackgroundChecks, 7, 12, 1, 1) = 0, "", OFFSET('IWP17'!BackgroundChecks, 7, 12, 1, 1))</f>
        <v/>
      </c>
      <c r="M410" s="262" t="str">
        <f ca="1">IF(OFFSET('IWP17'!BackgroundChecks, 7, 13, 1, 1) = 0, "", OFFSET('IWP17'!BackgroundChecks, 7, 13, 1, 1))</f>
        <v/>
      </c>
      <c r="N410" s="261"/>
    </row>
    <row r="411" spans="1:14" s="146" customFormat="1">
      <c r="A411" s="257" t="s">
        <v>515</v>
      </c>
      <c r="B411" s="262" t="str">
        <f ca="1">IF(OFFSET('IWP17'!BackgroundChecks, 8, 0, 1, 1) = 0, "", OFFSET('IWP17'!BackgroundChecks, 8, 0, 1, 1))</f>
        <v/>
      </c>
      <c r="C411" s="262" t="str">
        <f ca="1">IF(OFFSET('IWP17'!BackgroundChecks, 8, 2, 1, 1) = 0, "", OFFSET('IWP17'!BackgroundChecks, 8, 2, 1, 1))</f>
        <v/>
      </c>
      <c r="D411" s="262" t="str">
        <f ca="1">IF(OFFSET('IWP17'!BackgroundChecks, 8, 4, 1, 1) = 0, "", OFFSET('IWP17'!BackgroundChecks, 8, 4, 1, 1))</f>
        <v/>
      </c>
      <c r="E411" s="254">
        <f ca="1">IF(OFFSET('IWP17'!BackgroundChecks, 8, 5, 1, 1)=DATE(1900,1,0), DATE(1900,1,1), OFFSET('IWP17'!BackgroundChecks, 8, 5, 1, 1))</f>
        <v>1</v>
      </c>
      <c r="F411" s="262" t="str">
        <f ca="1">IF(OFFSET('IWP17'!BackgroundChecks, 8, 6, 1, 1) = 0, "", OFFSET('IWP17'!BackgroundChecks, 8, 6, 1, 1))</f>
        <v/>
      </c>
      <c r="G411" s="254">
        <f ca="1">IF(OFFSET('IWP17'!BackgroundChecks, 8, 7, 1, 1)=DATE(1900,1,0), DATE(1900,1,1), OFFSET('IWP17'!BackgroundChecks, 8, 7, 1, 1))</f>
        <v>1</v>
      </c>
      <c r="H411" s="254">
        <f ca="1">IF(OFFSET('IWP17'!BackgroundChecks, 8, 8, 1, 1)=DATE(1900,1,0), DATE(1900,1,1), OFFSET('IWP17'!BackgroundChecks, 8, 8, 1, 1))</f>
        <v>1</v>
      </c>
      <c r="I411" s="262" t="str">
        <f ca="1">IF(OFFSET('IWP17'!BackgroundChecks, 8, 9, 1, 1) = 0, "", OFFSET('IWP17'!BackgroundChecks, 8, 9, 1, 1))</f>
        <v/>
      </c>
      <c r="J411" s="262" t="str">
        <f ca="1">IF(OFFSET('IWP17'!BackgroundChecks, 8, 10, 1, 1) = 0, "", OFFSET('IWP17'!BackgroundChecks, 8, 10, 1, 1))</f>
        <v/>
      </c>
      <c r="K411" s="262" t="str">
        <f ca="1">IF(OFFSET('IWP17'!BackgroundChecks, 8, 11, 1, 1) = 0, "", OFFSET('IWP17'!BackgroundChecks, 8, 11, 1, 1))</f>
        <v/>
      </c>
      <c r="L411" s="262" t="str">
        <f ca="1">IF(OFFSET('IWP17'!BackgroundChecks, 8, 12, 1, 1) = 0, "", OFFSET('IWP17'!BackgroundChecks, 8, 12, 1, 1))</f>
        <v/>
      </c>
      <c r="M411" s="262" t="str">
        <f ca="1">IF(OFFSET('IWP17'!BackgroundChecks, 8, 13, 1, 1) = 0, "", OFFSET('IWP17'!BackgroundChecks, 8, 13, 1, 1))</f>
        <v/>
      </c>
      <c r="N411" s="261"/>
    </row>
    <row r="412" spans="1:14" s="146" customFormat="1">
      <c r="A412" s="257" t="s">
        <v>515</v>
      </c>
      <c r="B412" s="262" t="str">
        <f ca="1">IF(OFFSET('IWP17'!BackgroundChecks, 9, 0, 1, 1) = 0, "", OFFSET('IWP17'!BackgroundChecks, 9, 0, 1, 1))</f>
        <v/>
      </c>
      <c r="C412" s="262" t="str">
        <f ca="1">IF(OFFSET('IWP17'!BackgroundChecks, 9, 2, 1, 1) = 0, "", OFFSET('IWP17'!BackgroundChecks, 9, 2, 1, 1))</f>
        <v/>
      </c>
      <c r="D412" s="262" t="str">
        <f ca="1">IF(OFFSET('IWP17'!BackgroundChecks, 9, 4, 1, 1) = 0, "", OFFSET('IWP17'!BackgroundChecks, 9, 4, 1, 1))</f>
        <v/>
      </c>
      <c r="E412" s="254">
        <f ca="1">IF(OFFSET('IWP17'!BackgroundChecks, 9, 5, 1, 1)=DATE(1900,1,0), DATE(1900,1,1), OFFSET('IWP17'!BackgroundChecks, 9, 5, 1, 1))</f>
        <v>1</v>
      </c>
      <c r="F412" s="262" t="str">
        <f ca="1">IF(OFFSET('IWP17'!BackgroundChecks, 9, 6, 1, 1) = 0, "", OFFSET('IWP17'!BackgroundChecks, 9, 6, 1, 1))</f>
        <v/>
      </c>
      <c r="G412" s="254">
        <f ca="1">IF(OFFSET('IWP17'!BackgroundChecks, 9, 7, 1, 1)=DATE(1900,1,0), DATE(1900,1,1), OFFSET('IWP17'!BackgroundChecks, 9, 7, 1, 1))</f>
        <v>1</v>
      </c>
      <c r="H412" s="254">
        <f ca="1">IF(OFFSET('IWP17'!BackgroundChecks, 9, 8, 1, 1)=DATE(1900,1,0), DATE(1900,1,1), OFFSET('IWP17'!BackgroundChecks, 9, 8, 1, 1))</f>
        <v>1</v>
      </c>
      <c r="I412" s="262" t="str">
        <f ca="1">IF(OFFSET('IWP17'!BackgroundChecks, 9, 9, 1, 1) = 0, "", OFFSET('IWP17'!BackgroundChecks, 9, 9, 1, 1))</f>
        <v/>
      </c>
      <c r="J412" s="262" t="str">
        <f ca="1">IF(OFFSET('IWP17'!BackgroundChecks, 9, 10, 1, 1) = 0, "", OFFSET('IWP17'!BackgroundChecks, 9, 10, 1, 1))</f>
        <v/>
      </c>
      <c r="K412" s="262" t="str">
        <f ca="1">IF(OFFSET('IWP17'!BackgroundChecks, 9, 11, 1, 1) = 0, "", OFFSET('IWP17'!BackgroundChecks, 9, 11, 1, 1))</f>
        <v/>
      </c>
      <c r="L412" s="262" t="str">
        <f ca="1">IF(OFFSET('IWP17'!BackgroundChecks, 9, 12, 1, 1) = 0, "", OFFSET('IWP17'!BackgroundChecks, 9, 12, 1, 1))</f>
        <v/>
      </c>
      <c r="M412" s="262" t="str">
        <f ca="1">IF(OFFSET('IWP17'!BackgroundChecks, 9, 13, 1, 1) = 0, "", OFFSET('IWP17'!BackgroundChecks, 9, 13, 1, 1))</f>
        <v/>
      </c>
      <c r="N412" s="261"/>
    </row>
    <row r="413" spans="1:14" s="146" customFormat="1">
      <c r="A413" s="257" t="s">
        <v>515</v>
      </c>
      <c r="B413" s="262" t="str">
        <f ca="1">IF(OFFSET('IWP17'!BackgroundChecks, 10, 0, 1, 1) = 0, "", OFFSET('IWP17'!BackgroundChecks, 10, 0, 1, 1))</f>
        <v/>
      </c>
      <c r="C413" s="262" t="str">
        <f ca="1">IF(OFFSET('IWP17'!BackgroundChecks, 10, 2, 1, 1) = 0, "", OFFSET('IWP17'!BackgroundChecks, 10, 2, 1, 1))</f>
        <v/>
      </c>
      <c r="D413" s="262" t="str">
        <f ca="1">IF(OFFSET('IWP17'!BackgroundChecks, 10, 4, 1, 1) = 0, "", OFFSET('IWP17'!BackgroundChecks, 10, 4, 1, 1))</f>
        <v/>
      </c>
      <c r="E413" s="254">
        <f ca="1">IF(OFFSET('IWP17'!BackgroundChecks, 10, 5, 1, 1)=DATE(1900,1,0), DATE(1900,1,1), OFFSET('IWP17'!BackgroundChecks, 10, 5, 1, 1))</f>
        <v>1</v>
      </c>
      <c r="F413" s="262" t="str">
        <f ca="1">IF(OFFSET('IWP17'!BackgroundChecks, 10, 6, 1, 1) = 0, "", OFFSET('IWP17'!BackgroundChecks, 10, 6, 1, 1))</f>
        <v/>
      </c>
      <c r="G413" s="254">
        <f ca="1">IF(OFFSET('IWP17'!BackgroundChecks, 10, 7, 1, 1)=DATE(1900,1,0), DATE(1900,1,1), OFFSET('IWP17'!BackgroundChecks, 10, 7, 1, 1))</f>
        <v>1</v>
      </c>
      <c r="H413" s="254">
        <f ca="1">IF(OFFSET('IWP17'!BackgroundChecks, 10, 8, 1, 1)=DATE(1900,1,0), DATE(1900,1,1), OFFSET('IWP17'!BackgroundChecks, 10, 8, 1, 1))</f>
        <v>1</v>
      </c>
      <c r="I413" s="262" t="str">
        <f ca="1">IF(OFFSET('IWP17'!BackgroundChecks, 10, 9, 1, 1) = 0, "", OFFSET('IWP17'!BackgroundChecks, 10, 9, 1, 1))</f>
        <v/>
      </c>
      <c r="J413" s="262" t="str">
        <f ca="1">IF(OFFSET('IWP17'!BackgroundChecks, 10, 10, 1, 1) = 0, "", OFFSET('IWP17'!BackgroundChecks, 10, 10, 1, 1))</f>
        <v/>
      </c>
      <c r="K413" s="262" t="str">
        <f ca="1">IF(OFFSET('IWP17'!BackgroundChecks, 10, 11, 1, 1) = 0, "", OFFSET('IWP17'!BackgroundChecks, 10, 11, 1, 1))</f>
        <v/>
      </c>
      <c r="L413" s="262" t="str">
        <f ca="1">IF(OFFSET('IWP17'!BackgroundChecks, 10, 12, 1, 1) = 0, "", OFFSET('IWP17'!BackgroundChecks, 10, 12, 1, 1))</f>
        <v/>
      </c>
      <c r="M413" s="262" t="str">
        <f ca="1">IF(OFFSET('IWP17'!BackgroundChecks, 10, 13, 1, 1) = 0, "", OFFSET('IWP17'!BackgroundChecks, 10, 13, 1, 1))</f>
        <v/>
      </c>
      <c r="N413" s="261"/>
    </row>
    <row r="414" spans="1:14" s="146" customFormat="1">
      <c r="A414" s="257" t="s">
        <v>515</v>
      </c>
      <c r="B414" s="262" t="str">
        <f ca="1">IF(OFFSET('IWP17'!BackgroundChecks, 11, 0, 1, 1) = 0, "", OFFSET('IWP17'!BackgroundChecks, 11, 0, 1, 1))</f>
        <v/>
      </c>
      <c r="C414" s="262" t="str">
        <f ca="1">IF(OFFSET('IWP17'!BackgroundChecks, 11, 2, 1, 1) = 0, "", OFFSET('IWP17'!BackgroundChecks, 11, 2, 1, 1))</f>
        <v/>
      </c>
      <c r="D414" s="262" t="str">
        <f ca="1">IF(OFFSET('IWP17'!BackgroundChecks, 11, 4, 1, 1) = 0, "", OFFSET('IWP17'!BackgroundChecks, 11, 4, 1, 1))</f>
        <v/>
      </c>
      <c r="E414" s="254">
        <f ca="1">IF(OFFSET('IWP17'!BackgroundChecks, 11, 5, 1, 1)=DATE(1900,1,0), DATE(1900,1,1), OFFSET('IWP17'!BackgroundChecks, 11, 5, 1, 1))</f>
        <v>1</v>
      </c>
      <c r="F414" s="262" t="str">
        <f ca="1">IF(OFFSET('IWP17'!BackgroundChecks, 11, 6, 1, 1) = 0, "", OFFSET('IWP17'!BackgroundChecks, 11, 6, 1, 1))</f>
        <v/>
      </c>
      <c r="G414" s="254">
        <f ca="1">IF(OFFSET('IWP17'!BackgroundChecks, 11, 7, 1, 1)=DATE(1900,1,0), DATE(1900,1,1), OFFSET('IWP17'!BackgroundChecks, 11, 7, 1, 1))</f>
        <v>1</v>
      </c>
      <c r="H414" s="254">
        <f ca="1">IF(OFFSET('IWP17'!BackgroundChecks, 11, 8, 1, 1)=DATE(1900,1,0), DATE(1900,1,1), OFFSET('IWP17'!BackgroundChecks, 11, 8, 1, 1))</f>
        <v>1</v>
      </c>
      <c r="I414" s="262" t="str">
        <f ca="1">IF(OFFSET('IWP17'!BackgroundChecks, 11, 9, 1, 1) = 0, "", OFFSET('IWP17'!BackgroundChecks, 11, 9, 1, 1))</f>
        <v/>
      </c>
      <c r="J414" s="262" t="str">
        <f ca="1">IF(OFFSET('IWP17'!BackgroundChecks, 11, 10, 1, 1) = 0, "", OFFSET('IWP17'!BackgroundChecks, 11, 10, 1, 1))</f>
        <v/>
      </c>
      <c r="K414" s="262" t="str">
        <f ca="1">IF(OFFSET('IWP17'!BackgroundChecks, 11, 11, 1, 1) = 0, "", OFFSET('IWP17'!BackgroundChecks, 11, 11, 1, 1))</f>
        <v/>
      </c>
      <c r="L414" s="262" t="str">
        <f ca="1">IF(OFFSET('IWP17'!BackgroundChecks, 11, 12, 1, 1) = 0, "", OFFSET('IWP17'!BackgroundChecks, 11, 12, 1, 1))</f>
        <v/>
      </c>
      <c r="M414" s="262" t="str">
        <f ca="1">IF(OFFSET('IWP17'!BackgroundChecks, 11, 13, 1, 1) = 0, "", OFFSET('IWP17'!BackgroundChecks, 11, 13, 1, 1))</f>
        <v/>
      </c>
      <c r="N414" s="261"/>
    </row>
    <row r="415" spans="1:14" s="146" customFormat="1">
      <c r="A415" s="257" t="s">
        <v>515</v>
      </c>
      <c r="B415" s="262" t="str">
        <f ca="1">IF(OFFSET('IWP17'!BackgroundChecks, 12, 0, 1, 1) = 0, "", OFFSET('IWP17'!BackgroundChecks, 12, 0, 1, 1))</f>
        <v/>
      </c>
      <c r="C415" s="262" t="str">
        <f ca="1">IF(OFFSET('IWP17'!BackgroundChecks, 12, 2, 1, 1) = 0, "", OFFSET('IWP17'!BackgroundChecks, 12, 2, 1, 1))</f>
        <v/>
      </c>
      <c r="D415" s="262" t="str">
        <f ca="1">IF(OFFSET('IWP17'!BackgroundChecks, 12, 4, 1, 1) = 0, "", OFFSET('IWP17'!BackgroundChecks, 12, 4, 1, 1))</f>
        <v/>
      </c>
      <c r="E415" s="254">
        <f ca="1">IF(OFFSET('IWP17'!BackgroundChecks, 12, 5, 1, 1)=DATE(1900,1,0), DATE(1900,1,1), OFFSET('IWP17'!BackgroundChecks, 12, 5, 1, 1))</f>
        <v>1</v>
      </c>
      <c r="F415" s="262" t="str">
        <f ca="1">IF(OFFSET('IWP17'!BackgroundChecks, 12, 6, 1, 1) = 0, "", OFFSET('IWP17'!BackgroundChecks, 12, 6, 1, 1))</f>
        <v/>
      </c>
      <c r="G415" s="254">
        <f ca="1">IF(OFFSET('IWP17'!BackgroundChecks, 12, 7, 1, 1)=DATE(1900,1,0), DATE(1900,1,1), OFFSET('IWP17'!BackgroundChecks, 12, 7, 1, 1))</f>
        <v>1</v>
      </c>
      <c r="H415" s="254">
        <f ca="1">IF(OFFSET('IWP17'!BackgroundChecks, 12, 8, 1, 1)=DATE(1900,1,0), DATE(1900,1,1), OFFSET('IWP17'!BackgroundChecks, 12, 8, 1, 1))</f>
        <v>1</v>
      </c>
      <c r="I415" s="262" t="str">
        <f ca="1">IF(OFFSET('IWP17'!BackgroundChecks, 12, 9, 1, 1) = 0, "", OFFSET('IWP17'!BackgroundChecks, 12, 9, 1, 1))</f>
        <v/>
      </c>
      <c r="J415" s="262" t="str">
        <f ca="1">IF(OFFSET('IWP17'!BackgroundChecks, 12, 10, 1, 1) = 0, "", OFFSET('IWP17'!BackgroundChecks, 12, 10, 1, 1))</f>
        <v/>
      </c>
      <c r="K415" s="262" t="str">
        <f ca="1">IF(OFFSET('IWP17'!BackgroundChecks, 12, 11, 1, 1) = 0, "", OFFSET('IWP17'!BackgroundChecks, 12, 11, 1, 1))</f>
        <v/>
      </c>
      <c r="L415" s="262" t="str">
        <f ca="1">IF(OFFSET('IWP17'!BackgroundChecks, 12, 12, 1, 1) = 0, "", OFFSET('IWP17'!BackgroundChecks, 12, 12, 1, 1))</f>
        <v/>
      </c>
      <c r="M415" s="262" t="str">
        <f ca="1">IF(OFFSET('IWP17'!BackgroundChecks, 12, 13, 1, 1) = 0, "", OFFSET('IWP17'!BackgroundChecks, 12, 13, 1, 1))</f>
        <v/>
      </c>
      <c r="N415" s="261"/>
    </row>
    <row r="416" spans="1:14" s="146" customFormat="1">
      <c r="A416" s="257" t="s">
        <v>515</v>
      </c>
      <c r="B416" s="262" t="str">
        <f ca="1">IF(OFFSET('IWP17'!BackgroundChecks, 13, 0, 1, 1) = 0, "", OFFSET('IWP17'!BackgroundChecks, 13, 0, 1, 1))</f>
        <v/>
      </c>
      <c r="C416" s="262" t="str">
        <f ca="1">IF(OFFSET('IWP17'!BackgroundChecks, 13, 2, 1, 1) = 0, "", OFFSET('IWP17'!BackgroundChecks, 13, 2, 1, 1))</f>
        <v/>
      </c>
      <c r="D416" s="262" t="str">
        <f ca="1">IF(OFFSET('IWP17'!BackgroundChecks, 13, 4, 1, 1) = 0, "", OFFSET('IWP17'!BackgroundChecks, 13, 4, 1, 1))</f>
        <v/>
      </c>
      <c r="E416" s="254">
        <f ca="1">IF(OFFSET('IWP17'!BackgroundChecks, 13, 5, 1, 1)=DATE(1900,1,0), DATE(1900,1,1), OFFSET('IWP17'!BackgroundChecks, 13, 5, 1, 1))</f>
        <v>1</v>
      </c>
      <c r="F416" s="262" t="str">
        <f ca="1">IF(OFFSET('IWP17'!BackgroundChecks, 13, 6, 1, 1) = 0, "", OFFSET('IWP17'!BackgroundChecks, 13, 6, 1, 1))</f>
        <v/>
      </c>
      <c r="G416" s="254">
        <f ca="1">IF(OFFSET('IWP17'!BackgroundChecks, 13, 7, 1, 1)=DATE(1900,1,0), DATE(1900,1,1), OFFSET('IWP17'!BackgroundChecks, 13, 7, 1, 1))</f>
        <v>1</v>
      </c>
      <c r="H416" s="254">
        <f ca="1">IF(OFFSET('IWP17'!BackgroundChecks, 13, 8, 1, 1)=DATE(1900,1,0), DATE(1900,1,1), OFFSET('IWP17'!BackgroundChecks, 13, 8, 1, 1))</f>
        <v>1</v>
      </c>
      <c r="I416" s="262" t="str">
        <f ca="1">IF(OFFSET('IWP17'!BackgroundChecks, 13, 9, 1, 1) = 0, "", OFFSET('IWP17'!BackgroundChecks, 13, 9, 1, 1))</f>
        <v/>
      </c>
      <c r="J416" s="262" t="str">
        <f ca="1">IF(OFFSET('IWP17'!BackgroundChecks, 13, 10, 1, 1) = 0, "", OFFSET('IWP17'!BackgroundChecks, 13, 10, 1, 1))</f>
        <v/>
      </c>
      <c r="K416" s="262" t="str">
        <f ca="1">IF(OFFSET('IWP17'!BackgroundChecks, 13, 11, 1, 1) = 0, "", OFFSET('IWP17'!BackgroundChecks, 13, 11, 1, 1))</f>
        <v/>
      </c>
      <c r="L416" s="262" t="str">
        <f ca="1">IF(OFFSET('IWP17'!BackgroundChecks, 13, 12, 1, 1) = 0, "", OFFSET('IWP17'!BackgroundChecks, 13, 12, 1, 1))</f>
        <v/>
      </c>
      <c r="M416" s="262" t="str">
        <f ca="1">IF(OFFSET('IWP17'!BackgroundChecks, 13, 13, 1, 1) = 0, "", OFFSET('IWP17'!BackgroundChecks, 13, 13, 1, 1))</f>
        <v/>
      </c>
      <c r="N416" s="261"/>
    </row>
    <row r="417" spans="1:14" s="146" customFormat="1">
      <c r="A417" s="257" t="s">
        <v>515</v>
      </c>
      <c r="B417" s="262" t="str">
        <f ca="1">IF(OFFSET('IWP17'!BackgroundChecks, 14, 0, 1, 1) = 0, "", OFFSET('IWP17'!BackgroundChecks, 14, 0, 1, 1))</f>
        <v/>
      </c>
      <c r="C417" s="262" t="str">
        <f ca="1">IF(OFFSET('IWP17'!BackgroundChecks, 14, 2, 1, 1) = 0, "", OFFSET('IWP17'!BackgroundChecks, 14, 2, 1, 1))</f>
        <v/>
      </c>
      <c r="D417" s="262" t="str">
        <f ca="1">IF(OFFSET('IWP17'!BackgroundChecks, 14, 4, 1, 1) = 0, "", OFFSET('IWP17'!BackgroundChecks, 14, 4, 1, 1))</f>
        <v/>
      </c>
      <c r="E417" s="254">
        <f ca="1">IF(OFFSET('IWP17'!BackgroundChecks, 14, 5, 1, 1)=DATE(1900,1,0), DATE(1900,1,1), OFFSET('IWP17'!BackgroundChecks, 14, 5, 1, 1))</f>
        <v>1</v>
      </c>
      <c r="F417" s="262" t="str">
        <f ca="1">IF(OFFSET('IWP17'!BackgroundChecks, 14, 6, 1, 1) = 0, "", OFFSET('IWP17'!BackgroundChecks, 14, 6, 1, 1))</f>
        <v/>
      </c>
      <c r="G417" s="254">
        <f ca="1">IF(OFFSET('IWP17'!BackgroundChecks, 14, 7, 1, 1)=DATE(1900,1,0), DATE(1900,1,1), OFFSET('IWP17'!BackgroundChecks, 14, 7, 1, 1))</f>
        <v>1</v>
      </c>
      <c r="H417" s="254">
        <f ca="1">IF(OFFSET('IWP17'!BackgroundChecks, 14, 8, 1, 1)=DATE(1900,1,0), DATE(1900,1,1), OFFSET('IWP17'!BackgroundChecks, 14, 8, 1, 1))</f>
        <v>1</v>
      </c>
      <c r="I417" s="262" t="str">
        <f ca="1">IF(OFFSET('IWP17'!BackgroundChecks, 14, 9, 1, 1) = 0, "", OFFSET('IWP17'!BackgroundChecks, 14, 9, 1, 1))</f>
        <v/>
      </c>
      <c r="J417" s="262" t="str">
        <f ca="1">IF(OFFSET('IWP17'!BackgroundChecks, 14, 10, 1, 1) = 0, "", OFFSET('IWP17'!BackgroundChecks, 14, 10, 1, 1))</f>
        <v/>
      </c>
      <c r="K417" s="262" t="str">
        <f ca="1">IF(OFFSET('IWP17'!BackgroundChecks, 14, 11, 1, 1) = 0, "", OFFSET('IWP17'!BackgroundChecks, 14, 11, 1, 1))</f>
        <v/>
      </c>
      <c r="L417" s="262" t="str">
        <f ca="1">IF(OFFSET('IWP17'!BackgroundChecks, 14, 12, 1, 1) = 0, "", OFFSET('IWP17'!BackgroundChecks, 14, 12, 1, 1))</f>
        <v/>
      </c>
      <c r="M417" s="262" t="str">
        <f ca="1">IF(OFFSET('IWP17'!BackgroundChecks, 14, 13, 1, 1) = 0, "", OFFSET('IWP17'!BackgroundChecks, 14, 13, 1, 1))</f>
        <v/>
      </c>
      <c r="N417" s="261"/>
    </row>
    <row r="418" spans="1:14" s="146" customFormat="1">
      <c r="A418" s="257" t="s">
        <v>515</v>
      </c>
      <c r="B418" s="262" t="str">
        <f ca="1">IF(OFFSET('IWP17'!BackgroundChecks, 15, 0, 1, 1) = 0, "", OFFSET('IWP17'!BackgroundChecks, 15, 0, 1, 1))</f>
        <v/>
      </c>
      <c r="C418" s="262" t="str">
        <f ca="1">IF(OFFSET('IWP17'!BackgroundChecks, 15, 2, 1, 1) = 0, "", OFFSET('IWP17'!BackgroundChecks, 15, 2, 1, 1))</f>
        <v/>
      </c>
      <c r="D418" s="262" t="str">
        <f ca="1">IF(OFFSET('IWP17'!BackgroundChecks, 15, 4, 1, 1) = 0, "", OFFSET('IWP17'!BackgroundChecks, 15, 4, 1, 1))</f>
        <v/>
      </c>
      <c r="E418" s="254">
        <f ca="1">IF(OFFSET('IWP17'!BackgroundChecks, 15, 5, 1, 1)=DATE(1900,1,0), DATE(1900,1,1), OFFSET('IWP17'!BackgroundChecks, 15, 5, 1, 1))</f>
        <v>1</v>
      </c>
      <c r="F418" s="262" t="str">
        <f ca="1">IF(OFFSET('IWP17'!BackgroundChecks, 15, 6, 1, 1) = 0, "", OFFSET('IWP17'!BackgroundChecks, 15, 6, 1, 1))</f>
        <v/>
      </c>
      <c r="G418" s="254">
        <f ca="1">IF(OFFSET('IWP17'!BackgroundChecks, 15, 7, 1, 1)=DATE(1900,1,0), DATE(1900,1,1), OFFSET('IWP17'!BackgroundChecks, 15, 7, 1, 1))</f>
        <v>1</v>
      </c>
      <c r="H418" s="254">
        <f ca="1">IF(OFFSET('IWP17'!BackgroundChecks, 15, 8, 1, 1)=DATE(1900,1,0), DATE(1900,1,1), OFFSET('IWP17'!BackgroundChecks, 15, 8, 1, 1))</f>
        <v>1</v>
      </c>
      <c r="I418" s="262" t="str">
        <f ca="1">IF(OFFSET('IWP17'!BackgroundChecks, 15, 9, 1, 1) = 0, "", OFFSET('IWP17'!BackgroundChecks, 15, 9, 1, 1))</f>
        <v/>
      </c>
      <c r="J418" s="262" t="str">
        <f ca="1">IF(OFFSET('IWP17'!BackgroundChecks, 15, 10, 1, 1) = 0, "", OFFSET('IWP17'!BackgroundChecks, 15, 10, 1, 1))</f>
        <v/>
      </c>
      <c r="K418" s="262" t="str">
        <f ca="1">IF(OFFSET('IWP17'!BackgroundChecks, 15, 11, 1, 1) = 0, "", OFFSET('IWP17'!BackgroundChecks, 15, 11, 1, 1))</f>
        <v/>
      </c>
      <c r="L418" s="262" t="str">
        <f ca="1">IF(OFFSET('IWP17'!BackgroundChecks, 15, 12, 1, 1) = 0, "", OFFSET('IWP17'!BackgroundChecks, 15, 12, 1, 1))</f>
        <v/>
      </c>
      <c r="M418" s="262" t="str">
        <f ca="1">IF(OFFSET('IWP17'!BackgroundChecks, 15, 13, 1, 1) = 0, "", OFFSET('IWP17'!BackgroundChecks, 15, 13, 1, 1))</f>
        <v/>
      </c>
      <c r="N418" s="261"/>
    </row>
    <row r="419" spans="1:14" s="146" customFormat="1">
      <c r="A419" s="257" t="s">
        <v>515</v>
      </c>
      <c r="B419" s="262" t="str">
        <f ca="1">IF(OFFSET('IWP17'!BackgroundChecks, 16, 0, 1, 1) = 0, "", OFFSET('IWP17'!BackgroundChecks, 16, 0, 1, 1))</f>
        <v/>
      </c>
      <c r="C419" s="262" t="str">
        <f ca="1">IF(OFFSET('IWP17'!BackgroundChecks, 16, 2, 1, 1) = 0, "", OFFSET('IWP17'!BackgroundChecks, 16, 2, 1, 1))</f>
        <v/>
      </c>
      <c r="D419" s="262" t="str">
        <f ca="1">IF(OFFSET('IWP17'!BackgroundChecks, 16, 4, 1, 1) = 0, "", OFFSET('IWP17'!BackgroundChecks, 16, 4, 1, 1))</f>
        <v/>
      </c>
      <c r="E419" s="254">
        <f ca="1">IF(OFFSET('IWP17'!BackgroundChecks, 16, 5, 1, 1)=DATE(1900,1,0), DATE(1900,1,1), OFFSET('IWP17'!BackgroundChecks, 16, 5, 1, 1))</f>
        <v>1</v>
      </c>
      <c r="F419" s="262" t="str">
        <f ca="1">IF(OFFSET('IWP17'!BackgroundChecks, 16, 6, 1, 1) = 0, "", OFFSET('IWP17'!BackgroundChecks, 16, 6, 1, 1))</f>
        <v/>
      </c>
      <c r="G419" s="254">
        <f ca="1">IF(OFFSET('IWP17'!BackgroundChecks, 16, 7, 1, 1)=DATE(1900,1,0), DATE(1900,1,1), OFFSET('IWP17'!BackgroundChecks, 16, 7, 1, 1))</f>
        <v>1</v>
      </c>
      <c r="H419" s="254">
        <f ca="1">IF(OFFSET('IWP17'!BackgroundChecks, 16, 8, 1, 1)=DATE(1900,1,0), DATE(1900,1,1), OFFSET('IWP17'!BackgroundChecks, 16, 8, 1, 1))</f>
        <v>1</v>
      </c>
      <c r="I419" s="262" t="str">
        <f ca="1">IF(OFFSET('IWP17'!BackgroundChecks, 16, 9, 1, 1) = 0, "", OFFSET('IWP17'!BackgroundChecks, 16, 9, 1, 1))</f>
        <v/>
      </c>
      <c r="J419" s="262" t="str">
        <f ca="1">IF(OFFSET('IWP17'!BackgroundChecks, 16, 10, 1, 1) = 0, "", OFFSET('IWP17'!BackgroundChecks, 16, 10, 1, 1))</f>
        <v/>
      </c>
      <c r="K419" s="262" t="str">
        <f ca="1">IF(OFFSET('IWP17'!BackgroundChecks, 16, 11, 1, 1) = 0, "", OFFSET('IWP17'!BackgroundChecks, 16, 11, 1, 1))</f>
        <v/>
      </c>
      <c r="L419" s="262" t="str">
        <f ca="1">IF(OFFSET('IWP17'!BackgroundChecks, 16, 12, 1, 1) = 0, "", OFFSET('IWP17'!BackgroundChecks, 16, 12, 1, 1))</f>
        <v/>
      </c>
      <c r="M419" s="262" t="str">
        <f ca="1">IF(OFFSET('IWP17'!BackgroundChecks, 16, 13, 1, 1) = 0, "", OFFSET('IWP17'!BackgroundChecks, 16, 13, 1, 1))</f>
        <v/>
      </c>
      <c r="N419" s="261"/>
    </row>
    <row r="420" spans="1:14" s="146" customFormat="1">
      <c r="A420" s="257" t="s">
        <v>515</v>
      </c>
      <c r="B420" s="262" t="str">
        <f ca="1">IF(OFFSET('IWP17'!BackgroundChecks, 17, 0, 1, 1) = 0, "", OFFSET('IWP17'!BackgroundChecks, 17, 0, 1, 1))</f>
        <v/>
      </c>
      <c r="C420" s="262" t="str">
        <f ca="1">IF(OFFSET('IWP17'!BackgroundChecks, 17, 2, 1, 1) = 0, "", OFFSET('IWP17'!BackgroundChecks, 17, 2, 1, 1))</f>
        <v/>
      </c>
      <c r="D420" s="262" t="str">
        <f ca="1">IF(OFFSET('IWP17'!BackgroundChecks, 17, 4, 1, 1) = 0, "", OFFSET('IWP17'!BackgroundChecks, 17, 4, 1, 1))</f>
        <v/>
      </c>
      <c r="E420" s="254">
        <f ca="1">IF(OFFSET('IWP17'!BackgroundChecks, 17, 5, 1, 1)=DATE(1900,1,0), DATE(1900,1,1), OFFSET('IWP17'!BackgroundChecks, 17, 5, 1, 1))</f>
        <v>1</v>
      </c>
      <c r="F420" s="262" t="str">
        <f ca="1">IF(OFFSET('IWP17'!BackgroundChecks, 17, 6, 1, 1) = 0, "", OFFSET('IWP17'!BackgroundChecks, 17, 6, 1, 1))</f>
        <v/>
      </c>
      <c r="G420" s="254">
        <f ca="1">IF(OFFSET('IWP17'!BackgroundChecks, 17, 7, 1, 1)=DATE(1900,1,0), DATE(1900,1,1), OFFSET('IWP17'!BackgroundChecks, 17, 7, 1, 1))</f>
        <v>1</v>
      </c>
      <c r="H420" s="254">
        <f ca="1">IF(OFFSET('IWP17'!BackgroundChecks, 17, 8, 1, 1)=DATE(1900,1,0), DATE(1900,1,1), OFFSET('IWP17'!BackgroundChecks, 17, 8, 1, 1))</f>
        <v>1</v>
      </c>
      <c r="I420" s="262" t="str">
        <f ca="1">IF(OFFSET('IWP17'!BackgroundChecks, 17, 9, 1, 1) = 0, "", OFFSET('IWP17'!BackgroundChecks, 17, 9, 1, 1))</f>
        <v/>
      </c>
      <c r="J420" s="262" t="str">
        <f ca="1">IF(OFFSET('IWP17'!BackgroundChecks, 17, 10, 1, 1) = 0, "", OFFSET('IWP17'!BackgroundChecks, 17, 10, 1, 1))</f>
        <v/>
      </c>
      <c r="K420" s="262" t="str">
        <f ca="1">IF(OFFSET('IWP17'!BackgroundChecks, 17, 11, 1, 1) = 0, "", OFFSET('IWP17'!BackgroundChecks, 17, 11, 1, 1))</f>
        <v/>
      </c>
      <c r="L420" s="262" t="str">
        <f ca="1">IF(OFFSET('IWP17'!BackgroundChecks, 17, 12, 1, 1) = 0, "", OFFSET('IWP17'!BackgroundChecks, 17, 12, 1, 1))</f>
        <v/>
      </c>
      <c r="M420" s="262" t="str">
        <f ca="1">IF(OFFSET('IWP17'!BackgroundChecks, 17, 13, 1, 1) = 0, "", OFFSET('IWP17'!BackgroundChecks, 17, 13, 1, 1))</f>
        <v/>
      </c>
      <c r="N420" s="261"/>
    </row>
    <row r="421" spans="1:14" s="146" customFormat="1">
      <c r="A421" s="257" t="s">
        <v>515</v>
      </c>
      <c r="B421" s="262" t="str">
        <f ca="1">IF(OFFSET('IWP17'!BackgroundChecks, 18, 0, 1, 1) = 0, "", OFFSET('IWP17'!BackgroundChecks, 18, 0, 1, 1))</f>
        <v/>
      </c>
      <c r="C421" s="262" t="str">
        <f ca="1">IF(OFFSET('IWP17'!BackgroundChecks, 18, 2, 1, 1) = 0, "", OFFSET('IWP17'!BackgroundChecks, 18, 2, 1, 1))</f>
        <v/>
      </c>
      <c r="D421" s="262" t="str">
        <f ca="1">IF(OFFSET('IWP17'!BackgroundChecks, 18, 4, 1, 1) = 0, "", OFFSET('IWP17'!BackgroundChecks, 18, 4, 1, 1))</f>
        <v/>
      </c>
      <c r="E421" s="254">
        <f ca="1">IF(OFFSET('IWP17'!BackgroundChecks, 18, 5, 1, 1)=DATE(1900,1,0), DATE(1900,1,1), OFFSET('IWP17'!BackgroundChecks, 18, 5, 1, 1))</f>
        <v>1</v>
      </c>
      <c r="F421" s="262" t="str">
        <f ca="1">IF(OFFSET('IWP17'!BackgroundChecks, 18, 6, 1, 1) = 0, "", OFFSET('IWP17'!BackgroundChecks, 18, 6, 1, 1))</f>
        <v/>
      </c>
      <c r="G421" s="254">
        <f ca="1">IF(OFFSET('IWP17'!BackgroundChecks, 18, 7, 1, 1)=DATE(1900,1,0), DATE(1900,1,1), OFFSET('IWP17'!BackgroundChecks, 18, 7, 1, 1))</f>
        <v>1</v>
      </c>
      <c r="H421" s="254">
        <f ca="1">IF(OFFSET('IWP17'!BackgroundChecks, 18, 8, 1, 1)=DATE(1900,1,0), DATE(1900,1,1), OFFSET('IWP17'!BackgroundChecks, 18, 8, 1, 1))</f>
        <v>1</v>
      </c>
      <c r="I421" s="262" t="str">
        <f ca="1">IF(OFFSET('IWP17'!BackgroundChecks, 18, 9, 1, 1) = 0, "", OFFSET('IWP17'!BackgroundChecks, 18, 9, 1, 1))</f>
        <v/>
      </c>
      <c r="J421" s="262" t="str">
        <f ca="1">IF(OFFSET('IWP17'!BackgroundChecks, 18, 10, 1, 1) = 0, "", OFFSET('IWP17'!BackgroundChecks, 18, 10, 1, 1))</f>
        <v/>
      </c>
      <c r="K421" s="262" t="str">
        <f ca="1">IF(OFFSET('IWP17'!BackgroundChecks, 18, 11, 1, 1) = 0, "", OFFSET('IWP17'!BackgroundChecks, 18, 11, 1, 1))</f>
        <v/>
      </c>
      <c r="L421" s="262" t="str">
        <f ca="1">IF(OFFSET('IWP17'!BackgroundChecks, 18, 12, 1, 1) = 0, "", OFFSET('IWP17'!BackgroundChecks, 18, 12, 1, 1))</f>
        <v/>
      </c>
      <c r="M421" s="262" t="str">
        <f ca="1">IF(OFFSET('IWP17'!BackgroundChecks, 18, 13, 1, 1) = 0, "", OFFSET('IWP17'!BackgroundChecks, 18, 13, 1, 1))</f>
        <v/>
      </c>
      <c r="N421" s="261"/>
    </row>
    <row r="422" spans="1:14" s="146" customFormat="1">
      <c r="A422" s="257" t="s">
        <v>515</v>
      </c>
      <c r="B422" s="262" t="str">
        <f ca="1">IF(OFFSET('IWP17'!BackgroundChecks, 19, 0, 1, 1) = 0, "", OFFSET('IWP17'!BackgroundChecks, 19, 0, 1, 1))</f>
        <v/>
      </c>
      <c r="C422" s="262" t="str">
        <f ca="1">IF(OFFSET('IWP17'!BackgroundChecks, 19, 2, 1, 1) = 0, "", OFFSET('IWP17'!BackgroundChecks, 19, 2, 1, 1))</f>
        <v/>
      </c>
      <c r="D422" s="262" t="str">
        <f ca="1">IF(OFFSET('IWP17'!BackgroundChecks, 19, 4, 1, 1) = 0, "", OFFSET('IWP17'!BackgroundChecks, 19, 4, 1, 1))</f>
        <v/>
      </c>
      <c r="E422" s="254">
        <f ca="1">IF(OFFSET('IWP17'!BackgroundChecks, 19, 5, 1, 1)=DATE(1900,1,0), DATE(1900,1,1), OFFSET('IWP17'!BackgroundChecks, 19, 5, 1, 1))</f>
        <v>1</v>
      </c>
      <c r="F422" s="262" t="str">
        <f ca="1">IF(OFFSET('IWP17'!BackgroundChecks, 19, 6, 1, 1) = 0, "", OFFSET('IWP17'!BackgroundChecks, 19, 6, 1, 1))</f>
        <v/>
      </c>
      <c r="G422" s="254">
        <f ca="1">IF(OFFSET('IWP17'!BackgroundChecks, 19, 7, 1, 1)=DATE(1900,1,0), DATE(1900,1,1), OFFSET('IWP17'!BackgroundChecks, 19, 7, 1, 1))</f>
        <v>1</v>
      </c>
      <c r="H422" s="254">
        <f ca="1">IF(OFFSET('IWP17'!BackgroundChecks, 19, 8, 1, 1)=DATE(1900,1,0), DATE(1900,1,1), OFFSET('IWP17'!BackgroundChecks, 19, 8, 1, 1))</f>
        <v>1</v>
      </c>
      <c r="I422" s="262" t="str">
        <f ca="1">IF(OFFSET('IWP17'!BackgroundChecks, 19, 9, 1, 1) = 0, "", OFFSET('IWP17'!BackgroundChecks, 19, 9, 1, 1))</f>
        <v/>
      </c>
      <c r="J422" s="262" t="str">
        <f ca="1">IF(OFFSET('IWP17'!BackgroundChecks, 19, 10, 1, 1) = 0, "", OFFSET('IWP17'!BackgroundChecks, 19, 10, 1, 1))</f>
        <v/>
      </c>
      <c r="K422" s="262" t="str">
        <f ca="1">IF(OFFSET('IWP17'!BackgroundChecks, 19, 11, 1, 1) = 0, "", OFFSET('IWP17'!BackgroundChecks, 19, 11, 1, 1))</f>
        <v/>
      </c>
      <c r="L422" s="262" t="str">
        <f ca="1">IF(OFFSET('IWP17'!BackgroundChecks, 19, 12, 1, 1) = 0, "", OFFSET('IWP17'!BackgroundChecks, 19, 12, 1, 1))</f>
        <v/>
      </c>
      <c r="M422" s="262" t="str">
        <f ca="1">IF(OFFSET('IWP17'!BackgroundChecks, 19, 13, 1, 1) = 0, "", OFFSET('IWP17'!BackgroundChecks, 19, 13, 1, 1))</f>
        <v/>
      </c>
      <c r="N422" s="261"/>
    </row>
    <row r="423" spans="1:14" s="146" customFormat="1">
      <c r="A423" s="257" t="s">
        <v>516</v>
      </c>
      <c r="B423" s="262" t="str">
        <f ca="1">IF(OFFSET('IWP18'!BackgroundChecks, 0, 0, 1, 1) = 0, "", OFFSET('IWP18'!BackgroundChecks, 0, 0, 1, 1))</f>
        <v/>
      </c>
      <c r="C423" s="262" t="str">
        <f ca="1">IF(OFFSET('IWP18'!BackgroundChecks, 0, 2, 1, 1) = 0, "", OFFSET('IWP18'!BackgroundChecks, 0, 2, 1, 1))</f>
        <v/>
      </c>
      <c r="D423" s="262" t="str">
        <f ca="1">IF(OFFSET('IWP18'!BackgroundChecks, 0, 4, 1, 1) = 0, "", OFFSET('IWP18'!BackgroundChecks, 0, 4, 1, 1))</f>
        <v/>
      </c>
      <c r="E423" s="254">
        <f ca="1">IF(OFFSET('IWP18'!BackgroundChecks, 0, 5, 1, 1)=DATE(1900,1,0), DATE(1900,1,1), OFFSET('IWP18'!BackgroundChecks, 0, 5, 1, 1))</f>
        <v>1</v>
      </c>
      <c r="F423" s="262" t="str">
        <f ca="1">IF(OFFSET('IWP18'!BackgroundChecks, 0, 6, 1, 1) = 0, "", OFFSET('IWP18'!BackgroundChecks, 0, 6, 1, 1))</f>
        <v/>
      </c>
      <c r="G423" s="254">
        <f ca="1">IF(OFFSET('IWP18'!BackgroundChecks, 0, 7, 1, 1)=DATE(1900,1,0), DATE(1900,1,1), OFFSET('IWP18'!BackgroundChecks, 0, 7, 1, 1))</f>
        <v>1</v>
      </c>
      <c r="H423" s="254">
        <f ca="1">IF(OFFSET('IWP18'!BackgroundChecks, 0, 8, 1, 1)=DATE(1900,1,0), DATE(1900,1,1), OFFSET('IWP18'!BackgroundChecks, 0, 8, 1, 1))</f>
        <v>1</v>
      </c>
      <c r="I423" s="262" t="str">
        <f ca="1">IF(OFFSET('IWP18'!BackgroundChecks, 0, 9, 1, 1) = 0, "", OFFSET('IWP18'!BackgroundChecks, 0, 9, 1, 1))</f>
        <v/>
      </c>
      <c r="J423" s="262" t="str">
        <f ca="1">IF(OFFSET('IWP18'!BackgroundChecks, 0, 10, 1, 1) = 0, "", OFFSET('IWP18'!BackgroundChecks, 0, 10, 1, 1))</f>
        <v/>
      </c>
      <c r="K423" s="262" t="str">
        <f ca="1">IF(OFFSET('IWP18'!BackgroundChecks, 0, 11, 1, 1) = 0, "", OFFSET('IWP18'!BackgroundChecks, 0, 11, 1, 1))</f>
        <v/>
      </c>
      <c r="L423" s="262" t="str">
        <f ca="1">IF(OFFSET('IWP18'!BackgroundChecks, 0, 12, 1, 1) = 0, "", OFFSET('IWP18'!BackgroundChecks, 0, 12, 1, 1))</f>
        <v/>
      </c>
      <c r="M423" s="262" t="str">
        <f ca="1">IF(OFFSET('IWP18'!BackgroundChecks, 0, 13, 1, 1) = 0, "", OFFSET('IWP18'!BackgroundChecks, 0, 13, 1, 1))</f>
        <v/>
      </c>
      <c r="N423" s="261"/>
    </row>
    <row r="424" spans="1:14" s="146" customFormat="1">
      <c r="A424" s="257" t="s">
        <v>516</v>
      </c>
      <c r="B424" s="262" t="str">
        <f ca="1">IF(OFFSET('IWP18'!BackgroundChecks, 1, 0, 1, 1) = 0, "", OFFSET('IWP18'!BackgroundChecks, 1, 0, 1, 1))</f>
        <v/>
      </c>
      <c r="C424" s="262" t="str">
        <f ca="1">IF(OFFSET('IWP18'!BackgroundChecks, 1, 2, 1, 1) = 0, "", OFFSET('IWP18'!BackgroundChecks, 1, 2, 1, 1))</f>
        <v/>
      </c>
      <c r="D424" s="262" t="str">
        <f ca="1">IF(OFFSET('IWP18'!BackgroundChecks, 1, 4, 1, 1) = 0, "", OFFSET('IWP18'!BackgroundChecks, 1, 4, 1, 1))</f>
        <v/>
      </c>
      <c r="E424" s="254">
        <f ca="1">IF(OFFSET('IWP18'!BackgroundChecks, 1, 5, 1, 1)=DATE(1900,1,0), DATE(1900,1,1), OFFSET('IWP18'!BackgroundChecks, 1, 5, 1, 1))</f>
        <v>1</v>
      </c>
      <c r="F424" s="262" t="str">
        <f ca="1">IF(OFFSET('IWP18'!BackgroundChecks, 1, 6, 1, 1) = 0, "", OFFSET('IWP18'!BackgroundChecks, 1, 6, 1, 1))</f>
        <v/>
      </c>
      <c r="G424" s="254">
        <f ca="1">IF(OFFSET('IWP18'!BackgroundChecks, 1, 7, 1, 1)=DATE(1900,1,0), DATE(1900,1,1), OFFSET('IWP18'!BackgroundChecks, 1, 7, 1, 1))</f>
        <v>1</v>
      </c>
      <c r="H424" s="254">
        <f ca="1">IF(OFFSET('IWP18'!BackgroundChecks, 1, 8, 1, 1)=DATE(1900,1,0), DATE(1900,1,1), OFFSET('IWP18'!BackgroundChecks, 1, 8, 1, 1))</f>
        <v>1</v>
      </c>
      <c r="I424" s="262" t="str">
        <f ca="1">IF(OFFSET('IWP18'!BackgroundChecks, 1, 9, 1, 1) = 0, "", OFFSET('IWP18'!BackgroundChecks, 1, 9, 1, 1))</f>
        <v/>
      </c>
      <c r="J424" s="262" t="str">
        <f ca="1">IF(OFFSET('IWP18'!BackgroundChecks, 1, 10, 1, 1) = 0, "", OFFSET('IWP18'!BackgroundChecks, 1, 10, 1, 1))</f>
        <v/>
      </c>
      <c r="K424" s="262" t="str">
        <f ca="1">IF(OFFSET('IWP18'!BackgroundChecks, 1, 11, 1, 1) = 0, "", OFFSET('IWP18'!BackgroundChecks, 1, 11, 1, 1))</f>
        <v/>
      </c>
      <c r="L424" s="262" t="str">
        <f ca="1">IF(OFFSET('IWP18'!BackgroundChecks, 1, 12, 1, 1) = 0, "", OFFSET('IWP18'!BackgroundChecks, 1, 12, 1, 1))</f>
        <v/>
      </c>
      <c r="M424" s="262" t="str">
        <f ca="1">IF(OFFSET('IWP18'!BackgroundChecks, 1, 13, 1, 1) = 0, "", OFFSET('IWP18'!BackgroundChecks, 1, 13, 1, 1))</f>
        <v/>
      </c>
      <c r="N424" s="261"/>
    </row>
    <row r="425" spans="1:14" s="146" customFormat="1">
      <c r="A425" s="257" t="s">
        <v>516</v>
      </c>
      <c r="B425" s="262" t="str">
        <f ca="1">IF(OFFSET('IWP18'!BackgroundChecks, 2, 0, 1, 1) = 0, "", OFFSET('IWP18'!BackgroundChecks, 2, 0, 1, 1))</f>
        <v/>
      </c>
      <c r="C425" s="262" t="str">
        <f ca="1">IF(OFFSET('IWP18'!BackgroundChecks, 2, 2, 1, 1) = 0, "", OFFSET('IWP18'!BackgroundChecks, 2, 2, 1, 1))</f>
        <v/>
      </c>
      <c r="D425" s="262" t="str">
        <f ca="1">IF(OFFSET('IWP18'!BackgroundChecks, 2, 4, 1, 1) = 0, "", OFFSET('IWP18'!BackgroundChecks, 2, 4, 1, 1))</f>
        <v/>
      </c>
      <c r="E425" s="254">
        <f ca="1">IF(OFFSET('IWP18'!BackgroundChecks, 2, 5, 1, 1)=DATE(1900,1,0), DATE(1900,1,1), OFFSET('IWP18'!BackgroundChecks, 2, 5, 1, 1))</f>
        <v>1</v>
      </c>
      <c r="F425" s="262" t="str">
        <f ca="1">IF(OFFSET('IWP18'!BackgroundChecks, 2, 6, 1, 1) = 0, "", OFFSET('IWP18'!BackgroundChecks, 2, 6, 1, 1))</f>
        <v/>
      </c>
      <c r="G425" s="254">
        <f ca="1">IF(OFFSET('IWP18'!BackgroundChecks, 2, 7, 1, 1)=DATE(1900,1,0), DATE(1900,1,1), OFFSET('IWP18'!BackgroundChecks, 2, 7, 1, 1))</f>
        <v>1</v>
      </c>
      <c r="H425" s="254">
        <f ca="1">IF(OFFSET('IWP18'!BackgroundChecks, 2, 8, 1, 1)=DATE(1900,1,0), DATE(1900,1,1), OFFSET('IWP18'!BackgroundChecks, 2, 8, 1, 1))</f>
        <v>1</v>
      </c>
      <c r="I425" s="262" t="str">
        <f ca="1">IF(OFFSET('IWP18'!BackgroundChecks, 2, 9, 1, 1) = 0, "", OFFSET('IWP18'!BackgroundChecks, 2, 9, 1, 1))</f>
        <v/>
      </c>
      <c r="J425" s="262" t="str">
        <f ca="1">IF(OFFSET('IWP18'!BackgroundChecks, 2, 10, 1, 1) = 0, "", OFFSET('IWP18'!BackgroundChecks, 2, 10, 1, 1))</f>
        <v/>
      </c>
      <c r="K425" s="262" t="str">
        <f ca="1">IF(OFFSET('IWP18'!BackgroundChecks, 2, 11, 1, 1) = 0, "", OFFSET('IWP18'!BackgroundChecks, 2, 11, 1, 1))</f>
        <v/>
      </c>
      <c r="L425" s="262" t="str">
        <f ca="1">IF(OFFSET('IWP18'!BackgroundChecks, 2, 12, 1, 1) = 0, "", OFFSET('IWP18'!BackgroundChecks, 2, 12, 1, 1))</f>
        <v/>
      </c>
      <c r="M425" s="262" t="str">
        <f ca="1">IF(OFFSET('IWP18'!BackgroundChecks, 2, 13, 1, 1) = 0, "", OFFSET('IWP18'!BackgroundChecks, 2, 13, 1, 1))</f>
        <v/>
      </c>
      <c r="N425" s="261"/>
    </row>
    <row r="426" spans="1:14" s="146" customFormat="1">
      <c r="A426" s="257" t="s">
        <v>516</v>
      </c>
      <c r="B426" s="262" t="str">
        <f ca="1">IF(OFFSET('IWP18'!BackgroundChecks, 3, 0, 1, 1) = 0, "", OFFSET('IWP18'!BackgroundChecks, 3, 0, 1, 1))</f>
        <v/>
      </c>
      <c r="C426" s="262" t="str">
        <f ca="1">IF(OFFSET('IWP18'!BackgroundChecks, 3, 2, 1, 1) = 0, "", OFFSET('IWP18'!BackgroundChecks, 3, 2, 1, 1))</f>
        <v/>
      </c>
      <c r="D426" s="262" t="str">
        <f ca="1">IF(OFFSET('IWP18'!BackgroundChecks, 3, 4, 1, 1) = 0, "", OFFSET('IWP18'!BackgroundChecks, 3, 4, 1, 1))</f>
        <v/>
      </c>
      <c r="E426" s="254">
        <f ca="1">IF(OFFSET('IWP18'!BackgroundChecks, 3, 5, 1, 1)=DATE(1900,1,0), DATE(1900,1,1), OFFSET('IWP18'!BackgroundChecks, 3, 5, 1, 1))</f>
        <v>1</v>
      </c>
      <c r="F426" s="262" t="str">
        <f ca="1">IF(OFFSET('IWP18'!BackgroundChecks, 3, 6, 1, 1) = 0, "", OFFSET('IWP18'!BackgroundChecks, 3, 6, 1, 1))</f>
        <v/>
      </c>
      <c r="G426" s="254">
        <f ca="1">IF(OFFSET('IWP18'!BackgroundChecks, 3, 7, 1, 1)=DATE(1900,1,0), DATE(1900,1,1), OFFSET('IWP18'!BackgroundChecks, 3, 7, 1, 1))</f>
        <v>1</v>
      </c>
      <c r="H426" s="254">
        <f ca="1">IF(OFFSET('IWP18'!BackgroundChecks, 3, 8, 1, 1)=DATE(1900,1,0), DATE(1900,1,1), OFFSET('IWP18'!BackgroundChecks, 3, 8, 1, 1))</f>
        <v>1</v>
      </c>
      <c r="I426" s="262" t="str">
        <f ca="1">IF(OFFSET('IWP18'!BackgroundChecks, 3, 9, 1, 1) = 0, "", OFFSET('IWP18'!BackgroundChecks, 3, 9, 1, 1))</f>
        <v/>
      </c>
      <c r="J426" s="262" t="str">
        <f ca="1">IF(OFFSET('IWP18'!BackgroundChecks, 3, 10, 1, 1) = 0, "", OFFSET('IWP18'!BackgroundChecks, 3, 10, 1, 1))</f>
        <v/>
      </c>
      <c r="K426" s="262" t="str">
        <f ca="1">IF(OFFSET('IWP18'!BackgroundChecks, 3, 11, 1, 1) = 0, "", OFFSET('IWP18'!BackgroundChecks, 3, 11, 1, 1))</f>
        <v/>
      </c>
      <c r="L426" s="262" t="str">
        <f ca="1">IF(OFFSET('IWP18'!BackgroundChecks, 3, 12, 1, 1) = 0, "", OFFSET('IWP18'!BackgroundChecks, 3, 12, 1, 1))</f>
        <v/>
      </c>
      <c r="M426" s="262" t="str">
        <f ca="1">IF(OFFSET('IWP18'!BackgroundChecks, 3, 13, 1, 1) = 0, "", OFFSET('IWP18'!BackgroundChecks, 3, 13, 1, 1))</f>
        <v/>
      </c>
      <c r="N426" s="261"/>
    </row>
    <row r="427" spans="1:14" s="146" customFormat="1">
      <c r="A427" s="257" t="s">
        <v>516</v>
      </c>
      <c r="B427" s="262" t="str">
        <f ca="1">IF(OFFSET('IWP18'!BackgroundChecks, 4, 0, 1, 1) = 0, "", OFFSET('IWP18'!BackgroundChecks, 4, 0, 1, 1))</f>
        <v/>
      </c>
      <c r="C427" s="262" t="str">
        <f ca="1">IF(OFFSET('IWP18'!BackgroundChecks, 4, 2, 1, 1) = 0, "", OFFSET('IWP18'!BackgroundChecks, 4, 2, 1, 1))</f>
        <v/>
      </c>
      <c r="D427" s="262" t="str">
        <f ca="1">IF(OFFSET('IWP18'!BackgroundChecks, 4, 4, 1, 1) = 0, "", OFFSET('IWP18'!BackgroundChecks, 4, 4, 1, 1))</f>
        <v/>
      </c>
      <c r="E427" s="254">
        <f ca="1">IF(OFFSET('IWP18'!BackgroundChecks, 4, 5, 1, 1)=DATE(1900,1,0), DATE(1900,1,1), OFFSET('IWP18'!BackgroundChecks, 4, 5, 1, 1))</f>
        <v>1</v>
      </c>
      <c r="F427" s="262" t="str">
        <f ca="1">IF(OFFSET('IWP18'!BackgroundChecks, 4, 6, 1, 1) = 0, "", OFFSET('IWP18'!BackgroundChecks, 4, 6, 1, 1))</f>
        <v/>
      </c>
      <c r="G427" s="254">
        <f ca="1">IF(OFFSET('IWP18'!BackgroundChecks, 4, 7, 1, 1)=DATE(1900,1,0), DATE(1900,1,1), OFFSET('IWP18'!BackgroundChecks, 4, 7, 1, 1))</f>
        <v>1</v>
      </c>
      <c r="H427" s="254">
        <f ca="1">IF(OFFSET('IWP18'!BackgroundChecks, 4, 8, 1, 1)=DATE(1900,1,0), DATE(1900,1,1), OFFSET('IWP18'!BackgroundChecks, 4, 8, 1, 1))</f>
        <v>1</v>
      </c>
      <c r="I427" s="262" t="str">
        <f ca="1">IF(OFFSET('IWP18'!BackgroundChecks, 4, 9, 1, 1) = 0, "", OFFSET('IWP18'!BackgroundChecks, 4, 9, 1, 1))</f>
        <v/>
      </c>
      <c r="J427" s="262" t="str">
        <f ca="1">IF(OFFSET('IWP18'!BackgroundChecks, 4, 10, 1, 1) = 0, "", OFFSET('IWP18'!BackgroundChecks, 4, 10, 1, 1))</f>
        <v/>
      </c>
      <c r="K427" s="262" t="str">
        <f ca="1">IF(OFFSET('IWP18'!BackgroundChecks, 4, 11, 1, 1) = 0, "", OFFSET('IWP18'!BackgroundChecks, 4, 11, 1, 1))</f>
        <v/>
      </c>
      <c r="L427" s="262" t="str">
        <f ca="1">IF(OFFSET('IWP18'!BackgroundChecks, 4, 12, 1, 1) = 0, "", OFFSET('IWP18'!BackgroundChecks, 4, 12, 1, 1))</f>
        <v/>
      </c>
      <c r="M427" s="262" t="str">
        <f ca="1">IF(OFFSET('IWP18'!BackgroundChecks, 4, 13, 1, 1) = 0, "", OFFSET('IWP18'!BackgroundChecks, 4, 13, 1, 1))</f>
        <v/>
      </c>
      <c r="N427" s="261"/>
    </row>
    <row r="428" spans="1:14" s="146" customFormat="1">
      <c r="A428" s="257" t="s">
        <v>516</v>
      </c>
      <c r="B428" s="262" t="str">
        <f ca="1">IF(OFFSET('IWP18'!BackgroundChecks, 5, 0, 1, 1) = 0, "", OFFSET('IWP18'!BackgroundChecks, 5, 0, 1, 1))</f>
        <v/>
      </c>
      <c r="C428" s="262" t="str">
        <f ca="1">IF(OFFSET('IWP18'!BackgroundChecks, 5, 2, 1, 1) = 0, "", OFFSET('IWP18'!BackgroundChecks, 5, 2, 1, 1))</f>
        <v/>
      </c>
      <c r="D428" s="262" t="str">
        <f ca="1">IF(OFFSET('IWP18'!BackgroundChecks, 5, 4, 1, 1) = 0, "", OFFSET('IWP18'!BackgroundChecks, 5, 4, 1, 1))</f>
        <v/>
      </c>
      <c r="E428" s="254">
        <f ca="1">IF(OFFSET('IWP18'!BackgroundChecks, 5, 5, 1, 1)=DATE(1900,1,0), DATE(1900,1,1), OFFSET('IWP18'!BackgroundChecks, 5, 5, 1, 1))</f>
        <v>1</v>
      </c>
      <c r="F428" s="262" t="str">
        <f ca="1">IF(OFFSET('IWP18'!BackgroundChecks, 5, 6, 1, 1) = 0, "", OFFSET('IWP18'!BackgroundChecks, 5, 6, 1, 1))</f>
        <v/>
      </c>
      <c r="G428" s="254">
        <f ca="1">IF(OFFSET('IWP18'!BackgroundChecks, 5, 7, 1, 1)=DATE(1900,1,0), DATE(1900,1,1), OFFSET('IWP18'!BackgroundChecks, 5, 7, 1, 1))</f>
        <v>1</v>
      </c>
      <c r="H428" s="254">
        <f ca="1">IF(OFFSET('IWP18'!BackgroundChecks, 5, 8, 1, 1)=DATE(1900,1,0), DATE(1900,1,1), OFFSET('IWP18'!BackgroundChecks, 5, 8, 1, 1))</f>
        <v>1</v>
      </c>
      <c r="I428" s="262" t="str">
        <f ca="1">IF(OFFSET('IWP18'!BackgroundChecks, 5, 9, 1, 1) = 0, "", OFFSET('IWP18'!BackgroundChecks, 5, 9, 1, 1))</f>
        <v/>
      </c>
      <c r="J428" s="262" t="str">
        <f ca="1">IF(OFFSET('IWP18'!BackgroundChecks, 5, 10, 1, 1) = 0, "", OFFSET('IWP18'!BackgroundChecks, 5, 10, 1, 1))</f>
        <v/>
      </c>
      <c r="K428" s="262" t="str">
        <f ca="1">IF(OFFSET('IWP18'!BackgroundChecks, 5, 11, 1, 1) = 0, "", OFFSET('IWP18'!BackgroundChecks, 5, 11, 1, 1))</f>
        <v/>
      </c>
      <c r="L428" s="262" t="str">
        <f ca="1">IF(OFFSET('IWP18'!BackgroundChecks, 5, 12, 1, 1) = 0, "", OFFSET('IWP18'!BackgroundChecks, 5, 12, 1, 1))</f>
        <v/>
      </c>
      <c r="M428" s="262" t="str">
        <f ca="1">IF(OFFSET('IWP18'!BackgroundChecks, 5, 13, 1, 1) = 0, "", OFFSET('IWP18'!BackgroundChecks, 5, 13, 1, 1))</f>
        <v/>
      </c>
      <c r="N428" s="261"/>
    </row>
    <row r="429" spans="1:14" s="146" customFormat="1">
      <c r="A429" s="257" t="s">
        <v>516</v>
      </c>
      <c r="B429" s="262" t="str">
        <f ca="1">IF(OFFSET('IWP18'!BackgroundChecks, 6, 0, 1, 1) = 0, "", OFFSET('IWP18'!BackgroundChecks, 6, 0, 1, 1))</f>
        <v/>
      </c>
      <c r="C429" s="262" t="str">
        <f ca="1">IF(OFFSET('IWP18'!BackgroundChecks, 6, 2, 1, 1) = 0, "", OFFSET('IWP18'!BackgroundChecks, 6, 2, 1, 1))</f>
        <v/>
      </c>
      <c r="D429" s="262" t="str">
        <f ca="1">IF(OFFSET('IWP18'!BackgroundChecks, 6, 4, 1, 1) = 0, "", OFFSET('IWP18'!BackgroundChecks, 6, 4, 1, 1))</f>
        <v/>
      </c>
      <c r="E429" s="254">
        <f ca="1">IF(OFFSET('IWP18'!BackgroundChecks, 6, 5, 1, 1)=DATE(1900,1,0), DATE(1900,1,1), OFFSET('IWP18'!BackgroundChecks, 6, 5, 1, 1))</f>
        <v>1</v>
      </c>
      <c r="F429" s="262" t="str">
        <f ca="1">IF(OFFSET('IWP18'!BackgroundChecks, 6, 6, 1, 1) = 0, "", OFFSET('IWP18'!BackgroundChecks, 6, 6, 1, 1))</f>
        <v/>
      </c>
      <c r="G429" s="254">
        <f ca="1">IF(OFFSET('IWP18'!BackgroundChecks, 6, 7, 1, 1)=DATE(1900,1,0), DATE(1900,1,1), OFFSET('IWP18'!BackgroundChecks, 6, 7, 1, 1))</f>
        <v>1</v>
      </c>
      <c r="H429" s="254">
        <f ca="1">IF(OFFSET('IWP18'!BackgroundChecks, 6, 8, 1, 1)=DATE(1900,1,0), DATE(1900,1,1), OFFSET('IWP18'!BackgroundChecks, 6, 8, 1, 1))</f>
        <v>1</v>
      </c>
      <c r="I429" s="262" t="str">
        <f ca="1">IF(OFFSET('IWP18'!BackgroundChecks, 6, 9, 1, 1) = 0, "", OFFSET('IWP18'!BackgroundChecks, 6, 9, 1, 1))</f>
        <v/>
      </c>
      <c r="J429" s="262" t="str">
        <f ca="1">IF(OFFSET('IWP18'!BackgroundChecks, 6, 10, 1, 1) = 0, "", OFFSET('IWP18'!BackgroundChecks, 6, 10, 1, 1))</f>
        <v/>
      </c>
      <c r="K429" s="262" t="str">
        <f ca="1">IF(OFFSET('IWP18'!BackgroundChecks, 6, 11, 1, 1) = 0, "", OFFSET('IWP18'!BackgroundChecks, 6, 11, 1, 1))</f>
        <v/>
      </c>
      <c r="L429" s="262" t="str">
        <f ca="1">IF(OFFSET('IWP18'!BackgroundChecks, 6, 12, 1, 1) = 0, "", OFFSET('IWP18'!BackgroundChecks, 6, 12, 1, 1))</f>
        <v/>
      </c>
      <c r="M429" s="262" t="str">
        <f ca="1">IF(OFFSET('IWP18'!BackgroundChecks, 6, 13, 1, 1) = 0, "", OFFSET('IWP18'!BackgroundChecks, 6, 13, 1, 1))</f>
        <v/>
      </c>
      <c r="N429" s="261"/>
    </row>
    <row r="430" spans="1:14" s="146" customFormat="1">
      <c r="A430" s="257" t="s">
        <v>516</v>
      </c>
      <c r="B430" s="262" t="str">
        <f ca="1">IF(OFFSET('IWP18'!BackgroundChecks, 7, 0, 1, 1) = 0, "", OFFSET('IWP18'!BackgroundChecks, 7, 0, 1, 1))</f>
        <v/>
      </c>
      <c r="C430" s="262" t="str">
        <f ca="1">IF(OFFSET('IWP18'!BackgroundChecks, 7, 2, 1, 1) = 0, "", OFFSET('IWP18'!BackgroundChecks, 7, 2, 1, 1))</f>
        <v/>
      </c>
      <c r="D430" s="262" t="str">
        <f ca="1">IF(OFFSET('IWP18'!BackgroundChecks, 7, 4, 1, 1) = 0, "", OFFSET('IWP18'!BackgroundChecks, 7, 4, 1, 1))</f>
        <v/>
      </c>
      <c r="E430" s="254">
        <f ca="1">IF(OFFSET('IWP18'!BackgroundChecks, 7, 5, 1, 1)=DATE(1900,1,0), DATE(1900,1,1), OFFSET('IWP18'!BackgroundChecks, 7, 5, 1, 1))</f>
        <v>1</v>
      </c>
      <c r="F430" s="262" t="str">
        <f ca="1">IF(OFFSET('IWP18'!BackgroundChecks, 7, 6, 1, 1) = 0, "", OFFSET('IWP18'!BackgroundChecks, 7, 6, 1, 1))</f>
        <v/>
      </c>
      <c r="G430" s="254">
        <f ca="1">IF(OFFSET('IWP18'!BackgroundChecks, 7, 7, 1, 1)=DATE(1900,1,0), DATE(1900,1,1), OFFSET('IWP18'!BackgroundChecks, 7, 7, 1, 1))</f>
        <v>1</v>
      </c>
      <c r="H430" s="254">
        <f ca="1">IF(OFFSET('IWP18'!BackgroundChecks, 7, 8, 1, 1)=DATE(1900,1,0), DATE(1900,1,1), OFFSET('IWP18'!BackgroundChecks, 7, 8, 1, 1))</f>
        <v>1</v>
      </c>
      <c r="I430" s="262" t="str">
        <f ca="1">IF(OFFSET('IWP18'!BackgroundChecks, 7, 9, 1, 1) = 0, "", OFFSET('IWP18'!BackgroundChecks, 7, 9, 1, 1))</f>
        <v/>
      </c>
      <c r="J430" s="262" t="str">
        <f ca="1">IF(OFFSET('IWP18'!BackgroundChecks, 7, 10, 1, 1) = 0, "", OFFSET('IWP18'!BackgroundChecks, 7, 10, 1, 1))</f>
        <v/>
      </c>
      <c r="K430" s="262" t="str">
        <f ca="1">IF(OFFSET('IWP18'!BackgroundChecks, 7, 11, 1, 1) = 0, "", OFFSET('IWP18'!BackgroundChecks, 7, 11, 1, 1))</f>
        <v/>
      </c>
      <c r="L430" s="262" t="str">
        <f ca="1">IF(OFFSET('IWP18'!BackgroundChecks, 7, 12, 1, 1) = 0, "", OFFSET('IWP18'!BackgroundChecks, 7, 12, 1, 1))</f>
        <v/>
      </c>
      <c r="M430" s="262" t="str">
        <f ca="1">IF(OFFSET('IWP18'!BackgroundChecks, 7, 13, 1, 1) = 0, "", OFFSET('IWP18'!BackgroundChecks, 7, 13, 1, 1))</f>
        <v/>
      </c>
      <c r="N430" s="261"/>
    </row>
    <row r="431" spans="1:14" s="146" customFormat="1">
      <c r="A431" s="257" t="s">
        <v>516</v>
      </c>
      <c r="B431" s="262" t="str">
        <f ca="1">IF(OFFSET('IWP18'!BackgroundChecks, 8, 0, 1, 1) = 0, "", OFFSET('IWP18'!BackgroundChecks, 8, 0, 1, 1))</f>
        <v/>
      </c>
      <c r="C431" s="262" t="str">
        <f ca="1">IF(OFFSET('IWP18'!BackgroundChecks, 8, 2, 1, 1) = 0, "", OFFSET('IWP18'!BackgroundChecks, 8, 2, 1, 1))</f>
        <v/>
      </c>
      <c r="D431" s="262" t="str">
        <f ca="1">IF(OFFSET('IWP18'!BackgroundChecks, 8, 4, 1, 1) = 0, "", OFFSET('IWP18'!BackgroundChecks, 8, 4, 1, 1))</f>
        <v/>
      </c>
      <c r="E431" s="254">
        <f ca="1">IF(OFFSET('IWP18'!BackgroundChecks, 8, 5, 1, 1)=DATE(1900,1,0), DATE(1900,1,1), OFFSET('IWP18'!BackgroundChecks, 8, 5, 1, 1))</f>
        <v>1</v>
      </c>
      <c r="F431" s="262" t="str">
        <f ca="1">IF(OFFSET('IWP18'!BackgroundChecks, 8, 6, 1, 1) = 0, "", OFFSET('IWP18'!BackgroundChecks, 8, 6, 1, 1))</f>
        <v/>
      </c>
      <c r="G431" s="254">
        <f ca="1">IF(OFFSET('IWP18'!BackgroundChecks, 8, 7, 1, 1)=DATE(1900,1,0), DATE(1900,1,1), OFFSET('IWP18'!BackgroundChecks, 8, 7, 1, 1))</f>
        <v>1</v>
      </c>
      <c r="H431" s="254">
        <f ca="1">IF(OFFSET('IWP18'!BackgroundChecks, 8, 8, 1, 1)=DATE(1900,1,0), DATE(1900,1,1), OFFSET('IWP18'!BackgroundChecks, 8, 8, 1, 1))</f>
        <v>1</v>
      </c>
      <c r="I431" s="262" t="str">
        <f ca="1">IF(OFFSET('IWP18'!BackgroundChecks, 8, 9, 1, 1) = 0, "", OFFSET('IWP18'!BackgroundChecks, 8, 9, 1, 1))</f>
        <v/>
      </c>
      <c r="J431" s="262" t="str">
        <f ca="1">IF(OFFSET('IWP18'!BackgroundChecks, 8, 10, 1, 1) = 0, "", OFFSET('IWP18'!BackgroundChecks, 8, 10, 1, 1))</f>
        <v/>
      </c>
      <c r="K431" s="262" t="str">
        <f ca="1">IF(OFFSET('IWP18'!BackgroundChecks, 8, 11, 1, 1) = 0, "", OFFSET('IWP18'!BackgroundChecks, 8, 11, 1, 1))</f>
        <v/>
      </c>
      <c r="L431" s="262" t="str">
        <f ca="1">IF(OFFSET('IWP18'!BackgroundChecks, 8, 12, 1, 1) = 0, "", OFFSET('IWP18'!BackgroundChecks, 8, 12, 1, 1))</f>
        <v/>
      </c>
      <c r="M431" s="262" t="str">
        <f ca="1">IF(OFFSET('IWP18'!BackgroundChecks, 8, 13, 1, 1) = 0, "", OFFSET('IWP18'!BackgroundChecks, 8, 13, 1, 1))</f>
        <v/>
      </c>
      <c r="N431" s="261"/>
    </row>
    <row r="432" spans="1:14" s="146" customFormat="1">
      <c r="A432" s="257" t="s">
        <v>516</v>
      </c>
      <c r="B432" s="262" t="str">
        <f ca="1">IF(OFFSET('IWP18'!BackgroundChecks, 9, 0, 1, 1) = 0, "", OFFSET('IWP18'!BackgroundChecks, 9, 0, 1, 1))</f>
        <v/>
      </c>
      <c r="C432" s="262" t="str">
        <f ca="1">IF(OFFSET('IWP18'!BackgroundChecks, 9, 2, 1, 1) = 0, "", OFFSET('IWP18'!BackgroundChecks, 9, 2, 1, 1))</f>
        <v/>
      </c>
      <c r="D432" s="262" t="str">
        <f ca="1">IF(OFFSET('IWP18'!BackgroundChecks, 9, 4, 1, 1) = 0, "", OFFSET('IWP18'!BackgroundChecks, 9, 4, 1, 1))</f>
        <v/>
      </c>
      <c r="E432" s="254">
        <f ca="1">IF(OFFSET('IWP18'!BackgroundChecks, 9, 5, 1, 1)=DATE(1900,1,0), DATE(1900,1,1), OFFSET('IWP18'!BackgroundChecks, 9, 5, 1, 1))</f>
        <v>1</v>
      </c>
      <c r="F432" s="262" t="str">
        <f ca="1">IF(OFFSET('IWP18'!BackgroundChecks, 9, 6, 1, 1) = 0, "", OFFSET('IWP18'!BackgroundChecks, 9, 6, 1, 1))</f>
        <v/>
      </c>
      <c r="G432" s="254">
        <f ca="1">IF(OFFSET('IWP18'!BackgroundChecks, 9, 7, 1, 1)=DATE(1900,1,0), DATE(1900,1,1), OFFSET('IWP18'!BackgroundChecks, 9, 7, 1, 1))</f>
        <v>1</v>
      </c>
      <c r="H432" s="254">
        <f ca="1">IF(OFFSET('IWP18'!BackgroundChecks, 9, 8, 1, 1)=DATE(1900,1,0), DATE(1900,1,1), OFFSET('IWP18'!BackgroundChecks, 9, 8, 1, 1))</f>
        <v>1</v>
      </c>
      <c r="I432" s="262" t="str">
        <f ca="1">IF(OFFSET('IWP18'!BackgroundChecks, 9, 9, 1, 1) = 0, "", OFFSET('IWP18'!BackgroundChecks, 9, 9, 1, 1))</f>
        <v/>
      </c>
      <c r="J432" s="262" t="str">
        <f ca="1">IF(OFFSET('IWP18'!BackgroundChecks, 9, 10, 1, 1) = 0, "", OFFSET('IWP18'!BackgroundChecks, 9, 10, 1, 1))</f>
        <v/>
      </c>
      <c r="K432" s="262" t="str">
        <f ca="1">IF(OFFSET('IWP18'!BackgroundChecks, 9, 11, 1, 1) = 0, "", OFFSET('IWP18'!BackgroundChecks, 9, 11, 1, 1))</f>
        <v/>
      </c>
      <c r="L432" s="262" t="str">
        <f ca="1">IF(OFFSET('IWP18'!BackgroundChecks, 9, 12, 1, 1) = 0, "", OFFSET('IWP18'!BackgroundChecks, 9, 12, 1, 1))</f>
        <v/>
      </c>
      <c r="M432" s="262" t="str">
        <f ca="1">IF(OFFSET('IWP18'!BackgroundChecks, 9, 13, 1, 1) = 0, "", OFFSET('IWP18'!BackgroundChecks, 9, 13, 1, 1))</f>
        <v/>
      </c>
      <c r="N432" s="261"/>
    </row>
    <row r="433" spans="1:14" s="146" customFormat="1">
      <c r="A433" s="257" t="s">
        <v>516</v>
      </c>
      <c r="B433" s="262" t="str">
        <f ca="1">IF(OFFSET('IWP18'!BackgroundChecks, 10, 0, 1, 1) = 0, "", OFFSET('IWP18'!BackgroundChecks, 10, 0, 1, 1))</f>
        <v/>
      </c>
      <c r="C433" s="262" t="str">
        <f ca="1">IF(OFFSET('IWP18'!BackgroundChecks, 10, 2, 1, 1) = 0, "", OFFSET('IWP18'!BackgroundChecks, 10, 2, 1, 1))</f>
        <v/>
      </c>
      <c r="D433" s="262" t="str">
        <f ca="1">IF(OFFSET('IWP18'!BackgroundChecks, 10, 4, 1, 1) = 0, "", OFFSET('IWP18'!BackgroundChecks, 10, 4, 1, 1))</f>
        <v/>
      </c>
      <c r="E433" s="254">
        <f ca="1">IF(OFFSET('IWP18'!BackgroundChecks, 10, 5, 1, 1)=DATE(1900,1,0), DATE(1900,1,1), OFFSET('IWP18'!BackgroundChecks, 10, 5, 1, 1))</f>
        <v>1</v>
      </c>
      <c r="F433" s="262" t="str">
        <f ca="1">IF(OFFSET('IWP18'!BackgroundChecks, 10, 6, 1, 1) = 0, "", OFFSET('IWP18'!BackgroundChecks, 10, 6, 1, 1))</f>
        <v/>
      </c>
      <c r="G433" s="254">
        <f ca="1">IF(OFFSET('IWP18'!BackgroundChecks, 10, 7, 1, 1)=DATE(1900,1,0), DATE(1900,1,1), OFFSET('IWP18'!BackgroundChecks, 10, 7, 1, 1))</f>
        <v>1</v>
      </c>
      <c r="H433" s="254">
        <f ca="1">IF(OFFSET('IWP18'!BackgroundChecks, 10, 8, 1, 1)=DATE(1900,1,0), DATE(1900,1,1), OFFSET('IWP18'!BackgroundChecks, 10, 8, 1, 1))</f>
        <v>1</v>
      </c>
      <c r="I433" s="262" t="str">
        <f ca="1">IF(OFFSET('IWP18'!BackgroundChecks, 10, 9, 1, 1) = 0, "", OFFSET('IWP18'!BackgroundChecks, 10, 9, 1, 1))</f>
        <v/>
      </c>
      <c r="J433" s="262" t="str">
        <f ca="1">IF(OFFSET('IWP18'!BackgroundChecks, 10, 10, 1, 1) = 0, "", OFFSET('IWP18'!BackgroundChecks, 10, 10, 1, 1))</f>
        <v/>
      </c>
      <c r="K433" s="262" t="str">
        <f ca="1">IF(OFFSET('IWP18'!BackgroundChecks, 10, 11, 1, 1) = 0, "", OFFSET('IWP18'!BackgroundChecks, 10, 11, 1, 1))</f>
        <v/>
      </c>
      <c r="L433" s="262" t="str">
        <f ca="1">IF(OFFSET('IWP18'!BackgroundChecks, 10, 12, 1, 1) = 0, "", OFFSET('IWP18'!BackgroundChecks, 10, 12, 1, 1))</f>
        <v/>
      </c>
      <c r="M433" s="262" t="str">
        <f ca="1">IF(OFFSET('IWP18'!BackgroundChecks, 10, 13, 1, 1) = 0, "", OFFSET('IWP18'!BackgroundChecks, 10, 13, 1, 1))</f>
        <v/>
      </c>
      <c r="N433" s="261"/>
    </row>
    <row r="434" spans="1:14" s="146" customFormat="1">
      <c r="A434" s="257" t="s">
        <v>516</v>
      </c>
      <c r="B434" s="262" t="str">
        <f ca="1">IF(OFFSET('IWP18'!BackgroundChecks, 11, 0, 1, 1) = 0, "", OFFSET('IWP18'!BackgroundChecks, 11, 0, 1, 1))</f>
        <v/>
      </c>
      <c r="C434" s="262" t="str">
        <f ca="1">IF(OFFSET('IWP18'!BackgroundChecks, 11, 2, 1, 1) = 0, "", OFFSET('IWP18'!BackgroundChecks, 11, 2, 1, 1))</f>
        <v/>
      </c>
      <c r="D434" s="262" t="str">
        <f ca="1">IF(OFFSET('IWP18'!BackgroundChecks, 11, 4, 1, 1) = 0, "", OFFSET('IWP18'!BackgroundChecks, 11, 4, 1, 1))</f>
        <v/>
      </c>
      <c r="E434" s="254">
        <f ca="1">IF(OFFSET('IWP18'!BackgroundChecks, 11, 5, 1, 1)=DATE(1900,1,0), DATE(1900,1,1), OFFSET('IWP18'!BackgroundChecks, 11, 5, 1, 1))</f>
        <v>1</v>
      </c>
      <c r="F434" s="262" t="str">
        <f ca="1">IF(OFFSET('IWP18'!BackgroundChecks, 11, 6, 1, 1) = 0, "", OFFSET('IWP18'!BackgroundChecks, 11, 6, 1, 1))</f>
        <v/>
      </c>
      <c r="G434" s="254">
        <f ca="1">IF(OFFSET('IWP18'!BackgroundChecks, 11, 7, 1, 1)=DATE(1900,1,0), DATE(1900,1,1), OFFSET('IWP18'!BackgroundChecks, 11, 7, 1, 1))</f>
        <v>1</v>
      </c>
      <c r="H434" s="254">
        <f ca="1">IF(OFFSET('IWP18'!BackgroundChecks, 11, 8, 1, 1)=DATE(1900,1,0), DATE(1900,1,1), OFFSET('IWP18'!BackgroundChecks, 11, 8, 1, 1))</f>
        <v>1</v>
      </c>
      <c r="I434" s="262" t="str">
        <f ca="1">IF(OFFSET('IWP18'!BackgroundChecks, 11, 9, 1, 1) = 0, "", OFFSET('IWP18'!BackgroundChecks, 11, 9, 1, 1))</f>
        <v/>
      </c>
      <c r="J434" s="262" t="str">
        <f ca="1">IF(OFFSET('IWP18'!BackgroundChecks, 11, 10, 1, 1) = 0, "", OFFSET('IWP18'!BackgroundChecks, 11, 10, 1, 1))</f>
        <v/>
      </c>
      <c r="K434" s="262" t="str">
        <f ca="1">IF(OFFSET('IWP18'!BackgroundChecks, 11, 11, 1, 1) = 0, "", OFFSET('IWP18'!BackgroundChecks, 11, 11, 1, 1))</f>
        <v/>
      </c>
      <c r="L434" s="262" t="str">
        <f ca="1">IF(OFFSET('IWP18'!BackgroundChecks, 11, 12, 1, 1) = 0, "", OFFSET('IWP18'!BackgroundChecks, 11, 12, 1, 1))</f>
        <v/>
      </c>
      <c r="M434" s="262" t="str">
        <f ca="1">IF(OFFSET('IWP18'!BackgroundChecks, 11, 13, 1, 1) = 0, "", OFFSET('IWP18'!BackgroundChecks, 11, 13, 1, 1))</f>
        <v/>
      </c>
      <c r="N434" s="261"/>
    </row>
    <row r="435" spans="1:14" s="146" customFormat="1">
      <c r="A435" s="257" t="s">
        <v>516</v>
      </c>
      <c r="B435" s="262" t="str">
        <f ca="1">IF(OFFSET('IWP18'!BackgroundChecks, 12, 0, 1, 1) = 0, "", OFFSET('IWP18'!BackgroundChecks, 12, 0, 1, 1))</f>
        <v/>
      </c>
      <c r="C435" s="262" t="str">
        <f ca="1">IF(OFFSET('IWP18'!BackgroundChecks, 12, 2, 1, 1) = 0, "", OFFSET('IWP18'!BackgroundChecks, 12, 2, 1, 1))</f>
        <v/>
      </c>
      <c r="D435" s="262" t="str">
        <f ca="1">IF(OFFSET('IWP18'!BackgroundChecks, 12, 4, 1, 1) = 0, "", OFFSET('IWP18'!BackgroundChecks, 12, 4, 1, 1))</f>
        <v/>
      </c>
      <c r="E435" s="254">
        <f ca="1">IF(OFFSET('IWP18'!BackgroundChecks, 12, 5, 1, 1)=DATE(1900,1,0), DATE(1900,1,1), OFFSET('IWP18'!BackgroundChecks, 12, 5, 1, 1))</f>
        <v>1</v>
      </c>
      <c r="F435" s="262" t="str">
        <f ca="1">IF(OFFSET('IWP18'!BackgroundChecks, 12, 6, 1, 1) = 0, "", OFFSET('IWP18'!BackgroundChecks, 12, 6, 1, 1))</f>
        <v/>
      </c>
      <c r="G435" s="254">
        <f ca="1">IF(OFFSET('IWP18'!BackgroundChecks, 12, 7, 1, 1)=DATE(1900,1,0), DATE(1900,1,1), OFFSET('IWP18'!BackgroundChecks, 12, 7, 1, 1))</f>
        <v>1</v>
      </c>
      <c r="H435" s="254">
        <f ca="1">IF(OFFSET('IWP18'!BackgroundChecks, 12, 8, 1, 1)=DATE(1900,1,0), DATE(1900,1,1), OFFSET('IWP18'!BackgroundChecks, 12, 8, 1, 1))</f>
        <v>1</v>
      </c>
      <c r="I435" s="262" t="str">
        <f ca="1">IF(OFFSET('IWP18'!BackgroundChecks, 12, 9, 1, 1) = 0, "", OFFSET('IWP18'!BackgroundChecks, 12, 9, 1, 1))</f>
        <v/>
      </c>
      <c r="J435" s="262" t="str">
        <f ca="1">IF(OFFSET('IWP18'!BackgroundChecks, 12, 10, 1, 1) = 0, "", OFFSET('IWP18'!BackgroundChecks, 12, 10, 1, 1))</f>
        <v/>
      </c>
      <c r="K435" s="262" t="str">
        <f ca="1">IF(OFFSET('IWP18'!BackgroundChecks, 12, 11, 1, 1) = 0, "", OFFSET('IWP18'!BackgroundChecks, 12, 11, 1, 1))</f>
        <v/>
      </c>
      <c r="L435" s="262" t="str">
        <f ca="1">IF(OFFSET('IWP18'!BackgroundChecks, 12, 12, 1, 1) = 0, "", OFFSET('IWP18'!BackgroundChecks, 12, 12, 1, 1))</f>
        <v/>
      </c>
      <c r="M435" s="262" t="str">
        <f ca="1">IF(OFFSET('IWP18'!BackgroundChecks, 12, 13, 1, 1) = 0, "", OFFSET('IWP18'!BackgroundChecks, 12, 13, 1, 1))</f>
        <v/>
      </c>
      <c r="N435" s="261"/>
    </row>
    <row r="436" spans="1:14" s="146" customFormat="1">
      <c r="A436" s="257" t="s">
        <v>516</v>
      </c>
      <c r="B436" s="262" t="str">
        <f ca="1">IF(OFFSET('IWP18'!BackgroundChecks, 13, 0, 1, 1) = 0, "", OFFSET('IWP18'!BackgroundChecks, 13, 0, 1, 1))</f>
        <v/>
      </c>
      <c r="C436" s="262" t="str">
        <f ca="1">IF(OFFSET('IWP18'!BackgroundChecks, 13, 2, 1, 1) = 0, "", OFFSET('IWP18'!BackgroundChecks, 13, 2, 1, 1))</f>
        <v/>
      </c>
      <c r="D436" s="262" t="str">
        <f ca="1">IF(OFFSET('IWP18'!BackgroundChecks, 13, 4, 1, 1) = 0, "", OFFSET('IWP18'!BackgroundChecks, 13, 4, 1, 1))</f>
        <v/>
      </c>
      <c r="E436" s="254">
        <f ca="1">IF(OFFSET('IWP18'!BackgroundChecks, 13, 5, 1, 1)=DATE(1900,1,0), DATE(1900,1,1), OFFSET('IWP18'!BackgroundChecks, 13, 5, 1, 1))</f>
        <v>1</v>
      </c>
      <c r="F436" s="262" t="str">
        <f ca="1">IF(OFFSET('IWP18'!BackgroundChecks, 13, 6, 1, 1) = 0, "", OFFSET('IWP18'!BackgroundChecks, 13, 6, 1, 1))</f>
        <v/>
      </c>
      <c r="G436" s="254">
        <f ca="1">IF(OFFSET('IWP18'!BackgroundChecks, 13, 7, 1, 1)=DATE(1900,1,0), DATE(1900,1,1), OFFSET('IWP18'!BackgroundChecks, 13, 7, 1, 1))</f>
        <v>1</v>
      </c>
      <c r="H436" s="254">
        <f ca="1">IF(OFFSET('IWP18'!BackgroundChecks, 13, 8, 1, 1)=DATE(1900,1,0), DATE(1900,1,1), OFFSET('IWP18'!BackgroundChecks, 13, 8, 1, 1))</f>
        <v>1</v>
      </c>
      <c r="I436" s="262" t="str">
        <f ca="1">IF(OFFSET('IWP18'!BackgroundChecks, 13, 9, 1, 1) = 0, "", OFFSET('IWP18'!BackgroundChecks, 13, 9, 1, 1))</f>
        <v/>
      </c>
      <c r="J436" s="262" t="str">
        <f ca="1">IF(OFFSET('IWP18'!BackgroundChecks, 13, 10, 1, 1) = 0, "", OFFSET('IWP18'!BackgroundChecks, 13, 10, 1, 1))</f>
        <v/>
      </c>
      <c r="K436" s="262" t="str">
        <f ca="1">IF(OFFSET('IWP18'!BackgroundChecks, 13, 11, 1, 1) = 0, "", OFFSET('IWP18'!BackgroundChecks, 13, 11, 1, 1))</f>
        <v/>
      </c>
      <c r="L436" s="262" t="str">
        <f ca="1">IF(OFFSET('IWP18'!BackgroundChecks, 13, 12, 1, 1) = 0, "", OFFSET('IWP18'!BackgroundChecks, 13, 12, 1, 1))</f>
        <v/>
      </c>
      <c r="M436" s="262" t="str">
        <f ca="1">IF(OFFSET('IWP18'!BackgroundChecks, 13, 13, 1, 1) = 0, "", OFFSET('IWP18'!BackgroundChecks, 13, 13, 1, 1))</f>
        <v/>
      </c>
      <c r="N436" s="261"/>
    </row>
    <row r="437" spans="1:14" s="146" customFormat="1">
      <c r="A437" s="257" t="s">
        <v>516</v>
      </c>
      <c r="B437" s="262" t="str">
        <f ca="1">IF(OFFSET('IWP18'!BackgroundChecks, 14, 0, 1, 1) = 0, "", OFFSET('IWP18'!BackgroundChecks, 14, 0, 1, 1))</f>
        <v/>
      </c>
      <c r="C437" s="262" t="str">
        <f ca="1">IF(OFFSET('IWP18'!BackgroundChecks, 14, 2, 1, 1) = 0, "", OFFSET('IWP18'!BackgroundChecks, 14, 2, 1, 1))</f>
        <v/>
      </c>
      <c r="D437" s="262" t="str">
        <f ca="1">IF(OFFSET('IWP18'!BackgroundChecks, 14, 4, 1, 1) = 0, "", OFFSET('IWP18'!BackgroundChecks, 14, 4, 1, 1))</f>
        <v/>
      </c>
      <c r="E437" s="254">
        <f ca="1">IF(OFFSET('IWP18'!BackgroundChecks, 14, 5, 1, 1)=DATE(1900,1,0), DATE(1900,1,1), OFFSET('IWP18'!BackgroundChecks, 14, 5, 1, 1))</f>
        <v>1</v>
      </c>
      <c r="F437" s="262" t="str">
        <f ca="1">IF(OFFSET('IWP18'!BackgroundChecks, 14, 6, 1, 1) = 0, "", OFFSET('IWP18'!BackgroundChecks, 14, 6, 1, 1))</f>
        <v/>
      </c>
      <c r="G437" s="254">
        <f ca="1">IF(OFFSET('IWP18'!BackgroundChecks, 14, 7, 1, 1)=DATE(1900,1,0), DATE(1900,1,1), OFFSET('IWP18'!BackgroundChecks, 14, 7, 1, 1))</f>
        <v>1</v>
      </c>
      <c r="H437" s="254">
        <f ca="1">IF(OFFSET('IWP18'!BackgroundChecks, 14, 8, 1, 1)=DATE(1900,1,0), DATE(1900,1,1), OFFSET('IWP18'!BackgroundChecks, 14, 8, 1, 1))</f>
        <v>1</v>
      </c>
      <c r="I437" s="262" t="str">
        <f ca="1">IF(OFFSET('IWP18'!BackgroundChecks, 14, 9, 1, 1) = 0, "", OFFSET('IWP18'!BackgroundChecks, 14, 9, 1, 1))</f>
        <v/>
      </c>
      <c r="J437" s="262" t="str">
        <f ca="1">IF(OFFSET('IWP18'!BackgroundChecks, 14, 10, 1, 1) = 0, "", OFFSET('IWP18'!BackgroundChecks, 14, 10, 1, 1))</f>
        <v/>
      </c>
      <c r="K437" s="262" t="str">
        <f ca="1">IF(OFFSET('IWP18'!BackgroundChecks, 14, 11, 1, 1) = 0, "", OFFSET('IWP18'!BackgroundChecks, 14, 11, 1, 1))</f>
        <v/>
      </c>
      <c r="L437" s="262" t="str">
        <f ca="1">IF(OFFSET('IWP18'!BackgroundChecks, 14, 12, 1, 1) = 0, "", OFFSET('IWP18'!BackgroundChecks, 14, 12, 1, 1))</f>
        <v/>
      </c>
      <c r="M437" s="262" t="str">
        <f ca="1">IF(OFFSET('IWP18'!BackgroundChecks, 14, 13, 1, 1) = 0, "", OFFSET('IWP18'!BackgroundChecks, 14, 13, 1, 1))</f>
        <v/>
      </c>
      <c r="N437" s="261"/>
    </row>
    <row r="438" spans="1:14" s="146" customFormat="1">
      <c r="A438" s="257" t="s">
        <v>516</v>
      </c>
      <c r="B438" s="262" t="str">
        <f ca="1">IF(OFFSET('IWP18'!BackgroundChecks, 15, 0, 1, 1) = 0, "", OFFSET('IWP18'!BackgroundChecks, 15, 0, 1, 1))</f>
        <v/>
      </c>
      <c r="C438" s="262" t="str">
        <f ca="1">IF(OFFSET('IWP18'!BackgroundChecks, 15, 2, 1, 1) = 0, "", OFFSET('IWP18'!BackgroundChecks, 15, 2, 1, 1))</f>
        <v/>
      </c>
      <c r="D438" s="262" t="str">
        <f ca="1">IF(OFFSET('IWP18'!BackgroundChecks, 15, 4, 1, 1) = 0, "", OFFSET('IWP18'!BackgroundChecks, 15, 4, 1, 1))</f>
        <v/>
      </c>
      <c r="E438" s="254">
        <f ca="1">IF(OFFSET('IWP18'!BackgroundChecks, 15, 5, 1, 1)=DATE(1900,1,0), DATE(1900,1,1), OFFSET('IWP18'!BackgroundChecks, 15, 5, 1, 1))</f>
        <v>1</v>
      </c>
      <c r="F438" s="262" t="str">
        <f ca="1">IF(OFFSET('IWP18'!BackgroundChecks, 15, 6, 1, 1) = 0, "", OFFSET('IWP18'!BackgroundChecks, 15, 6, 1, 1))</f>
        <v/>
      </c>
      <c r="G438" s="254">
        <f ca="1">IF(OFFSET('IWP18'!BackgroundChecks, 15, 7, 1, 1)=DATE(1900,1,0), DATE(1900,1,1), OFFSET('IWP18'!BackgroundChecks, 15, 7, 1, 1))</f>
        <v>1</v>
      </c>
      <c r="H438" s="254">
        <f ca="1">IF(OFFSET('IWP18'!BackgroundChecks, 15, 8, 1, 1)=DATE(1900,1,0), DATE(1900,1,1), OFFSET('IWP18'!BackgroundChecks, 15, 8, 1, 1))</f>
        <v>1</v>
      </c>
      <c r="I438" s="262" t="str">
        <f ca="1">IF(OFFSET('IWP18'!BackgroundChecks, 15, 9, 1, 1) = 0, "", OFFSET('IWP18'!BackgroundChecks, 15, 9, 1, 1))</f>
        <v/>
      </c>
      <c r="J438" s="262" t="str">
        <f ca="1">IF(OFFSET('IWP18'!BackgroundChecks, 15, 10, 1, 1) = 0, "", OFFSET('IWP18'!BackgroundChecks, 15, 10, 1, 1))</f>
        <v/>
      </c>
      <c r="K438" s="262" t="str">
        <f ca="1">IF(OFFSET('IWP18'!BackgroundChecks, 15, 11, 1, 1) = 0, "", OFFSET('IWP18'!BackgroundChecks, 15, 11, 1, 1))</f>
        <v/>
      </c>
      <c r="L438" s="262" t="str">
        <f ca="1">IF(OFFSET('IWP18'!BackgroundChecks, 15, 12, 1, 1) = 0, "", OFFSET('IWP18'!BackgroundChecks, 15, 12, 1, 1))</f>
        <v/>
      </c>
      <c r="M438" s="262" t="str">
        <f ca="1">IF(OFFSET('IWP18'!BackgroundChecks, 15, 13, 1, 1) = 0, "", OFFSET('IWP18'!BackgroundChecks, 15, 13, 1, 1))</f>
        <v/>
      </c>
      <c r="N438" s="261"/>
    </row>
    <row r="439" spans="1:14" s="146" customFormat="1">
      <c r="A439" s="257" t="s">
        <v>516</v>
      </c>
      <c r="B439" s="262" t="str">
        <f ca="1">IF(OFFSET('IWP18'!BackgroundChecks, 16, 0, 1, 1) = 0, "", OFFSET('IWP18'!BackgroundChecks, 16, 0, 1, 1))</f>
        <v/>
      </c>
      <c r="C439" s="262" t="str">
        <f ca="1">IF(OFFSET('IWP18'!BackgroundChecks, 16, 2, 1, 1) = 0, "", OFFSET('IWP18'!BackgroundChecks, 16, 2, 1, 1))</f>
        <v/>
      </c>
      <c r="D439" s="262" t="str">
        <f ca="1">IF(OFFSET('IWP18'!BackgroundChecks, 16, 4, 1, 1) = 0, "", OFFSET('IWP18'!BackgroundChecks, 16, 4, 1, 1))</f>
        <v/>
      </c>
      <c r="E439" s="254">
        <f ca="1">IF(OFFSET('IWP18'!BackgroundChecks, 16, 5, 1, 1)=DATE(1900,1,0), DATE(1900,1,1), OFFSET('IWP18'!BackgroundChecks, 16, 5, 1, 1))</f>
        <v>1</v>
      </c>
      <c r="F439" s="262" t="str">
        <f ca="1">IF(OFFSET('IWP18'!BackgroundChecks, 16, 6, 1, 1) = 0, "", OFFSET('IWP18'!BackgroundChecks, 16, 6, 1, 1))</f>
        <v/>
      </c>
      <c r="G439" s="254">
        <f ca="1">IF(OFFSET('IWP18'!BackgroundChecks, 16, 7, 1, 1)=DATE(1900,1,0), DATE(1900,1,1), OFFSET('IWP18'!BackgroundChecks, 16, 7, 1, 1))</f>
        <v>1</v>
      </c>
      <c r="H439" s="254">
        <f ca="1">IF(OFFSET('IWP18'!BackgroundChecks, 16, 8, 1, 1)=DATE(1900,1,0), DATE(1900,1,1), OFFSET('IWP18'!BackgroundChecks, 16, 8, 1, 1))</f>
        <v>1</v>
      </c>
      <c r="I439" s="262" t="str">
        <f ca="1">IF(OFFSET('IWP18'!BackgroundChecks, 16, 9, 1, 1) = 0, "", OFFSET('IWP18'!BackgroundChecks, 16, 9, 1, 1))</f>
        <v/>
      </c>
      <c r="J439" s="262" t="str">
        <f ca="1">IF(OFFSET('IWP18'!BackgroundChecks, 16, 10, 1, 1) = 0, "", OFFSET('IWP18'!BackgroundChecks, 16, 10, 1, 1))</f>
        <v/>
      </c>
      <c r="K439" s="262" t="str">
        <f ca="1">IF(OFFSET('IWP18'!BackgroundChecks, 16, 11, 1, 1) = 0, "", OFFSET('IWP18'!BackgroundChecks, 16, 11, 1, 1))</f>
        <v/>
      </c>
      <c r="L439" s="262" t="str">
        <f ca="1">IF(OFFSET('IWP18'!BackgroundChecks, 16, 12, 1, 1) = 0, "", OFFSET('IWP18'!BackgroundChecks, 16, 12, 1, 1))</f>
        <v/>
      </c>
      <c r="M439" s="262" t="str">
        <f ca="1">IF(OFFSET('IWP18'!BackgroundChecks, 16, 13, 1, 1) = 0, "", OFFSET('IWP18'!BackgroundChecks, 16, 13, 1, 1))</f>
        <v/>
      </c>
      <c r="N439" s="261"/>
    </row>
    <row r="440" spans="1:14" s="146" customFormat="1">
      <c r="A440" s="257" t="s">
        <v>516</v>
      </c>
      <c r="B440" s="262" t="str">
        <f ca="1">IF(OFFSET('IWP18'!BackgroundChecks, 17, 0, 1, 1) = 0, "", OFFSET('IWP18'!BackgroundChecks, 17, 0, 1, 1))</f>
        <v/>
      </c>
      <c r="C440" s="262" t="str">
        <f ca="1">IF(OFFSET('IWP18'!BackgroundChecks, 17, 2, 1, 1) = 0, "", OFFSET('IWP18'!BackgroundChecks, 17, 2, 1, 1))</f>
        <v/>
      </c>
      <c r="D440" s="262" t="str">
        <f ca="1">IF(OFFSET('IWP18'!BackgroundChecks, 17, 4, 1, 1) = 0, "", OFFSET('IWP18'!BackgroundChecks, 17, 4, 1, 1))</f>
        <v/>
      </c>
      <c r="E440" s="254">
        <f ca="1">IF(OFFSET('IWP18'!BackgroundChecks, 17, 5, 1, 1)=DATE(1900,1,0), DATE(1900,1,1), OFFSET('IWP18'!BackgroundChecks, 17, 5, 1, 1))</f>
        <v>1</v>
      </c>
      <c r="F440" s="262" t="str">
        <f ca="1">IF(OFFSET('IWP18'!BackgroundChecks, 17, 6, 1, 1) = 0, "", OFFSET('IWP18'!BackgroundChecks, 17, 6, 1, 1))</f>
        <v/>
      </c>
      <c r="G440" s="254">
        <f ca="1">IF(OFFSET('IWP18'!BackgroundChecks, 17, 7, 1, 1)=DATE(1900,1,0), DATE(1900,1,1), OFFSET('IWP18'!BackgroundChecks, 17, 7, 1, 1))</f>
        <v>1</v>
      </c>
      <c r="H440" s="254">
        <f ca="1">IF(OFFSET('IWP18'!BackgroundChecks, 17, 8, 1, 1)=DATE(1900,1,0), DATE(1900,1,1), OFFSET('IWP18'!BackgroundChecks, 17, 8, 1, 1))</f>
        <v>1</v>
      </c>
      <c r="I440" s="262" t="str">
        <f ca="1">IF(OFFSET('IWP18'!BackgroundChecks, 17, 9, 1, 1) = 0, "", OFFSET('IWP18'!BackgroundChecks, 17, 9, 1, 1))</f>
        <v/>
      </c>
      <c r="J440" s="262" t="str">
        <f ca="1">IF(OFFSET('IWP18'!BackgroundChecks, 17, 10, 1, 1) = 0, "", OFFSET('IWP18'!BackgroundChecks, 17, 10, 1, 1))</f>
        <v/>
      </c>
      <c r="K440" s="262" t="str">
        <f ca="1">IF(OFFSET('IWP18'!BackgroundChecks, 17, 11, 1, 1) = 0, "", OFFSET('IWP18'!BackgroundChecks, 17, 11, 1, 1))</f>
        <v/>
      </c>
      <c r="L440" s="262" t="str">
        <f ca="1">IF(OFFSET('IWP18'!BackgroundChecks, 17, 12, 1, 1) = 0, "", OFFSET('IWP18'!BackgroundChecks, 17, 12, 1, 1))</f>
        <v/>
      </c>
      <c r="M440" s="262" t="str">
        <f ca="1">IF(OFFSET('IWP18'!BackgroundChecks, 17, 13, 1, 1) = 0, "", OFFSET('IWP18'!BackgroundChecks, 17, 13, 1, 1))</f>
        <v/>
      </c>
      <c r="N440" s="261"/>
    </row>
    <row r="441" spans="1:14" s="146" customFormat="1">
      <c r="A441" s="257" t="s">
        <v>516</v>
      </c>
      <c r="B441" s="262" t="str">
        <f ca="1">IF(OFFSET('IWP18'!BackgroundChecks, 18, 0, 1, 1) = 0, "", OFFSET('IWP18'!BackgroundChecks, 18, 0, 1, 1))</f>
        <v/>
      </c>
      <c r="C441" s="262" t="str">
        <f ca="1">IF(OFFSET('IWP18'!BackgroundChecks, 18, 2, 1, 1) = 0, "", OFFSET('IWP18'!BackgroundChecks, 18, 2, 1, 1))</f>
        <v/>
      </c>
      <c r="D441" s="262" t="str">
        <f ca="1">IF(OFFSET('IWP18'!BackgroundChecks, 18, 4, 1, 1) = 0, "", OFFSET('IWP18'!BackgroundChecks, 18, 4, 1, 1))</f>
        <v/>
      </c>
      <c r="E441" s="254">
        <f ca="1">IF(OFFSET('IWP18'!BackgroundChecks, 18, 5, 1, 1)=DATE(1900,1,0), DATE(1900,1,1), OFFSET('IWP18'!BackgroundChecks, 18, 5, 1, 1))</f>
        <v>1</v>
      </c>
      <c r="F441" s="262" t="str">
        <f ca="1">IF(OFFSET('IWP18'!BackgroundChecks, 18, 6, 1, 1) = 0, "", OFFSET('IWP18'!BackgroundChecks, 18, 6, 1, 1))</f>
        <v/>
      </c>
      <c r="G441" s="254">
        <f ca="1">IF(OFFSET('IWP18'!BackgroundChecks, 18, 7, 1, 1)=DATE(1900,1,0), DATE(1900,1,1), OFFSET('IWP18'!BackgroundChecks, 18, 7, 1, 1))</f>
        <v>1</v>
      </c>
      <c r="H441" s="254">
        <f ca="1">IF(OFFSET('IWP18'!BackgroundChecks, 18, 8, 1, 1)=DATE(1900,1,0), DATE(1900,1,1), OFFSET('IWP18'!BackgroundChecks, 18, 8, 1, 1))</f>
        <v>1</v>
      </c>
      <c r="I441" s="262" t="str">
        <f ca="1">IF(OFFSET('IWP18'!BackgroundChecks, 18, 9, 1, 1) = 0, "", OFFSET('IWP18'!BackgroundChecks, 18, 9, 1, 1))</f>
        <v/>
      </c>
      <c r="J441" s="262" t="str">
        <f ca="1">IF(OFFSET('IWP18'!BackgroundChecks, 18, 10, 1, 1) = 0, "", OFFSET('IWP18'!BackgroundChecks, 18, 10, 1, 1))</f>
        <v/>
      </c>
      <c r="K441" s="262" t="str">
        <f ca="1">IF(OFFSET('IWP18'!BackgroundChecks, 18, 11, 1, 1) = 0, "", OFFSET('IWP18'!BackgroundChecks, 18, 11, 1, 1))</f>
        <v/>
      </c>
      <c r="L441" s="262" t="str">
        <f ca="1">IF(OFFSET('IWP18'!BackgroundChecks, 18, 12, 1, 1) = 0, "", OFFSET('IWP18'!BackgroundChecks, 18, 12, 1, 1))</f>
        <v/>
      </c>
      <c r="M441" s="262" t="str">
        <f ca="1">IF(OFFSET('IWP18'!BackgroundChecks, 18, 13, 1, 1) = 0, "", OFFSET('IWP18'!BackgroundChecks, 18, 13, 1, 1))</f>
        <v/>
      </c>
      <c r="N441" s="261"/>
    </row>
    <row r="442" spans="1:14" s="146" customFormat="1">
      <c r="A442" s="257" t="s">
        <v>516</v>
      </c>
      <c r="B442" s="262" t="str">
        <f ca="1">IF(OFFSET('IWP18'!BackgroundChecks, 19, 0, 1, 1) = 0, "", OFFSET('IWP18'!BackgroundChecks, 19, 0, 1, 1))</f>
        <v/>
      </c>
      <c r="C442" s="262" t="str">
        <f ca="1">IF(OFFSET('IWP18'!BackgroundChecks, 19, 2, 1, 1) = 0, "", OFFSET('IWP18'!BackgroundChecks, 19, 2, 1, 1))</f>
        <v/>
      </c>
      <c r="D442" s="262" t="str">
        <f ca="1">IF(OFFSET('IWP18'!BackgroundChecks, 19, 4, 1, 1) = 0, "", OFFSET('IWP18'!BackgroundChecks, 19, 4, 1, 1))</f>
        <v/>
      </c>
      <c r="E442" s="254">
        <f ca="1">IF(OFFSET('IWP18'!BackgroundChecks, 19, 5, 1, 1)=DATE(1900,1,0), DATE(1900,1,1), OFFSET('IWP18'!BackgroundChecks, 19, 5, 1, 1))</f>
        <v>1</v>
      </c>
      <c r="F442" s="262" t="str">
        <f ca="1">IF(OFFSET('IWP18'!BackgroundChecks, 19, 6, 1, 1) = 0, "", OFFSET('IWP18'!BackgroundChecks, 19, 6, 1, 1))</f>
        <v/>
      </c>
      <c r="G442" s="254">
        <f ca="1">IF(OFFSET('IWP18'!BackgroundChecks, 19, 7, 1, 1)=DATE(1900,1,0), DATE(1900,1,1), OFFSET('IWP18'!BackgroundChecks, 19, 7, 1, 1))</f>
        <v>1</v>
      </c>
      <c r="H442" s="254">
        <f ca="1">IF(OFFSET('IWP18'!BackgroundChecks, 19, 8, 1, 1)=DATE(1900,1,0), DATE(1900,1,1), OFFSET('IWP18'!BackgroundChecks, 19, 8, 1, 1))</f>
        <v>1</v>
      </c>
      <c r="I442" s="262" t="str">
        <f ca="1">IF(OFFSET('IWP18'!BackgroundChecks, 19, 9, 1, 1) = 0, "", OFFSET('IWP18'!BackgroundChecks, 19, 9, 1, 1))</f>
        <v/>
      </c>
      <c r="J442" s="262" t="str">
        <f ca="1">IF(OFFSET('IWP18'!BackgroundChecks, 19, 10, 1, 1) = 0, "", OFFSET('IWP18'!BackgroundChecks, 19, 10, 1, 1))</f>
        <v/>
      </c>
      <c r="K442" s="262" t="str">
        <f ca="1">IF(OFFSET('IWP18'!BackgroundChecks, 19, 11, 1, 1) = 0, "", OFFSET('IWP18'!BackgroundChecks, 19, 11, 1, 1))</f>
        <v/>
      </c>
      <c r="L442" s="262" t="str">
        <f ca="1">IF(OFFSET('IWP18'!BackgroundChecks, 19, 12, 1, 1) = 0, "", OFFSET('IWP18'!BackgroundChecks, 19, 12, 1, 1))</f>
        <v/>
      </c>
      <c r="M442" s="262" t="str">
        <f ca="1">IF(OFFSET('IWP18'!BackgroundChecks, 19, 13, 1, 1) = 0, "", OFFSET('IWP18'!BackgroundChecks, 19, 13, 1, 1))</f>
        <v/>
      </c>
      <c r="N442" s="261"/>
    </row>
    <row r="443" spans="1:14" s="146" customFormat="1">
      <c r="A443" s="257" t="s">
        <v>517</v>
      </c>
      <c r="B443" s="262" t="str">
        <f ca="1">IF(OFFSET('IWP19'!BackgroundChecks, 0, 0, 1, 1) = 0, "", OFFSET('IWP19'!BackgroundChecks, 0, 0, 1, 1))</f>
        <v/>
      </c>
      <c r="C443" s="262" t="str">
        <f ca="1">IF(OFFSET('IWP19'!BackgroundChecks, 0, 2, 1, 1) = 0, "", OFFSET('IWP19'!BackgroundChecks, 0, 2, 1, 1))</f>
        <v/>
      </c>
      <c r="D443" s="262" t="str">
        <f ca="1">IF(OFFSET('IWP19'!BackgroundChecks, 0, 4, 1, 1) = 0, "", OFFSET('IWP19'!BackgroundChecks, 0, 4, 1, 1))</f>
        <v/>
      </c>
      <c r="E443" s="254">
        <f ca="1">IF(OFFSET('IWP19'!BackgroundChecks, 0, 5, 1, 1)=DATE(1900,1,0), DATE(1900,1,1), OFFSET('IWP19'!BackgroundChecks, 0, 5, 1, 1))</f>
        <v>1</v>
      </c>
      <c r="F443" s="262" t="str">
        <f ca="1">IF(OFFSET('IWP19'!BackgroundChecks, 0, 6, 1, 1) = 0, "", OFFSET('IWP19'!BackgroundChecks, 0, 6, 1, 1))</f>
        <v/>
      </c>
      <c r="G443" s="254">
        <f ca="1">IF(OFFSET('IWP19'!BackgroundChecks, 0, 7, 1, 1)=DATE(1900,1,0), DATE(1900,1,1), OFFSET('IWP19'!BackgroundChecks, 0, 7, 1, 1))</f>
        <v>1</v>
      </c>
      <c r="H443" s="254">
        <f ca="1">IF(OFFSET('IWP19'!BackgroundChecks, 0, 8, 1, 1)=DATE(1900,1,0), DATE(1900,1,1), OFFSET('IWP19'!BackgroundChecks, 0, 8, 1, 1))</f>
        <v>1</v>
      </c>
      <c r="I443" s="262" t="str">
        <f ca="1">IF(OFFSET('IWP19'!BackgroundChecks, 0, 9, 1, 1) = 0, "", OFFSET('IWP19'!BackgroundChecks, 0, 9, 1, 1))</f>
        <v/>
      </c>
      <c r="J443" s="262" t="str">
        <f ca="1">IF(OFFSET('IWP19'!BackgroundChecks, 0, 10, 1, 1) = 0, "", OFFSET('IWP19'!BackgroundChecks, 0, 10, 1, 1))</f>
        <v/>
      </c>
      <c r="K443" s="262" t="str">
        <f ca="1">IF(OFFSET('IWP19'!BackgroundChecks, 0, 11, 1, 1) = 0, "", OFFSET('IWP19'!BackgroundChecks, 0, 11, 1, 1))</f>
        <v/>
      </c>
      <c r="L443" s="262" t="str">
        <f ca="1">IF(OFFSET('IWP19'!BackgroundChecks, 0, 12, 1, 1) = 0, "", OFFSET('IWP19'!BackgroundChecks, 0, 12, 1, 1))</f>
        <v/>
      </c>
      <c r="M443" s="262" t="str">
        <f ca="1">IF(OFFSET('IWP19'!BackgroundChecks, 0, 13, 1, 1) = 0, "", OFFSET('IWP19'!BackgroundChecks, 0, 13, 1, 1))</f>
        <v/>
      </c>
      <c r="N443" s="261"/>
    </row>
    <row r="444" spans="1:14" s="146" customFormat="1">
      <c r="A444" s="257" t="s">
        <v>517</v>
      </c>
      <c r="B444" s="262" t="str">
        <f ca="1">IF(OFFSET('IWP19'!BackgroundChecks, 1, 0, 1, 1) = 0, "", OFFSET('IWP19'!BackgroundChecks, 1, 0, 1, 1))</f>
        <v/>
      </c>
      <c r="C444" s="262" t="str">
        <f ca="1">IF(OFFSET('IWP19'!BackgroundChecks, 1, 2, 1, 1) = 0, "", OFFSET('IWP19'!BackgroundChecks, 1, 2, 1, 1))</f>
        <v/>
      </c>
      <c r="D444" s="262" t="str">
        <f ca="1">IF(OFFSET('IWP19'!BackgroundChecks, 1, 4, 1, 1) = 0, "", OFFSET('IWP19'!BackgroundChecks, 1, 4, 1, 1))</f>
        <v/>
      </c>
      <c r="E444" s="254">
        <f ca="1">IF(OFFSET('IWP19'!BackgroundChecks, 1, 5, 1, 1)=DATE(1900,1,0), DATE(1900,1,1), OFFSET('IWP19'!BackgroundChecks, 1, 5, 1, 1))</f>
        <v>1</v>
      </c>
      <c r="F444" s="262" t="str">
        <f ca="1">IF(OFFSET('IWP19'!BackgroundChecks, 1, 6, 1, 1) = 0, "", OFFSET('IWP19'!BackgroundChecks, 1, 6, 1, 1))</f>
        <v/>
      </c>
      <c r="G444" s="254">
        <f ca="1">IF(OFFSET('IWP19'!BackgroundChecks, 1, 7, 1, 1)=DATE(1900,1,0), DATE(1900,1,1), OFFSET('IWP19'!BackgroundChecks, 1, 7, 1, 1))</f>
        <v>1</v>
      </c>
      <c r="H444" s="254">
        <f ca="1">IF(OFFSET('IWP19'!BackgroundChecks, 1, 8, 1, 1)=DATE(1900,1,0), DATE(1900,1,1), OFFSET('IWP19'!BackgroundChecks, 1, 8, 1, 1))</f>
        <v>1</v>
      </c>
      <c r="I444" s="262" t="str">
        <f ca="1">IF(OFFSET('IWP19'!BackgroundChecks, 1, 9, 1, 1) = 0, "", OFFSET('IWP19'!BackgroundChecks, 1, 9, 1, 1))</f>
        <v/>
      </c>
      <c r="J444" s="262" t="str">
        <f ca="1">IF(OFFSET('IWP19'!BackgroundChecks, 1, 10, 1, 1) = 0, "", OFFSET('IWP19'!BackgroundChecks, 1, 10, 1, 1))</f>
        <v/>
      </c>
      <c r="K444" s="262" t="str">
        <f ca="1">IF(OFFSET('IWP19'!BackgroundChecks, 1, 11, 1, 1) = 0, "", OFFSET('IWP19'!BackgroundChecks, 1, 11, 1, 1))</f>
        <v/>
      </c>
      <c r="L444" s="262" t="str">
        <f ca="1">IF(OFFSET('IWP19'!BackgroundChecks, 1, 12, 1, 1) = 0, "", OFFSET('IWP19'!BackgroundChecks, 1, 12, 1, 1))</f>
        <v/>
      </c>
      <c r="M444" s="262" t="str">
        <f ca="1">IF(OFFSET('IWP19'!BackgroundChecks, 1, 13, 1, 1) = 0, "", OFFSET('IWP19'!BackgroundChecks, 1, 13, 1, 1))</f>
        <v/>
      </c>
      <c r="N444" s="261"/>
    </row>
    <row r="445" spans="1:14" s="146" customFormat="1">
      <c r="A445" s="257" t="s">
        <v>517</v>
      </c>
      <c r="B445" s="262" t="str">
        <f ca="1">IF(OFFSET('IWP19'!BackgroundChecks, 2, 0, 1, 1) = 0, "", OFFSET('IWP19'!BackgroundChecks, 2, 0, 1, 1))</f>
        <v/>
      </c>
      <c r="C445" s="262" t="str">
        <f ca="1">IF(OFFSET('IWP19'!BackgroundChecks, 2, 2, 1, 1) = 0, "", OFFSET('IWP19'!BackgroundChecks, 2, 2, 1, 1))</f>
        <v/>
      </c>
      <c r="D445" s="262" t="str">
        <f ca="1">IF(OFFSET('IWP19'!BackgroundChecks, 2, 4, 1, 1) = 0, "", OFFSET('IWP19'!BackgroundChecks, 2, 4, 1, 1))</f>
        <v/>
      </c>
      <c r="E445" s="254">
        <f ca="1">IF(OFFSET('IWP19'!BackgroundChecks, 2, 5, 1, 1)=DATE(1900,1,0), DATE(1900,1,1), OFFSET('IWP19'!BackgroundChecks, 2, 5, 1, 1))</f>
        <v>1</v>
      </c>
      <c r="F445" s="262" t="str">
        <f ca="1">IF(OFFSET('IWP19'!BackgroundChecks, 2, 6, 1, 1) = 0, "", OFFSET('IWP19'!BackgroundChecks, 2, 6, 1, 1))</f>
        <v/>
      </c>
      <c r="G445" s="254">
        <f ca="1">IF(OFFSET('IWP19'!BackgroundChecks, 2, 7, 1, 1)=DATE(1900,1,0), DATE(1900,1,1), OFFSET('IWP19'!BackgroundChecks, 2, 7, 1, 1))</f>
        <v>1</v>
      </c>
      <c r="H445" s="254">
        <f ca="1">IF(OFFSET('IWP19'!BackgroundChecks, 2, 8, 1, 1)=DATE(1900,1,0), DATE(1900,1,1), OFFSET('IWP19'!BackgroundChecks, 2, 8, 1, 1))</f>
        <v>1</v>
      </c>
      <c r="I445" s="262" t="str">
        <f ca="1">IF(OFFSET('IWP19'!BackgroundChecks, 2, 9, 1, 1) = 0, "", OFFSET('IWP19'!BackgroundChecks, 2, 9, 1, 1))</f>
        <v/>
      </c>
      <c r="J445" s="262" t="str">
        <f ca="1">IF(OFFSET('IWP19'!BackgroundChecks, 2, 10, 1, 1) = 0, "", OFFSET('IWP19'!BackgroundChecks, 2, 10, 1, 1))</f>
        <v/>
      </c>
      <c r="K445" s="262" t="str">
        <f ca="1">IF(OFFSET('IWP19'!BackgroundChecks, 2, 11, 1, 1) = 0, "", OFFSET('IWP19'!BackgroundChecks, 2, 11, 1, 1))</f>
        <v/>
      </c>
      <c r="L445" s="262" t="str">
        <f ca="1">IF(OFFSET('IWP19'!BackgroundChecks, 2, 12, 1, 1) = 0, "", OFFSET('IWP19'!BackgroundChecks, 2, 12, 1, 1))</f>
        <v/>
      </c>
      <c r="M445" s="262" t="str">
        <f ca="1">IF(OFFSET('IWP19'!BackgroundChecks, 2, 13, 1, 1) = 0, "", OFFSET('IWP19'!BackgroundChecks, 2, 13, 1, 1))</f>
        <v/>
      </c>
      <c r="N445" s="261"/>
    </row>
    <row r="446" spans="1:14" s="146" customFormat="1">
      <c r="A446" s="257" t="s">
        <v>517</v>
      </c>
      <c r="B446" s="262" t="str">
        <f ca="1">IF(OFFSET('IWP19'!BackgroundChecks, 3, 0, 1, 1) = 0, "", OFFSET('IWP19'!BackgroundChecks, 3, 0, 1, 1))</f>
        <v/>
      </c>
      <c r="C446" s="262" t="str">
        <f ca="1">IF(OFFSET('IWP19'!BackgroundChecks, 3, 2, 1, 1) = 0, "", OFFSET('IWP19'!BackgroundChecks, 3, 2, 1, 1))</f>
        <v/>
      </c>
      <c r="D446" s="262" t="str">
        <f ca="1">IF(OFFSET('IWP19'!BackgroundChecks, 3, 4, 1, 1) = 0, "", OFFSET('IWP19'!BackgroundChecks, 3, 4, 1, 1))</f>
        <v/>
      </c>
      <c r="E446" s="254">
        <f ca="1">IF(OFFSET('IWP19'!BackgroundChecks, 3, 5, 1, 1)=DATE(1900,1,0), DATE(1900,1,1), OFFSET('IWP19'!BackgroundChecks, 3, 5, 1, 1))</f>
        <v>1</v>
      </c>
      <c r="F446" s="262" t="str">
        <f ca="1">IF(OFFSET('IWP19'!BackgroundChecks, 3, 6, 1, 1) = 0, "", OFFSET('IWP19'!BackgroundChecks, 3, 6, 1, 1))</f>
        <v/>
      </c>
      <c r="G446" s="254">
        <f ca="1">IF(OFFSET('IWP19'!BackgroundChecks, 3, 7, 1, 1)=DATE(1900,1,0), DATE(1900,1,1), OFFSET('IWP19'!BackgroundChecks, 3, 7, 1, 1))</f>
        <v>1</v>
      </c>
      <c r="H446" s="254">
        <f ca="1">IF(OFFSET('IWP19'!BackgroundChecks, 3, 8, 1, 1)=DATE(1900,1,0), DATE(1900,1,1), OFFSET('IWP19'!BackgroundChecks, 3, 8, 1, 1))</f>
        <v>1</v>
      </c>
      <c r="I446" s="262" t="str">
        <f ca="1">IF(OFFSET('IWP19'!BackgroundChecks, 3, 9, 1, 1) = 0, "", OFFSET('IWP19'!BackgroundChecks, 3, 9, 1, 1))</f>
        <v/>
      </c>
      <c r="J446" s="262" t="str">
        <f ca="1">IF(OFFSET('IWP19'!BackgroundChecks, 3, 10, 1, 1) = 0, "", OFFSET('IWP19'!BackgroundChecks, 3, 10, 1, 1))</f>
        <v/>
      </c>
      <c r="K446" s="262" t="str">
        <f ca="1">IF(OFFSET('IWP19'!BackgroundChecks, 3, 11, 1, 1) = 0, "", OFFSET('IWP19'!BackgroundChecks, 3, 11, 1, 1))</f>
        <v/>
      </c>
      <c r="L446" s="262" t="str">
        <f ca="1">IF(OFFSET('IWP19'!BackgroundChecks, 3, 12, 1, 1) = 0, "", OFFSET('IWP19'!BackgroundChecks, 3, 12, 1, 1))</f>
        <v/>
      </c>
      <c r="M446" s="262" t="str">
        <f ca="1">IF(OFFSET('IWP19'!BackgroundChecks, 3, 13, 1, 1) = 0, "", OFFSET('IWP19'!BackgroundChecks, 3, 13, 1, 1))</f>
        <v/>
      </c>
      <c r="N446" s="261"/>
    </row>
    <row r="447" spans="1:14" s="146" customFormat="1">
      <c r="A447" s="257" t="s">
        <v>517</v>
      </c>
      <c r="B447" s="262" t="str">
        <f ca="1">IF(OFFSET('IWP19'!BackgroundChecks, 4, 0, 1, 1) = 0, "", OFFSET('IWP19'!BackgroundChecks, 4, 0, 1, 1))</f>
        <v/>
      </c>
      <c r="C447" s="262" t="str">
        <f ca="1">IF(OFFSET('IWP19'!BackgroundChecks, 4, 2, 1, 1) = 0, "", OFFSET('IWP19'!BackgroundChecks, 4, 2, 1, 1))</f>
        <v/>
      </c>
      <c r="D447" s="262" t="str">
        <f ca="1">IF(OFFSET('IWP19'!BackgroundChecks, 4, 4, 1, 1) = 0, "", OFFSET('IWP19'!BackgroundChecks, 4, 4, 1, 1))</f>
        <v/>
      </c>
      <c r="E447" s="254">
        <f ca="1">IF(OFFSET('IWP19'!BackgroundChecks, 4, 5, 1, 1)=DATE(1900,1,0), DATE(1900,1,1), OFFSET('IWP19'!BackgroundChecks, 4, 5, 1, 1))</f>
        <v>1</v>
      </c>
      <c r="F447" s="262" t="str">
        <f ca="1">IF(OFFSET('IWP19'!BackgroundChecks, 4, 6, 1, 1) = 0, "", OFFSET('IWP19'!BackgroundChecks, 4, 6, 1, 1))</f>
        <v/>
      </c>
      <c r="G447" s="254">
        <f ca="1">IF(OFFSET('IWP19'!BackgroundChecks, 4, 7, 1, 1)=DATE(1900,1,0), DATE(1900,1,1), OFFSET('IWP19'!BackgroundChecks, 4, 7, 1, 1))</f>
        <v>1</v>
      </c>
      <c r="H447" s="254">
        <f ca="1">IF(OFFSET('IWP19'!BackgroundChecks, 4, 8, 1, 1)=DATE(1900,1,0), DATE(1900,1,1), OFFSET('IWP19'!BackgroundChecks, 4, 8, 1, 1))</f>
        <v>1</v>
      </c>
      <c r="I447" s="262" t="str">
        <f ca="1">IF(OFFSET('IWP19'!BackgroundChecks, 4, 9, 1, 1) = 0, "", OFFSET('IWP19'!BackgroundChecks, 4, 9, 1, 1))</f>
        <v/>
      </c>
      <c r="J447" s="262" t="str">
        <f ca="1">IF(OFFSET('IWP19'!BackgroundChecks, 4, 10, 1, 1) = 0, "", OFFSET('IWP19'!BackgroundChecks, 4, 10, 1, 1))</f>
        <v/>
      </c>
      <c r="K447" s="262" t="str">
        <f ca="1">IF(OFFSET('IWP19'!BackgroundChecks, 4, 11, 1, 1) = 0, "", OFFSET('IWP19'!BackgroundChecks, 4, 11, 1, 1))</f>
        <v/>
      </c>
      <c r="L447" s="262" t="str">
        <f ca="1">IF(OFFSET('IWP19'!BackgroundChecks, 4, 12, 1, 1) = 0, "", OFFSET('IWP19'!BackgroundChecks, 4, 12, 1, 1))</f>
        <v/>
      </c>
      <c r="M447" s="262" t="str">
        <f ca="1">IF(OFFSET('IWP19'!BackgroundChecks, 4, 13, 1, 1) = 0, "", OFFSET('IWP19'!BackgroundChecks, 4, 13, 1, 1))</f>
        <v/>
      </c>
      <c r="N447" s="261"/>
    </row>
    <row r="448" spans="1:14" s="146" customFormat="1">
      <c r="A448" s="257" t="s">
        <v>517</v>
      </c>
      <c r="B448" s="262" t="str">
        <f ca="1">IF(OFFSET('IWP19'!BackgroundChecks, 5, 0, 1, 1) = 0, "", OFFSET('IWP19'!BackgroundChecks, 5, 0, 1, 1))</f>
        <v/>
      </c>
      <c r="C448" s="262" t="str">
        <f ca="1">IF(OFFSET('IWP19'!BackgroundChecks, 5, 2, 1, 1) = 0, "", OFFSET('IWP19'!BackgroundChecks, 5, 2, 1, 1))</f>
        <v/>
      </c>
      <c r="D448" s="262" t="str">
        <f ca="1">IF(OFFSET('IWP19'!BackgroundChecks, 5, 4, 1, 1) = 0, "", OFFSET('IWP19'!BackgroundChecks, 5, 4, 1, 1))</f>
        <v/>
      </c>
      <c r="E448" s="254">
        <f ca="1">IF(OFFSET('IWP19'!BackgroundChecks, 5, 5, 1, 1)=DATE(1900,1,0), DATE(1900,1,1), OFFSET('IWP19'!BackgroundChecks, 5, 5, 1, 1))</f>
        <v>1</v>
      </c>
      <c r="F448" s="262" t="str">
        <f ca="1">IF(OFFSET('IWP19'!BackgroundChecks, 5, 6, 1, 1) = 0, "", OFFSET('IWP19'!BackgroundChecks, 5, 6, 1, 1))</f>
        <v/>
      </c>
      <c r="G448" s="254">
        <f ca="1">IF(OFFSET('IWP19'!BackgroundChecks, 5, 7, 1, 1)=DATE(1900,1,0), DATE(1900,1,1), OFFSET('IWP19'!BackgroundChecks, 5, 7, 1, 1))</f>
        <v>1</v>
      </c>
      <c r="H448" s="254">
        <f ca="1">IF(OFFSET('IWP19'!BackgroundChecks, 5, 8, 1, 1)=DATE(1900,1,0), DATE(1900,1,1), OFFSET('IWP19'!BackgroundChecks, 5, 8, 1, 1))</f>
        <v>1</v>
      </c>
      <c r="I448" s="262" t="str">
        <f ca="1">IF(OFFSET('IWP19'!BackgroundChecks, 5, 9, 1, 1) = 0, "", OFFSET('IWP19'!BackgroundChecks, 5, 9, 1, 1))</f>
        <v/>
      </c>
      <c r="J448" s="262" t="str">
        <f ca="1">IF(OFFSET('IWP19'!BackgroundChecks, 5, 10, 1, 1) = 0, "", OFFSET('IWP19'!BackgroundChecks, 5, 10, 1, 1))</f>
        <v/>
      </c>
      <c r="K448" s="262" t="str">
        <f ca="1">IF(OFFSET('IWP19'!BackgroundChecks, 5, 11, 1, 1) = 0, "", OFFSET('IWP19'!BackgroundChecks, 5, 11, 1, 1))</f>
        <v/>
      </c>
      <c r="L448" s="262" t="str">
        <f ca="1">IF(OFFSET('IWP19'!BackgroundChecks, 5, 12, 1, 1) = 0, "", OFFSET('IWP19'!BackgroundChecks, 5, 12, 1, 1))</f>
        <v/>
      </c>
      <c r="M448" s="262" t="str">
        <f ca="1">IF(OFFSET('IWP19'!BackgroundChecks, 5, 13, 1, 1) = 0, "", OFFSET('IWP19'!BackgroundChecks, 5, 13, 1, 1))</f>
        <v/>
      </c>
      <c r="N448" s="261"/>
    </row>
    <row r="449" spans="1:14" s="146" customFormat="1">
      <c r="A449" s="257" t="s">
        <v>517</v>
      </c>
      <c r="B449" s="262" t="str">
        <f ca="1">IF(OFFSET('IWP19'!BackgroundChecks, 6, 0, 1, 1) = 0, "", OFFSET('IWP19'!BackgroundChecks, 6, 0, 1, 1))</f>
        <v/>
      </c>
      <c r="C449" s="262" t="str">
        <f ca="1">IF(OFFSET('IWP19'!BackgroundChecks, 6, 2, 1, 1) = 0, "", OFFSET('IWP19'!BackgroundChecks, 6, 2, 1, 1))</f>
        <v/>
      </c>
      <c r="D449" s="262" t="str">
        <f ca="1">IF(OFFSET('IWP19'!BackgroundChecks, 6, 4, 1, 1) = 0, "", OFFSET('IWP19'!BackgroundChecks, 6, 4, 1, 1))</f>
        <v/>
      </c>
      <c r="E449" s="254">
        <f ca="1">IF(OFFSET('IWP19'!BackgroundChecks, 6, 5, 1, 1)=DATE(1900,1,0), DATE(1900,1,1), OFFSET('IWP19'!BackgroundChecks, 6, 5, 1, 1))</f>
        <v>1</v>
      </c>
      <c r="F449" s="262" t="str">
        <f ca="1">IF(OFFSET('IWP19'!BackgroundChecks, 6, 6, 1, 1) = 0, "", OFFSET('IWP19'!BackgroundChecks, 6, 6, 1, 1))</f>
        <v/>
      </c>
      <c r="G449" s="254">
        <f ca="1">IF(OFFSET('IWP19'!BackgroundChecks, 6, 7, 1, 1)=DATE(1900,1,0), DATE(1900,1,1), OFFSET('IWP19'!BackgroundChecks, 6, 7, 1, 1))</f>
        <v>1</v>
      </c>
      <c r="H449" s="254">
        <f ca="1">IF(OFFSET('IWP19'!BackgroundChecks, 6, 8, 1, 1)=DATE(1900,1,0), DATE(1900,1,1), OFFSET('IWP19'!BackgroundChecks, 6, 8, 1, 1))</f>
        <v>1</v>
      </c>
      <c r="I449" s="262" t="str">
        <f ca="1">IF(OFFSET('IWP19'!BackgroundChecks, 6, 9, 1, 1) = 0, "", OFFSET('IWP19'!BackgroundChecks, 6, 9, 1, 1))</f>
        <v/>
      </c>
      <c r="J449" s="262" t="str">
        <f ca="1">IF(OFFSET('IWP19'!BackgroundChecks, 6, 10, 1, 1) = 0, "", OFFSET('IWP19'!BackgroundChecks, 6, 10, 1, 1))</f>
        <v/>
      </c>
      <c r="K449" s="262" t="str">
        <f ca="1">IF(OFFSET('IWP19'!BackgroundChecks, 6, 11, 1, 1) = 0, "", OFFSET('IWP19'!BackgroundChecks, 6, 11, 1, 1))</f>
        <v/>
      </c>
      <c r="L449" s="262" t="str">
        <f ca="1">IF(OFFSET('IWP19'!BackgroundChecks, 6, 12, 1, 1) = 0, "", OFFSET('IWP19'!BackgroundChecks, 6, 12, 1, 1))</f>
        <v/>
      </c>
      <c r="M449" s="262" t="str">
        <f ca="1">IF(OFFSET('IWP19'!BackgroundChecks, 6, 13, 1, 1) = 0, "", OFFSET('IWP19'!BackgroundChecks, 6, 13, 1, 1))</f>
        <v/>
      </c>
      <c r="N449" s="261"/>
    </row>
    <row r="450" spans="1:14" s="146" customFormat="1">
      <c r="A450" s="257" t="s">
        <v>517</v>
      </c>
      <c r="B450" s="262" t="str">
        <f ca="1">IF(OFFSET('IWP19'!BackgroundChecks, 7, 0, 1, 1) = 0, "", OFFSET('IWP19'!BackgroundChecks, 7, 0, 1, 1))</f>
        <v/>
      </c>
      <c r="C450" s="262" t="str">
        <f ca="1">IF(OFFSET('IWP19'!BackgroundChecks, 7, 2, 1, 1) = 0, "", OFFSET('IWP19'!BackgroundChecks, 7, 2, 1, 1))</f>
        <v/>
      </c>
      <c r="D450" s="262" t="str">
        <f ca="1">IF(OFFSET('IWP19'!BackgroundChecks, 7, 4, 1, 1) = 0, "", OFFSET('IWP19'!BackgroundChecks, 7, 4, 1, 1))</f>
        <v/>
      </c>
      <c r="E450" s="254">
        <f ca="1">IF(OFFSET('IWP19'!BackgroundChecks, 7, 5, 1, 1)=DATE(1900,1,0), DATE(1900,1,1), OFFSET('IWP19'!BackgroundChecks, 7, 5, 1, 1))</f>
        <v>1</v>
      </c>
      <c r="F450" s="262" t="str">
        <f ca="1">IF(OFFSET('IWP19'!BackgroundChecks, 7, 6, 1, 1) = 0, "", OFFSET('IWP19'!BackgroundChecks, 7, 6, 1, 1))</f>
        <v/>
      </c>
      <c r="G450" s="254">
        <f ca="1">IF(OFFSET('IWP19'!BackgroundChecks, 7, 7, 1, 1)=DATE(1900,1,0), DATE(1900,1,1), OFFSET('IWP19'!BackgroundChecks, 7, 7, 1, 1))</f>
        <v>1</v>
      </c>
      <c r="H450" s="254">
        <f ca="1">IF(OFFSET('IWP19'!BackgroundChecks, 7, 8, 1, 1)=DATE(1900,1,0), DATE(1900,1,1), OFFSET('IWP19'!BackgroundChecks, 7, 8, 1, 1))</f>
        <v>1</v>
      </c>
      <c r="I450" s="262" t="str">
        <f ca="1">IF(OFFSET('IWP19'!BackgroundChecks, 7, 9, 1, 1) = 0, "", OFFSET('IWP19'!BackgroundChecks, 7, 9, 1, 1))</f>
        <v/>
      </c>
      <c r="J450" s="262" t="str">
        <f ca="1">IF(OFFSET('IWP19'!BackgroundChecks, 7, 10, 1, 1) = 0, "", OFFSET('IWP19'!BackgroundChecks, 7, 10, 1, 1))</f>
        <v/>
      </c>
      <c r="K450" s="262" t="str">
        <f ca="1">IF(OFFSET('IWP19'!BackgroundChecks, 7, 11, 1, 1) = 0, "", OFFSET('IWP19'!BackgroundChecks, 7, 11, 1, 1))</f>
        <v/>
      </c>
      <c r="L450" s="262" t="str">
        <f ca="1">IF(OFFSET('IWP19'!BackgroundChecks, 7, 12, 1, 1) = 0, "", OFFSET('IWP19'!BackgroundChecks, 7, 12, 1, 1))</f>
        <v/>
      </c>
      <c r="M450" s="262" t="str">
        <f ca="1">IF(OFFSET('IWP19'!BackgroundChecks, 7, 13, 1, 1) = 0, "", OFFSET('IWP19'!BackgroundChecks, 7, 13, 1, 1))</f>
        <v/>
      </c>
      <c r="N450" s="261"/>
    </row>
    <row r="451" spans="1:14" s="146" customFormat="1">
      <c r="A451" s="257" t="s">
        <v>517</v>
      </c>
      <c r="B451" s="262" t="str">
        <f ca="1">IF(OFFSET('IWP19'!BackgroundChecks, 8, 0, 1, 1) = 0, "", OFFSET('IWP19'!BackgroundChecks, 8, 0, 1, 1))</f>
        <v/>
      </c>
      <c r="C451" s="262" t="str">
        <f ca="1">IF(OFFSET('IWP19'!BackgroundChecks, 8, 2, 1, 1) = 0, "", OFFSET('IWP19'!BackgroundChecks, 8, 2, 1, 1))</f>
        <v/>
      </c>
      <c r="D451" s="262" t="str">
        <f ca="1">IF(OFFSET('IWP19'!BackgroundChecks, 8, 4, 1, 1) = 0, "", OFFSET('IWP19'!BackgroundChecks, 8, 4, 1, 1))</f>
        <v/>
      </c>
      <c r="E451" s="254">
        <f ca="1">IF(OFFSET('IWP19'!BackgroundChecks, 8, 5, 1, 1)=DATE(1900,1,0), DATE(1900,1,1), OFFSET('IWP19'!BackgroundChecks, 8, 5, 1, 1))</f>
        <v>1</v>
      </c>
      <c r="F451" s="262" t="str">
        <f ca="1">IF(OFFSET('IWP19'!BackgroundChecks, 8, 6, 1, 1) = 0, "", OFFSET('IWP19'!BackgroundChecks, 8, 6, 1, 1))</f>
        <v/>
      </c>
      <c r="G451" s="254">
        <f ca="1">IF(OFFSET('IWP19'!BackgroundChecks, 8, 7, 1, 1)=DATE(1900,1,0), DATE(1900,1,1), OFFSET('IWP19'!BackgroundChecks, 8, 7, 1, 1))</f>
        <v>1</v>
      </c>
      <c r="H451" s="254">
        <f ca="1">IF(OFFSET('IWP19'!BackgroundChecks, 8, 8, 1, 1)=DATE(1900,1,0), DATE(1900,1,1), OFFSET('IWP19'!BackgroundChecks, 8, 8, 1, 1))</f>
        <v>1</v>
      </c>
      <c r="I451" s="262" t="str">
        <f ca="1">IF(OFFSET('IWP19'!BackgroundChecks, 8, 9, 1, 1) = 0, "", OFFSET('IWP19'!BackgroundChecks, 8, 9, 1, 1))</f>
        <v/>
      </c>
      <c r="J451" s="262" t="str">
        <f ca="1">IF(OFFSET('IWP19'!BackgroundChecks, 8, 10, 1, 1) = 0, "", OFFSET('IWP19'!BackgroundChecks, 8, 10, 1, 1))</f>
        <v/>
      </c>
      <c r="K451" s="262" t="str">
        <f ca="1">IF(OFFSET('IWP19'!BackgroundChecks, 8, 11, 1, 1) = 0, "", OFFSET('IWP19'!BackgroundChecks, 8, 11, 1, 1))</f>
        <v/>
      </c>
      <c r="L451" s="262" t="str">
        <f ca="1">IF(OFFSET('IWP19'!BackgroundChecks, 8, 12, 1, 1) = 0, "", OFFSET('IWP19'!BackgroundChecks, 8, 12, 1, 1))</f>
        <v/>
      </c>
      <c r="M451" s="262" t="str">
        <f ca="1">IF(OFFSET('IWP19'!BackgroundChecks, 8, 13, 1, 1) = 0, "", OFFSET('IWP19'!BackgroundChecks, 8, 13, 1, 1))</f>
        <v/>
      </c>
      <c r="N451" s="261"/>
    </row>
    <row r="452" spans="1:14" s="146" customFormat="1">
      <c r="A452" s="257" t="s">
        <v>517</v>
      </c>
      <c r="B452" s="262" t="str">
        <f ca="1">IF(OFFSET('IWP19'!BackgroundChecks, 9, 0, 1, 1) = 0, "", OFFSET('IWP19'!BackgroundChecks, 9, 0, 1, 1))</f>
        <v/>
      </c>
      <c r="C452" s="262" t="str">
        <f ca="1">IF(OFFSET('IWP19'!BackgroundChecks, 9, 2, 1, 1) = 0, "", OFFSET('IWP19'!BackgroundChecks, 9, 2, 1, 1))</f>
        <v/>
      </c>
      <c r="D452" s="262" t="str">
        <f ca="1">IF(OFFSET('IWP19'!BackgroundChecks, 9, 4, 1, 1) = 0, "", OFFSET('IWP19'!BackgroundChecks, 9, 4, 1, 1))</f>
        <v/>
      </c>
      <c r="E452" s="254">
        <f ca="1">IF(OFFSET('IWP19'!BackgroundChecks, 9, 5, 1, 1)=DATE(1900,1,0), DATE(1900,1,1), OFFSET('IWP19'!BackgroundChecks, 9, 5, 1, 1))</f>
        <v>1</v>
      </c>
      <c r="F452" s="262" t="str">
        <f ca="1">IF(OFFSET('IWP19'!BackgroundChecks, 9, 6, 1, 1) = 0, "", OFFSET('IWP19'!BackgroundChecks, 9, 6, 1, 1))</f>
        <v/>
      </c>
      <c r="G452" s="254">
        <f ca="1">IF(OFFSET('IWP19'!BackgroundChecks, 9, 7, 1, 1)=DATE(1900,1,0), DATE(1900,1,1), OFFSET('IWP19'!BackgroundChecks, 9, 7, 1, 1))</f>
        <v>1</v>
      </c>
      <c r="H452" s="254">
        <f ca="1">IF(OFFSET('IWP19'!BackgroundChecks, 9, 8, 1, 1)=DATE(1900,1,0), DATE(1900,1,1), OFFSET('IWP19'!BackgroundChecks, 9, 8, 1, 1))</f>
        <v>1</v>
      </c>
      <c r="I452" s="262" t="str">
        <f ca="1">IF(OFFSET('IWP19'!BackgroundChecks, 9, 9, 1, 1) = 0, "", OFFSET('IWP19'!BackgroundChecks, 9, 9, 1, 1))</f>
        <v/>
      </c>
      <c r="J452" s="262" t="str">
        <f ca="1">IF(OFFSET('IWP19'!BackgroundChecks, 9, 10, 1, 1) = 0, "", OFFSET('IWP19'!BackgroundChecks, 9, 10, 1, 1))</f>
        <v/>
      </c>
      <c r="K452" s="262" t="str">
        <f ca="1">IF(OFFSET('IWP19'!BackgroundChecks, 9, 11, 1, 1) = 0, "", OFFSET('IWP19'!BackgroundChecks, 9, 11, 1, 1))</f>
        <v/>
      </c>
      <c r="L452" s="262" t="str">
        <f ca="1">IF(OFFSET('IWP19'!BackgroundChecks, 9, 12, 1, 1) = 0, "", OFFSET('IWP19'!BackgroundChecks, 9, 12, 1, 1))</f>
        <v/>
      </c>
      <c r="M452" s="262" t="str">
        <f ca="1">IF(OFFSET('IWP19'!BackgroundChecks, 9, 13, 1, 1) = 0, "", OFFSET('IWP19'!BackgroundChecks, 9, 13, 1, 1))</f>
        <v/>
      </c>
      <c r="N452" s="261"/>
    </row>
    <row r="453" spans="1:14" s="146" customFormat="1">
      <c r="A453" s="257" t="s">
        <v>517</v>
      </c>
      <c r="B453" s="262" t="str">
        <f ca="1">IF(OFFSET('IWP19'!BackgroundChecks, 10, 0, 1, 1) = 0, "", OFFSET('IWP19'!BackgroundChecks, 10, 0, 1, 1))</f>
        <v/>
      </c>
      <c r="C453" s="262" t="str">
        <f ca="1">IF(OFFSET('IWP19'!BackgroundChecks, 10, 2, 1, 1) = 0, "", OFFSET('IWP19'!BackgroundChecks, 10, 2, 1, 1))</f>
        <v/>
      </c>
      <c r="D453" s="262" t="str">
        <f ca="1">IF(OFFSET('IWP19'!BackgroundChecks, 10, 4, 1, 1) = 0, "", OFFSET('IWP19'!BackgroundChecks, 10, 4, 1, 1))</f>
        <v/>
      </c>
      <c r="E453" s="254">
        <f ca="1">IF(OFFSET('IWP19'!BackgroundChecks, 10, 5, 1, 1)=DATE(1900,1,0), DATE(1900,1,1), OFFSET('IWP19'!BackgroundChecks, 10, 5, 1, 1))</f>
        <v>1</v>
      </c>
      <c r="F453" s="262" t="str">
        <f ca="1">IF(OFFSET('IWP19'!BackgroundChecks, 10, 6, 1, 1) = 0, "", OFFSET('IWP19'!BackgroundChecks, 10, 6, 1, 1))</f>
        <v/>
      </c>
      <c r="G453" s="254">
        <f ca="1">IF(OFFSET('IWP19'!BackgroundChecks, 10, 7, 1, 1)=DATE(1900,1,0), DATE(1900,1,1), OFFSET('IWP19'!BackgroundChecks, 10, 7, 1, 1))</f>
        <v>1</v>
      </c>
      <c r="H453" s="254">
        <f ca="1">IF(OFFSET('IWP19'!BackgroundChecks, 10, 8, 1, 1)=DATE(1900,1,0), DATE(1900,1,1), OFFSET('IWP19'!BackgroundChecks, 10, 8, 1, 1))</f>
        <v>1</v>
      </c>
      <c r="I453" s="262" t="str">
        <f ca="1">IF(OFFSET('IWP19'!BackgroundChecks, 10, 9, 1, 1) = 0, "", OFFSET('IWP19'!BackgroundChecks, 10, 9, 1, 1))</f>
        <v/>
      </c>
      <c r="J453" s="262" t="str">
        <f ca="1">IF(OFFSET('IWP19'!BackgroundChecks, 10, 10, 1, 1) = 0, "", OFFSET('IWP19'!BackgroundChecks, 10, 10, 1, 1))</f>
        <v/>
      </c>
      <c r="K453" s="262" t="str">
        <f ca="1">IF(OFFSET('IWP19'!BackgroundChecks, 10, 11, 1, 1) = 0, "", OFFSET('IWP19'!BackgroundChecks, 10, 11, 1, 1))</f>
        <v/>
      </c>
      <c r="L453" s="262" t="str">
        <f ca="1">IF(OFFSET('IWP19'!BackgroundChecks, 10, 12, 1, 1) = 0, "", OFFSET('IWP19'!BackgroundChecks, 10, 12, 1, 1))</f>
        <v/>
      </c>
      <c r="M453" s="262" t="str">
        <f ca="1">IF(OFFSET('IWP19'!BackgroundChecks, 10, 13, 1, 1) = 0, "", OFFSET('IWP19'!BackgroundChecks, 10, 13, 1, 1))</f>
        <v/>
      </c>
      <c r="N453" s="261"/>
    </row>
    <row r="454" spans="1:14" s="146" customFormat="1">
      <c r="A454" s="257" t="s">
        <v>517</v>
      </c>
      <c r="B454" s="262" t="str">
        <f ca="1">IF(OFFSET('IWP19'!BackgroundChecks, 11, 0, 1, 1) = 0, "", OFFSET('IWP19'!BackgroundChecks, 11, 0, 1, 1))</f>
        <v/>
      </c>
      <c r="C454" s="262" t="str">
        <f ca="1">IF(OFFSET('IWP19'!BackgroundChecks, 11, 2, 1, 1) = 0, "", OFFSET('IWP19'!BackgroundChecks, 11, 2, 1, 1))</f>
        <v/>
      </c>
      <c r="D454" s="262" t="str">
        <f ca="1">IF(OFFSET('IWP19'!BackgroundChecks, 11, 4, 1, 1) = 0, "", OFFSET('IWP19'!BackgroundChecks, 11, 4, 1, 1))</f>
        <v/>
      </c>
      <c r="E454" s="254">
        <f ca="1">IF(OFFSET('IWP19'!BackgroundChecks, 11, 5, 1, 1)=DATE(1900,1,0), DATE(1900,1,1), OFFSET('IWP19'!BackgroundChecks, 11, 5, 1, 1))</f>
        <v>1</v>
      </c>
      <c r="F454" s="262" t="str">
        <f ca="1">IF(OFFSET('IWP19'!BackgroundChecks, 11, 6, 1, 1) = 0, "", OFFSET('IWP19'!BackgroundChecks, 11, 6, 1, 1))</f>
        <v/>
      </c>
      <c r="G454" s="254">
        <f ca="1">IF(OFFSET('IWP19'!BackgroundChecks, 11, 7, 1, 1)=DATE(1900,1,0), DATE(1900,1,1), OFFSET('IWP19'!BackgroundChecks, 11, 7, 1, 1))</f>
        <v>1</v>
      </c>
      <c r="H454" s="254">
        <f ca="1">IF(OFFSET('IWP19'!BackgroundChecks, 11, 8, 1, 1)=DATE(1900,1,0), DATE(1900,1,1), OFFSET('IWP19'!BackgroundChecks, 11, 8, 1, 1))</f>
        <v>1</v>
      </c>
      <c r="I454" s="262" t="str">
        <f ca="1">IF(OFFSET('IWP19'!BackgroundChecks, 11, 9, 1, 1) = 0, "", OFFSET('IWP19'!BackgroundChecks, 11, 9, 1, 1))</f>
        <v/>
      </c>
      <c r="J454" s="262" t="str">
        <f ca="1">IF(OFFSET('IWP19'!BackgroundChecks, 11, 10, 1, 1) = 0, "", OFFSET('IWP19'!BackgroundChecks, 11, 10, 1, 1))</f>
        <v/>
      </c>
      <c r="K454" s="262" t="str">
        <f ca="1">IF(OFFSET('IWP19'!BackgroundChecks, 11, 11, 1, 1) = 0, "", OFFSET('IWP19'!BackgroundChecks, 11, 11, 1, 1))</f>
        <v/>
      </c>
      <c r="L454" s="262" t="str">
        <f ca="1">IF(OFFSET('IWP19'!BackgroundChecks, 11, 12, 1, 1) = 0, "", OFFSET('IWP19'!BackgroundChecks, 11, 12, 1, 1))</f>
        <v/>
      </c>
      <c r="M454" s="262" t="str">
        <f ca="1">IF(OFFSET('IWP19'!BackgroundChecks, 11, 13, 1, 1) = 0, "", OFFSET('IWP19'!BackgroundChecks, 11, 13, 1, 1))</f>
        <v/>
      </c>
      <c r="N454" s="261"/>
    </row>
    <row r="455" spans="1:14" s="146" customFormat="1">
      <c r="A455" s="257" t="s">
        <v>517</v>
      </c>
      <c r="B455" s="262" t="str">
        <f ca="1">IF(OFFSET('IWP19'!BackgroundChecks, 12, 0, 1, 1) = 0, "", OFFSET('IWP19'!BackgroundChecks, 12, 0, 1, 1))</f>
        <v/>
      </c>
      <c r="C455" s="262" t="str">
        <f ca="1">IF(OFFSET('IWP19'!BackgroundChecks, 12, 2, 1, 1) = 0, "", OFFSET('IWP19'!BackgroundChecks, 12, 2, 1, 1))</f>
        <v/>
      </c>
      <c r="D455" s="262" t="str">
        <f ca="1">IF(OFFSET('IWP19'!BackgroundChecks, 12, 4, 1, 1) = 0, "", OFFSET('IWP19'!BackgroundChecks, 12, 4, 1, 1))</f>
        <v/>
      </c>
      <c r="E455" s="254">
        <f ca="1">IF(OFFSET('IWP19'!BackgroundChecks, 12, 5, 1, 1)=DATE(1900,1,0), DATE(1900,1,1), OFFSET('IWP19'!BackgroundChecks, 12, 5, 1, 1))</f>
        <v>1</v>
      </c>
      <c r="F455" s="262" t="str">
        <f ca="1">IF(OFFSET('IWP19'!BackgroundChecks, 12, 6, 1, 1) = 0, "", OFFSET('IWP19'!BackgroundChecks, 12, 6, 1, 1))</f>
        <v/>
      </c>
      <c r="G455" s="254">
        <f ca="1">IF(OFFSET('IWP19'!BackgroundChecks, 12, 7, 1, 1)=DATE(1900,1,0), DATE(1900,1,1), OFFSET('IWP19'!BackgroundChecks, 12, 7, 1, 1))</f>
        <v>1</v>
      </c>
      <c r="H455" s="254">
        <f ca="1">IF(OFFSET('IWP19'!BackgroundChecks, 12, 8, 1, 1)=DATE(1900,1,0), DATE(1900,1,1), OFFSET('IWP19'!BackgroundChecks, 12, 8, 1, 1))</f>
        <v>1</v>
      </c>
      <c r="I455" s="262" t="str">
        <f ca="1">IF(OFFSET('IWP19'!BackgroundChecks, 12, 9, 1, 1) = 0, "", OFFSET('IWP19'!BackgroundChecks, 12, 9, 1, 1))</f>
        <v/>
      </c>
      <c r="J455" s="262" t="str">
        <f ca="1">IF(OFFSET('IWP19'!BackgroundChecks, 12, 10, 1, 1) = 0, "", OFFSET('IWP19'!BackgroundChecks, 12, 10, 1, 1))</f>
        <v/>
      </c>
      <c r="K455" s="262" t="str">
        <f ca="1">IF(OFFSET('IWP19'!BackgroundChecks, 12, 11, 1, 1) = 0, "", OFFSET('IWP19'!BackgroundChecks, 12, 11, 1, 1))</f>
        <v/>
      </c>
      <c r="L455" s="262" t="str">
        <f ca="1">IF(OFFSET('IWP19'!BackgroundChecks, 12, 12, 1, 1) = 0, "", OFFSET('IWP19'!BackgroundChecks, 12, 12, 1, 1))</f>
        <v/>
      </c>
      <c r="M455" s="262" t="str">
        <f ca="1">IF(OFFSET('IWP19'!BackgroundChecks, 12, 13, 1, 1) = 0, "", OFFSET('IWP19'!BackgroundChecks, 12, 13, 1, 1))</f>
        <v/>
      </c>
      <c r="N455" s="261"/>
    </row>
    <row r="456" spans="1:14" s="146" customFormat="1">
      <c r="A456" s="257" t="s">
        <v>517</v>
      </c>
      <c r="B456" s="262" t="str">
        <f ca="1">IF(OFFSET('IWP19'!BackgroundChecks, 13, 0, 1, 1) = 0, "", OFFSET('IWP19'!BackgroundChecks, 13, 0, 1, 1))</f>
        <v/>
      </c>
      <c r="C456" s="262" t="str">
        <f ca="1">IF(OFFSET('IWP19'!BackgroundChecks, 13, 2, 1, 1) = 0, "", OFFSET('IWP19'!BackgroundChecks, 13, 2, 1, 1))</f>
        <v/>
      </c>
      <c r="D456" s="262" t="str">
        <f ca="1">IF(OFFSET('IWP19'!BackgroundChecks, 13, 4, 1, 1) = 0, "", OFFSET('IWP19'!BackgroundChecks, 13, 4, 1, 1))</f>
        <v/>
      </c>
      <c r="E456" s="254">
        <f ca="1">IF(OFFSET('IWP19'!BackgroundChecks, 13, 5, 1, 1)=DATE(1900,1,0), DATE(1900,1,1), OFFSET('IWP19'!BackgroundChecks, 13, 5, 1, 1))</f>
        <v>1</v>
      </c>
      <c r="F456" s="262" t="str">
        <f ca="1">IF(OFFSET('IWP19'!BackgroundChecks, 13, 6, 1, 1) = 0, "", OFFSET('IWP19'!BackgroundChecks, 13, 6, 1, 1))</f>
        <v/>
      </c>
      <c r="G456" s="254">
        <f ca="1">IF(OFFSET('IWP19'!BackgroundChecks, 13, 7, 1, 1)=DATE(1900,1,0), DATE(1900,1,1), OFFSET('IWP19'!BackgroundChecks, 13, 7, 1, 1))</f>
        <v>1</v>
      </c>
      <c r="H456" s="254">
        <f ca="1">IF(OFFSET('IWP19'!BackgroundChecks, 13, 8, 1, 1)=DATE(1900,1,0), DATE(1900,1,1), OFFSET('IWP19'!BackgroundChecks, 13, 8, 1, 1))</f>
        <v>1</v>
      </c>
      <c r="I456" s="262" t="str">
        <f ca="1">IF(OFFSET('IWP19'!BackgroundChecks, 13, 9, 1, 1) = 0, "", OFFSET('IWP19'!BackgroundChecks, 13, 9, 1, 1))</f>
        <v/>
      </c>
      <c r="J456" s="262" t="str">
        <f ca="1">IF(OFFSET('IWP19'!BackgroundChecks, 13, 10, 1, 1) = 0, "", OFFSET('IWP19'!BackgroundChecks, 13, 10, 1, 1))</f>
        <v/>
      </c>
      <c r="K456" s="262" t="str">
        <f ca="1">IF(OFFSET('IWP19'!BackgroundChecks, 13, 11, 1, 1) = 0, "", OFFSET('IWP19'!BackgroundChecks, 13, 11, 1, 1))</f>
        <v/>
      </c>
      <c r="L456" s="262" t="str">
        <f ca="1">IF(OFFSET('IWP19'!BackgroundChecks, 13, 12, 1, 1) = 0, "", OFFSET('IWP19'!BackgroundChecks, 13, 12, 1, 1))</f>
        <v/>
      </c>
      <c r="M456" s="262" t="str">
        <f ca="1">IF(OFFSET('IWP19'!BackgroundChecks, 13, 13, 1, 1) = 0, "", OFFSET('IWP19'!BackgroundChecks, 13, 13, 1, 1))</f>
        <v/>
      </c>
      <c r="N456" s="261"/>
    </row>
    <row r="457" spans="1:14" s="146" customFormat="1">
      <c r="A457" s="257" t="s">
        <v>517</v>
      </c>
      <c r="B457" s="262" t="str">
        <f ca="1">IF(OFFSET('IWP19'!BackgroundChecks, 14, 0, 1, 1) = 0, "", OFFSET('IWP19'!BackgroundChecks, 14, 0, 1, 1))</f>
        <v/>
      </c>
      <c r="C457" s="262" t="str">
        <f ca="1">IF(OFFSET('IWP19'!BackgroundChecks, 14, 2, 1, 1) = 0, "", OFFSET('IWP19'!BackgroundChecks, 14, 2, 1, 1))</f>
        <v/>
      </c>
      <c r="D457" s="262" t="str">
        <f ca="1">IF(OFFSET('IWP19'!BackgroundChecks, 14, 4, 1, 1) = 0, "", OFFSET('IWP19'!BackgroundChecks, 14, 4, 1, 1))</f>
        <v/>
      </c>
      <c r="E457" s="254">
        <f ca="1">IF(OFFSET('IWP19'!BackgroundChecks, 14, 5, 1, 1)=DATE(1900,1,0), DATE(1900,1,1), OFFSET('IWP19'!BackgroundChecks, 14, 5, 1, 1))</f>
        <v>1</v>
      </c>
      <c r="F457" s="262" t="str">
        <f ca="1">IF(OFFSET('IWP19'!BackgroundChecks, 14, 6, 1, 1) = 0, "", OFFSET('IWP19'!BackgroundChecks, 14, 6, 1, 1))</f>
        <v/>
      </c>
      <c r="G457" s="254">
        <f ca="1">IF(OFFSET('IWP19'!BackgroundChecks, 14, 7, 1, 1)=DATE(1900,1,0), DATE(1900,1,1), OFFSET('IWP19'!BackgroundChecks, 14, 7, 1, 1))</f>
        <v>1</v>
      </c>
      <c r="H457" s="254">
        <f ca="1">IF(OFFSET('IWP19'!BackgroundChecks, 14, 8, 1, 1)=DATE(1900,1,0), DATE(1900,1,1), OFFSET('IWP19'!BackgroundChecks, 14, 8, 1, 1))</f>
        <v>1</v>
      </c>
      <c r="I457" s="262" t="str">
        <f ca="1">IF(OFFSET('IWP19'!BackgroundChecks, 14, 9, 1, 1) = 0, "", OFFSET('IWP19'!BackgroundChecks, 14, 9, 1, 1))</f>
        <v/>
      </c>
      <c r="J457" s="262" t="str">
        <f ca="1">IF(OFFSET('IWP19'!BackgroundChecks, 14, 10, 1, 1) = 0, "", OFFSET('IWP19'!BackgroundChecks, 14, 10, 1, 1))</f>
        <v/>
      </c>
      <c r="K457" s="262" t="str">
        <f ca="1">IF(OFFSET('IWP19'!BackgroundChecks, 14, 11, 1, 1) = 0, "", OFFSET('IWP19'!BackgroundChecks, 14, 11, 1, 1))</f>
        <v/>
      </c>
      <c r="L457" s="262" t="str">
        <f ca="1">IF(OFFSET('IWP19'!BackgroundChecks, 14, 12, 1, 1) = 0, "", OFFSET('IWP19'!BackgroundChecks, 14, 12, 1, 1))</f>
        <v/>
      </c>
      <c r="M457" s="262" t="str">
        <f ca="1">IF(OFFSET('IWP19'!BackgroundChecks, 14, 13, 1, 1) = 0, "", OFFSET('IWP19'!BackgroundChecks, 14, 13, 1, 1))</f>
        <v/>
      </c>
      <c r="N457" s="261"/>
    </row>
    <row r="458" spans="1:14" s="146" customFormat="1">
      <c r="A458" s="257" t="s">
        <v>517</v>
      </c>
      <c r="B458" s="262" t="str">
        <f ca="1">IF(OFFSET('IWP19'!BackgroundChecks, 15, 0, 1, 1) = 0, "", OFFSET('IWP19'!BackgroundChecks, 15, 0, 1, 1))</f>
        <v/>
      </c>
      <c r="C458" s="262" t="str">
        <f ca="1">IF(OFFSET('IWP19'!BackgroundChecks, 15, 2, 1, 1) = 0, "", OFFSET('IWP19'!BackgroundChecks, 15, 2, 1, 1))</f>
        <v/>
      </c>
      <c r="D458" s="262" t="str">
        <f ca="1">IF(OFFSET('IWP19'!BackgroundChecks, 15, 4, 1, 1) = 0, "", OFFSET('IWP19'!BackgroundChecks, 15, 4, 1, 1))</f>
        <v/>
      </c>
      <c r="E458" s="254">
        <f ca="1">IF(OFFSET('IWP19'!BackgroundChecks, 15, 5, 1, 1)=DATE(1900,1,0), DATE(1900,1,1), OFFSET('IWP19'!BackgroundChecks, 15, 5, 1, 1))</f>
        <v>1</v>
      </c>
      <c r="F458" s="262" t="str">
        <f ca="1">IF(OFFSET('IWP19'!BackgroundChecks, 15, 6, 1, 1) = 0, "", OFFSET('IWP19'!BackgroundChecks, 15, 6, 1, 1))</f>
        <v/>
      </c>
      <c r="G458" s="254">
        <f ca="1">IF(OFFSET('IWP19'!BackgroundChecks, 15, 7, 1, 1)=DATE(1900,1,0), DATE(1900,1,1), OFFSET('IWP19'!BackgroundChecks, 15, 7, 1, 1))</f>
        <v>1</v>
      </c>
      <c r="H458" s="254">
        <f ca="1">IF(OFFSET('IWP19'!BackgroundChecks, 15, 8, 1, 1)=DATE(1900,1,0), DATE(1900,1,1), OFFSET('IWP19'!BackgroundChecks, 15, 8, 1, 1))</f>
        <v>1</v>
      </c>
      <c r="I458" s="262" t="str">
        <f ca="1">IF(OFFSET('IWP19'!BackgroundChecks, 15, 9, 1, 1) = 0, "", OFFSET('IWP19'!BackgroundChecks, 15, 9, 1, 1))</f>
        <v/>
      </c>
      <c r="J458" s="262" t="str">
        <f ca="1">IF(OFFSET('IWP19'!BackgroundChecks, 15, 10, 1, 1) = 0, "", OFFSET('IWP19'!BackgroundChecks, 15, 10, 1, 1))</f>
        <v/>
      </c>
      <c r="K458" s="262" t="str">
        <f ca="1">IF(OFFSET('IWP19'!BackgroundChecks, 15, 11, 1, 1) = 0, "", OFFSET('IWP19'!BackgroundChecks, 15, 11, 1, 1))</f>
        <v/>
      </c>
      <c r="L458" s="262" t="str">
        <f ca="1">IF(OFFSET('IWP19'!BackgroundChecks, 15, 12, 1, 1) = 0, "", OFFSET('IWP19'!BackgroundChecks, 15, 12, 1, 1))</f>
        <v/>
      </c>
      <c r="M458" s="262" t="str">
        <f ca="1">IF(OFFSET('IWP19'!BackgroundChecks, 15, 13, 1, 1) = 0, "", OFFSET('IWP19'!BackgroundChecks, 15, 13, 1, 1))</f>
        <v/>
      </c>
      <c r="N458" s="261"/>
    </row>
    <row r="459" spans="1:14" s="146" customFormat="1">
      <c r="A459" s="257" t="s">
        <v>517</v>
      </c>
      <c r="B459" s="262" t="str">
        <f ca="1">IF(OFFSET('IWP19'!BackgroundChecks, 16, 0, 1, 1) = 0, "", OFFSET('IWP19'!BackgroundChecks, 16, 0, 1, 1))</f>
        <v/>
      </c>
      <c r="C459" s="262" t="str">
        <f ca="1">IF(OFFSET('IWP19'!BackgroundChecks, 16, 2, 1, 1) = 0, "", OFFSET('IWP19'!BackgroundChecks, 16, 2, 1, 1))</f>
        <v/>
      </c>
      <c r="D459" s="262" t="str">
        <f ca="1">IF(OFFSET('IWP19'!BackgroundChecks, 16, 4, 1, 1) = 0, "", OFFSET('IWP19'!BackgroundChecks, 16, 4, 1, 1))</f>
        <v/>
      </c>
      <c r="E459" s="254">
        <f ca="1">IF(OFFSET('IWP19'!BackgroundChecks, 16, 5, 1, 1)=DATE(1900,1,0), DATE(1900,1,1), OFFSET('IWP19'!BackgroundChecks, 16, 5, 1, 1))</f>
        <v>1</v>
      </c>
      <c r="F459" s="262" t="str">
        <f ca="1">IF(OFFSET('IWP19'!BackgroundChecks, 16, 6, 1, 1) = 0, "", OFFSET('IWP19'!BackgroundChecks, 16, 6, 1, 1))</f>
        <v/>
      </c>
      <c r="G459" s="254">
        <f ca="1">IF(OFFSET('IWP19'!BackgroundChecks, 16, 7, 1, 1)=DATE(1900,1,0), DATE(1900,1,1), OFFSET('IWP19'!BackgroundChecks, 16, 7, 1, 1))</f>
        <v>1</v>
      </c>
      <c r="H459" s="254">
        <f ca="1">IF(OFFSET('IWP19'!BackgroundChecks, 16, 8, 1, 1)=DATE(1900,1,0), DATE(1900,1,1), OFFSET('IWP19'!BackgroundChecks, 16, 8, 1, 1))</f>
        <v>1</v>
      </c>
      <c r="I459" s="262" t="str">
        <f ca="1">IF(OFFSET('IWP19'!BackgroundChecks, 16, 9, 1, 1) = 0, "", OFFSET('IWP19'!BackgroundChecks, 16, 9, 1, 1))</f>
        <v/>
      </c>
      <c r="J459" s="262" t="str">
        <f ca="1">IF(OFFSET('IWP19'!BackgroundChecks, 16, 10, 1, 1) = 0, "", OFFSET('IWP19'!BackgroundChecks, 16, 10, 1, 1))</f>
        <v/>
      </c>
      <c r="K459" s="262" t="str">
        <f ca="1">IF(OFFSET('IWP19'!BackgroundChecks, 16, 11, 1, 1) = 0, "", OFFSET('IWP19'!BackgroundChecks, 16, 11, 1, 1))</f>
        <v/>
      </c>
      <c r="L459" s="262" t="str">
        <f ca="1">IF(OFFSET('IWP19'!BackgroundChecks, 16, 12, 1, 1) = 0, "", OFFSET('IWP19'!BackgroundChecks, 16, 12, 1, 1))</f>
        <v/>
      </c>
      <c r="M459" s="262" t="str">
        <f ca="1">IF(OFFSET('IWP19'!BackgroundChecks, 16, 13, 1, 1) = 0, "", OFFSET('IWP19'!BackgroundChecks, 16, 13, 1, 1))</f>
        <v/>
      </c>
      <c r="N459" s="261"/>
    </row>
    <row r="460" spans="1:14" s="146" customFormat="1">
      <c r="A460" s="257" t="s">
        <v>517</v>
      </c>
      <c r="B460" s="262" t="str">
        <f ca="1">IF(OFFSET('IWP19'!BackgroundChecks, 17, 0, 1, 1) = 0, "", OFFSET('IWP19'!BackgroundChecks, 17, 0, 1, 1))</f>
        <v/>
      </c>
      <c r="C460" s="262" t="str">
        <f ca="1">IF(OFFSET('IWP19'!BackgroundChecks, 17, 2, 1, 1) = 0, "", OFFSET('IWP19'!BackgroundChecks, 17, 2, 1, 1))</f>
        <v/>
      </c>
      <c r="D460" s="262" t="str">
        <f ca="1">IF(OFFSET('IWP19'!BackgroundChecks, 17, 4, 1, 1) = 0, "", OFFSET('IWP19'!BackgroundChecks, 17, 4, 1, 1))</f>
        <v/>
      </c>
      <c r="E460" s="254">
        <f ca="1">IF(OFFSET('IWP19'!BackgroundChecks, 17, 5, 1, 1)=DATE(1900,1,0), DATE(1900,1,1), OFFSET('IWP19'!BackgroundChecks, 17, 5, 1, 1))</f>
        <v>1</v>
      </c>
      <c r="F460" s="262" t="str">
        <f ca="1">IF(OFFSET('IWP19'!BackgroundChecks, 17, 6, 1, 1) = 0, "", OFFSET('IWP19'!BackgroundChecks, 17, 6, 1, 1))</f>
        <v/>
      </c>
      <c r="G460" s="254">
        <f ca="1">IF(OFFSET('IWP19'!BackgroundChecks, 17, 7, 1, 1)=DATE(1900,1,0), DATE(1900,1,1), OFFSET('IWP19'!BackgroundChecks, 17, 7, 1, 1))</f>
        <v>1</v>
      </c>
      <c r="H460" s="254">
        <f ca="1">IF(OFFSET('IWP19'!BackgroundChecks, 17, 8, 1, 1)=DATE(1900,1,0), DATE(1900,1,1), OFFSET('IWP19'!BackgroundChecks, 17, 8, 1, 1))</f>
        <v>1</v>
      </c>
      <c r="I460" s="262" t="str">
        <f ca="1">IF(OFFSET('IWP19'!BackgroundChecks, 17, 9, 1, 1) = 0, "", OFFSET('IWP19'!BackgroundChecks, 17, 9, 1, 1))</f>
        <v/>
      </c>
      <c r="J460" s="262" t="str">
        <f ca="1">IF(OFFSET('IWP19'!BackgroundChecks, 17, 10, 1, 1) = 0, "", OFFSET('IWP19'!BackgroundChecks, 17, 10, 1, 1))</f>
        <v/>
      </c>
      <c r="K460" s="262" t="str">
        <f ca="1">IF(OFFSET('IWP19'!BackgroundChecks, 17, 11, 1, 1) = 0, "", OFFSET('IWP19'!BackgroundChecks, 17, 11, 1, 1))</f>
        <v/>
      </c>
      <c r="L460" s="262" t="str">
        <f ca="1">IF(OFFSET('IWP19'!BackgroundChecks, 17, 12, 1, 1) = 0, "", OFFSET('IWP19'!BackgroundChecks, 17, 12, 1, 1))</f>
        <v/>
      </c>
      <c r="M460" s="262" t="str">
        <f ca="1">IF(OFFSET('IWP19'!BackgroundChecks, 17, 13, 1, 1) = 0, "", OFFSET('IWP19'!BackgroundChecks, 17, 13, 1, 1))</f>
        <v/>
      </c>
      <c r="N460" s="261"/>
    </row>
    <row r="461" spans="1:14" s="146" customFormat="1">
      <c r="A461" s="257" t="s">
        <v>517</v>
      </c>
      <c r="B461" s="262" t="str">
        <f ca="1">IF(OFFSET('IWP19'!BackgroundChecks, 18, 0, 1, 1) = 0, "", OFFSET('IWP19'!BackgroundChecks, 18, 0, 1, 1))</f>
        <v/>
      </c>
      <c r="C461" s="262" t="str">
        <f ca="1">IF(OFFSET('IWP19'!BackgroundChecks, 18, 2, 1, 1) = 0, "", OFFSET('IWP19'!BackgroundChecks, 18, 2, 1, 1))</f>
        <v/>
      </c>
      <c r="D461" s="262" t="str">
        <f ca="1">IF(OFFSET('IWP19'!BackgroundChecks, 18, 4, 1, 1) = 0, "", OFFSET('IWP19'!BackgroundChecks, 18, 4, 1, 1))</f>
        <v/>
      </c>
      <c r="E461" s="254">
        <f ca="1">IF(OFFSET('IWP19'!BackgroundChecks, 18, 5, 1, 1)=DATE(1900,1,0), DATE(1900,1,1), OFFSET('IWP19'!BackgroundChecks, 18, 5, 1, 1))</f>
        <v>1</v>
      </c>
      <c r="F461" s="262" t="str">
        <f ca="1">IF(OFFSET('IWP19'!BackgroundChecks, 18, 6, 1, 1) = 0, "", OFFSET('IWP19'!BackgroundChecks, 18, 6, 1, 1))</f>
        <v/>
      </c>
      <c r="G461" s="254">
        <f ca="1">IF(OFFSET('IWP19'!BackgroundChecks, 18, 7, 1, 1)=DATE(1900,1,0), DATE(1900,1,1), OFFSET('IWP19'!BackgroundChecks, 18, 7, 1, 1))</f>
        <v>1</v>
      </c>
      <c r="H461" s="254">
        <f ca="1">IF(OFFSET('IWP19'!BackgroundChecks, 18, 8, 1, 1)=DATE(1900,1,0), DATE(1900,1,1), OFFSET('IWP19'!BackgroundChecks, 18, 8, 1, 1))</f>
        <v>1</v>
      </c>
      <c r="I461" s="262" t="str">
        <f ca="1">IF(OFFSET('IWP19'!BackgroundChecks, 18, 9, 1, 1) = 0, "", OFFSET('IWP19'!BackgroundChecks, 18, 9, 1, 1))</f>
        <v/>
      </c>
      <c r="J461" s="262" t="str">
        <f ca="1">IF(OFFSET('IWP19'!BackgroundChecks, 18, 10, 1, 1) = 0, "", OFFSET('IWP19'!BackgroundChecks, 18, 10, 1, 1))</f>
        <v/>
      </c>
      <c r="K461" s="262" t="str">
        <f ca="1">IF(OFFSET('IWP19'!BackgroundChecks, 18, 11, 1, 1) = 0, "", OFFSET('IWP19'!BackgroundChecks, 18, 11, 1, 1))</f>
        <v/>
      </c>
      <c r="L461" s="262" t="str">
        <f ca="1">IF(OFFSET('IWP19'!BackgroundChecks, 18, 12, 1, 1) = 0, "", OFFSET('IWP19'!BackgroundChecks, 18, 12, 1, 1))</f>
        <v/>
      </c>
      <c r="M461" s="262" t="str">
        <f ca="1">IF(OFFSET('IWP19'!BackgroundChecks, 18, 13, 1, 1) = 0, "", OFFSET('IWP19'!BackgroundChecks, 18, 13, 1, 1))</f>
        <v/>
      </c>
      <c r="N461" s="261"/>
    </row>
    <row r="462" spans="1:14" s="146" customFormat="1">
      <c r="A462" s="257" t="s">
        <v>517</v>
      </c>
      <c r="B462" s="262" t="str">
        <f ca="1">IF(OFFSET('IWP19'!BackgroundChecks, 19, 0, 1, 1) = 0, "", OFFSET('IWP19'!BackgroundChecks, 19, 0, 1, 1))</f>
        <v/>
      </c>
      <c r="C462" s="262" t="str">
        <f ca="1">IF(OFFSET('IWP19'!BackgroundChecks, 19, 2, 1, 1) = 0, "", OFFSET('IWP19'!BackgroundChecks, 19, 2, 1, 1))</f>
        <v/>
      </c>
      <c r="D462" s="262" t="str">
        <f ca="1">IF(OFFSET('IWP19'!BackgroundChecks, 19, 4, 1, 1) = 0, "", OFFSET('IWP19'!BackgroundChecks, 19, 4, 1, 1))</f>
        <v/>
      </c>
      <c r="E462" s="254">
        <f ca="1">IF(OFFSET('IWP19'!BackgroundChecks, 19, 5, 1, 1)=DATE(1900,1,0), DATE(1900,1,1), OFFSET('IWP19'!BackgroundChecks, 19, 5, 1, 1))</f>
        <v>1</v>
      </c>
      <c r="F462" s="262" t="str">
        <f ca="1">IF(OFFSET('IWP19'!BackgroundChecks, 19, 6, 1, 1) = 0, "", OFFSET('IWP19'!BackgroundChecks, 19, 6, 1, 1))</f>
        <v/>
      </c>
      <c r="G462" s="254">
        <f ca="1">IF(OFFSET('IWP19'!BackgroundChecks, 19, 7, 1, 1)=DATE(1900,1,0), DATE(1900,1,1), OFFSET('IWP19'!BackgroundChecks, 19, 7, 1, 1))</f>
        <v>1</v>
      </c>
      <c r="H462" s="254">
        <f ca="1">IF(OFFSET('IWP19'!BackgroundChecks, 19, 8, 1, 1)=DATE(1900,1,0), DATE(1900,1,1), OFFSET('IWP19'!BackgroundChecks, 19, 8, 1, 1))</f>
        <v>1</v>
      </c>
      <c r="I462" s="262" t="str">
        <f ca="1">IF(OFFSET('IWP19'!BackgroundChecks, 19, 9, 1, 1) = 0, "", OFFSET('IWP19'!BackgroundChecks, 19, 9, 1, 1))</f>
        <v/>
      </c>
      <c r="J462" s="262" t="str">
        <f ca="1">IF(OFFSET('IWP19'!BackgroundChecks, 19, 10, 1, 1) = 0, "", OFFSET('IWP19'!BackgroundChecks, 19, 10, 1, 1))</f>
        <v/>
      </c>
      <c r="K462" s="262" t="str">
        <f ca="1">IF(OFFSET('IWP19'!BackgroundChecks, 19, 11, 1, 1) = 0, "", OFFSET('IWP19'!BackgroundChecks, 19, 11, 1, 1))</f>
        <v/>
      </c>
      <c r="L462" s="262" t="str">
        <f ca="1">IF(OFFSET('IWP19'!BackgroundChecks, 19, 12, 1, 1) = 0, "", OFFSET('IWP19'!BackgroundChecks, 19, 12, 1, 1))</f>
        <v/>
      </c>
      <c r="M462" s="262" t="str">
        <f ca="1">IF(OFFSET('IWP19'!BackgroundChecks, 19, 13, 1, 1) = 0, "", OFFSET('IWP19'!BackgroundChecks, 19, 13, 1, 1))</f>
        <v/>
      </c>
      <c r="N462" s="261"/>
    </row>
    <row r="463" spans="1:14" s="146" customFormat="1">
      <c r="A463" s="257" t="s">
        <v>518</v>
      </c>
      <c r="B463" s="262" t="str">
        <f ca="1">IF(OFFSET('IWP20'!BackgroundChecks, 0, 0, 1, 1) = 0, "", OFFSET('IWP20'!BackgroundChecks, 0, 0, 1, 1))</f>
        <v/>
      </c>
      <c r="C463" s="262" t="str">
        <f ca="1">IF(OFFSET('IWP20'!BackgroundChecks, 0, 2, 1, 1) = 0, "", OFFSET('IWP20'!BackgroundChecks, 0, 2, 1, 1))</f>
        <v/>
      </c>
      <c r="D463" s="262" t="str">
        <f ca="1">IF(OFFSET('IWP20'!BackgroundChecks, 0, 4, 1, 1) = 0, "", OFFSET('IWP20'!BackgroundChecks, 0, 4, 1, 1))</f>
        <v/>
      </c>
      <c r="E463" s="254">
        <f ca="1">IF(OFFSET('IWP20'!BackgroundChecks, 0, 5, 1, 1)=DATE(1900,1,0), DATE(1900,1,1), OFFSET('IWP20'!BackgroundChecks, 0, 5, 1, 1))</f>
        <v>1</v>
      </c>
      <c r="F463" s="262" t="str">
        <f ca="1">IF(OFFSET('IWP20'!BackgroundChecks, 0, 6, 1, 1) = 0, "", OFFSET('IWP20'!BackgroundChecks, 0, 6, 1, 1))</f>
        <v/>
      </c>
      <c r="G463" s="254">
        <f ca="1">IF(OFFSET('IWP20'!BackgroundChecks, 0, 7, 1, 1)=DATE(1900,1,0), DATE(1900,1,1), OFFSET('IWP20'!BackgroundChecks, 0, 7, 1, 1))</f>
        <v>1</v>
      </c>
      <c r="H463" s="254">
        <f ca="1">IF(OFFSET('IWP20'!BackgroundChecks, 0, 8, 1, 1)=DATE(1900,1,0), DATE(1900,1,1), OFFSET('IWP20'!BackgroundChecks, 0, 8, 1, 1))</f>
        <v>1</v>
      </c>
      <c r="I463" s="262" t="str">
        <f ca="1">IF(OFFSET('IWP20'!BackgroundChecks, 0, 9, 1, 1) = 0, "", OFFSET('IWP20'!BackgroundChecks, 0, 9, 1, 1))</f>
        <v/>
      </c>
      <c r="J463" s="262" t="str">
        <f ca="1">IF(OFFSET('IWP20'!BackgroundChecks, 0, 10, 1, 1) = 0, "", OFFSET('IWP20'!BackgroundChecks, 0, 10, 1, 1))</f>
        <v/>
      </c>
      <c r="K463" s="262" t="str">
        <f ca="1">IF(OFFSET('IWP20'!BackgroundChecks, 0, 11, 1, 1) = 0, "", OFFSET('IWP20'!BackgroundChecks, 0, 11, 1, 1))</f>
        <v/>
      </c>
      <c r="L463" s="262" t="str">
        <f ca="1">IF(OFFSET('IWP20'!BackgroundChecks, 0, 12, 1, 1) = 0, "", OFFSET('IWP20'!BackgroundChecks, 0, 12, 1, 1))</f>
        <v/>
      </c>
      <c r="M463" s="262" t="str">
        <f ca="1">IF(OFFSET('IWP20'!BackgroundChecks, 0, 13, 1, 1) = 0, "", OFFSET('IWP20'!BackgroundChecks, 0, 13, 1, 1))</f>
        <v/>
      </c>
      <c r="N463" s="261"/>
    </row>
    <row r="464" spans="1:14" s="146" customFormat="1">
      <c r="A464" s="257" t="s">
        <v>518</v>
      </c>
      <c r="B464" s="262" t="str">
        <f ca="1">IF(OFFSET('IWP20'!BackgroundChecks, 1, 0, 1, 1) = 0, "", OFFSET('IWP20'!BackgroundChecks, 1, 0, 1, 1))</f>
        <v/>
      </c>
      <c r="C464" s="262" t="str">
        <f ca="1">IF(OFFSET('IWP20'!BackgroundChecks, 1, 2, 1, 1) = 0, "", OFFSET('IWP20'!BackgroundChecks, 1, 2, 1, 1))</f>
        <v/>
      </c>
      <c r="D464" s="262" t="str">
        <f ca="1">IF(OFFSET('IWP20'!BackgroundChecks, 1, 4, 1, 1) = 0, "", OFFSET('IWP20'!BackgroundChecks, 1, 4, 1, 1))</f>
        <v/>
      </c>
      <c r="E464" s="254">
        <f ca="1">IF(OFFSET('IWP20'!BackgroundChecks, 1, 5, 1, 1)=DATE(1900,1,0), DATE(1900,1,1), OFFSET('IWP20'!BackgroundChecks, 1, 5, 1, 1))</f>
        <v>1</v>
      </c>
      <c r="F464" s="262" t="str">
        <f ca="1">IF(OFFSET('IWP20'!BackgroundChecks, 1, 6, 1, 1) = 0, "", OFFSET('IWP20'!BackgroundChecks, 1, 6, 1, 1))</f>
        <v/>
      </c>
      <c r="G464" s="254">
        <f ca="1">IF(OFFSET('IWP20'!BackgroundChecks, 1, 7, 1, 1)=DATE(1900,1,0), DATE(1900,1,1), OFFSET('IWP20'!BackgroundChecks, 1, 7, 1, 1))</f>
        <v>1</v>
      </c>
      <c r="H464" s="254">
        <f ca="1">IF(OFFSET('IWP20'!BackgroundChecks, 1, 8, 1, 1)=DATE(1900,1,0), DATE(1900,1,1), OFFSET('IWP20'!BackgroundChecks, 1, 8, 1, 1))</f>
        <v>1</v>
      </c>
      <c r="I464" s="262" t="str">
        <f ca="1">IF(OFFSET('IWP20'!BackgroundChecks, 1, 9, 1, 1) = 0, "", OFFSET('IWP20'!BackgroundChecks, 1, 9, 1, 1))</f>
        <v/>
      </c>
      <c r="J464" s="262" t="str">
        <f ca="1">IF(OFFSET('IWP20'!BackgroundChecks, 1, 10, 1, 1) = 0, "", OFFSET('IWP20'!BackgroundChecks, 1, 10, 1, 1))</f>
        <v/>
      </c>
      <c r="K464" s="262" t="str">
        <f ca="1">IF(OFFSET('IWP20'!BackgroundChecks, 1, 11, 1, 1) = 0, "", OFFSET('IWP20'!BackgroundChecks, 1, 11, 1, 1))</f>
        <v/>
      </c>
      <c r="L464" s="262" t="str">
        <f ca="1">IF(OFFSET('IWP20'!BackgroundChecks, 1, 12, 1, 1) = 0, "", OFFSET('IWP20'!BackgroundChecks, 1, 12, 1, 1))</f>
        <v/>
      </c>
      <c r="M464" s="262" t="str">
        <f ca="1">IF(OFFSET('IWP20'!BackgroundChecks, 1, 13, 1, 1) = 0, "", OFFSET('IWP20'!BackgroundChecks, 1, 13, 1, 1))</f>
        <v/>
      </c>
      <c r="N464" s="261"/>
    </row>
    <row r="465" spans="1:14" s="146" customFormat="1">
      <c r="A465" s="257" t="s">
        <v>518</v>
      </c>
      <c r="B465" s="262" t="str">
        <f ca="1">IF(OFFSET('IWP20'!BackgroundChecks, 2, 0, 1, 1) = 0, "", OFFSET('IWP20'!BackgroundChecks, 2, 0, 1, 1))</f>
        <v/>
      </c>
      <c r="C465" s="262" t="str">
        <f ca="1">IF(OFFSET('IWP20'!BackgroundChecks, 2, 2, 1, 1) = 0, "", OFFSET('IWP20'!BackgroundChecks, 2, 2, 1, 1))</f>
        <v/>
      </c>
      <c r="D465" s="262" t="str">
        <f ca="1">IF(OFFSET('IWP20'!BackgroundChecks, 2, 4, 1, 1) = 0, "", OFFSET('IWP20'!BackgroundChecks, 2, 4, 1, 1))</f>
        <v/>
      </c>
      <c r="E465" s="254">
        <f ca="1">IF(OFFSET('IWP20'!BackgroundChecks, 2, 5, 1, 1)=DATE(1900,1,0), DATE(1900,1,1), OFFSET('IWP20'!BackgroundChecks, 2, 5, 1, 1))</f>
        <v>1</v>
      </c>
      <c r="F465" s="262" t="str">
        <f ca="1">IF(OFFSET('IWP20'!BackgroundChecks, 2, 6, 1, 1) = 0, "", OFFSET('IWP20'!BackgroundChecks, 2, 6, 1, 1))</f>
        <v/>
      </c>
      <c r="G465" s="254">
        <f ca="1">IF(OFFSET('IWP20'!BackgroundChecks, 2, 7, 1, 1)=DATE(1900,1,0), DATE(1900,1,1), OFFSET('IWP20'!BackgroundChecks, 2, 7, 1, 1))</f>
        <v>1</v>
      </c>
      <c r="H465" s="254">
        <f ca="1">IF(OFFSET('IWP20'!BackgroundChecks, 2, 8, 1, 1)=DATE(1900,1,0), DATE(1900,1,1), OFFSET('IWP20'!BackgroundChecks, 2, 8, 1, 1))</f>
        <v>1</v>
      </c>
      <c r="I465" s="262" t="str">
        <f ca="1">IF(OFFSET('IWP20'!BackgroundChecks, 2, 9, 1, 1) = 0, "", OFFSET('IWP20'!BackgroundChecks, 2, 9, 1, 1))</f>
        <v/>
      </c>
      <c r="J465" s="262" t="str">
        <f ca="1">IF(OFFSET('IWP20'!BackgroundChecks, 2, 10, 1, 1) = 0, "", OFFSET('IWP20'!BackgroundChecks, 2, 10, 1, 1))</f>
        <v/>
      </c>
      <c r="K465" s="262" t="str">
        <f ca="1">IF(OFFSET('IWP20'!BackgroundChecks, 2, 11, 1, 1) = 0, "", OFFSET('IWP20'!BackgroundChecks, 2, 11, 1, 1))</f>
        <v/>
      </c>
      <c r="L465" s="262" t="str">
        <f ca="1">IF(OFFSET('IWP20'!BackgroundChecks, 2, 12, 1, 1) = 0, "", OFFSET('IWP20'!BackgroundChecks, 2, 12, 1, 1))</f>
        <v/>
      </c>
      <c r="M465" s="262" t="str">
        <f ca="1">IF(OFFSET('IWP20'!BackgroundChecks, 2, 13, 1, 1) = 0, "", OFFSET('IWP20'!BackgroundChecks, 2, 13, 1, 1))</f>
        <v/>
      </c>
      <c r="N465" s="261"/>
    </row>
    <row r="466" spans="1:14" s="146" customFormat="1">
      <c r="A466" s="257" t="s">
        <v>518</v>
      </c>
      <c r="B466" s="262" t="str">
        <f ca="1">IF(OFFSET('IWP20'!BackgroundChecks, 3, 0, 1, 1) = 0, "", OFFSET('IWP20'!BackgroundChecks, 3, 0, 1, 1))</f>
        <v/>
      </c>
      <c r="C466" s="262" t="str">
        <f ca="1">IF(OFFSET('IWP20'!BackgroundChecks, 3, 2, 1, 1) = 0, "", OFFSET('IWP20'!BackgroundChecks, 3, 2, 1, 1))</f>
        <v/>
      </c>
      <c r="D466" s="262" t="str">
        <f ca="1">IF(OFFSET('IWP20'!BackgroundChecks, 3, 4, 1, 1) = 0, "", OFFSET('IWP20'!BackgroundChecks, 3, 4, 1, 1))</f>
        <v/>
      </c>
      <c r="E466" s="254">
        <f ca="1">IF(OFFSET('IWP20'!BackgroundChecks, 3, 5, 1, 1)=DATE(1900,1,0), DATE(1900,1,1), OFFSET('IWP20'!BackgroundChecks, 3, 5, 1, 1))</f>
        <v>1</v>
      </c>
      <c r="F466" s="262" t="str">
        <f ca="1">IF(OFFSET('IWP20'!BackgroundChecks, 3, 6, 1, 1) = 0, "", OFFSET('IWP20'!BackgroundChecks, 3, 6, 1, 1))</f>
        <v/>
      </c>
      <c r="G466" s="254">
        <f ca="1">IF(OFFSET('IWP20'!BackgroundChecks, 3, 7, 1, 1)=DATE(1900,1,0), DATE(1900,1,1), OFFSET('IWP20'!BackgroundChecks, 3, 7, 1, 1))</f>
        <v>1</v>
      </c>
      <c r="H466" s="254">
        <f ca="1">IF(OFFSET('IWP20'!BackgroundChecks, 3, 8, 1, 1)=DATE(1900,1,0), DATE(1900,1,1), OFFSET('IWP20'!BackgroundChecks, 3, 8, 1, 1))</f>
        <v>1</v>
      </c>
      <c r="I466" s="262" t="str">
        <f ca="1">IF(OFFSET('IWP20'!BackgroundChecks, 3, 9, 1, 1) = 0, "", OFFSET('IWP20'!BackgroundChecks, 3, 9, 1, 1))</f>
        <v/>
      </c>
      <c r="J466" s="262" t="str">
        <f ca="1">IF(OFFSET('IWP20'!BackgroundChecks, 3, 10, 1, 1) = 0, "", OFFSET('IWP20'!BackgroundChecks, 3, 10, 1, 1))</f>
        <v/>
      </c>
      <c r="K466" s="262" t="str">
        <f ca="1">IF(OFFSET('IWP20'!BackgroundChecks, 3, 11, 1, 1) = 0, "", OFFSET('IWP20'!BackgroundChecks, 3, 11, 1, 1))</f>
        <v/>
      </c>
      <c r="L466" s="262" t="str">
        <f ca="1">IF(OFFSET('IWP20'!BackgroundChecks, 3, 12, 1, 1) = 0, "", OFFSET('IWP20'!BackgroundChecks, 3, 12, 1, 1))</f>
        <v/>
      </c>
      <c r="M466" s="262" t="str">
        <f ca="1">IF(OFFSET('IWP20'!BackgroundChecks, 3, 13, 1, 1) = 0, "", OFFSET('IWP20'!BackgroundChecks, 3, 13, 1, 1))</f>
        <v/>
      </c>
      <c r="N466" s="261"/>
    </row>
    <row r="467" spans="1:14" s="146" customFormat="1">
      <c r="A467" s="257" t="s">
        <v>518</v>
      </c>
      <c r="B467" s="262" t="str">
        <f ca="1">IF(OFFSET('IWP20'!BackgroundChecks, 4, 0, 1, 1) = 0, "", OFFSET('IWP20'!BackgroundChecks, 4, 0, 1, 1))</f>
        <v/>
      </c>
      <c r="C467" s="262" t="str">
        <f ca="1">IF(OFFSET('IWP20'!BackgroundChecks, 4, 2, 1, 1) = 0, "", OFFSET('IWP20'!BackgroundChecks, 4, 2, 1, 1))</f>
        <v/>
      </c>
      <c r="D467" s="262" t="str">
        <f ca="1">IF(OFFSET('IWP20'!BackgroundChecks, 4, 4, 1, 1) = 0, "", OFFSET('IWP20'!BackgroundChecks, 4, 4, 1, 1))</f>
        <v/>
      </c>
      <c r="E467" s="254">
        <f ca="1">IF(OFFSET('IWP20'!BackgroundChecks, 4, 5, 1, 1)=DATE(1900,1,0), DATE(1900,1,1), OFFSET('IWP20'!BackgroundChecks, 4, 5, 1, 1))</f>
        <v>1</v>
      </c>
      <c r="F467" s="262" t="str">
        <f ca="1">IF(OFFSET('IWP20'!BackgroundChecks, 4, 6, 1, 1) = 0, "", OFFSET('IWP20'!BackgroundChecks, 4, 6, 1, 1))</f>
        <v/>
      </c>
      <c r="G467" s="254">
        <f ca="1">IF(OFFSET('IWP20'!BackgroundChecks, 4, 7, 1, 1)=DATE(1900,1,0), DATE(1900,1,1), OFFSET('IWP20'!BackgroundChecks, 4, 7, 1, 1))</f>
        <v>1</v>
      </c>
      <c r="H467" s="254">
        <f ca="1">IF(OFFSET('IWP20'!BackgroundChecks, 4, 8, 1, 1)=DATE(1900,1,0), DATE(1900,1,1), OFFSET('IWP20'!BackgroundChecks, 4, 8, 1, 1))</f>
        <v>1</v>
      </c>
      <c r="I467" s="262" t="str">
        <f ca="1">IF(OFFSET('IWP20'!BackgroundChecks, 4, 9, 1, 1) = 0, "", OFFSET('IWP20'!BackgroundChecks, 4, 9, 1, 1))</f>
        <v/>
      </c>
      <c r="J467" s="262" t="str">
        <f ca="1">IF(OFFSET('IWP20'!BackgroundChecks, 4, 10, 1, 1) = 0, "", OFFSET('IWP20'!BackgroundChecks, 4, 10, 1, 1))</f>
        <v/>
      </c>
      <c r="K467" s="262" t="str">
        <f ca="1">IF(OFFSET('IWP20'!BackgroundChecks, 4, 11, 1, 1) = 0, "", OFFSET('IWP20'!BackgroundChecks, 4, 11, 1, 1))</f>
        <v/>
      </c>
      <c r="L467" s="262" t="str">
        <f ca="1">IF(OFFSET('IWP20'!BackgroundChecks, 4, 12, 1, 1) = 0, "", OFFSET('IWP20'!BackgroundChecks, 4, 12, 1, 1))</f>
        <v/>
      </c>
      <c r="M467" s="262" t="str">
        <f ca="1">IF(OFFSET('IWP20'!BackgroundChecks, 4, 13, 1, 1) = 0, "", OFFSET('IWP20'!BackgroundChecks, 4, 13, 1, 1))</f>
        <v/>
      </c>
      <c r="N467" s="261"/>
    </row>
    <row r="468" spans="1:14" s="146" customFormat="1">
      <c r="A468" s="257" t="s">
        <v>518</v>
      </c>
      <c r="B468" s="262" t="str">
        <f ca="1">IF(OFFSET('IWP20'!BackgroundChecks, 5, 0, 1, 1) = 0, "", OFFSET('IWP20'!BackgroundChecks, 5, 0, 1, 1))</f>
        <v/>
      </c>
      <c r="C468" s="262" t="str">
        <f ca="1">IF(OFFSET('IWP20'!BackgroundChecks, 5, 2, 1, 1) = 0, "", OFFSET('IWP20'!BackgroundChecks, 5, 2, 1, 1))</f>
        <v/>
      </c>
      <c r="D468" s="262" t="str">
        <f ca="1">IF(OFFSET('IWP20'!BackgroundChecks, 5, 4, 1, 1) = 0, "", OFFSET('IWP20'!BackgroundChecks, 5, 4, 1, 1))</f>
        <v/>
      </c>
      <c r="E468" s="254">
        <f ca="1">IF(OFFSET('IWP20'!BackgroundChecks, 5, 5, 1, 1)=DATE(1900,1,0), DATE(1900,1,1), OFFSET('IWP20'!BackgroundChecks, 5, 5, 1, 1))</f>
        <v>1</v>
      </c>
      <c r="F468" s="262" t="str">
        <f ca="1">IF(OFFSET('IWP20'!BackgroundChecks, 5, 6, 1, 1) = 0, "", OFFSET('IWP20'!BackgroundChecks, 5, 6, 1, 1))</f>
        <v/>
      </c>
      <c r="G468" s="254">
        <f ca="1">IF(OFFSET('IWP20'!BackgroundChecks, 5, 7, 1, 1)=DATE(1900,1,0), DATE(1900,1,1), OFFSET('IWP20'!BackgroundChecks, 5, 7, 1, 1))</f>
        <v>1</v>
      </c>
      <c r="H468" s="254">
        <f ca="1">IF(OFFSET('IWP20'!BackgroundChecks, 5, 8, 1, 1)=DATE(1900,1,0), DATE(1900,1,1), OFFSET('IWP20'!BackgroundChecks, 5, 8, 1, 1))</f>
        <v>1</v>
      </c>
      <c r="I468" s="262" t="str">
        <f ca="1">IF(OFFSET('IWP20'!BackgroundChecks, 5, 9, 1, 1) = 0, "", OFFSET('IWP20'!BackgroundChecks, 5, 9, 1, 1))</f>
        <v/>
      </c>
      <c r="J468" s="262" t="str">
        <f ca="1">IF(OFFSET('IWP20'!BackgroundChecks, 5, 10, 1, 1) = 0, "", OFFSET('IWP20'!BackgroundChecks, 5, 10, 1, 1))</f>
        <v/>
      </c>
      <c r="K468" s="262" t="str">
        <f ca="1">IF(OFFSET('IWP20'!BackgroundChecks, 5, 11, 1, 1) = 0, "", OFFSET('IWP20'!BackgroundChecks, 5, 11, 1, 1))</f>
        <v/>
      </c>
      <c r="L468" s="262" t="str">
        <f ca="1">IF(OFFSET('IWP20'!BackgroundChecks, 5, 12, 1, 1) = 0, "", OFFSET('IWP20'!BackgroundChecks, 5, 12, 1, 1))</f>
        <v/>
      </c>
      <c r="M468" s="262" t="str">
        <f ca="1">IF(OFFSET('IWP20'!BackgroundChecks, 5, 13, 1, 1) = 0, "", OFFSET('IWP20'!BackgroundChecks, 5, 13, 1, 1))</f>
        <v/>
      </c>
      <c r="N468" s="261"/>
    </row>
    <row r="469" spans="1:14" s="146" customFormat="1">
      <c r="A469" s="257" t="s">
        <v>518</v>
      </c>
      <c r="B469" s="262" t="str">
        <f ca="1">IF(OFFSET('IWP20'!BackgroundChecks, 6, 0, 1, 1) = 0, "", OFFSET('IWP20'!BackgroundChecks, 6, 0, 1, 1))</f>
        <v/>
      </c>
      <c r="C469" s="262" t="str">
        <f ca="1">IF(OFFSET('IWP20'!BackgroundChecks, 6, 2, 1, 1) = 0, "", OFFSET('IWP20'!BackgroundChecks, 6, 2, 1, 1))</f>
        <v/>
      </c>
      <c r="D469" s="262" t="str">
        <f ca="1">IF(OFFSET('IWP20'!BackgroundChecks, 6, 4, 1, 1) = 0, "", OFFSET('IWP20'!BackgroundChecks, 6, 4, 1, 1))</f>
        <v/>
      </c>
      <c r="E469" s="254">
        <f ca="1">IF(OFFSET('IWP20'!BackgroundChecks, 6, 5, 1, 1)=DATE(1900,1,0), DATE(1900,1,1), OFFSET('IWP20'!BackgroundChecks, 6, 5, 1, 1))</f>
        <v>1</v>
      </c>
      <c r="F469" s="262" t="str">
        <f ca="1">IF(OFFSET('IWP20'!BackgroundChecks, 6, 6, 1, 1) = 0, "", OFFSET('IWP20'!BackgroundChecks, 6, 6, 1, 1))</f>
        <v/>
      </c>
      <c r="G469" s="254">
        <f ca="1">IF(OFFSET('IWP20'!BackgroundChecks, 6, 7, 1, 1)=DATE(1900,1,0), DATE(1900,1,1), OFFSET('IWP20'!BackgroundChecks, 6, 7, 1, 1))</f>
        <v>1</v>
      </c>
      <c r="H469" s="254">
        <f ca="1">IF(OFFSET('IWP20'!BackgroundChecks, 6, 8, 1, 1)=DATE(1900,1,0), DATE(1900,1,1), OFFSET('IWP20'!BackgroundChecks, 6, 8, 1, 1))</f>
        <v>1</v>
      </c>
      <c r="I469" s="262" t="str">
        <f ca="1">IF(OFFSET('IWP20'!BackgroundChecks, 6, 9, 1, 1) = 0, "", OFFSET('IWP20'!BackgroundChecks, 6, 9, 1, 1))</f>
        <v/>
      </c>
      <c r="J469" s="262" t="str">
        <f ca="1">IF(OFFSET('IWP20'!BackgroundChecks, 6, 10, 1, 1) = 0, "", OFFSET('IWP20'!BackgroundChecks, 6, 10, 1, 1))</f>
        <v/>
      </c>
      <c r="K469" s="262" t="str">
        <f ca="1">IF(OFFSET('IWP20'!BackgroundChecks, 6, 11, 1, 1) = 0, "", OFFSET('IWP20'!BackgroundChecks, 6, 11, 1, 1))</f>
        <v/>
      </c>
      <c r="L469" s="262" t="str">
        <f ca="1">IF(OFFSET('IWP20'!BackgroundChecks, 6, 12, 1, 1) = 0, "", OFFSET('IWP20'!BackgroundChecks, 6, 12, 1, 1))</f>
        <v/>
      </c>
      <c r="M469" s="262" t="str">
        <f ca="1">IF(OFFSET('IWP20'!BackgroundChecks, 6, 13, 1, 1) = 0, "", OFFSET('IWP20'!BackgroundChecks, 6, 13, 1, 1))</f>
        <v/>
      </c>
      <c r="N469" s="261"/>
    </row>
    <row r="470" spans="1:14" s="146" customFormat="1">
      <c r="A470" s="257" t="s">
        <v>518</v>
      </c>
      <c r="B470" s="262" t="str">
        <f ca="1">IF(OFFSET('IWP20'!BackgroundChecks, 7, 0, 1, 1) = 0, "", OFFSET('IWP20'!BackgroundChecks, 7, 0, 1, 1))</f>
        <v/>
      </c>
      <c r="C470" s="262" t="str">
        <f ca="1">IF(OFFSET('IWP20'!BackgroundChecks, 7, 2, 1, 1) = 0, "", OFFSET('IWP20'!BackgroundChecks, 7, 2, 1, 1))</f>
        <v/>
      </c>
      <c r="D470" s="262" t="str">
        <f ca="1">IF(OFFSET('IWP20'!BackgroundChecks, 7, 4, 1, 1) = 0, "", OFFSET('IWP20'!BackgroundChecks, 7, 4, 1, 1))</f>
        <v/>
      </c>
      <c r="E470" s="254">
        <f ca="1">IF(OFFSET('IWP20'!BackgroundChecks, 7, 5, 1, 1)=DATE(1900,1,0), DATE(1900,1,1), OFFSET('IWP20'!BackgroundChecks, 7, 5, 1, 1))</f>
        <v>1</v>
      </c>
      <c r="F470" s="262" t="str">
        <f ca="1">IF(OFFSET('IWP20'!BackgroundChecks, 7, 6, 1, 1) = 0, "", OFFSET('IWP20'!BackgroundChecks, 7, 6, 1, 1))</f>
        <v/>
      </c>
      <c r="G470" s="254">
        <f ca="1">IF(OFFSET('IWP20'!BackgroundChecks, 7, 7, 1, 1)=DATE(1900,1,0), DATE(1900,1,1), OFFSET('IWP20'!BackgroundChecks, 7, 7, 1, 1))</f>
        <v>1</v>
      </c>
      <c r="H470" s="254">
        <f ca="1">IF(OFFSET('IWP20'!BackgroundChecks, 7, 8, 1, 1)=DATE(1900,1,0), DATE(1900,1,1), OFFSET('IWP20'!BackgroundChecks, 7, 8, 1, 1))</f>
        <v>1</v>
      </c>
      <c r="I470" s="262" t="str">
        <f ca="1">IF(OFFSET('IWP20'!BackgroundChecks, 7, 9, 1, 1) = 0, "", OFFSET('IWP20'!BackgroundChecks, 7, 9, 1, 1))</f>
        <v/>
      </c>
      <c r="J470" s="262" t="str">
        <f ca="1">IF(OFFSET('IWP20'!BackgroundChecks, 7, 10, 1, 1) = 0, "", OFFSET('IWP20'!BackgroundChecks, 7, 10, 1, 1))</f>
        <v/>
      </c>
      <c r="K470" s="262" t="str">
        <f ca="1">IF(OFFSET('IWP20'!BackgroundChecks, 7, 11, 1, 1) = 0, "", OFFSET('IWP20'!BackgroundChecks, 7, 11, 1, 1))</f>
        <v/>
      </c>
      <c r="L470" s="262" t="str">
        <f ca="1">IF(OFFSET('IWP20'!BackgroundChecks, 7, 12, 1, 1) = 0, "", OFFSET('IWP20'!BackgroundChecks, 7, 12, 1, 1))</f>
        <v/>
      </c>
      <c r="M470" s="262" t="str">
        <f ca="1">IF(OFFSET('IWP20'!BackgroundChecks, 7, 13, 1, 1) = 0, "", OFFSET('IWP20'!BackgroundChecks, 7, 13, 1, 1))</f>
        <v/>
      </c>
      <c r="N470" s="261"/>
    </row>
    <row r="471" spans="1:14" s="146" customFormat="1">
      <c r="A471" s="257" t="s">
        <v>518</v>
      </c>
      <c r="B471" s="262" t="str">
        <f ca="1">IF(OFFSET('IWP20'!BackgroundChecks, 8, 0, 1, 1) = 0, "", OFFSET('IWP20'!BackgroundChecks, 8, 0, 1, 1))</f>
        <v/>
      </c>
      <c r="C471" s="262" t="str">
        <f ca="1">IF(OFFSET('IWP20'!BackgroundChecks, 8, 2, 1, 1) = 0, "", OFFSET('IWP20'!BackgroundChecks, 8, 2, 1, 1))</f>
        <v/>
      </c>
      <c r="D471" s="262" t="str">
        <f ca="1">IF(OFFSET('IWP20'!BackgroundChecks, 8, 4, 1, 1) = 0, "", OFFSET('IWP20'!BackgroundChecks, 8, 4, 1, 1))</f>
        <v/>
      </c>
      <c r="E471" s="254">
        <f ca="1">IF(OFFSET('IWP20'!BackgroundChecks, 8, 5, 1, 1)=DATE(1900,1,0), DATE(1900,1,1), OFFSET('IWP20'!BackgroundChecks, 8, 5, 1, 1))</f>
        <v>1</v>
      </c>
      <c r="F471" s="262" t="str">
        <f ca="1">IF(OFFSET('IWP20'!BackgroundChecks, 8, 6, 1, 1) = 0, "", OFFSET('IWP20'!BackgroundChecks, 8, 6, 1, 1))</f>
        <v/>
      </c>
      <c r="G471" s="254">
        <f ca="1">IF(OFFSET('IWP20'!BackgroundChecks, 8, 7, 1, 1)=DATE(1900,1,0), DATE(1900,1,1), OFFSET('IWP20'!BackgroundChecks, 8, 7, 1, 1))</f>
        <v>1</v>
      </c>
      <c r="H471" s="254">
        <f ca="1">IF(OFFSET('IWP20'!BackgroundChecks, 8, 8, 1, 1)=DATE(1900,1,0), DATE(1900,1,1), OFFSET('IWP20'!BackgroundChecks, 8, 8, 1, 1))</f>
        <v>1</v>
      </c>
      <c r="I471" s="262" t="str">
        <f ca="1">IF(OFFSET('IWP20'!BackgroundChecks, 8, 9, 1, 1) = 0, "", OFFSET('IWP20'!BackgroundChecks, 8, 9, 1, 1))</f>
        <v/>
      </c>
      <c r="J471" s="262" t="str">
        <f ca="1">IF(OFFSET('IWP20'!BackgroundChecks, 8, 10, 1, 1) = 0, "", OFFSET('IWP20'!BackgroundChecks, 8, 10, 1, 1))</f>
        <v/>
      </c>
      <c r="K471" s="262" t="str">
        <f ca="1">IF(OFFSET('IWP20'!BackgroundChecks, 8, 11, 1, 1) = 0, "", OFFSET('IWP20'!BackgroundChecks, 8, 11, 1, 1))</f>
        <v/>
      </c>
      <c r="L471" s="262" t="str">
        <f ca="1">IF(OFFSET('IWP20'!BackgroundChecks, 8, 12, 1, 1) = 0, "", OFFSET('IWP20'!BackgroundChecks, 8, 12, 1, 1))</f>
        <v/>
      </c>
      <c r="M471" s="262" t="str">
        <f ca="1">IF(OFFSET('IWP20'!BackgroundChecks, 8, 13, 1, 1) = 0, "", OFFSET('IWP20'!BackgroundChecks, 8, 13, 1, 1))</f>
        <v/>
      </c>
      <c r="N471" s="261"/>
    </row>
    <row r="472" spans="1:14" s="146" customFormat="1">
      <c r="A472" s="257" t="s">
        <v>518</v>
      </c>
      <c r="B472" s="262" t="str">
        <f ca="1">IF(OFFSET('IWP20'!BackgroundChecks, 9, 0, 1, 1) = 0, "", OFFSET('IWP20'!BackgroundChecks, 9, 0, 1, 1))</f>
        <v/>
      </c>
      <c r="C472" s="262" t="str">
        <f ca="1">IF(OFFSET('IWP20'!BackgroundChecks, 9, 2, 1, 1) = 0, "", OFFSET('IWP20'!BackgroundChecks, 9, 2, 1, 1))</f>
        <v/>
      </c>
      <c r="D472" s="262" t="str">
        <f ca="1">IF(OFFSET('IWP20'!BackgroundChecks, 9, 4, 1, 1) = 0, "", OFFSET('IWP20'!BackgroundChecks, 9, 4, 1, 1))</f>
        <v/>
      </c>
      <c r="E472" s="254">
        <f ca="1">IF(OFFSET('IWP20'!BackgroundChecks, 9, 5, 1, 1)=DATE(1900,1,0), DATE(1900,1,1), OFFSET('IWP20'!BackgroundChecks, 9, 5, 1, 1))</f>
        <v>1</v>
      </c>
      <c r="F472" s="262" t="str">
        <f ca="1">IF(OFFSET('IWP20'!BackgroundChecks, 9, 6, 1, 1) = 0, "", OFFSET('IWP20'!BackgroundChecks, 9, 6, 1, 1))</f>
        <v/>
      </c>
      <c r="G472" s="254">
        <f ca="1">IF(OFFSET('IWP20'!BackgroundChecks, 9, 7, 1, 1)=DATE(1900,1,0), DATE(1900,1,1), OFFSET('IWP20'!BackgroundChecks, 9, 7, 1, 1))</f>
        <v>1</v>
      </c>
      <c r="H472" s="254">
        <f ca="1">IF(OFFSET('IWP20'!BackgroundChecks, 9, 8, 1, 1)=DATE(1900,1,0), DATE(1900,1,1), OFFSET('IWP20'!BackgroundChecks, 9, 8, 1, 1))</f>
        <v>1</v>
      </c>
      <c r="I472" s="262" t="str">
        <f ca="1">IF(OFFSET('IWP20'!BackgroundChecks, 9, 9, 1, 1) = 0, "", OFFSET('IWP20'!BackgroundChecks, 9, 9, 1, 1))</f>
        <v/>
      </c>
      <c r="J472" s="262" t="str">
        <f ca="1">IF(OFFSET('IWP20'!BackgroundChecks, 9, 10, 1, 1) = 0, "", OFFSET('IWP20'!BackgroundChecks, 9, 10, 1, 1))</f>
        <v/>
      </c>
      <c r="K472" s="262" t="str">
        <f ca="1">IF(OFFSET('IWP20'!BackgroundChecks, 9, 11, 1, 1) = 0, "", OFFSET('IWP20'!BackgroundChecks, 9, 11, 1, 1))</f>
        <v/>
      </c>
      <c r="L472" s="262" t="str">
        <f ca="1">IF(OFFSET('IWP20'!BackgroundChecks, 9, 12, 1, 1) = 0, "", OFFSET('IWP20'!BackgroundChecks, 9, 12, 1, 1))</f>
        <v/>
      </c>
      <c r="M472" s="262" t="str">
        <f ca="1">IF(OFFSET('IWP20'!BackgroundChecks, 9, 13, 1, 1) = 0, "", OFFSET('IWP20'!BackgroundChecks, 9, 13, 1, 1))</f>
        <v/>
      </c>
      <c r="N472" s="261"/>
    </row>
    <row r="473" spans="1:14" s="146" customFormat="1">
      <c r="A473" s="257" t="s">
        <v>518</v>
      </c>
      <c r="B473" s="262" t="str">
        <f ca="1">IF(OFFSET('IWP20'!BackgroundChecks, 10, 0, 1, 1) = 0, "", OFFSET('IWP20'!BackgroundChecks, 10, 0, 1, 1))</f>
        <v/>
      </c>
      <c r="C473" s="262" t="str">
        <f ca="1">IF(OFFSET('IWP20'!BackgroundChecks, 10, 2, 1, 1) = 0, "", OFFSET('IWP20'!BackgroundChecks, 10, 2, 1, 1))</f>
        <v/>
      </c>
      <c r="D473" s="262" t="str">
        <f ca="1">IF(OFFSET('IWP20'!BackgroundChecks, 10, 4, 1, 1) = 0, "", OFFSET('IWP20'!BackgroundChecks, 10, 4, 1, 1))</f>
        <v/>
      </c>
      <c r="E473" s="254">
        <f ca="1">IF(OFFSET('IWP20'!BackgroundChecks, 10, 5, 1, 1)=DATE(1900,1,0), DATE(1900,1,1), OFFSET('IWP20'!BackgroundChecks, 10, 5, 1, 1))</f>
        <v>1</v>
      </c>
      <c r="F473" s="262" t="str">
        <f ca="1">IF(OFFSET('IWP20'!BackgroundChecks, 10, 6, 1, 1) = 0, "", OFFSET('IWP20'!BackgroundChecks, 10, 6, 1, 1))</f>
        <v/>
      </c>
      <c r="G473" s="254">
        <f ca="1">IF(OFFSET('IWP20'!BackgroundChecks, 10, 7, 1, 1)=DATE(1900,1,0), DATE(1900,1,1), OFFSET('IWP20'!BackgroundChecks, 10, 7, 1, 1))</f>
        <v>1</v>
      </c>
      <c r="H473" s="254">
        <f ca="1">IF(OFFSET('IWP20'!BackgroundChecks, 10, 8, 1, 1)=DATE(1900,1,0), DATE(1900,1,1), OFFSET('IWP20'!BackgroundChecks, 10, 8, 1, 1))</f>
        <v>1</v>
      </c>
      <c r="I473" s="262" t="str">
        <f ca="1">IF(OFFSET('IWP20'!BackgroundChecks, 10, 9, 1, 1) = 0, "", OFFSET('IWP20'!BackgroundChecks, 10, 9, 1, 1))</f>
        <v/>
      </c>
      <c r="J473" s="262" t="str">
        <f ca="1">IF(OFFSET('IWP20'!BackgroundChecks, 10, 10, 1, 1) = 0, "", OFFSET('IWP20'!BackgroundChecks, 10, 10, 1, 1))</f>
        <v/>
      </c>
      <c r="K473" s="262" t="str">
        <f ca="1">IF(OFFSET('IWP20'!BackgroundChecks, 10, 11, 1, 1) = 0, "", OFFSET('IWP20'!BackgroundChecks, 10, 11, 1, 1))</f>
        <v/>
      </c>
      <c r="L473" s="262" t="str">
        <f ca="1">IF(OFFSET('IWP20'!BackgroundChecks, 10, 12, 1, 1) = 0, "", OFFSET('IWP20'!BackgroundChecks, 10, 12, 1, 1))</f>
        <v/>
      </c>
      <c r="M473" s="262" t="str">
        <f ca="1">IF(OFFSET('IWP20'!BackgroundChecks, 10, 13, 1, 1) = 0, "", OFFSET('IWP20'!BackgroundChecks, 10, 13, 1, 1))</f>
        <v/>
      </c>
      <c r="N473" s="261"/>
    </row>
    <row r="474" spans="1:14" s="146" customFormat="1">
      <c r="A474" s="257" t="s">
        <v>518</v>
      </c>
      <c r="B474" s="262" t="str">
        <f ca="1">IF(OFFSET('IWP20'!BackgroundChecks, 11, 0, 1, 1) = 0, "", OFFSET('IWP20'!BackgroundChecks, 11, 0, 1, 1))</f>
        <v/>
      </c>
      <c r="C474" s="262" t="str">
        <f ca="1">IF(OFFSET('IWP20'!BackgroundChecks, 11, 2, 1, 1) = 0, "", OFFSET('IWP20'!BackgroundChecks, 11, 2, 1, 1))</f>
        <v/>
      </c>
      <c r="D474" s="262" t="str">
        <f ca="1">IF(OFFSET('IWP20'!BackgroundChecks, 11, 4, 1, 1) = 0, "", OFFSET('IWP20'!BackgroundChecks, 11, 4, 1, 1))</f>
        <v/>
      </c>
      <c r="E474" s="254">
        <f ca="1">IF(OFFSET('IWP20'!BackgroundChecks, 11, 5, 1, 1)=DATE(1900,1,0), DATE(1900,1,1), OFFSET('IWP20'!BackgroundChecks, 11, 5, 1, 1))</f>
        <v>1</v>
      </c>
      <c r="F474" s="262" t="str">
        <f ca="1">IF(OFFSET('IWP20'!BackgroundChecks, 11, 6, 1, 1) = 0, "", OFFSET('IWP20'!BackgroundChecks, 11, 6, 1, 1))</f>
        <v/>
      </c>
      <c r="G474" s="254">
        <f ca="1">IF(OFFSET('IWP20'!BackgroundChecks, 11, 7, 1, 1)=DATE(1900,1,0), DATE(1900,1,1), OFFSET('IWP20'!BackgroundChecks, 11, 7, 1, 1))</f>
        <v>1</v>
      </c>
      <c r="H474" s="254">
        <f ca="1">IF(OFFSET('IWP20'!BackgroundChecks, 11, 8, 1, 1)=DATE(1900,1,0), DATE(1900,1,1), OFFSET('IWP20'!BackgroundChecks, 11, 8, 1, 1))</f>
        <v>1</v>
      </c>
      <c r="I474" s="262" t="str">
        <f ca="1">IF(OFFSET('IWP20'!BackgroundChecks, 11, 9, 1, 1) = 0, "", OFFSET('IWP20'!BackgroundChecks, 11, 9, 1, 1))</f>
        <v/>
      </c>
      <c r="J474" s="262" t="str">
        <f ca="1">IF(OFFSET('IWP20'!BackgroundChecks, 11, 10, 1, 1) = 0, "", OFFSET('IWP20'!BackgroundChecks, 11, 10, 1, 1))</f>
        <v/>
      </c>
      <c r="K474" s="262" t="str">
        <f ca="1">IF(OFFSET('IWP20'!BackgroundChecks, 11, 11, 1, 1) = 0, "", OFFSET('IWP20'!BackgroundChecks, 11, 11, 1, 1))</f>
        <v/>
      </c>
      <c r="L474" s="262" t="str">
        <f ca="1">IF(OFFSET('IWP20'!BackgroundChecks, 11, 12, 1, 1) = 0, "", OFFSET('IWP20'!BackgroundChecks, 11, 12, 1, 1))</f>
        <v/>
      </c>
      <c r="M474" s="262" t="str">
        <f ca="1">IF(OFFSET('IWP20'!BackgroundChecks, 11, 13, 1, 1) = 0, "", OFFSET('IWP20'!BackgroundChecks, 11, 13, 1, 1))</f>
        <v/>
      </c>
      <c r="N474" s="261"/>
    </row>
    <row r="475" spans="1:14" s="146" customFormat="1">
      <c r="A475" s="257" t="s">
        <v>518</v>
      </c>
      <c r="B475" s="262" t="str">
        <f ca="1">IF(OFFSET('IWP20'!BackgroundChecks, 12, 0, 1, 1) = 0, "", OFFSET('IWP20'!BackgroundChecks, 12, 0, 1, 1))</f>
        <v/>
      </c>
      <c r="C475" s="262" t="str">
        <f ca="1">IF(OFFSET('IWP20'!BackgroundChecks, 12, 2, 1, 1) = 0, "", OFFSET('IWP20'!BackgroundChecks, 12, 2, 1, 1))</f>
        <v/>
      </c>
      <c r="D475" s="262" t="str">
        <f ca="1">IF(OFFSET('IWP20'!BackgroundChecks, 12, 4, 1, 1) = 0, "", OFFSET('IWP20'!BackgroundChecks, 12, 4, 1, 1))</f>
        <v/>
      </c>
      <c r="E475" s="254">
        <f ca="1">IF(OFFSET('IWP20'!BackgroundChecks, 12, 5, 1, 1)=DATE(1900,1,0), DATE(1900,1,1), OFFSET('IWP20'!BackgroundChecks, 12, 5, 1, 1))</f>
        <v>1</v>
      </c>
      <c r="F475" s="262" t="str">
        <f ca="1">IF(OFFSET('IWP20'!BackgroundChecks, 12, 6, 1, 1) = 0, "", OFFSET('IWP20'!BackgroundChecks, 12, 6, 1, 1))</f>
        <v/>
      </c>
      <c r="G475" s="254">
        <f ca="1">IF(OFFSET('IWP20'!BackgroundChecks, 12, 7, 1, 1)=DATE(1900,1,0), DATE(1900,1,1), OFFSET('IWP20'!BackgroundChecks, 12, 7, 1, 1))</f>
        <v>1</v>
      </c>
      <c r="H475" s="254">
        <f ca="1">IF(OFFSET('IWP20'!BackgroundChecks, 12, 8, 1, 1)=DATE(1900,1,0), DATE(1900,1,1), OFFSET('IWP20'!BackgroundChecks, 12, 8, 1, 1))</f>
        <v>1</v>
      </c>
      <c r="I475" s="262" t="str">
        <f ca="1">IF(OFFSET('IWP20'!BackgroundChecks, 12, 9, 1, 1) = 0, "", OFFSET('IWP20'!BackgroundChecks, 12, 9, 1, 1))</f>
        <v/>
      </c>
      <c r="J475" s="262" t="str">
        <f ca="1">IF(OFFSET('IWP20'!BackgroundChecks, 12, 10, 1, 1) = 0, "", OFFSET('IWP20'!BackgroundChecks, 12, 10, 1, 1))</f>
        <v/>
      </c>
      <c r="K475" s="262" t="str">
        <f ca="1">IF(OFFSET('IWP20'!BackgroundChecks, 12, 11, 1, 1) = 0, "", OFFSET('IWP20'!BackgroundChecks, 12, 11, 1, 1))</f>
        <v/>
      </c>
      <c r="L475" s="262" t="str">
        <f ca="1">IF(OFFSET('IWP20'!BackgroundChecks, 12, 12, 1, 1) = 0, "", OFFSET('IWP20'!BackgroundChecks, 12, 12, 1, 1))</f>
        <v/>
      </c>
      <c r="M475" s="262" t="str">
        <f ca="1">IF(OFFSET('IWP20'!BackgroundChecks, 12, 13, 1, 1) = 0, "", OFFSET('IWP20'!BackgroundChecks, 12, 13, 1, 1))</f>
        <v/>
      </c>
      <c r="N475" s="261"/>
    </row>
    <row r="476" spans="1:14" s="146" customFormat="1">
      <c r="A476" s="257" t="s">
        <v>518</v>
      </c>
      <c r="B476" s="262" t="str">
        <f ca="1">IF(OFFSET('IWP20'!BackgroundChecks, 13, 0, 1, 1) = 0, "", OFFSET('IWP20'!BackgroundChecks, 13, 0, 1, 1))</f>
        <v/>
      </c>
      <c r="C476" s="262" t="str">
        <f ca="1">IF(OFFSET('IWP20'!BackgroundChecks, 13, 2, 1, 1) = 0, "", OFFSET('IWP20'!BackgroundChecks, 13, 2, 1, 1))</f>
        <v/>
      </c>
      <c r="D476" s="262" t="str">
        <f ca="1">IF(OFFSET('IWP20'!BackgroundChecks, 13, 4, 1, 1) = 0, "", OFFSET('IWP20'!BackgroundChecks, 13, 4, 1, 1))</f>
        <v/>
      </c>
      <c r="E476" s="254">
        <f ca="1">IF(OFFSET('IWP20'!BackgroundChecks, 13, 5, 1, 1)=DATE(1900,1,0), DATE(1900,1,1), OFFSET('IWP20'!BackgroundChecks, 13, 5, 1, 1))</f>
        <v>1</v>
      </c>
      <c r="F476" s="262" t="str">
        <f ca="1">IF(OFFSET('IWP20'!BackgroundChecks, 13, 6, 1, 1) = 0, "", OFFSET('IWP20'!BackgroundChecks, 13, 6, 1, 1))</f>
        <v/>
      </c>
      <c r="G476" s="254">
        <f ca="1">IF(OFFSET('IWP20'!BackgroundChecks, 13, 7, 1, 1)=DATE(1900,1,0), DATE(1900,1,1), OFFSET('IWP20'!BackgroundChecks, 13, 7, 1, 1))</f>
        <v>1</v>
      </c>
      <c r="H476" s="254">
        <f ca="1">IF(OFFSET('IWP20'!BackgroundChecks, 13, 8, 1, 1)=DATE(1900,1,0), DATE(1900,1,1), OFFSET('IWP20'!BackgroundChecks, 13, 8, 1, 1))</f>
        <v>1</v>
      </c>
      <c r="I476" s="262" t="str">
        <f ca="1">IF(OFFSET('IWP20'!BackgroundChecks, 13, 9, 1, 1) = 0, "", OFFSET('IWP20'!BackgroundChecks, 13, 9, 1, 1))</f>
        <v/>
      </c>
      <c r="J476" s="262" t="str">
        <f ca="1">IF(OFFSET('IWP20'!BackgroundChecks, 13, 10, 1, 1) = 0, "", OFFSET('IWP20'!BackgroundChecks, 13, 10, 1, 1))</f>
        <v/>
      </c>
      <c r="K476" s="262" t="str">
        <f ca="1">IF(OFFSET('IWP20'!BackgroundChecks, 13, 11, 1, 1) = 0, "", OFFSET('IWP20'!BackgroundChecks, 13, 11, 1, 1))</f>
        <v/>
      </c>
      <c r="L476" s="262" t="str">
        <f ca="1">IF(OFFSET('IWP20'!BackgroundChecks, 13, 12, 1, 1) = 0, "", OFFSET('IWP20'!BackgroundChecks, 13, 12, 1, 1))</f>
        <v/>
      </c>
      <c r="M476" s="262" t="str">
        <f ca="1">IF(OFFSET('IWP20'!BackgroundChecks, 13, 13, 1, 1) = 0, "", OFFSET('IWP20'!BackgroundChecks, 13, 13, 1, 1))</f>
        <v/>
      </c>
      <c r="N476" s="261"/>
    </row>
    <row r="477" spans="1:14" s="146" customFormat="1">
      <c r="A477" s="257" t="s">
        <v>518</v>
      </c>
      <c r="B477" s="262" t="str">
        <f ca="1">IF(OFFSET('IWP20'!BackgroundChecks, 14, 0, 1, 1) = 0, "", OFFSET('IWP20'!BackgroundChecks, 14, 0, 1, 1))</f>
        <v/>
      </c>
      <c r="C477" s="262" t="str">
        <f ca="1">IF(OFFSET('IWP20'!BackgroundChecks, 14, 2, 1, 1) = 0, "", OFFSET('IWP20'!BackgroundChecks, 14, 2, 1, 1))</f>
        <v/>
      </c>
      <c r="D477" s="262" t="str">
        <f ca="1">IF(OFFSET('IWP20'!BackgroundChecks, 14, 4, 1, 1) = 0, "", OFFSET('IWP20'!BackgroundChecks, 14, 4, 1, 1))</f>
        <v/>
      </c>
      <c r="E477" s="254">
        <f ca="1">IF(OFFSET('IWP20'!BackgroundChecks, 14, 5, 1, 1)=DATE(1900,1,0), DATE(1900,1,1), OFFSET('IWP20'!BackgroundChecks, 14, 5, 1, 1))</f>
        <v>1</v>
      </c>
      <c r="F477" s="262" t="str">
        <f ca="1">IF(OFFSET('IWP20'!BackgroundChecks, 14, 6, 1, 1) = 0, "", OFFSET('IWP20'!BackgroundChecks, 14, 6, 1, 1))</f>
        <v/>
      </c>
      <c r="G477" s="254">
        <f ca="1">IF(OFFSET('IWP20'!BackgroundChecks, 14, 7, 1, 1)=DATE(1900,1,0), DATE(1900,1,1), OFFSET('IWP20'!BackgroundChecks, 14, 7, 1, 1))</f>
        <v>1</v>
      </c>
      <c r="H477" s="254">
        <f ca="1">IF(OFFSET('IWP20'!BackgroundChecks, 14, 8, 1, 1)=DATE(1900,1,0), DATE(1900,1,1), OFFSET('IWP20'!BackgroundChecks, 14, 8, 1, 1))</f>
        <v>1</v>
      </c>
      <c r="I477" s="262" t="str">
        <f ca="1">IF(OFFSET('IWP20'!BackgroundChecks, 14, 9, 1, 1) = 0, "", OFFSET('IWP20'!BackgroundChecks, 14, 9, 1, 1))</f>
        <v/>
      </c>
      <c r="J477" s="262" t="str">
        <f ca="1">IF(OFFSET('IWP20'!BackgroundChecks, 14, 10, 1, 1) = 0, "", OFFSET('IWP20'!BackgroundChecks, 14, 10, 1, 1))</f>
        <v/>
      </c>
      <c r="K477" s="262" t="str">
        <f ca="1">IF(OFFSET('IWP20'!BackgroundChecks, 14, 11, 1, 1) = 0, "", OFFSET('IWP20'!BackgroundChecks, 14, 11, 1, 1))</f>
        <v/>
      </c>
      <c r="L477" s="262" t="str">
        <f ca="1">IF(OFFSET('IWP20'!BackgroundChecks, 14, 12, 1, 1) = 0, "", OFFSET('IWP20'!BackgroundChecks, 14, 12, 1, 1))</f>
        <v/>
      </c>
      <c r="M477" s="262" t="str">
        <f ca="1">IF(OFFSET('IWP20'!BackgroundChecks, 14, 13, 1, 1) = 0, "", OFFSET('IWP20'!BackgroundChecks, 14, 13, 1, 1))</f>
        <v/>
      </c>
      <c r="N477" s="261"/>
    </row>
    <row r="478" spans="1:14" s="146" customFormat="1">
      <c r="A478" s="257" t="s">
        <v>518</v>
      </c>
      <c r="B478" s="262" t="str">
        <f ca="1">IF(OFFSET('IWP20'!BackgroundChecks, 15, 0, 1, 1) = 0, "", OFFSET('IWP20'!BackgroundChecks, 15, 0, 1, 1))</f>
        <v/>
      </c>
      <c r="C478" s="262" t="str">
        <f ca="1">IF(OFFSET('IWP20'!BackgroundChecks, 15, 2, 1, 1) = 0, "", OFFSET('IWP20'!BackgroundChecks, 15, 2, 1, 1))</f>
        <v/>
      </c>
      <c r="D478" s="262" t="str">
        <f ca="1">IF(OFFSET('IWP20'!BackgroundChecks, 15, 4, 1, 1) = 0, "", OFFSET('IWP20'!BackgroundChecks, 15, 4, 1, 1))</f>
        <v/>
      </c>
      <c r="E478" s="254">
        <f ca="1">IF(OFFSET('IWP20'!BackgroundChecks, 15, 5, 1, 1)=DATE(1900,1,0), DATE(1900,1,1), OFFSET('IWP20'!BackgroundChecks, 15, 5, 1, 1))</f>
        <v>1</v>
      </c>
      <c r="F478" s="262" t="str">
        <f ca="1">IF(OFFSET('IWP20'!BackgroundChecks, 15, 6, 1, 1) = 0, "", OFFSET('IWP20'!BackgroundChecks, 15, 6, 1, 1))</f>
        <v/>
      </c>
      <c r="G478" s="254">
        <f ca="1">IF(OFFSET('IWP20'!BackgroundChecks, 15, 7, 1, 1)=DATE(1900,1,0), DATE(1900,1,1), OFFSET('IWP20'!BackgroundChecks, 15, 7, 1, 1))</f>
        <v>1</v>
      </c>
      <c r="H478" s="254">
        <f ca="1">IF(OFFSET('IWP20'!BackgroundChecks, 15, 8, 1, 1)=DATE(1900,1,0), DATE(1900,1,1), OFFSET('IWP20'!BackgroundChecks, 15, 8, 1, 1))</f>
        <v>1</v>
      </c>
      <c r="I478" s="262" t="str">
        <f ca="1">IF(OFFSET('IWP20'!BackgroundChecks, 15, 9, 1, 1) = 0, "", OFFSET('IWP20'!BackgroundChecks, 15, 9, 1, 1))</f>
        <v/>
      </c>
      <c r="J478" s="262" t="str">
        <f ca="1">IF(OFFSET('IWP20'!BackgroundChecks, 15, 10, 1, 1) = 0, "", OFFSET('IWP20'!BackgroundChecks, 15, 10, 1, 1))</f>
        <v/>
      </c>
      <c r="K478" s="262" t="str">
        <f ca="1">IF(OFFSET('IWP20'!BackgroundChecks, 15, 11, 1, 1) = 0, "", OFFSET('IWP20'!BackgroundChecks, 15, 11, 1, 1))</f>
        <v/>
      </c>
      <c r="L478" s="262" t="str">
        <f ca="1">IF(OFFSET('IWP20'!BackgroundChecks, 15, 12, 1, 1) = 0, "", OFFSET('IWP20'!BackgroundChecks, 15, 12, 1, 1))</f>
        <v/>
      </c>
      <c r="M478" s="262" t="str">
        <f ca="1">IF(OFFSET('IWP20'!BackgroundChecks, 15, 13, 1, 1) = 0, "", OFFSET('IWP20'!BackgroundChecks, 15, 13, 1, 1))</f>
        <v/>
      </c>
      <c r="N478" s="261"/>
    </row>
    <row r="479" spans="1:14" s="146" customFormat="1">
      <c r="A479" s="257" t="s">
        <v>518</v>
      </c>
      <c r="B479" s="262" t="str">
        <f ca="1">IF(OFFSET('IWP20'!BackgroundChecks, 16, 0, 1, 1) = 0, "", OFFSET('IWP20'!BackgroundChecks, 16, 0, 1, 1))</f>
        <v/>
      </c>
      <c r="C479" s="262" t="str">
        <f ca="1">IF(OFFSET('IWP20'!BackgroundChecks, 16, 2, 1, 1) = 0, "", OFFSET('IWP20'!BackgroundChecks, 16, 2, 1, 1))</f>
        <v/>
      </c>
      <c r="D479" s="262" t="str">
        <f ca="1">IF(OFFSET('IWP20'!BackgroundChecks, 16, 4, 1, 1) = 0, "", OFFSET('IWP20'!BackgroundChecks, 16, 4, 1, 1))</f>
        <v/>
      </c>
      <c r="E479" s="254">
        <f ca="1">IF(OFFSET('IWP20'!BackgroundChecks, 16, 5, 1, 1)=DATE(1900,1,0), DATE(1900,1,1), OFFSET('IWP20'!BackgroundChecks, 16, 5, 1, 1))</f>
        <v>1</v>
      </c>
      <c r="F479" s="262" t="str">
        <f ca="1">IF(OFFSET('IWP20'!BackgroundChecks, 16, 6, 1, 1) = 0, "", OFFSET('IWP20'!BackgroundChecks, 16, 6, 1, 1))</f>
        <v/>
      </c>
      <c r="G479" s="254">
        <f ca="1">IF(OFFSET('IWP20'!BackgroundChecks, 16, 7, 1, 1)=DATE(1900,1,0), DATE(1900,1,1), OFFSET('IWP20'!BackgroundChecks, 16, 7, 1, 1))</f>
        <v>1</v>
      </c>
      <c r="H479" s="254">
        <f ca="1">IF(OFFSET('IWP20'!BackgroundChecks, 16, 8, 1, 1)=DATE(1900,1,0), DATE(1900,1,1), OFFSET('IWP20'!BackgroundChecks, 16, 8, 1, 1))</f>
        <v>1</v>
      </c>
      <c r="I479" s="262" t="str">
        <f ca="1">IF(OFFSET('IWP20'!BackgroundChecks, 16, 9, 1, 1) = 0, "", OFFSET('IWP20'!BackgroundChecks, 16, 9, 1, 1))</f>
        <v/>
      </c>
      <c r="J479" s="262" t="str">
        <f ca="1">IF(OFFSET('IWP20'!BackgroundChecks, 16, 10, 1, 1) = 0, "", OFFSET('IWP20'!BackgroundChecks, 16, 10, 1, 1))</f>
        <v/>
      </c>
      <c r="K479" s="262" t="str">
        <f ca="1">IF(OFFSET('IWP20'!BackgroundChecks, 16, 11, 1, 1) = 0, "", OFFSET('IWP20'!BackgroundChecks, 16, 11, 1, 1))</f>
        <v/>
      </c>
      <c r="L479" s="262" t="str">
        <f ca="1">IF(OFFSET('IWP20'!BackgroundChecks, 16, 12, 1, 1) = 0, "", OFFSET('IWP20'!BackgroundChecks, 16, 12, 1, 1))</f>
        <v/>
      </c>
      <c r="M479" s="262" t="str">
        <f ca="1">IF(OFFSET('IWP20'!BackgroundChecks, 16, 13, 1, 1) = 0, "", OFFSET('IWP20'!BackgroundChecks, 16, 13, 1, 1))</f>
        <v/>
      </c>
      <c r="N479" s="261"/>
    </row>
    <row r="480" spans="1:14" s="146" customFormat="1">
      <c r="A480" s="257" t="s">
        <v>518</v>
      </c>
      <c r="B480" s="262" t="str">
        <f ca="1">IF(OFFSET('IWP20'!BackgroundChecks, 17, 0, 1, 1) = 0, "", OFFSET('IWP20'!BackgroundChecks, 17, 0, 1, 1))</f>
        <v/>
      </c>
      <c r="C480" s="262" t="str">
        <f ca="1">IF(OFFSET('IWP20'!BackgroundChecks, 17, 2, 1, 1) = 0, "", OFFSET('IWP20'!BackgroundChecks, 17, 2, 1, 1))</f>
        <v/>
      </c>
      <c r="D480" s="262" t="str">
        <f ca="1">IF(OFFSET('IWP20'!BackgroundChecks, 17, 4, 1, 1) = 0, "", OFFSET('IWP20'!BackgroundChecks, 17, 4, 1, 1))</f>
        <v/>
      </c>
      <c r="E480" s="254">
        <f ca="1">IF(OFFSET('IWP20'!BackgroundChecks, 17, 5, 1, 1)=DATE(1900,1,0), DATE(1900,1,1), OFFSET('IWP20'!BackgroundChecks, 17, 5, 1, 1))</f>
        <v>1</v>
      </c>
      <c r="F480" s="262" t="str">
        <f ca="1">IF(OFFSET('IWP20'!BackgroundChecks, 17, 6, 1, 1) = 0, "", OFFSET('IWP20'!BackgroundChecks, 17, 6, 1, 1))</f>
        <v/>
      </c>
      <c r="G480" s="254">
        <f ca="1">IF(OFFSET('IWP20'!BackgroundChecks, 17, 7, 1, 1)=DATE(1900,1,0), DATE(1900,1,1), OFFSET('IWP20'!BackgroundChecks, 17, 7, 1, 1))</f>
        <v>1</v>
      </c>
      <c r="H480" s="254">
        <f ca="1">IF(OFFSET('IWP20'!BackgroundChecks, 17, 8, 1, 1)=DATE(1900,1,0), DATE(1900,1,1), OFFSET('IWP20'!BackgroundChecks, 17, 8, 1, 1))</f>
        <v>1</v>
      </c>
      <c r="I480" s="262" t="str">
        <f ca="1">IF(OFFSET('IWP20'!BackgroundChecks, 17, 9, 1, 1) = 0, "", OFFSET('IWP20'!BackgroundChecks, 17, 9, 1, 1))</f>
        <v/>
      </c>
      <c r="J480" s="262" t="str">
        <f ca="1">IF(OFFSET('IWP20'!BackgroundChecks, 17, 10, 1, 1) = 0, "", OFFSET('IWP20'!BackgroundChecks, 17, 10, 1, 1))</f>
        <v/>
      </c>
      <c r="K480" s="262" t="str">
        <f ca="1">IF(OFFSET('IWP20'!BackgroundChecks, 17, 11, 1, 1) = 0, "", OFFSET('IWP20'!BackgroundChecks, 17, 11, 1, 1))</f>
        <v/>
      </c>
      <c r="L480" s="262" t="str">
        <f ca="1">IF(OFFSET('IWP20'!BackgroundChecks, 17, 12, 1, 1) = 0, "", OFFSET('IWP20'!BackgroundChecks, 17, 12, 1, 1))</f>
        <v/>
      </c>
      <c r="M480" s="262" t="str">
        <f ca="1">IF(OFFSET('IWP20'!BackgroundChecks, 17, 13, 1, 1) = 0, "", OFFSET('IWP20'!BackgroundChecks, 17, 13, 1, 1))</f>
        <v/>
      </c>
      <c r="N480" s="261"/>
    </row>
    <row r="481" spans="1:14" s="146" customFormat="1">
      <c r="A481" s="257" t="s">
        <v>518</v>
      </c>
      <c r="B481" s="262" t="str">
        <f ca="1">IF(OFFSET('IWP20'!BackgroundChecks, 18, 0, 1, 1) = 0, "", OFFSET('IWP20'!BackgroundChecks, 18, 0, 1, 1))</f>
        <v/>
      </c>
      <c r="C481" s="262" t="str">
        <f ca="1">IF(OFFSET('IWP20'!BackgroundChecks, 18, 2, 1, 1) = 0, "", OFFSET('IWP20'!BackgroundChecks, 18, 2, 1, 1))</f>
        <v/>
      </c>
      <c r="D481" s="262" t="str">
        <f ca="1">IF(OFFSET('IWP20'!BackgroundChecks, 18, 4, 1, 1) = 0, "", OFFSET('IWP20'!BackgroundChecks, 18, 4, 1, 1))</f>
        <v/>
      </c>
      <c r="E481" s="254">
        <f ca="1">IF(OFFSET('IWP20'!BackgroundChecks, 18, 5, 1, 1)=DATE(1900,1,0), DATE(1900,1,1), OFFSET('IWP20'!BackgroundChecks, 18, 5, 1, 1))</f>
        <v>1</v>
      </c>
      <c r="F481" s="262" t="str">
        <f ca="1">IF(OFFSET('IWP20'!BackgroundChecks, 18, 6, 1, 1) = 0, "", OFFSET('IWP20'!BackgroundChecks, 18, 6, 1, 1))</f>
        <v/>
      </c>
      <c r="G481" s="254">
        <f ca="1">IF(OFFSET('IWP20'!BackgroundChecks, 18, 7, 1, 1)=DATE(1900,1,0), DATE(1900,1,1), OFFSET('IWP20'!BackgroundChecks, 18, 7, 1, 1))</f>
        <v>1</v>
      </c>
      <c r="H481" s="254">
        <f ca="1">IF(OFFSET('IWP20'!BackgroundChecks, 18, 8, 1, 1)=DATE(1900,1,0), DATE(1900,1,1), OFFSET('IWP20'!BackgroundChecks, 18, 8, 1, 1))</f>
        <v>1</v>
      </c>
      <c r="I481" s="262" t="str">
        <f ca="1">IF(OFFSET('IWP20'!BackgroundChecks, 18, 9, 1, 1) = 0, "", OFFSET('IWP20'!BackgroundChecks, 18, 9, 1, 1))</f>
        <v/>
      </c>
      <c r="J481" s="262" t="str">
        <f ca="1">IF(OFFSET('IWP20'!BackgroundChecks, 18, 10, 1, 1) = 0, "", OFFSET('IWP20'!BackgroundChecks, 18, 10, 1, 1))</f>
        <v/>
      </c>
      <c r="K481" s="262" t="str">
        <f ca="1">IF(OFFSET('IWP20'!BackgroundChecks, 18, 11, 1, 1) = 0, "", OFFSET('IWP20'!BackgroundChecks, 18, 11, 1, 1))</f>
        <v/>
      </c>
      <c r="L481" s="262" t="str">
        <f ca="1">IF(OFFSET('IWP20'!BackgroundChecks, 18, 12, 1, 1) = 0, "", OFFSET('IWP20'!BackgroundChecks, 18, 12, 1, 1))</f>
        <v/>
      </c>
      <c r="M481" s="262" t="str">
        <f ca="1">IF(OFFSET('IWP20'!BackgroundChecks, 18, 13, 1, 1) = 0, "", OFFSET('IWP20'!BackgroundChecks, 18, 13, 1, 1))</f>
        <v/>
      </c>
      <c r="N481" s="261"/>
    </row>
    <row r="482" spans="1:14" s="146" customFormat="1">
      <c r="A482" s="257" t="s">
        <v>518</v>
      </c>
      <c r="B482" s="262" t="str">
        <f ca="1">IF(OFFSET('IWP20'!BackgroundChecks, 19, 0, 1, 1) = 0, "", OFFSET('IWP20'!BackgroundChecks, 19, 0, 1, 1))</f>
        <v/>
      </c>
      <c r="C482" s="262" t="str">
        <f ca="1">IF(OFFSET('IWP20'!BackgroundChecks, 19, 2, 1, 1) = 0, "", OFFSET('IWP20'!BackgroundChecks, 19, 2, 1, 1))</f>
        <v/>
      </c>
      <c r="D482" s="262" t="str">
        <f ca="1">IF(OFFSET('IWP20'!BackgroundChecks, 19, 4, 1, 1) = 0, "", OFFSET('IWP20'!BackgroundChecks, 19, 4, 1, 1))</f>
        <v/>
      </c>
      <c r="E482" s="254">
        <f ca="1">IF(OFFSET('IWP20'!BackgroundChecks, 19, 5, 1, 1)=DATE(1900,1,0), DATE(1900,1,1), OFFSET('IWP20'!BackgroundChecks, 19, 5, 1, 1))</f>
        <v>1</v>
      </c>
      <c r="F482" s="262" t="str">
        <f ca="1">IF(OFFSET('IWP20'!BackgroundChecks, 19, 6, 1, 1) = 0, "", OFFSET('IWP20'!BackgroundChecks, 19, 6, 1, 1))</f>
        <v/>
      </c>
      <c r="G482" s="254">
        <f ca="1">IF(OFFSET('IWP20'!BackgroundChecks, 19, 7, 1, 1)=DATE(1900,1,0), DATE(1900,1,1), OFFSET('IWP20'!BackgroundChecks, 19, 7, 1, 1))</f>
        <v>1</v>
      </c>
      <c r="H482" s="254">
        <f ca="1">IF(OFFSET('IWP20'!BackgroundChecks, 19, 8, 1, 1)=DATE(1900,1,0), DATE(1900,1,1), OFFSET('IWP20'!BackgroundChecks, 19, 8, 1, 1))</f>
        <v>1</v>
      </c>
      <c r="I482" s="262" t="str">
        <f ca="1">IF(OFFSET('IWP20'!BackgroundChecks, 19, 9, 1, 1) = 0, "", OFFSET('IWP20'!BackgroundChecks, 19, 9, 1, 1))</f>
        <v/>
      </c>
      <c r="J482" s="262" t="str">
        <f ca="1">IF(OFFSET('IWP20'!BackgroundChecks, 19, 10, 1, 1) = 0, "", OFFSET('IWP20'!BackgroundChecks, 19, 10, 1, 1))</f>
        <v/>
      </c>
      <c r="K482" s="262" t="str">
        <f ca="1">IF(OFFSET('IWP20'!BackgroundChecks, 19, 11, 1, 1) = 0, "", OFFSET('IWP20'!BackgroundChecks, 19, 11, 1, 1))</f>
        <v/>
      </c>
      <c r="L482" s="262" t="str">
        <f ca="1">IF(OFFSET('IWP20'!BackgroundChecks, 19, 12, 1, 1) = 0, "", OFFSET('IWP20'!BackgroundChecks, 19, 12, 1, 1))</f>
        <v/>
      </c>
      <c r="M482" s="262" t="str">
        <f ca="1">IF(OFFSET('IWP20'!BackgroundChecks, 19, 13, 1, 1) = 0, "", OFFSET('IWP20'!BackgroundChecks, 19, 13, 1, 1))</f>
        <v/>
      </c>
      <c r="N482" s="261"/>
    </row>
    <row r="483" spans="1:14" s="146" customFormat="1">
      <c r="A483" s="257" t="s">
        <v>519</v>
      </c>
      <c r="B483" s="262" t="str">
        <f ca="1">IF(OFFSET('IWP21'!BackgroundChecks, 0, 0, 1, 1) = 0, "", OFFSET('IWP21'!BackgroundChecks, 0, 0, 1, 1))</f>
        <v/>
      </c>
      <c r="C483" s="262" t="str">
        <f ca="1">IF(OFFSET('IWP21'!BackgroundChecks, 0, 2, 1, 1) = 0, "", OFFSET('IWP21'!BackgroundChecks, 0, 2, 1, 1))</f>
        <v/>
      </c>
      <c r="D483" s="262" t="str">
        <f ca="1">IF(OFFSET('IWP21'!BackgroundChecks, 0, 4, 1, 1) = 0, "", OFFSET('IWP21'!BackgroundChecks, 0, 4, 1, 1))</f>
        <v/>
      </c>
      <c r="E483" s="254">
        <f ca="1">IF(OFFSET('IWP21'!BackgroundChecks, 0, 5, 1, 1)=DATE(1900,1,0), DATE(1900,1,1), OFFSET('IWP21'!BackgroundChecks, 0, 5, 1, 1))</f>
        <v>1</v>
      </c>
      <c r="F483" s="262" t="str">
        <f ca="1">IF(OFFSET('IWP21'!BackgroundChecks, 0, 6, 1, 1) = 0, "", OFFSET('IWP21'!BackgroundChecks, 0, 6, 1, 1))</f>
        <v/>
      </c>
      <c r="G483" s="254">
        <f ca="1">IF(OFFSET('IWP21'!BackgroundChecks, 0, 7, 1, 1)=DATE(1900,1,0), DATE(1900,1,1), OFFSET('IWP21'!BackgroundChecks, 0, 7, 1, 1))</f>
        <v>1</v>
      </c>
      <c r="H483" s="254">
        <f ca="1">IF(OFFSET('IWP21'!BackgroundChecks, 0, 8, 1, 1)=DATE(1900,1,0), DATE(1900,1,1), OFFSET('IWP21'!BackgroundChecks, 0, 8, 1, 1))</f>
        <v>1</v>
      </c>
      <c r="I483" s="262" t="str">
        <f ca="1">IF(OFFSET('IWP21'!BackgroundChecks, 0, 9, 1, 1) = 0, "", OFFSET('IWP21'!BackgroundChecks, 0, 9, 1, 1))</f>
        <v/>
      </c>
      <c r="J483" s="262" t="str">
        <f ca="1">IF(OFFSET('IWP21'!BackgroundChecks, 0, 10, 1, 1) = 0, "", OFFSET('IWP21'!BackgroundChecks, 0, 10, 1, 1))</f>
        <v/>
      </c>
      <c r="K483" s="262" t="str">
        <f ca="1">IF(OFFSET('IWP21'!BackgroundChecks, 0, 11, 1, 1) = 0, "", OFFSET('IWP21'!BackgroundChecks, 0, 11, 1, 1))</f>
        <v/>
      </c>
      <c r="L483" s="262" t="str">
        <f ca="1">IF(OFFSET('IWP21'!BackgroundChecks, 0, 12, 1, 1) = 0, "", OFFSET('IWP21'!BackgroundChecks, 0, 12, 1, 1))</f>
        <v/>
      </c>
      <c r="M483" s="262" t="str">
        <f ca="1">IF(OFFSET('IWP21'!BackgroundChecks, 0, 13, 1, 1) = 0, "", OFFSET('IWP21'!BackgroundChecks, 0, 13, 1, 1))</f>
        <v/>
      </c>
      <c r="N483" s="261"/>
    </row>
    <row r="484" spans="1:14" s="146" customFormat="1">
      <c r="A484" s="257" t="s">
        <v>519</v>
      </c>
      <c r="B484" s="262" t="str">
        <f ca="1">IF(OFFSET('IWP21'!BackgroundChecks, 1, 0, 1, 1) = 0, "", OFFSET('IWP21'!BackgroundChecks, 1, 0, 1, 1))</f>
        <v/>
      </c>
      <c r="C484" s="262" t="str">
        <f ca="1">IF(OFFSET('IWP21'!BackgroundChecks, 1, 2, 1, 1) = 0, "", OFFSET('IWP21'!BackgroundChecks, 1, 2, 1, 1))</f>
        <v/>
      </c>
      <c r="D484" s="262" t="str">
        <f ca="1">IF(OFFSET('IWP21'!BackgroundChecks, 1, 4, 1, 1) = 0, "", OFFSET('IWP21'!BackgroundChecks, 1, 4, 1, 1))</f>
        <v/>
      </c>
      <c r="E484" s="254">
        <f ca="1">IF(OFFSET('IWP21'!BackgroundChecks, 1, 5, 1, 1)=DATE(1900,1,0), DATE(1900,1,1), OFFSET('IWP21'!BackgroundChecks, 1, 5, 1, 1))</f>
        <v>1</v>
      </c>
      <c r="F484" s="262" t="str">
        <f ca="1">IF(OFFSET('IWP21'!BackgroundChecks, 1, 6, 1, 1) = 0, "", OFFSET('IWP21'!BackgroundChecks, 1, 6, 1, 1))</f>
        <v/>
      </c>
      <c r="G484" s="254">
        <f ca="1">IF(OFFSET('IWP21'!BackgroundChecks, 1, 7, 1, 1)=DATE(1900,1,0), DATE(1900,1,1), OFFSET('IWP21'!BackgroundChecks, 1, 7, 1, 1))</f>
        <v>1</v>
      </c>
      <c r="H484" s="254">
        <f ca="1">IF(OFFSET('IWP21'!BackgroundChecks, 1, 8, 1, 1)=DATE(1900,1,0), DATE(1900,1,1), OFFSET('IWP21'!BackgroundChecks, 1, 8, 1, 1))</f>
        <v>1</v>
      </c>
      <c r="I484" s="262" t="str">
        <f ca="1">IF(OFFSET('IWP21'!BackgroundChecks, 1, 9, 1, 1) = 0, "", OFFSET('IWP21'!BackgroundChecks, 1, 9, 1, 1))</f>
        <v/>
      </c>
      <c r="J484" s="262" t="str">
        <f ca="1">IF(OFFSET('IWP21'!BackgroundChecks, 1, 10, 1, 1) = 0, "", OFFSET('IWP21'!BackgroundChecks, 1, 10, 1, 1))</f>
        <v/>
      </c>
      <c r="K484" s="262" t="str">
        <f ca="1">IF(OFFSET('IWP21'!BackgroundChecks, 1, 11, 1, 1) = 0, "", OFFSET('IWP21'!BackgroundChecks, 1, 11, 1, 1))</f>
        <v/>
      </c>
      <c r="L484" s="262" t="str">
        <f ca="1">IF(OFFSET('IWP21'!BackgroundChecks, 1, 12, 1, 1) = 0, "", OFFSET('IWP21'!BackgroundChecks, 1, 12, 1, 1))</f>
        <v/>
      </c>
      <c r="M484" s="262" t="str">
        <f ca="1">IF(OFFSET('IWP21'!BackgroundChecks, 1, 13, 1, 1) = 0, "", OFFSET('IWP21'!BackgroundChecks, 1, 13, 1, 1))</f>
        <v/>
      </c>
      <c r="N484" s="261"/>
    </row>
    <row r="485" spans="1:14" s="146" customFormat="1">
      <c r="A485" s="257" t="s">
        <v>519</v>
      </c>
      <c r="B485" s="262" t="str">
        <f ca="1">IF(OFFSET('IWP21'!BackgroundChecks, 2, 0, 1, 1) = 0, "", OFFSET('IWP21'!BackgroundChecks, 2, 0, 1, 1))</f>
        <v/>
      </c>
      <c r="C485" s="262" t="str">
        <f ca="1">IF(OFFSET('IWP21'!BackgroundChecks, 2, 2, 1, 1) = 0, "", OFFSET('IWP21'!BackgroundChecks, 2, 2, 1, 1))</f>
        <v/>
      </c>
      <c r="D485" s="262" t="str">
        <f ca="1">IF(OFFSET('IWP21'!BackgroundChecks, 2, 4, 1, 1) = 0, "", OFFSET('IWP21'!BackgroundChecks, 2, 4, 1, 1))</f>
        <v/>
      </c>
      <c r="E485" s="254">
        <f ca="1">IF(OFFSET('IWP21'!BackgroundChecks, 2, 5, 1, 1)=DATE(1900,1,0), DATE(1900,1,1), OFFSET('IWP21'!BackgroundChecks, 2, 5, 1, 1))</f>
        <v>1</v>
      </c>
      <c r="F485" s="262" t="str">
        <f ca="1">IF(OFFSET('IWP21'!BackgroundChecks, 2, 6, 1, 1) = 0, "", OFFSET('IWP21'!BackgroundChecks, 2, 6, 1, 1))</f>
        <v/>
      </c>
      <c r="G485" s="254">
        <f ca="1">IF(OFFSET('IWP21'!BackgroundChecks, 2, 7, 1, 1)=DATE(1900,1,0), DATE(1900,1,1), OFFSET('IWP21'!BackgroundChecks, 2, 7, 1, 1))</f>
        <v>1</v>
      </c>
      <c r="H485" s="254">
        <f ca="1">IF(OFFSET('IWP21'!BackgroundChecks, 2, 8, 1, 1)=DATE(1900,1,0), DATE(1900,1,1), OFFSET('IWP21'!BackgroundChecks, 2, 8, 1, 1))</f>
        <v>1</v>
      </c>
      <c r="I485" s="262" t="str">
        <f ca="1">IF(OFFSET('IWP21'!BackgroundChecks, 2, 9, 1, 1) = 0, "", OFFSET('IWP21'!BackgroundChecks, 2, 9, 1, 1))</f>
        <v/>
      </c>
      <c r="J485" s="262" t="str">
        <f ca="1">IF(OFFSET('IWP21'!BackgroundChecks, 2, 10, 1, 1) = 0, "", OFFSET('IWP21'!BackgroundChecks, 2, 10, 1, 1))</f>
        <v/>
      </c>
      <c r="K485" s="262" t="str">
        <f ca="1">IF(OFFSET('IWP21'!BackgroundChecks, 2, 11, 1, 1) = 0, "", OFFSET('IWP21'!BackgroundChecks, 2, 11, 1, 1))</f>
        <v/>
      </c>
      <c r="L485" s="262" t="str">
        <f ca="1">IF(OFFSET('IWP21'!BackgroundChecks, 2, 12, 1, 1) = 0, "", OFFSET('IWP21'!BackgroundChecks, 2, 12, 1, 1))</f>
        <v/>
      </c>
      <c r="M485" s="262" t="str">
        <f ca="1">IF(OFFSET('IWP21'!BackgroundChecks, 2, 13, 1, 1) = 0, "", OFFSET('IWP21'!BackgroundChecks, 2, 13, 1, 1))</f>
        <v/>
      </c>
      <c r="N485" s="261"/>
    </row>
    <row r="486" spans="1:14" s="146" customFormat="1">
      <c r="A486" s="257" t="s">
        <v>519</v>
      </c>
      <c r="B486" s="262" t="str">
        <f ca="1">IF(OFFSET('IWP21'!BackgroundChecks, 3, 0, 1, 1) = 0, "", OFFSET('IWP21'!BackgroundChecks, 3, 0, 1, 1))</f>
        <v/>
      </c>
      <c r="C486" s="262" t="str">
        <f ca="1">IF(OFFSET('IWP21'!BackgroundChecks, 3, 2, 1, 1) = 0, "", OFFSET('IWP21'!BackgroundChecks, 3, 2, 1, 1))</f>
        <v/>
      </c>
      <c r="D486" s="262" t="str">
        <f ca="1">IF(OFFSET('IWP21'!BackgroundChecks, 3, 4, 1, 1) = 0, "", OFFSET('IWP21'!BackgroundChecks, 3, 4, 1, 1))</f>
        <v/>
      </c>
      <c r="E486" s="254">
        <f ca="1">IF(OFFSET('IWP21'!BackgroundChecks, 3, 5, 1, 1)=DATE(1900,1,0), DATE(1900,1,1), OFFSET('IWP21'!BackgroundChecks, 3, 5, 1, 1))</f>
        <v>1</v>
      </c>
      <c r="F486" s="262" t="str">
        <f ca="1">IF(OFFSET('IWP21'!BackgroundChecks, 3, 6, 1, 1) = 0, "", OFFSET('IWP21'!BackgroundChecks, 3, 6, 1, 1))</f>
        <v/>
      </c>
      <c r="G486" s="254">
        <f ca="1">IF(OFFSET('IWP21'!BackgroundChecks, 3, 7, 1, 1)=DATE(1900,1,0), DATE(1900,1,1), OFFSET('IWP21'!BackgroundChecks, 3, 7, 1, 1))</f>
        <v>1</v>
      </c>
      <c r="H486" s="254">
        <f ca="1">IF(OFFSET('IWP21'!BackgroundChecks, 3, 8, 1, 1)=DATE(1900,1,0), DATE(1900,1,1), OFFSET('IWP21'!BackgroundChecks, 3, 8, 1, 1))</f>
        <v>1</v>
      </c>
      <c r="I486" s="262" t="str">
        <f ca="1">IF(OFFSET('IWP21'!BackgroundChecks, 3, 9, 1, 1) = 0, "", OFFSET('IWP21'!BackgroundChecks, 3, 9, 1, 1))</f>
        <v/>
      </c>
      <c r="J486" s="262" t="str">
        <f ca="1">IF(OFFSET('IWP21'!BackgroundChecks, 3, 10, 1, 1) = 0, "", OFFSET('IWP21'!BackgroundChecks, 3, 10, 1, 1))</f>
        <v/>
      </c>
      <c r="K486" s="262" t="str">
        <f ca="1">IF(OFFSET('IWP21'!BackgroundChecks, 3, 11, 1, 1) = 0, "", OFFSET('IWP21'!BackgroundChecks, 3, 11, 1, 1))</f>
        <v/>
      </c>
      <c r="L486" s="262" t="str">
        <f ca="1">IF(OFFSET('IWP21'!BackgroundChecks, 3, 12, 1, 1) = 0, "", OFFSET('IWP21'!BackgroundChecks, 3, 12, 1, 1))</f>
        <v/>
      </c>
      <c r="M486" s="262" t="str">
        <f ca="1">IF(OFFSET('IWP21'!BackgroundChecks, 3, 13, 1, 1) = 0, "", OFFSET('IWP21'!BackgroundChecks, 3, 13, 1, 1))</f>
        <v/>
      </c>
      <c r="N486" s="261"/>
    </row>
    <row r="487" spans="1:14" s="146" customFormat="1">
      <c r="A487" s="257" t="s">
        <v>519</v>
      </c>
      <c r="B487" s="262" t="str">
        <f ca="1">IF(OFFSET('IWP21'!BackgroundChecks, 4, 0, 1, 1) = 0, "", OFFSET('IWP21'!BackgroundChecks, 4, 0, 1, 1))</f>
        <v/>
      </c>
      <c r="C487" s="262" t="str">
        <f ca="1">IF(OFFSET('IWP21'!BackgroundChecks, 4, 2, 1, 1) = 0, "", OFFSET('IWP21'!BackgroundChecks, 4, 2, 1, 1))</f>
        <v/>
      </c>
      <c r="D487" s="262" t="str">
        <f ca="1">IF(OFFSET('IWP21'!BackgroundChecks, 4, 4, 1, 1) = 0, "", OFFSET('IWP21'!BackgroundChecks, 4, 4, 1, 1))</f>
        <v/>
      </c>
      <c r="E487" s="254">
        <f ca="1">IF(OFFSET('IWP21'!BackgroundChecks, 4, 5, 1, 1)=DATE(1900,1,0), DATE(1900,1,1), OFFSET('IWP21'!BackgroundChecks, 4, 5, 1, 1))</f>
        <v>1</v>
      </c>
      <c r="F487" s="262" t="str">
        <f ca="1">IF(OFFSET('IWP21'!BackgroundChecks, 4, 6, 1, 1) = 0, "", OFFSET('IWP21'!BackgroundChecks, 4, 6, 1, 1))</f>
        <v/>
      </c>
      <c r="G487" s="254">
        <f ca="1">IF(OFFSET('IWP21'!BackgroundChecks, 4, 7, 1, 1)=DATE(1900,1,0), DATE(1900,1,1), OFFSET('IWP21'!BackgroundChecks, 4, 7, 1, 1))</f>
        <v>1</v>
      </c>
      <c r="H487" s="254">
        <f ca="1">IF(OFFSET('IWP21'!BackgroundChecks, 4, 8, 1, 1)=DATE(1900,1,0), DATE(1900,1,1), OFFSET('IWP21'!BackgroundChecks, 4, 8, 1, 1))</f>
        <v>1</v>
      </c>
      <c r="I487" s="262" t="str">
        <f ca="1">IF(OFFSET('IWP21'!BackgroundChecks, 4, 9, 1, 1) = 0, "", OFFSET('IWP21'!BackgroundChecks, 4, 9, 1, 1))</f>
        <v/>
      </c>
      <c r="J487" s="262" t="str">
        <f ca="1">IF(OFFSET('IWP21'!BackgroundChecks, 4, 10, 1, 1) = 0, "", OFFSET('IWP21'!BackgroundChecks, 4, 10, 1, 1))</f>
        <v/>
      </c>
      <c r="K487" s="262" t="str">
        <f ca="1">IF(OFFSET('IWP21'!BackgroundChecks, 4, 11, 1, 1) = 0, "", OFFSET('IWP21'!BackgroundChecks, 4, 11, 1, 1))</f>
        <v/>
      </c>
      <c r="L487" s="262" t="str">
        <f ca="1">IF(OFFSET('IWP21'!BackgroundChecks, 4, 12, 1, 1) = 0, "", OFFSET('IWP21'!BackgroundChecks, 4, 12, 1, 1))</f>
        <v/>
      </c>
      <c r="M487" s="262" t="str">
        <f ca="1">IF(OFFSET('IWP21'!BackgroundChecks, 4, 13, 1, 1) = 0, "", OFFSET('IWP21'!BackgroundChecks, 4, 13, 1, 1))</f>
        <v/>
      </c>
      <c r="N487" s="261"/>
    </row>
    <row r="488" spans="1:14" s="146" customFormat="1">
      <c r="A488" s="257" t="s">
        <v>519</v>
      </c>
      <c r="B488" s="262" t="str">
        <f ca="1">IF(OFFSET('IWP21'!BackgroundChecks, 5, 0, 1, 1) = 0, "", OFFSET('IWP21'!BackgroundChecks, 5, 0, 1, 1))</f>
        <v/>
      </c>
      <c r="C488" s="262" t="str">
        <f ca="1">IF(OFFSET('IWP21'!BackgroundChecks, 5, 2, 1, 1) = 0, "", OFFSET('IWP21'!BackgroundChecks, 5, 2, 1, 1))</f>
        <v/>
      </c>
      <c r="D488" s="262" t="str">
        <f ca="1">IF(OFFSET('IWP21'!BackgroundChecks, 5, 4, 1, 1) = 0, "", OFFSET('IWP21'!BackgroundChecks, 5, 4, 1, 1))</f>
        <v/>
      </c>
      <c r="E488" s="254">
        <f ca="1">IF(OFFSET('IWP21'!BackgroundChecks, 5, 5, 1, 1)=DATE(1900,1,0), DATE(1900,1,1), OFFSET('IWP21'!BackgroundChecks, 5, 5, 1, 1))</f>
        <v>1</v>
      </c>
      <c r="F488" s="262" t="str">
        <f ca="1">IF(OFFSET('IWP21'!BackgroundChecks, 5, 6, 1, 1) = 0, "", OFFSET('IWP21'!BackgroundChecks, 5, 6, 1, 1))</f>
        <v/>
      </c>
      <c r="G488" s="254">
        <f ca="1">IF(OFFSET('IWP21'!BackgroundChecks, 5, 7, 1, 1)=DATE(1900,1,0), DATE(1900,1,1), OFFSET('IWP21'!BackgroundChecks, 5, 7, 1, 1))</f>
        <v>1</v>
      </c>
      <c r="H488" s="254">
        <f ca="1">IF(OFFSET('IWP21'!BackgroundChecks, 5, 8, 1, 1)=DATE(1900,1,0), DATE(1900,1,1), OFFSET('IWP21'!BackgroundChecks, 5, 8, 1, 1))</f>
        <v>1</v>
      </c>
      <c r="I488" s="262" t="str">
        <f ca="1">IF(OFFSET('IWP21'!BackgroundChecks, 5, 9, 1, 1) = 0, "", OFFSET('IWP21'!BackgroundChecks, 5, 9, 1, 1))</f>
        <v/>
      </c>
      <c r="J488" s="262" t="str">
        <f ca="1">IF(OFFSET('IWP21'!BackgroundChecks, 5, 10, 1, 1) = 0, "", OFFSET('IWP21'!BackgroundChecks, 5, 10, 1, 1))</f>
        <v/>
      </c>
      <c r="K488" s="262" t="str">
        <f ca="1">IF(OFFSET('IWP21'!BackgroundChecks, 5, 11, 1, 1) = 0, "", OFFSET('IWP21'!BackgroundChecks, 5, 11, 1, 1))</f>
        <v/>
      </c>
      <c r="L488" s="262" t="str">
        <f ca="1">IF(OFFSET('IWP21'!BackgroundChecks, 5, 12, 1, 1) = 0, "", OFFSET('IWP21'!BackgroundChecks, 5, 12, 1, 1))</f>
        <v/>
      </c>
      <c r="M488" s="262" t="str">
        <f ca="1">IF(OFFSET('IWP21'!BackgroundChecks, 5, 13, 1, 1) = 0, "", OFFSET('IWP21'!BackgroundChecks, 5, 13, 1, 1))</f>
        <v/>
      </c>
      <c r="N488" s="261"/>
    </row>
    <row r="489" spans="1:14" s="146" customFormat="1">
      <c r="A489" s="257" t="s">
        <v>519</v>
      </c>
      <c r="B489" s="262" t="str">
        <f ca="1">IF(OFFSET('IWP21'!BackgroundChecks, 6, 0, 1, 1) = 0, "", OFFSET('IWP21'!BackgroundChecks, 6, 0, 1, 1))</f>
        <v/>
      </c>
      <c r="C489" s="262" t="str">
        <f ca="1">IF(OFFSET('IWP21'!BackgroundChecks, 6, 2, 1, 1) = 0, "", OFFSET('IWP21'!BackgroundChecks, 6, 2, 1, 1))</f>
        <v/>
      </c>
      <c r="D489" s="262" t="str">
        <f ca="1">IF(OFFSET('IWP21'!BackgroundChecks, 6, 4, 1, 1) = 0, "", OFFSET('IWP21'!BackgroundChecks, 6, 4, 1, 1))</f>
        <v/>
      </c>
      <c r="E489" s="254">
        <f ca="1">IF(OFFSET('IWP21'!BackgroundChecks, 6, 5, 1, 1)=DATE(1900,1,0), DATE(1900,1,1), OFFSET('IWP21'!BackgroundChecks, 6, 5, 1, 1))</f>
        <v>1</v>
      </c>
      <c r="F489" s="262" t="str">
        <f ca="1">IF(OFFSET('IWP21'!BackgroundChecks, 6, 6, 1, 1) = 0, "", OFFSET('IWP21'!BackgroundChecks, 6, 6, 1, 1))</f>
        <v/>
      </c>
      <c r="G489" s="254">
        <f ca="1">IF(OFFSET('IWP21'!BackgroundChecks, 6, 7, 1, 1)=DATE(1900,1,0), DATE(1900,1,1), OFFSET('IWP21'!BackgroundChecks, 6, 7, 1, 1))</f>
        <v>1</v>
      </c>
      <c r="H489" s="254">
        <f ca="1">IF(OFFSET('IWP21'!BackgroundChecks, 6, 8, 1, 1)=DATE(1900,1,0), DATE(1900,1,1), OFFSET('IWP21'!BackgroundChecks, 6, 8, 1, 1))</f>
        <v>1</v>
      </c>
      <c r="I489" s="262" t="str">
        <f ca="1">IF(OFFSET('IWP21'!BackgroundChecks, 6, 9, 1, 1) = 0, "", OFFSET('IWP21'!BackgroundChecks, 6, 9, 1, 1))</f>
        <v/>
      </c>
      <c r="J489" s="262" t="str">
        <f ca="1">IF(OFFSET('IWP21'!BackgroundChecks, 6, 10, 1, 1) = 0, "", OFFSET('IWP21'!BackgroundChecks, 6, 10, 1, 1))</f>
        <v/>
      </c>
      <c r="K489" s="262" t="str">
        <f ca="1">IF(OFFSET('IWP21'!BackgroundChecks, 6, 11, 1, 1) = 0, "", OFFSET('IWP21'!BackgroundChecks, 6, 11, 1, 1))</f>
        <v/>
      </c>
      <c r="L489" s="262" t="str">
        <f ca="1">IF(OFFSET('IWP21'!BackgroundChecks, 6, 12, 1, 1) = 0, "", OFFSET('IWP21'!BackgroundChecks, 6, 12, 1, 1))</f>
        <v/>
      </c>
      <c r="M489" s="262" t="str">
        <f ca="1">IF(OFFSET('IWP21'!BackgroundChecks, 6, 13, 1, 1) = 0, "", OFFSET('IWP21'!BackgroundChecks, 6, 13, 1, 1))</f>
        <v/>
      </c>
      <c r="N489" s="261"/>
    </row>
    <row r="490" spans="1:14" s="146" customFormat="1">
      <c r="A490" s="257" t="s">
        <v>519</v>
      </c>
      <c r="B490" s="262" t="str">
        <f ca="1">IF(OFFSET('IWP21'!BackgroundChecks, 7, 0, 1, 1) = 0, "", OFFSET('IWP21'!BackgroundChecks, 7, 0, 1, 1))</f>
        <v/>
      </c>
      <c r="C490" s="262" t="str">
        <f ca="1">IF(OFFSET('IWP21'!BackgroundChecks, 7, 2, 1, 1) = 0, "", OFFSET('IWP21'!BackgroundChecks, 7, 2, 1, 1))</f>
        <v/>
      </c>
      <c r="D490" s="262" t="str">
        <f ca="1">IF(OFFSET('IWP21'!BackgroundChecks, 7, 4, 1, 1) = 0, "", OFFSET('IWP21'!BackgroundChecks, 7, 4, 1, 1))</f>
        <v/>
      </c>
      <c r="E490" s="254">
        <f ca="1">IF(OFFSET('IWP21'!BackgroundChecks, 7, 5, 1, 1)=DATE(1900,1,0), DATE(1900,1,1), OFFSET('IWP21'!BackgroundChecks, 7, 5, 1, 1))</f>
        <v>1</v>
      </c>
      <c r="F490" s="262" t="str">
        <f ca="1">IF(OFFSET('IWP21'!BackgroundChecks, 7, 6, 1, 1) = 0, "", OFFSET('IWP21'!BackgroundChecks, 7, 6, 1, 1))</f>
        <v/>
      </c>
      <c r="G490" s="254">
        <f ca="1">IF(OFFSET('IWP21'!BackgroundChecks, 7, 7, 1, 1)=DATE(1900,1,0), DATE(1900,1,1), OFFSET('IWP21'!BackgroundChecks, 7, 7, 1, 1))</f>
        <v>1</v>
      </c>
      <c r="H490" s="254">
        <f ca="1">IF(OFFSET('IWP21'!BackgroundChecks, 7, 8, 1, 1)=DATE(1900,1,0), DATE(1900,1,1), OFFSET('IWP21'!BackgroundChecks, 7, 8, 1, 1))</f>
        <v>1</v>
      </c>
      <c r="I490" s="262" t="str">
        <f ca="1">IF(OFFSET('IWP21'!BackgroundChecks, 7, 9, 1, 1) = 0, "", OFFSET('IWP21'!BackgroundChecks, 7, 9, 1, 1))</f>
        <v/>
      </c>
      <c r="J490" s="262" t="str">
        <f ca="1">IF(OFFSET('IWP21'!BackgroundChecks, 7, 10, 1, 1) = 0, "", OFFSET('IWP21'!BackgroundChecks, 7, 10, 1, 1))</f>
        <v/>
      </c>
      <c r="K490" s="262" t="str">
        <f ca="1">IF(OFFSET('IWP21'!BackgroundChecks, 7, 11, 1, 1) = 0, "", OFFSET('IWP21'!BackgroundChecks, 7, 11, 1, 1))</f>
        <v/>
      </c>
      <c r="L490" s="262" t="str">
        <f ca="1">IF(OFFSET('IWP21'!BackgroundChecks, 7, 12, 1, 1) = 0, "", OFFSET('IWP21'!BackgroundChecks, 7, 12, 1, 1))</f>
        <v/>
      </c>
      <c r="M490" s="262" t="str">
        <f ca="1">IF(OFFSET('IWP21'!BackgroundChecks, 7, 13, 1, 1) = 0, "", OFFSET('IWP21'!BackgroundChecks, 7, 13, 1, 1))</f>
        <v/>
      </c>
      <c r="N490" s="261"/>
    </row>
    <row r="491" spans="1:14" s="146" customFormat="1">
      <c r="A491" s="257" t="s">
        <v>519</v>
      </c>
      <c r="B491" s="262" t="str">
        <f ca="1">IF(OFFSET('IWP21'!BackgroundChecks, 8, 0, 1, 1) = 0, "", OFFSET('IWP21'!BackgroundChecks, 8, 0, 1, 1))</f>
        <v/>
      </c>
      <c r="C491" s="262" t="str">
        <f ca="1">IF(OFFSET('IWP21'!BackgroundChecks, 8, 2, 1, 1) = 0, "", OFFSET('IWP21'!BackgroundChecks, 8, 2, 1, 1))</f>
        <v/>
      </c>
      <c r="D491" s="262" t="str">
        <f ca="1">IF(OFFSET('IWP21'!BackgroundChecks, 8, 4, 1, 1) = 0, "", OFFSET('IWP21'!BackgroundChecks, 8, 4, 1, 1))</f>
        <v/>
      </c>
      <c r="E491" s="254">
        <f ca="1">IF(OFFSET('IWP21'!BackgroundChecks, 8, 5, 1, 1)=DATE(1900,1,0), DATE(1900,1,1), OFFSET('IWP21'!BackgroundChecks, 8, 5, 1, 1))</f>
        <v>1</v>
      </c>
      <c r="F491" s="262" t="str">
        <f ca="1">IF(OFFSET('IWP21'!BackgroundChecks, 8, 6, 1, 1) = 0, "", OFFSET('IWP21'!BackgroundChecks, 8, 6, 1, 1))</f>
        <v/>
      </c>
      <c r="G491" s="254">
        <f ca="1">IF(OFFSET('IWP21'!BackgroundChecks, 8, 7, 1, 1)=DATE(1900,1,0), DATE(1900,1,1), OFFSET('IWP21'!BackgroundChecks, 8, 7, 1, 1))</f>
        <v>1</v>
      </c>
      <c r="H491" s="254">
        <f ca="1">IF(OFFSET('IWP21'!BackgroundChecks, 8, 8, 1, 1)=DATE(1900,1,0), DATE(1900,1,1), OFFSET('IWP21'!BackgroundChecks, 8, 8, 1, 1))</f>
        <v>1</v>
      </c>
      <c r="I491" s="262" t="str">
        <f ca="1">IF(OFFSET('IWP21'!BackgroundChecks, 8, 9, 1, 1) = 0, "", OFFSET('IWP21'!BackgroundChecks, 8, 9, 1, 1))</f>
        <v/>
      </c>
      <c r="J491" s="262" t="str">
        <f ca="1">IF(OFFSET('IWP21'!BackgroundChecks, 8, 10, 1, 1) = 0, "", OFFSET('IWP21'!BackgroundChecks, 8, 10, 1, 1))</f>
        <v/>
      </c>
      <c r="K491" s="262" t="str">
        <f ca="1">IF(OFFSET('IWP21'!BackgroundChecks, 8, 11, 1, 1) = 0, "", OFFSET('IWP21'!BackgroundChecks, 8, 11, 1, 1))</f>
        <v/>
      </c>
      <c r="L491" s="262" t="str">
        <f ca="1">IF(OFFSET('IWP21'!BackgroundChecks, 8, 12, 1, 1) = 0, "", OFFSET('IWP21'!BackgroundChecks, 8, 12, 1, 1))</f>
        <v/>
      </c>
      <c r="M491" s="262" t="str">
        <f ca="1">IF(OFFSET('IWP21'!BackgroundChecks, 8, 13, 1, 1) = 0, "", OFFSET('IWP21'!BackgroundChecks, 8, 13, 1, 1))</f>
        <v/>
      </c>
      <c r="N491" s="261"/>
    </row>
    <row r="492" spans="1:14" s="146" customFormat="1">
      <c r="A492" s="257" t="s">
        <v>519</v>
      </c>
      <c r="B492" s="262" t="str">
        <f ca="1">IF(OFFSET('IWP21'!BackgroundChecks, 9, 0, 1, 1) = 0, "", OFFSET('IWP21'!BackgroundChecks, 9, 0, 1, 1))</f>
        <v/>
      </c>
      <c r="C492" s="262" t="str">
        <f ca="1">IF(OFFSET('IWP21'!BackgroundChecks, 9, 2, 1, 1) = 0, "", OFFSET('IWP21'!BackgroundChecks, 9, 2, 1, 1))</f>
        <v/>
      </c>
      <c r="D492" s="262" t="str">
        <f ca="1">IF(OFFSET('IWP21'!BackgroundChecks, 9, 4, 1, 1) = 0, "", OFFSET('IWP21'!BackgroundChecks, 9, 4, 1, 1))</f>
        <v/>
      </c>
      <c r="E492" s="254">
        <f ca="1">IF(OFFSET('IWP21'!BackgroundChecks, 9, 5, 1, 1)=DATE(1900,1,0), DATE(1900,1,1), OFFSET('IWP21'!BackgroundChecks, 9, 5, 1, 1))</f>
        <v>1</v>
      </c>
      <c r="F492" s="262" t="str">
        <f ca="1">IF(OFFSET('IWP21'!BackgroundChecks, 9, 6, 1, 1) = 0, "", OFFSET('IWP21'!BackgroundChecks, 9, 6, 1, 1))</f>
        <v/>
      </c>
      <c r="G492" s="254">
        <f ca="1">IF(OFFSET('IWP21'!BackgroundChecks, 9, 7, 1, 1)=DATE(1900,1,0), DATE(1900,1,1), OFFSET('IWP21'!BackgroundChecks, 9, 7, 1, 1))</f>
        <v>1</v>
      </c>
      <c r="H492" s="254">
        <f ca="1">IF(OFFSET('IWP21'!BackgroundChecks, 9, 8, 1, 1)=DATE(1900,1,0), DATE(1900,1,1), OFFSET('IWP21'!BackgroundChecks, 9, 8, 1, 1))</f>
        <v>1</v>
      </c>
      <c r="I492" s="262" t="str">
        <f ca="1">IF(OFFSET('IWP21'!BackgroundChecks, 9, 9, 1, 1) = 0, "", OFFSET('IWP21'!BackgroundChecks, 9, 9, 1, 1))</f>
        <v/>
      </c>
      <c r="J492" s="262" t="str">
        <f ca="1">IF(OFFSET('IWP21'!BackgroundChecks, 9, 10, 1, 1) = 0, "", OFFSET('IWP21'!BackgroundChecks, 9, 10, 1, 1))</f>
        <v/>
      </c>
      <c r="K492" s="262" t="str">
        <f ca="1">IF(OFFSET('IWP21'!BackgroundChecks, 9, 11, 1, 1) = 0, "", OFFSET('IWP21'!BackgroundChecks, 9, 11, 1, 1))</f>
        <v/>
      </c>
      <c r="L492" s="262" t="str">
        <f ca="1">IF(OFFSET('IWP21'!BackgroundChecks, 9, 12, 1, 1) = 0, "", OFFSET('IWP21'!BackgroundChecks, 9, 12, 1, 1))</f>
        <v/>
      </c>
      <c r="M492" s="262" t="str">
        <f ca="1">IF(OFFSET('IWP21'!BackgroundChecks, 9, 13, 1, 1) = 0, "", OFFSET('IWP21'!BackgroundChecks, 9, 13, 1, 1))</f>
        <v/>
      </c>
      <c r="N492" s="261"/>
    </row>
    <row r="493" spans="1:14" s="146" customFormat="1">
      <c r="A493" s="257" t="s">
        <v>519</v>
      </c>
      <c r="B493" s="262" t="str">
        <f ca="1">IF(OFFSET('IWP21'!BackgroundChecks, 10, 0, 1, 1) = 0, "", OFFSET('IWP21'!BackgroundChecks, 10, 0, 1, 1))</f>
        <v/>
      </c>
      <c r="C493" s="262" t="str">
        <f ca="1">IF(OFFSET('IWP21'!BackgroundChecks, 10, 2, 1, 1) = 0, "", OFFSET('IWP21'!BackgroundChecks, 10, 2, 1, 1))</f>
        <v/>
      </c>
      <c r="D493" s="262" t="str">
        <f ca="1">IF(OFFSET('IWP21'!BackgroundChecks, 10, 4, 1, 1) = 0, "", OFFSET('IWP21'!BackgroundChecks, 10, 4, 1, 1))</f>
        <v/>
      </c>
      <c r="E493" s="254">
        <f ca="1">IF(OFFSET('IWP21'!BackgroundChecks, 10, 5, 1, 1)=DATE(1900,1,0), DATE(1900,1,1), OFFSET('IWP21'!BackgroundChecks, 10, 5, 1, 1))</f>
        <v>1</v>
      </c>
      <c r="F493" s="262" t="str">
        <f ca="1">IF(OFFSET('IWP21'!BackgroundChecks, 10, 6, 1, 1) = 0, "", OFFSET('IWP21'!BackgroundChecks, 10, 6, 1, 1))</f>
        <v/>
      </c>
      <c r="G493" s="254">
        <f ca="1">IF(OFFSET('IWP21'!BackgroundChecks, 10, 7, 1, 1)=DATE(1900,1,0), DATE(1900,1,1), OFFSET('IWP21'!BackgroundChecks, 10, 7, 1, 1))</f>
        <v>1</v>
      </c>
      <c r="H493" s="254">
        <f ca="1">IF(OFFSET('IWP21'!BackgroundChecks, 10, 8, 1, 1)=DATE(1900,1,0), DATE(1900,1,1), OFFSET('IWP21'!BackgroundChecks, 10, 8, 1, 1))</f>
        <v>1</v>
      </c>
      <c r="I493" s="262" t="str">
        <f ca="1">IF(OFFSET('IWP21'!BackgroundChecks, 10, 9, 1, 1) = 0, "", OFFSET('IWP21'!BackgroundChecks, 10, 9, 1, 1))</f>
        <v/>
      </c>
      <c r="J493" s="262" t="str">
        <f ca="1">IF(OFFSET('IWP21'!BackgroundChecks, 10, 10, 1, 1) = 0, "", OFFSET('IWP21'!BackgroundChecks, 10, 10, 1, 1))</f>
        <v/>
      </c>
      <c r="K493" s="262" t="str">
        <f ca="1">IF(OFFSET('IWP21'!BackgroundChecks, 10, 11, 1, 1) = 0, "", OFFSET('IWP21'!BackgroundChecks, 10, 11, 1, 1))</f>
        <v/>
      </c>
      <c r="L493" s="262" t="str">
        <f ca="1">IF(OFFSET('IWP21'!BackgroundChecks, 10, 12, 1, 1) = 0, "", OFFSET('IWP21'!BackgroundChecks, 10, 12, 1, 1))</f>
        <v/>
      </c>
      <c r="M493" s="262" t="str">
        <f ca="1">IF(OFFSET('IWP21'!BackgroundChecks, 10, 13, 1, 1) = 0, "", OFFSET('IWP21'!BackgroundChecks, 10, 13, 1, 1))</f>
        <v/>
      </c>
      <c r="N493" s="261"/>
    </row>
    <row r="494" spans="1:14" s="146" customFormat="1">
      <c r="A494" s="257" t="s">
        <v>519</v>
      </c>
      <c r="B494" s="262" t="str">
        <f ca="1">IF(OFFSET('IWP21'!BackgroundChecks, 11, 0, 1, 1) = 0, "", OFFSET('IWP21'!BackgroundChecks, 11, 0, 1, 1))</f>
        <v/>
      </c>
      <c r="C494" s="262" t="str">
        <f ca="1">IF(OFFSET('IWP21'!BackgroundChecks, 11, 2, 1, 1) = 0, "", OFFSET('IWP21'!BackgroundChecks, 11, 2, 1, 1))</f>
        <v/>
      </c>
      <c r="D494" s="262" t="str">
        <f ca="1">IF(OFFSET('IWP21'!BackgroundChecks, 11, 4, 1, 1) = 0, "", OFFSET('IWP21'!BackgroundChecks, 11, 4, 1, 1))</f>
        <v/>
      </c>
      <c r="E494" s="254">
        <f ca="1">IF(OFFSET('IWP21'!BackgroundChecks, 11, 5, 1, 1)=DATE(1900,1,0), DATE(1900,1,1), OFFSET('IWP21'!BackgroundChecks, 11, 5, 1, 1))</f>
        <v>1</v>
      </c>
      <c r="F494" s="262" t="str">
        <f ca="1">IF(OFFSET('IWP21'!BackgroundChecks, 11, 6, 1, 1) = 0, "", OFFSET('IWP21'!BackgroundChecks, 11, 6, 1, 1))</f>
        <v/>
      </c>
      <c r="G494" s="254">
        <f ca="1">IF(OFFSET('IWP21'!BackgroundChecks, 11, 7, 1, 1)=DATE(1900,1,0), DATE(1900,1,1), OFFSET('IWP21'!BackgroundChecks, 11, 7, 1, 1))</f>
        <v>1</v>
      </c>
      <c r="H494" s="254">
        <f ca="1">IF(OFFSET('IWP21'!BackgroundChecks, 11, 8, 1, 1)=DATE(1900,1,0), DATE(1900,1,1), OFFSET('IWP21'!BackgroundChecks, 11, 8, 1, 1))</f>
        <v>1</v>
      </c>
      <c r="I494" s="262" t="str">
        <f ca="1">IF(OFFSET('IWP21'!BackgroundChecks, 11, 9, 1, 1) = 0, "", OFFSET('IWP21'!BackgroundChecks, 11, 9, 1, 1))</f>
        <v/>
      </c>
      <c r="J494" s="262" t="str">
        <f ca="1">IF(OFFSET('IWP21'!BackgroundChecks, 11, 10, 1, 1) = 0, "", OFFSET('IWP21'!BackgroundChecks, 11, 10, 1, 1))</f>
        <v/>
      </c>
      <c r="K494" s="262" t="str">
        <f ca="1">IF(OFFSET('IWP21'!BackgroundChecks, 11, 11, 1, 1) = 0, "", OFFSET('IWP21'!BackgroundChecks, 11, 11, 1, 1))</f>
        <v/>
      </c>
      <c r="L494" s="262" t="str">
        <f ca="1">IF(OFFSET('IWP21'!BackgroundChecks, 11, 12, 1, 1) = 0, "", OFFSET('IWP21'!BackgroundChecks, 11, 12, 1, 1))</f>
        <v/>
      </c>
      <c r="M494" s="262" t="str">
        <f ca="1">IF(OFFSET('IWP21'!BackgroundChecks, 11, 13, 1, 1) = 0, "", OFFSET('IWP21'!BackgroundChecks, 11, 13, 1, 1))</f>
        <v/>
      </c>
      <c r="N494" s="261"/>
    </row>
    <row r="495" spans="1:14" s="146" customFormat="1">
      <c r="A495" s="257" t="s">
        <v>519</v>
      </c>
      <c r="B495" s="262" t="str">
        <f ca="1">IF(OFFSET('IWP21'!BackgroundChecks, 12, 0, 1, 1) = 0, "", OFFSET('IWP21'!BackgroundChecks, 12, 0, 1, 1))</f>
        <v/>
      </c>
      <c r="C495" s="262" t="str">
        <f ca="1">IF(OFFSET('IWP21'!BackgroundChecks, 12, 2, 1, 1) = 0, "", OFFSET('IWP21'!BackgroundChecks, 12, 2, 1, 1))</f>
        <v/>
      </c>
      <c r="D495" s="262" t="str">
        <f ca="1">IF(OFFSET('IWP21'!BackgroundChecks, 12, 4, 1, 1) = 0, "", OFFSET('IWP21'!BackgroundChecks, 12, 4, 1, 1))</f>
        <v/>
      </c>
      <c r="E495" s="254">
        <f ca="1">IF(OFFSET('IWP21'!BackgroundChecks, 12, 5, 1, 1)=DATE(1900,1,0), DATE(1900,1,1), OFFSET('IWP21'!BackgroundChecks, 12, 5, 1, 1))</f>
        <v>1</v>
      </c>
      <c r="F495" s="262" t="str">
        <f ca="1">IF(OFFSET('IWP21'!BackgroundChecks, 12, 6, 1, 1) = 0, "", OFFSET('IWP21'!BackgroundChecks, 12, 6, 1, 1))</f>
        <v/>
      </c>
      <c r="G495" s="254">
        <f ca="1">IF(OFFSET('IWP21'!BackgroundChecks, 12, 7, 1, 1)=DATE(1900,1,0), DATE(1900,1,1), OFFSET('IWP21'!BackgroundChecks, 12, 7, 1, 1))</f>
        <v>1</v>
      </c>
      <c r="H495" s="254">
        <f ca="1">IF(OFFSET('IWP21'!BackgroundChecks, 12, 8, 1, 1)=DATE(1900,1,0), DATE(1900,1,1), OFFSET('IWP21'!BackgroundChecks, 12, 8, 1, 1))</f>
        <v>1</v>
      </c>
      <c r="I495" s="262" t="str">
        <f ca="1">IF(OFFSET('IWP21'!BackgroundChecks, 12, 9, 1, 1) = 0, "", OFFSET('IWP21'!BackgroundChecks, 12, 9, 1, 1))</f>
        <v/>
      </c>
      <c r="J495" s="262" t="str">
        <f ca="1">IF(OFFSET('IWP21'!BackgroundChecks, 12, 10, 1, 1) = 0, "", OFFSET('IWP21'!BackgroundChecks, 12, 10, 1, 1))</f>
        <v/>
      </c>
      <c r="K495" s="262" t="str">
        <f ca="1">IF(OFFSET('IWP21'!BackgroundChecks, 12, 11, 1, 1) = 0, "", OFFSET('IWP21'!BackgroundChecks, 12, 11, 1, 1))</f>
        <v/>
      </c>
      <c r="L495" s="262" t="str">
        <f ca="1">IF(OFFSET('IWP21'!BackgroundChecks, 12, 12, 1, 1) = 0, "", OFFSET('IWP21'!BackgroundChecks, 12, 12, 1, 1))</f>
        <v/>
      </c>
      <c r="M495" s="262" t="str">
        <f ca="1">IF(OFFSET('IWP21'!BackgroundChecks, 12, 13, 1, 1) = 0, "", OFFSET('IWP21'!BackgroundChecks, 12, 13, 1, 1))</f>
        <v/>
      </c>
      <c r="N495" s="261"/>
    </row>
    <row r="496" spans="1:14" s="146" customFormat="1">
      <c r="A496" s="257" t="s">
        <v>519</v>
      </c>
      <c r="B496" s="262" t="str">
        <f ca="1">IF(OFFSET('IWP21'!BackgroundChecks, 13, 0, 1, 1) = 0, "", OFFSET('IWP21'!BackgroundChecks, 13, 0, 1, 1))</f>
        <v/>
      </c>
      <c r="C496" s="262" t="str">
        <f ca="1">IF(OFFSET('IWP21'!BackgroundChecks, 13, 2, 1, 1) = 0, "", OFFSET('IWP21'!BackgroundChecks, 13, 2, 1, 1))</f>
        <v/>
      </c>
      <c r="D496" s="262" t="str">
        <f ca="1">IF(OFFSET('IWP21'!BackgroundChecks, 13, 4, 1, 1) = 0, "", OFFSET('IWP21'!BackgroundChecks, 13, 4, 1, 1))</f>
        <v/>
      </c>
      <c r="E496" s="254">
        <f ca="1">IF(OFFSET('IWP21'!BackgroundChecks, 13, 5, 1, 1)=DATE(1900,1,0), DATE(1900,1,1), OFFSET('IWP21'!BackgroundChecks, 13, 5, 1, 1))</f>
        <v>1</v>
      </c>
      <c r="F496" s="262" t="str">
        <f ca="1">IF(OFFSET('IWP21'!BackgroundChecks, 13, 6, 1, 1) = 0, "", OFFSET('IWP21'!BackgroundChecks, 13, 6, 1, 1))</f>
        <v/>
      </c>
      <c r="G496" s="254">
        <f ca="1">IF(OFFSET('IWP21'!BackgroundChecks, 13, 7, 1, 1)=DATE(1900,1,0), DATE(1900,1,1), OFFSET('IWP21'!BackgroundChecks, 13, 7, 1, 1))</f>
        <v>1</v>
      </c>
      <c r="H496" s="254">
        <f ca="1">IF(OFFSET('IWP21'!BackgroundChecks, 13, 8, 1, 1)=DATE(1900,1,0), DATE(1900,1,1), OFFSET('IWP21'!BackgroundChecks, 13, 8, 1, 1))</f>
        <v>1</v>
      </c>
      <c r="I496" s="262" t="str">
        <f ca="1">IF(OFFSET('IWP21'!BackgroundChecks, 13, 9, 1, 1) = 0, "", OFFSET('IWP21'!BackgroundChecks, 13, 9, 1, 1))</f>
        <v/>
      </c>
      <c r="J496" s="262" t="str">
        <f ca="1">IF(OFFSET('IWP21'!BackgroundChecks, 13, 10, 1, 1) = 0, "", OFFSET('IWP21'!BackgroundChecks, 13, 10, 1, 1))</f>
        <v/>
      </c>
      <c r="K496" s="262" t="str">
        <f ca="1">IF(OFFSET('IWP21'!BackgroundChecks, 13, 11, 1, 1) = 0, "", OFFSET('IWP21'!BackgroundChecks, 13, 11, 1, 1))</f>
        <v/>
      </c>
      <c r="L496" s="262" t="str">
        <f ca="1">IF(OFFSET('IWP21'!BackgroundChecks, 13, 12, 1, 1) = 0, "", OFFSET('IWP21'!BackgroundChecks, 13, 12, 1, 1))</f>
        <v/>
      </c>
      <c r="M496" s="262" t="str">
        <f ca="1">IF(OFFSET('IWP21'!BackgroundChecks, 13, 13, 1, 1) = 0, "", OFFSET('IWP21'!BackgroundChecks, 13, 13, 1, 1))</f>
        <v/>
      </c>
      <c r="N496" s="261"/>
    </row>
    <row r="497" spans="1:14" s="146" customFormat="1">
      <c r="A497" s="257" t="s">
        <v>519</v>
      </c>
      <c r="B497" s="262" t="str">
        <f ca="1">IF(OFFSET('IWP21'!BackgroundChecks, 14, 0, 1, 1) = 0, "", OFFSET('IWP21'!BackgroundChecks, 14, 0, 1, 1))</f>
        <v/>
      </c>
      <c r="C497" s="262" t="str">
        <f ca="1">IF(OFFSET('IWP21'!BackgroundChecks, 14, 2, 1, 1) = 0, "", OFFSET('IWP21'!BackgroundChecks, 14, 2, 1, 1))</f>
        <v/>
      </c>
      <c r="D497" s="262" t="str">
        <f ca="1">IF(OFFSET('IWP21'!BackgroundChecks, 14, 4, 1, 1) = 0, "", OFFSET('IWP21'!BackgroundChecks, 14, 4, 1, 1))</f>
        <v/>
      </c>
      <c r="E497" s="254">
        <f ca="1">IF(OFFSET('IWP21'!BackgroundChecks, 14, 5, 1, 1)=DATE(1900,1,0), DATE(1900,1,1), OFFSET('IWP21'!BackgroundChecks, 14, 5, 1, 1))</f>
        <v>1</v>
      </c>
      <c r="F497" s="262" t="str">
        <f ca="1">IF(OFFSET('IWP21'!BackgroundChecks, 14, 6, 1, 1) = 0, "", OFFSET('IWP21'!BackgroundChecks, 14, 6, 1, 1))</f>
        <v/>
      </c>
      <c r="G497" s="254">
        <f ca="1">IF(OFFSET('IWP21'!BackgroundChecks, 14, 7, 1, 1)=DATE(1900,1,0), DATE(1900,1,1), OFFSET('IWP21'!BackgroundChecks, 14, 7, 1, 1))</f>
        <v>1</v>
      </c>
      <c r="H497" s="254">
        <f ca="1">IF(OFFSET('IWP21'!BackgroundChecks, 14, 8, 1, 1)=DATE(1900,1,0), DATE(1900,1,1), OFFSET('IWP21'!BackgroundChecks, 14, 8, 1, 1))</f>
        <v>1</v>
      </c>
      <c r="I497" s="262" t="str">
        <f ca="1">IF(OFFSET('IWP21'!BackgroundChecks, 14, 9, 1, 1) = 0, "", OFFSET('IWP21'!BackgroundChecks, 14, 9, 1, 1))</f>
        <v/>
      </c>
      <c r="J497" s="262" t="str">
        <f ca="1">IF(OFFSET('IWP21'!BackgroundChecks, 14, 10, 1, 1) = 0, "", OFFSET('IWP21'!BackgroundChecks, 14, 10, 1, 1))</f>
        <v/>
      </c>
      <c r="K497" s="262" t="str">
        <f ca="1">IF(OFFSET('IWP21'!BackgroundChecks, 14, 11, 1, 1) = 0, "", OFFSET('IWP21'!BackgroundChecks, 14, 11, 1, 1))</f>
        <v/>
      </c>
      <c r="L497" s="262" t="str">
        <f ca="1">IF(OFFSET('IWP21'!BackgroundChecks, 14, 12, 1, 1) = 0, "", OFFSET('IWP21'!BackgroundChecks, 14, 12, 1, 1))</f>
        <v/>
      </c>
      <c r="M497" s="262" t="str">
        <f ca="1">IF(OFFSET('IWP21'!BackgroundChecks, 14, 13, 1, 1) = 0, "", OFFSET('IWP21'!BackgroundChecks, 14, 13, 1, 1))</f>
        <v/>
      </c>
      <c r="N497" s="261"/>
    </row>
    <row r="498" spans="1:14" s="146" customFormat="1">
      <c r="A498" s="257" t="s">
        <v>519</v>
      </c>
      <c r="B498" s="262" t="str">
        <f ca="1">IF(OFFSET('IWP21'!BackgroundChecks, 15, 0, 1, 1) = 0, "", OFFSET('IWP21'!BackgroundChecks, 15, 0, 1, 1))</f>
        <v/>
      </c>
      <c r="C498" s="262" t="str">
        <f ca="1">IF(OFFSET('IWP21'!BackgroundChecks, 15, 2, 1, 1) = 0, "", OFFSET('IWP21'!BackgroundChecks, 15, 2, 1, 1))</f>
        <v/>
      </c>
      <c r="D498" s="262" t="str">
        <f ca="1">IF(OFFSET('IWP21'!BackgroundChecks, 15, 4, 1, 1) = 0, "", OFFSET('IWP21'!BackgroundChecks, 15, 4, 1, 1))</f>
        <v/>
      </c>
      <c r="E498" s="254">
        <f ca="1">IF(OFFSET('IWP21'!BackgroundChecks, 15, 5, 1, 1)=DATE(1900,1,0), DATE(1900,1,1), OFFSET('IWP21'!BackgroundChecks, 15, 5, 1, 1))</f>
        <v>1</v>
      </c>
      <c r="F498" s="262" t="str">
        <f ca="1">IF(OFFSET('IWP21'!BackgroundChecks, 15, 6, 1, 1) = 0, "", OFFSET('IWP21'!BackgroundChecks, 15, 6, 1, 1))</f>
        <v/>
      </c>
      <c r="G498" s="254">
        <f ca="1">IF(OFFSET('IWP21'!BackgroundChecks, 15, 7, 1, 1)=DATE(1900,1,0), DATE(1900,1,1), OFFSET('IWP21'!BackgroundChecks, 15, 7, 1, 1))</f>
        <v>1</v>
      </c>
      <c r="H498" s="254">
        <f ca="1">IF(OFFSET('IWP21'!BackgroundChecks, 15, 8, 1, 1)=DATE(1900,1,0), DATE(1900,1,1), OFFSET('IWP21'!BackgroundChecks, 15, 8, 1, 1))</f>
        <v>1</v>
      </c>
      <c r="I498" s="262" t="str">
        <f ca="1">IF(OFFSET('IWP21'!BackgroundChecks, 15, 9, 1, 1) = 0, "", OFFSET('IWP21'!BackgroundChecks, 15, 9, 1, 1))</f>
        <v/>
      </c>
      <c r="J498" s="262" t="str">
        <f ca="1">IF(OFFSET('IWP21'!BackgroundChecks, 15, 10, 1, 1) = 0, "", OFFSET('IWP21'!BackgroundChecks, 15, 10, 1, 1))</f>
        <v/>
      </c>
      <c r="K498" s="262" t="str">
        <f ca="1">IF(OFFSET('IWP21'!BackgroundChecks, 15, 11, 1, 1) = 0, "", OFFSET('IWP21'!BackgroundChecks, 15, 11, 1, 1))</f>
        <v/>
      </c>
      <c r="L498" s="262" t="str">
        <f ca="1">IF(OFFSET('IWP21'!BackgroundChecks, 15, 12, 1, 1) = 0, "", OFFSET('IWP21'!BackgroundChecks, 15, 12, 1, 1))</f>
        <v/>
      </c>
      <c r="M498" s="262" t="str">
        <f ca="1">IF(OFFSET('IWP21'!BackgroundChecks, 15, 13, 1, 1) = 0, "", OFFSET('IWP21'!BackgroundChecks, 15, 13, 1, 1))</f>
        <v/>
      </c>
      <c r="N498" s="261"/>
    </row>
    <row r="499" spans="1:14" s="146" customFormat="1">
      <c r="A499" s="257" t="s">
        <v>519</v>
      </c>
      <c r="B499" s="262" t="str">
        <f ca="1">IF(OFFSET('IWP21'!BackgroundChecks, 16, 0, 1, 1) = 0, "", OFFSET('IWP21'!BackgroundChecks, 16, 0, 1, 1))</f>
        <v/>
      </c>
      <c r="C499" s="262" t="str">
        <f ca="1">IF(OFFSET('IWP21'!BackgroundChecks, 16, 2, 1, 1) = 0, "", OFFSET('IWP21'!BackgroundChecks, 16, 2, 1, 1))</f>
        <v/>
      </c>
      <c r="D499" s="262" t="str">
        <f ca="1">IF(OFFSET('IWP21'!BackgroundChecks, 16, 4, 1, 1) = 0, "", OFFSET('IWP21'!BackgroundChecks, 16, 4, 1, 1))</f>
        <v/>
      </c>
      <c r="E499" s="254">
        <f ca="1">IF(OFFSET('IWP21'!BackgroundChecks, 16, 5, 1, 1)=DATE(1900,1,0), DATE(1900,1,1), OFFSET('IWP21'!BackgroundChecks, 16, 5, 1, 1))</f>
        <v>1</v>
      </c>
      <c r="F499" s="262" t="str">
        <f ca="1">IF(OFFSET('IWP21'!BackgroundChecks, 16, 6, 1, 1) = 0, "", OFFSET('IWP21'!BackgroundChecks, 16, 6, 1, 1))</f>
        <v/>
      </c>
      <c r="G499" s="254">
        <f ca="1">IF(OFFSET('IWP21'!BackgroundChecks, 16, 7, 1, 1)=DATE(1900,1,0), DATE(1900,1,1), OFFSET('IWP21'!BackgroundChecks, 16, 7, 1, 1))</f>
        <v>1</v>
      </c>
      <c r="H499" s="254">
        <f ca="1">IF(OFFSET('IWP21'!BackgroundChecks, 16, 8, 1, 1)=DATE(1900,1,0), DATE(1900,1,1), OFFSET('IWP21'!BackgroundChecks, 16, 8, 1, 1))</f>
        <v>1</v>
      </c>
      <c r="I499" s="262" t="str">
        <f ca="1">IF(OFFSET('IWP21'!BackgroundChecks, 16, 9, 1, 1) = 0, "", OFFSET('IWP21'!BackgroundChecks, 16, 9, 1, 1))</f>
        <v/>
      </c>
      <c r="J499" s="262" t="str">
        <f ca="1">IF(OFFSET('IWP21'!BackgroundChecks, 16, 10, 1, 1) = 0, "", OFFSET('IWP21'!BackgroundChecks, 16, 10, 1, 1))</f>
        <v/>
      </c>
      <c r="K499" s="262" t="str">
        <f ca="1">IF(OFFSET('IWP21'!BackgroundChecks, 16, 11, 1, 1) = 0, "", OFFSET('IWP21'!BackgroundChecks, 16, 11, 1, 1))</f>
        <v/>
      </c>
      <c r="L499" s="262" t="str">
        <f ca="1">IF(OFFSET('IWP21'!BackgroundChecks, 16, 12, 1, 1) = 0, "", OFFSET('IWP21'!BackgroundChecks, 16, 12, 1, 1))</f>
        <v/>
      </c>
      <c r="M499" s="262" t="str">
        <f ca="1">IF(OFFSET('IWP21'!BackgroundChecks, 16, 13, 1, 1) = 0, "", OFFSET('IWP21'!BackgroundChecks, 16, 13, 1, 1))</f>
        <v/>
      </c>
      <c r="N499" s="261"/>
    </row>
    <row r="500" spans="1:14" s="146" customFormat="1">
      <c r="A500" s="257" t="s">
        <v>519</v>
      </c>
      <c r="B500" s="262" t="str">
        <f ca="1">IF(OFFSET('IWP21'!BackgroundChecks, 17, 0, 1, 1) = 0, "", OFFSET('IWP21'!BackgroundChecks, 17, 0, 1, 1))</f>
        <v/>
      </c>
      <c r="C500" s="262" t="str">
        <f ca="1">IF(OFFSET('IWP21'!BackgroundChecks, 17, 2, 1, 1) = 0, "", OFFSET('IWP21'!BackgroundChecks, 17, 2, 1, 1))</f>
        <v/>
      </c>
      <c r="D500" s="262" t="str">
        <f ca="1">IF(OFFSET('IWP21'!BackgroundChecks, 17, 4, 1, 1) = 0, "", OFFSET('IWP21'!BackgroundChecks, 17, 4, 1, 1))</f>
        <v/>
      </c>
      <c r="E500" s="254">
        <f ca="1">IF(OFFSET('IWP21'!BackgroundChecks, 17, 5, 1, 1)=DATE(1900,1,0), DATE(1900,1,1), OFFSET('IWP21'!BackgroundChecks, 17, 5, 1, 1))</f>
        <v>1</v>
      </c>
      <c r="F500" s="262" t="str">
        <f ca="1">IF(OFFSET('IWP21'!BackgroundChecks, 17, 6, 1, 1) = 0, "", OFFSET('IWP21'!BackgroundChecks, 17, 6, 1, 1))</f>
        <v/>
      </c>
      <c r="G500" s="254">
        <f ca="1">IF(OFFSET('IWP21'!BackgroundChecks, 17, 7, 1, 1)=DATE(1900,1,0), DATE(1900,1,1), OFFSET('IWP21'!BackgroundChecks, 17, 7, 1, 1))</f>
        <v>1</v>
      </c>
      <c r="H500" s="254">
        <f ca="1">IF(OFFSET('IWP21'!BackgroundChecks, 17, 8, 1, 1)=DATE(1900,1,0), DATE(1900,1,1), OFFSET('IWP21'!BackgroundChecks, 17, 8, 1, 1))</f>
        <v>1</v>
      </c>
      <c r="I500" s="262" t="str">
        <f ca="1">IF(OFFSET('IWP21'!BackgroundChecks, 17, 9, 1, 1) = 0, "", OFFSET('IWP21'!BackgroundChecks, 17, 9, 1, 1))</f>
        <v/>
      </c>
      <c r="J500" s="262" t="str">
        <f ca="1">IF(OFFSET('IWP21'!BackgroundChecks, 17, 10, 1, 1) = 0, "", OFFSET('IWP21'!BackgroundChecks, 17, 10, 1, 1))</f>
        <v/>
      </c>
      <c r="K500" s="262" t="str">
        <f ca="1">IF(OFFSET('IWP21'!BackgroundChecks, 17, 11, 1, 1) = 0, "", OFFSET('IWP21'!BackgroundChecks, 17, 11, 1, 1))</f>
        <v/>
      </c>
      <c r="L500" s="262" t="str">
        <f ca="1">IF(OFFSET('IWP21'!BackgroundChecks, 17, 12, 1, 1) = 0, "", OFFSET('IWP21'!BackgroundChecks, 17, 12, 1, 1))</f>
        <v/>
      </c>
      <c r="M500" s="262" t="str">
        <f ca="1">IF(OFFSET('IWP21'!BackgroundChecks, 17, 13, 1, 1) = 0, "", OFFSET('IWP21'!BackgroundChecks, 17, 13, 1, 1))</f>
        <v/>
      </c>
      <c r="N500" s="261"/>
    </row>
    <row r="501" spans="1:14" s="146" customFormat="1">
      <c r="A501" s="257" t="s">
        <v>519</v>
      </c>
      <c r="B501" s="262" t="str">
        <f ca="1">IF(OFFSET('IWP21'!BackgroundChecks, 18, 0, 1, 1) = 0, "", OFFSET('IWP21'!BackgroundChecks, 18, 0, 1, 1))</f>
        <v/>
      </c>
      <c r="C501" s="262" t="str">
        <f ca="1">IF(OFFSET('IWP21'!BackgroundChecks, 18, 2, 1, 1) = 0, "", OFFSET('IWP21'!BackgroundChecks, 18, 2, 1, 1))</f>
        <v/>
      </c>
      <c r="D501" s="262" t="str">
        <f ca="1">IF(OFFSET('IWP21'!BackgroundChecks, 18, 4, 1, 1) = 0, "", OFFSET('IWP21'!BackgroundChecks, 18, 4, 1, 1))</f>
        <v/>
      </c>
      <c r="E501" s="254">
        <f ca="1">IF(OFFSET('IWP21'!BackgroundChecks, 18, 5, 1, 1)=DATE(1900,1,0), DATE(1900,1,1), OFFSET('IWP21'!BackgroundChecks, 18, 5, 1, 1))</f>
        <v>1</v>
      </c>
      <c r="F501" s="262" t="str">
        <f ca="1">IF(OFFSET('IWP21'!BackgroundChecks, 18, 6, 1, 1) = 0, "", OFFSET('IWP21'!BackgroundChecks, 18, 6, 1, 1))</f>
        <v/>
      </c>
      <c r="G501" s="254">
        <f ca="1">IF(OFFSET('IWP21'!BackgroundChecks, 18, 7, 1, 1)=DATE(1900,1,0), DATE(1900,1,1), OFFSET('IWP21'!BackgroundChecks, 18, 7, 1, 1))</f>
        <v>1</v>
      </c>
      <c r="H501" s="254">
        <f ca="1">IF(OFFSET('IWP21'!BackgroundChecks, 18, 8, 1, 1)=DATE(1900,1,0), DATE(1900,1,1), OFFSET('IWP21'!BackgroundChecks, 18, 8, 1, 1))</f>
        <v>1</v>
      </c>
      <c r="I501" s="262" t="str">
        <f ca="1">IF(OFFSET('IWP21'!BackgroundChecks, 18, 9, 1, 1) = 0, "", OFFSET('IWP21'!BackgroundChecks, 18, 9, 1, 1))</f>
        <v/>
      </c>
      <c r="J501" s="262" t="str">
        <f ca="1">IF(OFFSET('IWP21'!BackgroundChecks, 18, 10, 1, 1) = 0, "", OFFSET('IWP21'!BackgroundChecks, 18, 10, 1, 1))</f>
        <v/>
      </c>
      <c r="K501" s="262" t="str">
        <f ca="1">IF(OFFSET('IWP21'!BackgroundChecks, 18, 11, 1, 1) = 0, "", OFFSET('IWP21'!BackgroundChecks, 18, 11, 1, 1))</f>
        <v/>
      </c>
      <c r="L501" s="262" t="str">
        <f ca="1">IF(OFFSET('IWP21'!BackgroundChecks, 18, 12, 1, 1) = 0, "", OFFSET('IWP21'!BackgroundChecks, 18, 12, 1, 1))</f>
        <v/>
      </c>
      <c r="M501" s="262" t="str">
        <f ca="1">IF(OFFSET('IWP21'!BackgroundChecks, 18, 13, 1, 1) = 0, "", OFFSET('IWP21'!BackgroundChecks, 18, 13, 1, 1))</f>
        <v/>
      </c>
      <c r="N501" s="261"/>
    </row>
    <row r="502" spans="1:14" s="146" customFormat="1">
      <c r="A502" s="257" t="s">
        <v>519</v>
      </c>
      <c r="B502" s="262" t="str">
        <f ca="1">IF(OFFSET('IWP21'!BackgroundChecks, 19, 0, 1, 1) = 0, "", OFFSET('IWP21'!BackgroundChecks, 19, 0, 1, 1))</f>
        <v/>
      </c>
      <c r="C502" s="262" t="str">
        <f ca="1">IF(OFFSET('IWP21'!BackgroundChecks, 19, 2, 1, 1) = 0, "", OFFSET('IWP21'!BackgroundChecks, 19, 2, 1, 1))</f>
        <v/>
      </c>
      <c r="D502" s="262" t="str">
        <f ca="1">IF(OFFSET('IWP21'!BackgroundChecks, 19, 4, 1, 1) = 0, "", OFFSET('IWP21'!BackgroundChecks, 19, 4, 1, 1))</f>
        <v/>
      </c>
      <c r="E502" s="254">
        <f ca="1">IF(OFFSET('IWP21'!BackgroundChecks, 19, 5, 1, 1)=DATE(1900,1,0), DATE(1900,1,1), OFFSET('IWP21'!BackgroundChecks, 19, 5, 1, 1))</f>
        <v>1</v>
      </c>
      <c r="F502" s="262" t="str">
        <f ca="1">IF(OFFSET('IWP21'!BackgroundChecks, 19, 6, 1, 1) = 0, "", OFFSET('IWP21'!BackgroundChecks, 19, 6, 1, 1))</f>
        <v/>
      </c>
      <c r="G502" s="254">
        <f ca="1">IF(OFFSET('IWP21'!BackgroundChecks, 19, 7, 1, 1)=DATE(1900,1,0), DATE(1900,1,1), OFFSET('IWP21'!BackgroundChecks, 19, 7, 1, 1))</f>
        <v>1</v>
      </c>
      <c r="H502" s="254">
        <f ca="1">IF(OFFSET('IWP21'!BackgroundChecks, 19, 8, 1, 1)=DATE(1900,1,0), DATE(1900,1,1), OFFSET('IWP21'!BackgroundChecks, 19, 8, 1, 1))</f>
        <v>1</v>
      </c>
      <c r="I502" s="262" t="str">
        <f ca="1">IF(OFFSET('IWP21'!BackgroundChecks, 19, 9, 1, 1) = 0, "", OFFSET('IWP21'!BackgroundChecks, 19, 9, 1, 1))</f>
        <v/>
      </c>
      <c r="J502" s="262" t="str">
        <f ca="1">IF(OFFSET('IWP21'!BackgroundChecks, 19, 10, 1, 1) = 0, "", OFFSET('IWP21'!BackgroundChecks, 19, 10, 1, 1))</f>
        <v/>
      </c>
      <c r="K502" s="262" t="str">
        <f ca="1">IF(OFFSET('IWP21'!BackgroundChecks, 19, 11, 1, 1) = 0, "", OFFSET('IWP21'!BackgroundChecks, 19, 11, 1, 1))</f>
        <v/>
      </c>
      <c r="L502" s="262" t="str">
        <f ca="1">IF(OFFSET('IWP21'!BackgroundChecks, 19, 12, 1, 1) = 0, "", OFFSET('IWP21'!BackgroundChecks, 19, 12, 1, 1))</f>
        <v/>
      </c>
      <c r="M502" s="262" t="str">
        <f ca="1">IF(OFFSET('IWP21'!BackgroundChecks, 19, 13, 1, 1) = 0, "", OFFSET('IWP21'!BackgroundChecks, 19, 13, 1, 1))</f>
        <v/>
      </c>
      <c r="N502" s="261"/>
    </row>
    <row r="503" spans="1:14" s="146" customFormat="1">
      <c r="A503" s="257" t="s">
        <v>520</v>
      </c>
      <c r="B503" s="262" t="str">
        <f ca="1">IF(OFFSET('IWP22'!BackgroundChecks, 0, 0, 1, 1) = 0, "", OFFSET('IWP22'!BackgroundChecks, 0, 0, 1, 1))</f>
        <v/>
      </c>
      <c r="C503" s="262" t="str">
        <f ca="1">IF(OFFSET('IWP22'!BackgroundChecks, 0, 2, 1, 1) = 0, "", OFFSET('IWP22'!BackgroundChecks, 0, 2, 1, 1))</f>
        <v/>
      </c>
      <c r="D503" s="262" t="str">
        <f ca="1">IF(OFFSET('IWP22'!BackgroundChecks, 0, 4, 1, 1) = 0, "", OFFSET('IWP22'!BackgroundChecks, 0, 4, 1, 1))</f>
        <v/>
      </c>
      <c r="E503" s="254">
        <f ca="1">IF(OFFSET('IWP22'!BackgroundChecks, 0, 5, 1, 1)=DATE(1900,1,0), DATE(1900,1,1), OFFSET('IWP22'!BackgroundChecks, 0, 5, 1, 1))</f>
        <v>1</v>
      </c>
      <c r="F503" s="262" t="str">
        <f ca="1">IF(OFFSET('IWP22'!BackgroundChecks, 0, 6, 1, 1) = 0, "", OFFSET('IWP22'!BackgroundChecks, 0, 6, 1, 1))</f>
        <v/>
      </c>
      <c r="G503" s="254">
        <f ca="1">IF(OFFSET('IWP22'!BackgroundChecks, 0, 7, 1, 1)=DATE(1900,1,0), DATE(1900,1,1), OFFSET('IWP22'!BackgroundChecks, 0, 7, 1, 1))</f>
        <v>1</v>
      </c>
      <c r="H503" s="254">
        <f ca="1">IF(OFFSET('IWP22'!BackgroundChecks, 0, 8, 1, 1)=DATE(1900,1,0), DATE(1900,1,1), OFFSET('IWP22'!BackgroundChecks, 0, 8, 1, 1))</f>
        <v>1</v>
      </c>
      <c r="I503" s="262" t="str">
        <f ca="1">IF(OFFSET('IWP22'!BackgroundChecks, 0, 9, 1, 1) = 0, "", OFFSET('IWP22'!BackgroundChecks, 0, 9, 1, 1))</f>
        <v/>
      </c>
      <c r="J503" s="262" t="str">
        <f ca="1">IF(OFFSET('IWP22'!BackgroundChecks, 0, 10, 1, 1) = 0, "", OFFSET('IWP22'!BackgroundChecks, 0, 10, 1, 1))</f>
        <v/>
      </c>
      <c r="K503" s="262" t="str">
        <f ca="1">IF(OFFSET('IWP22'!BackgroundChecks, 0, 11, 1, 1) = 0, "", OFFSET('IWP22'!BackgroundChecks, 0, 11, 1, 1))</f>
        <v/>
      </c>
      <c r="L503" s="262" t="str">
        <f ca="1">IF(OFFSET('IWP22'!BackgroundChecks, 0, 12, 1, 1) = 0, "", OFFSET('IWP22'!BackgroundChecks, 0, 12, 1, 1))</f>
        <v/>
      </c>
      <c r="M503" s="262" t="str">
        <f ca="1">IF(OFFSET('IWP22'!BackgroundChecks, 0, 13, 1, 1) = 0, "", OFFSET('IWP22'!BackgroundChecks, 0, 13, 1, 1))</f>
        <v/>
      </c>
      <c r="N503" s="261"/>
    </row>
    <row r="504" spans="1:14" s="146" customFormat="1">
      <c r="A504" s="257" t="s">
        <v>520</v>
      </c>
      <c r="B504" s="262" t="str">
        <f ca="1">IF(OFFSET('IWP22'!BackgroundChecks, 1, 0, 1, 1) = 0, "", OFFSET('IWP22'!BackgroundChecks, 1, 0, 1, 1))</f>
        <v/>
      </c>
      <c r="C504" s="262" t="str">
        <f ca="1">IF(OFFSET('IWP22'!BackgroundChecks, 1, 2, 1, 1) = 0, "", OFFSET('IWP22'!BackgroundChecks, 1, 2, 1, 1))</f>
        <v/>
      </c>
      <c r="D504" s="262" t="str">
        <f ca="1">IF(OFFSET('IWP22'!BackgroundChecks, 1, 4, 1, 1) = 0, "", OFFSET('IWP22'!BackgroundChecks, 1, 4, 1, 1))</f>
        <v/>
      </c>
      <c r="E504" s="254">
        <f ca="1">IF(OFFSET('IWP22'!BackgroundChecks, 1, 5, 1, 1)=DATE(1900,1,0), DATE(1900,1,1), OFFSET('IWP22'!BackgroundChecks, 1, 5, 1, 1))</f>
        <v>1</v>
      </c>
      <c r="F504" s="262" t="str">
        <f ca="1">IF(OFFSET('IWP22'!BackgroundChecks, 1, 6, 1, 1) = 0, "", OFFSET('IWP22'!BackgroundChecks, 1, 6, 1, 1))</f>
        <v/>
      </c>
      <c r="G504" s="254">
        <f ca="1">IF(OFFSET('IWP22'!BackgroundChecks, 1, 7, 1, 1)=DATE(1900,1,0), DATE(1900,1,1), OFFSET('IWP22'!BackgroundChecks, 1, 7, 1, 1))</f>
        <v>1</v>
      </c>
      <c r="H504" s="254">
        <f ca="1">IF(OFFSET('IWP22'!BackgroundChecks, 1, 8, 1, 1)=DATE(1900,1,0), DATE(1900,1,1), OFFSET('IWP22'!BackgroundChecks, 1, 8, 1, 1))</f>
        <v>1</v>
      </c>
      <c r="I504" s="262" t="str">
        <f ca="1">IF(OFFSET('IWP22'!BackgroundChecks, 1, 9, 1, 1) = 0, "", OFFSET('IWP22'!BackgroundChecks, 1, 9, 1, 1))</f>
        <v/>
      </c>
      <c r="J504" s="262" t="str">
        <f ca="1">IF(OFFSET('IWP22'!BackgroundChecks, 1, 10, 1, 1) = 0, "", OFFSET('IWP22'!BackgroundChecks, 1, 10, 1, 1))</f>
        <v/>
      </c>
      <c r="K504" s="262" t="str">
        <f ca="1">IF(OFFSET('IWP22'!BackgroundChecks, 1, 11, 1, 1) = 0, "", OFFSET('IWP22'!BackgroundChecks, 1, 11, 1, 1))</f>
        <v/>
      </c>
      <c r="L504" s="262" t="str">
        <f ca="1">IF(OFFSET('IWP22'!BackgroundChecks, 1, 12, 1, 1) = 0, "", OFFSET('IWP22'!BackgroundChecks, 1, 12, 1, 1))</f>
        <v/>
      </c>
      <c r="M504" s="262" t="str">
        <f ca="1">IF(OFFSET('IWP22'!BackgroundChecks, 1, 13, 1, 1) = 0, "", OFFSET('IWP22'!BackgroundChecks, 1, 13, 1, 1))</f>
        <v/>
      </c>
      <c r="N504" s="261"/>
    </row>
    <row r="505" spans="1:14" s="146" customFormat="1">
      <c r="A505" s="257" t="s">
        <v>520</v>
      </c>
      <c r="B505" s="262" t="str">
        <f ca="1">IF(OFFSET('IWP22'!BackgroundChecks, 2, 0, 1, 1) = 0, "", OFFSET('IWP22'!BackgroundChecks, 2, 0, 1, 1))</f>
        <v/>
      </c>
      <c r="C505" s="262" t="str">
        <f ca="1">IF(OFFSET('IWP22'!BackgroundChecks, 2, 2, 1, 1) = 0, "", OFFSET('IWP22'!BackgroundChecks, 2, 2, 1, 1))</f>
        <v/>
      </c>
      <c r="D505" s="262" t="str">
        <f ca="1">IF(OFFSET('IWP22'!BackgroundChecks, 2, 4, 1, 1) = 0, "", OFFSET('IWP22'!BackgroundChecks, 2, 4, 1, 1))</f>
        <v/>
      </c>
      <c r="E505" s="254">
        <f ca="1">IF(OFFSET('IWP22'!BackgroundChecks, 2, 5, 1, 1)=DATE(1900,1,0), DATE(1900,1,1), OFFSET('IWP22'!BackgroundChecks, 2, 5, 1, 1))</f>
        <v>1</v>
      </c>
      <c r="F505" s="262" t="str">
        <f ca="1">IF(OFFSET('IWP22'!BackgroundChecks, 2, 6, 1, 1) = 0, "", OFFSET('IWP22'!BackgroundChecks, 2, 6, 1, 1))</f>
        <v/>
      </c>
      <c r="G505" s="254">
        <f ca="1">IF(OFFSET('IWP22'!BackgroundChecks, 2, 7, 1, 1)=DATE(1900,1,0), DATE(1900,1,1), OFFSET('IWP22'!BackgroundChecks, 2, 7, 1, 1))</f>
        <v>1</v>
      </c>
      <c r="H505" s="254">
        <f ca="1">IF(OFFSET('IWP22'!BackgroundChecks, 2, 8, 1, 1)=DATE(1900,1,0), DATE(1900,1,1), OFFSET('IWP22'!BackgroundChecks, 2, 8, 1, 1))</f>
        <v>1</v>
      </c>
      <c r="I505" s="262" t="str">
        <f ca="1">IF(OFFSET('IWP22'!BackgroundChecks, 2, 9, 1, 1) = 0, "", OFFSET('IWP22'!BackgroundChecks, 2, 9, 1, 1))</f>
        <v/>
      </c>
      <c r="J505" s="262" t="str">
        <f ca="1">IF(OFFSET('IWP22'!BackgroundChecks, 2, 10, 1, 1) = 0, "", OFFSET('IWP22'!BackgroundChecks, 2, 10, 1, 1))</f>
        <v/>
      </c>
      <c r="K505" s="262" t="str">
        <f ca="1">IF(OFFSET('IWP22'!BackgroundChecks, 2, 11, 1, 1) = 0, "", OFFSET('IWP22'!BackgroundChecks, 2, 11, 1, 1))</f>
        <v/>
      </c>
      <c r="L505" s="262" t="str">
        <f ca="1">IF(OFFSET('IWP22'!BackgroundChecks, 2, 12, 1, 1) = 0, "", OFFSET('IWP22'!BackgroundChecks, 2, 12, 1, 1))</f>
        <v/>
      </c>
      <c r="M505" s="262" t="str">
        <f ca="1">IF(OFFSET('IWP22'!BackgroundChecks, 2, 13, 1, 1) = 0, "", OFFSET('IWP22'!BackgroundChecks, 2, 13, 1, 1))</f>
        <v/>
      </c>
      <c r="N505" s="261"/>
    </row>
    <row r="506" spans="1:14" s="146" customFormat="1">
      <c r="A506" s="257" t="s">
        <v>520</v>
      </c>
      <c r="B506" s="262" t="str">
        <f ca="1">IF(OFFSET('IWP22'!BackgroundChecks, 3, 0, 1, 1) = 0, "", OFFSET('IWP22'!BackgroundChecks, 3, 0, 1, 1))</f>
        <v/>
      </c>
      <c r="C506" s="262" t="str">
        <f ca="1">IF(OFFSET('IWP22'!BackgroundChecks, 3, 2, 1, 1) = 0, "", OFFSET('IWP22'!BackgroundChecks, 3, 2, 1, 1))</f>
        <v/>
      </c>
      <c r="D506" s="262" t="str">
        <f ca="1">IF(OFFSET('IWP22'!BackgroundChecks, 3, 4, 1, 1) = 0, "", OFFSET('IWP22'!BackgroundChecks, 3, 4, 1, 1))</f>
        <v/>
      </c>
      <c r="E506" s="254">
        <f ca="1">IF(OFFSET('IWP22'!BackgroundChecks, 3, 5, 1, 1)=DATE(1900,1,0), DATE(1900,1,1), OFFSET('IWP22'!BackgroundChecks, 3, 5, 1, 1))</f>
        <v>1</v>
      </c>
      <c r="F506" s="262" t="str">
        <f ca="1">IF(OFFSET('IWP22'!BackgroundChecks, 3, 6, 1, 1) = 0, "", OFFSET('IWP22'!BackgroundChecks, 3, 6, 1, 1))</f>
        <v/>
      </c>
      <c r="G506" s="254">
        <f ca="1">IF(OFFSET('IWP22'!BackgroundChecks, 3, 7, 1, 1)=DATE(1900,1,0), DATE(1900,1,1), OFFSET('IWP22'!BackgroundChecks, 3, 7, 1, 1))</f>
        <v>1</v>
      </c>
      <c r="H506" s="254">
        <f ca="1">IF(OFFSET('IWP22'!BackgroundChecks, 3, 8, 1, 1)=DATE(1900,1,0), DATE(1900,1,1), OFFSET('IWP22'!BackgroundChecks, 3, 8, 1, 1))</f>
        <v>1</v>
      </c>
      <c r="I506" s="262" t="str">
        <f ca="1">IF(OFFSET('IWP22'!BackgroundChecks, 3, 9, 1, 1) = 0, "", OFFSET('IWP22'!BackgroundChecks, 3, 9, 1, 1))</f>
        <v/>
      </c>
      <c r="J506" s="262" t="str">
        <f ca="1">IF(OFFSET('IWP22'!BackgroundChecks, 3, 10, 1, 1) = 0, "", OFFSET('IWP22'!BackgroundChecks, 3, 10, 1, 1))</f>
        <v/>
      </c>
      <c r="K506" s="262" t="str">
        <f ca="1">IF(OFFSET('IWP22'!BackgroundChecks, 3, 11, 1, 1) = 0, "", OFFSET('IWP22'!BackgroundChecks, 3, 11, 1, 1))</f>
        <v/>
      </c>
      <c r="L506" s="262" t="str">
        <f ca="1">IF(OFFSET('IWP22'!BackgroundChecks, 3, 12, 1, 1) = 0, "", OFFSET('IWP22'!BackgroundChecks, 3, 12, 1, 1))</f>
        <v/>
      </c>
      <c r="M506" s="262" t="str">
        <f ca="1">IF(OFFSET('IWP22'!BackgroundChecks, 3, 13, 1, 1) = 0, "", OFFSET('IWP22'!BackgroundChecks, 3, 13, 1, 1))</f>
        <v/>
      </c>
      <c r="N506" s="261"/>
    </row>
    <row r="507" spans="1:14" s="146" customFormat="1">
      <c r="A507" s="257" t="s">
        <v>520</v>
      </c>
      <c r="B507" s="262" t="str">
        <f ca="1">IF(OFFSET('IWP22'!BackgroundChecks, 4, 0, 1, 1) = 0, "", OFFSET('IWP22'!BackgroundChecks, 4, 0, 1, 1))</f>
        <v/>
      </c>
      <c r="C507" s="262" t="str">
        <f ca="1">IF(OFFSET('IWP22'!BackgroundChecks, 4, 2, 1, 1) = 0, "", OFFSET('IWP22'!BackgroundChecks, 4, 2, 1, 1))</f>
        <v/>
      </c>
      <c r="D507" s="262" t="str">
        <f ca="1">IF(OFFSET('IWP22'!BackgroundChecks, 4, 4, 1, 1) = 0, "", OFFSET('IWP22'!BackgroundChecks, 4, 4, 1, 1))</f>
        <v/>
      </c>
      <c r="E507" s="254">
        <f ca="1">IF(OFFSET('IWP22'!BackgroundChecks, 4, 5, 1, 1)=DATE(1900,1,0), DATE(1900,1,1), OFFSET('IWP22'!BackgroundChecks, 4, 5, 1, 1))</f>
        <v>1</v>
      </c>
      <c r="F507" s="262" t="str">
        <f ca="1">IF(OFFSET('IWP22'!BackgroundChecks, 4, 6, 1, 1) = 0, "", OFFSET('IWP22'!BackgroundChecks, 4, 6, 1, 1))</f>
        <v/>
      </c>
      <c r="G507" s="254">
        <f ca="1">IF(OFFSET('IWP22'!BackgroundChecks, 4, 7, 1, 1)=DATE(1900,1,0), DATE(1900,1,1), OFFSET('IWP22'!BackgroundChecks, 4, 7, 1, 1))</f>
        <v>1</v>
      </c>
      <c r="H507" s="254">
        <f ca="1">IF(OFFSET('IWP22'!BackgroundChecks, 4, 8, 1, 1)=DATE(1900,1,0), DATE(1900,1,1), OFFSET('IWP22'!BackgroundChecks, 4, 8, 1, 1))</f>
        <v>1</v>
      </c>
      <c r="I507" s="262" t="str">
        <f ca="1">IF(OFFSET('IWP22'!BackgroundChecks, 4, 9, 1, 1) = 0, "", OFFSET('IWP22'!BackgroundChecks, 4, 9, 1, 1))</f>
        <v/>
      </c>
      <c r="J507" s="262" t="str">
        <f ca="1">IF(OFFSET('IWP22'!BackgroundChecks, 4, 10, 1, 1) = 0, "", OFFSET('IWP22'!BackgroundChecks, 4, 10, 1, 1))</f>
        <v/>
      </c>
      <c r="K507" s="262" t="str">
        <f ca="1">IF(OFFSET('IWP22'!BackgroundChecks, 4, 11, 1, 1) = 0, "", OFFSET('IWP22'!BackgroundChecks, 4, 11, 1, 1))</f>
        <v/>
      </c>
      <c r="L507" s="262" t="str">
        <f ca="1">IF(OFFSET('IWP22'!BackgroundChecks, 4, 12, 1, 1) = 0, "", OFFSET('IWP22'!BackgroundChecks, 4, 12, 1, 1))</f>
        <v/>
      </c>
      <c r="M507" s="262" t="str">
        <f ca="1">IF(OFFSET('IWP22'!BackgroundChecks, 4, 13, 1, 1) = 0, "", OFFSET('IWP22'!BackgroundChecks, 4, 13, 1, 1))</f>
        <v/>
      </c>
      <c r="N507" s="261"/>
    </row>
    <row r="508" spans="1:14" s="146" customFormat="1">
      <c r="A508" s="257" t="s">
        <v>520</v>
      </c>
      <c r="B508" s="262" t="str">
        <f ca="1">IF(OFFSET('IWP22'!BackgroundChecks, 5, 0, 1, 1) = 0, "", OFFSET('IWP22'!BackgroundChecks, 5, 0, 1, 1))</f>
        <v/>
      </c>
      <c r="C508" s="262" t="str">
        <f ca="1">IF(OFFSET('IWP22'!BackgroundChecks, 5, 2, 1, 1) = 0, "", OFFSET('IWP22'!BackgroundChecks, 5, 2, 1, 1))</f>
        <v/>
      </c>
      <c r="D508" s="262" t="str">
        <f ca="1">IF(OFFSET('IWP22'!BackgroundChecks, 5, 4, 1, 1) = 0, "", OFFSET('IWP22'!BackgroundChecks, 5, 4, 1, 1))</f>
        <v/>
      </c>
      <c r="E508" s="254">
        <f ca="1">IF(OFFSET('IWP22'!BackgroundChecks, 5, 5, 1, 1)=DATE(1900,1,0), DATE(1900,1,1), OFFSET('IWP22'!BackgroundChecks, 5, 5, 1, 1))</f>
        <v>1</v>
      </c>
      <c r="F508" s="262" t="str">
        <f ca="1">IF(OFFSET('IWP22'!BackgroundChecks, 5, 6, 1, 1) = 0, "", OFFSET('IWP22'!BackgroundChecks, 5, 6, 1, 1))</f>
        <v/>
      </c>
      <c r="G508" s="254">
        <f ca="1">IF(OFFSET('IWP22'!BackgroundChecks, 5, 7, 1, 1)=DATE(1900,1,0), DATE(1900,1,1), OFFSET('IWP22'!BackgroundChecks, 5, 7, 1, 1))</f>
        <v>1</v>
      </c>
      <c r="H508" s="254">
        <f ca="1">IF(OFFSET('IWP22'!BackgroundChecks, 5, 8, 1, 1)=DATE(1900,1,0), DATE(1900,1,1), OFFSET('IWP22'!BackgroundChecks, 5, 8, 1, 1))</f>
        <v>1</v>
      </c>
      <c r="I508" s="262" t="str">
        <f ca="1">IF(OFFSET('IWP22'!BackgroundChecks, 5, 9, 1, 1) = 0, "", OFFSET('IWP22'!BackgroundChecks, 5, 9, 1, 1))</f>
        <v/>
      </c>
      <c r="J508" s="262" t="str">
        <f ca="1">IF(OFFSET('IWP22'!BackgroundChecks, 5, 10, 1, 1) = 0, "", OFFSET('IWP22'!BackgroundChecks, 5, 10, 1, 1))</f>
        <v/>
      </c>
      <c r="K508" s="262" t="str">
        <f ca="1">IF(OFFSET('IWP22'!BackgroundChecks, 5, 11, 1, 1) = 0, "", OFFSET('IWP22'!BackgroundChecks, 5, 11, 1, 1))</f>
        <v/>
      </c>
      <c r="L508" s="262" t="str">
        <f ca="1">IF(OFFSET('IWP22'!BackgroundChecks, 5, 12, 1, 1) = 0, "", OFFSET('IWP22'!BackgroundChecks, 5, 12, 1, 1))</f>
        <v/>
      </c>
      <c r="M508" s="262" t="str">
        <f ca="1">IF(OFFSET('IWP22'!BackgroundChecks, 5, 13, 1, 1) = 0, "", OFFSET('IWP22'!BackgroundChecks, 5, 13, 1, 1))</f>
        <v/>
      </c>
      <c r="N508" s="261"/>
    </row>
    <row r="509" spans="1:14" s="146" customFormat="1">
      <c r="A509" s="257" t="s">
        <v>520</v>
      </c>
      <c r="B509" s="262" t="str">
        <f ca="1">IF(OFFSET('IWP22'!BackgroundChecks, 6, 0, 1, 1) = 0, "", OFFSET('IWP22'!BackgroundChecks, 6, 0, 1, 1))</f>
        <v/>
      </c>
      <c r="C509" s="262" t="str">
        <f ca="1">IF(OFFSET('IWP22'!BackgroundChecks, 6, 2, 1, 1) = 0, "", OFFSET('IWP22'!BackgroundChecks, 6, 2, 1, 1))</f>
        <v/>
      </c>
      <c r="D509" s="262" t="str">
        <f ca="1">IF(OFFSET('IWP22'!BackgroundChecks, 6, 4, 1, 1) = 0, "", OFFSET('IWP22'!BackgroundChecks, 6, 4, 1, 1))</f>
        <v/>
      </c>
      <c r="E509" s="254">
        <f ca="1">IF(OFFSET('IWP22'!BackgroundChecks, 6, 5, 1, 1)=DATE(1900,1,0), DATE(1900,1,1), OFFSET('IWP22'!BackgroundChecks, 6, 5, 1, 1))</f>
        <v>1</v>
      </c>
      <c r="F509" s="262" t="str">
        <f ca="1">IF(OFFSET('IWP22'!BackgroundChecks, 6, 6, 1, 1) = 0, "", OFFSET('IWP22'!BackgroundChecks, 6, 6, 1, 1))</f>
        <v/>
      </c>
      <c r="G509" s="254">
        <f ca="1">IF(OFFSET('IWP22'!BackgroundChecks, 6, 7, 1, 1)=DATE(1900,1,0), DATE(1900,1,1), OFFSET('IWP22'!BackgroundChecks, 6, 7, 1, 1))</f>
        <v>1</v>
      </c>
      <c r="H509" s="254">
        <f ca="1">IF(OFFSET('IWP22'!BackgroundChecks, 6, 8, 1, 1)=DATE(1900,1,0), DATE(1900,1,1), OFFSET('IWP22'!BackgroundChecks, 6, 8, 1, 1))</f>
        <v>1</v>
      </c>
      <c r="I509" s="262" t="str">
        <f ca="1">IF(OFFSET('IWP22'!BackgroundChecks, 6, 9, 1, 1) = 0, "", OFFSET('IWP22'!BackgroundChecks, 6, 9, 1, 1))</f>
        <v/>
      </c>
      <c r="J509" s="262" t="str">
        <f ca="1">IF(OFFSET('IWP22'!BackgroundChecks, 6, 10, 1, 1) = 0, "", OFFSET('IWP22'!BackgroundChecks, 6, 10, 1, 1))</f>
        <v/>
      </c>
      <c r="K509" s="262" t="str">
        <f ca="1">IF(OFFSET('IWP22'!BackgroundChecks, 6, 11, 1, 1) = 0, "", OFFSET('IWP22'!BackgroundChecks, 6, 11, 1, 1))</f>
        <v/>
      </c>
      <c r="L509" s="262" t="str">
        <f ca="1">IF(OFFSET('IWP22'!BackgroundChecks, 6, 12, 1, 1) = 0, "", OFFSET('IWP22'!BackgroundChecks, 6, 12, 1, 1))</f>
        <v/>
      </c>
      <c r="M509" s="262" t="str">
        <f ca="1">IF(OFFSET('IWP22'!BackgroundChecks, 6, 13, 1, 1) = 0, "", OFFSET('IWP22'!BackgroundChecks, 6, 13, 1, 1))</f>
        <v/>
      </c>
      <c r="N509" s="261"/>
    </row>
    <row r="510" spans="1:14" s="146" customFormat="1">
      <c r="A510" s="257" t="s">
        <v>520</v>
      </c>
      <c r="B510" s="262" t="str">
        <f ca="1">IF(OFFSET('IWP22'!BackgroundChecks, 7, 0, 1, 1) = 0, "", OFFSET('IWP22'!BackgroundChecks, 7, 0, 1, 1))</f>
        <v/>
      </c>
      <c r="C510" s="262" t="str">
        <f ca="1">IF(OFFSET('IWP22'!BackgroundChecks, 7, 2, 1, 1) = 0, "", OFFSET('IWP22'!BackgroundChecks, 7, 2, 1, 1))</f>
        <v/>
      </c>
      <c r="D510" s="262" t="str">
        <f ca="1">IF(OFFSET('IWP22'!BackgroundChecks, 7, 4, 1, 1) = 0, "", OFFSET('IWP22'!BackgroundChecks, 7, 4, 1, 1))</f>
        <v/>
      </c>
      <c r="E510" s="254">
        <f ca="1">IF(OFFSET('IWP22'!BackgroundChecks, 7, 5, 1, 1)=DATE(1900,1,0), DATE(1900,1,1), OFFSET('IWP22'!BackgroundChecks, 7, 5, 1, 1))</f>
        <v>1</v>
      </c>
      <c r="F510" s="262" t="str">
        <f ca="1">IF(OFFSET('IWP22'!BackgroundChecks, 7, 6, 1, 1) = 0, "", OFFSET('IWP22'!BackgroundChecks, 7, 6, 1, 1))</f>
        <v/>
      </c>
      <c r="G510" s="254">
        <f ca="1">IF(OFFSET('IWP22'!BackgroundChecks, 7, 7, 1, 1)=DATE(1900,1,0), DATE(1900,1,1), OFFSET('IWP22'!BackgroundChecks, 7, 7, 1, 1))</f>
        <v>1</v>
      </c>
      <c r="H510" s="254">
        <f ca="1">IF(OFFSET('IWP22'!BackgroundChecks, 7, 8, 1, 1)=DATE(1900,1,0), DATE(1900,1,1), OFFSET('IWP22'!BackgroundChecks, 7, 8, 1, 1))</f>
        <v>1</v>
      </c>
      <c r="I510" s="262" t="str">
        <f ca="1">IF(OFFSET('IWP22'!BackgroundChecks, 7, 9, 1, 1) = 0, "", OFFSET('IWP22'!BackgroundChecks, 7, 9, 1, 1))</f>
        <v/>
      </c>
      <c r="J510" s="262" t="str">
        <f ca="1">IF(OFFSET('IWP22'!BackgroundChecks, 7, 10, 1, 1) = 0, "", OFFSET('IWP22'!BackgroundChecks, 7, 10, 1, 1))</f>
        <v/>
      </c>
      <c r="K510" s="262" t="str">
        <f ca="1">IF(OFFSET('IWP22'!BackgroundChecks, 7, 11, 1, 1) = 0, "", OFFSET('IWP22'!BackgroundChecks, 7, 11, 1, 1))</f>
        <v/>
      </c>
      <c r="L510" s="262" t="str">
        <f ca="1">IF(OFFSET('IWP22'!BackgroundChecks, 7, 12, 1, 1) = 0, "", OFFSET('IWP22'!BackgroundChecks, 7, 12, 1, 1))</f>
        <v/>
      </c>
      <c r="M510" s="262" t="str">
        <f ca="1">IF(OFFSET('IWP22'!BackgroundChecks, 7, 13, 1, 1) = 0, "", OFFSET('IWP22'!BackgroundChecks, 7, 13, 1, 1))</f>
        <v/>
      </c>
      <c r="N510" s="261"/>
    </row>
    <row r="511" spans="1:14" s="146" customFormat="1">
      <c r="A511" s="257" t="s">
        <v>520</v>
      </c>
      <c r="B511" s="262" t="str">
        <f ca="1">IF(OFFSET('IWP22'!BackgroundChecks, 8, 0, 1, 1) = 0, "", OFFSET('IWP22'!BackgroundChecks, 8, 0, 1, 1))</f>
        <v/>
      </c>
      <c r="C511" s="262" t="str">
        <f ca="1">IF(OFFSET('IWP22'!BackgroundChecks, 8, 2, 1, 1) = 0, "", OFFSET('IWP22'!BackgroundChecks, 8, 2, 1, 1))</f>
        <v/>
      </c>
      <c r="D511" s="262" t="str">
        <f ca="1">IF(OFFSET('IWP22'!BackgroundChecks, 8, 4, 1, 1) = 0, "", OFFSET('IWP22'!BackgroundChecks, 8, 4, 1, 1))</f>
        <v/>
      </c>
      <c r="E511" s="254">
        <f ca="1">IF(OFFSET('IWP22'!BackgroundChecks, 8, 5, 1, 1)=DATE(1900,1,0), DATE(1900,1,1), OFFSET('IWP22'!BackgroundChecks, 8, 5, 1, 1))</f>
        <v>1</v>
      </c>
      <c r="F511" s="262" t="str">
        <f ca="1">IF(OFFSET('IWP22'!BackgroundChecks, 8, 6, 1, 1) = 0, "", OFFSET('IWP22'!BackgroundChecks, 8, 6, 1, 1))</f>
        <v/>
      </c>
      <c r="G511" s="254">
        <f ca="1">IF(OFFSET('IWP22'!BackgroundChecks, 8, 7, 1, 1)=DATE(1900,1,0), DATE(1900,1,1), OFFSET('IWP22'!BackgroundChecks, 8, 7, 1, 1))</f>
        <v>1</v>
      </c>
      <c r="H511" s="254">
        <f ca="1">IF(OFFSET('IWP22'!BackgroundChecks, 8, 8, 1, 1)=DATE(1900,1,0), DATE(1900,1,1), OFFSET('IWP22'!BackgroundChecks, 8, 8, 1, 1))</f>
        <v>1</v>
      </c>
      <c r="I511" s="262" t="str">
        <f ca="1">IF(OFFSET('IWP22'!BackgroundChecks, 8, 9, 1, 1) = 0, "", OFFSET('IWP22'!BackgroundChecks, 8, 9, 1, 1))</f>
        <v/>
      </c>
      <c r="J511" s="262" t="str">
        <f ca="1">IF(OFFSET('IWP22'!BackgroundChecks, 8, 10, 1, 1) = 0, "", OFFSET('IWP22'!BackgroundChecks, 8, 10, 1, 1))</f>
        <v/>
      </c>
      <c r="K511" s="262" t="str">
        <f ca="1">IF(OFFSET('IWP22'!BackgroundChecks, 8, 11, 1, 1) = 0, "", OFFSET('IWP22'!BackgroundChecks, 8, 11, 1, 1))</f>
        <v/>
      </c>
      <c r="L511" s="262" t="str">
        <f ca="1">IF(OFFSET('IWP22'!BackgroundChecks, 8, 12, 1, 1) = 0, "", OFFSET('IWP22'!BackgroundChecks, 8, 12, 1, 1))</f>
        <v/>
      </c>
      <c r="M511" s="262" t="str">
        <f ca="1">IF(OFFSET('IWP22'!BackgroundChecks, 8, 13, 1, 1) = 0, "", OFFSET('IWP22'!BackgroundChecks, 8, 13, 1, 1))</f>
        <v/>
      </c>
      <c r="N511" s="261"/>
    </row>
    <row r="512" spans="1:14" s="146" customFormat="1">
      <c r="A512" s="257" t="s">
        <v>520</v>
      </c>
      <c r="B512" s="262" t="str">
        <f ca="1">IF(OFFSET('IWP22'!BackgroundChecks, 9, 0, 1, 1) = 0, "", OFFSET('IWP22'!BackgroundChecks, 9, 0, 1, 1))</f>
        <v/>
      </c>
      <c r="C512" s="262" t="str">
        <f ca="1">IF(OFFSET('IWP22'!BackgroundChecks, 9, 2, 1, 1) = 0, "", OFFSET('IWP22'!BackgroundChecks, 9, 2, 1, 1))</f>
        <v/>
      </c>
      <c r="D512" s="262" t="str">
        <f ca="1">IF(OFFSET('IWP22'!BackgroundChecks, 9, 4, 1, 1) = 0, "", OFFSET('IWP22'!BackgroundChecks, 9, 4, 1, 1))</f>
        <v/>
      </c>
      <c r="E512" s="254">
        <f ca="1">IF(OFFSET('IWP22'!BackgroundChecks, 9, 5, 1, 1)=DATE(1900,1,0), DATE(1900,1,1), OFFSET('IWP22'!BackgroundChecks, 9, 5, 1, 1))</f>
        <v>1</v>
      </c>
      <c r="F512" s="262" t="str">
        <f ca="1">IF(OFFSET('IWP22'!BackgroundChecks, 9, 6, 1, 1) = 0, "", OFFSET('IWP22'!BackgroundChecks, 9, 6, 1, 1))</f>
        <v/>
      </c>
      <c r="G512" s="254">
        <f ca="1">IF(OFFSET('IWP22'!BackgroundChecks, 9, 7, 1, 1)=DATE(1900,1,0), DATE(1900,1,1), OFFSET('IWP22'!BackgroundChecks, 9, 7, 1, 1))</f>
        <v>1</v>
      </c>
      <c r="H512" s="254">
        <f ca="1">IF(OFFSET('IWP22'!BackgroundChecks, 9, 8, 1, 1)=DATE(1900,1,0), DATE(1900,1,1), OFFSET('IWP22'!BackgroundChecks, 9, 8, 1, 1))</f>
        <v>1</v>
      </c>
      <c r="I512" s="262" t="str">
        <f ca="1">IF(OFFSET('IWP22'!BackgroundChecks, 9, 9, 1, 1) = 0, "", OFFSET('IWP22'!BackgroundChecks, 9, 9, 1, 1))</f>
        <v/>
      </c>
      <c r="J512" s="262" t="str">
        <f ca="1">IF(OFFSET('IWP22'!BackgroundChecks, 9, 10, 1, 1) = 0, "", OFFSET('IWP22'!BackgroundChecks, 9, 10, 1, 1))</f>
        <v/>
      </c>
      <c r="K512" s="262" t="str">
        <f ca="1">IF(OFFSET('IWP22'!BackgroundChecks, 9, 11, 1, 1) = 0, "", OFFSET('IWP22'!BackgroundChecks, 9, 11, 1, 1))</f>
        <v/>
      </c>
      <c r="L512" s="262" t="str">
        <f ca="1">IF(OFFSET('IWP22'!BackgroundChecks, 9, 12, 1, 1) = 0, "", OFFSET('IWP22'!BackgroundChecks, 9, 12, 1, 1))</f>
        <v/>
      </c>
      <c r="M512" s="262" t="str">
        <f ca="1">IF(OFFSET('IWP22'!BackgroundChecks, 9, 13, 1, 1) = 0, "", OFFSET('IWP22'!BackgroundChecks, 9, 13, 1, 1))</f>
        <v/>
      </c>
      <c r="N512" s="261"/>
    </row>
    <row r="513" spans="1:14" s="146" customFormat="1">
      <c r="A513" s="257" t="s">
        <v>520</v>
      </c>
      <c r="B513" s="262" t="str">
        <f ca="1">IF(OFFSET('IWP22'!BackgroundChecks, 10, 0, 1, 1) = 0, "", OFFSET('IWP22'!BackgroundChecks, 10, 0, 1, 1))</f>
        <v/>
      </c>
      <c r="C513" s="262" t="str">
        <f ca="1">IF(OFFSET('IWP22'!BackgroundChecks, 10, 2, 1, 1) = 0, "", OFFSET('IWP22'!BackgroundChecks, 10, 2, 1, 1))</f>
        <v/>
      </c>
      <c r="D513" s="262" t="str">
        <f ca="1">IF(OFFSET('IWP22'!BackgroundChecks, 10, 4, 1, 1) = 0, "", OFFSET('IWP22'!BackgroundChecks, 10, 4, 1, 1))</f>
        <v/>
      </c>
      <c r="E513" s="254">
        <f ca="1">IF(OFFSET('IWP22'!BackgroundChecks, 10, 5, 1, 1)=DATE(1900,1,0), DATE(1900,1,1), OFFSET('IWP22'!BackgroundChecks, 10, 5, 1, 1))</f>
        <v>1</v>
      </c>
      <c r="F513" s="262" t="str">
        <f ca="1">IF(OFFSET('IWP22'!BackgroundChecks, 10, 6, 1, 1) = 0, "", OFFSET('IWP22'!BackgroundChecks, 10, 6, 1, 1))</f>
        <v/>
      </c>
      <c r="G513" s="254">
        <f ca="1">IF(OFFSET('IWP22'!BackgroundChecks, 10, 7, 1, 1)=DATE(1900,1,0), DATE(1900,1,1), OFFSET('IWP22'!BackgroundChecks, 10, 7, 1, 1))</f>
        <v>1</v>
      </c>
      <c r="H513" s="254">
        <f ca="1">IF(OFFSET('IWP22'!BackgroundChecks, 10, 8, 1, 1)=DATE(1900,1,0), DATE(1900,1,1), OFFSET('IWP22'!BackgroundChecks, 10, 8, 1, 1))</f>
        <v>1</v>
      </c>
      <c r="I513" s="262" t="str">
        <f ca="1">IF(OFFSET('IWP22'!BackgroundChecks, 10, 9, 1, 1) = 0, "", OFFSET('IWP22'!BackgroundChecks, 10, 9, 1, 1))</f>
        <v/>
      </c>
      <c r="J513" s="262" t="str">
        <f ca="1">IF(OFFSET('IWP22'!BackgroundChecks, 10, 10, 1, 1) = 0, "", OFFSET('IWP22'!BackgroundChecks, 10, 10, 1, 1))</f>
        <v/>
      </c>
      <c r="K513" s="262" t="str">
        <f ca="1">IF(OFFSET('IWP22'!BackgroundChecks, 10, 11, 1, 1) = 0, "", OFFSET('IWP22'!BackgroundChecks, 10, 11, 1, 1))</f>
        <v/>
      </c>
      <c r="L513" s="262" t="str">
        <f ca="1">IF(OFFSET('IWP22'!BackgroundChecks, 10, 12, 1, 1) = 0, "", OFFSET('IWP22'!BackgroundChecks, 10, 12, 1, 1))</f>
        <v/>
      </c>
      <c r="M513" s="262" t="str">
        <f ca="1">IF(OFFSET('IWP22'!BackgroundChecks, 10, 13, 1, 1) = 0, "", OFFSET('IWP22'!BackgroundChecks, 10, 13, 1, 1))</f>
        <v/>
      </c>
      <c r="N513" s="261"/>
    </row>
    <row r="514" spans="1:14" s="146" customFormat="1">
      <c r="A514" s="257" t="s">
        <v>520</v>
      </c>
      <c r="B514" s="262" t="str">
        <f ca="1">IF(OFFSET('IWP22'!BackgroundChecks, 11, 0, 1, 1) = 0, "", OFFSET('IWP22'!BackgroundChecks, 11, 0, 1, 1))</f>
        <v/>
      </c>
      <c r="C514" s="262" t="str">
        <f ca="1">IF(OFFSET('IWP22'!BackgroundChecks, 11, 2, 1, 1) = 0, "", OFFSET('IWP22'!BackgroundChecks, 11, 2, 1, 1))</f>
        <v/>
      </c>
      <c r="D514" s="262" t="str">
        <f ca="1">IF(OFFSET('IWP22'!BackgroundChecks, 11, 4, 1, 1) = 0, "", OFFSET('IWP22'!BackgroundChecks, 11, 4, 1, 1))</f>
        <v/>
      </c>
      <c r="E514" s="254">
        <f ca="1">IF(OFFSET('IWP22'!BackgroundChecks, 11, 5, 1, 1)=DATE(1900,1,0), DATE(1900,1,1), OFFSET('IWP22'!BackgroundChecks, 11, 5, 1, 1))</f>
        <v>1</v>
      </c>
      <c r="F514" s="262" t="str">
        <f ca="1">IF(OFFSET('IWP22'!BackgroundChecks, 11, 6, 1, 1) = 0, "", OFFSET('IWP22'!BackgroundChecks, 11, 6, 1, 1))</f>
        <v/>
      </c>
      <c r="G514" s="254">
        <f ca="1">IF(OFFSET('IWP22'!BackgroundChecks, 11, 7, 1, 1)=DATE(1900,1,0), DATE(1900,1,1), OFFSET('IWP22'!BackgroundChecks, 11, 7, 1, 1))</f>
        <v>1</v>
      </c>
      <c r="H514" s="254">
        <f ca="1">IF(OFFSET('IWP22'!BackgroundChecks, 11, 8, 1, 1)=DATE(1900,1,0), DATE(1900,1,1), OFFSET('IWP22'!BackgroundChecks, 11, 8, 1, 1))</f>
        <v>1</v>
      </c>
      <c r="I514" s="262" t="str">
        <f ca="1">IF(OFFSET('IWP22'!BackgroundChecks, 11, 9, 1, 1) = 0, "", OFFSET('IWP22'!BackgroundChecks, 11, 9, 1, 1))</f>
        <v/>
      </c>
      <c r="J514" s="262" t="str">
        <f ca="1">IF(OFFSET('IWP22'!BackgroundChecks, 11, 10, 1, 1) = 0, "", OFFSET('IWP22'!BackgroundChecks, 11, 10, 1, 1))</f>
        <v/>
      </c>
      <c r="K514" s="262" t="str">
        <f ca="1">IF(OFFSET('IWP22'!BackgroundChecks, 11, 11, 1, 1) = 0, "", OFFSET('IWP22'!BackgroundChecks, 11, 11, 1, 1))</f>
        <v/>
      </c>
      <c r="L514" s="262" t="str">
        <f ca="1">IF(OFFSET('IWP22'!BackgroundChecks, 11, 12, 1, 1) = 0, "", OFFSET('IWP22'!BackgroundChecks, 11, 12, 1, 1))</f>
        <v/>
      </c>
      <c r="M514" s="262" t="str">
        <f ca="1">IF(OFFSET('IWP22'!BackgroundChecks, 11, 13, 1, 1) = 0, "", OFFSET('IWP22'!BackgroundChecks, 11, 13, 1, 1))</f>
        <v/>
      </c>
      <c r="N514" s="261"/>
    </row>
    <row r="515" spans="1:14" s="146" customFormat="1">
      <c r="A515" s="257" t="s">
        <v>520</v>
      </c>
      <c r="B515" s="262" t="str">
        <f ca="1">IF(OFFSET('IWP22'!BackgroundChecks, 12, 0, 1, 1) = 0, "", OFFSET('IWP22'!BackgroundChecks, 12, 0, 1, 1))</f>
        <v/>
      </c>
      <c r="C515" s="262" t="str">
        <f ca="1">IF(OFFSET('IWP22'!BackgroundChecks, 12, 2, 1, 1) = 0, "", OFFSET('IWP22'!BackgroundChecks, 12, 2, 1, 1))</f>
        <v/>
      </c>
      <c r="D515" s="262" t="str">
        <f ca="1">IF(OFFSET('IWP22'!BackgroundChecks, 12, 4, 1, 1) = 0, "", OFFSET('IWP22'!BackgroundChecks, 12, 4, 1, 1))</f>
        <v/>
      </c>
      <c r="E515" s="254">
        <f ca="1">IF(OFFSET('IWP22'!BackgroundChecks, 12, 5, 1, 1)=DATE(1900,1,0), DATE(1900,1,1), OFFSET('IWP22'!BackgroundChecks, 12, 5, 1, 1))</f>
        <v>1</v>
      </c>
      <c r="F515" s="262" t="str">
        <f ca="1">IF(OFFSET('IWP22'!BackgroundChecks, 12, 6, 1, 1) = 0, "", OFFSET('IWP22'!BackgroundChecks, 12, 6, 1, 1))</f>
        <v/>
      </c>
      <c r="G515" s="254">
        <f ca="1">IF(OFFSET('IWP22'!BackgroundChecks, 12, 7, 1, 1)=DATE(1900,1,0), DATE(1900,1,1), OFFSET('IWP22'!BackgroundChecks, 12, 7, 1, 1))</f>
        <v>1</v>
      </c>
      <c r="H515" s="254">
        <f ca="1">IF(OFFSET('IWP22'!BackgroundChecks, 12, 8, 1, 1)=DATE(1900,1,0), DATE(1900,1,1), OFFSET('IWP22'!BackgroundChecks, 12, 8, 1, 1))</f>
        <v>1</v>
      </c>
      <c r="I515" s="262" t="str">
        <f ca="1">IF(OFFSET('IWP22'!BackgroundChecks, 12, 9, 1, 1) = 0, "", OFFSET('IWP22'!BackgroundChecks, 12, 9, 1, 1))</f>
        <v/>
      </c>
      <c r="J515" s="262" t="str">
        <f ca="1">IF(OFFSET('IWP22'!BackgroundChecks, 12, 10, 1, 1) = 0, "", OFFSET('IWP22'!BackgroundChecks, 12, 10, 1, 1))</f>
        <v/>
      </c>
      <c r="K515" s="262" t="str">
        <f ca="1">IF(OFFSET('IWP22'!BackgroundChecks, 12, 11, 1, 1) = 0, "", OFFSET('IWP22'!BackgroundChecks, 12, 11, 1, 1))</f>
        <v/>
      </c>
      <c r="L515" s="262" t="str">
        <f ca="1">IF(OFFSET('IWP22'!BackgroundChecks, 12, 12, 1, 1) = 0, "", OFFSET('IWP22'!BackgroundChecks, 12, 12, 1, 1))</f>
        <v/>
      </c>
      <c r="M515" s="262" t="str">
        <f ca="1">IF(OFFSET('IWP22'!BackgroundChecks, 12, 13, 1, 1) = 0, "", OFFSET('IWP22'!BackgroundChecks, 12, 13, 1, 1))</f>
        <v/>
      </c>
      <c r="N515" s="261"/>
    </row>
    <row r="516" spans="1:14" s="146" customFormat="1">
      <c r="A516" s="257" t="s">
        <v>520</v>
      </c>
      <c r="B516" s="262" t="str">
        <f ca="1">IF(OFFSET('IWP22'!BackgroundChecks, 13, 0, 1, 1) = 0, "", OFFSET('IWP22'!BackgroundChecks, 13, 0, 1, 1))</f>
        <v/>
      </c>
      <c r="C516" s="262" t="str">
        <f ca="1">IF(OFFSET('IWP22'!BackgroundChecks, 13, 2, 1, 1) = 0, "", OFFSET('IWP22'!BackgroundChecks, 13, 2, 1, 1))</f>
        <v/>
      </c>
      <c r="D516" s="262" t="str">
        <f ca="1">IF(OFFSET('IWP22'!BackgroundChecks, 13, 4, 1, 1) = 0, "", OFFSET('IWP22'!BackgroundChecks, 13, 4, 1, 1))</f>
        <v/>
      </c>
      <c r="E516" s="254">
        <f ca="1">IF(OFFSET('IWP22'!BackgroundChecks, 13, 5, 1, 1)=DATE(1900,1,0), DATE(1900,1,1), OFFSET('IWP22'!BackgroundChecks, 13, 5, 1, 1))</f>
        <v>1</v>
      </c>
      <c r="F516" s="262" t="str">
        <f ca="1">IF(OFFSET('IWP22'!BackgroundChecks, 13, 6, 1, 1) = 0, "", OFFSET('IWP22'!BackgroundChecks, 13, 6, 1, 1))</f>
        <v/>
      </c>
      <c r="G516" s="254">
        <f ca="1">IF(OFFSET('IWP22'!BackgroundChecks, 13, 7, 1, 1)=DATE(1900,1,0), DATE(1900,1,1), OFFSET('IWP22'!BackgroundChecks, 13, 7, 1, 1))</f>
        <v>1</v>
      </c>
      <c r="H516" s="254">
        <f ca="1">IF(OFFSET('IWP22'!BackgroundChecks, 13, 8, 1, 1)=DATE(1900,1,0), DATE(1900,1,1), OFFSET('IWP22'!BackgroundChecks, 13, 8, 1, 1))</f>
        <v>1</v>
      </c>
      <c r="I516" s="262" t="str">
        <f ca="1">IF(OFFSET('IWP22'!BackgroundChecks, 13, 9, 1, 1) = 0, "", OFFSET('IWP22'!BackgroundChecks, 13, 9, 1, 1))</f>
        <v/>
      </c>
      <c r="J516" s="262" t="str">
        <f ca="1">IF(OFFSET('IWP22'!BackgroundChecks, 13, 10, 1, 1) = 0, "", OFFSET('IWP22'!BackgroundChecks, 13, 10, 1, 1))</f>
        <v/>
      </c>
      <c r="K516" s="262" t="str">
        <f ca="1">IF(OFFSET('IWP22'!BackgroundChecks, 13, 11, 1, 1) = 0, "", OFFSET('IWP22'!BackgroundChecks, 13, 11, 1, 1))</f>
        <v/>
      </c>
      <c r="L516" s="262" t="str">
        <f ca="1">IF(OFFSET('IWP22'!BackgroundChecks, 13, 12, 1, 1) = 0, "", OFFSET('IWP22'!BackgroundChecks, 13, 12, 1, 1))</f>
        <v/>
      </c>
      <c r="M516" s="262" t="str">
        <f ca="1">IF(OFFSET('IWP22'!BackgroundChecks, 13, 13, 1, 1) = 0, "", OFFSET('IWP22'!BackgroundChecks, 13, 13, 1, 1))</f>
        <v/>
      </c>
      <c r="N516" s="261"/>
    </row>
    <row r="517" spans="1:14" s="146" customFormat="1">
      <c r="A517" s="257" t="s">
        <v>520</v>
      </c>
      <c r="B517" s="262" t="str">
        <f ca="1">IF(OFFSET('IWP22'!BackgroundChecks, 14, 0, 1, 1) = 0, "", OFFSET('IWP22'!BackgroundChecks, 14, 0, 1, 1))</f>
        <v/>
      </c>
      <c r="C517" s="262" t="str">
        <f ca="1">IF(OFFSET('IWP22'!BackgroundChecks, 14, 2, 1, 1) = 0, "", OFFSET('IWP22'!BackgroundChecks, 14, 2, 1, 1))</f>
        <v/>
      </c>
      <c r="D517" s="262" t="str">
        <f ca="1">IF(OFFSET('IWP22'!BackgroundChecks, 14, 4, 1, 1) = 0, "", OFFSET('IWP22'!BackgroundChecks, 14, 4, 1, 1))</f>
        <v/>
      </c>
      <c r="E517" s="254">
        <f ca="1">IF(OFFSET('IWP22'!BackgroundChecks, 14, 5, 1, 1)=DATE(1900,1,0), DATE(1900,1,1), OFFSET('IWP22'!BackgroundChecks, 14, 5, 1, 1))</f>
        <v>1</v>
      </c>
      <c r="F517" s="262" t="str">
        <f ca="1">IF(OFFSET('IWP22'!BackgroundChecks, 14, 6, 1, 1) = 0, "", OFFSET('IWP22'!BackgroundChecks, 14, 6, 1, 1))</f>
        <v/>
      </c>
      <c r="G517" s="254">
        <f ca="1">IF(OFFSET('IWP22'!BackgroundChecks, 14, 7, 1, 1)=DATE(1900,1,0), DATE(1900,1,1), OFFSET('IWP22'!BackgroundChecks, 14, 7, 1, 1))</f>
        <v>1</v>
      </c>
      <c r="H517" s="254">
        <f ca="1">IF(OFFSET('IWP22'!BackgroundChecks, 14, 8, 1, 1)=DATE(1900,1,0), DATE(1900,1,1), OFFSET('IWP22'!BackgroundChecks, 14, 8, 1, 1))</f>
        <v>1</v>
      </c>
      <c r="I517" s="262" t="str">
        <f ca="1">IF(OFFSET('IWP22'!BackgroundChecks, 14, 9, 1, 1) = 0, "", OFFSET('IWP22'!BackgroundChecks, 14, 9, 1, 1))</f>
        <v/>
      </c>
      <c r="J517" s="262" t="str">
        <f ca="1">IF(OFFSET('IWP22'!BackgroundChecks, 14, 10, 1, 1) = 0, "", OFFSET('IWP22'!BackgroundChecks, 14, 10, 1, 1))</f>
        <v/>
      </c>
      <c r="K517" s="262" t="str">
        <f ca="1">IF(OFFSET('IWP22'!BackgroundChecks, 14, 11, 1, 1) = 0, "", OFFSET('IWP22'!BackgroundChecks, 14, 11, 1, 1))</f>
        <v/>
      </c>
      <c r="L517" s="262" t="str">
        <f ca="1">IF(OFFSET('IWP22'!BackgroundChecks, 14, 12, 1, 1) = 0, "", OFFSET('IWP22'!BackgroundChecks, 14, 12, 1, 1))</f>
        <v/>
      </c>
      <c r="M517" s="262" t="str">
        <f ca="1">IF(OFFSET('IWP22'!BackgroundChecks, 14, 13, 1, 1) = 0, "", OFFSET('IWP22'!BackgroundChecks, 14, 13, 1, 1))</f>
        <v/>
      </c>
      <c r="N517" s="261"/>
    </row>
    <row r="518" spans="1:14" s="146" customFormat="1">
      <c r="A518" s="257" t="s">
        <v>520</v>
      </c>
      <c r="B518" s="262" t="str">
        <f ca="1">IF(OFFSET('IWP22'!BackgroundChecks, 15, 0, 1, 1) = 0, "", OFFSET('IWP22'!BackgroundChecks, 15, 0, 1, 1))</f>
        <v/>
      </c>
      <c r="C518" s="262" t="str">
        <f ca="1">IF(OFFSET('IWP22'!BackgroundChecks, 15, 2, 1, 1) = 0, "", OFFSET('IWP22'!BackgroundChecks, 15, 2, 1, 1))</f>
        <v/>
      </c>
      <c r="D518" s="262" t="str">
        <f ca="1">IF(OFFSET('IWP22'!BackgroundChecks, 15, 4, 1, 1) = 0, "", OFFSET('IWP22'!BackgroundChecks, 15, 4, 1, 1))</f>
        <v/>
      </c>
      <c r="E518" s="254">
        <f ca="1">IF(OFFSET('IWP22'!BackgroundChecks, 15, 5, 1, 1)=DATE(1900,1,0), DATE(1900,1,1), OFFSET('IWP22'!BackgroundChecks, 15, 5, 1, 1))</f>
        <v>1</v>
      </c>
      <c r="F518" s="262" t="str">
        <f ca="1">IF(OFFSET('IWP22'!BackgroundChecks, 15, 6, 1, 1) = 0, "", OFFSET('IWP22'!BackgroundChecks, 15, 6, 1, 1))</f>
        <v/>
      </c>
      <c r="G518" s="254">
        <f ca="1">IF(OFFSET('IWP22'!BackgroundChecks, 15, 7, 1, 1)=DATE(1900,1,0), DATE(1900,1,1), OFFSET('IWP22'!BackgroundChecks, 15, 7, 1, 1))</f>
        <v>1</v>
      </c>
      <c r="H518" s="254">
        <f ca="1">IF(OFFSET('IWP22'!BackgroundChecks, 15, 8, 1, 1)=DATE(1900,1,0), DATE(1900,1,1), OFFSET('IWP22'!BackgroundChecks, 15, 8, 1, 1))</f>
        <v>1</v>
      </c>
      <c r="I518" s="262" t="str">
        <f ca="1">IF(OFFSET('IWP22'!BackgroundChecks, 15, 9, 1, 1) = 0, "", OFFSET('IWP22'!BackgroundChecks, 15, 9, 1, 1))</f>
        <v/>
      </c>
      <c r="J518" s="262" t="str">
        <f ca="1">IF(OFFSET('IWP22'!BackgroundChecks, 15, 10, 1, 1) = 0, "", OFFSET('IWP22'!BackgroundChecks, 15, 10, 1, 1))</f>
        <v/>
      </c>
      <c r="K518" s="262" t="str">
        <f ca="1">IF(OFFSET('IWP22'!BackgroundChecks, 15, 11, 1, 1) = 0, "", OFFSET('IWP22'!BackgroundChecks, 15, 11, 1, 1))</f>
        <v/>
      </c>
      <c r="L518" s="262" t="str">
        <f ca="1">IF(OFFSET('IWP22'!BackgroundChecks, 15, 12, 1, 1) = 0, "", OFFSET('IWP22'!BackgroundChecks, 15, 12, 1, 1))</f>
        <v/>
      </c>
      <c r="M518" s="262" t="str">
        <f ca="1">IF(OFFSET('IWP22'!BackgroundChecks, 15, 13, 1, 1) = 0, "", OFFSET('IWP22'!BackgroundChecks, 15, 13, 1, 1))</f>
        <v/>
      </c>
      <c r="N518" s="261"/>
    </row>
    <row r="519" spans="1:14" s="146" customFormat="1">
      <c r="A519" s="257" t="s">
        <v>520</v>
      </c>
      <c r="B519" s="262" t="str">
        <f ca="1">IF(OFFSET('IWP22'!BackgroundChecks, 16, 0, 1, 1) = 0, "", OFFSET('IWP22'!BackgroundChecks, 16, 0, 1, 1))</f>
        <v/>
      </c>
      <c r="C519" s="262" t="str">
        <f ca="1">IF(OFFSET('IWP22'!BackgroundChecks, 16, 2, 1, 1) = 0, "", OFFSET('IWP22'!BackgroundChecks, 16, 2, 1, 1))</f>
        <v/>
      </c>
      <c r="D519" s="262" t="str">
        <f ca="1">IF(OFFSET('IWP22'!BackgroundChecks, 16, 4, 1, 1) = 0, "", OFFSET('IWP22'!BackgroundChecks, 16, 4, 1, 1))</f>
        <v/>
      </c>
      <c r="E519" s="254">
        <f ca="1">IF(OFFSET('IWP22'!BackgroundChecks, 16, 5, 1, 1)=DATE(1900,1,0), DATE(1900,1,1), OFFSET('IWP22'!BackgroundChecks, 16, 5, 1, 1))</f>
        <v>1</v>
      </c>
      <c r="F519" s="262" t="str">
        <f ca="1">IF(OFFSET('IWP22'!BackgroundChecks, 16, 6, 1, 1) = 0, "", OFFSET('IWP22'!BackgroundChecks, 16, 6, 1, 1))</f>
        <v/>
      </c>
      <c r="G519" s="254">
        <f ca="1">IF(OFFSET('IWP22'!BackgroundChecks, 16, 7, 1, 1)=DATE(1900,1,0), DATE(1900,1,1), OFFSET('IWP22'!BackgroundChecks, 16, 7, 1, 1))</f>
        <v>1</v>
      </c>
      <c r="H519" s="254">
        <f ca="1">IF(OFFSET('IWP22'!BackgroundChecks, 16, 8, 1, 1)=DATE(1900,1,0), DATE(1900,1,1), OFFSET('IWP22'!BackgroundChecks, 16, 8, 1, 1))</f>
        <v>1</v>
      </c>
      <c r="I519" s="262" t="str">
        <f ca="1">IF(OFFSET('IWP22'!BackgroundChecks, 16, 9, 1, 1) = 0, "", OFFSET('IWP22'!BackgroundChecks, 16, 9, 1, 1))</f>
        <v/>
      </c>
      <c r="J519" s="262" t="str">
        <f ca="1">IF(OFFSET('IWP22'!BackgroundChecks, 16, 10, 1, 1) = 0, "", OFFSET('IWP22'!BackgroundChecks, 16, 10, 1, 1))</f>
        <v/>
      </c>
      <c r="K519" s="262" t="str">
        <f ca="1">IF(OFFSET('IWP22'!BackgroundChecks, 16, 11, 1, 1) = 0, "", OFFSET('IWP22'!BackgroundChecks, 16, 11, 1, 1))</f>
        <v/>
      </c>
      <c r="L519" s="262" t="str">
        <f ca="1">IF(OFFSET('IWP22'!BackgroundChecks, 16, 12, 1, 1) = 0, "", OFFSET('IWP22'!BackgroundChecks, 16, 12, 1, 1))</f>
        <v/>
      </c>
      <c r="M519" s="262" t="str">
        <f ca="1">IF(OFFSET('IWP22'!BackgroundChecks, 16, 13, 1, 1) = 0, "", OFFSET('IWP22'!BackgroundChecks, 16, 13, 1, 1))</f>
        <v/>
      </c>
      <c r="N519" s="261"/>
    </row>
    <row r="520" spans="1:14" s="146" customFormat="1">
      <c r="A520" s="257" t="s">
        <v>520</v>
      </c>
      <c r="B520" s="262" t="str">
        <f ca="1">IF(OFFSET('IWP22'!BackgroundChecks, 17, 0, 1, 1) = 0, "", OFFSET('IWP22'!BackgroundChecks, 17, 0, 1, 1))</f>
        <v/>
      </c>
      <c r="C520" s="262" t="str">
        <f ca="1">IF(OFFSET('IWP22'!BackgroundChecks, 17, 2, 1, 1) = 0, "", OFFSET('IWP22'!BackgroundChecks, 17, 2, 1, 1))</f>
        <v/>
      </c>
      <c r="D520" s="262" t="str">
        <f ca="1">IF(OFFSET('IWP22'!BackgroundChecks, 17, 4, 1, 1) = 0, "", OFFSET('IWP22'!BackgroundChecks, 17, 4, 1, 1))</f>
        <v/>
      </c>
      <c r="E520" s="254">
        <f ca="1">IF(OFFSET('IWP22'!BackgroundChecks, 17, 5, 1, 1)=DATE(1900,1,0), DATE(1900,1,1), OFFSET('IWP22'!BackgroundChecks, 17, 5, 1, 1))</f>
        <v>1</v>
      </c>
      <c r="F520" s="262" t="str">
        <f ca="1">IF(OFFSET('IWP22'!BackgroundChecks, 17, 6, 1, 1) = 0, "", OFFSET('IWP22'!BackgroundChecks, 17, 6, 1, 1))</f>
        <v/>
      </c>
      <c r="G520" s="254">
        <f ca="1">IF(OFFSET('IWP22'!BackgroundChecks, 17, 7, 1, 1)=DATE(1900,1,0), DATE(1900,1,1), OFFSET('IWP22'!BackgroundChecks, 17, 7, 1, 1))</f>
        <v>1</v>
      </c>
      <c r="H520" s="254">
        <f ca="1">IF(OFFSET('IWP22'!BackgroundChecks, 17, 8, 1, 1)=DATE(1900,1,0), DATE(1900,1,1), OFFSET('IWP22'!BackgroundChecks, 17, 8, 1, 1))</f>
        <v>1</v>
      </c>
      <c r="I520" s="262" t="str">
        <f ca="1">IF(OFFSET('IWP22'!BackgroundChecks, 17, 9, 1, 1) = 0, "", OFFSET('IWP22'!BackgroundChecks, 17, 9, 1, 1))</f>
        <v/>
      </c>
      <c r="J520" s="262" t="str">
        <f ca="1">IF(OFFSET('IWP22'!BackgroundChecks, 17, 10, 1, 1) = 0, "", OFFSET('IWP22'!BackgroundChecks, 17, 10, 1, 1))</f>
        <v/>
      </c>
      <c r="K520" s="262" t="str">
        <f ca="1">IF(OFFSET('IWP22'!BackgroundChecks, 17, 11, 1, 1) = 0, "", OFFSET('IWP22'!BackgroundChecks, 17, 11, 1, 1))</f>
        <v/>
      </c>
      <c r="L520" s="262" t="str">
        <f ca="1">IF(OFFSET('IWP22'!BackgroundChecks, 17, 12, 1, 1) = 0, "", OFFSET('IWP22'!BackgroundChecks, 17, 12, 1, 1))</f>
        <v/>
      </c>
      <c r="M520" s="262" t="str">
        <f ca="1">IF(OFFSET('IWP22'!BackgroundChecks, 17, 13, 1, 1) = 0, "", OFFSET('IWP22'!BackgroundChecks, 17, 13, 1, 1))</f>
        <v/>
      </c>
      <c r="N520" s="261"/>
    </row>
    <row r="521" spans="1:14" s="146" customFormat="1">
      <c r="A521" s="257" t="s">
        <v>520</v>
      </c>
      <c r="B521" s="262" t="str">
        <f ca="1">IF(OFFSET('IWP22'!BackgroundChecks, 18, 0, 1, 1) = 0, "", OFFSET('IWP22'!BackgroundChecks, 18, 0, 1, 1))</f>
        <v/>
      </c>
      <c r="C521" s="262" t="str">
        <f ca="1">IF(OFFSET('IWP22'!BackgroundChecks, 18, 2, 1, 1) = 0, "", OFFSET('IWP22'!BackgroundChecks, 18, 2, 1, 1))</f>
        <v/>
      </c>
      <c r="D521" s="262" t="str">
        <f ca="1">IF(OFFSET('IWP22'!BackgroundChecks, 18, 4, 1, 1) = 0, "", OFFSET('IWP22'!BackgroundChecks, 18, 4, 1, 1))</f>
        <v/>
      </c>
      <c r="E521" s="254">
        <f ca="1">IF(OFFSET('IWP22'!BackgroundChecks, 18, 5, 1, 1)=DATE(1900,1,0), DATE(1900,1,1), OFFSET('IWP22'!BackgroundChecks, 18, 5, 1, 1))</f>
        <v>1</v>
      </c>
      <c r="F521" s="262" t="str">
        <f ca="1">IF(OFFSET('IWP22'!BackgroundChecks, 18, 6, 1, 1) = 0, "", OFFSET('IWP22'!BackgroundChecks, 18, 6, 1, 1))</f>
        <v/>
      </c>
      <c r="G521" s="254">
        <f ca="1">IF(OFFSET('IWP22'!BackgroundChecks, 18, 7, 1, 1)=DATE(1900,1,0), DATE(1900,1,1), OFFSET('IWP22'!BackgroundChecks, 18, 7, 1, 1))</f>
        <v>1</v>
      </c>
      <c r="H521" s="254">
        <f ca="1">IF(OFFSET('IWP22'!BackgroundChecks, 18, 8, 1, 1)=DATE(1900,1,0), DATE(1900,1,1), OFFSET('IWP22'!BackgroundChecks, 18, 8, 1, 1))</f>
        <v>1</v>
      </c>
      <c r="I521" s="262" t="str">
        <f ca="1">IF(OFFSET('IWP22'!BackgroundChecks, 18, 9, 1, 1) = 0, "", OFFSET('IWP22'!BackgroundChecks, 18, 9, 1, 1))</f>
        <v/>
      </c>
      <c r="J521" s="262" t="str">
        <f ca="1">IF(OFFSET('IWP22'!BackgroundChecks, 18, 10, 1, 1) = 0, "", OFFSET('IWP22'!BackgroundChecks, 18, 10, 1, 1))</f>
        <v/>
      </c>
      <c r="K521" s="262" t="str">
        <f ca="1">IF(OFFSET('IWP22'!BackgroundChecks, 18, 11, 1, 1) = 0, "", OFFSET('IWP22'!BackgroundChecks, 18, 11, 1, 1))</f>
        <v/>
      </c>
      <c r="L521" s="262" t="str">
        <f ca="1">IF(OFFSET('IWP22'!BackgroundChecks, 18, 12, 1, 1) = 0, "", OFFSET('IWP22'!BackgroundChecks, 18, 12, 1, 1))</f>
        <v/>
      </c>
      <c r="M521" s="262" t="str">
        <f ca="1">IF(OFFSET('IWP22'!BackgroundChecks, 18, 13, 1, 1) = 0, "", OFFSET('IWP22'!BackgroundChecks, 18, 13, 1, 1))</f>
        <v/>
      </c>
      <c r="N521" s="261"/>
    </row>
    <row r="522" spans="1:14" s="146" customFormat="1">
      <c r="A522" s="257" t="s">
        <v>520</v>
      </c>
      <c r="B522" s="262" t="str">
        <f ca="1">IF(OFFSET('IWP22'!BackgroundChecks, 19, 0, 1, 1) = 0, "", OFFSET('IWP22'!BackgroundChecks, 19, 0, 1, 1))</f>
        <v/>
      </c>
      <c r="C522" s="262" t="str">
        <f ca="1">IF(OFFSET('IWP22'!BackgroundChecks, 19, 2, 1, 1) = 0, "", OFFSET('IWP22'!BackgroundChecks, 19, 2, 1, 1))</f>
        <v/>
      </c>
      <c r="D522" s="262" t="str">
        <f ca="1">IF(OFFSET('IWP22'!BackgroundChecks, 19, 4, 1, 1) = 0, "", OFFSET('IWP22'!BackgroundChecks, 19, 4, 1, 1))</f>
        <v/>
      </c>
      <c r="E522" s="254">
        <f ca="1">IF(OFFSET('IWP22'!BackgroundChecks, 19, 5, 1, 1)=DATE(1900,1,0), DATE(1900,1,1), OFFSET('IWP22'!BackgroundChecks, 19, 5, 1, 1))</f>
        <v>1</v>
      </c>
      <c r="F522" s="262" t="str">
        <f ca="1">IF(OFFSET('IWP22'!BackgroundChecks, 19, 6, 1, 1) = 0, "", OFFSET('IWP22'!BackgroundChecks, 19, 6, 1, 1))</f>
        <v/>
      </c>
      <c r="G522" s="254">
        <f ca="1">IF(OFFSET('IWP22'!BackgroundChecks, 19, 7, 1, 1)=DATE(1900,1,0), DATE(1900,1,1), OFFSET('IWP22'!BackgroundChecks, 19, 7, 1, 1))</f>
        <v>1</v>
      </c>
      <c r="H522" s="254">
        <f ca="1">IF(OFFSET('IWP22'!BackgroundChecks, 19, 8, 1, 1)=DATE(1900,1,0), DATE(1900,1,1), OFFSET('IWP22'!BackgroundChecks, 19, 8, 1, 1))</f>
        <v>1</v>
      </c>
      <c r="I522" s="262" t="str">
        <f ca="1">IF(OFFSET('IWP22'!BackgroundChecks, 19, 9, 1, 1) = 0, "", OFFSET('IWP22'!BackgroundChecks, 19, 9, 1, 1))</f>
        <v/>
      </c>
      <c r="J522" s="262" t="str">
        <f ca="1">IF(OFFSET('IWP22'!BackgroundChecks, 19, 10, 1, 1) = 0, "", OFFSET('IWP22'!BackgroundChecks, 19, 10, 1, 1))</f>
        <v/>
      </c>
      <c r="K522" s="262" t="str">
        <f ca="1">IF(OFFSET('IWP22'!BackgroundChecks, 19, 11, 1, 1) = 0, "", OFFSET('IWP22'!BackgroundChecks, 19, 11, 1, 1))</f>
        <v/>
      </c>
      <c r="L522" s="262" t="str">
        <f ca="1">IF(OFFSET('IWP22'!BackgroundChecks, 19, 12, 1, 1) = 0, "", OFFSET('IWP22'!BackgroundChecks, 19, 12, 1, 1))</f>
        <v/>
      </c>
      <c r="M522" s="262" t="str">
        <f ca="1">IF(OFFSET('IWP22'!BackgroundChecks, 19, 13, 1, 1) = 0, "", OFFSET('IWP22'!BackgroundChecks, 19, 13, 1, 1))</f>
        <v/>
      </c>
      <c r="N522" s="261"/>
    </row>
    <row r="523" spans="1:14" s="146" customFormat="1">
      <c r="A523" s="257" t="s">
        <v>521</v>
      </c>
      <c r="B523" s="262" t="str">
        <f ca="1">IF(OFFSET('IWP23'!BackgroundChecks, 0, 0, 1, 1) = 0, "", OFFSET('IWP23'!BackgroundChecks, 0, 0, 1, 1))</f>
        <v/>
      </c>
      <c r="C523" s="262" t="str">
        <f ca="1">IF(OFFSET('IWP23'!BackgroundChecks, 0, 2, 1, 1) = 0, "", OFFSET('IWP23'!BackgroundChecks, 0, 2, 1, 1))</f>
        <v/>
      </c>
      <c r="D523" s="262" t="str">
        <f ca="1">IF(OFFSET('IWP23'!BackgroundChecks, 0, 4, 1, 1) = 0, "", OFFSET('IWP23'!BackgroundChecks, 0, 4, 1, 1))</f>
        <v/>
      </c>
      <c r="E523" s="254">
        <f ca="1">IF(OFFSET('IWP23'!BackgroundChecks, 0, 5, 1, 1)=DATE(1900,1,0), DATE(1900,1,1), OFFSET('IWP23'!BackgroundChecks, 0, 5, 1, 1))</f>
        <v>1</v>
      </c>
      <c r="F523" s="262" t="str">
        <f ca="1">IF(OFFSET('IWP23'!BackgroundChecks, 0, 6, 1, 1) = 0, "", OFFSET('IWP23'!BackgroundChecks, 0, 6, 1, 1))</f>
        <v/>
      </c>
      <c r="G523" s="254">
        <f ca="1">IF(OFFSET('IWP23'!BackgroundChecks, 0, 7, 1, 1)=DATE(1900,1,0), DATE(1900,1,1), OFFSET('IWP23'!BackgroundChecks, 0, 7, 1, 1))</f>
        <v>1</v>
      </c>
      <c r="H523" s="254">
        <f ca="1">IF(OFFSET('IWP23'!BackgroundChecks, 0, 8, 1, 1)=DATE(1900,1,0), DATE(1900,1,1), OFFSET('IWP23'!BackgroundChecks, 0, 8, 1, 1))</f>
        <v>1</v>
      </c>
      <c r="I523" s="262" t="str">
        <f ca="1">IF(OFFSET('IWP23'!BackgroundChecks, 0, 9, 1, 1) = 0, "", OFFSET('IWP23'!BackgroundChecks, 0, 9, 1, 1))</f>
        <v/>
      </c>
      <c r="J523" s="262" t="str">
        <f ca="1">IF(OFFSET('IWP23'!BackgroundChecks, 0, 10, 1, 1) = 0, "", OFFSET('IWP23'!BackgroundChecks, 0, 10, 1, 1))</f>
        <v/>
      </c>
      <c r="K523" s="262" t="str">
        <f ca="1">IF(OFFSET('IWP23'!BackgroundChecks, 0, 11, 1, 1) = 0, "", OFFSET('IWP23'!BackgroundChecks, 0, 11, 1, 1))</f>
        <v/>
      </c>
      <c r="L523" s="262" t="str">
        <f ca="1">IF(OFFSET('IWP23'!BackgroundChecks, 0, 12, 1, 1) = 0, "", OFFSET('IWP23'!BackgroundChecks, 0, 12, 1, 1))</f>
        <v/>
      </c>
      <c r="M523" s="262" t="str">
        <f ca="1">IF(OFFSET('IWP23'!BackgroundChecks, 0, 13, 1, 1) = 0, "", OFFSET('IWP23'!BackgroundChecks, 0, 13, 1, 1))</f>
        <v/>
      </c>
      <c r="N523" s="261"/>
    </row>
    <row r="524" spans="1:14" s="146" customFormat="1">
      <c r="A524" s="257" t="s">
        <v>521</v>
      </c>
      <c r="B524" s="262" t="str">
        <f ca="1">IF(OFFSET('IWP23'!BackgroundChecks, 1, 0, 1, 1) = 0, "", OFFSET('IWP23'!BackgroundChecks, 1, 0, 1, 1))</f>
        <v/>
      </c>
      <c r="C524" s="262" t="str">
        <f ca="1">IF(OFFSET('IWP23'!BackgroundChecks, 1, 2, 1, 1) = 0, "", OFFSET('IWP23'!BackgroundChecks, 1, 2, 1, 1))</f>
        <v/>
      </c>
      <c r="D524" s="262" t="str">
        <f ca="1">IF(OFFSET('IWP23'!BackgroundChecks, 1, 4, 1, 1) = 0, "", OFFSET('IWP23'!BackgroundChecks, 1, 4, 1, 1))</f>
        <v/>
      </c>
      <c r="E524" s="254">
        <f ca="1">IF(OFFSET('IWP23'!BackgroundChecks, 1, 5, 1, 1)=DATE(1900,1,0), DATE(1900,1,1), OFFSET('IWP23'!BackgroundChecks, 1, 5, 1, 1))</f>
        <v>1</v>
      </c>
      <c r="F524" s="262" t="str">
        <f ca="1">IF(OFFSET('IWP23'!BackgroundChecks, 1, 6, 1, 1) = 0, "", OFFSET('IWP23'!BackgroundChecks, 1, 6, 1, 1))</f>
        <v/>
      </c>
      <c r="G524" s="254">
        <f ca="1">IF(OFFSET('IWP23'!BackgroundChecks, 1, 7, 1, 1)=DATE(1900,1,0), DATE(1900,1,1), OFFSET('IWP23'!BackgroundChecks, 1, 7, 1, 1))</f>
        <v>1</v>
      </c>
      <c r="H524" s="254">
        <f ca="1">IF(OFFSET('IWP23'!BackgroundChecks, 1, 8, 1, 1)=DATE(1900,1,0), DATE(1900,1,1), OFFSET('IWP23'!BackgroundChecks, 1, 8, 1, 1))</f>
        <v>1</v>
      </c>
      <c r="I524" s="262" t="str">
        <f ca="1">IF(OFFSET('IWP23'!BackgroundChecks, 1, 9, 1, 1) = 0, "", OFFSET('IWP23'!BackgroundChecks, 1, 9, 1, 1))</f>
        <v/>
      </c>
      <c r="J524" s="262" t="str">
        <f ca="1">IF(OFFSET('IWP23'!BackgroundChecks, 1, 10, 1, 1) = 0, "", OFFSET('IWP23'!BackgroundChecks, 1, 10, 1, 1))</f>
        <v/>
      </c>
      <c r="K524" s="262" t="str">
        <f ca="1">IF(OFFSET('IWP23'!BackgroundChecks, 1, 11, 1, 1) = 0, "", OFFSET('IWP23'!BackgroundChecks, 1, 11, 1, 1))</f>
        <v/>
      </c>
      <c r="L524" s="262" t="str">
        <f ca="1">IF(OFFSET('IWP23'!BackgroundChecks, 1, 12, 1, 1) = 0, "", OFFSET('IWP23'!BackgroundChecks, 1, 12, 1, 1))</f>
        <v/>
      </c>
      <c r="M524" s="262" t="str">
        <f ca="1">IF(OFFSET('IWP23'!BackgroundChecks, 1, 13, 1, 1) = 0, "", OFFSET('IWP23'!BackgroundChecks, 1, 13, 1, 1))</f>
        <v/>
      </c>
      <c r="N524" s="261"/>
    </row>
    <row r="525" spans="1:14" s="146" customFormat="1">
      <c r="A525" s="257" t="s">
        <v>521</v>
      </c>
      <c r="B525" s="262" t="str">
        <f ca="1">IF(OFFSET('IWP23'!BackgroundChecks, 2, 0, 1, 1) = 0, "", OFFSET('IWP23'!BackgroundChecks, 2, 0, 1, 1))</f>
        <v/>
      </c>
      <c r="C525" s="262" t="str">
        <f ca="1">IF(OFFSET('IWP23'!BackgroundChecks, 2, 2, 1, 1) = 0, "", OFFSET('IWP23'!BackgroundChecks, 2, 2, 1, 1))</f>
        <v/>
      </c>
      <c r="D525" s="262" t="str">
        <f ca="1">IF(OFFSET('IWP23'!BackgroundChecks, 2, 4, 1, 1) = 0, "", OFFSET('IWP23'!BackgroundChecks, 2, 4, 1, 1))</f>
        <v/>
      </c>
      <c r="E525" s="254">
        <f ca="1">IF(OFFSET('IWP23'!BackgroundChecks, 2, 5, 1, 1)=DATE(1900,1,0), DATE(1900,1,1), OFFSET('IWP23'!BackgroundChecks, 2, 5, 1, 1))</f>
        <v>1</v>
      </c>
      <c r="F525" s="262" t="str">
        <f ca="1">IF(OFFSET('IWP23'!BackgroundChecks, 2, 6, 1, 1) = 0, "", OFFSET('IWP23'!BackgroundChecks, 2, 6, 1, 1))</f>
        <v/>
      </c>
      <c r="G525" s="254">
        <f ca="1">IF(OFFSET('IWP23'!BackgroundChecks, 2, 7, 1, 1)=DATE(1900,1,0), DATE(1900,1,1), OFFSET('IWP23'!BackgroundChecks, 2, 7, 1, 1))</f>
        <v>1</v>
      </c>
      <c r="H525" s="254">
        <f ca="1">IF(OFFSET('IWP23'!BackgroundChecks, 2, 8, 1, 1)=DATE(1900,1,0), DATE(1900,1,1), OFFSET('IWP23'!BackgroundChecks, 2, 8, 1, 1))</f>
        <v>1</v>
      </c>
      <c r="I525" s="262" t="str">
        <f ca="1">IF(OFFSET('IWP23'!BackgroundChecks, 2, 9, 1, 1) = 0, "", OFFSET('IWP23'!BackgroundChecks, 2, 9, 1, 1))</f>
        <v/>
      </c>
      <c r="J525" s="262" t="str">
        <f ca="1">IF(OFFSET('IWP23'!BackgroundChecks, 2, 10, 1, 1) = 0, "", OFFSET('IWP23'!BackgroundChecks, 2, 10, 1, 1))</f>
        <v/>
      </c>
      <c r="K525" s="262" t="str">
        <f ca="1">IF(OFFSET('IWP23'!BackgroundChecks, 2, 11, 1, 1) = 0, "", OFFSET('IWP23'!BackgroundChecks, 2, 11, 1, 1))</f>
        <v/>
      </c>
      <c r="L525" s="262" t="str">
        <f ca="1">IF(OFFSET('IWP23'!BackgroundChecks, 2, 12, 1, 1) = 0, "", OFFSET('IWP23'!BackgroundChecks, 2, 12, 1, 1))</f>
        <v/>
      </c>
      <c r="M525" s="262" t="str">
        <f ca="1">IF(OFFSET('IWP23'!BackgroundChecks, 2, 13, 1, 1) = 0, "", OFFSET('IWP23'!BackgroundChecks, 2, 13, 1, 1))</f>
        <v/>
      </c>
      <c r="N525" s="261"/>
    </row>
    <row r="526" spans="1:14" s="146" customFormat="1">
      <c r="A526" s="257" t="s">
        <v>521</v>
      </c>
      <c r="B526" s="262" t="str">
        <f ca="1">IF(OFFSET('IWP23'!BackgroundChecks, 3, 0, 1, 1) = 0, "", OFFSET('IWP23'!BackgroundChecks, 3, 0, 1, 1))</f>
        <v/>
      </c>
      <c r="C526" s="262" t="str">
        <f ca="1">IF(OFFSET('IWP23'!BackgroundChecks, 3, 2, 1, 1) = 0, "", OFFSET('IWP23'!BackgroundChecks, 3, 2, 1, 1))</f>
        <v/>
      </c>
      <c r="D526" s="262" t="str">
        <f ca="1">IF(OFFSET('IWP23'!BackgroundChecks, 3, 4, 1, 1) = 0, "", OFFSET('IWP23'!BackgroundChecks, 3, 4, 1, 1))</f>
        <v/>
      </c>
      <c r="E526" s="254">
        <f ca="1">IF(OFFSET('IWP23'!BackgroundChecks, 3, 5, 1, 1)=DATE(1900,1,0), DATE(1900,1,1), OFFSET('IWP23'!BackgroundChecks, 3, 5, 1, 1))</f>
        <v>1</v>
      </c>
      <c r="F526" s="262" t="str">
        <f ca="1">IF(OFFSET('IWP23'!BackgroundChecks, 3, 6, 1, 1) = 0, "", OFFSET('IWP23'!BackgroundChecks, 3, 6, 1, 1))</f>
        <v/>
      </c>
      <c r="G526" s="254">
        <f ca="1">IF(OFFSET('IWP23'!BackgroundChecks, 3, 7, 1, 1)=DATE(1900,1,0), DATE(1900,1,1), OFFSET('IWP23'!BackgroundChecks, 3, 7, 1, 1))</f>
        <v>1</v>
      </c>
      <c r="H526" s="254">
        <f ca="1">IF(OFFSET('IWP23'!BackgroundChecks, 3, 8, 1, 1)=DATE(1900,1,0), DATE(1900,1,1), OFFSET('IWP23'!BackgroundChecks, 3, 8, 1, 1))</f>
        <v>1</v>
      </c>
      <c r="I526" s="262" t="str">
        <f ca="1">IF(OFFSET('IWP23'!BackgroundChecks, 3, 9, 1, 1) = 0, "", OFFSET('IWP23'!BackgroundChecks, 3, 9, 1, 1))</f>
        <v/>
      </c>
      <c r="J526" s="262" t="str">
        <f ca="1">IF(OFFSET('IWP23'!BackgroundChecks, 3, 10, 1, 1) = 0, "", OFFSET('IWP23'!BackgroundChecks, 3, 10, 1, 1))</f>
        <v/>
      </c>
      <c r="K526" s="262" t="str">
        <f ca="1">IF(OFFSET('IWP23'!BackgroundChecks, 3, 11, 1, 1) = 0, "", OFFSET('IWP23'!BackgroundChecks, 3, 11, 1, 1))</f>
        <v/>
      </c>
      <c r="L526" s="262" t="str">
        <f ca="1">IF(OFFSET('IWP23'!BackgroundChecks, 3, 12, 1, 1) = 0, "", OFFSET('IWP23'!BackgroundChecks, 3, 12, 1, 1))</f>
        <v/>
      </c>
      <c r="M526" s="262" t="str">
        <f ca="1">IF(OFFSET('IWP23'!BackgroundChecks, 3, 13, 1, 1) = 0, "", OFFSET('IWP23'!BackgroundChecks, 3, 13, 1, 1))</f>
        <v/>
      </c>
      <c r="N526" s="261"/>
    </row>
    <row r="527" spans="1:14" s="146" customFormat="1">
      <c r="A527" s="257" t="s">
        <v>521</v>
      </c>
      <c r="B527" s="262" t="str">
        <f ca="1">IF(OFFSET('IWP23'!BackgroundChecks, 4, 0, 1, 1) = 0, "", OFFSET('IWP23'!BackgroundChecks, 4, 0, 1, 1))</f>
        <v/>
      </c>
      <c r="C527" s="262" t="str">
        <f ca="1">IF(OFFSET('IWP23'!BackgroundChecks, 4, 2, 1, 1) = 0, "", OFFSET('IWP23'!BackgroundChecks, 4, 2, 1, 1))</f>
        <v/>
      </c>
      <c r="D527" s="262" t="str">
        <f ca="1">IF(OFFSET('IWP23'!BackgroundChecks, 4, 4, 1, 1) = 0, "", OFFSET('IWP23'!BackgroundChecks, 4, 4, 1, 1))</f>
        <v/>
      </c>
      <c r="E527" s="254">
        <f ca="1">IF(OFFSET('IWP23'!BackgroundChecks, 4, 5, 1, 1)=DATE(1900,1,0), DATE(1900,1,1), OFFSET('IWP23'!BackgroundChecks, 4, 5, 1, 1))</f>
        <v>1</v>
      </c>
      <c r="F527" s="262" t="str">
        <f ca="1">IF(OFFSET('IWP23'!BackgroundChecks, 4, 6, 1, 1) = 0, "", OFFSET('IWP23'!BackgroundChecks, 4, 6, 1, 1))</f>
        <v/>
      </c>
      <c r="G527" s="254">
        <f ca="1">IF(OFFSET('IWP23'!BackgroundChecks, 4, 7, 1, 1)=DATE(1900,1,0), DATE(1900,1,1), OFFSET('IWP23'!BackgroundChecks, 4, 7, 1, 1))</f>
        <v>1</v>
      </c>
      <c r="H527" s="254">
        <f ca="1">IF(OFFSET('IWP23'!BackgroundChecks, 4, 8, 1, 1)=DATE(1900,1,0), DATE(1900,1,1), OFFSET('IWP23'!BackgroundChecks, 4, 8, 1, 1))</f>
        <v>1</v>
      </c>
      <c r="I527" s="262" t="str">
        <f ca="1">IF(OFFSET('IWP23'!BackgroundChecks, 4, 9, 1, 1) = 0, "", OFFSET('IWP23'!BackgroundChecks, 4, 9, 1, 1))</f>
        <v/>
      </c>
      <c r="J527" s="262" t="str">
        <f ca="1">IF(OFFSET('IWP23'!BackgroundChecks, 4, 10, 1, 1) = 0, "", OFFSET('IWP23'!BackgroundChecks, 4, 10, 1, 1))</f>
        <v/>
      </c>
      <c r="K527" s="262" t="str">
        <f ca="1">IF(OFFSET('IWP23'!BackgroundChecks, 4, 11, 1, 1) = 0, "", OFFSET('IWP23'!BackgroundChecks, 4, 11, 1, 1))</f>
        <v/>
      </c>
      <c r="L527" s="262" t="str">
        <f ca="1">IF(OFFSET('IWP23'!BackgroundChecks, 4, 12, 1, 1) = 0, "", OFFSET('IWP23'!BackgroundChecks, 4, 12, 1, 1))</f>
        <v/>
      </c>
      <c r="M527" s="262" t="str">
        <f ca="1">IF(OFFSET('IWP23'!BackgroundChecks, 4, 13, 1, 1) = 0, "", OFFSET('IWP23'!BackgroundChecks, 4, 13, 1, 1))</f>
        <v/>
      </c>
      <c r="N527" s="261"/>
    </row>
    <row r="528" spans="1:14" s="146" customFormat="1">
      <c r="A528" s="257" t="s">
        <v>521</v>
      </c>
      <c r="B528" s="262" t="str">
        <f ca="1">IF(OFFSET('IWP23'!BackgroundChecks, 5, 0, 1, 1) = 0, "", OFFSET('IWP23'!BackgroundChecks, 5, 0, 1, 1))</f>
        <v/>
      </c>
      <c r="C528" s="262" t="str">
        <f ca="1">IF(OFFSET('IWP23'!BackgroundChecks, 5, 2, 1, 1) = 0, "", OFFSET('IWP23'!BackgroundChecks, 5, 2, 1, 1))</f>
        <v/>
      </c>
      <c r="D528" s="262" t="str">
        <f ca="1">IF(OFFSET('IWP23'!BackgroundChecks, 5, 4, 1, 1) = 0, "", OFFSET('IWP23'!BackgroundChecks, 5, 4, 1, 1))</f>
        <v/>
      </c>
      <c r="E528" s="254">
        <f ca="1">IF(OFFSET('IWP23'!BackgroundChecks, 5, 5, 1, 1)=DATE(1900,1,0), DATE(1900,1,1), OFFSET('IWP23'!BackgroundChecks, 5, 5, 1, 1))</f>
        <v>1</v>
      </c>
      <c r="F528" s="262" t="str">
        <f ca="1">IF(OFFSET('IWP23'!BackgroundChecks, 5, 6, 1, 1) = 0, "", OFFSET('IWP23'!BackgroundChecks, 5, 6, 1, 1))</f>
        <v/>
      </c>
      <c r="G528" s="254">
        <f ca="1">IF(OFFSET('IWP23'!BackgroundChecks, 5, 7, 1, 1)=DATE(1900,1,0), DATE(1900,1,1), OFFSET('IWP23'!BackgroundChecks, 5, 7, 1, 1))</f>
        <v>1</v>
      </c>
      <c r="H528" s="254">
        <f ca="1">IF(OFFSET('IWP23'!BackgroundChecks, 5, 8, 1, 1)=DATE(1900,1,0), DATE(1900,1,1), OFFSET('IWP23'!BackgroundChecks, 5, 8, 1, 1))</f>
        <v>1</v>
      </c>
      <c r="I528" s="262" t="str">
        <f ca="1">IF(OFFSET('IWP23'!BackgroundChecks, 5, 9, 1, 1) = 0, "", OFFSET('IWP23'!BackgroundChecks, 5, 9, 1, 1))</f>
        <v/>
      </c>
      <c r="J528" s="262" t="str">
        <f ca="1">IF(OFFSET('IWP23'!BackgroundChecks, 5, 10, 1, 1) = 0, "", OFFSET('IWP23'!BackgroundChecks, 5, 10, 1, 1))</f>
        <v/>
      </c>
      <c r="K528" s="262" t="str">
        <f ca="1">IF(OFFSET('IWP23'!BackgroundChecks, 5, 11, 1, 1) = 0, "", OFFSET('IWP23'!BackgroundChecks, 5, 11, 1, 1))</f>
        <v/>
      </c>
      <c r="L528" s="262" t="str">
        <f ca="1">IF(OFFSET('IWP23'!BackgroundChecks, 5, 12, 1, 1) = 0, "", OFFSET('IWP23'!BackgroundChecks, 5, 12, 1, 1))</f>
        <v/>
      </c>
      <c r="M528" s="262" t="str">
        <f ca="1">IF(OFFSET('IWP23'!BackgroundChecks, 5, 13, 1, 1) = 0, "", OFFSET('IWP23'!BackgroundChecks, 5, 13, 1, 1))</f>
        <v/>
      </c>
      <c r="N528" s="261"/>
    </row>
    <row r="529" spans="1:14" s="146" customFormat="1">
      <c r="A529" s="257" t="s">
        <v>521</v>
      </c>
      <c r="B529" s="262" t="str">
        <f ca="1">IF(OFFSET('IWP23'!BackgroundChecks, 6, 0, 1, 1) = 0, "", OFFSET('IWP23'!BackgroundChecks, 6, 0, 1, 1))</f>
        <v/>
      </c>
      <c r="C529" s="262" t="str">
        <f ca="1">IF(OFFSET('IWP23'!BackgroundChecks, 6, 2, 1, 1) = 0, "", OFFSET('IWP23'!BackgroundChecks, 6, 2, 1, 1))</f>
        <v/>
      </c>
      <c r="D529" s="262" t="str">
        <f ca="1">IF(OFFSET('IWP23'!BackgroundChecks, 6, 4, 1, 1) = 0, "", OFFSET('IWP23'!BackgroundChecks, 6, 4, 1, 1))</f>
        <v/>
      </c>
      <c r="E529" s="254">
        <f ca="1">IF(OFFSET('IWP23'!BackgroundChecks, 6, 5, 1, 1)=DATE(1900,1,0), DATE(1900,1,1), OFFSET('IWP23'!BackgroundChecks, 6, 5, 1, 1))</f>
        <v>1</v>
      </c>
      <c r="F529" s="262" t="str">
        <f ca="1">IF(OFFSET('IWP23'!BackgroundChecks, 6, 6, 1, 1) = 0, "", OFFSET('IWP23'!BackgroundChecks, 6, 6, 1, 1))</f>
        <v/>
      </c>
      <c r="G529" s="254">
        <f ca="1">IF(OFFSET('IWP23'!BackgroundChecks, 6, 7, 1, 1)=DATE(1900,1,0), DATE(1900,1,1), OFFSET('IWP23'!BackgroundChecks, 6, 7, 1, 1))</f>
        <v>1</v>
      </c>
      <c r="H529" s="254">
        <f ca="1">IF(OFFSET('IWP23'!BackgroundChecks, 6, 8, 1, 1)=DATE(1900,1,0), DATE(1900,1,1), OFFSET('IWP23'!BackgroundChecks, 6, 8, 1, 1))</f>
        <v>1</v>
      </c>
      <c r="I529" s="262" t="str">
        <f ca="1">IF(OFFSET('IWP23'!BackgroundChecks, 6, 9, 1, 1) = 0, "", OFFSET('IWP23'!BackgroundChecks, 6, 9, 1, 1))</f>
        <v/>
      </c>
      <c r="J529" s="262" t="str">
        <f ca="1">IF(OFFSET('IWP23'!BackgroundChecks, 6, 10, 1, 1) = 0, "", OFFSET('IWP23'!BackgroundChecks, 6, 10, 1, 1))</f>
        <v/>
      </c>
      <c r="K529" s="262" t="str">
        <f ca="1">IF(OFFSET('IWP23'!BackgroundChecks, 6, 11, 1, 1) = 0, "", OFFSET('IWP23'!BackgroundChecks, 6, 11, 1, 1))</f>
        <v/>
      </c>
      <c r="L529" s="262" t="str">
        <f ca="1">IF(OFFSET('IWP23'!BackgroundChecks, 6, 12, 1, 1) = 0, "", OFFSET('IWP23'!BackgroundChecks, 6, 12, 1, 1))</f>
        <v/>
      </c>
      <c r="M529" s="262" t="str">
        <f ca="1">IF(OFFSET('IWP23'!BackgroundChecks, 6, 13, 1, 1) = 0, "", OFFSET('IWP23'!BackgroundChecks, 6, 13, 1, 1))</f>
        <v/>
      </c>
      <c r="N529" s="261"/>
    </row>
    <row r="530" spans="1:14" s="146" customFormat="1">
      <c r="A530" s="257" t="s">
        <v>521</v>
      </c>
      <c r="B530" s="262" t="str">
        <f ca="1">IF(OFFSET('IWP23'!BackgroundChecks, 7, 0, 1, 1) = 0, "", OFFSET('IWP23'!BackgroundChecks, 7, 0, 1, 1))</f>
        <v/>
      </c>
      <c r="C530" s="262" t="str">
        <f ca="1">IF(OFFSET('IWP23'!BackgroundChecks, 7, 2, 1, 1) = 0, "", OFFSET('IWP23'!BackgroundChecks, 7, 2, 1, 1))</f>
        <v/>
      </c>
      <c r="D530" s="262" t="str">
        <f ca="1">IF(OFFSET('IWP23'!BackgroundChecks, 7, 4, 1, 1) = 0, "", OFFSET('IWP23'!BackgroundChecks, 7, 4, 1, 1))</f>
        <v/>
      </c>
      <c r="E530" s="254">
        <f ca="1">IF(OFFSET('IWP23'!BackgroundChecks, 7, 5, 1, 1)=DATE(1900,1,0), DATE(1900,1,1), OFFSET('IWP23'!BackgroundChecks, 7, 5, 1, 1))</f>
        <v>1</v>
      </c>
      <c r="F530" s="262" t="str">
        <f ca="1">IF(OFFSET('IWP23'!BackgroundChecks, 7, 6, 1, 1) = 0, "", OFFSET('IWP23'!BackgroundChecks, 7, 6, 1, 1))</f>
        <v/>
      </c>
      <c r="G530" s="254">
        <f ca="1">IF(OFFSET('IWP23'!BackgroundChecks, 7, 7, 1, 1)=DATE(1900,1,0), DATE(1900,1,1), OFFSET('IWP23'!BackgroundChecks, 7, 7, 1, 1))</f>
        <v>1</v>
      </c>
      <c r="H530" s="254">
        <f ca="1">IF(OFFSET('IWP23'!BackgroundChecks, 7, 8, 1, 1)=DATE(1900,1,0), DATE(1900,1,1), OFFSET('IWP23'!BackgroundChecks, 7, 8, 1, 1))</f>
        <v>1</v>
      </c>
      <c r="I530" s="262" t="str">
        <f ca="1">IF(OFFSET('IWP23'!BackgroundChecks, 7, 9, 1, 1) = 0, "", OFFSET('IWP23'!BackgroundChecks, 7, 9, 1, 1))</f>
        <v/>
      </c>
      <c r="J530" s="262" t="str">
        <f ca="1">IF(OFFSET('IWP23'!BackgroundChecks, 7, 10, 1, 1) = 0, "", OFFSET('IWP23'!BackgroundChecks, 7, 10, 1, 1))</f>
        <v/>
      </c>
      <c r="K530" s="262" t="str">
        <f ca="1">IF(OFFSET('IWP23'!BackgroundChecks, 7, 11, 1, 1) = 0, "", OFFSET('IWP23'!BackgroundChecks, 7, 11, 1, 1))</f>
        <v/>
      </c>
      <c r="L530" s="262" t="str">
        <f ca="1">IF(OFFSET('IWP23'!BackgroundChecks, 7, 12, 1, 1) = 0, "", OFFSET('IWP23'!BackgroundChecks, 7, 12, 1, 1))</f>
        <v/>
      </c>
      <c r="M530" s="262" t="str">
        <f ca="1">IF(OFFSET('IWP23'!BackgroundChecks, 7, 13, 1, 1) = 0, "", OFFSET('IWP23'!BackgroundChecks, 7, 13, 1, 1))</f>
        <v/>
      </c>
      <c r="N530" s="261"/>
    </row>
    <row r="531" spans="1:14" s="146" customFormat="1">
      <c r="A531" s="257" t="s">
        <v>521</v>
      </c>
      <c r="B531" s="262" t="str">
        <f ca="1">IF(OFFSET('IWP23'!BackgroundChecks, 8, 0, 1, 1) = 0, "", OFFSET('IWP23'!BackgroundChecks, 8, 0, 1, 1))</f>
        <v/>
      </c>
      <c r="C531" s="262" t="str">
        <f ca="1">IF(OFFSET('IWP23'!BackgroundChecks, 8, 2, 1, 1) = 0, "", OFFSET('IWP23'!BackgroundChecks, 8, 2, 1, 1))</f>
        <v/>
      </c>
      <c r="D531" s="262" t="str">
        <f ca="1">IF(OFFSET('IWP23'!BackgroundChecks, 8, 4, 1, 1) = 0, "", OFFSET('IWP23'!BackgroundChecks, 8, 4, 1, 1))</f>
        <v/>
      </c>
      <c r="E531" s="254">
        <f ca="1">IF(OFFSET('IWP23'!BackgroundChecks, 8, 5, 1, 1)=DATE(1900,1,0), DATE(1900,1,1), OFFSET('IWP23'!BackgroundChecks, 8, 5, 1, 1))</f>
        <v>1</v>
      </c>
      <c r="F531" s="262" t="str">
        <f ca="1">IF(OFFSET('IWP23'!BackgroundChecks, 8, 6, 1, 1) = 0, "", OFFSET('IWP23'!BackgroundChecks, 8, 6, 1, 1))</f>
        <v/>
      </c>
      <c r="G531" s="254">
        <f ca="1">IF(OFFSET('IWP23'!BackgroundChecks, 8, 7, 1, 1)=DATE(1900,1,0), DATE(1900,1,1), OFFSET('IWP23'!BackgroundChecks, 8, 7, 1, 1))</f>
        <v>1</v>
      </c>
      <c r="H531" s="254">
        <f ca="1">IF(OFFSET('IWP23'!BackgroundChecks, 8, 8, 1, 1)=DATE(1900,1,0), DATE(1900,1,1), OFFSET('IWP23'!BackgroundChecks, 8, 8, 1, 1))</f>
        <v>1</v>
      </c>
      <c r="I531" s="262" t="str">
        <f ca="1">IF(OFFSET('IWP23'!BackgroundChecks, 8, 9, 1, 1) = 0, "", OFFSET('IWP23'!BackgroundChecks, 8, 9, 1, 1))</f>
        <v/>
      </c>
      <c r="J531" s="262" t="str">
        <f ca="1">IF(OFFSET('IWP23'!BackgroundChecks, 8, 10, 1, 1) = 0, "", OFFSET('IWP23'!BackgroundChecks, 8, 10, 1, 1))</f>
        <v/>
      </c>
      <c r="K531" s="262" t="str">
        <f ca="1">IF(OFFSET('IWP23'!BackgroundChecks, 8, 11, 1, 1) = 0, "", OFFSET('IWP23'!BackgroundChecks, 8, 11, 1, 1))</f>
        <v/>
      </c>
      <c r="L531" s="262" t="str">
        <f ca="1">IF(OFFSET('IWP23'!BackgroundChecks, 8, 12, 1, 1) = 0, "", OFFSET('IWP23'!BackgroundChecks, 8, 12, 1, 1))</f>
        <v/>
      </c>
      <c r="M531" s="262" t="str">
        <f ca="1">IF(OFFSET('IWP23'!BackgroundChecks, 8, 13, 1, 1) = 0, "", OFFSET('IWP23'!BackgroundChecks, 8, 13, 1, 1))</f>
        <v/>
      </c>
      <c r="N531" s="261"/>
    </row>
    <row r="532" spans="1:14" s="146" customFormat="1">
      <c r="A532" s="257" t="s">
        <v>521</v>
      </c>
      <c r="B532" s="262" t="str">
        <f ca="1">IF(OFFSET('IWP23'!BackgroundChecks, 9, 0, 1, 1) = 0, "", OFFSET('IWP23'!BackgroundChecks, 9, 0, 1, 1))</f>
        <v/>
      </c>
      <c r="C532" s="262" t="str">
        <f ca="1">IF(OFFSET('IWP23'!BackgroundChecks, 9, 2, 1, 1) = 0, "", OFFSET('IWP23'!BackgroundChecks, 9, 2, 1, 1))</f>
        <v/>
      </c>
      <c r="D532" s="262" t="str">
        <f ca="1">IF(OFFSET('IWP23'!BackgroundChecks, 9, 4, 1, 1) = 0, "", OFFSET('IWP23'!BackgroundChecks, 9, 4, 1, 1))</f>
        <v/>
      </c>
      <c r="E532" s="254">
        <f ca="1">IF(OFFSET('IWP23'!BackgroundChecks, 9, 5, 1, 1)=DATE(1900,1,0), DATE(1900,1,1), OFFSET('IWP23'!BackgroundChecks, 9, 5, 1, 1))</f>
        <v>1</v>
      </c>
      <c r="F532" s="262" t="str">
        <f ca="1">IF(OFFSET('IWP23'!BackgroundChecks, 9, 6, 1, 1) = 0, "", OFFSET('IWP23'!BackgroundChecks, 9, 6, 1, 1))</f>
        <v/>
      </c>
      <c r="G532" s="254">
        <f ca="1">IF(OFFSET('IWP23'!BackgroundChecks, 9, 7, 1, 1)=DATE(1900,1,0), DATE(1900,1,1), OFFSET('IWP23'!BackgroundChecks, 9, 7, 1, 1))</f>
        <v>1</v>
      </c>
      <c r="H532" s="254">
        <f ca="1">IF(OFFSET('IWP23'!BackgroundChecks, 9, 8, 1, 1)=DATE(1900,1,0), DATE(1900,1,1), OFFSET('IWP23'!BackgroundChecks, 9, 8, 1, 1))</f>
        <v>1</v>
      </c>
      <c r="I532" s="262" t="str">
        <f ca="1">IF(OFFSET('IWP23'!BackgroundChecks, 9, 9, 1, 1) = 0, "", OFFSET('IWP23'!BackgroundChecks, 9, 9, 1, 1))</f>
        <v/>
      </c>
      <c r="J532" s="262" t="str">
        <f ca="1">IF(OFFSET('IWP23'!BackgroundChecks, 9, 10, 1, 1) = 0, "", OFFSET('IWP23'!BackgroundChecks, 9, 10, 1, 1))</f>
        <v/>
      </c>
      <c r="K532" s="262" t="str">
        <f ca="1">IF(OFFSET('IWP23'!BackgroundChecks, 9, 11, 1, 1) = 0, "", OFFSET('IWP23'!BackgroundChecks, 9, 11, 1, 1))</f>
        <v/>
      </c>
      <c r="L532" s="262" t="str">
        <f ca="1">IF(OFFSET('IWP23'!BackgroundChecks, 9, 12, 1, 1) = 0, "", OFFSET('IWP23'!BackgroundChecks, 9, 12, 1, 1))</f>
        <v/>
      </c>
      <c r="M532" s="262" t="str">
        <f ca="1">IF(OFFSET('IWP23'!BackgroundChecks, 9, 13, 1, 1) = 0, "", OFFSET('IWP23'!BackgroundChecks, 9, 13, 1, 1))</f>
        <v/>
      </c>
      <c r="N532" s="261"/>
    </row>
    <row r="533" spans="1:14" s="146" customFormat="1">
      <c r="A533" s="257" t="s">
        <v>521</v>
      </c>
      <c r="B533" s="262" t="str">
        <f ca="1">IF(OFFSET('IWP23'!BackgroundChecks, 10, 0, 1, 1) = 0, "", OFFSET('IWP23'!BackgroundChecks, 10, 0, 1, 1))</f>
        <v/>
      </c>
      <c r="C533" s="262" t="str">
        <f ca="1">IF(OFFSET('IWP23'!BackgroundChecks, 10, 2, 1, 1) = 0, "", OFFSET('IWP23'!BackgroundChecks, 10, 2, 1, 1))</f>
        <v/>
      </c>
      <c r="D533" s="262" t="str">
        <f ca="1">IF(OFFSET('IWP23'!BackgroundChecks, 10, 4, 1, 1) = 0, "", OFFSET('IWP23'!BackgroundChecks, 10, 4, 1, 1))</f>
        <v/>
      </c>
      <c r="E533" s="254">
        <f ca="1">IF(OFFSET('IWP23'!BackgroundChecks, 10, 5, 1, 1)=DATE(1900,1,0), DATE(1900,1,1), OFFSET('IWP23'!BackgroundChecks, 10, 5, 1, 1))</f>
        <v>1</v>
      </c>
      <c r="F533" s="262" t="str">
        <f ca="1">IF(OFFSET('IWP23'!BackgroundChecks, 10, 6, 1, 1) = 0, "", OFFSET('IWP23'!BackgroundChecks, 10, 6, 1, 1))</f>
        <v/>
      </c>
      <c r="G533" s="254">
        <f ca="1">IF(OFFSET('IWP23'!BackgroundChecks, 10, 7, 1, 1)=DATE(1900,1,0), DATE(1900,1,1), OFFSET('IWP23'!BackgroundChecks, 10, 7, 1, 1))</f>
        <v>1</v>
      </c>
      <c r="H533" s="254">
        <f ca="1">IF(OFFSET('IWP23'!BackgroundChecks, 10, 8, 1, 1)=DATE(1900,1,0), DATE(1900,1,1), OFFSET('IWP23'!BackgroundChecks, 10, 8, 1, 1))</f>
        <v>1</v>
      </c>
      <c r="I533" s="262" t="str">
        <f ca="1">IF(OFFSET('IWP23'!BackgroundChecks, 10, 9, 1, 1) = 0, "", OFFSET('IWP23'!BackgroundChecks, 10, 9, 1, 1))</f>
        <v/>
      </c>
      <c r="J533" s="262" t="str">
        <f ca="1">IF(OFFSET('IWP23'!BackgroundChecks, 10, 10, 1, 1) = 0, "", OFFSET('IWP23'!BackgroundChecks, 10, 10, 1, 1))</f>
        <v/>
      </c>
      <c r="K533" s="262" t="str">
        <f ca="1">IF(OFFSET('IWP23'!BackgroundChecks, 10, 11, 1, 1) = 0, "", OFFSET('IWP23'!BackgroundChecks, 10, 11, 1, 1))</f>
        <v/>
      </c>
      <c r="L533" s="262" t="str">
        <f ca="1">IF(OFFSET('IWP23'!BackgroundChecks, 10, 12, 1, 1) = 0, "", OFFSET('IWP23'!BackgroundChecks, 10, 12, 1, 1))</f>
        <v/>
      </c>
      <c r="M533" s="262" t="str">
        <f ca="1">IF(OFFSET('IWP23'!BackgroundChecks, 10, 13, 1, 1) = 0, "", OFFSET('IWP23'!BackgroundChecks, 10, 13, 1, 1))</f>
        <v/>
      </c>
      <c r="N533" s="261"/>
    </row>
    <row r="534" spans="1:14" s="146" customFormat="1">
      <c r="A534" s="257" t="s">
        <v>521</v>
      </c>
      <c r="B534" s="262" t="str">
        <f ca="1">IF(OFFSET('IWP23'!BackgroundChecks, 11, 0, 1, 1) = 0, "", OFFSET('IWP23'!BackgroundChecks, 11, 0, 1, 1))</f>
        <v/>
      </c>
      <c r="C534" s="262" t="str">
        <f ca="1">IF(OFFSET('IWP23'!BackgroundChecks, 11, 2, 1, 1) = 0, "", OFFSET('IWP23'!BackgroundChecks, 11, 2, 1, 1))</f>
        <v/>
      </c>
      <c r="D534" s="262" t="str">
        <f ca="1">IF(OFFSET('IWP23'!BackgroundChecks, 11, 4, 1, 1) = 0, "", OFFSET('IWP23'!BackgroundChecks, 11, 4, 1, 1))</f>
        <v/>
      </c>
      <c r="E534" s="254">
        <f ca="1">IF(OFFSET('IWP23'!BackgroundChecks, 11, 5, 1, 1)=DATE(1900,1,0), DATE(1900,1,1), OFFSET('IWP23'!BackgroundChecks, 11, 5, 1, 1))</f>
        <v>1</v>
      </c>
      <c r="F534" s="262" t="str">
        <f ca="1">IF(OFFSET('IWP23'!BackgroundChecks, 11, 6, 1, 1) = 0, "", OFFSET('IWP23'!BackgroundChecks, 11, 6, 1, 1))</f>
        <v/>
      </c>
      <c r="G534" s="254">
        <f ca="1">IF(OFFSET('IWP23'!BackgroundChecks, 11, 7, 1, 1)=DATE(1900,1,0), DATE(1900,1,1), OFFSET('IWP23'!BackgroundChecks, 11, 7, 1, 1))</f>
        <v>1</v>
      </c>
      <c r="H534" s="254">
        <f ca="1">IF(OFFSET('IWP23'!BackgroundChecks, 11, 8, 1, 1)=DATE(1900,1,0), DATE(1900,1,1), OFFSET('IWP23'!BackgroundChecks, 11, 8, 1, 1))</f>
        <v>1</v>
      </c>
      <c r="I534" s="262" t="str">
        <f ca="1">IF(OFFSET('IWP23'!BackgroundChecks, 11, 9, 1, 1) = 0, "", OFFSET('IWP23'!BackgroundChecks, 11, 9, 1, 1))</f>
        <v/>
      </c>
      <c r="J534" s="262" t="str">
        <f ca="1">IF(OFFSET('IWP23'!BackgroundChecks, 11, 10, 1, 1) = 0, "", OFFSET('IWP23'!BackgroundChecks, 11, 10, 1, 1))</f>
        <v/>
      </c>
      <c r="K534" s="262" t="str">
        <f ca="1">IF(OFFSET('IWP23'!BackgroundChecks, 11, 11, 1, 1) = 0, "", OFFSET('IWP23'!BackgroundChecks, 11, 11, 1, 1))</f>
        <v/>
      </c>
      <c r="L534" s="262" t="str">
        <f ca="1">IF(OFFSET('IWP23'!BackgroundChecks, 11, 12, 1, 1) = 0, "", OFFSET('IWP23'!BackgroundChecks, 11, 12, 1, 1))</f>
        <v/>
      </c>
      <c r="M534" s="262" t="str">
        <f ca="1">IF(OFFSET('IWP23'!BackgroundChecks, 11, 13, 1, 1) = 0, "", OFFSET('IWP23'!BackgroundChecks, 11, 13, 1, 1))</f>
        <v/>
      </c>
      <c r="N534" s="261"/>
    </row>
    <row r="535" spans="1:14" s="146" customFormat="1">
      <c r="A535" s="257" t="s">
        <v>521</v>
      </c>
      <c r="B535" s="262" t="str">
        <f ca="1">IF(OFFSET('IWP23'!BackgroundChecks, 12, 0, 1, 1) = 0, "", OFFSET('IWP23'!BackgroundChecks, 12, 0, 1, 1))</f>
        <v/>
      </c>
      <c r="C535" s="262" t="str">
        <f ca="1">IF(OFFSET('IWP23'!BackgroundChecks, 12, 2, 1, 1) = 0, "", OFFSET('IWP23'!BackgroundChecks, 12, 2, 1, 1))</f>
        <v/>
      </c>
      <c r="D535" s="262" t="str">
        <f ca="1">IF(OFFSET('IWP23'!BackgroundChecks, 12, 4, 1, 1) = 0, "", OFFSET('IWP23'!BackgroundChecks, 12, 4, 1, 1))</f>
        <v/>
      </c>
      <c r="E535" s="254">
        <f ca="1">IF(OFFSET('IWP23'!BackgroundChecks, 12, 5, 1, 1)=DATE(1900,1,0), DATE(1900,1,1), OFFSET('IWP23'!BackgroundChecks, 12, 5, 1, 1))</f>
        <v>1</v>
      </c>
      <c r="F535" s="262" t="str">
        <f ca="1">IF(OFFSET('IWP23'!BackgroundChecks, 12, 6, 1, 1) = 0, "", OFFSET('IWP23'!BackgroundChecks, 12, 6, 1, 1))</f>
        <v/>
      </c>
      <c r="G535" s="254">
        <f ca="1">IF(OFFSET('IWP23'!BackgroundChecks, 12, 7, 1, 1)=DATE(1900,1,0), DATE(1900,1,1), OFFSET('IWP23'!BackgroundChecks, 12, 7, 1, 1))</f>
        <v>1</v>
      </c>
      <c r="H535" s="254">
        <f ca="1">IF(OFFSET('IWP23'!BackgroundChecks, 12, 8, 1, 1)=DATE(1900,1,0), DATE(1900,1,1), OFFSET('IWP23'!BackgroundChecks, 12, 8, 1, 1))</f>
        <v>1</v>
      </c>
      <c r="I535" s="262" t="str">
        <f ca="1">IF(OFFSET('IWP23'!BackgroundChecks, 12, 9, 1, 1) = 0, "", OFFSET('IWP23'!BackgroundChecks, 12, 9, 1, 1))</f>
        <v/>
      </c>
      <c r="J535" s="262" t="str">
        <f ca="1">IF(OFFSET('IWP23'!BackgroundChecks, 12, 10, 1, 1) = 0, "", OFFSET('IWP23'!BackgroundChecks, 12, 10, 1, 1))</f>
        <v/>
      </c>
      <c r="K535" s="262" t="str">
        <f ca="1">IF(OFFSET('IWP23'!BackgroundChecks, 12, 11, 1, 1) = 0, "", OFFSET('IWP23'!BackgroundChecks, 12, 11, 1, 1))</f>
        <v/>
      </c>
      <c r="L535" s="262" t="str">
        <f ca="1">IF(OFFSET('IWP23'!BackgroundChecks, 12, 12, 1, 1) = 0, "", OFFSET('IWP23'!BackgroundChecks, 12, 12, 1, 1))</f>
        <v/>
      </c>
      <c r="M535" s="262" t="str">
        <f ca="1">IF(OFFSET('IWP23'!BackgroundChecks, 12, 13, 1, 1) = 0, "", OFFSET('IWP23'!BackgroundChecks, 12, 13, 1, 1))</f>
        <v/>
      </c>
      <c r="N535" s="261"/>
    </row>
    <row r="536" spans="1:14" s="146" customFormat="1">
      <c r="A536" s="257" t="s">
        <v>521</v>
      </c>
      <c r="B536" s="262" t="str">
        <f ca="1">IF(OFFSET('IWP23'!BackgroundChecks, 13, 0, 1, 1) = 0, "", OFFSET('IWP23'!BackgroundChecks, 13, 0, 1, 1))</f>
        <v/>
      </c>
      <c r="C536" s="262" t="str">
        <f ca="1">IF(OFFSET('IWP23'!BackgroundChecks, 13, 2, 1, 1) = 0, "", OFFSET('IWP23'!BackgroundChecks, 13, 2, 1, 1))</f>
        <v/>
      </c>
      <c r="D536" s="262" t="str">
        <f ca="1">IF(OFFSET('IWP23'!BackgroundChecks, 13, 4, 1, 1) = 0, "", OFFSET('IWP23'!BackgroundChecks, 13, 4, 1, 1))</f>
        <v/>
      </c>
      <c r="E536" s="254">
        <f ca="1">IF(OFFSET('IWP23'!BackgroundChecks, 13, 5, 1, 1)=DATE(1900,1,0), DATE(1900,1,1), OFFSET('IWP23'!BackgroundChecks, 13, 5, 1, 1))</f>
        <v>1</v>
      </c>
      <c r="F536" s="262" t="str">
        <f ca="1">IF(OFFSET('IWP23'!BackgroundChecks, 13, 6, 1, 1) = 0, "", OFFSET('IWP23'!BackgroundChecks, 13, 6, 1, 1))</f>
        <v/>
      </c>
      <c r="G536" s="254">
        <f ca="1">IF(OFFSET('IWP23'!BackgroundChecks, 13, 7, 1, 1)=DATE(1900,1,0), DATE(1900,1,1), OFFSET('IWP23'!BackgroundChecks, 13, 7, 1, 1))</f>
        <v>1</v>
      </c>
      <c r="H536" s="254">
        <f ca="1">IF(OFFSET('IWP23'!BackgroundChecks, 13, 8, 1, 1)=DATE(1900,1,0), DATE(1900,1,1), OFFSET('IWP23'!BackgroundChecks, 13, 8, 1, 1))</f>
        <v>1</v>
      </c>
      <c r="I536" s="262" t="str">
        <f ca="1">IF(OFFSET('IWP23'!BackgroundChecks, 13, 9, 1, 1) = 0, "", OFFSET('IWP23'!BackgroundChecks, 13, 9, 1, 1))</f>
        <v/>
      </c>
      <c r="J536" s="262" t="str">
        <f ca="1">IF(OFFSET('IWP23'!BackgroundChecks, 13, 10, 1, 1) = 0, "", OFFSET('IWP23'!BackgroundChecks, 13, 10, 1, 1))</f>
        <v/>
      </c>
      <c r="K536" s="262" t="str">
        <f ca="1">IF(OFFSET('IWP23'!BackgroundChecks, 13, 11, 1, 1) = 0, "", OFFSET('IWP23'!BackgroundChecks, 13, 11, 1, 1))</f>
        <v/>
      </c>
      <c r="L536" s="262" t="str">
        <f ca="1">IF(OFFSET('IWP23'!BackgroundChecks, 13, 12, 1, 1) = 0, "", OFFSET('IWP23'!BackgroundChecks, 13, 12, 1, 1))</f>
        <v/>
      </c>
      <c r="M536" s="262" t="str">
        <f ca="1">IF(OFFSET('IWP23'!BackgroundChecks, 13, 13, 1, 1) = 0, "", OFFSET('IWP23'!BackgroundChecks, 13, 13, 1, 1))</f>
        <v/>
      </c>
      <c r="N536" s="261"/>
    </row>
    <row r="537" spans="1:14" s="146" customFormat="1">
      <c r="A537" s="257" t="s">
        <v>521</v>
      </c>
      <c r="B537" s="262" t="str">
        <f ca="1">IF(OFFSET('IWP23'!BackgroundChecks, 14, 0, 1, 1) = 0, "", OFFSET('IWP23'!BackgroundChecks, 14, 0, 1, 1))</f>
        <v/>
      </c>
      <c r="C537" s="262" t="str">
        <f ca="1">IF(OFFSET('IWP23'!BackgroundChecks, 14, 2, 1, 1) = 0, "", OFFSET('IWP23'!BackgroundChecks, 14, 2, 1, 1))</f>
        <v/>
      </c>
      <c r="D537" s="262" t="str">
        <f ca="1">IF(OFFSET('IWP23'!BackgroundChecks, 14, 4, 1, 1) = 0, "", OFFSET('IWP23'!BackgroundChecks, 14, 4, 1, 1))</f>
        <v/>
      </c>
      <c r="E537" s="254">
        <f ca="1">IF(OFFSET('IWP23'!BackgroundChecks, 14, 5, 1, 1)=DATE(1900,1,0), DATE(1900,1,1), OFFSET('IWP23'!BackgroundChecks, 14, 5, 1, 1))</f>
        <v>1</v>
      </c>
      <c r="F537" s="262" t="str">
        <f ca="1">IF(OFFSET('IWP23'!BackgroundChecks, 14, 6, 1, 1) = 0, "", OFFSET('IWP23'!BackgroundChecks, 14, 6, 1, 1))</f>
        <v/>
      </c>
      <c r="G537" s="254">
        <f ca="1">IF(OFFSET('IWP23'!BackgroundChecks, 14, 7, 1, 1)=DATE(1900,1,0), DATE(1900,1,1), OFFSET('IWP23'!BackgroundChecks, 14, 7, 1, 1))</f>
        <v>1</v>
      </c>
      <c r="H537" s="254">
        <f ca="1">IF(OFFSET('IWP23'!BackgroundChecks, 14, 8, 1, 1)=DATE(1900,1,0), DATE(1900,1,1), OFFSET('IWP23'!BackgroundChecks, 14, 8, 1, 1))</f>
        <v>1</v>
      </c>
      <c r="I537" s="262" t="str">
        <f ca="1">IF(OFFSET('IWP23'!BackgroundChecks, 14, 9, 1, 1) = 0, "", OFFSET('IWP23'!BackgroundChecks, 14, 9, 1, 1))</f>
        <v/>
      </c>
      <c r="J537" s="262" t="str">
        <f ca="1">IF(OFFSET('IWP23'!BackgroundChecks, 14, 10, 1, 1) = 0, "", OFFSET('IWP23'!BackgroundChecks, 14, 10, 1, 1))</f>
        <v/>
      </c>
      <c r="K537" s="262" t="str">
        <f ca="1">IF(OFFSET('IWP23'!BackgroundChecks, 14, 11, 1, 1) = 0, "", OFFSET('IWP23'!BackgroundChecks, 14, 11, 1, 1))</f>
        <v/>
      </c>
      <c r="L537" s="262" t="str">
        <f ca="1">IF(OFFSET('IWP23'!BackgroundChecks, 14, 12, 1, 1) = 0, "", OFFSET('IWP23'!BackgroundChecks, 14, 12, 1, 1))</f>
        <v/>
      </c>
      <c r="M537" s="262" t="str">
        <f ca="1">IF(OFFSET('IWP23'!BackgroundChecks, 14, 13, 1, 1) = 0, "", OFFSET('IWP23'!BackgroundChecks, 14, 13, 1, 1))</f>
        <v/>
      </c>
      <c r="N537" s="261"/>
    </row>
    <row r="538" spans="1:14" s="146" customFormat="1">
      <c r="A538" s="257" t="s">
        <v>521</v>
      </c>
      <c r="B538" s="262" t="str">
        <f ca="1">IF(OFFSET('IWP23'!BackgroundChecks, 15, 0, 1, 1) = 0, "", OFFSET('IWP23'!BackgroundChecks, 15, 0, 1, 1))</f>
        <v/>
      </c>
      <c r="C538" s="262" t="str">
        <f ca="1">IF(OFFSET('IWP23'!BackgroundChecks, 15, 2, 1, 1) = 0, "", OFFSET('IWP23'!BackgroundChecks, 15, 2, 1, 1))</f>
        <v/>
      </c>
      <c r="D538" s="262" t="str">
        <f ca="1">IF(OFFSET('IWP23'!BackgroundChecks, 15, 4, 1, 1) = 0, "", OFFSET('IWP23'!BackgroundChecks, 15, 4, 1, 1))</f>
        <v/>
      </c>
      <c r="E538" s="254">
        <f ca="1">IF(OFFSET('IWP23'!BackgroundChecks, 15, 5, 1, 1)=DATE(1900,1,0), DATE(1900,1,1), OFFSET('IWP23'!BackgroundChecks, 15, 5, 1, 1))</f>
        <v>1</v>
      </c>
      <c r="F538" s="262" t="str">
        <f ca="1">IF(OFFSET('IWP23'!BackgroundChecks, 15, 6, 1, 1) = 0, "", OFFSET('IWP23'!BackgroundChecks, 15, 6, 1, 1))</f>
        <v/>
      </c>
      <c r="G538" s="254">
        <f ca="1">IF(OFFSET('IWP23'!BackgroundChecks, 15, 7, 1, 1)=DATE(1900,1,0), DATE(1900,1,1), OFFSET('IWP23'!BackgroundChecks, 15, 7, 1, 1))</f>
        <v>1</v>
      </c>
      <c r="H538" s="254">
        <f ca="1">IF(OFFSET('IWP23'!BackgroundChecks, 15, 8, 1, 1)=DATE(1900,1,0), DATE(1900,1,1), OFFSET('IWP23'!BackgroundChecks, 15, 8, 1, 1))</f>
        <v>1</v>
      </c>
      <c r="I538" s="262" t="str">
        <f ca="1">IF(OFFSET('IWP23'!BackgroundChecks, 15, 9, 1, 1) = 0, "", OFFSET('IWP23'!BackgroundChecks, 15, 9, 1, 1))</f>
        <v/>
      </c>
      <c r="J538" s="262" t="str">
        <f ca="1">IF(OFFSET('IWP23'!BackgroundChecks, 15, 10, 1, 1) = 0, "", OFFSET('IWP23'!BackgroundChecks, 15, 10, 1, 1))</f>
        <v/>
      </c>
      <c r="K538" s="262" t="str">
        <f ca="1">IF(OFFSET('IWP23'!BackgroundChecks, 15, 11, 1, 1) = 0, "", OFFSET('IWP23'!BackgroundChecks, 15, 11, 1, 1))</f>
        <v/>
      </c>
      <c r="L538" s="262" t="str">
        <f ca="1">IF(OFFSET('IWP23'!BackgroundChecks, 15, 12, 1, 1) = 0, "", OFFSET('IWP23'!BackgroundChecks, 15, 12, 1, 1))</f>
        <v/>
      </c>
      <c r="M538" s="262" t="str">
        <f ca="1">IF(OFFSET('IWP23'!BackgroundChecks, 15, 13, 1, 1) = 0, "", OFFSET('IWP23'!BackgroundChecks, 15, 13, 1, 1))</f>
        <v/>
      </c>
      <c r="N538" s="261"/>
    </row>
    <row r="539" spans="1:14" s="146" customFormat="1">
      <c r="A539" s="257" t="s">
        <v>521</v>
      </c>
      <c r="B539" s="262" t="str">
        <f ca="1">IF(OFFSET('IWP23'!BackgroundChecks, 16, 0, 1, 1) = 0, "", OFFSET('IWP23'!BackgroundChecks, 16, 0, 1, 1))</f>
        <v/>
      </c>
      <c r="C539" s="262" t="str">
        <f ca="1">IF(OFFSET('IWP23'!BackgroundChecks, 16, 2, 1, 1) = 0, "", OFFSET('IWP23'!BackgroundChecks, 16, 2, 1, 1))</f>
        <v/>
      </c>
      <c r="D539" s="262" t="str">
        <f ca="1">IF(OFFSET('IWP23'!BackgroundChecks, 16, 4, 1, 1) = 0, "", OFFSET('IWP23'!BackgroundChecks, 16, 4, 1, 1))</f>
        <v/>
      </c>
      <c r="E539" s="254">
        <f ca="1">IF(OFFSET('IWP23'!BackgroundChecks, 16, 5, 1, 1)=DATE(1900,1,0), DATE(1900,1,1), OFFSET('IWP23'!BackgroundChecks, 16, 5, 1, 1))</f>
        <v>1</v>
      </c>
      <c r="F539" s="262" t="str">
        <f ca="1">IF(OFFSET('IWP23'!BackgroundChecks, 16, 6, 1, 1) = 0, "", OFFSET('IWP23'!BackgroundChecks, 16, 6, 1, 1))</f>
        <v/>
      </c>
      <c r="G539" s="254">
        <f ca="1">IF(OFFSET('IWP23'!BackgroundChecks, 16, 7, 1, 1)=DATE(1900,1,0), DATE(1900,1,1), OFFSET('IWP23'!BackgroundChecks, 16, 7, 1, 1))</f>
        <v>1</v>
      </c>
      <c r="H539" s="254">
        <f ca="1">IF(OFFSET('IWP23'!BackgroundChecks, 16, 8, 1, 1)=DATE(1900,1,0), DATE(1900,1,1), OFFSET('IWP23'!BackgroundChecks, 16, 8, 1, 1))</f>
        <v>1</v>
      </c>
      <c r="I539" s="262" t="str">
        <f ca="1">IF(OFFSET('IWP23'!BackgroundChecks, 16, 9, 1, 1) = 0, "", OFFSET('IWP23'!BackgroundChecks, 16, 9, 1, 1))</f>
        <v/>
      </c>
      <c r="J539" s="262" t="str">
        <f ca="1">IF(OFFSET('IWP23'!BackgroundChecks, 16, 10, 1, 1) = 0, "", OFFSET('IWP23'!BackgroundChecks, 16, 10, 1, 1))</f>
        <v/>
      </c>
      <c r="K539" s="262" t="str">
        <f ca="1">IF(OFFSET('IWP23'!BackgroundChecks, 16, 11, 1, 1) = 0, "", OFFSET('IWP23'!BackgroundChecks, 16, 11, 1, 1))</f>
        <v/>
      </c>
      <c r="L539" s="262" t="str">
        <f ca="1">IF(OFFSET('IWP23'!BackgroundChecks, 16, 12, 1, 1) = 0, "", OFFSET('IWP23'!BackgroundChecks, 16, 12, 1, 1))</f>
        <v/>
      </c>
      <c r="M539" s="262" t="str">
        <f ca="1">IF(OFFSET('IWP23'!BackgroundChecks, 16, 13, 1, 1) = 0, "", OFFSET('IWP23'!BackgroundChecks, 16, 13, 1, 1))</f>
        <v/>
      </c>
      <c r="N539" s="261"/>
    </row>
    <row r="540" spans="1:14" s="146" customFormat="1">
      <c r="A540" s="257" t="s">
        <v>521</v>
      </c>
      <c r="B540" s="262" t="str">
        <f ca="1">IF(OFFSET('IWP23'!BackgroundChecks, 17, 0, 1, 1) = 0, "", OFFSET('IWP23'!BackgroundChecks, 17, 0, 1, 1))</f>
        <v/>
      </c>
      <c r="C540" s="262" t="str">
        <f ca="1">IF(OFFSET('IWP23'!BackgroundChecks, 17, 2, 1, 1) = 0, "", OFFSET('IWP23'!BackgroundChecks, 17, 2, 1, 1))</f>
        <v/>
      </c>
      <c r="D540" s="262" t="str">
        <f ca="1">IF(OFFSET('IWP23'!BackgroundChecks, 17, 4, 1, 1) = 0, "", OFFSET('IWP23'!BackgroundChecks, 17, 4, 1, 1))</f>
        <v/>
      </c>
      <c r="E540" s="254">
        <f ca="1">IF(OFFSET('IWP23'!BackgroundChecks, 17, 5, 1, 1)=DATE(1900,1,0), DATE(1900,1,1), OFFSET('IWP23'!BackgroundChecks, 17, 5, 1, 1))</f>
        <v>1</v>
      </c>
      <c r="F540" s="262" t="str">
        <f ca="1">IF(OFFSET('IWP23'!BackgroundChecks, 17, 6, 1, 1) = 0, "", OFFSET('IWP23'!BackgroundChecks, 17, 6, 1, 1))</f>
        <v/>
      </c>
      <c r="G540" s="254">
        <f ca="1">IF(OFFSET('IWP23'!BackgroundChecks, 17, 7, 1, 1)=DATE(1900,1,0), DATE(1900,1,1), OFFSET('IWP23'!BackgroundChecks, 17, 7, 1, 1))</f>
        <v>1</v>
      </c>
      <c r="H540" s="254">
        <f ca="1">IF(OFFSET('IWP23'!BackgroundChecks, 17, 8, 1, 1)=DATE(1900,1,0), DATE(1900,1,1), OFFSET('IWP23'!BackgroundChecks, 17, 8, 1, 1))</f>
        <v>1</v>
      </c>
      <c r="I540" s="262" t="str">
        <f ca="1">IF(OFFSET('IWP23'!BackgroundChecks, 17, 9, 1, 1) = 0, "", OFFSET('IWP23'!BackgroundChecks, 17, 9, 1, 1))</f>
        <v/>
      </c>
      <c r="J540" s="262" t="str">
        <f ca="1">IF(OFFSET('IWP23'!BackgroundChecks, 17, 10, 1, 1) = 0, "", OFFSET('IWP23'!BackgroundChecks, 17, 10, 1, 1))</f>
        <v/>
      </c>
      <c r="K540" s="262" t="str">
        <f ca="1">IF(OFFSET('IWP23'!BackgroundChecks, 17, 11, 1, 1) = 0, "", OFFSET('IWP23'!BackgroundChecks, 17, 11, 1, 1))</f>
        <v/>
      </c>
      <c r="L540" s="262" t="str">
        <f ca="1">IF(OFFSET('IWP23'!BackgroundChecks, 17, 12, 1, 1) = 0, "", OFFSET('IWP23'!BackgroundChecks, 17, 12, 1, 1))</f>
        <v/>
      </c>
      <c r="M540" s="262" t="str">
        <f ca="1">IF(OFFSET('IWP23'!BackgroundChecks, 17, 13, 1, 1) = 0, "", OFFSET('IWP23'!BackgroundChecks, 17, 13, 1, 1))</f>
        <v/>
      </c>
      <c r="N540" s="261"/>
    </row>
    <row r="541" spans="1:14" s="146" customFormat="1">
      <c r="A541" s="257" t="s">
        <v>521</v>
      </c>
      <c r="B541" s="262" t="str">
        <f ca="1">IF(OFFSET('IWP23'!BackgroundChecks, 18, 0, 1, 1) = 0, "", OFFSET('IWP23'!BackgroundChecks, 18, 0, 1, 1))</f>
        <v/>
      </c>
      <c r="C541" s="262" t="str">
        <f ca="1">IF(OFFSET('IWP23'!BackgroundChecks, 18, 2, 1, 1) = 0, "", OFFSET('IWP23'!BackgroundChecks, 18, 2, 1, 1))</f>
        <v/>
      </c>
      <c r="D541" s="262" t="str">
        <f ca="1">IF(OFFSET('IWP23'!BackgroundChecks, 18, 4, 1, 1) = 0, "", OFFSET('IWP23'!BackgroundChecks, 18, 4, 1, 1))</f>
        <v/>
      </c>
      <c r="E541" s="254">
        <f ca="1">IF(OFFSET('IWP23'!BackgroundChecks, 18, 5, 1, 1)=DATE(1900,1,0), DATE(1900,1,1), OFFSET('IWP23'!BackgroundChecks, 18, 5, 1, 1))</f>
        <v>1</v>
      </c>
      <c r="F541" s="262" t="str">
        <f ca="1">IF(OFFSET('IWP23'!BackgroundChecks, 18, 6, 1, 1) = 0, "", OFFSET('IWP23'!BackgroundChecks, 18, 6, 1, 1))</f>
        <v/>
      </c>
      <c r="G541" s="254">
        <f ca="1">IF(OFFSET('IWP23'!BackgroundChecks, 18, 7, 1, 1)=DATE(1900,1,0), DATE(1900,1,1), OFFSET('IWP23'!BackgroundChecks, 18, 7, 1, 1))</f>
        <v>1</v>
      </c>
      <c r="H541" s="254">
        <f ca="1">IF(OFFSET('IWP23'!BackgroundChecks, 18, 8, 1, 1)=DATE(1900,1,0), DATE(1900,1,1), OFFSET('IWP23'!BackgroundChecks, 18, 8, 1, 1))</f>
        <v>1</v>
      </c>
      <c r="I541" s="262" t="str">
        <f ca="1">IF(OFFSET('IWP23'!BackgroundChecks, 18, 9, 1, 1) = 0, "", OFFSET('IWP23'!BackgroundChecks, 18, 9, 1, 1))</f>
        <v/>
      </c>
      <c r="J541" s="262" t="str">
        <f ca="1">IF(OFFSET('IWP23'!BackgroundChecks, 18, 10, 1, 1) = 0, "", OFFSET('IWP23'!BackgroundChecks, 18, 10, 1, 1))</f>
        <v/>
      </c>
      <c r="K541" s="262" t="str">
        <f ca="1">IF(OFFSET('IWP23'!BackgroundChecks, 18, 11, 1, 1) = 0, "", OFFSET('IWP23'!BackgroundChecks, 18, 11, 1, 1))</f>
        <v/>
      </c>
      <c r="L541" s="262" t="str">
        <f ca="1">IF(OFFSET('IWP23'!BackgroundChecks, 18, 12, 1, 1) = 0, "", OFFSET('IWP23'!BackgroundChecks, 18, 12, 1, 1))</f>
        <v/>
      </c>
      <c r="M541" s="262" t="str">
        <f ca="1">IF(OFFSET('IWP23'!BackgroundChecks, 18, 13, 1, 1) = 0, "", OFFSET('IWP23'!BackgroundChecks, 18, 13, 1, 1))</f>
        <v/>
      </c>
      <c r="N541" s="261"/>
    </row>
    <row r="542" spans="1:14" s="146" customFormat="1">
      <c r="A542" s="257" t="s">
        <v>521</v>
      </c>
      <c r="B542" s="262" t="str">
        <f ca="1">IF(OFFSET('IWP23'!BackgroundChecks, 19, 0, 1, 1) = 0, "", OFFSET('IWP23'!BackgroundChecks, 19, 0, 1, 1))</f>
        <v/>
      </c>
      <c r="C542" s="262" t="str">
        <f ca="1">IF(OFFSET('IWP23'!BackgroundChecks, 19, 2, 1, 1) = 0, "", OFFSET('IWP23'!BackgroundChecks, 19, 2, 1, 1))</f>
        <v/>
      </c>
      <c r="D542" s="262" t="str">
        <f ca="1">IF(OFFSET('IWP23'!BackgroundChecks, 19, 4, 1, 1) = 0, "", OFFSET('IWP23'!BackgroundChecks, 19, 4, 1, 1))</f>
        <v/>
      </c>
      <c r="E542" s="254">
        <f ca="1">IF(OFFSET('IWP23'!BackgroundChecks, 19, 5, 1, 1)=DATE(1900,1,0), DATE(1900,1,1), OFFSET('IWP23'!BackgroundChecks, 19, 5, 1, 1))</f>
        <v>1</v>
      </c>
      <c r="F542" s="262" t="str">
        <f ca="1">IF(OFFSET('IWP23'!BackgroundChecks, 19, 6, 1, 1) = 0, "", OFFSET('IWP23'!BackgroundChecks, 19, 6, 1, 1))</f>
        <v/>
      </c>
      <c r="G542" s="254">
        <f ca="1">IF(OFFSET('IWP23'!BackgroundChecks, 19, 7, 1, 1)=DATE(1900,1,0), DATE(1900,1,1), OFFSET('IWP23'!BackgroundChecks, 19, 7, 1, 1))</f>
        <v>1</v>
      </c>
      <c r="H542" s="254">
        <f ca="1">IF(OFFSET('IWP23'!BackgroundChecks, 19, 8, 1, 1)=DATE(1900,1,0), DATE(1900,1,1), OFFSET('IWP23'!BackgroundChecks, 19, 8, 1, 1))</f>
        <v>1</v>
      </c>
      <c r="I542" s="262" t="str">
        <f ca="1">IF(OFFSET('IWP23'!BackgroundChecks, 19, 9, 1, 1) = 0, "", OFFSET('IWP23'!BackgroundChecks, 19, 9, 1, 1))</f>
        <v/>
      </c>
      <c r="J542" s="262" t="str">
        <f ca="1">IF(OFFSET('IWP23'!BackgroundChecks, 19, 10, 1, 1) = 0, "", OFFSET('IWP23'!BackgroundChecks, 19, 10, 1, 1))</f>
        <v/>
      </c>
      <c r="K542" s="262" t="str">
        <f ca="1">IF(OFFSET('IWP23'!BackgroundChecks, 19, 11, 1, 1) = 0, "", OFFSET('IWP23'!BackgroundChecks, 19, 11, 1, 1))</f>
        <v/>
      </c>
      <c r="L542" s="262" t="str">
        <f ca="1">IF(OFFSET('IWP23'!BackgroundChecks, 19, 12, 1, 1) = 0, "", OFFSET('IWP23'!BackgroundChecks, 19, 12, 1, 1))</f>
        <v/>
      </c>
      <c r="M542" s="262" t="str">
        <f ca="1">IF(OFFSET('IWP23'!BackgroundChecks, 19, 13, 1, 1) = 0, "", OFFSET('IWP23'!BackgroundChecks, 19, 13, 1, 1))</f>
        <v/>
      </c>
      <c r="N542" s="261"/>
    </row>
    <row r="543" spans="1:14" s="146" customFormat="1">
      <c r="A543" s="257" t="s">
        <v>522</v>
      </c>
      <c r="B543" s="262" t="str">
        <f ca="1">IF(OFFSET('IWP24'!BackgroundChecks, 0, 0, 1, 1) = 0, "", OFFSET('IWP24'!BackgroundChecks, 0, 0, 1, 1))</f>
        <v/>
      </c>
      <c r="C543" s="262" t="str">
        <f ca="1">IF(OFFSET('IWP24'!BackgroundChecks, 0, 2, 1, 1) = 0, "", OFFSET('IWP24'!BackgroundChecks, 0, 2, 1, 1))</f>
        <v/>
      </c>
      <c r="D543" s="262" t="str">
        <f ca="1">IF(OFFSET('IWP24'!BackgroundChecks, 0, 4, 1, 1) = 0, "", OFFSET('IWP24'!BackgroundChecks, 0, 4, 1, 1))</f>
        <v/>
      </c>
      <c r="E543" s="254">
        <f ca="1">IF(OFFSET('IWP24'!BackgroundChecks, 0, 5, 1, 1)=DATE(1900,1,0), DATE(1900,1,1), OFFSET('IWP24'!BackgroundChecks, 0, 5, 1, 1))</f>
        <v>1</v>
      </c>
      <c r="F543" s="262" t="str">
        <f ca="1">IF(OFFSET('IWP24'!BackgroundChecks, 0, 6, 1, 1) = 0, "", OFFSET('IWP24'!BackgroundChecks, 0, 6, 1, 1))</f>
        <v/>
      </c>
      <c r="G543" s="254">
        <f ca="1">IF(OFFSET('IWP24'!BackgroundChecks, 0, 7, 1, 1)=DATE(1900,1,0), DATE(1900,1,1), OFFSET('IWP24'!BackgroundChecks, 0, 7, 1, 1))</f>
        <v>1</v>
      </c>
      <c r="H543" s="254">
        <f ca="1">IF(OFFSET('IWP24'!BackgroundChecks, 0, 8, 1, 1)=DATE(1900,1,0), DATE(1900,1,1), OFFSET('IWP24'!BackgroundChecks, 0, 8, 1, 1))</f>
        <v>1</v>
      </c>
      <c r="I543" s="262" t="str">
        <f ca="1">IF(OFFSET('IWP24'!BackgroundChecks, 0, 9, 1, 1) = 0, "", OFFSET('IWP24'!BackgroundChecks, 0, 9, 1, 1))</f>
        <v/>
      </c>
      <c r="J543" s="262" t="str">
        <f ca="1">IF(OFFSET('IWP24'!BackgroundChecks, 0, 10, 1, 1) = 0, "", OFFSET('IWP24'!BackgroundChecks, 0, 10, 1, 1))</f>
        <v/>
      </c>
      <c r="K543" s="262" t="str">
        <f ca="1">IF(OFFSET('IWP24'!BackgroundChecks, 0, 11, 1, 1) = 0, "", OFFSET('IWP24'!BackgroundChecks, 0, 11, 1, 1))</f>
        <v/>
      </c>
      <c r="L543" s="262" t="str">
        <f ca="1">IF(OFFSET('IWP24'!BackgroundChecks, 0, 12, 1, 1) = 0, "", OFFSET('IWP24'!BackgroundChecks, 0, 12, 1, 1))</f>
        <v/>
      </c>
      <c r="M543" s="262" t="str">
        <f ca="1">IF(OFFSET('IWP24'!BackgroundChecks, 0, 13, 1, 1) = 0, "", OFFSET('IWP24'!BackgroundChecks, 0, 13, 1, 1))</f>
        <v/>
      </c>
      <c r="N543" s="261"/>
    </row>
    <row r="544" spans="1:14" s="146" customFormat="1">
      <c r="A544" s="257" t="s">
        <v>522</v>
      </c>
      <c r="B544" s="262" t="str">
        <f ca="1">IF(OFFSET('IWP24'!BackgroundChecks, 1, 0, 1, 1) = 0, "", OFFSET('IWP24'!BackgroundChecks, 1, 0, 1, 1))</f>
        <v/>
      </c>
      <c r="C544" s="262" t="str">
        <f ca="1">IF(OFFSET('IWP24'!BackgroundChecks, 1, 2, 1, 1) = 0, "", OFFSET('IWP24'!BackgroundChecks, 1, 2, 1, 1))</f>
        <v/>
      </c>
      <c r="D544" s="262" t="str">
        <f ca="1">IF(OFFSET('IWP24'!BackgroundChecks, 1, 4, 1, 1) = 0, "", OFFSET('IWP24'!BackgroundChecks, 1, 4, 1, 1))</f>
        <v/>
      </c>
      <c r="E544" s="254">
        <f ca="1">IF(OFFSET('IWP24'!BackgroundChecks, 1, 5, 1, 1)=DATE(1900,1,0), DATE(1900,1,1), OFFSET('IWP24'!BackgroundChecks, 1, 5, 1, 1))</f>
        <v>1</v>
      </c>
      <c r="F544" s="262" t="str">
        <f ca="1">IF(OFFSET('IWP24'!BackgroundChecks, 1, 6, 1, 1) = 0, "", OFFSET('IWP24'!BackgroundChecks, 1, 6, 1, 1))</f>
        <v/>
      </c>
      <c r="G544" s="254">
        <f ca="1">IF(OFFSET('IWP24'!BackgroundChecks, 1, 7, 1, 1)=DATE(1900,1,0), DATE(1900,1,1), OFFSET('IWP24'!BackgroundChecks, 1, 7, 1, 1))</f>
        <v>1</v>
      </c>
      <c r="H544" s="254">
        <f ca="1">IF(OFFSET('IWP24'!BackgroundChecks, 1, 8, 1, 1)=DATE(1900,1,0), DATE(1900,1,1), OFFSET('IWP24'!BackgroundChecks, 1, 8, 1, 1))</f>
        <v>1</v>
      </c>
      <c r="I544" s="262" t="str">
        <f ca="1">IF(OFFSET('IWP24'!BackgroundChecks, 1, 9, 1, 1) = 0, "", OFFSET('IWP24'!BackgroundChecks, 1, 9, 1, 1))</f>
        <v/>
      </c>
      <c r="J544" s="262" t="str">
        <f ca="1">IF(OFFSET('IWP24'!BackgroundChecks, 1, 10, 1, 1) = 0, "", OFFSET('IWP24'!BackgroundChecks, 1, 10, 1, 1))</f>
        <v/>
      </c>
      <c r="K544" s="262" t="str">
        <f ca="1">IF(OFFSET('IWP24'!BackgroundChecks, 1, 11, 1, 1) = 0, "", OFFSET('IWP24'!BackgroundChecks, 1, 11, 1, 1))</f>
        <v/>
      </c>
      <c r="L544" s="262" t="str">
        <f ca="1">IF(OFFSET('IWP24'!BackgroundChecks, 1, 12, 1, 1) = 0, "", OFFSET('IWP24'!BackgroundChecks, 1, 12, 1, 1))</f>
        <v/>
      </c>
      <c r="M544" s="262" t="str">
        <f ca="1">IF(OFFSET('IWP24'!BackgroundChecks, 1, 13, 1, 1) = 0, "", OFFSET('IWP24'!BackgroundChecks, 1, 13, 1, 1))</f>
        <v/>
      </c>
      <c r="N544" s="261"/>
    </row>
    <row r="545" spans="1:14" s="146" customFormat="1">
      <c r="A545" s="257" t="s">
        <v>522</v>
      </c>
      <c r="B545" s="262" t="str">
        <f ca="1">IF(OFFSET('IWP24'!BackgroundChecks, 2, 0, 1, 1) = 0, "", OFFSET('IWP24'!BackgroundChecks, 2, 0, 1, 1))</f>
        <v/>
      </c>
      <c r="C545" s="262" t="str">
        <f ca="1">IF(OFFSET('IWP24'!BackgroundChecks, 2, 2, 1, 1) = 0, "", OFFSET('IWP24'!BackgroundChecks, 2, 2, 1, 1))</f>
        <v/>
      </c>
      <c r="D545" s="262" t="str">
        <f ca="1">IF(OFFSET('IWP24'!BackgroundChecks, 2, 4, 1, 1) = 0, "", OFFSET('IWP24'!BackgroundChecks, 2, 4, 1, 1))</f>
        <v/>
      </c>
      <c r="E545" s="254">
        <f ca="1">IF(OFFSET('IWP24'!BackgroundChecks, 2, 5, 1, 1)=DATE(1900,1,0), DATE(1900,1,1), OFFSET('IWP24'!BackgroundChecks, 2, 5, 1, 1))</f>
        <v>1</v>
      </c>
      <c r="F545" s="262" t="str">
        <f ca="1">IF(OFFSET('IWP24'!BackgroundChecks, 2, 6, 1, 1) = 0, "", OFFSET('IWP24'!BackgroundChecks, 2, 6, 1, 1))</f>
        <v/>
      </c>
      <c r="G545" s="254">
        <f ca="1">IF(OFFSET('IWP24'!BackgroundChecks, 2, 7, 1, 1)=DATE(1900,1,0), DATE(1900,1,1), OFFSET('IWP24'!BackgroundChecks, 2, 7, 1, 1))</f>
        <v>1</v>
      </c>
      <c r="H545" s="254">
        <f ca="1">IF(OFFSET('IWP24'!BackgroundChecks, 2, 8, 1, 1)=DATE(1900,1,0), DATE(1900,1,1), OFFSET('IWP24'!BackgroundChecks, 2, 8, 1, 1))</f>
        <v>1</v>
      </c>
      <c r="I545" s="262" t="str">
        <f ca="1">IF(OFFSET('IWP24'!BackgroundChecks, 2, 9, 1, 1) = 0, "", OFFSET('IWP24'!BackgroundChecks, 2, 9, 1, 1))</f>
        <v/>
      </c>
      <c r="J545" s="262" t="str">
        <f ca="1">IF(OFFSET('IWP24'!BackgroundChecks, 2, 10, 1, 1) = 0, "", OFFSET('IWP24'!BackgroundChecks, 2, 10, 1, 1))</f>
        <v/>
      </c>
      <c r="K545" s="262" t="str">
        <f ca="1">IF(OFFSET('IWP24'!BackgroundChecks, 2, 11, 1, 1) = 0, "", OFFSET('IWP24'!BackgroundChecks, 2, 11, 1, 1))</f>
        <v/>
      </c>
      <c r="L545" s="262" t="str">
        <f ca="1">IF(OFFSET('IWP24'!BackgroundChecks, 2, 12, 1, 1) = 0, "", OFFSET('IWP24'!BackgroundChecks, 2, 12, 1, 1))</f>
        <v/>
      </c>
      <c r="M545" s="262" t="str">
        <f ca="1">IF(OFFSET('IWP24'!BackgroundChecks, 2, 13, 1, 1) = 0, "", OFFSET('IWP24'!BackgroundChecks, 2, 13, 1, 1))</f>
        <v/>
      </c>
      <c r="N545" s="261"/>
    </row>
    <row r="546" spans="1:14" s="146" customFormat="1">
      <c r="A546" s="257" t="s">
        <v>522</v>
      </c>
      <c r="B546" s="262" t="str">
        <f ca="1">IF(OFFSET('IWP24'!BackgroundChecks, 3, 0, 1, 1) = 0, "", OFFSET('IWP24'!BackgroundChecks, 3, 0, 1, 1))</f>
        <v/>
      </c>
      <c r="C546" s="262" t="str">
        <f ca="1">IF(OFFSET('IWP24'!BackgroundChecks, 3, 2, 1, 1) = 0, "", OFFSET('IWP24'!BackgroundChecks, 3, 2, 1, 1))</f>
        <v/>
      </c>
      <c r="D546" s="262" t="str">
        <f ca="1">IF(OFFSET('IWP24'!BackgroundChecks, 3, 4, 1, 1) = 0, "", OFFSET('IWP24'!BackgroundChecks, 3, 4, 1, 1))</f>
        <v/>
      </c>
      <c r="E546" s="254">
        <f ca="1">IF(OFFSET('IWP24'!BackgroundChecks, 3, 5, 1, 1)=DATE(1900,1,0), DATE(1900,1,1), OFFSET('IWP24'!BackgroundChecks, 3, 5, 1, 1))</f>
        <v>1</v>
      </c>
      <c r="F546" s="262" t="str">
        <f ca="1">IF(OFFSET('IWP24'!BackgroundChecks, 3, 6, 1, 1) = 0, "", OFFSET('IWP24'!BackgroundChecks, 3, 6, 1, 1))</f>
        <v/>
      </c>
      <c r="G546" s="254">
        <f ca="1">IF(OFFSET('IWP24'!BackgroundChecks, 3, 7, 1, 1)=DATE(1900,1,0), DATE(1900,1,1), OFFSET('IWP24'!BackgroundChecks, 3, 7, 1, 1))</f>
        <v>1</v>
      </c>
      <c r="H546" s="254">
        <f ca="1">IF(OFFSET('IWP24'!BackgroundChecks, 3, 8, 1, 1)=DATE(1900,1,0), DATE(1900,1,1), OFFSET('IWP24'!BackgroundChecks, 3, 8, 1, 1))</f>
        <v>1</v>
      </c>
      <c r="I546" s="262" t="str">
        <f ca="1">IF(OFFSET('IWP24'!BackgroundChecks, 3, 9, 1, 1) = 0, "", OFFSET('IWP24'!BackgroundChecks, 3, 9, 1, 1))</f>
        <v/>
      </c>
      <c r="J546" s="262" t="str">
        <f ca="1">IF(OFFSET('IWP24'!BackgroundChecks, 3, 10, 1, 1) = 0, "", OFFSET('IWP24'!BackgroundChecks, 3, 10, 1, 1))</f>
        <v/>
      </c>
      <c r="K546" s="262" t="str">
        <f ca="1">IF(OFFSET('IWP24'!BackgroundChecks, 3, 11, 1, 1) = 0, "", OFFSET('IWP24'!BackgroundChecks, 3, 11, 1, 1))</f>
        <v/>
      </c>
      <c r="L546" s="262" t="str">
        <f ca="1">IF(OFFSET('IWP24'!BackgroundChecks, 3, 12, 1, 1) = 0, "", OFFSET('IWP24'!BackgroundChecks, 3, 12, 1, 1))</f>
        <v/>
      </c>
      <c r="M546" s="262" t="str">
        <f ca="1">IF(OFFSET('IWP24'!BackgroundChecks, 3, 13, 1, 1) = 0, "", OFFSET('IWP24'!BackgroundChecks, 3, 13, 1, 1))</f>
        <v/>
      </c>
      <c r="N546" s="261"/>
    </row>
    <row r="547" spans="1:14" s="146" customFormat="1">
      <c r="A547" s="257" t="s">
        <v>522</v>
      </c>
      <c r="B547" s="262" t="str">
        <f ca="1">IF(OFFSET('IWP24'!BackgroundChecks, 4, 0, 1, 1) = 0, "", OFFSET('IWP24'!BackgroundChecks, 4, 0, 1, 1))</f>
        <v/>
      </c>
      <c r="C547" s="262" t="str">
        <f ca="1">IF(OFFSET('IWP24'!BackgroundChecks, 4, 2, 1, 1) = 0, "", OFFSET('IWP24'!BackgroundChecks, 4, 2, 1, 1))</f>
        <v/>
      </c>
      <c r="D547" s="262" t="str">
        <f ca="1">IF(OFFSET('IWP24'!BackgroundChecks, 4, 4, 1, 1) = 0, "", OFFSET('IWP24'!BackgroundChecks, 4, 4, 1, 1))</f>
        <v/>
      </c>
      <c r="E547" s="254">
        <f ca="1">IF(OFFSET('IWP24'!BackgroundChecks, 4, 5, 1, 1)=DATE(1900,1,0), DATE(1900,1,1), OFFSET('IWP24'!BackgroundChecks, 4, 5, 1, 1))</f>
        <v>1</v>
      </c>
      <c r="F547" s="262" t="str">
        <f ca="1">IF(OFFSET('IWP24'!BackgroundChecks, 4, 6, 1, 1) = 0, "", OFFSET('IWP24'!BackgroundChecks, 4, 6, 1, 1))</f>
        <v/>
      </c>
      <c r="G547" s="254">
        <f ca="1">IF(OFFSET('IWP24'!BackgroundChecks, 4, 7, 1, 1)=DATE(1900,1,0), DATE(1900,1,1), OFFSET('IWP24'!BackgroundChecks, 4, 7, 1, 1))</f>
        <v>1</v>
      </c>
      <c r="H547" s="254">
        <f ca="1">IF(OFFSET('IWP24'!BackgroundChecks, 4, 8, 1, 1)=DATE(1900,1,0), DATE(1900,1,1), OFFSET('IWP24'!BackgroundChecks, 4, 8, 1, 1))</f>
        <v>1</v>
      </c>
      <c r="I547" s="262" t="str">
        <f ca="1">IF(OFFSET('IWP24'!BackgroundChecks, 4, 9, 1, 1) = 0, "", OFFSET('IWP24'!BackgroundChecks, 4, 9, 1, 1))</f>
        <v/>
      </c>
      <c r="J547" s="262" t="str">
        <f ca="1">IF(OFFSET('IWP24'!BackgroundChecks, 4, 10, 1, 1) = 0, "", OFFSET('IWP24'!BackgroundChecks, 4, 10, 1, 1))</f>
        <v/>
      </c>
      <c r="K547" s="262" t="str">
        <f ca="1">IF(OFFSET('IWP24'!BackgroundChecks, 4, 11, 1, 1) = 0, "", OFFSET('IWP24'!BackgroundChecks, 4, 11, 1, 1))</f>
        <v/>
      </c>
      <c r="L547" s="262" t="str">
        <f ca="1">IF(OFFSET('IWP24'!BackgroundChecks, 4, 12, 1, 1) = 0, "", OFFSET('IWP24'!BackgroundChecks, 4, 12, 1, 1))</f>
        <v/>
      </c>
      <c r="M547" s="262" t="str">
        <f ca="1">IF(OFFSET('IWP24'!BackgroundChecks, 4, 13, 1, 1) = 0, "", OFFSET('IWP24'!BackgroundChecks, 4, 13, 1, 1))</f>
        <v/>
      </c>
      <c r="N547" s="261"/>
    </row>
    <row r="548" spans="1:14" s="146" customFormat="1">
      <c r="A548" s="257" t="s">
        <v>522</v>
      </c>
      <c r="B548" s="262" t="str">
        <f ca="1">IF(OFFSET('IWP24'!BackgroundChecks, 5, 0, 1, 1) = 0, "", OFFSET('IWP24'!BackgroundChecks, 5, 0, 1, 1))</f>
        <v/>
      </c>
      <c r="C548" s="262" t="str">
        <f ca="1">IF(OFFSET('IWP24'!BackgroundChecks, 5, 2, 1, 1) = 0, "", OFFSET('IWP24'!BackgroundChecks, 5, 2, 1, 1))</f>
        <v/>
      </c>
      <c r="D548" s="262" t="str">
        <f ca="1">IF(OFFSET('IWP24'!BackgroundChecks, 5, 4, 1, 1) = 0, "", OFFSET('IWP24'!BackgroundChecks, 5, 4, 1, 1))</f>
        <v/>
      </c>
      <c r="E548" s="254">
        <f ca="1">IF(OFFSET('IWP24'!BackgroundChecks, 5, 5, 1, 1)=DATE(1900,1,0), DATE(1900,1,1), OFFSET('IWP24'!BackgroundChecks, 5, 5, 1, 1))</f>
        <v>1</v>
      </c>
      <c r="F548" s="262" t="str">
        <f ca="1">IF(OFFSET('IWP24'!BackgroundChecks, 5, 6, 1, 1) = 0, "", OFFSET('IWP24'!BackgroundChecks, 5, 6, 1, 1))</f>
        <v/>
      </c>
      <c r="G548" s="254">
        <f ca="1">IF(OFFSET('IWP24'!BackgroundChecks, 5, 7, 1, 1)=DATE(1900,1,0), DATE(1900,1,1), OFFSET('IWP24'!BackgroundChecks, 5, 7, 1, 1))</f>
        <v>1</v>
      </c>
      <c r="H548" s="254">
        <f ca="1">IF(OFFSET('IWP24'!BackgroundChecks, 5, 8, 1, 1)=DATE(1900,1,0), DATE(1900,1,1), OFFSET('IWP24'!BackgroundChecks, 5, 8, 1, 1))</f>
        <v>1</v>
      </c>
      <c r="I548" s="262" t="str">
        <f ca="1">IF(OFFSET('IWP24'!BackgroundChecks, 5, 9, 1, 1) = 0, "", OFFSET('IWP24'!BackgroundChecks, 5, 9, 1, 1))</f>
        <v/>
      </c>
      <c r="J548" s="262" t="str">
        <f ca="1">IF(OFFSET('IWP24'!BackgroundChecks, 5, 10, 1, 1) = 0, "", OFFSET('IWP24'!BackgroundChecks, 5, 10, 1, 1))</f>
        <v/>
      </c>
      <c r="K548" s="262" t="str">
        <f ca="1">IF(OFFSET('IWP24'!BackgroundChecks, 5, 11, 1, 1) = 0, "", OFFSET('IWP24'!BackgroundChecks, 5, 11, 1, 1))</f>
        <v/>
      </c>
      <c r="L548" s="262" t="str">
        <f ca="1">IF(OFFSET('IWP24'!BackgroundChecks, 5, 12, 1, 1) = 0, "", OFFSET('IWP24'!BackgroundChecks, 5, 12, 1, 1))</f>
        <v/>
      </c>
      <c r="M548" s="262" t="str">
        <f ca="1">IF(OFFSET('IWP24'!BackgroundChecks, 5, 13, 1, 1) = 0, "", OFFSET('IWP24'!BackgroundChecks, 5, 13, 1, 1))</f>
        <v/>
      </c>
      <c r="N548" s="261"/>
    </row>
    <row r="549" spans="1:14" s="146" customFormat="1">
      <c r="A549" s="257" t="s">
        <v>522</v>
      </c>
      <c r="B549" s="262" t="str">
        <f ca="1">IF(OFFSET('IWP24'!BackgroundChecks, 6, 0, 1, 1) = 0, "", OFFSET('IWP24'!BackgroundChecks, 6, 0, 1, 1))</f>
        <v/>
      </c>
      <c r="C549" s="262" t="str">
        <f ca="1">IF(OFFSET('IWP24'!BackgroundChecks, 6, 2, 1, 1) = 0, "", OFFSET('IWP24'!BackgroundChecks, 6, 2, 1, 1))</f>
        <v/>
      </c>
      <c r="D549" s="262" t="str">
        <f ca="1">IF(OFFSET('IWP24'!BackgroundChecks, 6, 4, 1, 1) = 0, "", OFFSET('IWP24'!BackgroundChecks, 6, 4, 1, 1))</f>
        <v/>
      </c>
      <c r="E549" s="254">
        <f ca="1">IF(OFFSET('IWP24'!BackgroundChecks, 6, 5, 1, 1)=DATE(1900,1,0), DATE(1900,1,1), OFFSET('IWP24'!BackgroundChecks, 6, 5, 1, 1))</f>
        <v>1</v>
      </c>
      <c r="F549" s="262" t="str">
        <f ca="1">IF(OFFSET('IWP24'!BackgroundChecks, 6, 6, 1, 1) = 0, "", OFFSET('IWP24'!BackgroundChecks, 6, 6, 1, 1))</f>
        <v/>
      </c>
      <c r="G549" s="254">
        <f ca="1">IF(OFFSET('IWP24'!BackgroundChecks, 6, 7, 1, 1)=DATE(1900,1,0), DATE(1900,1,1), OFFSET('IWP24'!BackgroundChecks, 6, 7, 1, 1))</f>
        <v>1</v>
      </c>
      <c r="H549" s="254">
        <f ca="1">IF(OFFSET('IWP24'!BackgroundChecks, 6, 8, 1, 1)=DATE(1900,1,0), DATE(1900,1,1), OFFSET('IWP24'!BackgroundChecks, 6, 8, 1, 1))</f>
        <v>1</v>
      </c>
      <c r="I549" s="262" t="str">
        <f ca="1">IF(OFFSET('IWP24'!BackgroundChecks, 6, 9, 1, 1) = 0, "", OFFSET('IWP24'!BackgroundChecks, 6, 9, 1, 1))</f>
        <v/>
      </c>
      <c r="J549" s="262" t="str">
        <f ca="1">IF(OFFSET('IWP24'!BackgroundChecks, 6, 10, 1, 1) = 0, "", OFFSET('IWP24'!BackgroundChecks, 6, 10, 1, 1))</f>
        <v/>
      </c>
      <c r="K549" s="262" t="str">
        <f ca="1">IF(OFFSET('IWP24'!BackgroundChecks, 6, 11, 1, 1) = 0, "", OFFSET('IWP24'!BackgroundChecks, 6, 11, 1, 1))</f>
        <v/>
      </c>
      <c r="L549" s="262" t="str">
        <f ca="1">IF(OFFSET('IWP24'!BackgroundChecks, 6, 12, 1, 1) = 0, "", OFFSET('IWP24'!BackgroundChecks, 6, 12, 1, 1))</f>
        <v/>
      </c>
      <c r="M549" s="262" t="str">
        <f ca="1">IF(OFFSET('IWP24'!BackgroundChecks, 6, 13, 1, 1) = 0, "", OFFSET('IWP24'!BackgroundChecks, 6, 13, 1, 1))</f>
        <v/>
      </c>
      <c r="N549" s="261"/>
    </row>
    <row r="550" spans="1:14" s="146" customFormat="1">
      <c r="A550" s="257" t="s">
        <v>522</v>
      </c>
      <c r="B550" s="262" t="str">
        <f ca="1">IF(OFFSET('IWP24'!BackgroundChecks, 7, 0, 1, 1) = 0, "", OFFSET('IWP24'!BackgroundChecks, 7, 0, 1, 1))</f>
        <v/>
      </c>
      <c r="C550" s="262" t="str">
        <f ca="1">IF(OFFSET('IWP24'!BackgroundChecks, 7, 2, 1, 1) = 0, "", OFFSET('IWP24'!BackgroundChecks, 7, 2, 1, 1))</f>
        <v/>
      </c>
      <c r="D550" s="262" t="str">
        <f ca="1">IF(OFFSET('IWP24'!BackgroundChecks, 7, 4, 1, 1) = 0, "", OFFSET('IWP24'!BackgroundChecks, 7, 4, 1, 1))</f>
        <v/>
      </c>
      <c r="E550" s="254">
        <f ca="1">IF(OFFSET('IWP24'!BackgroundChecks, 7, 5, 1, 1)=DATE(1900,1,0), DATE(1900,1,1), OFFSET('IWP24'!BackgroundChecks, 7, 5, 1, 1))</f>
        <v>1</v>
      </c>
      <c r="F550" s="262" t="str">
        <f ca="1">IF(OFFSET('IWP24'!BackgroundChecks, 7, 6, 1, 1) = 0, "", OFFSET('IWP24'!BackgroundChecks, 7, 6, 1, 1))</f>
        <v/>
      </c>
      <c r="G550" s="254">
        <f ca="1">IF(OFFSET('IWP24'!BackgroundChecks, 7, 7, 1, 1)=DATE(1900,1,0), DATE(1900,1,1), OFFSET('IWP24'!BackgroundChecks, 7, 7, 1, 1))</f>
        <v>1</v>
      </c>
      <c r="H550" s="254">
        <f ca="1">IF(OFFSET('IWP24'!BackgroundChecks, 7, 8, 1, 1)=DATE(1900,1,0), DATE(1900,1,1), OFFSET('IWP24'!BackgroundChecks, 7, 8, 1, 1))</f>
        <v>1</v>
      </c>
      <c r="I550" s="262" t="str">
        <f ca="1">IF(OFFSET('IWP24'!BackgroundChecks, 7, 9, 1, 1) = 0, "", OFFSET('IWP24'!BackgroundChecks, 7, 9, 1, 1))</f>
        <v/>
      </c>
      <c r="J550" s="262" t="str">
        <f ca="1">IF(OFFSET('IWP24'!BackgroundChecks, 7, 10, 1, 1) = 0, "", OFFSET('IWP24'!BackgroundChecks, 7, 10, 1, 1))</f>
        <v/>
      </c>
      <c r="K550" s="262" t="str">
        <f ca="1">IF(OFFSET('IWP24'!BackgroundChecks, 7, 11, 1, 1) = 0, "", OFFSET('IWP24'!BackgroundChecks, 7, 11, 1, 1))</f>
        <v/>
      </c>
      <c r="L550" s="262" t="str">
        <f ca="1">IF(OFFSET('IWP24'!BackgroundChecks, 7, 12, 1, 1) = 0, "", OFFSET('IWP24'!BackgroundChecks, 7, 12, 1, 1))</f>
        <v/>
      </c>
      <c r="M550" s="262" t="str">
        <f ca="1">IF(OFFSET('IWP24'!BackgroundChecks, 7, 13, 1, 1) = 0, "", OFFSET('IWP24'!BackgroundChecks, 7, 13, 1, 1))</f>
        <v/>
      </c>
      <c r="N550" s="261"/>
    </row>
    <row r="551" spans="1:14" s="146" customFormat="1">
      <c r="A551" s="257" t="s">
        <v>522</v>
      </c>
      <c r="B551" s="262" t="str">
        <f ca="1">IF(OFFSET('IWP24'!BackgroundChecks, 8, 0, 1, 1) = 0, "", OFFSET('IWP24'!BackgroundChecks, 8, 0, 1, 1))</f>
        <v/>
      </c>
      <c r="C551" s="262" t="str">
        <f ca="1">IF(OFFSET('IWP24'!BackgroundChecks, 8, 2, 1, 1) = 0, "", OFFSET('IWP24'!BackgroundChecks, 8, 2, 1, 1))</f>
        <v/>
      </c>
      <c r="D551" s="262" t="str">
        <f ca="1">IF(OFFSET('IWP24'!BackgroundChecks, 8, 4, 1, 1) = 0, "", OFFSET('IWP24'!BackgroundChecks, 8, 4, 1, 1))</f>
        <v/>
      </c>
      <c r="E551" s="254">
        <f ca="1">IF(OFFSET('IWP24'!BackgroundChecks, 8, 5, 1, 1)=DATE(1900,1,0), DATE(1900,1,1), OFFSET('IWP24'!BackgroundChecks, 8, 5, 1, 1))</f>
        <v>1</v>
      </c>
      <c r="F551" s="262" t="str">
        <f ca="1">IF(OFFSET('IWP24'!BackgroundChecks, 8, 6, 1, 1) = 0, "", OFFSET('IWP24'!BackgroundChecks, 8, 6, 1, 1))</f>
        <v/>
      </c>
      <c r="G551" s="254">
        <f ca="1">IF(OFFSET('IWP24'!BackgroundChecks, 8, 7, 1, 1)=DATE(1900,1,0), DATE(1900,1,1), OFFSET('IWP24'!BackgroundChecks, 8, 7, 1, 1))</f>
        <v>1</v>
      </c>
      <c r="H551" s="254">
        <f ca="1">IF(OFFSET('IWP24'!BackgroundChecks, 8, 8, 1, 1)=DATE(1900,1,0), DATE(1900,1,1), OFFSET('IWP24'!BackgroundChecks, 8, 8, 1, 1))</f>
        <v>1</v>
      </c>
      <c r="I551" s="262" t="str">
        <f ca="1">IF(OFFSET('IWP24'!BackgroundChecks, 8, 9, 1, 1) = 0, "", OFFSET('IWP24'!BackgroundChecks, 8, 9, 1, 1))</f>
        <v/>
      </c>
      <c r="J551" s="262" t="str">
        <f ca="1">IF(OFFSET('IWP24'!BackgroundChecks, 8, 10, 1, 1) = 0, "", OFFSET('IWP24'!BackgroundChecks, 8, 10, 1, 1))</f>
        <v/>
      </c>
      <c r="K551" s="262" t="str">
        <f ca="1">IF(OFFSET('IWP24'!BackgroundChecks, 8, 11, 1, 1) = 0, "", OFFSET('IWP24'!BackgroundChecks, 8, 11, 1, 1))</f>
        <v/>
      </c>
      <c r="L551" s="262" t="str">
        <f ca="1">IF(OFFSET('IWP24'!BackgroundChecks, 8, 12, 1, 1) = 0, "", OFFSET('IWP24'!BackgroundChecks, 8, 12, 1, 1))</f>
        <v/>
      </c>
      <c r="M551" s="262" t="str">
        <f ca="1">IF(OFFSET('IWP24'!BackgroundChecks, 8, 13, 1, 1) = 0, "", OFFSET('IWP24'!BackgroundChecks, 8, 13, 1, 1))</f>
        <v/>
      </c>
      <c r="N551" s="261"/>
    </row>
    <row r="552" spans="1:14" s="146" customFormat="1">
      <c r="A552" s="257" t="s">
        <v>522</v>
      </c>
      <c r="B552" s="262" t="str">
        <f ca="1">IF(OFFSET('IWP24'!BackgroundChecks, 9, 0, 1, 1) = 0, "", OFFSET('IWP24'!BackgroundChecks, 9, 0, 1, 1))</f>
        <v/>
      </c>
      <c r="C552" s="262" t="str">
        <f ca="1">IF(OFFSET('IWP24'!BackgroundChecks, 9, 2, 1, 1) = 0, "", OFFSET('IWP24'!BackgroundChecks, 9, 2, 1, 1))</f>
        <v/>
      </c>
      <c r="D552" s="262" t="str">
        <f ca="1">IF(OFFSET('IWP24'!BackgroundChecks, 9, 4, 1, 1) = 0, "", OFFSET('IWP24'!BackgroundChecks, 9, 4, 1, 1))</f>
        <v/>
      </c>
      <c r="E552" s="254">
        <f ca="1">IF(OFFSET('IWP24'!BackgroundChecks, 9, 5, 1, 1)=DATE(1900,1,0), DATE(1900,1,1), OFFSET('IWP24'!BackgroundChecks, 9, 5, 1, 1))</f>
        <v>1</v>
      </c>
      <c r="F552" s="262" t="str">
        <f ca="1">IF(OFFSET('IWP24'!BackgroundChecks, 9, 6, 1, 1) = 0, "", OFFSET('IWP24'!BackgroundChecks, 9, 6, 1, 1))</f>
        <v/>
      </c>
      <c r="G552" s="254">
        <f ca="1">IF(OFFSET('IWP24'!BackgroundChecks, 9, 7, 1, 1)=DATE(1900,1,0), DATE(1900,1,1), OFFSET('IWP24'!BackgroundChecks, 9, 7, 1, 1))</f>
        <v>1</v>
      </c>
      <c r="H552" s="254">
        <f ca="1">IF(OFFSET('IWP24'!BackgroundChecks, 9, 8, 1, 1)=DATE(1900,1,0), DATE(1900,1,1), OFFSET('IWP24'!BackgroundChecks, 9, 8, 1, 1))</f>
        <v>1</v>
      </c>
      <c r="I552" s="262" t="str">
        <f ca="1">IF(OFFSET('IWP24'!BackgroundChecks, 9, 9, 1, 1) = 0, "", OFFSET('IWP24'!BackgroundChecks, 9, 9, 1, 1))</f>
        <v/>
      </c>
      <c r="J552" s="262" t="str">
        <f ca="1">IF(OFFSET('IWP24'!BackgroundChecks, 9, 10, 1, 1) = 0, "", OFFSET('IWP24'!BackgroundChecks, 9, 10, 1, 1))</f>
        <v/>
      </c>
      <c r="K552" s="262" t="str">
        <f ca="1">IF(OFFSET('IWP24'!BackgroundChecks, 9, 11, 1, 1) = 0, "", OFFSET('IWP24'!BackgroundChecks, 9, 11, 1, 1))</f>
        <v/>
      </c>
      <c r="L552" s="262" t="str">
        <f ca="1">IF(OFFSET('IWP24'!BackgroundChecks, 9, 12, 1, 1) = 0, "", OFFSET('IWP24'!BackgroundChecks, 9, 12, 1, 1))</f>
        <v/>
      </c>
      <c r="M552" s="262" t="str">
        <f ca="1">IF(OFFSET('IWP24'!BackgroundChecks, 9, 13, 1, 1) = 0, "", OFFSET('IWP24'!BackgroundChecks, 9, 13, 1, 1))</f>
        <v/>
      </c>
      <c r="N552" s="261"/>
    </row>
    <row r="553" spans="1:14" s="146" customFormat="1">
      <c r="A553" s="257" t="s">
        <v>522</v>
      </c>
      <c r="B553" s="262" t="str">
        <f ca="1">IF(OFFSET('IWP24'!BackgroundChecks, 10, 0, 1, 1) = 0, "", OFFSET('IWP24'!BackgroundChecks, 10, 0, 1, 1))</f>
        <v/>
      </c>
      <c r="C553" s="262" t="str">
        <f ca="1">IF(OFFSET('IWP24'!BackgroundChecks, 10, 2, 1, 1) = 0, "", OFFSET('IWP24'!BackgroundChecks, 10, 2, 1, 1))</f>
        <v/>
      </c>
      <c r="D553" s="262" t="str">
        <f ca="1">IF(OFFSET('IWP24'!BackgroundChecks, 10, 4, 1, 1) = 0, "", OFFSET('IWP24'!BackgroundChecks, 10, 4, 1, 1))</f>
        <v/>
      </c>
      <c r="E553" s="254">
        <f ca="1">IF(OFFSET('IWP24'!BackgroundChecks, 10, 5, 1, 1)=DATE(1900,1,0), DATE(1900,1,1), OFFSET('IWP24'!BackgroundChecks, 10, 5, 1, 1))</f>
        <v>1</v>
      </c>
      <c r="F553" s="262" t="str">
        <f ca="1">IF(OFFSET('IWP24'!BackgroundChecks, 10, 6, 1, 1) = 0, "", OFFSET('IWP24'!BackgroundChecks, 10, 6, 1, 1))</f>
        <v/>
      </c>
      <c r="G553" s="254">
        <f ca="1">IF(OFFSET('IWP24'!BackgroundChecks, 10, 7, 1, 1)=DATE(1900,1,0), DATE(1900,1,1), OFFSET('IWP24'!BackgroundChecks, 10, 7, 1, 1))</f>
        <v>1</v>
      </c>
      <c r="H553" s="254">
        <f ca="1">IF(OFFSET('IWP24'!BackgroundChecks, 10, 8, 1, 1)=DATE(1900,1,0), DATE(1900,1,1), OFFSET('IWP24'!BackgroundChecks, 10, 8, 1, 1))</f>
        <v>1</v>
      </c>
      <c r="I553" s="262" t="str">
        <f ca="1">IF(OFFSET('IWP24'!BackgroundChecks, 10, 9, 1, 1) = 0, "", OFFSET('IWP24'!BackgroundChecks, 10, 9, 1, 1))</f>
        <v/>
      </c>
      <c r="J553" s="262" t="str">
        <f ca="1">IF(OFFSET('IWP24'!BackgroundChecks, 10, 10, 1, 1) = 0, "", OFFSET('IWP24'!BackgroundChecks, 10, 10, 1, 1))</f>
        <v/>
      </c>
      <c r="K553" s="262" t="str">
        <f ca="1">IF(OFFSET('IWP24'!BackgroundChecks, 10, 11, 1, 1) = 0, "", OFFSET('IWP24'!BackgroundChecks, 10, 11, 1, 1))</f>
        <v/>
      </c>
      <c r="L553" s="262" t="str">
        <f ca="1">IF(OFFSET('IWP24'!BackgroundChecks, 10, 12, 1, 1) = 0, "", OFFSET('IWP24'!BackgroundChecks, 10, 12, 1, 1))</f>
        <v/>
      </c>
      <c r="M553" s="262" t="str">
        <f ca="1">IF(OFFSET('IWP24'!BackgroundChecks, 10, 13, 1, 1) = 0, "", OFFSET('IWP24'!BackgroundChecks, 10, 13, 1, 1))</f>
        <v/>
      </c>
      <c r="N553" s="261"/>
    </row>
    <row r="554" spans="1:14" s="146" customFormat="1">
      <c r="A554" s="257" t="s">
        <v>522</v>
      </c>
      <c r="B554" s="262" t="str">
        <f ca="1">IF(OFFSET('IWP24'!BackgroundChecks, 11, 0, 1, 1) = 0, "", OFFSET('IWP24'!BackgroundChecks, 11, 0, 1, 1))</f>
        <v/>
      </c>
      <c r="C554" s="262" t="str">
        <f ca="1">IF(OFFSET('IWP24'!BackgroundChecks, 11, 2, 1, 1) = 0, "", OFFSET('IWP24'!BackgroundChecks, 11, 2, 1, 1))</f>
        <v/>
      </c>
      <c r="D554" s="262" t="str">
        <f ca="1">IF(OFFSET('IWP24'!BackgroundChecks, 11, 4, 1, 1) = 0, "", OFFSET('IWP24'!BackgroundChecks, 11, 4, 1, 1))</f>
        <v/>
      </c>
      <c r="E554" s="254">
        <f ca="1">IF(OFFSET('IWP24'!BackgroundChecks, 11, 5, 1, 1)=DATE(1900,1,0), DATE(1900,1,1), OFFSET('IWP24'!BackgroundChecks, 11, 5, 1, 1))</f>
        <v>1</v>
      </c>
      <c r="F554" s="262" t="str">
        <f ca="1">IF(OFFSET('IWP24'!BackgroundChecks, 11, 6, 1, 1) = 0, "", OFFSET('IWP24'!BackgroundChecks, 11, 6, 1, 1))</f>
        <v/>
      </c>
      <c r="G554" s="254">
        <f ca="1">IF(OFFSET('IWP24'!BackgroundChecks, 11, 7, 1, 1)=DATE(1900,1,0), DATE(1900,1,1), OFFSET('IWP24'!BackgroundChecks, 11, 7, 1, 1))</f>
        <v>1</v>
      </c>
      <c r="H554" s="254">
        <f ca="1">IF(OFFSET('IWP24'!BackgroundChecks, 11, 8, 1, 1)=DATE(1900,1,0), DATE(1900,1,1), OFFSET('IWP24'!BackgroundChecks, 11, 8, 1, 1))</f>
        <v>1</v>
      </c>
      <c r="I554" s="262" t="str">
        <f ca="1">IF(OFFSET('IWP24'!BackgroundChecks, 11, 9, 1, 1) = 0, "", OFFSET('IWP24'!BackgroundChecks, 11, 9, 1, 1))</f>
        <v/>
      </c>
      <c r="J554" s="262" t="str">
        <f ca="1">IF(OFFSET('IWP24'!BackgroundChecks, 11, 10, 1, 1) = 0, "", OFFSET('IWP24'!BackgroundChecks, 11, 10, 1, 1))</f>
        <v/>
      </c>
      <c r="K554" s="262" t="str">
        <f ca="1">IF(OFFSET('IWP24'!BackgroundChecks, 11, 11, 1, 1) = 0, "", OFFSET('IWP24'!BackgroundChecks, 11, 11, 1, 1))</f>
        <v/>
      </c>
      <c r="L554" s="262" t="str">
        <f ca="1">IF(OFFSET('IWP24'!BackgroundChecks, 11, 12, 1, 1) = 0, "", OFFSET('IWP24'!BackgroundChecks, 11, 12, 1, 1))</f>
        <v/>
      </c>
      <c r="M554" s="262" t="str">
        <f ca="1">IF(OFFSET('IWP24'!BackgroundChecks, 11, 13, 1, 1) = 0, "", OFFSET('IWP24'!BackgroundChecks, 11, 13, 1, 1))</f>
        <v/>
      </c>
      <c r="N554" s="261"/>
    </row>
    <row r="555" spans="1:14" s="146" customFormat="1">
      <c r="A555" s="257" t="s">
        <v>522</v>
      </c>
      <c r="B555" s="262" t="str">
        <f ca="1">IF(OFFSET('IWP24'!BackgroundChecks, 12, 0, 1, 1) = 0, "", OFFSET('IWP24'!BackgroundChecks, 12, 0, 1, 1))</f>
        <v/>
      </c>
      <c r="C555" s="262" t="str">
        <f ca="1">IF(OFFSET('IWP24'!BackgroundChecks, 12, 2, 1, 1) = 0, "", OFFSET('IWP24'!BackgroundChecks, 12, 2, 1, 1))</f>
        <v/>
      </c>
      <c r="D555" s="262" t="str">
        <f ca="1">IF(OFFSET('IWP24'!BackgroundChecks, 12, 4, 1, 1) = 0, "", OFFSET('IWP24'!BackgroundChecks, 12, 4, 1, 1))</f>
        <v/>
      </c>
      <c r="E555" s="254">
        <f ca="1">IF(OFFSET('IWP24'!BackgroundChecks, 12, 5, 1, 1)=DATE(1900,1,0), DATE(1900,1,1), OFFSET('IWP24'!BackgroundChecks, 12, 5, 1, 1))</f>
        <v>1</v>
      </c>
      <c r="F555" s="262" t="str">
        <f ca="1">IF(OFFSET('IWP24'!BackgroundChecks, 12, 6, 1, 1) = 0, "", OFFSET('IWP24'!BackgroundChecks, 12, 6, 1, 1))</f>
        <v/>
      </c>
      <c r="G555" s="254">
        <f ca="1">IF(OFFSET('IWP24'!BackgroundChecks, 12, 7, 1, 1)=DATE(1900,1,0), DATE(1900,1,1), OFFSET('IWP24'!BackgroundChecks, 12, 7, 1, 1))</f>
        <v>1</v>
      </c>
      <c r="H555" s="254">
        <f ca="1">IF(OFFSET('IWP24'!BackgroundChecks, 12, 8, 1, 1)=DATE(1900,1,0), DATE(1900,1,1), OFFSET('IWP24'!BackgroundChecks, 12, 8, 1, 1))</f>
        <v>1</v>
      </c>
      <c r="I555" s="262" t="str">
        <f ca="1">IF(OFFSET('IWP24'!BackgroundChecks, 12, 9, 1, 1) = 0, "", OFFSET('IWP24'!BackgroundChecks, 12, 9, 1, 1))</f>
        <v/>
      </c>
      <c r="J555" s="262" t="str">
        <f ca="1">IF(OFFSET('IWP24'!BackgroundChecks, 12, 10, 1, 1) = 0, "", OFFSET('IWP24'!BackgroundChecks, 12, 10, 1, 1))</f>
        <v/>
      </c>
      <c r="K555" s="262" t="str">
        <f ca="1">IF(OFFSET('IWP24'!BackgroundChecks, 12, 11, 1, 1) = 0, "", OFFSET('IWP24'!BackgroundChecks, 12, 11, 1, 1))</f>
        <v/>
      </c>
      <c r="L555" s="262" t="str">
        <f ca="1">IF(OFFSET('IWP24'!BackgroundChecks, 12, 12, 1, 1) = 0, "", OFFSET('IWP24'!BackgroundChecks, 12, 12, 1, 1))</f>
        <v/>
      </c>
      <c r="M555" s="262" t="str">
        <f ca="1">IF(OFFSET('IWP24'!BackgroundChecks, 12, 13, 1, 1) = 0, "", OFFSET('IWP24'!BackgroundChecks, 12, 13, 1, 1))</f>
        <v/>
      </c>
      <c r="N555" s="261"/>
    </row>
    <row r="556" spans="1:14" s="146" customFormat="1">
      <c r="A556" s="257" t="s">
        <v>522</v>
      </c>
      <c r="B556" s="262" t="str">
        <f ca="1">IF(OFFSET('IWP24'!BackgroundChecks, 13, 0, 1, 1) = 0, "", OFFSET('IWP24'!BackgroundChecks, 13, 0, 1, 1))</f>
        <v/>
      </c>
      <c r="C556" s="262" t="str">
        <f ca="1">IF(OFFSET('IWP24'!BackgroundChecks, 13, 2, 1, 1) = 0, "", OFFSET('IWP24'!BackgroundChecks, 13, 2, 1, 1))</f>
        <v/>
      </c>
      <c r="D556" s="262" t="str">
        <f ca="1">IF(OFFSET('IWP24'!BackgroundChecks, 13, 4, 1, 1) = 0, "", OFFSET('IWP24'!BackgroundChecks, 13, 4, 1, 1))</f>
        <v/>
      </c>
      <c r="E556" s="254">
        <f ca="1">IF(OFFSET('IWP24'!BackgroundChecks, 13, 5, 1, 1)=DATE(1900,1,0), DATE(1900,1,1), OFFSET('IWP24'!BackgroundChecks, 13, 5, 1, 1))</f>
        <v>1</v>
      </c>
      <c r="F556" s="262" t="str">
        <f ca="1">IF(OFFSET('IWP24'!BackgroundChecks, 13, 6, 1, 1) = 0, "", OFFSET('IWP24'!BackgroundChecks, 13, 6, 1, 1))</f>
        <v/>
      </c>
      <c r="G556" s="254">
        <f ca="1">IF(OFFSET('IWP24'!BackgroundChecks, 13, 7, 1, 1)=DATE(1900,1,0), DATE(1900,1,1), OFFSET('IWP24'!BackgroundChecks, 13, 7, 1, 1))</f>
        <v>1</v>
      </c>
      <c r="H556" s="254">
        <f ca="1">IF(OFFSET('IWP24'!BackgroundChecks, 13, 8, 1, 1)=DATE(1900,1,0), DATE(1900,1,1), OFFSET('IWP24'!BackgroundChecks, 13, 8, 1, 1))</f>
        <v>1</v>
      </c>
      <c r="I556" s="262" t="str">
        <f ca="1">IF(OFFSET('IWP24'!BackgroundChecks, 13, 9, 1, 1) = 0, "", OFFSET('IWP24'!BackgroundChecks, 13, 9, 1, 1))</f>
        <v/>
      </c>
      <c r="J556" s="262" t="str">
        <f ca="1">IF(OFFSET('IWP24'!BackgroundChecks, 13, 10, 1, 1) = 0, "", OFFSET('IWP24'!BackgroundChecks, 13, 10, 1, 1))</f>
        <v/>
      </c>
      <c r="K556" s="262" t="str">
        <f ca="1">IF(OFFSET('IWP24'!BackgroundChecks, 13, 11, 1, 1) = 0, "", OFFSET('IWP24'!BackgroundChecks, 13, 11, 1, 1))</f>
        <v/>
      </c>
      <c r="L556" s="262" t="str">
        <f ca="1">IF(OFFSET('IWP24'!BackgroundChecks, 13, 12, 1, 1) = 0, "", OFFSET('IWP24'!BackgroundChecks, 13, 12, 1, 1))</f>
        <v/>
      </c>
      <c r="M556" s="262" t="str">
        <f ca="1">IF(OFFSET('IWP24'!BackgroundChecks, 13, 13, 1, 1) = 0, "", OFFSET('IWP24'!BackgroundChecks, 13, 13, 1, 1))</f>
        <v/>
      </c>
      <c r="N556" s="261"/>
    </row>
    <row r="557" spans="1:14" s="146" customFormat="1">
      <c r="A557" s="257" t="s">
        <v>522</v>
      </c>
      <c r="B557" s="262" t="str">
        <f ca="1">IF(OFFSET('IWP24'!BackgroundChecks, 14, 0, 1, 1) = 0, "", OFFSET('IWP24'!BackgroundChecks, 14, 0, 1, 1))</f>
        <v/>
      </c>
      <c r="C557" s="262" t="str">
        <f ca="1">IF(OFFSET('IWP24'!BackgroundChecks, 14, 2, 1, 1) = 0, "", OFFSET('IWP24'!BackgroundChecks, 14, 2, 1, 1))</f>
        <v/>
      </c>
      <c r="D557" s="262" t="str">
        <f ca="1">IF(OFFSET('IWP24'!BackgroundChecks, 14, 4, 1, 1) = 0, "", OFFSET('IWP24'!BackgroundChecks, 14, 4, 1, 1))</f>
        <v/>
      </c>
      <c r="E557" s="254">
        <f ca="1">IF(OFFSET('IWP24'!BackgroundChecks, 14, 5, 1, 1)=DATE(1900,1,0), DATE(1900,1,1), OFFSET('IWP24'!BackgroundChecks, 14, 5, 1, 1))</f>
        <v>1</v>
      </c>
      <c r="F557" s="262" t="str">
        <f ca="1">IF(OFFSET('IWP24'!BackgroundChecks, 14, 6, 1, 1) = 0, "", OFFSET('IWP24'!BackgroundChecks, 14, 6, 1, 1))</f>
        <v/>
      </c>
      <c r="G557" s="254">
        <f ca="1">IF(OFFSET('IWP24'!BackgroundChecks, 14, 7, 1, 1)=DATE(1900,1,0), DATE(1900,1,1), OFFSET('IWP24'!BackgroundChecks, 14, 7, 1, 1))</f>
        <v>1</v>
      </c>
      <c r="H557" s="254">
        <f ca="1">IF(OFFSET('IWP24'!BackgroundChecks, 14, 8, 1, 1)=DATE(1900,1,0), DATE(1900,1,1), OFFSET('IWP24'!BackgroundChecks, 14, 8, 1, 1))</f>
        <v>1</v>
      </c>
      <c r="I557" s="262" t="str">
        <f ca="1">IF(OFFSET('IWP24'!BackgroundChecks, 14, 9, 1, 1) = 0, "", OFFSET('IWP24'!BackgroundChecks, 14, 9, 1, 1))</f>
        <v/>
      </c>
      <c r="J557" s="262" t="str">
        <f ca="1">IF(OFFSET('IWP24'!BackgroundChecks, 14, 10, 1, 1) = 0, "", OFFSET('IWP24'!BackgroundChecks, 14, 10, 1, 1))</f>
        <v/>
      </c>
      <c r="K557" s="262" t="str">
        <f ca="1">IF(OFFSET('IWP24'!BackgroundChecks, 14, 11, 1, 1) = 0, "", OFFSET('IWP24'!BackgroundChecks, 14, 11, 1, 1))</f>
        <v/>
      </c>
      <c r="L557" s="262" t="str">
        <f ca="1">IF(OFFSET('IWP24'!BackgroundChecks, 14, 12, 1, 1) = 0, "", OFFSET('IWP24'!BackgroundChecks, 14, 12, 1, 1))</f>
        <v/>
      </c>
      <c r="M557" s="262" t="str">
        <f ca="1">IF(OFFSET('IWP24'!BackgroundChecks, 14, 13, 1, 1) = 0, "", OFFSET('IWP24'!BackgroundChecks, 14, 13, 1, 1))</f>
        <v/>
      </c>
      <c r="N557" s="261"/>
    </row>
    <row r="558" spans="1:14" s="146" customFormat="1">
      <c r="A558" s="257" t="s">
        <v>522</v>
      </c>
      <c r="B558" s="262" t="str">
        <f ca="1">IF(OFFSET('IWP24'!BackgroundChecks, 15, 0, 1, 1) = 0, "", OFFSET('IWP24'!BackgroundChecks, 15, 0, 1, 1))</f>
        <v/>
      </c>
      <c r="C558" s="262" t="str">
        <f ca="1">IF(OFFSET('IWP24'!BackgroundChecks, 15, 2, 1, 1) = 0, "", OFFSET('IWP24'!BackgroundChecks, 15, 2, 1, 1))</f>
        <v/>
      </c>
      <c r="D558" s="262" t="str">
        <f ca="1">IF(OFFSET('IWP24'!BackgroundChecks, 15, 4, 1, 1) = 0, "", OFFSET('IWP24'!BackgroundChecks, 15, 4, 1, 1))</f>
        <v/>
      </c>
      <c r="E558" s="254">
        <f ca="1">IF(OFFSET('IWP24'!BackgroundChecks, 15, 5, 1, 1)=DATE(1900,1,0), DATE(1900,1,1), OFFSET('IWP24'!BackgroundChecks, 15, 5, 1, 1))</f>
        <v>1</v>
      </c>
      <c r="F558" s="262" t="str">
        <f ca="1">IF(OFFSET('IWP24'!BackgroundChecks, 15, 6, 1, 1) = 0, "", OFFSET('IWP24'!BackgroundChecks, 15, 6, 1, 1))</f>
        <v/>
      </c>
      <c r="G558" s="254">
        <f ca="1">IF(OFFSET('IWP24'!BackgroundChecks, 15, 7, 1, 1)=DATE(1900,1,0), DATE(1900,1,1), OFFSET('IWP24'!BackgroundChecks, 15, 7, 1, 1))</f>
        <v>1</v>
      </c>
      <c r="H558" s="254">
        <f ca="1">IF(OFFSET('IWP24'!BackgroundChecks, 15, 8, 1, 1)=DATE(1900,1,0), DATE(1900,1,1), OFFSET('IWP24'!BackgroundChecks, 15, 8, 1, 1))</f>
        <v>1</v>
      </c>
      <c r="I558" s="262" t="str">
        <f ca="1">IF(OFFSET('IWP24'!BackgroundChecks, 15, 9, 1, 1) = 0, "", OFFSET('IWP24'!BackgroundChecks, 15, 9, 1, 1))</f>
        <v/>
      </c>
      <c r="J558" s="262" t="str">
        <f ca="1">IF(OFFSET('IWP24'!BackgroundChecks, 15, 10, 1, 1) = 0, "", OFFSET('IWP24'!BackgroundChecks, 15, 10, 1, 1))</f>
        <v/>
      </c>
      <c r="K558" s="262" t="str">
        <f ca="1">IF(OFFSET('IWP24'!BackgroundChecks, 15, 11, 1, 1) = 0, "", OFFSET('IWP24'!BackgroundChecks, 15, 11, 1, 1))</f>
        <v/>
      </c>
      <c r="L558" s="262" t="str">
        <f ca="1">IF(OFFSET('IWP24'!BackgroundChecks, 15, 12, 1, 1) = 0, "", OFFSET('IWP24'!BackgroundChecks, 15, 12, 1, 1))</f>
        <v/>
      </c>
      <c r="M558" s="262" t="str">
        <f ca="1">IF(OFFSET('IWP24'!BackgroundChecks, 15, 13, 1, 1) = 0, "", OFFSET('IWP24'!BackgroundChecks, 15, 13, 1, 1))</f>
        <v/>
      </c>
      <c r="N558" s="261"/>
    </row>
    <row r="559" spans="1:14" s="146" customFormat="1">
      <c r="A559" s="257" t="s">
        <v>522</v>
      </c>
      <c r="B559" s="262" t="str">
        <f ca="1">IF(OFFSET('IWP24'!BackgroundChecks, 16, 0, 1, 1) = 0, "", OFFSET('IWP24'!BackgroundChecks, 16, 0, 1, 1))</f>
        <v/>
      </c>
      <c r="C559" s="262" t="str">
        <f ca="1">IF(OFFSET('IWP24'!BackgroundChecks, 16, 2, 1, 1) = 0, "", OFFSET('IWP24'!BackgroundChecks, 16, 2, 1, 1))</f>
        <v/>
      </c>
      <c r="D559" s="262" t="str">
        <f ca="1">IF(OFFSET('IWP24'!BackgroundChecks, 16, 4, 1, 1) = 0, "", OFFSET('IWP24'!BackgroundChecks, 16, 4, 1, 1))</f>
        <v/>
      </c>
      <c r="E559" s="254">
        <f ca="1">IF(OFFSET('IWP24'!BackgroundChecks, 16, 5, 1, 1)=DATE(1900,1,0), DATE(1900,1,1), OFFSET('IWP24'!BackgroundChecks, 16, 5, 1, 1))</f>
        <v>1</v>
      </c>
      <c r="F559" s="262" t="str">
        <f ca="1">IF(OFFSET('IWP24'!BackgroundChecks, 16, 6, 1, 1) = 0, "", OFFSET('IWP24'!BackgroundChecks, 16, 6, 1, 1))</f>
        <v/>
      </c>
      <c r="G559" s="254">
        <f ca="1">IF(OFFSET('IWP24'!BackgroundChecks, 16, 7, 1, 1)=DATE(1900,1,0), DATE(1900,1,1), OFFSET('IWP24'!BackgroundChecks, 16, 7, 1, 1))</f>
        <v>1</v>
      </c>
      <c r="H559" s="254">
        <f ca="1">IF(OFFSET('IWP24'!BackgroundChecks, 16, 8, 1, 1)=DATE(1900,1,0), DATE(1900,1,1), OFFSET('IWP24'!BackgroundChecks, 16, 8, 1, 1))</f>
        <v>1</v>
      </c>
      <c r="I559" s="262" t="str">
        <f ca="1">IF(OFFSET('IWP24'!BackgroundChecks, 16, 9, 1, 1) = 0, "", OFFSET('IWP24'!BackgroundChecks, 16, 9, 1, 1))</f>
        <v/>
      </c>
      <c r="J559" s="262" t="str">
        <f ca="1">IF(OFFSET('IWP24'!BackgroundChecks, 16, 10, 1, 1) = 0, "", OFFSET('IWP24'!BackgroundChecks, 16, 10, 1, 1))</f>
        <v/>
      </c>
      <c r="K559" s="262" t="str">
        <f ca="1">IF(OFFSET('IWP24'!BackgroundChecks, 16, 11, 1, 1) = 0, "", OFFSET('IWP24'!BackgroundChecks, 16, 11, 1, 1))</f>
        <v/>
      </c>
      <c r="L559" s="262" t="str">
        <f ca="1">IF(OFFSET('IWP24'!BackgroundChecks, 16, 12, 1, 1) = 0, "", OFFSET('IWP24'!BackgroundChecks, 16, 12, 1, 1))</f>
        <v/>
      </c>
      <c r="M559" s="262" t="str">
        <f ca="1">IF(OFFSET('IWP24'!BackgroundChecks, 16, 13, 1, 1) = 0, "", OFFSET('IWP24'!BackgroundChecks, 16, 13, 1, 1))</f>
        <v/>
      </c>
      <c r="N559" s="261"/>
    </row>
    <row r="560" spans="1:14" s="146" customFormat="1">
      <c r="A560" s="257" t="s">
        <v>522</v>
      </c>
      <c r="B560" s="262" t="str">
        <f ca="1">IF(OFFSET('IWP24'!BackgroundChecks, 17, 0, 1, 1) = 0, "", OFFSET('IWP24'!BackgroundChecks, 17, 0, 1, 1))</f>
        <v/>
      </c>
      <c r="C560" s="262" t="str">
        <f ca="1">IF(OFFSET('IWP24'!BackgroundChecks, 17, 2, 1, 1) = 0, "", OFFSET('IWP24'!BackgroundChecks, 17, 2, 1, 1))</f>
        <v/>
      </c>
      <c r="D560" s="262" t="str">
        <f ca="1">IF(OFFSET('IWP24'!BackgroundChecks, 17, 4, 1, 1) = 0, "", OFFSET('IWP24'!BackgroundChecks, 17, 4, 1, 1))</f>
        <v/>
      </c>
      <c r="E560" s="254">
        <f ca="1">IF(OFFSET('IWP24'!BackgroundChecks, 17, 5, 1, 1)=DATE(1900,1,0), DATE(1900,1,1), OFFSET('IWP24'!BackgroundChecks, 17, 5, 1, 1))</f>
        <v>1</v>
      </c>
      <c r="F560" s="262" t="str">
        <f ca="1">IF(OFFSET('IWP24'!BackgroundChecks, 17, 6, 1, 1) = 0, "", OFFSET('IWP24'!BackgroundChecks, 17, 6, 1, 1))</f>
        <v/>
      </c>
      <c r="G560" s="254">
        <f ca="1">IF(OFFSET('IWP24'!BackgroundChecks, 17, 7, 1, 1)=DATE(1900,1,0), DATE(1900,1,1), OFFSET('IWP24'!BackgroundChecks, 17, 7, 1, 1))</f>
        <v>1</v>
      </c>
      <c r="H560" s="254">
        <f ca="1">IF(OFFSET('IWP24'!BackgroundChecks, 17, 8, 1, 1)=DATE(1900,1,0), DATE(1900,1,1), OFFSET('IWP24'!BackgroundChecks, 17, 8, 1, 1))</f>
        <v>1</v>
      </c>
      <c r="I560" s="262" t="str">
        <f ca="1">IF(OFFSET('IWP24'!BackgroundChecks, 17, 9, 1, 1) = 0, "", OFFSET('IWP24'!BackgroundChecks, 17, 9, 1, 1))</f>
        <v/>
      </c>
      <c r="J560" s="262" t="str">
        <f ca="1">IF(OFFSET('IWP24'!BackgroundChecks, 17, 10, 1, 1) = 0, "", OFFSET('IWP24'!BackgroundChecks, 17, 10, 1, 1))</f>
        <v/>
      </c>
      <c r="K560" s="262" t="str">
        <f ca="1">IF(OFFSET('IWP24'!BackgroundChecks, 17, 11, 1, 1) = 0, "", OFFSET('IWP24'!BackgroundChecks, 17, 11, 1, 1))</f>
        <v/>
      </c>
      <c r="L560" s="262" t="str">
        <f ca="1">IF(OFFSET('IWP24'!BackgroundChecks, 17, 12, 1, 1) = 0, "", OFFSET('IWP24'!BackgroundChecks, 17, 12, 1, 1))</f>
        <v/>
      </c>
      <c r="M560" s="262" t="str">
        <f ca="1">IF(OFFSET('IWP24'!BackgroundChecks, 17, 13, 1, 1) = 0, "", OFFSET('IWP24'!BackgroundChecks, 17, 13, 1, 1))</f>
        <v/>
      </c>
      <c r="N560" s="261"/>
    </row>
    <row r="561" spans="1:14" s="146" customFormat="1">
      <c r="A561" s="257" t="s">
        <v>522</v>
      </c>
      <c r="B561" s="262" t="str">
        <f ca="1">IF(OFFSET('IWP24'!BackgroundChecks, 18, 0, 1, 1) = 0, "", OFFSET('IWP24'!BackgroundChecks, 18, 0, 1, 1))</f>
        <v/>
      </c>
      <c r="C561" s="262" t="str">
        <f ca="1">IF(OFFSET('IWP24'!BackgroundChecks, 18, 2, 1, 1) = 0, "", OFFSET('IWP24'!BackgroundChecks, 18, 2, 1, 1))</f>
        <v/>
      </c>
      <c r="D561" s="262" t="str">
        <f ca="1">IF(OFFSET('IWP24'!BackgroundChecks, 18, 4, 1, 1) = 0, "", OFFSET('IWP24'!BackgroundChecks, 18, 4, 1, 1))</f>
        <v/>
      </c>
      <c r="E561" s="254">
        <f ca="1">IF(OFFSET('IWP24'!BackgroundChecks, 18, 5, 1, 1)=DATE(1900,1,0), DATE(1900,1,1), OFFSET('IWP24'!BackgroundChecks, 18, 5, 1, 1))</f>
        <v>1</v>
      </c>
      <c r="F561" s="262" t="str">
        <f ca="1">IF(OFFSET('IWP24'!BackgroundChecks, 18, 6, 1, 1) = 0, "", OFFSET('IWP24'!BackgroundChecks, 18, 6, 1, 1))</f>
        <v/>
      </c>
      <c r="G561" s="254">
        <f ca="1">IF(OFFSET('IWP24'!BackgroundChecks, 18, 7, 1, 1)=DATE(1900,1,0), DATE(1900,1,1), OFFSET('IWP24'!BackgroundChecks, 18, 7, 1, 1))</f>
        <v>1</v>
      </c>
      <c r="H561" s="254">
        <f ca="1">IF(OFFSET('IWP24'!BackgroundChecks, 18, 8, 1, 1)=DATE(1900,1,0), DATE(1900,1,1), OFFSET('IWP24'!BackgroundChecks, 18, 8, 1, 1))</f>
        <v>1</v>
      </c>
      <c r="I561" s="262" t="str">
        <f ca="1">IF(OFFSET('IWP24'!BackgroundChecks, 18, 9, 1, 1) = 0, "", OFFSET('IWP24'!BackgroundChecks, 18, 9, 1, 1))</f>
        <v/>
      </c>
      <c r="J561" s="262" t="str">
        <f ca="1">IF(OFFSET('IWP24'!BackgroundChecks, 18, 10, 1, 1) = 0, "", OFFSET('IWP24'!BackgroundChecks, 18, 10, 1, 1))</f>
        <v/>
      </c>
      <c r="K561" s="262" t="str">
        <f ca="1">IF(OFFSET('IWP24'!BackgroundChecks, 18, 11, 1, 1) = 0, "", OFFSET('IWP24'!BackgroundChecks, 18, 11, 1, 1))</f>
        <v/>
      </c>
      <c r="L561" s="262" t="str">
        <f ca="1">IF(OFFSET('IWP24'!BackgroundChecks, 18, 12, 1, 1) = 0, "", OFFSET('IWP24'!BackgroundChecks, 18, 12, 1, 1))</f>
        <v/>
      </c>
      <c r="M561" s="262" t="str">
        <f ca="1">IF(OFFSET('IWP24'!BackgroundChecks, 18, 13, 1, 1) = 0, "", OFFSET('IWP24'!BackgroundChecks, 18, 13, 1, 1))</f>
        <v/>
      </c>
      <c r="N561" s="261"/>
    </row>
    <row r="562" spans="1:14" s="146" customFormat="1">
      <c r="A562" s="257" t="s">
        <v>522</v>
      </c>
      <c r="B562" s="262" t="str">
        <f ca="1">IF(OFFSET('IWP24'!BackgroundChecks, 19, 0, 1, 1) = 0, "", OFFSET('IWP24'!BackgroundChecks, 19, 0, 1, 1))</f>
        <v/>
      </c>
      <c r="C562" s="262" t="str">
        <f ca="1">IF(OFFSET('IWP24'!BackgroundChecks, 19, 2, 1, 1) = 0, "", OFFSET('IWP24'!BackgroundChecks, 19, 2, 1, 1))</f>
        <v/>
      </c>
      <c r="D562" s="262" t="str">
        <f ca="1">IF(OFFSET('IWP24'!BackgroundChecks, 19, 4, 1, 1) = 0, "", OFFSET('IWP24'!BackgroundChecks, 19, 4, 1, 1))</f>
        <v/>
      </c>
      <c r="E562" s="254">
        <f ca="1">IF(OFFSET('IWP24'!BackgroundChecks, 19, 5, 1, 1)=DATE(1900,1,0), DATE(1900,1,1), OFFSET('IWP24'!BackgroundChecks, 19, 5, 1, 1))</f>
        <v>1</v>
      </c>
      <c r="F562" s="262" t="str">
        <f ca="1">IF(OFFSET('IWP24'!BackgroundChecks, 19, 6, 1, 1) = 0, "", OFFSET('IWP24'!BackgroundChecks, 19, 6, 1, 1))</f>
        <v/>
      </c>
      <c r="G562" s="254">
        <f ca="1">IF(OFFSET('IWP24'!BackgroundChecks, 19, 7, 1, 1)=DATE(1900,1,0), DATE(1900,1,1), OFFSET('IWP24'!BackgroundChecks, 19, 7, 1, 1))</f>
        <v>1</v>
      </c>
      <c r="H562" s="254">
        <f ca="1">IF(OFFSET('IWP24'!BackgroundChecks, 19, 8, 1, 1)=DATE(1900,1,0), DATE(1900,1,1), OFFSET('IWP24'!BackgroundChecks, 19, 8, 1, 1))</f>
        <v>1</v>
      </c>
      <c r="I562" s="262" t="str">
        <f ca="1">IF(OFFSET('IWP24'!BackgroundChecks, 19, 9, 1, 1) = 0, "", OFFSET('IWP24'!BackgroundChecks, 19, 9, 1, 1))</f>
        <v/>
      </c>
      <c r="J562" s="262" t="str">
        <f ca="1">IF(OFFSET('IWP24'!BackgroundChecks, 19, 10, 1, 1) = 0, "", OFFSET('IWP24'!BackgroundChecks, 19, 10, 1, 1))</f>
        <v/>
      </c>
      <c r="K562" s="262" t="str">
        <f ca="1">IF(OFFSET('IWP24'!BackgroundChecks, 19, 11, 1, 1) = 0, "", OFFSET('IWP24'!BackgroundChecks, 19, 11, 1, 1))</f>
        <v/>
      </c>
      <c r="L562" s="262" t="str">
        <f ca="1">IF(OFFSET('IWP24'!BackgroundChecks, 19, 12, 1, 1) = 0, "", OFFSET('IWP24'!BackgroundChecks, 19, 12, 1, 1))</f>
        <v/>
      </c>
      <c r="M562" s="262" t="str">
        <f ca="1">IF(OFFSET('IWP24'!BackgroundChecks, 19, 13, 1, 1) = 0, "", OFFSET('IWP24'!BackgroundChecks, 19, 13, 1, 1))</f>
        <v/>
      </c>
      <c r="N562" s="261"/>
    </row>
    <row r="563" spans="1:14" s="146" customFormat="1">
      <c r="A563" s="257" t="s">
        <v>523</v>
      </c>
      <c r="B563" s="262" t="str">
        <f ca="1">IF(OFFSET('IWP25'!BackgroundChecks, 0, 0, 1, 1) = 0, "", OFFSET('IWP25'!BackgroundChecks, 0, 0, 1, 1))</f>
        <v/>
      </c>
      <c r="C563" s="262" t="str">
        <f ca="1">IF(OFFSET('IWP25'!BackgroundChecks, 0, 2, 1, 1) = 0, "", OFFSET('IWP25'!BackgroundChecks, 0, 2, 1, 1))</f>
        <v/>
      </c>
      <c r="D563" s="262" t="str">
        <f ca="1">IF(OFFSET('IWP25'!BackgroundChecks, 0, 4, 1, 1) = 0, "", OFFSET('IWP25'!BackgroundChecks, 0, 4, 1, 1))</f>
        <v/>
      </c>
      <c r="E563" s="254">
        <f ca="1">IF(OFFSET('IWP25'!BackgroundChecks, 0, 5, 1, 1)=DATE(1900,1,0), DATE(1900,1,1), OFFSET('IWP25'!BackgroundChecks, 0, 5, 1, 1))</f>
        <v>1</v>
      </c>
      <c r="F563" s="262" t="str">
        <f ca="1">IF(OFFSET('IWP25'!BackgroundChecks, 0, 6, 1, 1) = 0, "", OFFSET('IWP25'!BackgroundChecks, 0, 6, 1, 1))</f>
        <v/>
      </c>
      <c r="G563" s="254">
        <f ca="1">IF(OFFSET('IWP25'!BackgroundChecks, 0, 7, 1, 1)=DATE(1900,1,0), DATE(1900,1,1), OFFSET('IWP25'!BackgroundChecks, 0, 7, 1, 1))</f>
        <v>1</v>
      </c>
      <c r="H563" s="254">
        <f ca="1">IF(OFFSET('IWP25'!BackgroundChecks, 0, 8, 1, 1)=DATE(1900,1,0), DATE(1900,1,1), OFFSET('IWP25'!BackgroundChecks, 0, 8, 1, 1))</f>
        <v>1</v>
      </c>
      <c r="I563" s="262" t="str">
        <f ca="1">IF(OFFSET('IWP25'!BackgroundChecks, 0, 9, 1, 1) = 0, "", OFFSET('IWP25'!BackgroundChecks, 0, 9, 1, 1))</f>
        <v/>
      </c>
      <c r="J563" s="262" t="str">
        <f ca="1">IF(OFFSET('IWP25'!BackgroundChecks, 0, 10, 1, 1) = 0, "", OFFSET('IWP25'!BackgroundChecks, 0, 10, 1, 1))</f>
        <v/>
      </c>
      <c r="K563" s="262" t="str">
        <f ca="1">IF(OFFSET('IWP25'!BackgroundChecks, 0, 11, 1, 1) = 0, "", OFFSET('IWP25'!BackgroundChecks, 0, 11, 1, 1))</f>
        <v/>
      </c>
      <c r="L563" s="262" t="str">
        <f ca="1">IF(OFFSET('IWP25'!BackgroundChecks, 0, 12, 1, 1) = 0, "", OFFSET('IWP25'!BackgroundChecks, 0, 12, 1, 1))</f>
        <v/>
      </c>
      <c r="M563" s="262" t="str">
        <f ca="1">IF(OFFSET('IWP25'!BackgroundChecks, 0, 13, 1, 1) = 0, "", OFFSET('IWP25'!BackgroundChecks, 0, 13, 1, 1))</f>
        <v/>
      </c>
      <c r="N563" s="261"/>
    </row>
    <row r="564" spans="1:14" s="146" customFormat="1">
      <c r="A564" s="257" t="s">
        <v>523</v>
      </c>
      <c r="B564" s="262" t="str">
        <f ca="1">IF(OFFSET('IWP25'!BackgroundChecks, 1, 0, 1, 1) = 0, "", OFFSET('IWP25'!BackgroundChecks, 1, 0, 1, 1))</f>
        <v/>
      </c>
      <c r="C564" s="262" t="str">
        <f ca="1">IF(OFFSET('IWP25'!BackgroundChecks, 1, 2, 1, 1) = 0, "", OFFSET('IWP25'!BackgroundChecks, 1, 2, 1, 1))</f>
        <v/>
      </c>
      <c r="D564" s="262" t="str">
        <f ca="1">IF(OFFSET('IWP25'!BackgroundChecks, 1, 4, 1, 1) = 0, "", OFFSET('IWP25'!BackgroundChecks, 1, 4, 1, 1))</f>
        <v/>
      </c>
      <c r="E564" s="254">
        <f ca="1">IF(OFFSET('IWP25'!BackgroundChecks, 1, 5, 1, 1)=DATE(1900,1,0), DATE(1900,1,1), OFFSET('IWP25'!BackgroundChecks, 1, 5, 1, 1))</f>
        <v>1</v>
      </c>
      <c r="F564" s="262" t="str">
        <f ca="1">IF(OFFSET('IWP25'!BackgroundChecks, 1, 6, 1, 1) = 0, "", OFFSET('IWP25'!BackgroundChecks, 1, 6, 1, 1))</f>
        <v/>
      </c>
      <c r="G564" s="254">
        <f ca="1">IF(OFFSET('IWP25'!BackgroundChecks, 1, 7, 1, 1)=DATE(1900,1,0), DATE(1900,1,1), OFFSET('IWP25'!BackgroundChecks, 1, 7, 1, 1))</f>
        <v>1</v>
      </c>
      <c r="H564" s="254">
        <f ca="1">IF(OFFSET('IWP25'!BackgroundChecks, 1, 8, 1, 1)=DATE(1900,1,0), DATE(1900,1,1), OFFSET('IWP25'!BackgroundChecks, 1, 8, 1, 1))</f>
        <v>1</v>
      </c>
      <c r="I564" s="262" t="str">
        <f ca="1">IF(OFFSET('IWP25'!BackgroundChecks, 1, 9, 1, 1) = 0, "", OFFSET('IWP25'!BackgroundChecks, 1, 9, 1, 1))</f>
        <v/>
      </c>
      <c r="J564" s="262" t="str">
        <f ca="1">IF(OFFSET('IWP25'!BackgroundChecks, 1, 10, 1, 1) = 0, "", OFFSET('IWP25'!BackgroundChecks, 1, 10, 1, 1))</f>
        <v/>
      </c>
      <c r="K564" s="262" t="str">
        <f ca="1">IF(OFFSET('IWP25'!BackgroundChecks, 1, 11, 1, 1) = 0, "", OFFSET('IWP25'!BackgroundChecks, 1, 11, 1, 1))</f>
        <v/>
      </c>
      <c r="L564" s="262" t="str">
        <f ca="1">IF(OFFSET('IWP25'!BackgroundChecks, 1, 12, 1, 1) = 0, "", OFFSET('IWP25'!BackgroundChecks, 1, 12, 1, 1))</f>
        <v/>
      </c>
      <c r="M564" s="262" t="str">
        <f ca="1">IF(OFFSET('IWP25'!BackgroundChecks, 1, 13, 1, 1) = 0, "", OFFSET('IWP25'!BackgroundChecks, 1, 13, 1, 1))</f>
        <v/>
      </c>
      <c r="N564" s="261"/>
    </row>
    <row r="565" spans="1:14" s="146" customFormat="1">
      <c r="A565" s="257" t="s">
        <v>523</v>
      </c>
      <c r="B565" s="262" t="str">
        <f ca="1">IF(OFFSET('IWP25'!BackgroundChecks, 2, 0, 1, 1) = 0, "", OFFSET('IWP25'!BackgroundChecks, 2, 0, 1, 1))</f>
        <v/>
      </c>
      <c r="C565" s="262" t="str">
        <f ca="1">IF(OFFSET('IWP25'!BackgroundChecks, 2, 2, 1, 1) = 0, "", OFFSET('IWP25'!BackgroundChecks, 2, 2, 1, 1))</f>
        <v/>
      </c>
      <c r="D565" s="262" t="str">
        <f ca="1">IF(OFFSET('IWP25'!BackgroundChecks, 2, 4, 1, 1) = 0, "", OFFSET('IWP25'!BackgroundChecks, 2, 4, 1, 1))</f>
        <v/>
      </c>
      <c r="E565" s="254">
        <f ca="1">IF(OFFSET('IWP25'!BackgroundChecks, 2, 5, 1, 1)=DATE(1900,1,0), DATE(1900,1,1), OFFSET('IWP25'!BackgroundChecks, 2, 5, 1, 1))</f>
        <v>1</v>
      </c>
      <c r="F565" s="262" t="str">
        <f ca="1">IF(OFFSET('IWP25'!BackgroundChecks, 2, 6, 1, 1) = 0, "", OFFSET('IWP25'!BackgroundChecks, 2, 6, 1, 1))</f>
        <v/>
      </c>
      <c r="G565" s="254">
        <f ca="1">IF(OFFSET('IWP25'!BackgroundChecks, 2, 7, 1, 1)=DATE(1900,1,0), DATE(1900,1,1), OFFSET('IWP25'!BackgroundChecks, 2, 7, 1, 1))</f>
        <v>1</v>
      </c>
      <c r="H565" s="254">
        <f ca="1">IF(OFFSET('IWP25'!BackgroundChecks, 2, 8, 1, 1)=DATE(1900,1,0), DATE(1900,1,1), OFFSET('IWP25'!BackgroundChecks, 2, 8, 1, 1))</f>
        <v>1</v>
      </c>
      <c r="I565" s="262" t="str">
        <f ca="1">IF(OFFSET('IWP25'!BackgroundChecks, 2, 9, 1, 1) = 0, "", OFFSET('IWP25'!BackgroundChecks, 2, 9, 1, 1))</f>
        <v/>
      </c>
      <c r="J565" s="262" t="str">
        <f ca="1">IF(OFFSET('IWP25'!BackgroundChecks, 2, 10, 1, 1) = 0, "", OFFSET('IWP25'!BackgroundChecks, 2, 10, 1, 1))</f>
        <v/>
      </c>
      <c r="K565" s="262" t="str">
        <f ca="1">IF(OFFSET('IWP25'!BackgroundChecks, 2, 11, 1, 1) = 0, "", OFFSET('IWP25'!BackgroundChecks, 2, 11, 1, 1))</f>
        <v/>
      </c>
      <c r="L565" s="262" t="str">
        <f ca="1">IF(OFFSET('IWP25'!BackgroundChecks, 2, 12, 1, 1) = 0, "", OFFSET('IWP25'!BackgroundChecks, 2, 12, 1, 1))</f>
        <v/>
      </c>
      <c r="M565" s="262" t="str">
        <f ca="1">IF(OFFSET('IWP25'!BackgroundChecks, 2, 13, 1, 1) = 0, "", OFFSET('IWP25'!BackgroundChecks, 2, 13, 1, 1))</f>
        <v/>
      </c>
      <c r="N565" s="261"/>
    </row>
    <row r="566" spans="1:14" s="146" customFormat="1">
      <c r="A566" s="257" t="s">
        <v>523</v>
      </c>
      <c r="B566" s="262" t="str">
        <f ca="1">IF(OFFSET('IWP25'!BackgroundChecks, 3, 0, 1, 1) = 0, "", OFFSET('IWP25'!BackgroundChecks, 3, 0, 1, 1))</f>
        <v/>
      </c>
      <c r="C566" s="262" t="str">
        <f ca="1">IF(OFFSET('IWP25'!BackgroundChecks, 3, 2, 1, 1) = 0, "", OFFSET('IWP25'!BackgroundChecks, 3, 2, 1, 1))</f>
        <v/>
      </c>
      <c r="D566" s="262" t="str">
        <f ca="1">IF(OFFSET('IWP25'!BackgroundChecks, 3, 4, 1, 1) = 0, "", OFFSET('IWP25'!BackgroundChecks, 3, 4, 1, 1))</f>
        <v/>
      </c>
      <c r="E566" s="254">
        <f ca="1">IF(OFFSET('IWP25'!BackgroundChecks, 3, 5, 1, 1)=DATE(1900,1,0), DATE(1900,1,1), OFFSET('IWP25'!BackgroundChecks, 3, 5, 1, 1))</f>
        <v>1</v>
      </c>
      <c r="F566" s="262" t="str">
        <f ca="1">IF(OFFSET('IWP25'!BackgroundChecks, 3, 6, 1, 1) = 0, "", OFFSET('IWP25'!BackgroundChecks, 3, 6, 1, 1))</f>
        <v/>
      </c>
      <c r="G566" s="254">
        <f ca="1">IF(OFFSET('IWP25'!BackgroundChecks, 3, 7, 1, 1)=DATE(1900,1,0), DATE(1900,1,1), OFFSET('IWP25'!BackgroundChecks, 3, 7, 1, 1))</f>
        <v>1</v>
      </c>
      <c r="H566" s="254">
        <f ca="1">IF(OFFSET('IWP25'!BackgroundChecks, 3, 8, 1, 1)=DATE(1900,1,0), DATE(1900,1,1), OFFSET('IWP25'!BackgroundChecks, 3, 8, 1, 1))</f>
        <v>1</v>
      </c>
      <c r="I566" s="262" t="str">
        <f ca="1">IF(OFFSET('IWP25'!BackgroundChecks, 3, 9, 1, 1) = 0, "", OFFSET('IWP25'!BackgroundChecks, 3, 9, 1, 1))</f>
        <v/>
      </c>
      <c r="J566" s="262" t="str">
        <f ca="1">IF(OFFSET('IWP25'!BackgroundChecks, 3, 10, 1, 1) = 0, "", OFFSET('IWP25'!BackgroundChecks, 3, 10, 1, 1))</f>
        <v/>
      </c>
      <c r="K566" s="262" t="str">
        <f ca="1">IF(OFFSET('IWP25'!BackgroundChecks, 3, 11, 1, 1) = 0, "", OFFSET('IWP25'!BackgroundChecks, 3, 11, 1, 1))</f>
        <v/>
      </c>
      <c r="L566" s="262" t="str">
        <f ca="1">IF(OFFSET('IWP25'!BackgroundChecks, 3, 12, 1, 1) = 0, "", OFFSET('IWP25'!BackgroundChecks, 3, 12, 1, 1))</f>
        <v/>
      </c>
      <c r="M566" s="262" t="str">
        <f ca="1">IF(OFFSET('IWP25'!BackgroundChecks, 3, 13, 1, 1) = 0, "", OFFSET('IWP25'!BackgroundChecks, 3, 13, 1, 1))</f>
        <v/>
      </c>
      <c r="N566" s="261"/>
    </row>
    <row r="567" spans="1:14" s="146" customFormat="1">
      <c r="A567" s="257" t="s">
        <v>523</v>
      </c>
      <c r="B567" s="262" t="str">
        <f ca="1">IF(OFFSET('IWP25'!BackgroundChecks, 4, 0, 1, 1) = 0, "", OFFSET('IWP25'!BackgroundChecks, 4, 0, 1, 1))</f>
        <v/>
      </c>
      <c r="C567" s="262" t="str">
        <f ca="1">IF(OFFSET('IWP25'!BackgroundChecks, 4, 2, 1, 1) = 0, "", OFFSET('IWP25'!BackgroundChecks, 4, 2, 1, 1))</f>
        <v/>
      </c>
      <c r="D567" s="262" t="str">
        <f ca="1">IF(OFFSET('IWP25'!BackgroundChecks, 4, 4, 1, 1) = 0, "", OFFSET('IWP25'!BackgroundChecks, 4, 4, 1, 1))</f>
        <v/>
      </c>
      <c r="E567" s="254">
        <f ca="1">IF(OFFSET('IWP25'!BackgroundChecks, 4, 5, 1, 1)=DATE(1900,1,0), DATE(1900,1,1), OFFSET('IWP25'!BackgroundChecks, 4, 5, 1, 1))</f>
        <v>1</v>
      </c>
      <c r="F567" s="262" t="str">
        <f ca="1">IF(OFFSET('IWP25'!BackgroundChecks, 4, 6, 1, 1) = 0, "", OFFSET('IWP25'!BackgroundChecks, 4, 6, 1, 1))</f>
        <v/>
      </c>
      <c r="G567" s="254">
        <f ca="1">IF(OFFSET('IWP25'!BackgroundChecks, 4, 7, 1, 1)=DATE(1900,1,0), DATE(1900,1,1), OFFSET('IWP25'!BackgroundChecks, 4, 7, 1, 1))</f>
        <v>1</v>
      </c>
      <c r="H567" s="254">
        <f ca="1">IF(OFFSET('IWP25'!BackgroundChecks, 4, 8, 1, 1)=DATE(1900,1,0), DATE(1900,1,1), OFFSET('IWP25'!BackgroundChecks, 4, 8, 1, 1))</f>
        <v>1</v>
      </c>
      <c r="I567" s="262" t="str">
        <f ca="1">IF(OFFSET('IWP25'!BackgroundChecks, 4, 9, 1, 1) = 0, "", OFFSET('IWP25'!BackgroundChecks, 4, 9, 1, 1))</f>
        <v/>
      </c>
      <c r="J567" s="262" t="str">
        <f ca="1">IF(OFFSET('IWP25'!BackgroundChecks, 4, 10, 1, 1) = 0, "", OFFSET('IWP25'!BackgroundChecks, 4, 10, 1, 1))</f>
        <v/>
      </c>
      <c r="K567" s="262" t="str">
        <f ca="1">IF(OFFSET('IWP25'!BackgroundChecks, 4, 11, 1, 1) = 0, "", OFFSET('IWP25'!BackgroundChecks, 4, 11, 1, 1))</f>
        <v/>
      </c>
      <c r="L567" s="262" t="str">
        <f ca="1">IF(OFFSET('IWP25'!BackgroundChecks, 4, 12, 1, 1) = 0, "", OFFSET('IWP25'!BackgroundChecks, 4, 12, 1, 1))</f>
        <v/>
      </c>
      <c r="M567" s="262" t="str">
        <f ca="1">IF(OFFSET('IWP25'!BackgroundChecks, 4, 13, 1, 1) = 0, "", OFFSET('IWP25'!BackgroundChecks, 4, 13, 1, 1))</f>
        <v/>
      </c>
      <c r="N567" s="261"/>
    </row>
    <row r="568" spans="1:14" s="146" customFormat="1">
      <c r="A568" s="257" t="s">
        <v>523</v>
      </c>
      <c r="B568" s="262" t="str">
        <f ca="1">IF(OFFSET('IWP25'!BackgroundChecks, 5, 0, 1, 1) = 0, "", OFFSET('IWP25'!BackgroundChecks, 5, 0, 1, 1))</f>
        <v/>
      </c>
      <c r="C568" s="262" t="str">
        <f ca="1">IF(OFFSET('IWP25'!BackgroundChecks, 5, 2, 1, 1) = 0, "", OFFSET('IWP25'!BackgroundChecks, 5, 2, 1, 1))</f>
        <v/>
      </c>
      <c r="D568" s="262" t="str">
        <f ca="1">IF(OFFSET('IWP25'!BackgroundChecks, 5, 4, 1, 1) = 0, "", OFFSET('IWP25'!BackgroundChecks, 5, 4, 1, 1))</f>
        <v/>
      </c>
      <c r="E568" s="254">
        <f ca="1">IF(OFFSET('IWP25'!BackgroundChecks, 5, 5, 1, 1)=DATE(1900,1,0), DATE(1900,1,1), OFFSET('IWP25'!BackgroundChecks, 5, 5, 1, 1))</f>
        <v>1</v>
      </c>
      <c r="F568" s="262" t="str">
        <f ca="1">IF(OFFSET('IWP25'!BackgroundChecks, 5, 6, 1, 1) = 0, "", OFFSET('IWP25'!BackgroundChecks, 5, 6, 1, 1))</f>
        <v/>
      </c>
      <c r="G568" s="254">
        <f ca="1">IF(OFFSET('IWP25'!BackgroundChecks, 5, 7, 1, 1)=DATE(1900,1,0), DATE(1900,1,1), OFFSET('IWP25'!BackgroundChecks, 5, 7, 1, 1))</f>
        <v>1</v>
      </c>
      <c r="H568" s="254">
        <f ca="1">IF(OFFSET('IWP25'!BackgroundChecks, 5, 8, 1, 1)=DATE(1900,1,0), DATE(1900,1,1), OFFSET('IWP25'!BackgroundChecks, 5, 8, 1, 1))</f>
        <v>1</v>
      </c>
      <c r="I568" s="262" t="str">
        <f ca="1">IF(OFFSET('IWP25'!BackgroundChecks, 5, 9, 1, 1) = 0, "", OFFSET('IWP25'!BackgroundChecks, 5, 9, 1, 1))</f>
        <v/>
      </c>
      <c r="J568" s="262" t="str">
        <f ca="1">IF(OFFSET('IWP25'!BackgroundChecks, 5, 10, 1, 1) = 0, "", OFFSET('IWP25'!BackgroundChecks, 5, 10, 1, 1))</f>
        <v/>
      </c>
      <c r="K568" s="262" t="str">
        <f ca="1">IF(OFFSET('IWP25'!BackgroundChecks, 5, 11, 1, 1) = 0, "", OFFSET('IWP25'!BackgroundChecks, 5, 11, 1, 1))</f>
        <v/>
      </c>
      <c r="L568" s="262" t="str">
        <f ca="1">IF(OFFSET('IWP25'!BackgroundChecks, 5, 12, 1, 1) = 0, "", OFFSET('IWP25'!BackgroundChecks, 5, 12, 1, 1))</f>
        <v/>
      </c>
      <c r="M568" s="262" t="str">
        <f ca="1">IF(OFFSET('IWP25'!BackgroundChecks, 5, 13, 1, 1) = 0, "", OFFSET('IWP25'!BackgroundChecks, 5, 13, 1, 1))</f>
        <v/>
      </c>
      <c r="N568" s="261"/>
    </row>
    <row r="569" spans="1:14" s="146" customFormat="1">
      <c r="A569" s="257" t="s">
        <v>523</v>
      </c>
      <c r="B569" s="262" t="str">
        <f ca="1">IF(OFFSET('IWP25'!BackgroundChecks, 6, 0, 1, 1) = 0, "", OFFSET('IWP25'!BackgroundChecks, 6, 0, 1, 1))</f>
        <v/>
      </c>
      <c r="C569" s="262" t="str">
        <f ca="1">IF(OFFSET('IWP25'!BackgroundChecks, 6, 2, 1, 1) = 0, "", OFFSET('IWP25'!BackgroundChecks, 6, 2, 1, 1))</f>
        <v/>
      </c>
      <c r="D569" s="262" t="str">
        <f ca="1">IF(OFFSET('IWP25'!BackgroundChecks, 6, 4, 1, 1) = 0, "", OFFSET('IWP25'!BackgroundChecks, 6, 4, 1, 1))</f>
        <v/>
      </c>
      <c r="E569" s="254">
        <f ca="1">IF(OFFSET('IWP25'!BackgroundChecks, 6, 5, 1, 1)=DATE(1900,1,0), DATE(1900,1,1), OFFSET('IWP25'!BackgroundChecks, 6, 5, 1, 1))</f>
        <v>1</v>
      </c>
      <c r="F569" s="262" t="str">
        <f ca="1">IF(OFFSET('IWP25'!BackgroundChecks, 6, 6, 1, 1) = 0, "", OFFSET('IWP25'!BackgroundChecks, 6, 6, 1, 1))</f>
        <v/>
      </c>
      <c r="G569" s="254">
        <f ca="1">IF(OFFSET('IWP25'!BackgroundChecks, 6, 7, 1, 1)=DATE(1900,1,0), DATE(1900,1,1), OFFSET('IWP25'!BackgroundChecks, 6, 7, 1, 1))</f>
        <v>1</v>
      </c>
      <c r="H569" s="254">
        <f ca="1">IF(OFFSET('IWP25'!BackgroundChecks, 6, 8, 1, 1)=DATE(1900,1,0), DATE(1900,1,1), OFFSET('IWP25'!BackgroundChecks, 6, 8, 1, 1))</f>
        <v>1</v>
      </c>
      <c r="I569" s="262" t="str">
        <f ca="1">IF(OFFSET('IWP25'!BackgroundChecks, 6, 9, 1, 1) = 0, "", OFFSET('IWP25'!BackgroundChecks, 6, 9, 1, 1))</f>
        <v/>
      </c>
      <c r="J569" s="262" t="str">
        <f ca="1">IF(OFFSET('IWP25'!BackgroundChecks, 6, 10, 1, 1) = 0, "", OFFSET('IWP25'!BackgroundChecks, 6, 10, 1, 1))</f>
        <v/>
      </c>
      <c r="K569" s="262" t="str">
        <f ca="1">IF(OFFSET('IWP25'!BackgroundChecks, 6, 11, 1, 1) = 0, "", OFFSET('IWP25'!BackgroundChecks, 6, 11, 1, 1))</f>
        <v/>
      </c>
      <c r="L569" s="262" t="str">
        <f ca="1">IF(OFFSET('IWP25'!BackgroundChecks, 6, 12, 1, 1) = 0, "", OFFSET('IWP25'!BackgroundChecks, 6, 12, 1, 1))</f>
        <v/>
      </c>
      <c r="M569" s="262" t="str">
        <f ca="1">IF(OFFSET('IWP25'!BackgroundChecks, 6, 13, 1, 1) = 0, "", OFFSET('IWP25'!BackgroundChecks, 6, 13, 1, 1))</f>
        <v/>
      </c>
      <c r="N569" s="261"/>
    </row>
    <row r="570" spans="1:14" s="146" customFormat="1">
      <c r="A570" s="257" t="s">
        <v>523</v>
      </c>
      <c r="B570" s="262" t="str">
        <f ca="1">IF(OFFSET('IWP25'!BackgroundChecks, 7, 0, 1, 1) = 0, "", OFFSET('IWP25'!BackgroundChecks, 7, 0, 1, 1))</f>
        <v/>
      </c>
      <c r="C570" s="262" t="str">
        <f ca="1">IF(OFFSET('IWP25'!BackgroundChecks, 7, 2, 1, 1) = 0, "", OFFSET('IWP25'!BackgroundChecks, 7, 2, 1, 1))</f>
        <v/>
      </c>
      <c r="D570" s="262" t="str">
        <f ca="1">IF(OFFSET('IWP25'!BackgroundChecks, 7, 4, 1, 1) = 0, "", OFFSET('IWP25'!BackgroundChecks, 7, 4, 1, 1))</f>
        <v/>
      </c>
      <c r="E570" s="254">
        <f ca="1">IF(OFFSET('IWP25'!BackgroundChecks, 7, 5, 1, 1)=DATE(1900,1,0), DATE(1900,1,1), OFFSET('IWP25'!BackgroundChecks, 7, 5, 1, 1))</f>
        <v>1</v>
      </c>
      <c r="F570" s="262" t="str">
        <f ca="1">IF(OFFSET('IWP25'!BackgroundChecks, 7, 6, 1, 1) = 0, "", OFFSET('IWP25'!BackgroundChecks, 7, 6, 1, 1))</f>
        <v/>
      </c>
      <c r="G570" s="254">
        <f ca="1">IF(OFFSET('IWP25'!BackgroundChecks, 7, 7, 1, 1)=DATE(1900,1,0), DATE(1900,1,1), OFFSET('IWP25'!BackgroundChecks, 7, 7, 1, 1))</f>
        <v>1</v>
      </c>
      <c r="H570" s="254">
        <f ca="1">IF(OFFSET('IWP25'!BackgroundChecks, 7, 8, 1, 1)=DATE(1900,1,0), DATE(1900,1,1), OFFSET('IWP25'!BackgroundChecks, 7, 8, 1, 1))</f>
        <v>1</v>
      </c>
      <c r="I570" s="262" t="str">
        <f ca="1">IF(OFFSET('IWP25'!BackgroundChecks, 7, 9, 1, 1) = 0, "", OFFSET('IWP25'!BackgroundChecks, 7, 9, 1, 1))</f>
        <v/>
      </c>
      <c r="J570" s="262" t="str">
        <f ca="1">IF(OFFSET('IWP25'!BackgroundChecks, 7, 10, 1, 1) = 0, "", OFFSET('IWP25'!BackgroundChecks, 7, 10, 1, 1))</f>
        <v/>
      </c>
      <c r="K570" s="262" t="str">
        <f ca="1">IF(OFFSET('IWP25'!BackgroundChecks, 7, 11, 1, 1) = 0, "", OFFSET('IWP25'!BackgroundChecks, 7, 11, 1, 1))</f>
        <v/>
      </c>
      <c r="L570" s="262" t="str">
        <f ca="1">IF(OFFSET('IWP25'!BackgroundChecks, 7, 12, 1, 1) = 0, "", OFFSET('IWP25'!BackgroundChecks, 7, 12, 1, 1))</f>
        <v/>
      </c>
      <c r="M570" s="262" t="str">
        <f ca="1">IF(OFFSET('IWP25'!BackgroundChecks, 7, 13, 1, 1) = 0, "", OFFSET('IWP25'!BackgroundChecks, 7, 13, 1, 1))</f>
        <v/>
      </c>
      <c r="N570" s="261"/>
    </row>
    <row r="571" spans="1:14" s="146" customFormat="1">
      <c r="A571" s="257" t="s">
        <v>523</v>
      </c>
      <c r="B571" s="262" t="str">
        <f ca="1">IF(OFFSET('IWP25'!BackgroundChecks, 8, 0, 1, 1) = 0, "", OFFSET('IWP25'!BackgroundChecks, 8, 0, 1, 1))</f>
        <v/>
      </c>
      <c r="C571" s="262" t="str">
        <f ca="1">IF(OFFSET('IWP25'!BackgroundChecks, 8, 2, 1, 1) = 0, "", OFFSET('IWP25'!BackgroundChecks, 8, 2, 1, 1))</f>
        <v/>
      </c>
      <c r="D571" s="262" t="str">
        <f ca="1">IF(OFFSET('IWP25'!BackgroundChecks, 8, 4, 1, 1) = 0, "", OFFSET('IWP25'!BackgroundChecks, 8, 4, 1, 1))</f>
        <v/>
      </c>
      <c r="E571" s="254">
        <f ca="1">IF(OFFSET('IWP25'!BackgroundChecks, 8, 5, 1, 1)=DATE(1900,1,0), DATE(1900,1,1), OFFSET('IWP25'!BackgroundChecks, 8, 5, 1, 1))</f>
        <v>1</v>
      </c>
      <c r="F571" s="262" t="str">
        <f ca="1">IF(OFFSET('IWP25'!BackgroundChecks, 8, 6, 1, 1) = 0, "", OFFSET('IWP25'!BackgroundChecks, 8, 6, 1, 1))</f>
        <v/>
      </c>
      <c r="G571" s="254">
        <f ca="1">IF(OFFSET('IWP25'!BackgroundChecks, 8, 7, 1, 1)=DATE(1900,1,0), DATE(1900,1,1), OFFSET('IWP25'!BackgroundChecks, 8, 7, 1, 1))</f>
        <v>1</v>
      </c>
      <c r="H571" s="254">
        <f ca="1">IF(OFFSET('IWP25'!BackgroundChecks, 8, 8, 1, 1)=DATE(1900,1,0), DATE(1900,1,1), OFFSET('IWP25'!BackgroundChecks, 8, 8, 1, 1))</f>
        <v>1</v>
      </c>
      <c r="I571" s="262" t="str">
        <f ca="1">IF(OFFSET('IWP25'!BackgroundChecks, 8, 9, 1, 1) = 0, "", OFFSET('IWP25'!BackgroundChecks, 8, 9, 1, 1))</f>
        <v/>
      </c>
      <c r="J571" s="262" t="str">
        <f ca="1">IF(OFFSET('IWP25'!BackgroundChecks, 8, 10, 1, 1) = 0, "", OFFSET('IWP25'!BackgroundChecks, 8, 10, 1, 1))</f>
        <v/>
      </c>
      <c r="K571" s="262" t="str">
        <f ca="1">IF(OFFSET('IWP25'!BackgroundChecks, 8, 11, 1, 1) = 0, "", OFFSET('IWP25'!BackgroundChecks, 8, 11, 1, 1))</f>
        <v/>
      </c>
      <c r="L571" s="262" t="str">
        <f ca="1">IF(OFFSET('IWP25'!BackgroundChecks, 8, 12, 1, 1) = 0, "", OFFSET('IWP25'!BackgroundChecks, 8, 12, 1, 1))</f>
        <v/>
      </c>
      <c r="M571" s="262" t="str">
        <f ca="1">IF(OFFSET('IWP25'!BackgroundChecks, 8, 13, 1, 1) = 0, "", OFFSET('IWP25'!BackgroundChecks, 8, 13, 1, 1))</f>
        <v/>
      </c>
      <c r="N571" s="261"/>
    </row>
    <row r="572" spans="1:14" s="146" customFormat="1">
      <c r="A572" s="257" t="s">
        <v>523</v>
      </c>
      <c r="B572" s="262" t="str">
        <f ca="1">IF(OFFSET('IWP25'!BackgroundChecks, 9, 0, 1, 1) = 0, "", OFFSET('IWP25'!BackgroundChecks, 9, 0, 1, 1))</f>
        <v/>
      </c>
      <c r="C572" s="262" t="str">
        <f ca="1">IF(OFFSET('IWP25'!BackgroundChecks, 9, 2, 1, 1) = 0, "", OFFSET('IWP25'!BackgroundChecks, 9, 2, 1, 1))</f>
        <v/>
      </c>
      <c r="D572" s="262" t="str">
        <f ca="1">IF(OFFSET('IWP25'!BackgroundChecks, 9, 4, 1, 1) = 0, "", OFFSET('IWP25'!BackgroundChecks, 9, 4, 1, 1))</f>
        <v/>
      </c>
      <c r="E572" s="254">
        <f ca="1">IF(OFFSET('IWP25'!BackgroundChecks, 9, 5, 1, 1)=DATE(1900,1,0), DATE(1900,1,1), OFFSET('IWP25'!BackgroundChecks, 9, 5, 1, 1))</f>
        <v>1</v>
      </c>
      <c r="F572" s="262" t="str">
        <f ca="1">IF(OFFSET('IWP25'!BackgroundChecks, 9, 6, 1, 1) = 0, "", OFFSET('IWP25'!BackgroundChecks, 9, 6, 1, 1))</f>
        <v/>
      </c>
      <c r="G572" s="254">
        <f ca="1">IF(OFFSET('IWP25'!BackgroundChecks, 9, 7, 1, 1)=DATE(1900,1,0), DATE(1900,1,1), OFFSET('IWP25'!BackgroundChecks, 9, 7, 1, 1))</f>
        <v>1</v>
      </c>
      <c r="H572" s="254">
        <f ca="1">IF(OFFSET('IWP25'!BackgroundChecks, 9, 8, 1, 1)=DATE(1900,1,0), DATE(1900,1,1), OFFSET('IWP25'!BackgroundChecks, 9, 8, 1, 1))</f>
        <v>1</v>
      </c>
      <c r="I572" s="262" t="str">
        <f ca="1">IF(OFFSET('IWP25'!BackgroundChecks, 9, 9, 1, 1) = 0, "", OFFSET('IWP25'!BackgroundChecks, 9, 9, 1, 1))</f>
        <v/>
      </c>
      <c r="J572" s="262" t="str">
        <f ca="1">IF(OFFSET('IWP25'!BackgroundChecks, 9, 10, 1, 1) = 0, "", OFFSET('IWP25'!BackgroundChecks, 9, 10, 1, 1))</f>
        <v/>
      </c>
      <c r="K572" s="262" t="str">
        <f ca="1">IF(OFFSET('IWP25'!BackgroundChecks, 9, 11, 1, 1) = 0, "", OFFSET('IWP25'!BackgroundChecks, 9, 11, 1, 1))</f>
        <v/>
      </c>
      <c r="L572" s="262" t="str">
        <f ca="1">IF(OFFSET('IWP25'!BackgroundChecks, 9, 12, 1, 1) = 0, "", OFFSET('IWP25'!BackgroundChecks, 9, 12, 1, 1))</f>
        <v/>
      </c>
      <c r="M572" s="262" t="str">
        <f ca="1">IF(OFFSET('IWP25'!BackgroundChecks, 9, 13, 1, 1) = 0, "", OFFSET('IWP25'!BackgroundChecks, 9, 13, 1, 1))</f>
        <v/>
      </c>
      <c r="N572" s="261"/>
    </row>
    <row r="573" spans="1:14" s="146" customFormat="1">
      <c r="A573" s="257" t="s">
        <v>523</v>
      </c>
      <c r="B573" s="262" t="str">
        <f ca="1">IF(OFFSET('IWP25'!BackgroundChecks, 10, 0, 1, 1) = 0, "", OFFSET('IWP25'!BackgroundChecks, 10, 0, 1, 1))</f>
        <v/>
      </c>
      <c r="C573" s="262" t="str">
        <f ca="1">IF(OFFSET('IWP25'!BackgroundChecks, 10, 2, 1, 1) = 0, "", OFFSET('IWP25'!BackgroundChecks, 10, 2, 1, 1))</f>
        <v/>
      </c>
      <c r="D573" s="262" t="str">
        <f ca="1">IF(OFFSET('IWP25'!BackgroundChecks, 10, 4, 1, 1) = 0, "", OFFSET('IWP25'!BackgroundChecks, 10, 4, 1, 1))</f>
        <v/>
      </c>
      <c r="E573" s="254">
        <f ca="1">IF(OFFSET('IWP25'!BackgroundChecks, 10, 5, 1, 1)=DATE(1900,1,0), DATE(1900,1,1), OFFSET('IWP25'!BackgroundChecks, 10, 5, 1, 1))</f>
        <v>1</v>
      </c>
      <c r="F573" s="262" t="str">
        <f ca="1">IF(OFFSET('IWP25'!BackgroundChecks, 10, 6, 1, 1) = 0, "", OFFSET('IWP25'!BackgroundChecks, 10, 6, 1, 1))</f>
        <v/>
      </c>
      <c r="G573" s="254">
        <f ca="1">IF(OFFSET('IWP25'!BackgroundChecks, 10, 7, 1, 1)=DATE(1900,1,0), DATE(1900,1,1), OFFSET('IWP25'!BackgroundChecks, 10, 7, 1, 1))</f>
        <v>1</v>
      </c>
      <c r="H573" s="254">
        <f ca="1">IF(OFFSET('IWP25'!BackgroundChecks, 10, 8, 1, 1)=DATE(1900,1,0), DATE(1900,1,1), OFFSET('IWP25'!BackgroundChecks, 10, 8, 1, 1))</f>
        <v>1</v>
      </c>
      <c r="I573" s="262" t="str">
        <f ca="1">IF(OFFSET('IWP25'!BackgroundChecks, 10, 9, 1, 1) = 0, "", OFFSET('IWP25'!BackgroundChecks, 10, 9, 1, 1))</f>
        <v/>
      </c>
      <c r="J573" s="262" t="str">
        <f ca="1">IF(OFFSET('IWP25'!BackgroundChecks, 10, 10, 1, 1) = 0, "", OFFSET('IWP25'!BackgroundChecks, 10, 10, 1, 1))</f>
        <v/>
      </c>
      <c r="K573" s="262" t="str">
        <f ca="1">IF(OFFSET('IWP25'!BackgroundChecks, 10, 11, 1, 1) = 0, "", OFFSET('IWP25'!BackgroundChecks, 10, 11, 1, 1))</f>
        <v/>
      </c>
      <c r="L573" s="262" t="str">
        <f ca="1">IF(OFFSET('IWP25'!BackgroundChecks, 10, 12, 1, 1) = 0, "", OFFSET('IWP25'!BackgroundChecks, 10, 12, 1, 1))</f>
        <v/>
      </c>
      <c r="M573" s="262" t="str">
        <f ca="1">IF(OFFSET('IWP25'!BackgroundChecks, 10, 13, 1, 1) = 0, "", OFFSET('IWP25'!BackgroundChecks, 10, 13, 1, 1))</f>
        <v/>
      </c>
      <c r="N573" s="261"/>
    </row>
    <row r="574" spans="1:14" s="146" customFormat="1">
      <c r="A574" s="257" t="s">
        <v>523</v>
      </c>
      <c r="B574" s="262" t="str">
        <f ca="1">IF(OFFSET('IWP25'!BackgroundChecks, 11, 0, 1, 1) = 0, "", OFFSET('IWP25'!BackgroundChecks, 11, 0, 1, 1))</f>
        <v/>
      </c>
      <c r="C574" s="262" t="str">
        <f ca="1">IF(OFFSET('IWP25'!BackgroundChecks, 11, 2, 1, 1) = 0, "", OFFSET('IWP25'!BackgroundChecks, 11, 2, 1, 1))</f>
        <v/>
      </c>
      <c r="D574" s="262" t="str">
        <f ca="1">IF(OFFSET('IWP25'!BackgroundChecks, 11, 4, 1, 1) = 0, "", OFFSET('IWP25'!BackgroundChecks, 11, 4, 1, 1))</f>
        <v/>
      </c>
      <c r="E574" s="254">
        <f ca="1">IF(OFFSET('IWP25'!BackgroundChecks, 11, 5, 1, 1)=DATE(1900,1,0), DATE(1900,1,1), OFFSET('IWP25'!BackgroundChecks, 11, 5, 1, 1))</f>
        <v>1</v>
      </c>
      <c r="F574" s="262" t="str">
        <f ca="1">IF(OFFSET('IWP25'!BackgroundChecks, 11, 6, 1, 1) = 0, "", OFFSET('IWP25'!BackgroundChecks, 11, 6, 1, 1))</f>
        <v/>
      </c>
      <c r="G574" s="254">
        <f ca="1">IF(OFFSET('IWP25'!BackgroundChecks, 11, 7, 1, 1)=DATE(1900,1,0), DATE(1900,1,1), OFFSET('IWP25'!BackgroundChecks, 11, 7, 1, 1))</f>
        <v>1</v>
      </c>
      <c r="H574" s="254">
        <f ca="1">IF(OFFSET('IWP25'!BackgroundChecks, 11, 8, 1, 1)=DATE(1900,1,0), DATE(1900,1,1), OFFSET('IWP25'!BackgroundChecks, 11, 8, 1, 1))</f>
        <v>1</v>
      </c>
      <c r="I574" s="262" t="str">
        <f ca="1">IF(OFFSET('IWP25'!BackgroundChecks, 11, 9, 1, 1) = 0, "", OFFSET('IWP25'!BackgroundChecks, 11, 9, 1, 1))</f>
        <v/>
      </c>
      <c r="J574" s="262" t="str">
        <f ca="1">IF(OFFSET('IWP25'!BackgroundChecks, 11, 10, 1, 1) = 0, "", OFFSET('IWP25'!BackgroundChecks, 11, 10, 1, 1))</f>
        <v/>
      </c>
      <c r="K574" s="262" t="str">
        <f ca="1">IF(OFFSET('IWP25'!BackgroundChecks, 11, 11, 1, 1) = 0, "", OFFSET('IWP25'!BackgroundChecks, 11, 11, 1, 1))</f>
        <v/>
      </c>
      <c r="L574" s="262" t="str">
        <f ca="1">IF(OFFSET('IWP25'!BackgroundChecks, 11, 12, 1, 1) = 0, "", OFFSET('IWP25'!BackgroundChecks, 11, 12, 1, 1))</f>
        <v/>
      </c>
      <c r="M574" s="262" t="str">
        <f ca="1">IF(OFFSET('IWP25'!BackgroundChecks, 11, 13, 1, 1) = 0, "", OFFSET('IWP25'!BackgroundChecks, 11, 13, 1, 1))</f>
        <v/>
      </c>
      <c r="N574" s="261"/>
    </row>
    <row r="575" spans="1:14" s="146" customFormat="1">
      <c r="A575" s="257" t="s">
        <v>523</v>
      </c>
      <c r="B575" s="262" t="str">
        <f ca="1">IF(OFFSET('IWP25'!BackgroundChecks, 12, 0, 1, 1) = 0, "", OFFSET('IWP25'!BackgroundChecks, 12, 0, 1, 1))</f>
        <v/>
      </c>
      <c r="C575" s="262" t="str">
        <f ca="1">IF(OFFSET('IWP25'!BackgroundChecks, 12, 2, 1, 1) = 0, "", OFFSET('IWP25'!BackgroundChecks, 12, 2, 1, 1))</f>
        <v/>
      </c>
      <c r="D575" s="262" t="str">
        <f ca="1">IF(OFFSET('IWP25'!BackgroundChecks, 12, 4, 1, 1) = 0, "", OFFSET('IWP25'!BackgroundChecks, 12, 4, 1, 1))</f>
        <v/>
      </c>
      <c r="E575" s="254">
        <f ca="1">IF(OFFSET('IWP25'!BackgroundChecks, 12, 5, 1, 1)=DATE(1900,1,0), DATE(1900,1,1), OFFSET('IWP25'!BackgroundChecks, 12, 5, 1, 1))</f>
        <v>1</v>
      </c>
      <c r="F575" s="262" t="str">
        <f ca="1">IF(OFFSET('IWP25'!BackgroundChecks, 12, 6, 1, 1) = 0, "", OFFSET('IWP25'!BackgroundChecks, 12, 6, 1, 1))</f>
        <v/>
      </c>
      <c r="G575" s="254">
        <f ca="1">IF(OFFSET('IWP25'!BackgroundChecks, 12, 7, 1, 1)=DATE(1900,1,0), DATE(1900,1,1), OFFSET('IWP25'!BackgroundChecks, 12, 7, 1, 1))</f>
        <v>1</v>
      </c>
      <c r="H575" s="254">
        <f ca="1">IF(OFFSET('IWP25'!BackgroundChecks, 12, 8, 1, 1)=DATE(1900,1,0), DATE(1900,1,1), OFFSET('IWP25'!BackgroundChecks, 12, 8, 1, 1))</f>
        <v>1</v>
      </c>
      <c r="I575" s="262" t="str">
        <f ca="1">IF(OFFSET('IWP25'!BackgroundChecks, 12, 9, 1, 1) = 0, "", OFFSET('IWP25'!BackgroundChecks, 12, 9, 1, 1))</f>
        <v/>
      </c>
      <c r="J575" s="262" t="str">
        <f ca="1">IF(OFFSET('IWP25'!BackgroundChecks, 12, 10, 1, 1) = 0, "", OFFSET('IWP25'!BackgroundChecks, 12, 10, 1, 1))</f>
        <v/>
      </c>
      <c r="K575" s="262" t="str">
        <f ca="1">IF(OFFSET('IWP25'!BackgroundChecks, 12, 11, 1, 1) = 0, "", OFFSET('IWP25'!BackgroundChecks, 12, 11, 1, 1))</f>
        <v/>
      </c>
      <c r="L575" s="262" t="str">
        <f ca="1">IF(OFFSET('IWP25'!BackgroundChecks, 12, 12, 1, 1) = 0, "", OFFSET('IWP25'!BackgroundChecks, 12, 12, 1, 1))</f>
        <v/>
      </c>
      <c r="M575" s="262" t="str">
        <f ca="1">IF(OFFSET('IWP25'!BackgroundChecks, 12, 13, 1, 1) = 0, "", OFFSET('IWP25'!BackgroundChecks, 12, 13, 1, 1))</f>
        <v/>
      </c>
      <c r="N575" s="261"/>
    </row>
    <row r="576" spans="1:14" s="146" customFormat="1">
      <c r="A576" s="257" t="s">
        <v>523</v>
      </c>
      <c r="B576" s="262" t="str">
        <f ca="1">IF(OFFSET('IWP25'!BackgroundChecks, 13, 0, 1, 1) = 0, "", OFFSET('IWP25'!BackgroundChecks, 13, 0, 1, 1))</f>
        <v/>
      </c>
      <c r="C576" s="262" t="str">
        <f ca="1">IF(OFFSET('IWP25'!BackgroundChecks, 13, 2, 1, 1) = 0, "", OFFSET('IWP25'!BackgroundChecks, 13, 2, 1, 1))</f>
        <v/>
      </c>
      <c r="D576" s="262" t="str">
        <f ca="1">IF(OFFSET('IWP25'!BackgroundChecks, 13, 4, 1, 1) = 0, "", OFFSET('IWP25'!BackgroundChecks, 13, 4, 1, 1))</f>
        <v/>
      </c>
      <c r="E576" s="254">
        <f ca="1">IF(OFFSET('IWP25'!BackgroundChecks, 13, 5, 1, 1)=DATE(1900,1,0), DATE(1900,1,1), OFFSET('IWP25'!BackgroundChecks, 13, 5, 1, 1))</f>
        <v>1</v>
      </c>
      <c r="F576" s="262" t="str">
        <f ca="1">IF(OFFSET('IWP25'!BackgroundChecks, 13, 6, 1, 1) = 0, "", OFFSET('IWP25'!BackgroundChecks, 13, 6, 1, 1))</f>
        <v/>
      </c>
      <c r="G576" s="254">
        <f ca="1">IF(OFFSET('IWP25'!BackgroundChecks, 13, 7, 1, 1)=DATE(1900,1,0), DATE(1900,1,1), OFFSET('IWP25'!BackgroundChecks, 13, 7, 1, 1))</f>
        <v>1</v>
      </c>
      <c r="H576" s="254">
        <f ca="1">IF(OFFSET('IWP25'!BackgroundChecks, 13, 8, 1, 1)=DATE(1900,1,0), DATE(1900,1,1), OFFSET('IWP25'!BackgroundChecks, 13, 8, 1, 1))</f>
        <v>1</v>
      </c>
      <c r="I576" s="262" t="str">
        <f ca="1">IF(OFFSET('IWP25'!BackgroundChecks, 13, 9, 1, 1) = 0, "", OFFSET('IWP25'!BackgroundChecks, 13, 9, 1, 1))</f>
        <v/>
      </c>
      <c r="J576" s="262" t="str">
        <f ca="1">IF(OFFSET('IWP25'!BackgroundChecks, 13, 10, 1, 1) = 0, "", OFFSET('IWP25'!BackgroundChecks, 13, 10, 1, 1))</f>
        <v/>
      </c>
      <c r="K576" s="262" t="str">
        <f ca="1">IF(OFFSET('IWP25'!BackgroundChecks, 13, 11, 1, 1) = 0, "", OFFSET('IWP25'!BackgroundChecks, 13, 11, 1, 1))</f>
        <v/>
      </c>
      <c r="L576" s="262" t="str">
        <f ca="1">IF(OFFSET('IWP25'!BackgroundChecks, 13, 12, 1, 1) = 0, "", OFFSET('IWP25'!BackgroundChecks, 13, 12, 1, 1))</f>
        <v/>
      </c>
      <c r="M576" s="262" t="str">
        <f ca="1">IF(OFFSET('IWP25'!BackgroundChecks, 13, 13, 1, 1) = 0, "", OFFSET('IWP25'!BackgroundChecks, 13, 13, 1, 1))</f>
        <v/>
      </c>
      <c r="N576" s="261"/>
    </row>
    <row r="577" spans="1:14" s="146" customFormat="1">
      <c r="A577" s="257" t="s">
        <v>523</v>
      </c>
      <c r="B577" s="262" t="str">
        <f ca="1">IF(OFFSET('IWP25'!BackgroundChecks, 14, 0, 1, 1) = 0, "", OFFSET('IWP25'!BackgroundChecks, 14, 0, 1, 1))</f>
        <v/>
      </c>
      <c r="C577" s="262" t="str">
        <f ca="1">IF(OFFSET('IWP25'!BackgroundChecks, 14, 2, 1, 1) = 0, "", OFFSET('IWP25'!BackgroundChecks, 14, 2, 1, 1))</f>
        <v/>
      </c>
      <c r="D577" s="262" t="str">
        <f ca="1">IF(OFFSET('IWP25'!BackgroundChecks, 14, 4, 1, 1) = 0, "", OFFSET('IWP25'!BackgroundChecks, 14, 4, 1, 1))</f>
        <v/>
      </c>
      <c r="E577" s="254">
        <f ca="1">IF(OFFSET('IWP25'!BackgroundChecks, 14, 5, 1, 1)=DATE(1900,1,0), DATE(1900,1,1), OFFSET('IWP25'!BackgroundChecks, 14, 5, 1, 1))</f>
        <v>1</v>
      </c>
      <c r="F577" s="262" t="str">
        <f ca="1">IF(OFFSET('IWP25'!BackgroundChecks, 14, 6, 1, 1) = 0, "", OFFSET('IWP25'!BackgroundChecks, 14, 6, 1, 1))</f>
        <v/>
      </c>
      <c r="G577" s="254">
        <f ca="1">IF(OFFSET('IWP25'!BackgroundChecks, 14, 7, 1, 1)=DATE(1900,1,0), DATE(1900,1,1), OFFSET('IWP25'!BackgroundChecks, 14, 7, 1, 1))</f>
        <v>1</v>
      </c>
      <c r="H577" s="254">
        <f ca="1">IF(OFFSET('IWP25'!BackgroundChecks, 14, 8, 1, 1)=DATE(1900,1,0), DATE(1900,1,1), OFFSET('IWP25'!BackgroundChecks, 14, 8, 1, 1))</f>
        <v>1</v>
      </c>
      <c r="I577" s="262" t="str">
        <f ca="1">IF(OFFSET('IWP25'!BackgroundChecks, 14, 9, 1, 1) = 0, "", OFFSET('IWP25'!BackgroundChecks, 14, 9, 1, 1))</f>
        <v/>
      </c>
      <c r="J577" s="262" t="str">
        <f ca="1">IF(OFFSET('IWP25'!BackgroundChecks, 14, 10, 1, 1) = 0, "", OFFSET('IWP25'!BackgroundChecks, 14, 10, 1, 1))</f>
        <v/>
      </c>
      <c r="K577" s="262" t="str">
        <f ca="1">IF(OFFSET('IWP25'!BackgroundChecks, 14, 11, 1, 1) = 0, "", OFFSET('IWP25'!BackgroundChecks, 14, 11, 1, 1))</f>
        <v/>
      </c>
      <c r="L577" s="262" t="str">
        <f ca="1">IF(OFFSET('IWP25'!BackgroundChecks, 14, 12, 1, 1) = 0, "", OFFSET('IWP25'!BackgroundChecks, 14, 12, 1, 1))</f>
        <v/>
      </c>
      <c r="M577" s="262" t="str">
        <f ca="1">IF(OFFSET('IWP25'!BackgroundChecks, 14, 13, 1, 1) = 0, "", OFFSET('IWP25'!BackgroundChecks, 14, 13, 1, 1))</f>
        <v/>
      </c>
      <c r="N577" s="261"/>
    </row>
    <row r="578" spans="1:14" s="146" customFormat="1">
      <c r="A578" s="257" t="s">
        <v>523</v>
      </c>
      <c r="B578" s="262" t="str">
        <f ca="1">IF(OFFSET('IWP25'!BackgroundChecks, 15, 0, 1, 1) = 0, "", OFFSET('IWP25'!BackgroundChecks, 15, 0, 1, 1))</f>
        <v/>
      </c>
      <c r="C578" s="262" t="str">
        <f ca="1">IF(OFFSET('IWP25'!BackgroundChecks, 15, 2, 1, 1) = 0, "", OFFSET('IWP25'!BackgroundChecks, 15, 2, 1, 1))</f>
        <v/>
      </c>
      <c r="D578" s="262" t="str">
        <f ca="1">IF(OFFSET('IWP25'!BackgroundChecks, 15, 4, 1, 1) = 0, "", OFFSET('IWP25'!BackgroundChecks, 15, 4, 1, 1))</f>
        <v/>
      </c>
      <c r="E578" s="254">
        <f ca="1">IF(OFFSET('IWP25'!BackgroundChecks, 15, 5, 1, 1)=DATE(1900,1,0), DATE(1900,1,1), OFFSET('IWP25'!BackgroundChecks, 15, 5, 1, 1))</f>
        <v>1</v>
      </c>
      <c r="F578" s="262" t="str">
        <f ca="1">IF(OFFSET('IWP25'!BackgroundChecks, 15, 6, 1, 1) = 0, "", OFFSET('IWP25'!BackgroundChecks, 15, 6, 1, 1))</f>
        <v/>
      </c>
      <c r="G578" s="254">
        <f ca="1">IF(OFFSET('IWP25'!BackgroundChecks, 15, 7, 1, 1)=DATE(1900,1,0), DATE(1900,1,1), OFFSET('IWP25'!BackgroundChecks, 15, 7, 1, 1))</f>
        <v>1</v>
      </c>
      <c r="H578" s="254">
        <f ca="1">IF(OFFSET('IWP25'!BackgroundChecks, 15, 8, 1, 1)=DATE(1900,1,0), DATE(1900,1,1), OFFSET('IWP25'!BackgroundChecks, 15, 8, 1, 1))</f>
        <v>1</v>
      </c>
      <c r="I578" s="262" t="str">
        <f ca="1">IF(OFFSET('IWP25'!BackgroundChecks, 15, 9, 1, 1) = 0, "", OFFSET('IWP25'!BackgroundChecks, 15, 9, 1, 1))</f>
        <v/>
      </c>
      <c r="J578" s="262" t="str">
        <f ca="1">IF(OFFSET('IWP25'!BackgroundChecks, 15, 10, 1, 1) = 0, "", OFFSET('IWP25'!BackgroundChecks, 15, 10, 1, 1))</f>
        <v/>
      </c>
      <c r="K578" s="262" t="str">
        <f ca="1">IF(OFFSET('IWP25'!BackgroundChecks, 15, 11, 1, 1) = 0, "", OFFSET('IWP25'!BackgroundChecks, 15, 11, 1, 1))</f>
        <v/>
      </c>
      <c r="L578" s="262" t="str">
        <f ca="1">IF(OFFSET('IWP25'!BackgroundChecks, 15, 12, 1, 1) = 0, "", OFFSET('IWP25'!BackgroundChecks, 15, 12, 1, 1))</f>
        <v/>
      </c>
      <c r="M578" s="262" t="str">
        <f ca="1">IF(OFFSET('IWP25'!BackgroundChecks, 15, 13, 1, 1) = 0, "", OFFSET('IWP25'!BackgroundChecks, 15, 13, 1, 1))</f>
        <v/>
      </c>
      <c r="N578" s="261"/>
    </row>
    <row r="579" spans="1:14" s="146" customFormat="1">
      <c r="A579" s="257" t="s">
        <v>523</v>
      </c>
      <c r="B579" s="262" t="str">
        <f ca="1">IF(OFFSET('IWP25'!BackgroundChecks, 16, 0, 1, 1) = 0, "", OFFSET('IWP25'!BackgroundChecks, 16, 0, 1, 1))</f>
        <v/>
      </c>
      <c r="C579" s="262" t="str">
        <f ca="1">IF(OFFSET('IWP25'!BackgroundChecks, 16, 2, 1, 1) = 0, "", OFFSET('IWP25'!BackgroundChecks, 16, 2, 1, 1))</f>
        <v/>
      </c>
      <c r="D579" s="262" t="str">
        <f ca="1">IF(OFFSET('IWP25'!BackgroundChecks, 16, 4, 1, 1) = 0, "", OFFSET('IWP25'!BackgroundChecks, 16, 4, 1, 1))</f>
        <v/>
      </c>
      <c r="E579" s="254">
        <f ca="1">IF(OFFSET('IWP25'!BackgroundChecks, 16, 5, 1, 1)=DATE(1900,1,0), DATE(1900,1,1), OFFSET('IWP25'!BackgroundChecks, 16, 5, 1, 1))</f>
        <v>1</v>
      </c>
      <c r="F579" s="262" t="str">
        <f ca="1">IF(OFFSET('IWP25'!BackgroundChecks, 16, 6, 1, 1) = 0, "", OFFSET('IWP25'!BackgroundChecks, 16, 6, 1, 1))</f>
        <v/>
      </c>
      <c r="G579" s="254">
        <f ca="1">IF(OFFSET('IWP25'!BackgroundChecks, 16, 7, 1, 1)=DATE(1900,1,0), DATE(1900,1,1), OFFSET('IWP25'!BackgroundChecks, 16, 7, 1, 1))</f>
        <v>1</v>
      </c>
      <c r="H579" s="254">
        <f ca="1">IF(OFFSET('IWP25'!BackgroundChecks, 16, 8, 1, 1)=DATE(1900,1,0), DATE(1900,1,1), OFFSET('IWP25'!BackgroundChecks, 16, 8, 1, 1))</f>
        <v>1</v>
      </c>
      <c r="I579" s="262" t="str">
        <f ca="1">IF(OFFSET('IWP25'!BackgroundChecks, 16, 9, 1, 1) = 0, "", OFFSET('IWP25'!BackgroundChecks, 16, 9, 1, 1))</f>
        <v/>
      </c>
      <c r="J579" s="262" t="str">
        <f ca="1">IF(OFFSET('IWP25'!BackgroundChecks, 16, 10, 1, 1) = 0, "", OFFSET('IWP25'!BackgroundChecks, 16, 10, 1, 1))</f>
        <v/>
      </c>
      <c r="K579" s="262" t="str">
        <f ca="1">IF(OFFSET('IWP25'!BackgroundChecks, 16, 11, 1, 1) = 0, "", OFFSET('IWP25'!BackgroundChecks, 16, 11, 1, 1))</f>
        <v/>
      </c>
      <c r="L579" s="262" t="str">
        <f ca="1">IF(OFFSET('IWP25'!BackgroundChecks, 16, 12, 1, 1) = 0, "", OFFSET('IWP25'!BackgroundChecks, 16, 12, 1, 1))</f>
        <v/>
      </c>
      <c r="M579" s="262" t="str">
        <f ca="1">IF(OFFSET('IWP25'!BackgroundChecks, 16, 13, 1, 1) = 0, "", OFFSET('IWP25'!BackgroundChecks, 16, 13, 1, 1))</f>
        <v/>
      </c>
      <c r="N579" s="261"/>
    </row>
    <row r="580" spans="1:14" s="146" customFormat="1">
      <c r="A580" s="257" t="s">
        <v>523</v>
      </c>
      <c r="B580" s="262" t="str">
        <f ca="1">IF(OFFSET('IWP25'!BackgroundChecks, 17, 0, 1, 1) = 0, "", OFFSET('IWP25'!BackgroundChecks, 17, 0, 1, 1))</f>
        <v/>
      </c>
      <c r="C580" s="262" t="str">
        <f ca="1">IF(OFFSET('IWP25'!BackgroundChecks, 17, 2, 1, 1) = 0, "", OFFSET('IWP25'!BackgroundChecks, 17, 2, 1, 1))</f>
        <v/>
      </c>
      <c r="D580" s="262" t="str">
        <f ca="1">IF(OFFSET('IWP25'!BackgroundChecks, 17, 4, 1, 1) = 0, "", OFFSET('IWP25'!BackgroundChecks, 17, 4, 1, 1))</f>
        <v/>
      </c>
      <c r="E580" s="254">
        <f ca="1">IF(OFFSET('IWP25'!BackgroundChecks, 17, 5, 1, 1)=DATE(1900,1,0), DATE(1900,1,1), OFFSET('IWP25'!BackgroundChecks, 17, 5, 1, 1))</f>
        <v>1</v>
      </c>
      <c r="F580" s="262" t="str">
        <f ca="1">IF(OFFSET('IWP25'!BackgroundChecks, 17, 6, 1, 1) = 0, "", OFFSET('IWP25'!BackgroundChecks, 17, 6, 1, 1))</f>
        <v/>
      </c>
      <c r="G580" s="254">
        <f ca="1">IF(OFFSET('IWP25'!BackgroundChecks, 17, 7, 1, 1)=DATE(1900,1,0), DATE(1900,1,1), OFFSET('IWP25'!BackgroundChecks, 17, 7, 1, 1))</f>
        <v>1</v>
      </c>
      <c r="H580" s="254">
        <f ca="1">IF(OFFSET('IWP25'!BackgroundChecks, 17, 8, 1, 1)=DATE(1900,1,0), DATE(1900,1,1), OFFSET('IWP25'!BackgroundChecks, 17, 8, 1, 1))</f>
        <v>1</v>
      </c>
      <c r="I580" s="262" t="str">
        <f ca="1">IF(OFFSET('IWP25'!BackgroundChecks, 17, 9, 1, 1) = 0, "", OFFSET('IWP25'!BackgroundChecks, 17, 9, 1, 1))</f>
        <v/>
      </c>
      <c r="J580" s="262" t="str">
        <f ca="1">IF(OFFSET('IWP25'!BackgroundChecks, 17, 10, 1, 1) = 0, "", OFFSET('IWP25'!BackgroundChecks, 17, 10, 1, 1))</f>
        <v/>
      </c>
      <c r="K580" s="262" t="str">
        <f ca="1">IF(OFFSET('IWP25'!BackgroundChecks, 17, 11, 1, 1) = 0, "", OFFSET('IWP25'!BackgroundChecks, 17, 11, 1, 1))</f>
        <v/>
      </c>
      <c r="L580" s="262" t="str">
        <f ca="1">IF(OFFSET('IWP25'!BackgroundChecks, 17, 12, 1, 1) = 0, "", OFFSET('IWP25'!BackgroundChecks, 17, 12, 1, 1))</f>
        <v/>
      </c>
      <c r="M580" s="262" t="str">
        <f ca="1">IF(OFFSET('IWP25'!BackgroundChecks, 17, 13, 1, 1) = 0, "", OFFSET('IWP25'!BackgroundChecks, 17, 13, 1, 1))</f>
        <v/>
      </c>
      <c r="N580" s="261"/>
    </row>
    <row r="581" spans="1:14" s="146" customFormat="1">
      <c r="A581" s="257" t="s">
        <v>523</v>
      </c>
      <c r="B581" s="262" t="str">
        <f ca="1">IF(OFFSET('IWP25'!BackgroundChecks, 18, 0, 1, 1) = 0, "", OFFSET('IWP25'!BackgroundChecks, 18, 0, 1, 1))</f>
        <v/>
      </c>
      <c r="C581" s="262" t="str">
        <f ca="1">IF(OFFSET('IWP25'!BackgroundChecks, 18, 2, 1, 1) = 0, "", OFFSET('IWP25'!BackgroundChecks, 18, 2, 1, 1))</f>
        <v/>
      </c>
      <c r="D581" s="262" t="str">
        <f ca="1">IF(OFFSET('IWP25'!BackgroundChecks, 18, 4, 1, 1) = 0, "", OFFSET('IWP25'!BackgroundChecks, 18, 4, 1, 1))</f>
        <v/>
      </c>
      <c r="E581" s="254">
        <f ca="1">IF(OFFSET('IWP25'!BackgroundChecks, 18, 5, 1, 1)=DATE(1900,1,0), DATE(1900,1,1), OFFSET('IWP25'!BackgroundChecks, 18, 5, 1, 1))</f>
        <v>1</v>
      </c>
      <c r="F581" s="262" t="str">
        <f ca="1">IF(OFFSET('IWP25'!BackgroundChecks, 18, 6, 1, 1) = 0, "", OFFSET('IWP25'!BackgroundChecks, 18, 6, 1, 1))</f>
        <v/>
      </c>
      <c r="G581" s="254">
        <f ca="1">IF(OFFSET('IWP25'!BackgroundChecks, 18, 7, 1, 1)=DATE(1900,1,0), DATE(1900,1,1), OFFSET('IWP25'!BackgroundChecks, 18, 7, 1, 1))</f>
        <v>1</v>
      </c>
      <c r="H581" s="254">
        <f ca="1">IF(OFFSET('IWP25'!BackgroundChecks, 18, 8, 1, 1)=DATE(1900,1,0), DATE(1900,1,1), OFFSET('IWP25'!BackgroundChecks, 18, 8, 1, 1))</f>
        <v>1</v>
      </c>
      <c r="I581" s="262" t="str">
        <f ca="1">IF(OFFSET('IWP25'!BackgroundChecks, 18, 9, 1, 1) = 0, "", OFFSET('IWP25'!BackgroundChecks, 18, 9, 1, 1))</f>
        <v/>
      </c>
      <c r="J581" s="262" t="str">
        <f ca="1">IF(OFFSET('IWP25'!BackgroundChecks, 18, 10, 1, 1) = 0, "", OFFSET('IWP25'!BackgroundChecks, 18, 10, 1, 1))</f>
        <v/>
      </c>
      <c r="K581" s="262" t="str">
        <f ca="1">IF(OFFSET('IWP25'!BackgroundChecks, 18, 11, 1, 1) = 0, "", OFFSET('IWP25'!BackgroundChecks, 18, 11, 1, 1))</f>
        <v/>
      </c>
      <c r="L581" s="262" t="str">
        <f ca="1">IF(OFFSET('IWP25'!BackgroundChecks, 18, 12, 1, 1) = 0, "", OFFSET('IWP25'!BackgroundChecks, 18, 12, 1, 1))</f>
        <v/>
      </c>
      <c r="M581" s="262" t="str">
        <f ca="1">IF(OFFSET('IWP25'!BackgroundChecks, 18, 13, 1, 1) = 0, "", OFFSET('IWP25'!BackgroundChecks, 18, 13, 1, 1))</f>
        <v/>
      </c>
      <c r="N581" s="261"/>
    </row>
    <row r="582" spans="1:14" s="146" customFormat="1">
      <c r="A582" s="257" t="s">
        <v>523</v>
      </c>
      <c r="B582" s="262" t="str">
        <f ca="1">IF(OFFSET('IWP25'!BackgroundChecks, 19, 0, 1, 1) = 0, "", OFFSET('IWP25'!BackgroundChecks, 19, 0, 1, 1))</f>
        <v/>
      </c>
      <c r="C582" s="262" t="str">
        <f ca="1">IF(OFFSET('IWP25'!BackgroundChecks, 19, 2, 1, 1) = 0, "", OFFSET('IWP25'!BackgroundChecks, 19, 2, 1, 1))</f>
        <v/>
      </c>
      <c r="D582" s="262" t="str">
        <f ca="1">IF(OFFSET('IWP25'!BackgroundChecks, 19, 4, 1, 1) = 0, "", OFFSET('IWP25'!BackgroundChecks, 19, 4, 1, 1))</f>
        <v/>
      </c>
      <c r="E582" s="254">
        <f ca="1">IF(OFFSET('IWP25'!BackgroundChecks, 19, 5, 1, 1)=DATE(1900,1,0), DATE(1900,1,1), OFFSET('IWP25'!BackgroundChecks, 19, 5, 1, 1))</f>
        <v>1</v>
      </c>
      <c r="F582" s="262" t="str">
        <f ca="1">IF(OFFSET('IWP25'!BackgroundChecks, 19, 6, 1, 1) = 0, "", OFFSET('IWP25'!BackgroundChecks, 19, 6, 1, 1))</f>
        <v/>
      </c>
      <c r="G582" s="254">
        <f ca="1">IF(OFFSET('IWP25'!BackgroundChecks, 19, 7, 1, 1)=DATE(1900,1,0), DATE(1900,1,1), OFFSET('IWP25'!BackgroundChecks, 19, 7, 1, 1))</f>
        <v>1</v>
      </c>
      <c r="H582" s="254">
        <f ca="1">IF(OFFSET('IWP25'!BackgroundChecks, 19, 8, 1, 1)=DATE(1900,1,0), DATE(1900,1,1), OFFSET('IWP25'!BackgroundChecks, 19, 8, 1, 1))</f>
        <v>1</v>
      </c>
      <c r="I582" s="262" t="str">
        <f ca="1">IF(OFFSET('IWP25'!BackgroundChecks, 19, 9, 1, 1) = 0, "", OFFSET('IWP25'!BackgroundChecks, 19, 9, 1, 1))</f>
        <v/>
      </c>
      <c r="J582" s="262" t="str">
        <f ca="1">IF(OFFSET('IWP25'!BackgroundChecks, 19, 10, 1, 1) = 0, "", OFFSET('IWP25'!BackgroundChecks, 19, 10, 1, 1))</f>
        <v/>
      </c>
      <c r="K582" s="262" t="str">
        <f ca="1">IF(OFFSET('IWP25'!BackgroundChecks, 19, 11, 1, 1) = 0, "", OFFSET('IWP25'!BackgroundChecks, 19, 11, 1, 1))</f>
        <v/>
      </c>
      <c r="L582" s="262" t="str">
        <f ca="1">IF(OFFSET('IWP25'!BackgroundChecks, 19, 12, 1, 1) = 0, "", OFFSET('IWP25'!BackgroundChecks, 19, 12, 1, 1))</f>
        <v/>
      </c>
      <c r="M582" s="262" t="str">
        <f ca="1">IF(OFFSET('IWP25'!BackgroundChecks, 19, 13, 1, 1) = 0, "", OFFSET('IWP25'!BackgroundChecks, 19, 13, 1, 1))</f>
        <v/>
      </c>
      <c r="N582" s="261"/>
    </row>
    <row r="583" spans="1:14" s="146" customFormat="1">
      <c r="A583" s="257" t="s">
        <v>524</v>
      </c>
      <c r="B583" s="262" t="str">
        <f ca="1">IF(OFFSET('IWP26'!BackgroundChecks, 0, 0, 1, 1) = 0, "", OFFSET('IWP26'!BackgroundChecks, 0, 0, 1, 1))</f>
        <v/>
      </c>
      <c r="C583" s="262" t="str">
        <f ca="1">IF(OFFSET('IWP26'!BackgroundChecks, 0, 2, 1, 1) = 0, "", OFFSET('IWP26'!BackgroundChecks, 0, 2, 1, 1))</f>
        <v/>
      </c>
      <c r="D583" s="262" t="str">
        <f ca="1">IF(OFFSET('IWP26'!BackgroundChecks, 0, 4, 1, 1) = 0, "", OFFSET('IWP26'!BackgroundChecks, 0, 4, 1, 1))</f>
        <v/>
      </c>
      <c r="E583" s="254">
        <f ca="1">IF(OFFSET('IWP26'!BackgroundChecks, 0, 5, 1, 1)=DATE(1900,1,0), DATE(1900,1,1), OFFSET('IWP26'!BackgroundChecks, 0, 5, 1, 1))</f>
        <v>1</v>
      </c>
      <c r="F583" s="262" t="str">
        <f ca="1">IF(OFFSET('IWP26'!BackgroundChecks, 0, 6, 1, 1) = 0, "", OFFSET('IWP26'!BackgroundChecks, 0, 6, 1, 1))</f>
        <v/>
      </c>
      <c r="G583" s="254">
        <f ca="1">IF(OFFSET('IWP26'!BackgroundChecks, 0, 7, 1, 1)=DATE(1900,1,0), DATE(1900,1,1), OFFSET('IWP26'!BackgroundChecks, 0, 7, 1, 1))</f>
        <v>1</v>
      </c>
      <c r="H583" s="254">
        <f ca="1">IF(OFFSET('IWP26'!BackgroundChecks, 0, 8, 1, 1)=DATE(1900,1,0), DATE(1900,1,1), OFFSET('IWP26'!BackgroundChecks, 0, 8, 1, 1))</f>
        <v>1</v>
      </c>
      <c r="I583" s="262" t="str">
        <f ca="1">IF(OFFSET('IWP26'!BackgroundChecks, 0, 9, 1, 1) = 0, "", OFFSET('IWP26'!BackgroundChecks, 0, 9, 1, 1))</f>
        <v/>
      </c>
      <c r="J583" s="262" t="str">
        <f ca="1">IF(OFFSET('IWP26'!BackgroundChecks, 0, 10, 1, 1) = 0, "", OFFSET('IWP26'!BackgroundChecks, 0, 10, 1, 1))</f>
        <v/>
      </c>
      <c r="K583" s="262" t="str">
        <f ca="1">IF(OFFSET('IWP26'!BackgroundChecks, 0, 11, 1, 1) = 0, "", OFFSET('IWP26'!BackgroundChecks, 0, 11, 1, 1))</f>
        <v/>
      </c>
      <c r="L583" s="262" t="str">
        <f ca="1">IF(OFFSET('IWP26'!BackgroundChecks, 0, 12, 1, 1) = 0, "", OFFSET('IWP26'!BackgroundChecks, 0, 12, 1, 1))</f>
        <v/>
      </c>
      <c r="M583" s="262" t="str">
        <f ca="1">IF(OFFSET('IWP26'!BackgroundChecks, 0, 13, 1, 1) = 0, "", OFFSET('IWP26'!BackgroundChecks, 0, 13, 1, 1))</f>
        <v/>
      </c>
      <c r="N583" s="261"/>
    </row>
    <row r="584" spans="1:14" s="146" customFormat="1">
      <c r="A584" s="257" t="s">
        <v>524</v>
      </c>
      <c r="B584" s="262" t="str">
        <f ca="1">IF(OFFSET('IWP26'!BackgroundChecks, 1, 0, 1, 1) = 0, "", OFFSET('IWP26'!BackgroundChecks, 1, 0, 1, 1))</f>
        <v/>
      </c>
      <c r="C584" s="262" t="str">
        <f ca="1">IF(OFFSET('IWP26'!BackgroundChecks, 1, 2, 1, 1) = 0, "", OFFSET('IWP26'!BackgroundChecks, 1, 2, 1, 1))</f>
        <v/>
      </c>
      <c r="D584" s="262" t="str">
        <f ca="1">IF(OFFSET('IWP26'!BackgroundChecks, 1, 4, 1, 1) = 0, "", OFFSET('IWP26'!BackgroundChecks, 1, 4, 1, 1))</f>
        <v/>
      </c>
      <c r="E584" s="254">
        <f ca="1">IF(OFFSET('IWP26'!BackgroundChecks, 1, 5, 1, 1)=DATE(1900,1,0), DATE(1900,1,1), OFFSET('IWP26'!BackgroundChecks, 1, 5, 1, 1))</f>
        <v>1</v>
      </c>
      <c r="F584" s="262" t="str">
        <f ca="1">IF(OFFSET('IWP26'!BackgroundChecks, 1, 6, 1, 1) = 0, "", OFFSET('IWP26'!BackgroundChecks, 1, 6, 1, 1))</f>
        <v/>
      </c>
      <c r="G584" s="254">
        <f ca="1">IF(OFFSET('IWP26'!BackgroundChecks, 1, 7, 1, 1)=DATE(1900,1,0), DATE(1900,1,1), OFFSET('IWP26'!BackgroundChecks, 1, 7, 1, 1))</f>
        <v>1</v>
      </c>
      <c r="H584" s="254">
        <f ca="1">IF(OFFSET('IWP26'!BackgroundChecks, 1, 8, 1, 1)=DATE(1900,1,0), DATE(1900,1,1), OFFSET('IWP26'!BackgroundChecks, 1, 8, 1, 1))</f>
        <v>1</v>
      </c>
      <c r="I584" s="262" t="str">
        <f ca="1">IF(OFFSET('IWP26'!BackgroundChecks, 1, 9, 1, 1) = 0, "", OFFSET('IWP26'!BackgroundChecks, 1, 9, 1, 1))</f>
        <v/>
      </c>
      <c r="J584" s="262" t="str">
        <f ca="1">IF(OFFSET('IWP26'!BackgroundChecks, 1, 10, 1, 1) = 0, "", OFFSET('IWP26'!BackgroundChecks, 1, 10, 1, 1))</f>
        <v/>
      </c>
      <c r="K584" s="262" t="str">
        <f ca="1">IF(OFFSET('IWP26'!BackgroundChecks, 1, 11, 1, 1) = 0, "", OFFSET('IWP26'!BackgroundChecks, 1, 11, 1, 1))</f>
        <v/>
      </c>
      <c r="L584" s="262" t="str">
        <f ca="1">IF(OFFSET('IWP26'!BackgroundChecks, 1, 12, 1, 1) = 0, "", OFFSET('IWP26'!BackgroundChecks, 1, 12, 1, 1))</f>
        <v/>
      </c>
      <c r="M584" s="262" t="str">
        <f ca="1">IF(OFFSET('IWP26'!BackgroundChecks, 1, 13, 1, 1) = 0, "", OFFSET('IWP26'!BackgroundChecks, 1, 13, 1, 1))</f>
        <v/>
      </c>
      <c r="N584" s="261"/>
    </row>
    <row r="585" spans="1:14" s="146" customFormat="1">
      <c r="A585" s="257" t="s">
        <v>524</v>
      </c>
      <c r="B585" s="262" t="str">
        <f ca="1">IF(OFFSET('IWP26'!BackgroundChecks, 2, 0, 1, 1) = 0, "", OFFSET('IWP26'!BackgroundChecks, 2, 0, 1, 1))</f>
        <v/>
      </c>
      <c r="C585" s="262" t="str">
        <f ca="1">IF(OFFSET('IWP26'!BackgroundChecks, 2, 2, 1, 1) = 0, "", OFFSET('IWP26'!BackgroundChecks, 2, 2, 1, 1))</f>
        <v/>
      </c>
      <c r="D585" s="262" t="str">
        <f ca="1">IF(OFFSET('IWP26'!BackgroundChecks, 2, 4, 1, 1) = 0, "", OFFSET('IWP26'!BackgroundChecks, 2, 4, 1, 1))</f>
        <v/>
      </c>
      <c r="E585" s="254">
        <f ca="1">IF(OFFSET('IWP26'!BackgroundChecks, 2, 5, 1, 1)=DATE(1900,1,0), DATE(1900,1,1), OFFSET('IWP26'!BackgroundChecks, 2, 5, 1, 1))</f>
        <v>1</v>
      </c>
      <c r="F585" s="262" t="str">
        <f ca="1">IF(OFFSET('IWP26'!BackgroundChecks, 2, 6, 1, 1) = 0, "", OFFSET('IWP26'!BackgroundChecks, 2, 6, 1, 1))</f>
        <v/>
      </c>
      <c r="G585" s="254">
        <f ca="1">IF(OFFSET('IWP26'!BackgroundChecks, 2, 7, 1, 1)=DATE(1900,1,0), DATE(1900,1,1), OFFSET('IWP26'!BackgroundChecks, 2, 7, 1, 1))</f>
        <v>1</v>
      </c>
      <c r="H585" s="254">
        <f ca="1">IF(OFFSET('IWP26'!BackgroundChecks, 2, 8, 1, 1)=DATE(1900,1,0), DATE(1900,1,1), OFFSET('IWP26'!BackgroundChecks, 2, 8, 1, 1))</f>
        <v>1</v>
      </c>
      <c r="I585" s="262" t="str">
        <f ca="1">IF(OFFSET('IWP26'!BackgroundChecks, 2, 9, 1, 1) = 0, "", OFFSET('IWP26'!BackgroundChecks, 2, 9, 1, 1))</f>
        <v/>
      </c>
      <c r="J585" s="262" t="str">
        <f ca="1">IF(OFFSET('IWP26'!BackgroundChecks, 2, 10, 1, 1) = 0, "", OFFSET('IWP26'!BackgroundChecks, 2, 10, 1, 1))</f>
        <v/>
      </c>
      <c r="K585" s="262" t="str">
        <f ca="1">IF(OFFSET('IWP26'!BackgroundChecks, 2, 11, 1, 1) = 0, "", OFFSET('IWP26'!BackgroundChecks, 2, 11, 1, 1))</f>
        <v/>
      </c>
      <c r="L585" s="262" t="str">
        <f ca="1">IF(OFFSET('IWP26'!BackgroundChecks, 2, 12, 1, 1) = 0, "", OFFSET('IWP26'!BackgroundChecks, 2, 12, 1, 1))</f>
        <v/>
      </c>
      <c r="M585" s="262" t="str">
        <f ca="1">IF(OFFSET('IWP26'!BackgroundChecks, 2, 13, 1, 1) = 0, "", OFFSET('IWP26'!BackgroundChecks, 2, 13, 1, 1))</f>
        <v/>
      </c>
      <c r="N585" s="261"/>
    </row>
    <row r="586" spans="1:14" s="146" customFormat="1">
      <c r="A586" s="257" t="s">
        <v>524</v>
      </c>
      <c r="B586" s="262" t="str">
        <f ca="1">IF(OFFSET('IWP26'!BackgroundChecks, 3, 0, 1, 1) = 0, "", OFFSET('IWP26'!BackgroundChecks, 3, 0, 1, 1))</f>
        <v/>
      </c>
      <c r="C586" s="262" t="str">
        <f ca="1">IF(OFFSET('IWP26'!BackgroundChecks, 3, 2, 1, 1) = 0, "", OFFSET('IWP26'!BackgroundChecks, 3, 2, 1, 1))</f>
        <v/>
      </c>
      <c r="D586" s="262" t="str">
        <f ca="1">IF(OFFSET('IWP26'!BackgroundChecks, 3, 4, 1, 1) = 0, "", OFFSET('IWP26'!BackgroundChecks, 3, 4, 1, 1))</f>
        <v/>
      </c>
      <c r="E586" s="254">
        <f ca="1">IF(OFFSET('IWP26'!BackgroundChecks, 3, 5, 1, 1)=DATE(1900,1,0), DATE(1900,1,1), OFFSET('IWP26'!BackgroundChecks, 3, 5, 1, 1))</f>
        <v>1</v>
      </c>
      <c r="F586" s="262" t="str">
        <f ca="1">IF(OFFSET('IWP26'!BackgroundChecks, 3, 6, 1, 1) = 0, "", OFFSET('IWP26'!BackgroundChecks, 3, 6, 1, 1))</f>
        <v/>
      </c>
      <c r="G586" s="254">
        <f ca="1">IF(OFFSET('IWP26'!BackgroundChecks, 3, 7, 1, 1)=DATE(1900,1,0), DATE(1900,1,1), OFFSET('IWP26'!BackgroundChecks, 3, 7, 1, 1))</f>
        <v>1</v>
      </c>
      <c r="H586" s="254">
        <f ca="1">IF(OFFSET('IWP26'!BackgroundChecks, 3, 8, 1, 1)=DATE(1900,1,0), DATE(1900,1,1), OFFSET('IWP26'!BackgroundChecks, 3, 8, 1, 1))</f>
        <v>1</v>
      </c>
      <c r="I586" s="262" t="str">
        <f ca="1">IF(OFFSET('IWP26'!BackgroundChecks, 3, 9, 1, 1) = 0, "", OFFSET('IWP26'!BackgroundChecks, 3, 9, 1, 1))</f>
        <v/>
      </c>
      <c r="J586" s="262" t="str">
        <f ca="1">IF(OFFSET('IWP26'!BackgroundChecks, 3, 10, 1, 1) = 0, "", OFFSET('IWP26'!BackgroundChecks, 3, 10, 1, 1))</f>
        <v/>
      </c>
      <c r="K586" s="262" t="str">
        <f ca="1">IF(OFFSET('IWP26'!BackgroundChecks, 3, 11, 1, 1) = 0, "", OFFSET('IWP26'!BackgroundChecks, 3, 11, 1, 1))</f>
        <v/>
      </c>
      <c r="L586" s="262" t="str">
        <f ca="1">IF(OFFSET('IWP26'!BackgroundChecks, 3, 12, 1, 1) = 0, "", OFFSET('IWP26'!BackgroundChecks, 3, 12, 1, 1))</f>
        <v/>
      </c>
      <c r="M586" s="262" t="str">
        <f ca="1">IF(OFFSET('IWP26'!BackgroundChecks, 3, 13, 1, 1) = 0, "", OFFSET('IWP26'!BackgroundChecks, 3, 13, 1, 1))</f>
        <v/>
      </c>
      <c r="N586" s="261"/>
    </row>
    <row r="587" spans="1:14" s="146" customFormat="1">
      <c r="A587" s="257" t="s">
        <v>524</v>
      </c>
      <c r="B587" s="262" t="str">
        <f ca="1">IF(OFFSET('IWP26'!BackgroundChecks, 4, 0, 1, 1) = 0, "", OFFSET('IWP26'!BackgroundChecks, 4, 0, 1, 1))</f>
        <v/>
      </c>
      <c r="C587" s="262" t="str">
        <f ca="1">IF(OFFSET('IWP26'!BackgroundChecks, 4, 2, 1, 1) = 0, "", OFFSET('IWP26'!BackgroundChecks, 4, 2, 1, 1))</f>
        <v/>
      </c>
      <c r="D587" s="262" t="str">
        <f ca="1">IF(OFFSET('IWP26'!BackgroundChecks, 4, 4, 1, 1) = 0, "", OFFSET('IWP26'!BackgroundChecks, 4, 4, 1, 1))</f>
        <v/>
      </c>
      <c r="E587" s="254">
        <f ca="1">IF(OFFSET('IWP26'!BackgroundChecks, 4, 5, 1, 1)=DATE(1900,1,0), DATE(1900,1,1), OFFSET('IWP26'!BackgroundChecks, 4, 5, 1, 1))</f>
        <v>1</v>
      </c>
      <c r="F587" s="262" t="str">
        <f ca="1">IF(OFFSET('IWP26'!BackgroundChecks, 4, 6, 1, 1) = 0, "", OFFSET('IWP26'!BackgroundChecks, 4, 6, 1, 1))</f>
        <v/>
      </c>
      <c r="G587" s="254">
        <f ca="1">IF(OFFSET('IWP26'!BackgroundChecks, 4, 7, 1, 1)=DATE(1900,1,0), DATE(1900,1,1), OFFSET('IWP26'!BackgroundChecks, 4, 7, 1, 1))</f>
        <v>1</v>
      </c>
      <c r="H587" s="254">
        <f ca="1">IF(OFFSET('IWP26'!BackgroundChecks, 4, 8, 1, 1)=DATE(1900,1,0), DATE(1900,1,1), OFFSET('IWP26'!BackgroundChecks, 4, 8, 1, 1))</f>
        <v>1</v>
      </c>
      <c r="I587" s="262" t="str">
        <f ca="1">IF(OFFSET('IWP26'!BackgroundChecks, 4, 9, 1, 1) = 0, "", OFFSET('IWP26'!BackgroundChecks, 4, 9, 1, 1))</f>
        <v/>
      </c>
      <c r="J587" s="262" t="str">
        <f ca="1">IF(OFFSET('IWP26'!BackgroundChecks, 4, 10, 1, 1) = 0, "", OFFSET('IWP26'!BackgroundChecks, 4, 10, 1, 1))</f>
        <v/>
      </c>
      <c r="K587" s="262" t="str">
        <f ca="1">IF(OFFSET('IWP26'!BackgroundChecks, 4, 11, 1, 1) = 0, "", OFFSET('IWP26'!BackgroundChecks, 4, 11, 1, 1))</f>
        <v/>
      </c>
      <c r="L587" s="262" t="str">
        <f ca="1">IF(OFFSET('IWP26'!BackgroundChecks, 4, 12, 1, 1) = 0, "", OFFSET('IWP26'!BackgroundChecks, 4, 12, 1, 1))</f>
        <v/>
      </c>
      <c r="M587" s="262" t="str">
        <f ca="1">IF(OFFSET('IWP26'!BackgroundChecks, 4, 13, 1, 1) = 0, "", OFFSET('IWP26'!BackgroundChecks, 4, 13, 1, 1))</f>
        <v/>
      </c>
      <c r="N587" s="261"/>
    </row>
    <row r="588" spans="1:14" s="146" customFormat="1">
      <c r="A588" s="257" t="s">
        <v>524</v>
      </c>
      <c r="B588" s="262" t="str">
        <f ca="1">IF(OFFSET('IWP26'!BackgroundChecks, 5, 0, 1, 1) = 0, "", OFFSET('IWP26'!BackgroundChecks, 5, 0, 1, 1))</f>
        <v/>
      </c>
      <c r="C588" s="262" t="str">
        <f ca="1">IF(OFFSET('IWP26'!BackgroundChecks, 5, 2, 1, 1) = 0, "", OFFSET('IWP26'!BackgroundChecks, 5, 2, 1, 1))</f>
        <v/>
      </c>
      <c r="D588" s="262" t="str">
        <f ca="1">IF(OFFSET('IWP26'!BackgroundChecks, 5, 4, 1, 1) = 0, "", OFFSET('IWP26'!BackgroundChecks, 5, 4, 1, 1))</f>
        <v/>
      </c>
      <c r="E588" s="254">
        <f ca="1">IF(OFFSET('IWP26'!BackgroundChecks, 5, 5, 1, 1)=DATE(1900,1,0), DATE(1900,1,1), OFFSET('IWP26'!BackgroundChecks, 5, 5, 1, 1))</f>
        <v>1</v>
      </c>
      <c r="F588" s="262" t="str">
        <f ca="1">IF(OFFSET('IWP26'!BackgroundChecks, 5, 6, 1, 1) = 0, "", OFFSET('IWP26'!BackgroundChecks, 5, 6, 1, 1))</f>
        <v/>
      </c>
      <c r="G588" s="254">
        <f ca="1">IF(OFFSET('IWP26'!BackgroundChecks, 5, 7, 1, 1)=DATE(1900,1,0), DATE(1900,1,1), OFFSET('IWP26'!BackgroundChecks, 5, 7, 1, 1))</f>
        <v>1</v>
      </c>
      <c r="H588" s="254">
        <f ca="1">IF(OFFSET('IWP26'!BackgroundChecks, 5, 8, 1, 1)=DATE(1900,1,0), DATE(1900,1,1), OFFSET('IWP26'!BackgroundChecks, 5, 8, 1, 1))</f>
        <v>1</v>
      </c>
      <c r="I588" s="262" t="str">
        <f ca="1">IF(OFFSET('IWP26'!BackgroundChecks, 5, 9, 1, 1) = 0, "", OFFSET('IWP26'!BackgroundChecks, 5, 9, 1, 1))</f>
        <v/>
      </c>
      <c r="J588" s="262" t="str">
        <f ca="1">IF(OFFSET('IWP26'!BackgroundChecks, 5, 10, 1, 1) = 0, "", OFFSET('IWP26'!BackgroundChecks, 5, 10, 1, 1))</f>
        <v/>
      </c>
      <c r="K588" s="262" t="str">
        <f ca="1">IF(OFFSET('IWP26'!BackgroundChecks, 5, 11, 1, 1) = 0, "", OFFSET('IWP26'!BackgroundChecks, 5, 11, 1, 1))</f>
        <v/>
      </c>
      <c r="L588" s="262" t="str">
        <f ca="1">IF(OFFSET('IWP26'!BackgroundChecks, 5, 12, 1, 1) = 0, "", OFFSET('IWP26'!BackgroundChecks, 5, 12, 1, 1))</f>
        <v/>
      </c>
      <c r="M588" s="262" t="str">
        <f ca="1">IF(OFFSET('IWP26'!BackgroundChecks, 5, 13, 1, 1) = 0, "", OFFSET('IWP26'!BackgroundChecks, 5, 13, 1, 1))</f>
        <v/>
      </c>
      <c r="N588" s="261"/>
    </row>
    <row r="589" spans="1:14" s="146" customFormat="1">
      <c r="A589" s="257" t="s">
        <v>524</v>
      </c>
      <c r="B589" s="262" t="str">
        <f ca="1">IF(OFFSET('IWP26'!BackgroundChecks, 6, 0, 1, 1) = 0, "", OFFSET('IWP26'!BackgroundChecks, 6, 0, 1, 1))</f>
        <v/>
      </c>
      <c r="C589" s="262" t="str">
        <f ca="1">IF(OFFSET('IWP26'!BackgroundChecks, 6, 2, 1, 1) = 0, "", OFFSET('IWP26'!BackgroundChecks, 6, 2, 1, 1))</f>
        <v/>
      </c>
      <c r="D589" s="262" t="str">
        <f ca="1">IF(OFFSET('IWP26'!BackgroundChecks, 6, 4, 1, 1) = 0, "", OFFSET('IWP26'!BackgroundChecks, 6, 4, 1, 1))</f>
        <v/>
      </c>
      <c r="E589" s="254">
        <f ca="1">IF(OFFSET('IWP26'!BackgroundChecks, 6, 5, 1, 1)=DATE(1900,1,0), DATE(1900,1,1), OFFSET('IWP26'!BackgroundChecks, 6, 5, 1, 1))</f>
        <v>1</v>
      </c>
      <c r="F589" s="262" t="str">
        <f ca="1">IF(OFFSET('IWP26'!BackgroundChecks, 6, 6, 1, 1) = 0, "", OFFSET('IWP26'!BackgroundChecks, 6, 6, 1, 1))</f>
        <v/>
      </c>
      <c r="G589" s="254">
        <f ca="1">IF(OFFSET('IWP26'!BackgroundChecks, 6, 7, 1, 1)=DATE(1900,1,0), DATE(1900,1,1), OFFSET('IWP26'!BackgroundChecks, 6, 7, 1, 1))</f>
        <v>1</v>
      </c>
      <c r="H589" s="254">
        <f ca="1">IF(OFFSET('IWP26'!BackgroundChecks, 6, 8, 1, 1)=DATE(1900,1,0), DATE(1900,1,1), OFFSET('IWP26'!BackgroundChecks, 6, 8, 1, 1))</f>
        <v>1</v>
      </c>
      <c r="I589" s="262" t="str">
        <f ca="1">IF(OFFSET('IWP26'!BackgroundChecks, 6, 9, 1, 1) = 0, "", OFFSET('IWP26'!BackgroundChecks, 6, 9, 1, 1))</f>
        <v/>
      </c>
      <c r="J589" s="262" t="str">
        <f ca="1">IF(OFFSET('IWP26'!BackgroundChecks, 6, 10, 1, 1) = 0, "", OFFSET('IWP26'!BackgroundChecks, 6, 10, 1, 1))</f>
        <v/>
      </c>
      <c r="K589" s="262" t="str">
        <f ca="1">IF(OFFSET('IWP26'!BackgroundChecks, 6, 11, 1, 1) = 0, "", OFFSET('IWP26'!BackgroundChecks, 6, 11, 1, 1))</f>
        <v/>
      </c>
      <c r="L589" s="262" t="str">
        <f ca="1">IF(OFFSET('IWP26'!BackgroundChecks, 6, 12, 1, 1) = 0, "", OFFSET('IWP26'!BackgroundChecks, 6, 12, 1, 1))</f>
        <v/>
      </c>
      <c r="M589" s="262" t="str">
        <f ca="1">IF(OFFSET('IWP26'!BackgroundChecks, 6, 13, 1, 1) = 0, "", OFFSET('IWP26'!BackgroundChecks, 6, 13, 1, 1))</f>
        <v/>
      </c>
      <c r="N589" s="261"/>
    </row>
    <row r="590" spans="1:14" s="146" customFormat="1">
      <c r="A590" s="257" t="s">
        <v>524</v>
      </c>
      <c r="B590" s="262" t="str">
        <f ca="1">IF(OFFSET('IWP26'!BackgroundChecks, 7, 0, 1, 1) = 0, "", OFFSET('IWP26'!BackgroundChecks, 7, 0, 1, 1))</f>
        <v/>
      </c>
      <c r="C590" s="262" t="str">
        <f ca="1">IF(OFFSET('IWP26'!BackgroundChecks, 7, 2, 1, 1) = 0, "", OFFSET('IWP26'!BackgroundChecks, 7, 2, 1, 1))</f>
        <v/>
      </c>
      <c r="D590" s="262" t="str">
        <f ca="1">IF(OFFSET('IWP26'!BackgroundChecks, 7, 4, 1, 1) = 0, "", OFFSET('IWP26'!BackgroundChecks, 7, 4, 1, 1))</f>
        <v/>
      </c>
      <c r="E590" s="254">
        <f ca="1">IF(OFFSET('IWP26'!BackgroundChecks, 7, 5, 1, 1)=DATE(1900,1,0), DATE(1900,1,1), OFFSET('IWP26'!BackgroundChecks, 7, 5, 1, 1))</f>
        <v>1</v>
      </c>
      <c r="F590" s="262" t="str">
        <f ca="1">IF(OFFSET('IWP26'!BackgroundChecks, 7, 6, 1, 1) = 0, "", OFFSET('IWP26'!BackgroundChecks, 7, 6, 1, 1))</f>
        <v/>
      </c>
      <c r="G590" s="254">
        <f ca="1">IF(OFFSET('IWP26'!BackgroundChecks, 7, 7, 1, 1)=DATE(1900,1,0), DATE(1900,1,1), OFFSET('IWP26'!BackgroundChecks, 7, 7, 1, 1))</f>
        <v>1</v>
      </c>
      <c r="H590" s="254">
        <f ca="1">IF(OFFSET('IWP26'!BackgroundChecks, 7, 8, 1, 1)=DATE(1900,1,0), DATE(1900,1,1), OFFSET('IWP26'!BackgroundChecks, 7, 8, 1, 1))</f>
        <v>1</v>
      </c>
      <c r="I590" s="262" t="str">
        <f ca="1">IF(OFFSET('IWP26'!BackgroundChecks, 7, 9, 1, 1) = 0, "", OFFSET('IWP26'!BackgroundChecks, 7, 9, 1, 1))</f>
        <v/>
      </c>
      <c r="J590" s="262" t="str">
        <f ca="1">IF(OFFSET('IWP26'!BackgroundChecks, 7, 10, 1, 1) = 0, "", OFFSET('IWP26'!BackgroundChecks, 7, 10, 1, 1))</f>
        <v/>
      </c>
      <c r="K590" s="262" t="str">
        <f ca="1">IF(OFFSET('IWP26'!BackgroundChecks, 7, 11, 1, 1) = 0, "", OFFSET('IWP26'!BackgroundChecks, 7, 11, 1, 1))</f>
        <v/>
      </c>
      <c r="L590" s="262" t="str">
        <f ca="1">IF(OFFSET('IWP26'!BackgroundChecks, 7, 12, 1, 1) = 0, "", OFFSET('IWP26'!BackgroundChecks, 7, 12, 1, 1))</f>
        <v/>
      </c>
      <c r="M590" s="262" t="str">
        <f ca="1">IF(OFFSET('IWP26'!BackgroundChecks, 7, 13, 1, 1) = 0, "", OFFSET('IWP26'!BackgroundChecks, 7, 13, 1, 1))</f>
        <v/>
      </c>
      <c r="N590" s="261"/>
    </row>
    <row r="591" spans="1:14" s="146" customFormat="1">
      <c r="A591" s="257" t="s">
        <v>524</v>
      </c>
      <c r="B591" s="262" t="str">
        <f ca="1">IF(OFFSET('IWP26'!BackgroundChecks, 8, 0, 1, 1) = 0, "", OFFSET('IWP26'!BackgroundChecks, 8, 0, 1, 1))</f>
        <v/>
      </c>
      <c r="C591" s="262" t="str">
        <f ca="1">IF(OFFSET('IWP26'!BackgroundChecks, 8, 2, 1, 1) = 0, "", OFFSET('IWP26'!BackgroundChecks, 8, 2, 1, 1))</f>
        <v/>
      </c>
      <c r="D591" s="262" t="str">
        <f ca="1">IF(OFFSET('IWP26'!BackgroundChecks, 8, 4, 1, 1) = 0, "", OFFSET('IWP26'!BackgroundChecks, 8, 4, 1, 1))</f>
        <v/>
      </c>
      <c r="E591" s="254">
        <f ca="1">IF(OFFSET('IWP26'!BackgroundChecks, 8, 5, 1, 1)=DATE(1900,1,0), DATE(1900,1,1), OFFSET('IWP26'!BackgroundChecks, 8, 5, 1, 1))</f>
        <v>1</v>
      </c>
      <c r="F591" s="262" t="str">
        <f ca="1">IF(OFFSET('IWP26'!BackgroundChecks, 8, 6, 1, 1) = 0, "", OFFSET('IWP26'!BackgroundChecks, 8, 6, 1, 1))</f>
        <v/>
      </c>
      <c r="G591" s="254">
        <f ca="1">IF(OFFSET('IWP26'!BackgroundChecks, 8, 7, 1, 1)=DATE(1900,1,0), DATE(1900,1,1), OFFSET('IWP26'!BackgroundChecks, 8, 7, 1, 1))</f>
        <v>1</v>
      </c>
      <c r="H591" s="254">
        <f ca="1">IF(OFFSET('IWP26'!BackgroundChecks, 8, 8, 1, 1)=DATE(1900,1,0), DATE(1900,1,1), OFFSET('IWP26'!BackgroundChecks, 8, 8, 1, 1))</f>
        <v>1</v>
      </c>
      <c r="I591" s="262" t="str">
        <f ca="1">IF(OFFSET('IWP26'!BackgroundChecks, 8, 9, 1, 1) = 0, "", OFFSET('IWP26'!BackgroundChecks, 8, 9, 1, 1))</f>
        <v/>
      </c>
      <c r="J591" s="262" t="str">
        <f ca="1">IF(OFFSET('IWP26'!BackgroundChecks, 8, 10, 1, 1) = 0, "", OFFSET('IWP26'!BackgroundChecks, 8, 10, 1, 1))</f>
        <v/>
      </c>
      <c r="K591" s="262" t="str">
        <f ca="1">IF(OFFSET('IWP26'!BackgroundChecks, 8, 11, 1, 1) = 0, "", OFFSET('IWP26'!BackgroundChecks, 8, 11, 1, 1))</f>
        <v/>
      </c>
      <c r="L591" s="262" t="str">
        <f ca="1">IF(OFFSET('IWP26'!BackgroundChecks, 8, 12, 1, 1) = 0, "", OFFSET('IWP26'!BackgroundChecks, 8, 12, 1, 1))</f>
        <v/>
      </c>
      <c r="M591" s="262" t="str">
        <f ca="1">IF(OFFSET('IWP26'!BackgroundChecks, 8, 13, 1, 1) = 0, "", OFFSET('IWP26'!BackgroundChecks, 8, 13, 1, 1))</f>
        <v/>
      </c>
      <c r="N591" s="261"/>
    </row>
    <row r="592" spans="1:14" s="146" customFormat="1">
      <c r="A592" s="257" t="s">
        <v>524</v>
      </c>
      <c r="B592" s="262" t="str">
        <f ca="1">IF(OFFSET('IWP26'!BackgroundChecks, 9, 0, 1, 1) = 0, "", OFFSET('IWP26'!BackgroundChecks, 9, 0, 1, 1))</f>
        <v/>
      </c>
      <c r="C592" s="262" t="str">
        <f ca="1">IF(OFFSET('IWP26'!BackgroundChecks, 9, 2, 1, 1) = 0, "", OFFSET('IWP26'!BackgroundChecks, 9, 2, 1, 1))</f>
        <v/>
      </c>
      <c r="D592" s="262" t="str">
        <f ca="1">IF(OFFSET('IWP26'!BackgroundChecks, 9, 4, 1, 1) = 0, "", OFFSET('IWP26'!BackgroundChecks, 9, 4, 1, 1))</f>
        <v/>
      </c>
      <c r="E592" s="254">
        <f ca="1">IF(OFFSET('IWP26'!BackgroundChecks, 9, 5, 1, 1)=DATE(1900,1,0), DATE(1900,1,1), OFFSET('IWP26'!BackgroundChecks, 9, 5, 1, 1))</f>
        <v>1</v>
      </c>
      <c r="F592" s="262" t="str">
        <f ca="1">IF(OFFSET('IWP26'!BackgroundChecks, 9, 6, 1, 1) = 0, "", OFFSET('IWP26'!BackgroundChecks, 9, 6, 1, 1))</f>
        <v/>
      </c>
      <c r="G592" s="254">
        <f ca="1">IF(OFFSET('IWP26'!BackgroundChecks, 9, 7, 1, 1)=DATE(1900,1,0), DATE(1900,1,1), OFFSET('IWP26'!BackgroundChecks, 9, 7, 1, 1))</f>
        <v>1</v>
      </c>
      <c r="H592" s="254">
        <f ca="1">IF(OFFSET('IWP26'!BackgroundChecks, 9, 8, 1, 1)=DATE(1900,1,0), DATE(1900,1,1), OFFSET('IWP26'!BackgroundChecks, 9, 8, 1, 1))</f>
        <v>1</v>
      </c>
      <c r="I592" s="262" t="str">
        <f ca="1">IF(OFFSET('IWP26'!BackgroundChecks, 9, 9, 1, 1) = 0, "", OFFSET('IWP26'!BackgroundChecks, 9, 9, 1, 1))</f>
        <v/>
      </c>
      <c r="J592" s="262" t="str">
        <f ca="1">IF(OFFSET('IWP26'!BackgroundChecks, 9, 10, 1, 1) = 0, "", OFFSET('IWP26'!BackgroundChecks, 9, 10, 1, 1))</f>
        <v/>
      </c>
      <c r="K592" s="262" t="str">
        <f ca="1">IF(OFFSET('IWP26'!BackgroundChecks, 9, 11, 1, 1) = 0, "", OFFSET('IWP26'!BackgroundChecks, 9, 11, 1, 1))</f>
        <v/>
      </c>
      <c r="L592" s="262" t="str">
        <f ca="1">IF(OFFSET('IWP26'!BackgroundChecks, 9, 12, 1, 1) = 0, "", OFFSET('IWP26'!BackgroundChecks, 9, 12, 1, 1))</f>
        <v/>
      </c>
      <c r="M592" s="262" t="str">
        <f ca="1">IF(OFFSET('IWP26'!BackgroundChecks, 9, 13, 1, 1) = 0, "", OFFSET('IWP26'!BackgroundChecks, 9, 13, 1, 1))</f>
        <v/>
      </c>
      <c r="N592" s="261"/>
    </row>
    <row r="593" spans="1:14" s="146" customFormat="1">
      <c r="A593" s="257" t="s">
        <v>524</v>
      </c>
      <c r="B593" s="262" t="str">
        <f ca="1">IF(OFFSET('IWP26'!BackgroundChecks, 10, 0, 1, 1) = 0, "", OFFSET('IWP26'!BackgroundChecks, 10, 0, 1, 1))</f>
        <v/>
      </c>
      <c r="C593" s="262" t="str">
        <f ca="1">IF(OFFSET('IWP26'!BackgroundChecks, 10, 2, 1, 1) = 0, "", OFFSET('IWP26'!BackgroundChecks, 10, 2, 1, 1))</f>
        <v/>
      </c>
      <c r="D593" s="262" t="str">
        <f ca="1">IF(OFFSET('IWP26'!BackgroundChecks, 10, 4, 1, 1) = 0, "", OFFSET('IWP26'!BackgroundChecks, 10, 4, 1, 1))</f>
        <v/>
      </c>
      <c r="E593" s="254">
        <f ca="1">IF(OFFSET('IWP26'!BackgroundChecks, 10, 5, 1, 1)=DATE(1900,1,0), DATE(1900,1,1), OFFSET('IWP26'!BackgroundChecks, 10, 5, 1, 1))</f>
        <v>1</v>
      </c>
      <c r="F593" s="262" t="str">
        <f ca="1">IF(OFFSET('IWP26'!BackgroundChecks, 10, 6, 1, 1) = 0, "", OFFSET('IWP26'!BackgroundChecks, 10, 6, 1, 1))</f>
        <v/>
      </c>
      <c r="G593" s="254">
        <f ca="1">IF(OFFSET('IWP26'!BackgroundChecks, 10, 7, 1, 1)=DATE(1900,1,0), DATE(1900,1,1), OFFSET('IWP26'!BackgroundChecks, 10, 7, 1, 1))</f>
        <v>1</v>
      </c>
      <c r="H593" s="254">
        <f ca="1">IF(OFFSET('IWP26'!BackgroundChecks, 10, 8, 1, 1)=DATE(1900,1,0), DATE(1900,1,1), OFFSET('IWP26'!BackgroundChecks, 10, 8, 1, 1))</f>
        <v>1</v>
      </c>
      <c r="I593" s="262" t="str">
        <f ca="1">IF(OFFSET('IWP26'!BackgroundChecks, 10, 9, 1, 1) = 0, "", OFFSET('IWP26'!BackgroundChecks, 10, 9, 1, 1))</f>
        <v/>
      </c>
      <c r="J593" s="262" t="str">
        <f ca="1">IF(OFFSET('IWP26'!BackgroundChecks, 10, 10, 1, 1) = 0, "", OFFSET('IWP26'!BackgroundChecks, 10, 10, 1, 1))</f>
        <v/>
      </c>
      <c r="K593" s="262" t="str">
        <f ca="1">IF(OFFSET('IWP26'!BackgroundChecks, 10, 11, 1, 1) = 0, "", OFFSET('IWP26'!BackgroundChecks, 10, 11, 1, 1))</f>
        <v/>
      </c>
      <c r="L593" s="262" t="str">
        <f ca="1">IF(OFFSET('IWP26'!BackgroundChecks, 10, 12, 1, 1) = 0, "", OFFSET('IWP26'!BackgroundChecks, 10, 12, 1, 1))</f>
        <v/>
      </c>
      <c r="M593" s="262" t="str">
        <f ca="1">IF(OFFSET('IWP26'!BackgroundChecks, 10, 13, 1, 1) = 0, "", OFFSET('IWP26'!BackgroundChecks, 10, 13, 1, 1))</f>
        <v/>
      </c>
      <c r="N593" s="261"/>
    </row>
    <row r="594" spans="1:14" s="146" customFormat="1">
      <c r="A594" s="257" t="s">
        <v>524</v>
      </c>
      <c r="B594" s="262" t="str">
        <f ca="1">IF(OFFSET('IWP26'!BackgroundChecks, 11, 0, 1, 1) = 0, "", OFFSET('IWP26'!BackgroundChecks, 11, 0, 1, 1))</f>
        <v/>
      </c>
      <c r="C594" s="262" t="str">
        <f ca="1">IF(OFFSET('IWP26'!BackgroundChecks, 11, 2, 1, 1) = 0, "", OFFSET('IWP26'!BackgroundChecks, 11, 2, 1, 1))</f>
        <v/>
      </c>
      <c r="D594" s="262" t="str">
        <f ca="1">IF(OFFSET('IWP26'!BackgroundChecks, 11, 4, 1, 1) = 0, "", OFFSET('IWP26'!BackgroundChecks, 11, 4, 1, 1))</f>
        <v/>
      </c>
      <c r="E594" s="254">
        <f ca="1">IF(OFFSET('IWP26'!BackgroundChecks, 11, 5, 1, 1)=DATE(1900,1,0), DATE(1900,1,1), OFFSET('IWP26'!BackgroundChecks, 11, 5, 1, 1))</f>
        <v>1</v>
      </c>
      <c r="F594" s="262" t="str">
        <f ca="1">IF(OFFSET('IWP26'!BackgroundChecks, 11, 6, 1, 1) = 0, "", OFFSET('IWP26'!BackgroundChecks, 11, 6, 1, 1))</f>
        <v/>
      </c>
      <c r="G594" s="254">
        <f ca="1">IF(OFFSET('IWP26'!BackgroundChecks, 11, 7, 1, 1)=DATE(1900,1,0), DATE(1900,1,1), OFFSET('IWP26'!BackgroundChecks, 11, 7, 1, 1))</f>
        <v>1</v>
      </c>
      <c r="H594" s="254">
        <f ca="1">IF(OFFSET('IWP26'!BackgroundChecks, 11, 8, 1, 1)=DATE(1900,1,0), DATE(1900,1,1), OFFSET('IWP26'!BackgroundChecks, 11, 8, 1, 1))</f>
        <v>1</v>
      </c>
      <c r="I594" s="262" t="str">
        <f ca="1">IF(OFFSET('IWP26'!BackgroundChecks, 11, 9, 1, 1) = 0, "", OFFSET('IWP26'!BackgroundChecks, 11, 9, 1, 1))</f>
        <v/>
      </c>
      <c r="J594" s="262" t="str">
        <f ca="1">IF(OFFSET('IWP26'!BackgroundChecks, 11, 10, 1, 1) = 0, "", OFFSET('IWP26'!BackgroundChecks, 11, 10, 1, 1))</f>
        <v/>
      </c>
      <c r="K594" s="262" t="str">
        <f ca="1">IF(OFFSET('IWP26'!BackgroundChecks, 11, 11, 1, 1) = 0, "", OFFSET('IWP26'!BackgroundChecks, 11, 11, 1, 1))</f>
        <v/>
      </c>
      <c r="L594" s="262" t="str">
        <f ca="1">IF(OFFSET('IWP26'!BackgroundChecks, 11, 12, 1, 1) = 0, "", OFFSET('IWP26'!BackgroundChecks, 11, 12, 1, 1))</f>
        <v/>
      </c>
      <c r="M594" s="262" t="str">
        <f ca="1">IF(OFFSET('IWP26'!BackgroundChecks, 11, 13, 1, 1) = 0, "", OFFSET('IWP26'!BackgroundChecks, 11, 13, 1, 1))</f>
        <v/>
      </c>
      <c r="N594" s="261"/>
    </row>
    <row r="595" spans="1:14" s="146" customFormat="1">
      <c r="A595" s="257" t="s">
        <v>524</v>
      </c>
      <c r="B595" s="262" t="str">
        <f ca="1">IF(OFFSET('IWP26'!BackgroundChecks, 12, 0, 1, 1) = 0, "", OFFSET('IWP26'!BackgroundChecks, 12, 0, 1, 1))</f>
        <v/>
      </c>
      <c r="C595" s="262" t="str">
        <f ca="1">IF(OFFSET('IWP26'!BackgroundChecks, 12, 2, 1, 1) = 0, "", OFFSET('IWP26'!BackgroundChecks, 12, 2, 1, 1))</f>
        <v/>
      </c>
      <c r="D595" s="262" t="str">
        <f ca="1">IF(OFFSET('IWP26'!BackgroundChecks, 12, 4, 1, 1) = 0, "", OFFSET('IWP26'!BackgroundChecks, 12, 4, 1, 1))</f>
        <v/>
      </c>
      <c r="E595" s="254">
        <f ca="1">IF(OFFSET('IWP26'!BackgroundChecks, 12, 5, 1, 1)=DATE(1900,1,0), DATE(1900,1,1), OFFSET('IWP26'!BackgroundChecks, 12, 5, 1, 1))</f>
        <v>1</v>
      </c>
      <c r="F595" s="262" t="str">
        <f ca="1">IF(OFFSET('IWP26'!BackgroundChecks, 12, 6, 1, 1) = 0, "", OFFSET('IWP26'!BackgroundChecks, 12, 6, 1, 1))</f>
        <v/>
      </c>
      <c r="G595" s="254">
        <f ca="1">IF(OFFSET('IWP26'!BackgroundChecks, 12, 7, 1, 1)=DATE(1900,1,0), DATE(1900,1,1), OFFSET('IWP26'!BackgroundChecks, 12, 7, 1, 1))</f>
        <v>1</v>
      </c>
      <c r="H595" s="254">
        <f ca="1">IF(OFFSET('IWP26'!BackgroundChecks, 12, 8, 1, 1)=DATE(1900,1,0), DATE(1900,1,1), OFFSET('IWP26'!BackgroundChecks, 12, 8, 1, 1))</f>
        <v>1</v>
      </c>
      <c r="I595" s="262" t="str">
        <f ca="1">IF(OFFSET('IWP26'!BackgroundChecks, 12, 9, 1, 1) = 0, "", OFFSET('IWP26'!BackgroundChecks, 12, 9, 1, 1))</f>
        <v/>
      </c>
      <c r="J595" s="262" t="str">
        <f ca="1">IF(OFFSET('IWP26'!BackgroundChecks, 12, 10, 1, 1) = 0, "", OFFSET('IWP26'!BackgroundChecks, 12, 10, 1, 1))</f>
        <v/>
      </c>
      <c r="K595" s="262" t="str">
        <f ca="1">IF(OFFSET('IWP26'!BackgroundChecks, 12, 11, 1, 1) = 0, "", OFFSET('IWP26'!BackgroundChecks, 12, 11, 1, 1))</f>
        <v/>
      </c>
      <c r="L595" s="262" t="str">
        <f ca="1">IF(OFFSET('IWP26'!BackgroundChecks, 12, 12, 1, 1) = 0, "", OFFSET('IWP26'!BackgroundChecks, 12, 12, 1, 1))</f>
        <v/>
      </c>
      <c r="M595" s="262" t="str">
        <f ca="1">IF(OFFSET('IWP26'!BackgroundChecks, 12, 13, 1, 1) = 0, "", OFFSET('IWP26'!BackgroundChecks, 12, 13, 1, 1))</f>
        <v/>
      </c>
      <c r="N595" s="261"/>
    </row>
    <row r="596" spans="1:14" s="146" customFormat="1">
      <c r="A596" s="257" t="s">
        <v>524</v>
      </c>
      <c r="B596" s="262" t="str">
        <f ca="1">IF(OFFSET('IWP26'!BackgroundChecks, 13, 0, 1, 1) = 0, "", OFFSET('IWP26'!BackgroundChecks, 13, 0, 1, 1))</f>
        <v/>
      </c>
      <c r="C596" s="262" t="str">
        <f ca="1">IF(OFFSET('IWP26'!BackgroundChecks, 13, 2, 1, 1) = 0, "", OFFSET('IWP26'!BackgroundChecks, 13, 2, 1, 1))</f>
        <v/>
      </c>
      <c r="D596" s="262" t="str">
        <f ca="1">IF(OFFSET('IWP26'!BackgroundChecks, 13, 4, 1, 1) = 0, "", OFFSET('IWP26'!BackgroundChecks, 13, 4, 1, 1))</f>
        <v/>
      </c>
      <c r="E596" s="254">
        <f ca="1">IF(OFFSET('IWP26'!BackgroundChecks, 13, 5, 1, 1)=DATE(1900,1,0), DATE(1900,1,1), OFFSET('IWP26'!BackgroundChecks, 13, 5, 1, 1))</f>
        <v>1</v>
      </c>
      <c r="F596" s="262" t="str">
        <f ca="1">IF(OFFSET('IWP26'!BackgroundChecks, 13, 6, 1, 1) = 0, "", OFFSET('IWP26'!BackgroundChecks, 13, 6, 1, 1))</f>
        <v/>
      </c>
      <c r="G596" s="254">
        <f ca="1">IF(OFFSET('IWP26'!BackgroundChecks, 13, 7, 1, 1)=DATE(1900,1,0), DATE(1900,1,1), OFFSET('IWP26'!BackgroundChecks, 13, 7, 1, 1))</f>
        <v>1</v>
      </c>
      <c r="H596" s="254">
        <f ca="1">IF(OFFSET('IWP26'!BackgroundChecks, 13, 8, 1, 1)=DATE(1900,1,0), DATE(1900,1,1), OFFSET('IWP26'!BackgroundChecks, 13, 8, 1, 1))</f>
        <v>1</v>
      </c>
      <c r="I596" s="262" t="str">
        <f ca="1">IF(OFFSET('IWP26'!BackgroundChecks, 13, 9, 1, 1) = 0, "", OFFSET('IWP26'!BackgroundChecks, 13, 9, 1, 1))</f>
        <v/>
      </c>
      <c r="J596" s="262" t="str">
        <f ca="1">IF(OFFSET('IWP26'!BackgroundChecks, 13, 10, 1, 1) = 0, "", OFFSET('IWP26'!BackgroundChecks, 13, 10, 1, 1))</f>
        <v/>
      </c>
      <c r="K596" s="262" t="str">
        <f ca="1">IF(OFFSET('IWP26'!BackgroundChecks, 13, 11, 1, 1) = 0, "", OFFSET('IWP26'!BackgroundChecks, 13, 11, 1, 1))</f>
        <v/>
      </c>
      <c r="L596" s="262" t="str">
        <f ca="1">IF(OFFSET('IWP26'!BackgroundChecks, 13, 12, 1, 1) = 0, "", OFFSET('IWP26'!BackgroundChecks, 13, 12, 1, 1))</f>
        <v/>
      </c>
      <c r="M596" s="262" t="str">
        <f ca="1">IF(OFFSET('IWP26'!BackgroundChecks, 13, 13, 1, 1) = 0, "", OFFSET('IWP26'!BackgroundChecks, 13, 13, 1, 1))</f>
        <v/>
      </c>
      <c r="N596" s="261"/>
    </row>
    <row r="597" spans="1:14" s="146" customFormat="1">
      <c r="A597" s="257" t="s">
        <v>524</v>
      </c>
      <c r="B597" s="262" t="str">
        <f ca="1">IF(OFFSET('IWP26'!BackgroundChecks, 14, 0, 1, 1) = 0, "", OFFSET('IWP26'!BackgroundChecks, 14, 0, 1, 1))</f>
        <v/>
      </c>
      <c r="C597" s="262" t="str">
        <f ca="1">IF(OFFSET('IWP26'!BackgroundChecks, 14, 2, 1, 1) = 0, "", OFFSET('IWP26'!BackgroundChecks, 14, 2, 1, 1))</f>
        <v/>
      </c>
      <c r="D597" s="262" t="str">
        <f ca="1">IF(OFFSET('IWP26'!BackgroundChecks, 14, 4, 1, 1) = 0, "", OFFSET('IWP26'!BackgroundChecks, 14, 4, 1, 1))</f>
        <v/>
      </c>
      <c r="E597" s="254">
        <f ca="1">IF(OFFSET('IWP26'!BackgroundChecks, 14, 5, 1, 1)=DATE(1900,1,0), DATE(1900,1,1), OFFSET('IWP26'!BackgroundChecks, 14, 5, 1, 1))</f>
        <v>1</v>
      </c>
      <c r="F597" s="262" t="str">
        <f ca="1">IF(OFFSET('IWP26'!BackgroundChecks, 14, 6, 1, 1) = 0, "", OFFSET('IWP26'!BackgroundChecks, 14, 6, 1, 1))</f>
        <v/>
      </c>
      <c r="G597" s="254">
        <f ca="1">IF(OFFSET('IWP26'!BackgroundChecks, 14, 7, 1, 1)=DATE(1900,1,0), DATE(1900,1,1), OFFSET('IWP26'!BackgroundChecks, 14, 7, 1, 1))</f>
        <v>1</v>
      </c>
      <c r="H597" s="254">
        <f ca="1">IF(OFFSET('IWP26'!BackgroundChecks, 14, 8, 1, 1)=DATE(1900,1,0), DATE(1900,1,1), OFFSET('IWP26'!BackgroundChecks, 14, 8, 1, 1))</f>
        <v>1</v>
      </c>
      <c r="I597" s="262" t="str">
        <f ca="1">IF(OFFSET('IWP26'!BackgroundChecks, 14, 9, 1, 1) = 0, "", OFFSET('IWP26'!BackgroundChecks, 14, 9, 1, 1))</f>
        <v/>
      </c>
      <c r="J597" s="262" t="str">
        <f ca="1">IF(OFFSET('IWP26'!BackgroundChecks, 14, 10, 1, 1) = 0, "", OFFSET('IWP26'!BackgroundChecks, 14, 10, 1, 1))</f>
        <v/>
      </c>
      <c r="K597" s="262" t="str">
        <f ca="1">IF(OFFSET('IWP26'!BackgroundChecks, 14, 11, 1, 1) = 0, "", OFFSET('IWP26'!BackgroundChecks, 14, 11, 1, 1))</f>
        <v/>
      </c>
      <c r="L597" s="262" t="str">
        <f ca="1">IF(OFFSET('IWP26'!BackgroundChecks, 14, 12, 1, 1) = 0, "", OFFSET('IWP26'!BackgroundChecks, 14, 12, 1, 1))</f>
        <v/>
      </c>
      <c r="M597" s="262" t="str">
        <f ca="1">IF(OFFSET('IWP26'!BackgroundChecks, 14, 13, 1, 1) = 0, "", OFFSET('IWP26'!BackgroundChecks, 14, 13, 1, 1))</f>
        <v/>
      </c>
      <c r="N597" s="261"/>
    </row>
    <row r="598" spans="1:14" s="146" customFormat="1">
      <c r="A598" s="257" t="s">
        <v>524</v>
      </c>
      <c r="B598" s="262" t="str">
        <f ca="1">IF(OFFSET('IWP26'!BackgroundChecks, 15, 0, 1, 1) = 0, "", OFFSET('IWP26'!BackgroundChecks, 15, 0, 1, 1))</f>
        <v/>
      </c>
      <c r="C598" s="262" t="str">
        <f ca="1">IF(OFFSET('IWP26'!BackgroundChecks, 15, 2, 1, 1) = 0, "", OFFSET('IWP26'!BackgroundChecks, 15, 2, 1, 1))</f>
        <v/>
      </c>
      <c r="D598" s="262" t="str">
        <f ca="1">IF(OFFSET('IWP26'!BackgroundChecks, 15, 4, 1, 1) = 0, "", OFFSET('IWP26'!BackgroundChecks, 15, 4, 1, 1))</f>
        <v/>
      </c>
      <c r="E598" s="254">
        <f ca="1">IF(OFFSET('IWP26'!BackgroundChecks, 15, 5, 1, 1)=DATE(1900,1,0), DATE(1900,1,1), OFFSET('IWP26'!BackgroundChecks, 15, 5, 1, 1))</f>
        <v>1</v>
      </c>
      <c r="F598" s="262" t="str">
        <f ca="1">IF(OFFSET('IWP26'!BackgroundChecks, 15, 6, 1, 1) = 0, "", OFFSET('IWP26'!BackgroundChecks, 15, 6, 1, 1))</f>
        <v/>
      </c>
      <c r="G598" s="254">
        <f ca="1">IF(OFFSET('IWP26'!BackgroundChecks, 15, 7, 1, 1)=DATE(1900,1,0), DATE(1900,1,1), OFFSET('IWP26'!BackgroundChecks, 15, 7, 1, 1))</f>
        <v>1</v>
      </c>
      <c r="H598" s="254">
        <f ca="1">IF(OFFSET('IWP26'!BackgroundChecks, 15, 8, 1, 1)=DATE(1900,1,0), DATE(1900,1,1), OFFSET('IWP26'!BackgroundChecks, 15, 8, 1, 1))</f>
        <v>1</v>
      </c>
      <c r="I598" s="262" t="str">
        <f ca="1">IF(OFFSET('IWP26'!BackgroundChecks, 15, 9, 1, 1) = 0, "", OFFSET('IWP26'!BackgroundChecks, 15, 9, 1, 1))</f>
        <v/>
      </c>
      <c r="J598" s="262" t="str">
        <f ca="1">IF(OFFSET('IWP26'!BackgroundChecks, 15, 10, 1, 1) = 0, "", OFFSET('IWP26'!BackgroundChecks, 15, 10, 1, 1))</f>
        <v/>
      </c>
      <c r="K598" s="262" t="str">
        <f ca="1">IF(OFFSET('IWP26'!BackgroundChecks, 15, 11, 1, 1) = 0, "", OFFSET('IWP26'!BackgroundChecks, 15, 11, 1, 1))</f>
        <v/>
      </c>
      <c r="L598" s="262" t="str">
        <f ca="1">IF(OFFSET('IWP26'!BackgroundChecks, 15, 12, 1, 1) = 0, "", OFFSET('IWP26'!BackgroundChecks, 15, 12, 1, 1))</f>
        <v/>
      </c>
      <c r="M598" s="262" t="str">
        <f ca="1">IF(OFFSET('IWP26'!BackgroundChecks, 15, 13, 1, 1) = 0, "", OFFSET('IWP26'!BackgroundChecks, 15, 13, 1, 1))</f>
        <v/>
      </c>
      <c r="N598" s="261"/>
    </row>
    <row r="599" spans="1:14" s="146" customFormat="1">
      <c r="A599" s="257" t="s">
        <v>524</v>
      </c>
      <c r="B599" s="262" t="str">
        <f ca="1">IF(OFFSET('IWP26'!BackgroundChecks, 16, 0, 1, 1) = 0, "", OFFSET('IWP26'!BackgroundChecks, 16, 0, 1, 1))</f>
        <v/>
      </c>
      <c r="C599" s="262" t="str">
        <f ca="1">IF(OFFSET('IWP26'!BackgroundChecks, 16, 2, 1, 1) = 0, "", OFFSET('IWP26'!BackgroundChecks, 16, 2, 1, 1))</f>
        <v/>
      </c>
      <c r="D599" s="262" t="str">
        <f ca="1">IF(OFFSET('IWP26'!BackgroundChecks, 16, 4, 1, 1) = 0, "", OFFSET('IWP26'!BackgroundChecks, 16, 4, 1, 1))</f>
        <v/>
      </c>
      <c r="E599" s="254">
        <f ca="1">IF(OFFSET('IWP26'!BackgroundChecks, 16, 5, 1, 1)=DATE(1900,1,0), DATE(1900,1,1), OFFSET('IWP26'!BackgroundChecks, 16, 5, 1, 1))</f>
        <v>1</v>
      </c>
      <c r="F599" s="262" t="str">
        <f ca="1">IF(OFFSET('IWP26'!BackgroundChecks, 16, 6, 1, 1) = 0, "", OFFSET('IWP26'!BackgroundChecks, 16, 6, 1, 1))</f>
        <v/>
      </c>
      <c r="G599" s="254">
        <f ca="1">IF(OFFSET('IWP26'!BackgroundChecks, 16, 7, 1, 1)=DATE(1900,1,0), DATE(1900,1,1), OFFSET('IWP26'!BackgroundChecks, 16, 7, 1, 1))</f>
        <v>1</v>
      </c>
      <c r="H599" s="254">
        <f ca="1">IF(OFFSET('IWP26'!BackgroundChecks, 16, 8, 1, 1)=DATE(1900,1,0), DATE(1900,1,1), OFFSET('IWP26'!BackgroundChecks, 16, 8, 1, 1))</f>
        <v>1</v>
      </c>
      <c r="I599" s="262" t="str">
        <f ca="1">IF(OFFSET('IWP26'!BackgroundChecks, 16, 9, 1, 1) = 0, "", OFFSET('IWP26'!BackgroundChecks, 16, 9, 1, 1))</f>
        <v/>
      </c>
      <c r="J599" s="262" t="str">
        <f ca="1">IF(OFFSET('IWP26'!BackgroundChecks, 16, 10, 1, 1) = 0, "", OFFSET('IWP26'!BackgroundChecks, 16, 10, 1, 1))</f>
        <v/>
      </c>
      <c r="K599" s="262" t="str">
        <f ca="1">IF(OFFSET('IWP26'!BackgroundChecks, 16, 11, 1, 1) = 0, "", OFFSET('IWP26'!BackgroundChecks, 16, 11, 1, 1))</f>
        <v/>
      </c>
      <c r="L599" s="262" t="str">
        <f ca="1">IF(OFFSET('IWP26'!BackgroundChecks, 16, 12, 1, 1) = 0, "", OFFSET('IWP26'!BackgroundChecks, 16, 12, 1, 1))</f>
        <v/>
      </c>
      <c r="M599" s="262" t="str">
        <f ca="1">IF(OFFSET('IWP26'!BackgroundChecks, 16, 13, 1, 1) = 0, "", OFFSET('IWP26'!BackgroundChecks, 16, 13, 1, 1))</f>
        <v/>
      </c>
      <c r="N599" s="261"/>
    </row>
    <row r="600" spans="1:14" s="146" customFormat="1">
      <c r="A600" s="257" t="s">
        <v>524</v>
      </c>
      <c r="B600" s="262" t="str">
        <f ca="1">IF(OFFSET('IWP26'!BackgroundChecks, 17, 0, 1, 1) = 0, "", OFFSET('IWP26'!BackgroundChecks, 17, 0, 1, 1))</f>
        <v/>
      </c>
      <c r="C600" s="262" t="str">
        <f ca="1">IF(OFFSET('IWP26'!BackgroundChecks, 17, 2, 1, 1) = 0, "", OFFSET('IWP26'!BackgroundChecks, 17, 2, 1, 1))</f>
        <v/>
      </c>
      <c r="D600" s="262" t="str">
        <f ca="1">IF(OFFSET('IWP26'!BackgroundChecks, 17, 4, 1, 1) = 0, "", OFFSET('IWP26'!BackgroundChecks, 17, 4, 1, 1))</f>
        <v/>
      </c>
      <c r="E600" s="254">
        <f ca="1">IF(OFFSET('IWP26'!BackgroundChecks, 17, 5, 1, 1)=DATE(1900,1,0), DATE(1900,1,1), OFFSET('IWP26'!BackgroundChecks, 17, 5, 1, 1))</f>
        <v>1</v>
      </c>
      <c r="F600" s="262" t="str">
        <f ca="1">IF(OFFSET('IWP26'!BackgroundChecks, 17, 6, 1, 1) = 0, "", OFFSET('IWP26'!BackgroundChecks, 17, 6, 1, 1))</f>
        <v/>
      </c>
      <c r="G600" s="254">
        <f ca="1">IF(OFFSET('IWP26'!BackgroundChecks, 17, 7, 1, 1)=DATE(1900,1,0), DATE(1900,1,1), OFFSET('IWP26'!BackgroundChecks, 17, 7, 1, 1))</f>
        <v>1</v>
      </c>
      <c r="H600" s="254">
        <f ca="1">IF(OFFSET('IWP26'!BackgroundChecks, 17, 8, 1, 1)=DATE(1900,1,0), DATE(1900,1,1), OFFSET('IWP26'!BackgroundChecks, 17, 8, 1, 1))</f>
        <v>1</v>
      </c>
      <c r="I600" s="262" t="str">
        <f ca="1">IF(OFFSET('IWP26'!BackgroundChecks, 17, 9, 1, 1) = 0, "", OFFSET('IWP26'!BackgroundChecks, 17, 9, 1, 1))</f>
        <v/>
      </c>
      <c r="J600" s="262" t="str">
        <f ca="1">IF(OFFSET('IWP26'!BackgroundChecks, 17, 10, 1, 1) = 0, "", OFFSET('IWP26'!BackgroundChecks, 17, 10, 1, 1))</f>
        <v/>
      </c>
      <c r="K600" s="262" t="str">
        <f ca="1">IF(OFFSET('IWP26'!BackgroundChecks, 17, 11, 1, 1) = 0, "", OFFSET('IWP26'!BackgroundChecks, 17, 11, 1, 1))</f>
        <v/>
      </c>
      <c r="L600" s="262" t="str">
        <f ca="1">IF(OFFSET('IWP26'!BackgroundChecks, 17, 12, 1, 1) = 0, "", OFFSET('IWP26'!BackgroundChecks, 17, 12, 1, 1))</f>
        <v/>
      </c>
      <c r="M600" s="262" t="str">
        <f ca="1">IF(OFFSET('IWP26'!BackgroundChecks, 17, 13, 1, 1) = 0, "", OFFSET('IWP26'!BackgroundChecks, 17, 13, 1, 1))</f>
        <v/>
      </c>
      <c r="N600" s="261"/>
    </row>
    <row r="601" spans="1:14" s="146" customFormat="1">
      <c r="A601" s="257" t="s">
        <v>524</v>
      </c>
      <c r="B601" s="262" t="str">
        <f ca="1">IF(OFFSET('IWP26'!BackgroundChecks, 18, 0, 1, 1) = 0, "", OFFSET('IWP26'!BackgroundChecks, 18, 0, 1, 1))</f>
        <v/>
      </c>
      <c r="C601" s="262" t="str">
        <f ca="1">IF(OFFSET('IWP26'!BackgroundChecks, 18, 2, 1, 1) = 0, "", OFFSET('IWP26'!BackgroundChecks, 18, 2, 1, 1))</f>
        <v/>
      </c>
      <c r="D601" s="262" t="str">
        <f ca="1">IF(OFFSET('IWP26'!BackgroundChecks, 18, 4, 1, 1) = 0, "", OFFSET('IWP26'!BackgroundChecks, 18, 4, 1, 1))</f>
        <v/>
      </c>
      <c r="E601" s="254">
        <f ca="1">IF(OFFSET('IWP26'!BackgroundChecks, 18, 5, 1, 1)=DATE(1900,1,0), DATE(1900,1,1), OFFSET('IWP26'!BackgroundChecks, 18, 5, 1, 1))</f>
        <v>1</v>
      </c>
      <c r="F601" s="262" t="str">
        <f ca="1">IF(OFFSET('IWP26'!BackgroundChecks, 18, 6, 1, 1) = 0, "", OFFSET('IWP26'!BackgroundChecks, 18, 6, 1, 1))</f>
        <v/>
      </c>
      <c r="G601" s="254">
        <f ca="1">IF(OFFSET('IWP26'!BackgroundChecks, 18, 7, 1, 1)=DATE(1900,1,0), DATE(1900,1,1), OFFSET('IWP26'!BackgroundChecks, 18, 7, 1, 1))</f>
        <v>1</v>
      </c>
      <c r="H601" s="254">
        <f ca="1">IF(OFFSET('IWP26'!BackgroundChecks, 18, 8, 1, 1)=DATE(1900,1,0), DATE(1900,1,1), OFFSET('IWP26'!BackgroundChecks, 18, 8, 1, 1))</f>
        <v>1</v>
      </c>
      <c r="I601" s="262" t="str">
        <f ca="1">IF(OFFSET('IWP26'!BackgroundChecks, 18, 9, 1, 1) = 0, "", OFFSET('IWP26'!BackgroundChecks, 18, 9, 1, 1))</f>
        <v/>
      </c>
      <c r="J601" s="262" t="str">
        <f ca="1">IF(OFFSET('IWP26'!BackgroundChecks, 18, 10, 1, 1) = 0, "", OFFSET('IWP26'!BackgroundChecks, 18, 10, 1, 1))</f>
        <v/>
      </c>
      <c r="K601" s="262" t="str">
        <f ca="1">IF(OFFSET('IWP26'!BackgroundChecks, 18, 11, 1, 1) = 0, "", OFFSET('IWP26'!BackgroundChecks, 18, 11, 1, 1))</f>
        <v/>
      </c>
      <c r="L601" s="262" t="str">
        <f ca="1">IF(OFFSET('IWP26'!BackgroundChecks, 18, 12, 1, 1) = 0, "", OFFSET('IWP26'!BackgroundChecks, 18, 12, 1, 1))</f>
        <v/>
      </c>
      <c r="M601" s="262" t="str">
        <f ca="1">IF(OFFSET('IWP26'!BackgroundChecks, 18, 13, 1, 1) = 0, "", OFFSET('IWP26'!BackgroundChecks, 18, 13, 1, 1))</f>
        <v/>
      </c>
      <c r="N601" s="261"/>
    </row>
    <row r="602" spans="1:14" s="146" customFormat="1">
      <c r="A602" s="257" t="s">
        <v>524</v>
      </c>
      <c r="B602" s="262" t="str">
        <f ca="1">IF(OFFSET('IWP26'!BackgroundChecks, 19, 0, 1, 1) = 0, "", OFFSET('IWP26'!BackgroundChecks, 19, 0, 1, 1))</f>
        <v/>
      </c>
      <c r="C602" s="262" t="str">
        <f ca="1">IF(OFFSET('IWP26'!BackgroundChecks, 19, 2, 1, 1) = 0, "", OFFSET('IWP26'!BackgroundChecks, 19, 2, 1, 1))</f>
        <v/>
      </c>
      <c r="D602" s="262" t="str">
        <f ca="1">IF(OFFSET('IWP26'!BackgroundChecks, 19, 4, 1, 1) = 0, "", OFFSET('IWP26'!BackgroundChecks, 19, 4, 1, 1))</f>
        <v/>
      </c>
      <c r="E602" s="254">
        <f ca="1">IF(OFFSET('IWP26'!BackgroundChecks, 19, 5, 1, 1)=DATE(1900,1,0), DATE(1900,1,1), OFFSET('IWP26'!BackgroundChecks, 19, 5, 1, 1))</f>
        <v>1</v>
      </c>
      <c r="F602" s="262" t="str">
        <f ca="1">IF(OFFSET('IWP26'!BackgroundChecks, 19, 6, 1, 1) = 0, "", OFFSET('IWP26'!BackgroundChecks, 19, 6, 1, 1))</f>
        <v/>
      </c>
      <c r="G602" s="254">
        <f ca="1">IF(OFFSET('IWP26'!BackgroundChecks, 19, 7, 1, 1)=DATE(1900,1,0), DATE(1900,1,1), OFFSET('IWP26'!BackgroundChecks, 19, 7, 1, 1))</f>
        <v>1</v>
      </c>
      <c r="H602" s="254">
        <f ca="1">IF(OFFSET('IWP26'!BackgroundChecks, 19, 8, 1, 1)=DATE(1900,1,0), DATE(1900,1,1), OFFSET('IWP26'!BackgroundChecks, 19, 8, 1, 1))</f>
        <v>1</v>
      </c>
      <c r="I602" s="262" t="str">
        <f ca="1">IF(OFFSET('IWP26'!BackgroundChecks, 19, 9, 1, 1) = 0, "", OFFSET('IWP26'!BackgroundChecks, 19, 9, 1, 1))</f>
        <v/>
      </c>
      <c r="J602" s="262" t="str">
        <f ca="1">IF(OFFSET('IWP26'!BackgroundChecks, 19, 10, 1, 1) = 0, "", OFFSET('IWP26'!BackgroundChecks, 19, 10, 1, 1))</f>
        <v/>
      </c>
      <c r="K602" s="262" t="str">
        <f ca="1">IF(OFFSET('IWP26'!BackgroundChecks, 19, 11, 1, 1) = 0, "", OFFSET('IWP26'!BackgroundChecks, 19, 11, 1, 1))</f>
        <v/>
      </c>
      <c r="L602" s="262" t="str">
        <f ca="1">IF(OFFSET('IWP26'!BackgroundChecks, 19, 12, 1, 1) = 0, "", OFFSET('IWP26'!BackgroundChecks, 19, 12, 1, 1))</f>
        <v/>
      </c>
      <c r="M602" s="262" t="str">
        <f ca="1">IF(OFFSET('IWP26'!BackgroundChecks, 19, 13, 1, 1) = 0, "", OFFSET('IWP26'!BackgroundChecks, 19, 13, 1, 1))</f>
        <v/>
      </c>
      <c r="N602" s="261"/>
    </row>
    <row r="603" spans="1:14" s="146" customFormat="1">
      <c r="A603" s="257" t="s">
        <v>525</v>
      </c>
      <c r="B603" s="262" t="str">
        <f ca="1">IF(OFFSET('IWP27'!BackgroundChecks, 0, 0, 1, 1) = 0, "", OFFSET('IWP27'!BackgroundChecks, 0, 0, 1, 1))</f>
        <v/>
      </c>
      <c r="C603" s="262" t="str">
        <f ca="1">IF(OFFSET('IWP27'!BackgroundChecks, 0, 2, 1, 1) = 0, "", OFFSET('IWP27'!BackgroundChecks, 0, 2, 1, 1))</f>
        <v/>
      </c>
      <c r="D603" s="262" t="str">
        <f ca="1">IF(OFFSET('IWP27'!BackgroundChecks, 0, 4, 1, 1) = 0, "", OFFSET('IWP27'!BackgroundChecks, 0, 4, 1, 1))</f>
        <v/>
      </c>
      <c r="E603" s="254">
        <f ca="1">IF(OFFSET('IWP27'!BackgroundChecks, 0, 5, 1, 1)=DATE(1900,1,0), DATE(1900,1,1), OFFSET('IWP27'!BackgroundChecks, 0, 5, 1, 1))</f>
        <v>1</v>
      </c>
      <c r="F603" s="262" t="str">
        <f ca="1">IF(OFFSET('IWP27'!BackgroundChecks, 0, 6, 1, 1) = 0, "", OFFSET('IWP27'!BackgroundChecks, 0, 6, 1, 1))</f>
        <v/>
      </c>
      <c r="G603" s="254">
        <f ca="1">IF(OFFSET('IWP27'!BackgroundChecks, 0, 7, 1, 1)=DATE(1900,1,0), DATE(1900,1,1), OFFSET('IWP27'!BackgroundChecks, 0, 7, 1, 1))</f>
        <v>1</v>
      </c>
      <c r="H603" s="254">
        <f ca="1">IF(OFFSET('IWP27'!BackgroundChecks, 0, 8, 1, 1)=DATE(1900,1,0), DATE(1900,1,1), OFFSET('IWP27'!BackgroundChecks, 0, 8, 1, 1))</f>
        <v>1</v>
      </c>
      <c r="I603" s="262" t="str">
        <f ca="1">IF(OFFSET('IWP27'!BackgroundChecks, 0, 9, 1, 1) = 0, "", OFFSET('IWP27'!BackgroundChecks, 0, 9, 1, 1))</f>
        <v/>
      </c>
      <c r="J603" s="262" t="str">
        <f ca="1">IF(OFFSET('IWP27'!BackgroundChecks, 0, 10, 1, 1) = 0, "", OFFSET('IWP27'!BackgroundChecks, 0, 10, 1, 1))</f>
        <v/>
      </c>
      <c r="K603" s="262" t="str">
        <f ca="1">IF(OFFSET('IWP27'!BackgroundChecks, 0, 11, 1, 1) = 0, "", OFFSET('IWP27'!BackgroundChecks, 0, 11, 1, 1))</f>
        <v/>
      </c>
      <c r="L603" s="262" t="str">
        <f ca="1">IF(OFFSET('IWP27'!BackgroundChecks, 0, 12, 1, 1) = 0, "", OFFSET('IWP27'!BackgroundChecks, 0, 12, 1, 1))</f>
        <v/>
      </c>
      <c r="M603" s="262" t="str">
        <f ca="1">IF(OFFSET('IWP27'!BackgroundChecks, 0, 13, 1, 1) = 0, "", OFFSET('IWP27'!BackgroundChecks, 0, 13, 1, 1))</f>
        <v/>
      </c>
      <c r="N603" s="261"/>
    </row>
    <row r="604" spans="1:14" s="146" customFormat="1">
      <c r="A604" s="257" t="s">
        <v>525</v>
      </c>
      <c r="B604" s="262" t="str">
        <f ca="1">IF(OFFSET('IWP27'!BackgroundChecks, 1, 0, 1, 1) = 0, "", OFFSET('IWP27'!BackgroundChecks, 1, 0, 1, 1))</f>
        <v/>
      </c>
      <c r="C604" s="262" t="str">
        <f ca="1">IF(OFFSET('IWP27'!BackgroundChecks, 1, 2, 1, 1) = 0, "", OFFSET('IWP27'!BackgroundChecks, 1, 2, 1, 1))</f>
        <v/>
      </c>
      <c r="D604" s="262" t="str">
        <f ca="1">IF(OFFSET('IWP27'!BackgroundChecks, 1, 4, 1, 1) = 0, "", OFFSET('IWP27'!BackgroundChecks, 1, 4, 1, 1))</f>
        <v/>
      </c>
      <c r="E604" s="254">
        <f ca="1">IF(OFFSET('IWP27'!BackgroundChecks, 1, 5, 1, 1)=DATE(1900,1,0), DATE(1900,1,1), OFFSET('IWP27'!BackgroundChecks, 1, 5, 1, 1))</f>
        <v>1</v>
      </c>
      <c r="F604" s="262" t="str">
        <f ca="1">IF(OFFSET('IWP27'!BackgroundChecks, 1, 6, 1, 1) = 0, "", OFFSET('IWP27'!BackgroundChecks, 1, 6, 1, 1))</f>
        <v/>
      </c>
      <c r="G604" s="254">
        <f ca="1">IF(OFFSET('IWP27'!BackgroundChecks, 1, 7, 1, 1)=DATE(1900,1,0), DATE(1900,1,1), OFFSET('IWP27'!BackgroundChecks, 1, 7, 1, 1))</f>
        <v>1</v>
      </c>
      <c r="H604" s="254">
        <f ca="1">IF(OFFSET('IWP27'!BackgroundChecks, 1, 8, 1, 1)=DATE(1900,1,0), DATE(1900,1,1), OFFSET('IWP27'!BackgroundChecks, 1, 8, 1, 1))</f>
        <v>1</v>
      </c>
      <c r="I604" s="262" t="str">
        <f ca="1">IF(OFFSET('IWP27'!BackgroundChecks, 1, 9, 1, 1) = 0, "", OFFSET('IWP27'!BackgroundChecks, 1, 9, 1, 1))</f>
        <v/>
      </c>
      <c r="J604" s="262" t="str">
        <f ca="1">IF(OFFSET('IWP27'!BackgroundChecks, 1, 10, 1, 1) = 0, "", OFFSET('IWP27'!BackgroundChecks, 1, 10, 1, 1))</f>
        <v/>
      </c>
      <c r="K604" s="262" t="str">
        <f ca="1">IF(OFFSET('IWP27'!BackgroundChecks, 1, 11, 1, 1) = 0, "", OFFSET('IWP27'!BackgroundChecks, 1, 11, 1, 1))</f>
        <v/>
      </c>
      <c r="L604" s="262" t="str">
        <f ca="1">IF(OFFSET('IWP27'!BackgroundChecks, 1, 12, 1, 1) = 0, "", OFFSET('IWP27'!BackgroundChecks, 1, 12, 1, 1))</f>
        <v/>
      </c>
      <c r="M604" s="262" t="str">
        <f ca="1">IF(OFFSET('IWP27'!BackgroundChecks, 1, 13, 1, 1) = 0, "", OFFSET('IWP27'!BackgroundChecks, 1, 13, 1, 1))</f>
        <v/>
      </c>
      <c r="N604" s="261"/>
    </row>
    <row r="605" spans="1:14" s="146" customFormat="1">
      <c r="A605" s="257" t="s">
        <v>525</v>
      </c>
      <c r="B605" s="262" t="str">
        <f ca="1">IF(OFFSET('IWP27'!BackgroundChecks, 2, 0, 1, 1) = 0, "", OFFSET('IWP27'!BackgroundChecks, 2, 0, 1, 1))</f>
        <v/>
      </c>
      <c r="C605" s="262" t="str">
        <f ca="1">IF(OFFSET('IWP27'!BackgroundChecks, 2, 2, 1, 1) = 0, "", OFFSET('IWP27'!BackgroundChecks, 2, 2, 1, 1))</f>
        <v/>
      </c>
      <c r="D605" s="262" t="str">
        <f ca="1">IF(OFFSET('IWP27'!BackgroundChecks, 2, 4, 1, 1) = 0, "", OFFSET('IWP27'!BackgroundChecks, 2, 4, 1, 1))</f>
        <v/>
      </c>
      <c r="E605" s="254">
        <f ca="1">IF(OFFSET('IWP27'!BackgroundChecks, 2, 5, 1, 1)=DATE(1900,1,0), DATE(1900,1,1), OFFSET('IWP27'!BackgroundChecks, 2, 5, 1, 1))</f>
        <v>1</v>
      </c>
      <c r="F605" s="262" t="str">
        <f ca="1">IF(OFFSET('IWP27'!BackgroundChecks, 2, 6, 1, 1) = 0, "", OFFSET('IWP27'!BackgroundChecks, 2, 6, 1, 1))</f>
        <v/>
      </c>
      <c r="G605" s="254">
        <f ca="1">IF(OFFSET('IWP27'!BackgroundChecks, 2, 7, 1, 1)=DATE(1900,1,0), DATE(1900,1,1), OFFSET('IWP27'!BackgroundChecks, 2, 7, 1, 1))</f>
        <v>1</v>
      </c>
      <c r="H605" s="254">
        <f ca="1">IF(OFFSET('IWP27'!BackgroundChecks, 2, 8, 1, 1)=DATE(1900,1,0), DATE(1900,1,1), OFFSET('IWP27'!BackgroundChecks, 2, 8, 1, 1))</f>
        <v>1</v>
      </c>
      <c r="I605" s="262" t="str">
        <f ca="1">IF(OFFSET('IWP27'!BackgroundChecks, 2, 9, 1, 1) = 0, "", OFFSET('IWP27'!BackgroundChecks, 2, 9, 1, 1))</f>
        <v/>
      </c>
      <c r="J605" s="262" t="str">
        <f ca="1">IF(OFFSET('IWP27'!BackgroundChecks, 2, 10, 1, 1) = 0, "", OFFSET('IWP27'!BackgroundChecks, 2, 10, 1, 1))</f>
        <v/>
      </c>
      <c r="K605" s="262" t="str">
        <f ca="1">IF(OFFSET('IWP27'!BackgroundChecks, 2, 11, 1, 1) = 0, "", OFFSET('IWP27'!BackgroundChecks, 2, 11, 1, 1))</f>
        <v/>
      </c>
      <c r="L605" s="262" t="str">
        <f ca="1">IF(OFFSET('IWP27'!BackgroundChecks, 2, 12, 1, 1) = 0, "", OFFSET('IWP27'!BackgroundChecks, 2, 12, 1, 1))</f>
        <v/>
      </c>
      <c r="M605" s="262" t="str">
        <f ca="1">IF(OFFSET('IWP27'!BackgroundChecks, 2, 13, 1, 1) = 0, "", OFFSET('IWP27'!BackgroundChecks, 2, 13, 1, 1))</f>
        <v/>
      </c>
      <c r="N605" s="261"/>
    </row>
    <row r="606" spans="1:14" s="146" customFormat="1">
      <c r="A606" s="257" t="s">
        <v>525</v>
      </c>
      <c r="B606" s="262" t="str">
        <f ca="1">IF(OFFSET('IWP27'!BackgroundChecks, 3, 0, 1, 1) = 0, "", OFFSET('IWP27'!BackgroundChecks, 3, 0, 1, 1))</f>
        <v/>
      </c>
      <c r="C606" s="262" t="str">
        <f ca="1">IF(OFFSET('IWP27'!BackgroundChecks, 3, 2, 1, 1) = 0, "", OFFSET('IWP27'!BackgroundChecks, 3, 2, 1, 1))</f>
        <v/>
      </c>
      <c r="D606" s="262" t="str">
        <f ca="1">IF(OFFSET('IWP27'!BackgroundChecks, 3, 4, 1, 1) = 0, "", OFFSET('IWP27'!BackgroundChecks, 3, 4, 1, 1))</f>
        <v/>
      </c>
      <c r="E606" s="254">
        <f ca="1">IF(OFFSET('IWP27'!BackgroundChecks, 3, 5, 1, 1)=DATE(1900,1,0), DATE(1900,1,1), OFFSET('IWP27'!BackgroundChecks, 3, 5, 1, 1))</f>
        <v>1</v>
      </c>
      <c r="F606" s="262" t="str">
        <f ca="1">IF(OFFSET('IWP27'!BackgroundChecks, 3, 6, 1, 1) = 0, "", OFFSET('IWP27'!BackgroundChecks, 3, 6, 1, 1))</f>
        <v/>
      </c>
      <c r="G606" s="254">
        <f ca="1">IF(OFFSET('IWP27'!BackgroundChecks, 3, 7, 1, 1)=DATE(1900,1,0), DATE(1900,1,1), OFFSET('IWP27'!BackgroundChecks, 3, 7, 1, 1))</f>
        <v>1</v>
      </c>
      <c r="H606" s="254">
        <f ca="1">IF(OFFSET('IWP27'!BackgroundChecks, 3, 8, 1, 1)=DATE(1900,1,0), DATE(1900,1,1), OFFSET('IWP27'!BackgroundChecks, 3, 8, 1, 1))</f>
        <v>1</v>
      </c>
      <c r="I606" s="262" t="str">
        <f ca="1">IF(OFFSET('IWP27'!BackgroundChecks, 3, 9, 1, 1) = 0, "", OFFSET('IWP27'!BackgroundChecks, 3, 9, 1, 1))</f>
        <v/>
      </c>
      <c r="J606" s="262" t="str">
        <f ca="1">IF(OFFSET('IWP27'!BackgroundChecks, 3, 10, 1, 1) = 0, "", OFFSET('IWP27'!BackgroundChecks, 3, 10, 1, 1))</f>
        <v/>
      </c>
      <c r="K606" s="262" t="str">
        <f ca="1">IF(OFFSET('IWP27'!BackgroundChecks, 3, 11, 1, 1) = 0, "", OFFSET('IWP27'!BackgroundChecks, 3, 11, 1, 1))</f>
        <v/>
      </c>
      <c r="L606" s="262" t="str">
        <f ca="1">IF(OFFSET('IWP27'!BackgroundChecks, 3, 12, 1, 1) = 0, "", OFFSET('IWP27'!BackgroundChecks, 3, 12, 1, 1))</f>
        <v/>
      </c>
      <c r="M606" s="262" t="str">
        <f ca="1">IF(OFFSET('IWP27'!BackgroundChecks, 3, 13, 1, 1) = 0, "", OFFSET('IWP27'!BackgroundChecks, 3, 13, 1, 1))</f>
        <v/>
      </c>
      <c r="N606" s="261"/>
    </row>
    <row r="607" spans="1:14" s="146" customFormat="1">
      <c r="A607" s="257" t="s">
        <v>525</v>
      </c>
      <c r="B607" s="262" t="str">
        <f ca="1">IF(OFFSET('IWP27'!BackgroundChecks, 4, 0, 1, 1) = 0, "", OFFSET('IWP27'!BackgroundChecks, 4, 0, 1, 1))</f>
        <v/>
      </c>
      <c r="C607" s="262" t="str">
        <f ca="1">IF(OFFSET('IWP27'!BackgroundChecks, 4, 2, 1, 1) = 0, "", OFFSET('IWP27'!BackgroundChecks, 4, 2, 1, 1))</f>
        <v/>
      </c>
      <c r="D607" s="262" t="str">
        <f ca="1">IF(OFFSET('IWP27'!BackgroundChecks, 4, 4, 1, 1) = 0, "", OFFSET('IWP27'!BackgroundChecks, 4, 4, 1, 1))</f>
        <v/>
      </c>
      <c r="E607" s="254">
        <f ca="1">IF(OFFSET('IWP27'!BackgroundChecks, 4, 5, 1, 1)=DATE(1900,1,0), DATE(1900,1,1), OFFSET('IWP27'!BackgroundChecks, 4, 5, 1, 1))</f>
        <v>1</v>
      </c>
      <c r="F607" s="262" t="str">
        <f ca="1">IF(OFFSET('IWP27'!BackgroundChecks, 4, 6, 1, 1) = 0, "", OFFSET('IWP27'!BackgroundChecks, 4, 6, 1, 1))</f>
        <v/>
      </c>
      <c r="G607" s="254">
        <f ca="1">IF(OFFSET('IWP27'!BackgroundChecks, 4, 7, 1, 1)=DATE(1900,1,0), DATE(1900,1,1), OFFSET('IWP27'!BackgroundChecks, 4, 7, 1, 1))</f>
        <v>1</v>
      </c>
      <c r="H607" s="254">
        <f ca="1">IF(OFFSET('IWP27'!BackgroundChecks, 4, 8, 1, 1)=DATE(1900,1,0), DATE(1900,1,1), OFFSET('IWP27'!BackgroundChecks, 4, 8, 1, 1))</f>
        <v>1</v>
      </c>
      <c r="I607" s="262" t="str">
        <f ca="1">IF(OFFSET('IWP27'!BackgroundChecks, 4, 9, 1, 1) = 0, "", OFFSET('IWP27'!BackgroundChecks, 4, 9, 1, 1))</f>
        <v/>
      </c>
      <c r="J607" s="262" t="str">
        <f ca="1">IF(OFFSET('IWP27'!BackgroundChecks, 4, 10, 1, 1) = 0, "", OFFSET('IWP27'!BackgroundChecks, 4, 10, 1, 1))</f>
        <v/>
      </c>
      <c r="K607" s="262" t="str">
        <f ca="1">IF(OFFSET('IWP27'!BackgroundChecks, 4, 11, 1, 1) = 0, "", OFFSET('IWP27'!BackgroundChecks, 4, 11, 1, 1))</f>
        <v/>
      </c>
      <c r="L607" s="262" t="str">
        <f ca="1">IF(OFFSET('IWP27'!BackgroundChecks, 4, 12, 1, 1) = 0, "", OFFSET('IWP27'!BackgroundChecks, 4, 12, 1, 1))</f>
        <v/>
      </c>
      <c r="M607" s="262" t="str">
        <f ca="1">IF(OFFSET('IWP27'!BackgroundChecks, 4, 13, 1, 1) = 0, "", OFFSET('IWP27'!BackgroundChecks, 4, 13, 1, 1))</f>
        <v/>
      </c>
      <c r="N607" s="261"/>
    </row>
    <row r="608" spans="1:14" s="146" customFormat="1">
      <c r="A608" s="257" t="s">
        <v>525</v>
      </c>
      <c r="B608" s="262" t="str">
        <f ca="1">IF(OFFSET('IWP27'!BackgroundChecks, 5, 0, 1, 1) = 0, "", OFFSET('IWP27'!BackgroundChecks, 5, 0, 1, 1))</f>
        <v/>
      </c>
      <c r="C608" s="262" t="str">
        <f ca="1">IF(OFFSET('IWP27'!BackgroundChecks, 5, 2, 1, 1) = 0, "", OFFSET('IWP27'!BackgroundChecks, 5, 2, 1, 1))</f>
        <v/>
      </c>
      <c r="D608" s="262" t="str">
        <f ca="1">IF(OFFSET('IWP27'!BackgroundChecks, 5, 4, 1, 1) = 0, "", OFFSET('IWP27'!BackgroundChecks, 5, 4, 1, 1))</f>
        <v/>
      </c>
      <c r="E608" s="254">
        <f ca="1">IF(OFFSET('IWP27'!BackgroundChecks, 5, 5, 1, 1)=DATE(1900,1,0), DATE(1900,1,1), OFFSET('IWP27'!BackgroundChecks, 5, 5, 1, 1))</f>
        <v>1</v>
      </c>
      <c r="F608" s="262" t="str">
        <f ca="1">IF(OFFSET('IWP27'!BackgroundChecks, 5, 6, 1, 1) = 0, "", OFFSET('IWP27'!BackgroundChecks, 5, 6, 1, 1))</f>
        <v/>
      </c>
      <c r="G608" s="254">
        <f ca="1">IF(OFFSET('IWP27'!BackgroundChecks, 5, 7, 1, 1)=DATE(1900,1,0), DATE(1900,1,1), OFFSET('IWP27'!BackgroundChecks, 5, 7, 1, 1))</f>
        <v>1</v>
      </c>
      <c r="H608" s="254">
        <f ca="1">IF(OFFSET('IWP27'!BackgroundChecks, 5, 8, 1, 1)=DATE(1900,1,0), DATE(1900,1,1), OFFSET('IWP27'!BackgroundChecks, 5, 8, 1, 1))</f>
        <v>1</v>
      </c>
      <c r="I608" s="262" t="str">
        <f ca="1">IF(OFFSET('IWP27'!BackgroundChecks, 5, 9, 1, 1) = 0, "", OFFSET('IWP27'!BackgroundChecks, 5, 9, 1, 1))</f>
        <v/>
      </c>
      <c r="J608" s="262" t="str">
        <f ca="1">IF(OFFSET('IWP27'!BackgroundChecks, 5, 10, 1, 1) = 0, "", OFFSET('IWP27'!BackgroundChecks, 5, 10, 1, 1))</f>
        <v/>
      </c>
      <c r="K608" s="262" t="str">
        <f ca="1">IF(OFFSET('IWP27'!BackgroundChecks, 5, 11, 1, 1) = 0, "", OFFSET('IWP27'!BackgroundChecks, 5, 11, 1, 1))</f>
        <v/>
      </c>
      <c r="L608" s="262" t="str">
        <f ca="1">IF(OFFSET('IWP27'!BackgroundChecks, 5, 12, 1, 1) = 0, "", OFFSET('IWP27'!BackgroundChecks, 5, 12, 1, 1))</f>
        <v/>
      </c>
      <c r="M608" s="262" t="str">
        <f ca="1">IF(OFFSET('IWP27'!BackgroundChecks, 5, 13, 1, 1) = 0, "", OFFSET('IWP27'!BackgroundChecks, 5, 13, 1, 1))</f>
        <v/>
      </c>
      <c r="N608" s="261"/>
    </row>
    <row r="609" spans="1:14" s="146" customFormat="1">
      <c r="A609" s="257" t="s">
        <v>525</v>
      </c>
      <c r="B609" s="262" t="str">
        <f ca="1">IF(OFFSET('IWP27'!BackgroundChecks, 6, 0, 1, 1) = 0, "", OFFSET('IWP27'!BackgroundChecks, 6, 0, 1, 1))</f>
        <v/>
      </c>
      <c r="C609" s="262" t="str">
        <f ca="1">IF(OFFSET('IWP27'!BackgroundChecks, 6, 2, 1, 1) = 0, "", OFFSET('IWP27'!BackgroundChecks, 6, 2, 1, 1))</f>
        <v/>
      </c>
      <c r="D609" s="262" t="str">
        <f ca="1">IF(OFFSET('IWP27'!BackgroundChecks, 6, 4, 1, 1) = 0, "", OFFSET('IWP27'!BackgroundChecks, 6, 4, 1, 1))</f>
        <v/>
      </c>
      <c r="E609" s="254">
        <f ca="1">IF(OFFSET('IWP27'!BackgroundChecks, 6, 5, 1, 1)=DATE(1900,1,0), DATE(1900,1,1), OFFSET('IWP27'!BackgroundChecks, 6, 5, 1, 1))</f>
        <v>1</v>
      </c>
      <c r="F609" s="262" t="str">
        <f ca="1">IF(OFFSET('IWP27'!BackgroundChecks, 6, 6, 1, 1) = 0, "", OFFSET('IWP27'!BackgroundChecks, 6, 6, 1, 1))</f>
        <v/>
      </c>
      <c r="G609" s="254">
        <f ca="1">IF(OFFSET('IWP27'!BackgroundChecks, 6, 7, 1, 1)=DATE(1900,1,0), DATE(1900,1,1), OFFSET('IWP27'!BackgroundChecks, 6, 7, 1, 1))</f>
        <v>1</v>
      </c>
      <c r="H609" s="254">
        <f ca="1">IF(OFFSET('IWP27'!BackgroundChecks, 6, 8, 1, 1)=DATE(1900,1,0), DATE(1900,1,1), OFFSET('IWP27'!BackgroundChecks, 6, 8, 1, 1))</f>
        <v>1</v>
      </c>
      <c r="I609" s="262" t="str">
        <f ca="1">IF(OFFSET('IWP27'!BackgroundChecks, 6, 9, 1, 1) = 0, "", OFFSET('IWP27'!BackgroundChecks, 6, 9, 1, 1))</f>
        <v/>
      </c>
      <c r="J609" s="262" t="str">
        <f ca="1">IF(OFFSET('IWP27'!BackgroundChecks, 6, 10, 1, 1) = 0, "", OFFSET('IWP27'!BackgroundChecks, 6, 10, 1, 1))</f>
        <v/>
      </c>
      <c r="K609" s="262" t="str">
        <f ca="1">IF(OFFSET('IWP27'!BackgroundChecks, 6, 11, 1, 1) = 0, "", OFFSET('IWP27'!BackgroundChecks, 6, 11, 1, 1))</f>
        <v/>
      </c>
      <c r="L609" s="262" t="str">
        <f ca="1">IF(OFFSET('IWP27'!BackgroundChecks, 6, 12, 1, 1) = 0, "", OFFSET('IWP27'!BackgroundChecks, 6, 12, 1, 1))</f>
        <v/>
      </c>
      <c r="M609" s="262" t="str">
        <f ca="1">IF(OFFSET('IWP27'!BackgroundChecks, 6, 13, 1, 1) = 0, "", OFFSET('IWP27'!BackgroundChecks, 6, 13, 1, 1))</f>
        <v/>
      </c>
      <c r="N609" s="261"/>
    </row>
    <row r="610" spans="1:14" s="146" customFormat="1">
      <c r="A610" s="257" t="s">
        <v>525</v>
      </c>
      <c r="B610" s="262" t="str">
        <f ca="1">IF(OFFSET('IWP27'!BackgroundChecks, 7, 0, 1, 1) = 0, "", OFFSET('IWP27'!BackgroundChecks, 7, 0, 1, 1))</f>
        <v/>
      </c>
      <c r="C610" s="262" t="str">
        <f ca="1">IF(OFFSET('IWP27'!BackgroundChecks, 7, 2, 1, 1) = 0, "", OFFSET('IWP27'!BackgroundChecks, 7, 2, 1, 1))</f>
        <v/>
      </c>
      <c r="D610" s="262" t="str">
        <f ca="1">IF(OFFSET('IWP27'!BackgroundChecks, 7, 4, 1, 1) = 0, "", OFFSET('IWP27'!BackgroundChecks, 7, 4, 1, 1))</f>
        <v/>
      </c>
      <c r="E610" s="254">
        <f ca="1">IF(OFFSET('IWP27'!BackgroundChecks, 7, 5, 1, 1)=DATE(1900,1,0), DATE(1900,1,1), OFFSET('IWP27'!BackgroundChecks, 7, 5, 1, 1))</f>
        <v>1</v>
      </c>
      <c r="F610" s="262" t="str">
        <f ca="1">IF(OFFSET('IWP27'!BackgroundChecks, 7, 6, 1, 1) = 0, "", OFFSET('IWP27'!BackgroundChecks, 7, 6, 1, 1))</f>
        <v/>
      </c>
      <c r="G610" s="254">
        <f ca="1">IF(OFFSET('IWP27'!BackgroundChecks, 7, 7, 1, 1)=DATE(1900,1,0), DATE(1900,1,1), OFFSET('IWP27'!BackgroundChecks, 7, 7, 1, 1))</f>
        <v>1</v>
      </c>
      <c r="H610" s="254">
        <f ca="1">IF(OFFSET('IWP27'!BackgroundChecks, 7, 8, 1, 1)=DATE(1900,1,0), DATE(1900,1,1), OFFSET('IWP27'!BackgroundChecks, 7, 8, 1, 1))</f>
        <v>1</v>
      </c>
      <c r="I610" s="262" t="str">
        <f ca="1">IF(OFFSET('IWP27'!BackgroundChecks, 7, 9, 1, 1) = 0, "", OFFSET('IWP27'!BackgroundChecks, 7, 9, 1, 1))</f>
        <v/>
      </c>
      <c r="J610" s="262" t="str">
        <f ca="1">IF(OFFSET('IWP27'!BackgroundChecks, 7, 10, 1, 1) = 0, "", OFFSET('IWP27'!BackgroundChecks, 7, 10, 1, 1))</f>
        <v/>
      </c>
      <c r="K610" s="262" t="str">
        <f ca="1">IF(OFFSET('IWP27'!BackgroundChecks, 7, 11, 1, 1) = 0, "", OFFSET('IWP27'!BackgroundChecks, 7, 11, 1, 1))</f>
        <v/>
      </c>
      <c r="L610" s="262" t="str">
        <f ca="1">IF(OFFSET('IWP27'!BackgroundChecks, 7, 12, 1, 1) = 0, "", OFFSET('IWP27'!BackgroundChecks, 7, 12, 1, 1))</f>
        <v/>
      </c>
      <c r="M610" s="262" t="str">
        <f ca="1">IF(OFFSET('IWP27'!BackgroundChecks, 7, 13, 1, 1) = 0, "", OFFSET('IWP27'!BackgroundChecks, 7, 13, 1, 1))</f>
        <v/>
      </c>
      <c r="N610" s="261"/>
    </row>
    <row r="611" spans="1:14" s="146" customFormat="1">
      <c r="A611" s="257" t="s">
        <v>525</v>
      </c>
      <c r="B611" s="262" t="str">
        <f ca="1">IF(OFFSET('IWP27'!BackgroundChecks, 8, 0, 1, 1) = 0, "", OFFSET('IWP27'!BackgroundChecks, 8, 0, 1, 1))</f>
        <v/>
      </c>
      <c r="C611" s="262" t="str">
        <f ca="1">IF(OFFSET('IWP27'!BackgroundChecks, 8, 2, 1, 1) = 0, "", OFFSET('IWP27'!BackgroundChecks, 8, 2, 1, 1))</f>
        <v/>
      </c>
      <c r="D611" s="262" t="str">
        <f ca="1">IF(OFFSET('IWP27'!BackgroundChecks, 8, 4, 1, 1) = 0, "", OFFSET('IWP27'!BackgroundChecks, 8, 4, 1, 1))</f>
        <v/>
      </c>
      <c r="E611" s="254">
        <f ca="1">IF(OFFSET('IWP27'!BackgroundChecks, 8, 5, 1, 1)=DATE(1900,1,0), DATE(1900,1,1), OFFSET('IWP27'!BackgroundChecks, 8, 5, 1, 1))</f>
        <v>1</v>
      </c>
      <c r="F611" s="262" t="str">
        <f ca="1">IF(OFFSET('IWP27'!BackgroundChecks, 8, 6, 1, 1) = 0, "", OFFSET('IWP27'!BackgroundChecks, 8, 6, 1, 1))</f>
        <v/>
      </c>
      <c r="G611" s="254">
        <f ca="1">IF(OFFSET('IWP27'!BackgroundChecks, 8, 7, 1, 1)=DATE(1900,1,0), DATE(1900,1,1), OFFSET('IWP27'!BackgroundChecks, 8, 7, 1, 1))</f>
        <v>1</v>
      </c>
      <c r="H611" s="254">
        <f ca="1">IF(OFFSET('IWP27'!BackgroundChecks, 8, 8, 1, 1)=DATE(1900,1,0), DATE(1900,1,1), OFFSET('IWP27'!BackgroundChecks, 8, 8, 1, 1))</f>
        <v>1</v>
      </c>
      <c r="I611" s="262" t="str">
        <f ca="1">IF(OFFSET('IWP27'!BackgroundChecks, 8, 9, 1, 1) = 0, "", OFFSET('IWP27'!BackgroundChecks, 8, 9, 1, 1))</f>
        <v/>
      </c>
      <c r="J611" s="262" t="str">
        <f ca="1">IF(OFFSET('IWP27'!BackgroundChecks, 8, 10, 1, 1) = 0, "", OFFSET('IWP27'!BackgroundChecks, 8, 10, 1, 1))</f>
        <v/>
      </c>
      <c r="K611" s="262" t="str">
        <f ca="1">IF(OFFSET('IWP27'!BackgroundChecks, 8, 11, 1, 1) = 0, "", OFFSET('IWP27'!BackgroundChecks, 8, 11, 1, 1))</f>
        <v/>
      </c>
      <c r="L611" s="262" t="str">
        <f ca="1">IF(OFFSET('IWP27'!BackgroundChecks, 8, 12, 1, 1) = 0, "", OFFSET('IWP27'!BackgroundChecks, 8, 12, 1, 1))</f>
        <v/>
      </c>
      <c r="M611" s="262" t="str">
        <f ca="1">IF(OFFSET('IWP27'!BackgroundChecks, 8, 13, 1, 1) = 0, "", OFFSET('IWP27'!BackgroundChecks, 8, 13, 1, 1))</f>
        <v/>
      </c>
      <c r="N611" s="261"/>
    </row>
    <row r="612" spans="1:14" s="146" customFormat="1">
      <c r="A612" s="257" t="s">
        <v>525</v>
      </c>
      <c r="B612" s="262" t="str">
        <f ca="1">IF(OFFSET('IWP27'!BackgroundChecks, 9, 0, 1, 1) = 0, "", OFFSET('IWP27'!BackgroundChecks, 9, 0, 1, 1))</f>
        <v/>
      </c>
      <c r="C612" s="262" t="str">
        <f ca="1">IF(OFFSET('IWP27'!BackgroundChecks, 9, 2, 1, 1) = 0, "", OFFSET('IWP27'!BackgroundChecks, 9, 2, 1, 1))</f>
        <v/>
      </c>
      <c r="D612" s="262" t="str">
        <f ca="1">IF(OFFSET('IWP27'!BackgroundChecks, 9, 4, 1, 1) = 0, "", OFFSET('IWP27'!BackgroundChecks, 9, 4, 1, 1))</f>
        <v/>
      </c>
      <c r="E612" s="254">
        <f ca="1">IF(OFFSET('IWP27'!BackgroundChecks, 9, 5, 1, 1)=DATE(1900,1,0), DATE(1900,1,1), OFFSET('IWP27'!BackgroundChecks, 9, 5, 1, 1))</f>
        <v>1</v>
      </c>
      <c r="F612" s="262" t="str">
        <f ca="1">IF(OFFSET('IWP27'!BackgroundChecks, 9, 6, 1, 1) = 0, "", OFFSET('IWP27'!BackgroundChecks, 9, 6, 1, 1))</f>
        <v/>
      </c>
      <c r="G612" s="254">
        <f ca="1">IF(OFFSET('IWP27'!BackgroundChecks, 9, 7, 1, 1)=DATE(1900,1,0), DATE(1900,1,1), OFFSET('IWP27'!BackgroundChecks, 9, 7, 1, 1))</f>
        <v>1</v>
      </c>
      <c r="H612" s="254">
        <f ca="1">IF(OFFSET('IWP27'!BackgroundChecks, 9, 8, 1, 1)=DATE(1900,1,0), DATE(1900,1,1), OFFSET('IWP27'!BackgroundChecks, 9, 8, 1, 1))</f>
        <v>1</v>
      </c>
      <c r="I612" s="262" t="str">
        <f ca="1">IF(OFFSET('IWP27'!BackgroundChecks, 9, 9, 1, 1) = 0, "", OFFSET('IWP27'!BackgroundChecks, 9, 9, 1, 1))</f>
        <v/>
      </c>
      <c r="J612" s="262" t="str">
        <f ca="1">IF(OFFSET('IWP27'!BackgroundChecks, 9, 10, 1, 1) = 0, "", OFFSET('IWP27'!BackgroundChecks, 9, 10, 1, 1))</f>
        <v/>
      </c>
      <c r="K612" s="262" t="str">
        <f ca="1">IF(OFFSET('IWP27'!BackgroundChecks, 9, 11, 1, 1) = 0, "", OFFSET('IWP27'!BackgroundChecks, 9, 11, 1, 1))</f>
        <v/>
      </c>
      <c r="L612" s="262" t="str">
        <f ca="1">IF(OFFSET('IWP27'!BackgroundChecks, 9, 12, 1, 1) = 0, "", OFFSET('IWP27'!BackgroundChecks, 9, 12, 1, 1))</f>
        <v/>
      </c>
      <c r="M612" s="262" t="str">
        <f ca="1">IF(OFFSET('IWP27'!BackgroundChecks, 9, 13, 1, 1) = 0, "", OFFSET('IWP27'!BackgroundChecks, 9, 13, 1, 1))</f>
        <v/>
      </c>
      <c r="N612" s="261"/>
    </row>
    <row r="613" spans="1:14" s="146" customFormat="1">
      <c r="A613" s="257" t="s">
        <v>525</v>
      </c>
      <c r="B613" s="262" t="str">
        <f ca="1">IF(OFFSET('IWP27'!BackgroundChecks, 10, 0, 1, 1) = 0, "", OFFSET('IWP27'!BackgroundChecks, 10, 0, 1, 1))</f>
        <v/>
      </c>
      <c r="C613" s="262" t="str">
        <f ca="1">IF(OFFSET('IWP27'!BackgroundChecks, 10, 2, 1, 1) = 0, "", OFFSET('IWP27'!BackgroundChecks, 10, 2, 1, 1))</f>
        <v/>
      </c>
      <c r="D613" s="262" t="str">
        <f ca="1">IF(OFFSET('IWP27'!BackgroundChecks, 10, 4, 1, 1) = 0, "", OFFSET('IWP27'!BackgroundChecks, 10, 4, 1, 1))</f>
        <v/>
      </c>
      <c r="E613" s="254">
        <f ca="1">IF(OFFSET('IWP27'!BackgroundChecks, 10, 5, 1, 1)=DATE(1900,1,0), DATE(1900,1,1), OFFSET('IWP27'!BackgroundChecks, 10, 5, 1, 1))</f>
        <v>1</v>
      </c>
      <c r="F613" s="262" t="str">
        <f ca="1">IF(OFFSET('IWP27'!BackgroundChecks, 10, 6, 1, 1) = 0, "", OFFSET('IWP27'!BackgroundChecks, 10, 6, 1, 1))</f>
        <v/>
      </c>
      <c r="G613" s="254">
        <f ca="1">IF(OFFSET('IWP27'!BackgroundChecks, 10, 7, 1, 1)=DATE(1900,1,0), DATE(1900,1,1), OFFSET('IWP27'!BackgroundChecks, 10, 7, 1, 1))</f>
        <v>1</v>
      </c>
      <c r="H613" s="254">
        <f ca="1">IF(OFFSET('IWP27'!BackgroundChecks, 10, 8, 1, 1)=DATE(1900,1,0), DATE(1900,1,1), OFFSET('IWP27'!BackgroundChecks, 10, 8, 1, 1))</f>
        <v>1</v>
      </c>
      <c r="I613" s="262" t="str">
        <f ca="1">IF(OFFSET('IWP27'!BackgroundChecks, 10, 9, 1, 1) = 0, "", OFFSET('IWP27'!BackgroundChecks, 10, 9, 1, 1))</f>
        <v/>
      </c>
      <c r="J613" s="262" t="str">
        <f ca="1">IF(OFFSET('IWP27'!BackgroundChecks, 10, 10, 1, 1) = 0, "", OFFSET('IWP27'!BackgroundChecks, 10, 10, 1, 1))</f>
        <v/>
      </c>
      <c r="K613" s="262" t="str">
        <f ca="1">IF(OFFSET('IWP27'!BackgroundChecks, 10, 11, 1, 1) = 0, "", OFFSET('IWP27'!BackgroundChecks, 10, 11, 1, 1))</f>
        <v/>
      </c>
      <c r="L613" s="262" t="str">
        <f ca="1">IF(OFFSET('IWP27'!BackgroundChecks, 10, 12, 1, 1) = 0, "", OFFSET('IWP27'!BackgroundChecks, 10, 12, 1, 1))</f>
        <v/>
      </c>
      <c r="M613" s="262" t="str">
        <f ca="1">IF(OFFSET('IWP27'!BackgroundChecks, 10, 13, 1, 1) = 0, "", OFFSET('IWP27'!BackgroundChecks, 10, 13, 1, 1))</f>
        <v/>
      </c>
      <c r="N613" s="261"/>
    </row>
    <row r="614" spans="1:14" s="146" customFormat="1">
      <c r="A614" s="257" t="s">
        <v>525</v>
      </c>
      <c r="B614" s="262" t="str">
        <f ca="1">IF(OFFSET('IWP27'!BackgroundChecks, 11, 0, 1, 1) = 0, "", OFFSET('IWP27'!BackgroundChecks, 11, 0, 1, 1))</f>
        <v/>
      </c>
      <c r="C614" s="262" t="str">
        <f ca="1">IF(OFFSET('IWP27'!BackgroundChecks, 11, 2, 1, 1) = 0, "", OFFSET('IWP27'!BackgroundChecks, 11, 2, 1, 1))</f>
        <v/>
      </c>
      <c r="D614" s="262" t="str">
        <f ca="1">IF(OFFSET('IWP27'!BackgroundChecks, 11, 4, 1, 1) = 0, "", OFFSET('IWP27'!BackgroundChecks, 11, 4, 1, 1))</f>
        <v/>
      </c>
      <c r="E614" s="254">
        <f ca="1">IF(OFFSET('IWP27'!BackgroundChecks, 11, 5, 1, 1)=DATE(1900,1,0), DATE(1900,1,1), OFFSET('IWP27'!BackgroundChecks, 11, 5, 1, 1))</f>
        <v>1</v>
      </c>
      <c r="F614" s="262" t="str">
        <f ca="1">IF(OFFSET('IWP27'!BackgroundChecks, 11, 6, 1, 1) = 0, "", OFFSET('IWP27'!BackgroundChecks, 11, 6, 1, 1))</f>
        <v/>
      </c>
      <c r="G614" s="254">
        <f ca="1">IF(OFFSET('IWP27'!BackgroundChecks, 11, 7, 1, 1)=DATE(1900,1,0), DATE(1900,1,1), OFFSET('IWP27'!BackgroundChecks, 11, 7, 1, 1))</f>
        <v>1</v>
      </c>
      <c r="H614" s="254">
        <f ca="1">IF(OFFSET('IWP27'!BackgroundChecks, 11, 8, 1, 1)=DATE(1900,1,0), DATE(1900,1,1), OFFSET('IWP27'!BackgroundChecks, 11, 8, 1, 1))</f>
        <v>1</v>
      </c>
      <c r="I614" s="262" t="str">
        <f ca="1">IF(OFFSET('IWP27'!BackgroundChecks, 11, 9, 1, 1) = 0, "", OFFSET('IWP27'!BackgroundChecks, 11, 9, 1, 1))</f>
        <v/>
      </c>
      <c r="J614" s="262" t="str">
        <f ca="1">IF(OFFSET('IWP27'!BackgroundChecks, 11, 10, 1, 1) = 0, "", OFFSET('IWP27'!BackgroundChecks, 11, 10, 1, 1))</f>
        <v/>
      </c>
      <c r="K614" s="262" t="str">
        <f ca="1">IF(OFFSET('IWP27'!BackgroundChecks, 11, 11, 1, 1) = 0, "", OFFSET('IWP27'!BackgroundChecks, 11, 11, 1, 1))</f>
        <v/>
      </c>
      <c r="L614" s="262" t="str">
        <f ca="1">IF(OFFSET('IWP27'!BackgroundChecks, 11, 12, 1, 1) = 0, "", OFFSET('IWP27'!BackgroundChecks, 11, 12, 1, 1))</f>
        <v/>
      </c>
      <c r="M614" s="262" t="str">
        <f ca="1">IF(OFFSET('IWP27'!BackgroundChecks, 11, 13, 1, 1) = 0, "", OFFSET('IWP27'!BackgroundChecks, 11, 13, 1, 1))</f>
        <v/>
      </c>
      <c r="N614" s="261"/>
    </row>
    <row r="615" spans="1:14" s="146" customFormat="1">
      <c r="A615" s="257" t="s">
        <v>525</v>
      </c>
      <c r="B615" s="262" t="str">
        <f ca="1">IF(OFFSET('IWP27'!BackgroundChecks, 12, 0, 1, 1) = 0, "", OFFSET('IWP27'!BackgroundChecks, 12, 0, 1, 1))</f>
        <v/>
      </c>
      <c r="C615" s="262" t="str">
        <f ca="1">IF(OFFSET('IWP27'!BackgroundChecks, 12, 2, 1, 1) = 0, "", OFFSET('IWP27'!BackgroundChecks, 12, 2, 1, 1))</f>
        <v/>
      </c>
      <c r="D615" s="262" t="str">
        <f ca="1">IF(OFFSET('IWP27'!BackgroundChecks, 12, 4, 1, 1) = 0, "", OFFSET('IWP27'!BackgroundChecks, 12, 4, 1, 1))</f>
        <v/>
      </c>
      <c r="E615" s="254">
        <f ca="1">IF(OFFSET('IWP27'!BackgroundChecks, 12, 5, 1, 1)=DATE(1900,1,0), DATE(1900,1,1), OFFSET('IWP27'!BackgroundChecks, 12, 5, 1, 1))</f>
        <v>1</v>
      </c>
      <c r="F615" s="262" t="str">
        <f ca="1">IF(OFFSET('IWP27'!BackgroundChecks, 12, 6, 1, 1) = 0, "", OFFSET('IWP27'!BackgroundChecks, 12, 6, 1, 1))</f>
        <v/>
      </c>
      <c r="G615" s="254">
        <f ca="1">IF(OFFSET('IWP27'!BackgroundChecks, 12, 7, 1, 1)=DATE(1900,1,0), DATE(1900,1,1), OFFSET('IWP27'!BackgroundChecks, 12, 7, 1, 1))</f>
        <v>1</v>
      </c>
      <c r="H615" s="254">
        <f ca="1">IF(OFFSET('IWP27'!BackgroundChecks, 12, 8, 1, 1)=DATE(1900,1,0), DATE(1900,1,1), OFFSET('IWP27'!BackgroundChecks, 12, 8, 1, 1))</f>
        <v>1</v>
      </c>
      <c r="I615" s="262" t="str">
        <f ca="1">IF(OFFSET('IWP27'!BackgroundChecks, 12, 9, 1, 1) = 0, "", OFFSET('IWP27'!BackgroundChecks, 12, 9, 1, 1))</f>
        <v/>
      </c>
      <c r="J615" s="262" t="str">
        <f ca="1">IF(OFFSET('IWP27'!BackgroundChecks, 12, 10, 1, 1) = 0, "", OFFSET('IWP27'!BackgroundChecks, 12, 10, 1, 1))</f>
        <v/>
      </c>
      <c r="K615" s="262" t="str">
        <f ca="1">IF(OFFSET('IWP27'!BackgroundChecks, 12, 11, 1, 1) = 0, "", OFFSET('IWP27'!BackgroundChecks, 12, 11, 1, 1))</f>
        <v/>
      </c>
      <c r="L615" s="262" t="str">
        <f ca="1">IF(OFFSET('IWP27'!BackgroundChecks, 12, 12, 1, 1) = 0, "", OFFSET('IWP27'!BackgroundChecks, 12, 12, 1, 1))</f>
        <v/>
      </c>
      <c r="M615" s="262" t="str">
        <f ca="1">IF(OFFSET('IWP27'!BackgroundChecks, 12, 13, 1, 1) = 0, "", OFFSET('IWP27'!BackgroundChecks, 12, 13, 1, 1))</f>
        <v/>
      </c>
      <c r="N615" s="261"/>
    </row>
    <row r="616" spans="1:14" s="146" customFormat="1">
      <c r="A616" s="257" t="s">
        <v>525</v>
      </c>
      <c r="B616" s="262" t="str">
        <f ca="1">IF(OFFSET('IWP27'!BackgroundChecks, 13, 0, 1, 1) = 0, "", OFFSET('IWP27'!BackgroundChecks, 13, 0, 1, 1))</f>
        <v/>
      </c>
      <c r="C616" s="262" t="str">
        <f ca="1">IF(OFFSET('IWP27'!BackgroundChecks, 13, 2, 1, 1) = 0, "", OFFSET('IWP27'!BackgroundChecks, 13, 2, 1, 1))</f>
        <v/>
      </c>
      <c r="D616" s="262" t="str">
        <f ca="1">IF(OFFSET('IWP27'!BackgroundChecks, 13, 4, 1, 1) = 0, "", OFFSET('IWP27'!BackgroundChecks, 13, 4, 1, 1))</f>
        <v/>
      </c>
      <c r="E616" s="254">
        <f ca="1">IF(OFFSET('IWP27'!BackgroundChecks, 13, 5, 1, 1)=DATE(1900,1,0), DATE(1900,1,1), OFFSET('IWP27'!BackgroundChecks, 13, 5, 1, 1))</f>
        <v>1</v>
      </c>
      <c r="F616" s="262" t="str">
        <f ca="1">IF(OFFSET('IWP27'!BackgroundChecks, 13, 6, 1, 1) = 0, "", OFFSET('IWP27'!BackgroundChecks, 13, 6, 1, 1))</f>
        <v/>
      </c>
      <c r="G616" s="254">
        <f ca="1">IF(OFFSET('IWP27'!BackgroundChecks, 13, 7, 1, 1)=DATE(1900,1,0), DATE(1900,1,1), OFFSET('IWP27'!BackgroundChecks, 13, 7, 1, 1))</f>
        <v>1</v>
      </c>
      <c r="H616" s="254">
        <f ca="1">IF(OFFSET('IWP27'!BackgroundChecks, 13, 8, 1, 1)=DATE(1900,1,0), DATE(1900,1,1), OFFSET('IWP27'!BackgroundChecks, 13, 8, 1, 1))</f>
        <v>1</v>
      </c>
      <c r="I616" s="262" t="str">
        <f ca="1">IF(OFFSET('IWP27'!BackgroundChecks, 13, 9, 1, 1) = 0, "", OFFSET('IWP27'!BackgroundChecks, 13, 9, 1, 1))</f>
        <v/>
      </c>
      <c r="J616" s="262" t="str">
        <f ca="1">IF(OFFSET('IWP27'!BackgroundChecks, 13, 10, 1, 1) = 0, "", OFFSET('IWP27'!BackgroundChecks, 13, 10, 1, 1))</f>
        <v/>
      </c>
      <c r="K616" s="262" t="str">
        <f ca="1">IF(OFFSET('IWP27'!BackgroundChecks, 13, 11, 1, 1) = 0, "", OFFSET('IWP27'!BackgroundChecks, 13, 11, 1, 1))</f>
        <v/>
      </c>
      <c r="L616" s="262" t="str">
        <f ca="1">IF(OFFSET('IWP27'!BackgroundChecks, 13, 12, 1, 1) = 0, "", OFFSET('IWP27'!BackgroundChecks, 13, 12, 1, 1))</f>
        <v/>
      </c>
      <c r="M616" s="262" t="str">
        <f ca="1">IF(OFFSET('IWP27'!BackgroundChecks, 13, 13, 1, 1) = 0, "", OFFSET('IWP27'!BackgroundChecks, 13, 13, 1, 1))</f>
        <v/>
      </c>
      <c r="N616" s="261"/>
    </row>
    <row r="617" spans="1:14" s="146" customFormat="1">
      <c r="A617" s="257" t="s">
        <v>525</v>
      </c>
      <c r="B617" s="262" t="str">
        <f ca="1">IF(OFFSET('IWP27'!BackgroundChecks, 14, 0, 1, 1) = 0, "", OFFSET('IWP27'!BackgroundChecks, 14, 0, 1, 1))</f>
        <v/>
      </c>
      <c r="C617" s="262" t="str">
        <f ca="1">IF(OFFSET('IWP27'!BackgroundChecks, 14, 2, 1, 1) = 0, "", OFFSET('IWP27'!BackgroundChecks, 14, 2, 1, 1))</f>
        <v/>
      </c>
      <c r="D617" s="262" t="str">
        <f ca="1">IF(OFFSET('IWP27'!BackgroundChecks, 14, 4, 1, 1) = 0, "", OFFSET('IWP27'!BackgroundChecks, 14, 4, 1, 1))</f>
        <v/>
      </c>
      <c r="E617" s="254">
        <f ca="1">IF(OFFSET('IWP27'!BackgroundChecks, 14, 5, 1, 1)=DATE(1900,1,0), DATE(1900,1,1), OFFSET('IWP27'!BackgroundChecks, 14, 5, 1, 1))</f>
        <v>1</v>
      </c>
      <c r="F617" s="262" t="str">
        <f ca="1">IF(OFFSET('IWP27'!BackgroundChecks, 14, 6, 1, 1) = 0, "", OFFSET('IWP27'!BackgroundChecks, 14, 6, 1, 1))</f>
        <v/>
      </c>
      <c r="G617" s="254">
        <f ca="1">IF(OFFSET('IWP27'!BackgroundChecks, 14, 7, 1, 1)=DATE(1900,1,0), DATE(1900,1,1), OFFSET('IWP27'!BackgroundChecks, 14, 7, 1, 1))</f>
        <v>1</v>
      </c>
      <c r="H617" s="254">
        <f ca="1">IF(OFFSET('IWP27'!BackgroundChecks, 14, 8, 1, 1)=DATE(1900,1,0), DATE(1900,1,1), OFFSET('IWP27'!BackgroundChecks, 14, 8, 1, 1))</f>
        <v>1</v>
      </c>
      <c r="I617" s="262" t="str">
        <f ca="1">IF(OFFSET('IWP27'!BackgroundChecks, 14, 9, 1, 1) = 0, "", OFFSET('IWP27'!BackgroundChecks, 14, 9, 1, 1))</f>
        <v/>
      </c>
      <c r="J617" s="262" t="str">
        <f ca="1">IF(OFFSET('IWP27'!BackgroundChecks, 14, 10, 1, 1) = 0, "", OFFSET('IWP27'!BackgroundChecks, 14, 10, 1, 1))</f>
        <v/>
      </c>
      <c r="K617" s="262" t="str">
        <f ca="1">IF(OFFSET('IWP27'!BackgroundChecks, 14, 11, 1, 1) = 0, "", OFFSET('IWP27'!BackgroundChecks, 14, 11, 1, 1))</f>
        <v/>
      </c>
      <c r="L617" s="262" t="str">
        <f ca="1">IF(OFFSET('IWP27'!BackgroundChecks, 14, 12, 1, 1) = 0, "", OFFSET('IWP27'!BackgroundChecks, 14, 12, 1, 1))</f>
        <v/>
      </c>
      <c r="M617" s="262" t="str">
        <f ca="1">IF(OFFSET('IWP27'!BackgroundChecks, 14, 13, 1, 1) = 0, "", OFFSET('IWP27'!BackgroundChecks, 14, 13, 1, 1))</f>
        <v/>
      </c>
      <c r="N617" s="261"/>
    </row>
    <row r="618" spans="1:14" s="146" customFormat="1">
      <c r="A618" s="257" t="s">
        <v>525</v>
      </c>
      <c r="B618" s="262" t="str">
        <f ca="1">IF(OFFSET('IWP27'!BackgroundChecks, 15, 0, 1, 1) = 0, "", OFFSET('IWP27'!BackgroundChecks, 15, 0, 1, 1))</f>
        <v/>
      </c>
      <c r="C618" s="262" t="str">
        <f ca="1">IF(OFFSET('IWP27'!BackgroundChecks, 15, 2, 1, 1) = 0, "", OFFSET('IWP27'!BackgroundChecks, 15, 2, 1, 1))</f>
        <v/>
      </c>
      <c r="D618" s="262" t="str">
        <f ca="1">IF(OFFSET('IWP27'!BackgroundChecks, 15, 4, 1, 1) = 0, "", OFFSET('IWP27'!BackgroundChecks, 15, 4, 1, 1))</f>
        <v/>
      </c>
      <c r="E618" s="254">
        <f ca="1">IF(OFFSET('IWP27'!BackgroundChecks, 15, 5, 1, 1)=DATE(1900,1,0), DATE(1900,1,1), OFFSET('IWP27'!BackgroundChecks, 15, 5, 1, 1))</f>
        <v>1</v>
      </c>
      <c r="F618" s="262" t="str">
        <f ca="1">IF(OFFSET('IWP27'!BackgroundChecks, 15, 6, 1, 1) = 0, "", OFFSET('IWP27'!BackgroundChecks, 15, 6, 1, 1))</f>
        <v/>
      </c>
      <c r="G618" s="254">
        <f ca="1">IF(OFFSET('IWP27'!BackgroundChecks, 15, 7, 1, 1)=DATE(1900,1,0), DATE(1900,1,1), OFFSET('IWP27'!BackgroundChecks, 15, 7, 1, 1))</f>
        <v>1</v>
      </c>
      <c r="H618" s="254">
        <f ca="1">IF(OFFSET('IWP27'!BackgroundChecks, 15, 8, 1, 1)=DATE(1900,1,0), DATE(1900,1,1), OFFSET('IWP27'!BackgroundChecks, 15, 8, 1, 1))</f>
        <v>1</v>
      </c>
      <c r="I618" s="262" t="str">
        <f ca="1">IF(OFFSET('IWP27'!BackgroundChecks, 15, 9, 1, 1) = 0, "", OFFSET('IWP27'!BackgroundChecks, 15, 9, 1, 1))</f>
        <v/>
      </c>
      <c r="J618" s="262" t="str">
        <f ca="1">IF(OFFSET('IWP27'!BackgroundChecks, 15, 10, 1, 1) = 0, "", OFFSET('IWP27'!BackgroundChecks, 15, 10, 1, 1))</f>
        <v/>
      </c>
      <c r="K618" s="262" t="str">
        <f ca="1">IF(OFFSET('IWP27'!BackgroundChecks, 15, 11, 1, 1) = 0, "", OFFSET('IWP27'!BackgroundChecks, 15, 11, 1, 1))</f>
        <v/>
      </c>
      <c r="L618" s="262" t="str">
        <f ca="1">IF(OFFSET('IWP27'!BackgroundChecks, 15, 12, 1, 1) = 0, "", OFFSET('IWP27'!BackgroundChecks, 15, 12, 1, 1))</f>
        <v/>
      </c>
      <c r="M618" s="262" t="str">
        <f ca="1">IF(OFFSET('IWP27'!BackgroundChecks, 15, 13, 1, 1) = 0, "", OFFSET('IWP27'!BackgroundChecks, 15, 13, 1, 1))</f>
        <v/>
      </c>
      <c r="N618" s="261"/>
    </row>
    <row r="619" spans="1:14" s="146" customFormat="1">
      <c r="A619" s="257" t="s">
        <v>525</v>
      </c>
      <c r="B619" s="262" t="str">
        <f ca="1">IF(OFFSET('IWP27'!BackgroundChecks, 16, 0, 1, 1) = 0, "", OFFSET('IWP27'!BackgroundChecks, 16, 0, 1, 1))</f>
        <v/>
      </c>
      <c r="C619" s="262" t="str">
        <f ca="1">IF(OFFSET('IWP27'!BackgroundChecks, 16, 2, 1, 1) = 0, "", OFFSET('IWP27'!BackgroundChecks, 16, 2, 1, 1))</f>
        <v/>
      </c>
      <c r="D619" s="262" t="str">
        <f ca="1">IF(OFFSET('IWP27'!BackgroundChecks, 16, 4, 1, 1) = 0, "", OFFSET('IWP27'!BackgroundChecks, 16, 4, 1, 1))</f>
        <v/>
      </c>
      <c r="E619" s="254">
        <f ca="1">IF(OFFSET('IWP27'!BackgroundChecks, 16, 5, 1, 1)=DATE(1900,1,0), DATE(1900,1,1), OFFSET('IWP27'!BackgroundChecks, 16, 5, 1, 1))</f>
        <v>1</v>
      </c>
      <c r="F619" s="262" t="str">
        <f ca="1">IF(OFFSET('IWP27'!BackgroundChecks, 16, 6, 1, 1) = 0, "", OFFSET('IWP27'!BackgroundChecks, 16, 6, 1, 1))</f>
        <v/>
      </c>
      <c r="G619" s="254">
        <f ca="1">IF(OFFSET('IWP27'!BackgroundChecks, 16, 7, 1, 1)=DATE(1900,1,0), DATE(1900,1,1), OFFSET('IWP27'!BackgroundChecks, 16, 7, 1, 1))</f>
        <v>1</v>
      </c>
      <c r="H619" s="254">
        <f ca="1">IF(OFFSET('IWP27'!BackgroundChecks, 16, 8, 1, 1)=DATE(1900,1,0), DATE(1900,1,1), OFFSET('IWP27'!BackgroundChecks, 16, 8, 1, 1))</f>
        <v>1</v>
      </c>
      <c r="I619" s="262" t="str">
        <f ca="1">IF(OFFSET('IWP27'!BackgroundChecks, 16, 9, 1, 1) = 0, "", OFFSET('IWP27'!BackgroundChecks, 16, 9, 1, 1))</f>
        <v/>
      </c>
      <c r="J619" s="262" t="str">
        <f ca="1">IF(OFFSET('IWP27'!BackgroundChecks, 16, 10, 1, 1) = 0, "", OFFSET('IWP27'!BackgroundChecks, 16, 10, 1, 1))</f>
        <v/>
      </c>
      <c r="K619" s="262" t="str">
        <f ca="1">IF(OFFSET('IWP27'!BackgroundChecks, 16, 11, 1, 1) = 0, "", OFFSET('IWP27'!BackgroundChecks, 16, 11, 1, 1))</f>
        <v/>
      </c>
      <c r="L619" s="262" t="str">
        <f ca="1">IF(OFFSET('IWP27'!BackgroundChecks, 16, 12, 1, 1) = 0, "", OFFSET('IWP27'!BackgroundChecks, 16, 12, 1, 1))</f>
        <v/>
      </c>
      <c r="M619" s="262" t="str">
        <f ca="1">IF(OFFSET('IWP27'!BackgroundChecks, 16, 13, 1, 1) = 0, "", OFFSET('IWP27'!BackgroundChecks, 16, 13, 1, 1))</f>
        <v/>
      </c>
      <c r="N619" s="261"/>
    </row>
    <row r="620" spans="1:14" s="146" customFormat="1">
      <c r="A620" s="257" t="s">
        <v>525</v>
      </c>
      <c r="B620" s="262" t="str">
        <f ca="1">IF(OFFSET('IWP27'!BackgroundChecks, 17, 0, 1, 1) = 0, "", OFFSET('IWP27'!BackgroundChecks, 17, 0, 1, 1))</f>
        <v/>
      </c>
      <c r="C620" s="262" t="str">
        <f ca="1">IF(OFFSET('IWP27'!BackgroundChecks, 17, 2, 1, 1) = 0, "", OFFSET('IWP27'!BackgroundChecks, 17, 2, 1, 1))</f>
        <v/>
      </c>
      <c r="D620" s="262" t="str">
        <f ca="1">IF(OFFSET('IWP27'!BackgroundChecks, 17, 4, 1, 1) = 0, "", OFFSET('IWP27'!BackgroundChecks, 17, 4, 1, 1))</f>
        <v/>
      </c>
      <c r="E620" s="254">
        <f ca="1">IF(OFFSET('IWP27'!BackgroundChecks, 17, 5, 1, 1)=DATE(1900,1,0), DATE(1900,1,1), OFFSET('IWP27'!BackgroundChecks, 17, 5, 1, 1))</f>
        <v>1</v>
      </c>
      <c r="F620" s="262" t="str">
        <f ca="1">IF(OFFSET('IWP27'!BackgroundChecks, 17, 6, 1, 1) = 0, "", OFFSET('IWP27'!BackgroundChecks, 17, 6, 1, 1))</f>
        <v/>
      </c>
      <c r="G620" s="254">
        <f ca="1">IF(OFFSET('IWP27'!BackgroundChecks, 17, 7, 1, 1)=DATE(1900,1,0), DATE(1900,1,1), OFFSET('IWP27'!BackgroundChecks, 17, 7, 1, 1))</f>
        <v>1</v>
      </c>
      <c r="H620" s="254">
        <f ca="1">IF(OFFSET('IWP27'!BackgroundChecks, 17, 8, 1, 1)=DATE(1900,1,0), DATE(1900,1,1), OFFSET('IWP27'!BackgroundChecks, 17, 8, 1, 1))</f>
        <v>1</v>
      </c>
      <c r="I620" s="262" t="str">
        <f ca="1">IF(OFFSET('IWP27'!BackgroundChecks, 17, 9, 1, 1) = 0, "", OFFSET('IWP27'!BackgroundChecks, 17, 9, 1, 1))</f>
        <v/>
      </c>
      <c r="J620" s="262" t="str">
        <f ca="1">IF(OFFSET('IWP27'!BackgroundChecks, 17, 10, 1, 1) = 0, "", OFFSET('IWP27'!BackgroundChecks, 17, 10, 1, 1))</f>
        <v/>
      </c>
      <c r="K620" s="262" t="str">
        <f ca="1">IF(OFFSET('IWP27'!BackgroundChecks, 17, 11, 1, 1) = 0, "", OFFSET('IWP27'!BackgroundChecks, 17, 11, 1, 1))</f>
        <v/>
      </c>
      <c r="L620" s="262" t="str">
        <f ca="1">IF(OFFSET('IWP27'!BackgroundChecks, 17, 12, 1, 1) = 0, "", OFFSET('IWP27'!BackgroundChecks, 17, 12, 1, 1))</f>
        <v/>
      </c>
      <c r="M620" s="262" t="str">
        <f ca="1">IF(OFFSET('IWP27'!BackgroundChecks, 17, 13, 1, 1) = 0, "", OFFSET('IWP27'!BackgroundChecks, 17, 13, 1, 1))</f>
        <v/>
      </c>
      <c r="N620" s="261"/>
    </row>
    <row r="621" spans="1:14" s="146" customFormat="1">
      <c r="A621" s="257" t="s">
        <v>525</v>
      </c>
      <c r="B621" s="262" t="str">
        <f ca="1">IF(OFFSET('IWP27'!BackgroundChecks, 18, 0, 1, 1) = 0, "", OFFSET('IWP27'!BackgroundChecks, 18, 0, 1, 1))</f>
        <v/>
      </c>
      <c r="C621" s="262" t="str">
        <f ca="1">IF(OFFSET('IWP27'!BackgroundChecks, 18, 2, 1, 1) = 0, "", OFFSET('IWP27'!BackgroundChecks, 18, 2, 1, 1))</f>
        <v/>
      </c>
      <c r="D621" s="262" t="str">
        <f ca="1">IF(OFFSET('IWP27'!BackgroundChecks, 18, 4, 1, 1) = 0, "", OFFSET('IWP27'!BackgroundChecks, 18, 4, 1, 1))</f>
        <v/>
      </c>
      <c r="E621" s="254">
        <f ca="1">IF(OFFSET('IWP27'!BackgroundChecks, 18, 5, 1, 1)=DATE(1900,1,0), DATE(1900,1,1), OFFSET('IWP27'!BackgroundChecks, 18, 5, 1, 1))</f>
        <v>1</v>
      </c>
      <c r="F621" s="262" t="str">
        <f ca="1">IF(OFFSET('IWP27'!BackgroundChecks, 18, 6, 1, 1) = 0, "", OFFSET('IWP27'!BackgroundChecks, 18, 6, 1, 1))</f>
        <v/>
      </c>
      <c r="G621" s="254">
        <f ca="1">IF(OFFSET('IWP27'!BackgroundChecks, 18, 7, 1, 1)=DATE(1900,1,0), DATE(1900,1,1), OFFSET('IWP27'!BackgroundChecks, 18, 7, 1, 1))</f>
        <v>1</v>
      </c>
      <c r="H621" s="254">
        <f ca="1">IF(OFFSET('IWP27'!BackgroundChecks, 18, 8, 1, 1)=DATE(1900,1,0), DATE(1900,1,1), OFFSET('IWP27'!BackgroundChecks, 18, 8, 1, 1))</f>
        <v>1</v>
      </c>
      <c r="I621" s="262" t="str">
        <f ca="1">IF(OFFSET('IWP27'!BackgroundChecks, 18, 9, 1, 1) = 0, "", OFFSET('IWP27'!BackgroundChecks, 18, 9, 1, 1))</f>
        <v/>
      </c>
      <c r="J621" s="262" t="str">
        <f ca="1">IF(OFFSET('IWP27'!BackgroundChecks, 18, 10, 1, 1) = 0, "", OFFSET('IWP27'!BackgroundChecks, 18, 10, 1, 1))</f>
        <v/>
      </c>
      <c r="K621" s="262" t="str">
        <f ca="1">IF(OFFSET('IWP27'!BackgroundChecks, 18, 11, 1, 1) = 0, "", OFFSET('IWP27'!BackgroundChecks, 18, 11, 1, 1))</f>
        <v/>
      </c>
      <c r="L621" s="262" t="str">
        <f ca="1">IF(OFFSET('IWP27'!BackgroundChecks, 18, 12, 1, 1) = 0, "", OFFSET('IWP27'!BackgroundChecks, 18, 12, 1, 1))</f>
        <v/>
      </c>
      <c r="M621" s="262" t="str">
        <f ca="1">IF(OFFSET('IWP27'!BackgroundChecks, 18, 13, 1, 1) = 0, "", OFFSET('IWP27'!BackgroundChecks, 18, 13, 1, 1))</f>
        <v/>
      </c>
      <c r="N621" s="261"/>
    </row>
    <row r="622" spans="1:14" s="146" customFormat="1">
      <c r="A622" s="257" t="s">
        <v>525</v>
      </c>
      <c r="B622" s="262" t="str">
        <f ca="1">IF(OFFSET('IWP27'!BackgroundChecks, 19, 0, 1, 1) = 0, "", OFFSET('IWP27'!BackgroundChecks, 19, 0, 1, 1))</f>
        <v/>
      </c>
      <c r="C622" s="262" t="str">
        <f ca="1">IF(OFFSET('IWP27'!BackgroundChecks, 19, 2, 1, 1) = 0, "", OFFSET('IWP27'!BackgroundChecks, 19, 2, 1, 1))</f>
        <v/>
      </c>
      <c r="D622" s="262" t="str">
        <f ca="1">IF(OFFSET('IWP27'!BackgroundChecks, 19, 4, 1, 1) = 0, "", OFFSET('IWP27'!BackgroundChecks, 19, 4, 1, 1))</f>
        <v/>
      </c>
      <c r="E622" s="254">
        <f ca="1">IF(OFFSET('IWP27'!BackgroundChecks, 19, 5, 1, 1)=DATE(1900,1,0), DATE(1900,1,1), OFFSET('IWP27'!BackgroundChecks, 19, 5, 1, 1))</f>
        <v>1</v>
      </c>
      <c r="F622" s="262" t="str">
        <f ca="1">IF(OFFSET('IWP27'!BackgroundChecks, 19, 6, 1, 1) = 0, "", OFFSET('IWP27'!BackgroundChecks, 19, 6, 1, 1))</f>
        <v/>
      </c>
      <c r="G622" s="254">
        <f ca="1">IF(OFFSET('IWP27'!BackgroundChecks, 19, 7, 1, 1)=DATE(1900,1,0), DATE(1900,1,1), OFFSET('IWP27'!BackgroundChecks, 19, 7, 1, 1))</f>
        <v>1</v>
      </c>
      <c r="H622" s="254">
        <f ca="1">IF(OFFSET('IWP27'!BackgroundChecks, 19, 8, 1, 1)=DATE(1900,1,0), DATE(1900,1,1), OFFSET('IWP27'!BackgroundChecks, 19, 8, 1, 1))</f>
        <v>1</v>
      </c>
      <c r="I622" s="262" t="str">
        <f ca="1">IF(OFFSET('IWP27'!BackgroundChecks, 19, 9, 1, 1) = 0, "", OFFSET('IWP27'!BackgroundChecks, 19, 9, 1, 1))</f>
        <v/>
      </c>
      <c r="J622" s="262" t="str">
        <f ca="1">IF(OFFSET('IWP27'!BackgroundChecks, 19, 10, 1, 1) = 0, "", OFFSET('IWP27'!BackgroundChecks, 19, 10, 1, 1))</f>
        <v/>
      </c>
      <c r="K622" s="262" t="str">
        <f ca="1">IF(OFFSET('IWP27'!BackgroundChecks, 19, 11, 1, 1) = 0, "", OFFSET('IWP27'!BackgroundChecks, 19, 11, 1, 1))</f>
        <v/>
      </c>
      <c r="L622" s="262" t="str">
        <f ca="1">IF(OFFSET('IWP27'!BackgroundChecks, 19, 12, 1, 1) = 0, "", OFFSET('IWP27'!BackgroundChecks, 19, 12, 1, 1))</f>
        <v/>
      </c>
      <c r="M622" s="262" t="str">
        <f ca="1">IF(OFFSET('IWP27'!BackgroundChecks, 19, 13, 1, 1) = 0, "", OFFSET('IWP27'!BackgroundChecks, 19, 13, 1, 1))</f>
        <v/>
      </c>
      <c r="N622" s="261"/>
    </row>
    <row r="623" spans="1:14" s="146" customFormat="1">
      <c r="A623" s="257" t="s">
        <v>526</v>
      </c>
      <c r="B623" s="262" t="str">
        <f ca="1">IF(OFFSET('IWP28'!BackgroundChecks, 0, 0, 1, 1) = 0, "", OFFSET('IWP28'!BackgroundChecks, 0, 0, 1, 1))</f>
        <v/>
      </c>
      <c r="C623" s="262" t="str">
        <f ca="1">IF(OFFSET('IWP28'!BackgroundChecks, 0, 2, 1, 1) = 0, "", OFFSET('IWP28'!BackgroundChecks, 0, 2, 1, 1))</f>
        <v/>
      </c>
      <c r="D623" s="262" t="str">
        <f ca="1">IF(OFFSET('IWP28'!BackgroundChecks, 0, 4, 1, 1) = 0, "", OFFSET('IWP28'!BackgroundChecks, 0, 4, 1, 1))</f>
        <v/>
      </c>
      <c r="E623" s="254">
        <f ca="1">IF(OFFSET('IWP28'!BackgroundChecks, 0, 5, 1, 1)=DATE(1900,1,0), DATE(1900,1,1), OFFSET('IWP28'!BackgroundChecks, 0, 5, 1, 1))</f>
        <v>1</v>
      </c>
      <c r="F623" s="262" t="str">
        <f ca="1">IF(OFFSET('IWP28'!BackgroundChecks, 0, 6, 1, 1) = 0, "", OFFSET('IWP28'!BackgroundChecks, 0, 6, 1, 1))</f>
        <v/>
      </c>
      <c r="G623" s="254">
        <f ca="1">IF(OFFSET('IWP28'!BackgroundChecks, 0, 7, 1, 1)=DATE(1900,1,0), DATE(1900,1,1), OFFSET('IWP28'!BackgroundChecks, 0, 7, 1, 1))</f>
        <v>1</v>
      </c>
      <c r="H623" s="254">
        <f ca="1">IF(OFFSET('IWP28'!BackgroundChecks, 0, 8, 1, 1)=DATE(1900,1,0), DATE(1900,1,1), OFFSET('IWP28'!BackgroundChecks, 0, 8, 1, 1))</f>
        <v>1</v>
      </c>
      <c r="I623" s="262" t="str">
        <f ca="1">IF(OFFSET('IWP28'!BackgroundChecks, 0, 9, 1, 1) = 0, "", OFFSET('IWP28'!BackgroundChecks, 0, 9, 1, 1))</f>
        <v/>
      </c>
      <c r="J623" s="262" t="str">
        <f ca="1">IF(OFFSET('IWP28'!BackgroundChecks, 0, 10, 1, 1) = 0, "", OFFSET('IWP28'!BackgroundChecks, 0, 10, 1, 1))</f>
        <v/>
      </c>
      <c r="K623" s="262" t="str">
        <f ca="1">IF(OFFSET('IWP28'!BackgroundChecks, 0, 11, 1, 1) = 0, "", OFFSET('IWP28'!BackgroundChecks, 0, 11, 1, 1))</f>
        <v/>
      </c>
      <c r="L623" s="262" t="str">
        <f ca="1">IF(OFFSET('IWP28'!BackgroundChecks, 0, 12, 1, 1) = 0, "", OFFSET('IWP28'!BackgroundChecks, 0, 12, 1, 1))</f>
        <v/>
      </c>
      <c r="M623" s="262" t="str">
        <f ca="1">IF(OFFSET('IWP28'!BackgroundChecks, 0, 13, 1, 1) = 0, "", OFFSET('IWP28'!BackgroundChecks, 0, 13, 1, 1))</f>
        <v/>
      </c>
      <c r="N623" s="261"/>
    </row>
    <row r="624" spans="1:14" s="146" customFormat="1">
      <c r="A624" s="257" t="s">
        <v>526</v>
      </c>
      <c r="B624" s="262" t="str">
        <f ca="1">IF(OFFSET('IWP28'!BackgroundChecks, 1, 0, 1, 1) = 0, "", OFFSET('IWP28'!BackgroundChecks, 1, 0, 1, 1))</f>
        <v/>
      </c>
      <c r="C624" s="262" t="str">
        <f ca="1">IF(OFFSET('IWP28'!BackgroundChecks, 1, 2, 1, 1) = 0, "", OFFSET('IWP28'!BackgroundChecks, 1, 2, 1, 1))</f>
        <v/>
      </c>
      <c r="D624" s="262" t="str">
        <f ca="1">IF(OFFSET('IWP28'!BackgroundChecks, 1, 4, 1, 1) = 0, "", OFFSET('IWP28'!BackgroundChecks, 1, 4, 1, 1))</f>
        <v/>
      </c>
      <c r="E624" s="254">
        <f ca="1">IF(OFFSET('IWP28'!BackgroundChecks, 1, 5, 1, 1)=DATE(1900,1,0), DATE(1900,1,1), OFFSET('IWP28'!BackgroundChecks, 1, 5, 1, 1))</f>
        <v>1</v>
      </c>
      <c r="F624" s="262" t="str">
        <f ca="1">IF(OFFSET('IWP28'!BackgroundChecks, 1, 6, 1, 1) = 0, "", OFFSET('IWP28'!BackgroundChecks, 1, 6, 1, 1))</f>
        <v/>
      </c>
      <c r="G624" s="254">
        <f ca="1">IF(OFFSET('IWP28'!BackgroundChecks, 1, 7, 1, 1)=DATE(1900,1,0), DATE(1900,1,1), OFFSET('IWP28'!BackgroundChecks, 1, 7, 1, 1))</f>
        <v>1</v>
      </c>
      <c r="H624" s="254">
        <f ca="1">IF(OFFSET('IWP28'!BackgroundChecks, 1, 8, 1, 1)=DATE(1900,1,0), DATE(1900,1,1), OFFSET('IWP28'!BackgroundChecks, 1, 8, 1, 1))</f>
        <v>1</v>
      </c>
      <c r="I624" s="262" t="str">
        <f ca="1">IF(OFFSET('IWP28'!BackgroundChecks, 1, 9, 1, 1) = 0, "", OFFSET('IWP28'!BackgroundChecks, 1, 9, 1, 1))</f>
        <v/>
      </c>
      <c r="J624" s="262" t="str">
        <f ca="1">IF(OFFSET('IWP28'!BackgroundChecks, 1, 10, 1, 1) = 0, "", OFFSET('IWP28'!BackgroundChecks, 1, 10, 1, 1))</f>
        <v/>
      </c>
      <c r="K624" s="262" t="str">
        <f ca="1">IF(OFFSET('IWP28'!BackgroundChecks, 1, 11, 1, 1) = 0, "", OFFSET('IWP28'!BackgroundChecks, 1, 11, 1, 1))</f>
        <v/>
      </c>
      <c r="L624" s="262" t="str">
        <f ca="1">IF(OFFSET('IWP28'!BackgroundChecks, 1, 12, 1, 1) = 0, "", OFFSET('IWP28'!BackgroundChecks, 1, 12, 1, 1))</f>
        <v/>
      </c>
      <c r="M624" s="262" t="str">
        <f ca="1">IF(OFFSET('IWP28'!BackgroundChecks, 1, 13, 1, 1) = 0, "", OFFSET('IWP28'!BackgroundChecks, 1, 13, 1, 1))</f>
        <v/>
      </c>
      <c r="N624" s="261"/>
    </row>
    <row r="625" spans="1:14" s="146" customFormat="1">
      <c r="A625" s="257" t="s">
        <v>526</v>
      </c>
      <c r="B625" s="262" t="str">
        <f ca="1">IF(OFFSET('IWP28'!BackgroundChecks, 2, 0, 1, 1) = 0, "", OFFSET('IWP28'!BackgroundChecks, 2, 0, 1, 1))</f>
        <v/>
      </c>
      <c r="C625" s="262" t="str">
        <f ca="1">IF(OFFSET('IWP28'!BackgroundChecks, 2, 2, 1, 1) = 0, "", OFFSET('IWP28'!BackgroundChecks, 2, 2, 1, 1))</f>
        <v/>
      </c>
      <c r="D625" s="262" t="str">
        <f ca="1">IF(OFFSET('IWP28'!BackgroundChecks, 2, 4, 1, 1) = 0, "", OFFSET('IWP28'!BackgroundChecks, 2, 4, 1, 1))</f>
        <v/>
      </c>
      <c r="E625" s="254">
        <f ca="1">IF(OFFSET('IWP28'!BackgroundChecks, 2, 5, 1, 1)=DATE(1900,1,0), DATE(1900,1,1), OFFSET('IWP28'!BackgroundChecks, 2, 5, 1, 1))</f>
        <v>1</v>
      </c>
      <c r="F625" s="262" t="str">
        <f ca="1">IF(OFFSET('IWP28'!BackgroundChecks, 2, 6, 1, 1) = 0, "", OFFSET('IWP28'!BackgroundChecks, 2, 6, 1, 1))</f>
        <v/>
      </c>
      <c r="G625" s="254">
        <f ca="1">IF(OFFSET('IWP28'!BackgroundChecks, 2, 7, 1, 1)=DATE(1900,1,0), DATE(1900,1,1), OFFSET('IWP28'!BackgroundChecks, 2, 7, 1, 1))</f>
        <v>1</v>
      </c>
      <c r="H625" s="254">
        <f ca="1">IF(OFFSET('IWP28'!BackgroundChecks, 2, 8, 1, 1)=DATE(1900,1,0), DATE(1900,1,1), OFFSET('IWP28'!BackgroundChecks, 2, 8, 1, 1))</f>
        <v>1</v>
      </c>
      <c r="I625" s="262" t="str">
        <f ca="1">IF(OFFSET('IWP28'!BackgroundChecks, 2, 9, 1, 1) = 0, "", OFFSET('IWP28'!BackgroundChecks, 2, 9, 1, 1))</f>
        <v/>
      </c>
      <c r="J625" s="262" t="str">
        <f ca="1">IF(OFFSET('IWP28'!BackgroundChecks, 2, 10, 1, 1) = 0, "", OFFSET('IWP28'!BackgroundChecks, 2, 10, 1, 1))</f>
        <v/>
      </c>
      <c r="K625" s="262" t="str">
        <f ca="1">IF(OFFSET('IWP28'!BackgroundChecks, 2, 11, 1, 1) = 0, "", OFFSET('IWP28'!BackgroundChecks, 2, 11, 1, 1))</f>
        <v/>
      </c>
      <c r="L625" s="262" t="str">
        <f ca="1">IF(OFFSET('IWP28'!BackgroundChecks, 2, 12, 1, 1) = 0, "", OFFSET('IWP28'!BackgroundChecks, 2, 12, 1, 1))</f>
        <v/>
      </c>
      <c r="M625" s="262" t="str">
        <f ca="1">IF(OFFSET('IWP28'!BackgroundChecks, 2, 13, 1, 1) = 0, "", OFFSET('IWP28'!BackgroundChecks, 2, 13, 1, 1))</f>
        <v/>
      </c>
      <c r="N625" s="261"/>
    </row>
    <row r="626" spans="1:14" s="146" customFormat="1">
      <c r="A626" s="257" t="s">
        <v>526</v>
      </c>
      <c r="B626" s="262" t="str">
        <f ca="1">IF(OFFSET('IWP28'!BackgroundChecks, 3, 0, 1, 1) = 0, "", OFFSET('IWP28'!BackgroundChecks, 3, 0, 1, 1))</f>
        <v/>
      </c>
      <c r="C626" s="262" t="str">
        <f ca="1">IF(OFFSET('IWP28'!BackgroundChecks, 3, 2, 1, 1) = 0, "", OFFSET('IWP28'!BackgroundChecks, 3, 2, 1, 1))</f>
        <v/>
      </c>
      <c r="D626" s="262" t="str">
        <f ca="1">IF(OFFSET('IWP28'!BackgroundChecks, 3, 4, 1, 1) = 0, "", OFFSET('IWP28'!BackgroundChecks, 3, 4, 1, 1))</f>
        <v/>
      </c>
      <c r="E626" s="254">
        <f ca="1">IF(OFFSET('IWP28'!BackgroundChecks, 3, 5, 1, 1)=DATE(1900,1,0), DATE(1900,1,1), OFFSET('IWP28'!BackgroundChecks, 3, 5, 1, 1))</f>
        <v>1</v>
      </c>
      <c r="F626" s="262" t="str">
        <f ca="1">IF(OFFSET('IWP28'!BackgroundChecks, 3, 6, 1, 1) = 0, "", OFFSET('IWP28'!BackgroundChecks, 3, 6, 1, 1))</f>
        <v/>
      </c>
      <c r="G626" s="254">
        <f ca="1">IF(OFFSET('IWP28'!BackgroundChecks, 3, 7, 1, 1)=DATE(1900,1,0), DATE(1900,1,1), OFFSET('IWP28'!BackgroundChecks, 3, 7, 1, 1))</f>
        <v>1</v>
      </c>
      <c r="H626" s="254">
        <f ca="1">IF(OFFSET('IWP28'!BackgroundChecks, 3, 8, 1, 1)=DATE(1900,1,0), DATE(1900,1,1), OFFSET('IWP28'!BackgroundChecks, 3, 8, 1, 1))</f>
        <v>1</v>
      </c>
      <c r="I626" s="262" t="str">
        <f ca="1">IF(OFFSET('IWP28'!BackgroundChecks, 3, 9, 1, 1) = 0, "", OFFSET('IWP28'!BackgroundChecks, 3, 9, 1, 1))</f>
        <v/>
      </c>
      <c r="J626" s="262" t="str">
        <f ca="1">IF(OFFSET('IWP28'!BackgroundChecks, 3, 10, 1, 1) = 0, "", OFFSET('IWP28'!BackgroundChecks, 3, 10, 1, 1))</f>
        <v/>
      </c>
      <c r="K626" s="262" t="str">
        <f ca="1">IF(OFFSET('IWP28'!BackgroundChecks, 3, 11, 1, 1) = 0, "", OFFSET('IWP28'!BackgroundChecks, 3, 11, 1, 1))</f>
        <v/>
      </c>
      <c r="L626" s="262" t="str">
        <f ca="1">IF(OFFSET('IWP28'!BackgroundChecks, 3, 12, 1, 1) = 0, "", OFFSET('IWP28'!BackgroundChecks, 3, 12, 1, 1))</f>
        <v/>
      </c>
      <c r="M626" s="262" t="str">
        <f ca="1">IF(OFFSET('IWP28'!BackgroundChecks, 3, 13, 1, 1) = 0, "", OFFSET('IWP28'!BackgroundChecks, 3, 13, 1, 1))</f>
        <v/>
      </c>
      <c r="N626" s="261"/>
    </row>
    <row r="627" spans="1:14" s="146" customFormat="1">
      <c r="A627" s="257" t="s">
        <v>526</v>
      </c>
      <c r="B627" s="262" t="str">
        <f ca="1">IF(OFFSET('IWP28'!BackgroundChecks, 4, 0, 1, 1) = 0, "", OFFSET('IWP28'!BackgroundChecks, 4, 0, 1, 1))</f>
        <v/>
      </c>
      <c r="C627" s="262" t="str">
        <f ca="1">IF(OFFSET('IWP28'!BackgroundChecks, 4, 2, 1, 1) = 0, "", OFFSET('IWP28'!BackgroundChecks, 4, 2, 1, 1))</f>
        <v/>
      </c>
      <c r="D627" s="262" t="str">
        <f ca="1">IF(OFFSET('IWP28'!BackgroundChecks, 4, 4, 1, 1) = 0, "", OFFSET('IWP28'!BackgroundChecks, 4, 4, 1, 1))</f>
        <v/>
      </c>
      <c r="E627" s="254">
        <f ca="1">IF(OFFSET('IWP28'!BackgroundChecks, 4, 5, 1, 1)=DATE(1900,1,0), DATE(1900,1,1), OFFSET('IWP28'!BackgroundChecks, 4, 5, 1, 1))</f>
        <v>1</v>
      </c>
      <c r="F627" s="262" t="str">
        <f ca="1">IF(OFFSET('IWP28'!BackgroundChecks, 4, 6, 1, 1) = 0, "", OFFSET('IWP28'!BackgroundChecks, 4, 6, 1, 1))</f>
        <v/>
      </c>
      <c r="G627" s="254">
        <f ca="1">IF(OFFSET('IWP28'!BackgroundChecks, 4, 7, 1, 1)=DATE(1900,1,0), DATE(1900,1,1), OFFSET('IWP28'!BackgroundChecks, 4, 7, 1, 1))</f>
        <v>1</v>
      </c>
      <c r="H627" s="254">
        <f ca="1">IF(OFFSET('IWP28'!BackgroundChecks, 4, 8, 1, 1)=DATE(1900,1,0), DATE(1900,1,1), OFFSET('IWP28'!BackgroundChecks, 4, 8, 1, 1))</f>
        <v>1</v>
      </c>
      <c r="I627" s="262" t="str">
        <f ca="1">IF(OFFSET('IWP28'!BackgroundChecks, 4, 9, 1, 1) = 0, "", OFFSET('IWP28'!BackgroundChecks, 4, 9, 1, 1))</f>
        <v/>
      </c>
      <c r="J627" s="262" t="str">
        <f ca="1">IF(OFFSET('IWP28'!BackgroundChecks, 4, 10, 1, 1) = 0, "", OFFSET('IWP28'!BackgroundChecks, 4, 10, 1, 1))</f>
        <v/>
      </c>
      <c r="K627" s="262" t="str">
        <f ca="1">IF(OFFSET('IWP28'!BackgroundChecks, 4, 11, 1, 1) = 0, "", OFFSET('IWP28'!BackgroundChecks, 4, 11, 1, 1))</f>
        <v/>
      </c>
      <c r="L627" s="262" t="str">
        <f ca="1">IF(OFFSET('IWP28'!BackgroundChecks, 4, 12, 1, 1) = 0, "", OFFSET('IWP28'!BackgroundChecks, 4, 12, 1, 1))</f>
        <v/>
      </c>
      <c r="M627" s="262" t="str">
        <f ca="1">IF(OFFSET('IWP28'!BackgroundChecks, 4, 13, 1, 1) = 0, "", OFFSET('IWP28'!BackgroundChecks, 4, 13, 1, 1))</f>
        <v/>
      </c>
      <c r="N627" s="261"/>
    </row>
    <row r="628" spans="1:14" s="146" customFormat="1">
      <c r="A628" s="257" t="s">
        <v>526</v>
      </c>
      <c r="B628" s="262" t="str">
        <f ca="1">IF(OFFSET('IWP28'!BackgroundChecks, 5, 0, 1, 1) = 0, "", OFFSET('IWP28'!BackgroundChecks, 5, 0, 1, 1))</f>
        <v/>
      </c>
      <c r="C628" s="262" t="str">
        <f ca="1">IF(OFFSET('IWP28'!BackgroundChecks, 5, 2, 1, 1) = 0, "", OFFSET('IWP28'!BackgroundChecks, 5, 2, 1, 1))</f>
        <v/>
      </c>
      <c r="D628" s="262" t="str">
        <f ca="1">IF(OFFSET('IWP28'!BackgroundChecks, 5, 4, 1, 1) = 0, "", OFFSET('IWP28'!BackgroundChecks, 5, 4, 1, 1))</f>
        <v/>
      </c>
      <c r="E628" s="254">
        <f ca="1">IF(OFFSET('IWP28'!BackgroundChecks, 5, 5, 1, 1)=DATE(1900,1,0), DATE(1900,1,1), OFFSET('IWP28'!BackgroundChecks, 5, 5, 1, 1))</f>
        <v>1</v>
      </c>
      <c r="F628" s="262" t="str">
        <f ca="1">IF(OFFSET('IWP28'!BackgroundChecks, 5, 6, 1, 1) = 0, "", OFFSET('IWP28'!BackgroundChecks, 5, 6, 1, 1))</f>
        <v/>
      </c>
      <c r="G628" s="254">
        <f ca="1">IF(OFFSET('IWP28'!BackgroundChecks, 5, 7, 1, 1)=DATE(1900,1,0), DATE(1900,1,1), OFFSET('IWP28'!BackgroundChecks, 5, 7, 1, 1))</f>
        <v>1</v>
      </c>
      <c r="H628" s="254">
        <f ca="1">IF(OFFSET('IWP28'!BackgroundChecks, 5, 8, 1, 1)=DATE(1900,1,0), DATE(1900,1,1), OFFSET('IWP28'!BackgroundChecks, 5, 8, 1, 1))</f>
        <v>1</v>
      </c>
      <c r="I628" s="262" t="str">
        <f ca="1">IF(OFFSET('IWP28'!BackgroundChecks, 5, 9, 1, 1) = 0, "", OFFSET('IWP28'!BackgroundChecks, 5, 9, 1, 1))</f>
        <v/>
      </c>
      <c r="J628" s="262" t="str">
        <f ca="1">IF(OFFSET('IWP28'!BackgroundChecks, 5, 10, 1, 1) = 0, "", OFFSET('IWP28'!BackgroundChecks, 5, 10, 1, 1))</f>
        <v/>
      </c>
      <c r="K628" s="262" t="str">
        <f ca="1">IF(OFFSET('IWP28'!BackgroundChecks, 5, 11, 1, 1) = 0, "", OFFSET('IWP28'!BackgroundChecks, 5, 11, 1, 1))</f>
        <v/>
      </c>
      <c r="L628" s="262" t="str">
        <f ca="1">IF(OFFSET('IWP28'!BackgroundChecks, 5, 12, 1, 1) = 0, "", OFFSET('IWP28'!BackgroundChecks, 5, 12, 1, 1))</f>
        <v/>
      </c>
      <c r="M628" s="262" t="str">
        <f ca="1">IF(OFFSET('IWP28'!BackgroundChecks, 5, 13, 1, 1) = 0, "", OFFSET('IWP28'!BackgroundChecks, 5, 13, 1, 1))</f>
        <v/>
      </c>
      <c r="N628" s="261"/>
    </row>
    <row r="629" spans="1:14" s="146" customFormat="1">
      <c r="A629" s="257" t="s">
        <v>526</v>
      </c>
      <c r="B629" s="262" t="str">
        <f ca="1">IF(OFFSET('IWP28'!BackgroundChecks, 6, 0, 1, 1) = 0, "", OFFSET('IWP28'!BackgroundChecks, 6, 0, 1, 1))</f>
        <v/>
      </c>
      <c r="C629" s="262" t="str">
        <f ca="1">IF(OFFSET('IWP28'!BackgroundChecks, 6, 2, 1, 1) = 0, "", OFFSET('IWP28'!BackgroundChecks, 6, 2, 1, 1))</f>
        <v/>
      </c>
      <c r="D629" s="262" t="str">
        <f ca="1">IF(OFFSET('IWP28'!BackgroundChecks, 6, 4, 1, 1) = 0, "", OFFSET('IWP28'!BackgroundChecks, 6, 4, 1, 1))</f>
        <v/>
      </c>
      <c r="E629" s="254">
        <f ca="1">IF(OFFSET('IWP28'!BackgroundChecks, 6, 5, 1, 1)=DATE(1900,1,0), DATE(1900,1,1), OFFSET('IWP28'!BackgroundChecks, 6, 5, 1, 1))</f>
        <v>1</v>
      </c>
      <c r="F629" s="262" t="str">
        <f ca="1">IF(OFFSET('IWP28'!BackgroundChecks, 6, 6, 1, 1) = 0, "", OFFSET('IWP28'!BackgroundChecks, 6, 6, 1, 1))</f>
        <v/>
      </c>
      <c r="G629" s="254">
        <f ca="1">IF(OFFSET('IWP28'!BackgroundChecks, 6, 7, 1, 1)=DATE(1900,1,0), DATE(1900,1,1), OFFSET('IWP28'!BackgroundChecks, 6, 7, 1, 1))</f>
        <v>1</v>
      </c>
      <c r="H629" s="254">
        <f ca="1">IF(OFFSET('IWP28'!BackgroundChecks, 6, 8, 1, 1)=DATE(1900,1,0), DATE(1900,1,1), OFFSET('IWP28'!BackgroundChecks, 6, 8, 1, 1))</f>
        <v>1</v>
      </c>
      <c r="I629" s="262" t="str">
        <f ca="1">IF(OFFSET('IWP28'!BackgroundChecks, 6, 9, 1, 1) = 0, "", OFFSET('IWP28'!BackgroundChecks, 6, 9, 1, 1))</f>
        <v/>
      </c>
      <c r="J629" s="262" t="str">
        <f ca="1">IF(OFFSET('IWP28'!BackgroundChecks, 6, 10, 1, 1) = 0, "", OFFSET('IWP28'!BackgroundChecks, 6, 10, 1, 1))</f>
        <v/>
      </c>
      <c r="K629" s="262" t="str">
        <f ca="1">IF(OFFSET('IWP28'!BackgroundChecks, 6, 11, 1, 1) = 0, "", OFFSET('IWP28'!BackgroundChecks, 6, 11, 1, 1))</f>
        <v/>
      </c>
      <c r="L629" s="262" t="str">
        <f ca="1">IF(OFFSET('IWP28'!BackgroundChecks, 6, 12, 1, 1) = 0, "", OFFSET('IWP28'!BackgroundChecks, 6, 12, 1, 1))</f>
        <v/>
      </c>
      <c r="M629" s="262" t="str">
        <f ca="1">IF(OFFSET('IWP28'!BackgroundChecks, 6, 13, 1, 1) = 0, "", OFFSET('IWP28'!BackgroundChecks, 6, 13, 1, 1))</f>
        <v/>
      </c>
      <c r="N629" s="261"/>
    </row>
    <row r="630" spans="1:14" s="146" customFormat="1">
      <c r="A630" s="257" t="s">
        <v>526</v>
      </c>
      <c r="B630" s="262" t="str">
        <f ca="1">IF(OFFSET('IWP28'!BackgroundChecks, 7, 0, 1, 1) = 0, "", OFFSET('IWP28'!BackgroundChecks, 7, 0, 1, 1))</f>
        <v/>
      </c>
      <c r="C630" s="262" t="str">
        <f ca="1">IF(OFFSET('IWP28'!BackgroundChecks, 7, 2, 1, 1) = 0, "", OFFSET('IWP28'!BackgroundChecks, 7, 2, 1, 1))</f>
        <v/>
      </c>
      <c r="D630" s="262" t="str">
        <f ca="1">IF(OFFSET('IWP28'!BackgroundChecks, 7, 4, 1, 1) = 0, "", OFFSET('IWP28'!BackgroundChecks, 7, 4, 1, 1))</f>
        <v/>
      </c>
      <c r="E630" s="254">
        <f ca="1">IF(OFFSET('IWP28'!BackgroundChecks, 7, 5, 1, 1)=DATE(1900,1,0), DATE(1900,1,1), OFFSET('IWP28'!BackgroundChecks, 7, 5, 1, 1))</f>
        <v>1</v>
      </c>
      <c r="F630" s="262" t="str">
        <f ca="1">IF(OFFSET('IWP28'!BackgroundChecks, 7, 6, 1, 1) = 0, "", OFFSET('IWP28'!BackgroundChecks, 7, 6, 1, 1))</f>
        <v/>
      </c>
      <c r="G630" s="254">
        <f ca="1">IF(OFFSET('IWP28'!BackgroundChecks, 7, 7, 1, 1)=DATE(1900,1,0), DATE(1900,1,1), OFFSET('IWP28'!BackgroundChecks, 7, 7, 1, 1))</f>
        <v>1</v>
      </c>
      <c r="H630" s="254">
        <f ca="1">IF(OFFSET('IWP28'!BackgroundChecks, 7, 8, 1, 1)=DATE(1900,1,0), DATE(1900,1,1), OFFSET('IWP28'!BackgroundChecks, 7, 8, 1, 1))</f>
        <v>1</v>
      </c>
      <c r="I630" s="262" t="str">
        <f ca="1">IF(OFFSET('IWP28'!BackgroundChecks, 7, 9, 1, 1) = 0, "", OFFSET('IWP28'!BackgroundChecks, 7, 9, 1, 1))</f>
        <v/>
      </c>
      <c r="J630" s="262" t="str">
        <f ca="1">IF(OFFSET('IWP28'!BackgroundChecks, 7, 10, 1, 1) = 0, "", OFFSET('IWP28'!BackgroundChecks, 7, 10, 1, 1))</f>
        <v/>
      </c>
      <c r="K630" s="262" t="str">
        <f ca="1">IF(OFFSET('IWP28'!BackgroundChecks, 7, 11, 1, 1) = 0, "", OFFSET('IWP28'!BackgroundChecks, 7, 11, 1, 1))</f>
        <v/>
      </c>
      <c r="L630" s="262" t="str">
        <f ca="1">IF(OFFSET('IWP28'!BackgroundChecks, 7, 12, 1, 1) = 0, "", OFFSET('IWP28'!BackgroundChecks, 7, 12, 1, 1))</f>
        <v/>
      </c>
      <c r="M630" s="262" t="str">
        <f ca="1">IF(OFFSET('IWP28'!BackgroundChecks, 7, 13, 1, 1) = 0, "", OFFSET('IWP28'!BackgroundChecks, 7, 13, 1, 1))</f>
        <v/>
      </c>
      <c r="N630" s="261"/>
    </row>
    <row r="631" spans="1:14" s="146" customFormat="1">
      <c r="A631" s="257" t="s">
        <v>526</v>
      </c>
      <c r="B631" s="262" t="str">
        <f ca="1">IF(OFFSET('IWP28'!BackgroundChecks, 8, 0, 1, 1) = 0, "", OFFSET('IWP28'!BackgroundChecks, 8, 0, 1, 1))</f>
        <v/>
      </c>
      <c r="C631" s="262" t="str">
        <f ca="1">IF(OFFSET('IWP28'!BackgroundChecks, 8, 2, 1, 1) = 0, "", OFFSET('IWP28'!BackgroundChecks, 8, 2, 1, 1))</f>
        <v/>
      </c>
      <c r="D631" s="262" t="str">
        <f ca="1">IF(OFFSET('IWP28'!BackgroundChecks, 8, 4, 1, 1) = 0, "", OFFSET('IWP28'!BackgroundChecks, 8, 4, 1, 1))</f>
        <v/>
      </c>
      <c r="E631" s="254">
        <f ca="1">IF(OFFSET('IWP28'!BackgroundChecks, 8, 5, 1, 1)=DATE(1900,1,0), DATE(1900,1,1), OFFSET('IWP28'!BackgroundChecks, 8, 5, 1, 1))</f>
        <v>1</v>
      </c>
      <c r="F631" s="262" t="str">
        <f ca="1">IF(OFFSET('IWP28'!BackgroundChecks, 8, 6, 1, 1) = 0, "", OFFSET('IWP28'!BackgroundChecks, 8, 6, 1, 1))</f>
        <v/>
      </c>
      <c r="G631" s="254">
        <f ca="1">IF(OFFSET('IWP28'!BackgroundChecks, 8, 7, 1, 1)=DATE(1900,1,0), DATE(1900,1,1), OFFSET('IWP28'!BackgroundChecks, 8, 7, 1, 1))</f>
        <v>1</v>
      </c>
      <c r="H631" s="254">
        <f ca="1">IF(OFFSET('IWP28'!BackgroundChecks, 8, 8, 1, 1)=DATE(1900,1,0), DATE(1900,1,1), OFFSET('IWP28'!BackgroundChecks, 8, 8, 1, 1))</f>
        <v>1</v>
      </c>
      <c r="I631" s="262" t="str">
        <f ca="1">IF(OFFSET('IWP28'!BackgroundChecks, 8, 9, 1, 1) = 0, "", OFFSET('IWP28'!BackgroundChecks, 8, 9, 1, 1))</f>
        <v/>
      </c>
      <c r="J631" s="262" t="str">
        <f ca="1">IF(OFFSET('IWP28'!BackgroundChecks, 8, 10, 1, 1) = 0, "", OFFSET('IWP28'!BackgroundChecks, 8, 10, 1, 1))</f>
        <v/>
      </c>
      <c r="K631" s="262" t="str">
        <f ca="1">IF(OFFSET('IWP28'!BackgroundChecks, 8, 11, 1, 1) = 0, "", OFFSET('IWP28'!BackgroundChecks, 8, 11, 1, 1))</f>
        <v/>
      </c>
      <c r="L631" s="262" t="str">
        <f ca="1">IF(OFFSET('IWP28'!BackgroundChecks, 8, 12, 1, 1) = 0, "", OFFSET('IWP28'!BackgroundChecks, 8, 12, 1, 1))</f>
        <v/>
      </c>
      <c r="M631" s="262" t="str">
        <f ca="1">IF(OFFSET('IWP28'!BackgroundChecks, 8, 13, 1, 1) = 0, "", OFFSET('IWP28'!BackgroundChecks, 8, 13, 1, 1))</f>
        <v/>
      </c>
      <c r="N631" s="261"/>
    </row>
    <row r="632" spans="1:14" s="146" customFormat="1">
      <c r="A632" s="257" t="s">
        <v>526</v>
      </c>
      <c r="B632" s="262" t="str">
        <f ca="1">IF(OFFSET('IWP28'!BackgroundChecks, 9, 0, 1, 1) = 0, "", OFFSET('IWP28'!BackgroundChecks, 9, 0, 1, 1))</f>
        <v/>
      </c>
      <c r="C632" s="262" t="str">
        <f ca="1">IF(OFFSET('IWP28'!BackgroundChecks, 9, 2, 1, 1) = 0, "", OFFSET('IWP28'!BackgroundChecks, 9, 2, 1, 1))</f>
        <v/>
      </c>
      <c r="D632" s="262" t="str">
        <f ca="1">IF(OFFSET('IWP28'!BackgroundChecks, 9, 4, 1, 1) = 0, "", OFFSET('IWP28'!BackgroundChecks, 9, 4, 1, 1))</f>
        <v/>
      </c>
      <c r="E632" s="254">
        <f ca="1">IF(OFFSET('IWP28'!BackgroundChecks, 9, 5, 1, 1)=DATE(1900,1,0), DATE(1900,1,1), OFFSET('IWP28'!BackgroundChecks, 9, 5, 1, 1))</f>
        <v>1</v>
      </c>
      <c r="F632" s="262" t="str">
        <f ca="1">IF(OFFSET('IWP28'!BackgroundChecks, 9, 6, 1, 1) = 0, "", OFFSET('IWP28'!BackgroundChecks, 9, 6, 1, 1))</f>
        <v/>
      </c>
      <c r="G632" s="254">
        <f ca="1">IF(OFFSET('IWP28'!BackgroundChecks, 9, 7, 1, 1)=DATE(1900,1,0), DATE(1900,1,1), OFFSET('IWP28'!BackgroundChecks, 9, 7, 1, 1))</f>
        <v>1</v>
      </c>
      <c r="H632" s="254">
        <f ca="1">IF(OFFSET('IWP28'!BackgroundChecks, 9, 8, 1, 1)=DATE(1900,1,0), DATE(1900,1,1), OFFSET('IWP28'!BackgroundChecks, 9, 8, 1, 1))</f>
        <v>1</v>
      </c>
      <c r="I632" s="262" t="str">
        <f ca="1">IF(OFFSET('IWP28'!BackgroundChecks, 9, 9, 1, 1) = 0, "", OFFSET('IWP28'!BackgroundChecks, 9, 9, 1, 1))</f>
        <v/>
      </c>
      <c r="J632" s="262" t="str">
        <f ca="1">IF(OFFSET('IWP28'!BackgroundChecks, 9, 10, 1, 1) = 0, "", OFFSET('IWP28'!BackgroundChecks, 9, 10, 1, 1))</f>
        <v/>
      </c>
      <c r="K632" s="262" t="str">
        <f ca="1">IF(OFFSET('IWP28'!BackgroundChecks, 9, 11, 1, 1) = 0, "", OFFSET('IWP28'!BackgroundChecks, 9, 11, 1, 1))</f>
        <v/>
      </c>
      <c r="L632" s="262" t="str">
        <f ca="1">IF(OFFSET('IWP28'!BackgroundChecks, 9, 12, 1, 1) = 0, "", OFFSET('IWP28'!BackgroundChecks, 9, 12, 1, 1))</f>
        <v/>
      </c>
      <c r="M632" s="262" t="str">
        <f ca="1">IF(OFFSET('IWP28'!BackgroundChecks, 9, 13, 1, 1) = 0, "", OFFSET('IWP28'!BackgroundChecks, 9, 13, 1, 1))</f>
        <v/>
      </c>
      <c r="N632" s="261"/>
    </row>
    <row r="633" spans="1:14" s="146" customFormat="1">
      <c r="A633" s="257" t="s">
        <v>526</v>
      </c>
      <c r="B633" s="262" t="str">
        <f ca="1">IF(OFFSET('IWP28'!BackgroundChecks, 10, 0, 1, 1) = 0, "", OFFSET('IWP28'!BackgroundChecks, 10, 0, 1, 1))</f>
        <v/>
      </c>
      <c r="C633" s="262" t="str">
        <f ca="1">IF(OFFSET('IWP28'!BackgroundChecks, 10, 2, 1, 1) = 0, "", OFFSET('IWP28'!BackgroundChecks, 10, 2, 1, 1))</f>
        <v/>
      </c>
      <c r="D633" s="262" t="str">
        <f ca="1">IF(OFFSET('IWP28'!BackgroundChecks, 10, 4, 1, 1) = 0, "", OFFSET('IWP28'!BackgroundChecks, 10, 4, 1, 1))</f>
        <v/>
      </c>
      <c r="E633" s="254">
        <f ca="1">IF(OFFSET('IWP28'!BackgroundChecks, 10, 5, 1, 1)=DATE(1900,1,0), DATE(1900,1,1), OFFSET('IWP28'!BackgroundChecks, 10, 5, 1, 1))</f>
        <v>1</v>
      </c>
      <c r="F633" s="262" t="str">
        <f ca="1">IF(OFFSET('IWP28'!BackgroundChecks, 10, 6, 1, 1) = 0, "", OFFSET('IWP28'!BackgroundChecks, 10, 6, 1, 1))</f>
        <v/>
      </c>
      <c r="G633" s="254">
        <f ca="1">IF(OFFSET('IWP28'!BackgroundChecks, 10, 7, 1, 1)=DATE(1900,1,0), DATE(1900,1,1), OFFSET('IWP28'!BackgroundChecks, 10, 7, 1, 1))</f>
        <v>1</v>
      </c>
      <c r="H633" s="254">
        <f ca="1">IF(OFFSET('IWP28'!BackgroundChecks, 10, 8, 1, 1)=DATE(1900,1,0), DATE(1900,1,1), OFFSET('IWP28'!BackgroundChecks, 10, 8, 1, 1))</f>
        <v>1</v>
      </c>
      <c r="I633" s="262" t="str">
        <f ca="1">IF(OFFSET('IWP28'!BackgroundChecks, 10, 9, 1, 1) = 0, "", OFFSET('IWP28'!BackgroundChecks, 10, 9, 1, 1))</f>
        <v/>
      </c>
      <c r="J633" s="262" t="str">
        <f ca="1">IF(OFFSET('IWP28'!BackgroundChecks, 10, 10, 1, 1) = 0, "", OFFSET('IWP28'!BackgroundChecks, 10, 10, 1, 1))</f>
        <v/>
      </c>
      <c r="K633" s="262" t="str">
        <f ca="1">IF(OFFSET('IWP28'!BackgroundChecks, 10, 11, 1, 1) = 0, "", OFFSET('IWP28'!BackgroundChecks, 10, 11, 1, 1))</f>
        <v/>
      </c>
      <c r="L633" s="262" t="str">
        <f ca="1">IF(OFFSET('IWP28'!BackgroundChecks, 10, 12, 1, 1) = 0, "", OFFSET('IWP28'!BackgroundChecks, 10, 12, 1, 1))</f>
        <v/>
      </c>
      <c r="M633" s="262" t="str">
        <f ca="1">IF(OFFSET('IWP28'!BackgroundChecks, 10, 13, 1, 1) = 0, "", OFFSET('IWP28'!BackgroundChecks, 10, 13, 1, 1))</f>
        <v/>
      </c>
      <c r="N633" s="261"/>
    </row>
    <row r="634" spans="1:14" s="146" customFormat="1">
      <c r="A634" s="257" t="s">
        <v>526</v>
      </c>
      <c r="B634" s="262" t="str">
        <f ca="1">IF(OFFSET('IWP28'!BackgroundChecks, 11, 0, 1, 1) = 0, "", OFFSET('IWP28'!BackgroundChecks, 11, 0, 1, 1))</f>
        <v/>
      </c>
      <c r="C634" s="262" t="str">
        <f ca="1">IF(OFFSET('IWP28'!BackgroundChecks, 11, 2, 1, 1) = 0, "", OFFSET('IWP28'!BackgroundChecks, 11, 2, 1, 1))</f>
        <v/>
      </c>
      <c r="D634" s="262" t="str">
        <f ca="1">IF(OFFSET('IWP28'!BackgroundChecks, 11, 4, 1, 1) = 0, "", OFFSET('IWP28'!BackgroundChecks, 11, 4, 1, 1))</f>
        <v/>
      </c>
      <c r="E634" s="254">
        <f ca="1">IF(OFFSET('IWP28'!BackgroundChecks, 11, 5, 1, 1)=DATE(1900,1,0), DATE(1900,1,1), OFFSET('IWP28'!BackgroundChecks, 11, 5, 1, 1))</f>
        <v>1</v>
      </c>
      <c r="F634" s="262" t="str">
        <f ca="1">IF(OFFSET('IWP28'!BackgroundChecks, 11, 6, 1, 1) = 0, "", OFFSET('IWP28'!BackgroundChecks, 11, 6, 1, 1))</f>
        <v/>
      </c>
      <c r="G634" s="254">
        <f ca="1">IF(OFFSET('IWP28'!BackgroundChecks, 11, 7, 1, 1)=DATE(1900,1,0), DATE(1900,1,1), OFFSET('IWP28'!BackgroundChecks, 11, 7, 1, 1))</f>
        <v>1</v>
      </c>
      <c r="H634" s="254">
        <f ca="1">IF(OFFSET('IWP28'!BackgroundChecks, 11, 8, 1, 1)=DATE(1900,1,0), DATE(1900,1,1), OFFSET('IWP28'!BackgroundChecks, 11, 8, 1, 1))</f>
        <v>1</v>
      </c>
      <c r="I634" s="262" t="str">
        <f ca="1">IF(OFFSET('IWP28'!BackgroundChecks, 11, 9, 1, 1) = 0, "", OFFSET('IWP28'!BackgroundChecks, 11, 9, 1, 1))</f>
        <v/>
      </c>
      <c r="J634" s="262" t="str">
        <f ca="1">IF(OFFSET('IWP28'!BackgroundChecks, 11, 10, 1, 1) = 0, "", OFFSET('IWP28'!BackgroundChecks, 11, 10, 1, 1))</f>
        <v/>
      </c>
      <c r="K634" s="262" t="str">
        <f ca="1">IF(OFFSET('IWP28'!BackgroundChecks, 11, 11, 1, 1) = 0, "", OFFSET('IWP28'!BackgroundChecks, 11, 11, 1, 1))</f>
        <v/>
      </c>
      <c r="L634" s="262" t="str">
        <f ca="1">IF(OFFSET('IWP28'!BackgroundChecks, 11, 12, 1, 1) = 0, "", OFFSET('IWP28'!BackgroundChecks, 11, 12, 1, 1))</f>
        <v/>
      </c>
      <c r="M634" s="262" t="str">
        <f ca="1">IF(OFFSET('IWP28'!BackgroundChecks, 11, 13, 1, 1) = 0, "", OFFSET('IWP28'!BackgroundChecks, 11, 13, 1, 1))</f>
        <v/>
      </c>
      <c r="N634" s="261"/>
    </row>
    <row r="635" spans="1:14" s="146" customFormat="1">
      <c r="A635" s="257" t="s">
        <v>526</v>
      </c>
      <c r="B635" s="262" t="str">
        <f ca="1">IF(OFFSET('IWP28'!BackgroundChecks, 12, 0, 1, 1) = 0, "", OFFSET('IWP28'!BackgroundChecks, 12, 0, 1, 1))</f>
        <v/>
      </c>
      <c r="C635" s="262" t="str">
        <f ca="1">IF(OFFSET('IWP28'!BackgroundChecks, 12, 2, 1, 1) = 0, "", OFFSET('IWP28'!BackgroundChecks, 12, 2, 1, 1))</f>
        <v/>
      </c>
      <c r="D635" s="262" t="str">
        <f ca="1">IF(OFFSET('IWP28'!BackgroundChecks, 12, 4, 1, 1) = 0, "", OFFSET('IWP28'!BackgroundChecks, 12, 4, 1, 1))</f>
        <v/>
      </c>
      <c r="E635" s="254">
        <f ca="1">IF(OFFSET('IWP28'!BackgroundChecks, 12, 5, 1, 1)=DATE(1900,1,0), DATE(1900,1,1), OFFSET('IWP28'!BackgroundChecks, 12, 5, 1, 1))</f>
        <v>1</v>
      </c>
      <c r="F635" s="262" t="str">
        <f ca="1">IF(OFFSET('IWP28'!BackgroundChecks, 12, 6, 1, 1) = 0, "", OFFSET('IWP28'!BackgroundChecks, 12, 6, 1, 1))</f>
        <v/>
      </c>
      <c r="G635" s="254">
        <f ca="1">IF(OFFSET('IWP28'!BackgroundChecks, 12, 7, 1, 1)=DATE(1900,1,0), DATE(1900,1,1), OFFSET('IWP28'!BackgroundChecks, 12, 7, 1, 1))</f>
        <v>1</v>
      </c>
      <c r="H635" s="254">
        <f ca="1">IF(OFFSET('IWP28'!BackgroundChecks, 12, 8, 1, 1)=DATE(1900,1,0), DATE(1900,1,1), OFFSET('IWP28'!BackgroundChecks, 12, 8, 1, 1))</f>
        <v>1</v>
      </c>
      <c r="I635" s="262" t="str">
        <f ca="1">IF(OFFSET('IWP28'!BackgroundChecks, 12, 9, 1, 1) = 0, "", OFFSET('IWP28'!BackgroundChecks, 12, 9, 1, 1))</f>
        <v/>
      </c>
      <c r="J635" s="262" t="str">
        <f ca="1">IF(OFFSET('IWP28'!BackgroundChecks, 12, 10, 1, 1) = 0, "", OFFSET('IWP28'!BackgroundChecks, 12, 10, 1, 1))</f>
        <v/>
      </c>
      <c r="K635" s="262" t="str">
        <f ca="1">IF(OFFSET('IWP28'!BackgroundChecks, 12, 11, 1, 1) = 0, "", OFFSET('IWP28'!BackgroundChecks, 12, 11, 1, 1))</f>
        <v/>
      </c>
      <c r="L635" s="262" t="str">
        <f ca="1">IF(OFFSET('IWP28'!BackgroundChecks, 12, 12, 1, 1) = 0, "", OFFSET('IWP28'!BackgroundChecks, 12, 12, 1, 1))</f>
        <v/>
      </c>
      <c r="M635" s="262" t="str">
        <f ca="1">IF(OFFSET('IWP28'!BackgroundChecks, 12, 13, 1, 1) = 0, "", OFFSET('IWP28'!BackgroundChecks, 12, 13, 1, 1))</f>
        <v/>
      </c>
      <c r="N635" s="261"/>
    </row>
    <row r="636" spans="1:14" s="146" customFormat="1">
      <c r="A636" s="257" t="s">
        <v>526</v>
      </c>
      <c r="B636" s="262" t="str">
        <f ca="1">IF(OFFSET('IWP28'!BackgroundChecks, 13, 0, 1, 1) = 0, "", OFFSET('IWP28'!BackgroundChecks, 13, 0, 1, 1))</f>
        <v/>
      </c>
      <c r="C636" s="262" t="str">
        <f ca="1">IF(OFFSET('IWP28'!BackgroundChecks, 13, 2, 1, 1) = 0, "", OFFSET('IWP28'!BackgroundChecks, 13, 2, 1, 1))</f>
        <v/>
      </c>
      <c r="D636" s="262" t="str">
        <f ca="1">IF(OFFSET('IWP28'!BackgroundChecks, 13, 4, 1, 1) = 0, "", OFFSET('IWP28'!BackgroundChecks, 13, 4, 1, 1))</f>
        <v/>
      </c>
      <c r="E636" s="254">
        <f ca="1">IF(OFFSET('IWP28'!BackgroundChecks, 13, 5, 1, 1)=DATE(1900,1,0), DATE(1900,1,1), OFFSET('IWP28'!BackgroundChecks, 13, 5, 1, 1))</f>
        <v>1</v>
      </c>
      <c r="F636" s="262" t="str">
        <f ca="1">IF(OFFSET('IWP28'!BackgroundChecks, 13, 6, 1, 1) = 0, "", OFFSET('IWP28'!BackgroundChecks, 13, 6, 1, 1))</f>
        <v/>
      </c>
      <c r="G636" s="254">
        <f ca="1">IF(OFFSET('IWP28'!BackgroundChecks, 13, 7, 1, 1)=DATE(1900,1,0), DATE(1900,1,1), OFFSET('IWP28'!BackgroundChecks, 13, 7, 1, 1))</f>
        <v>1</v>
      </c>
      <c r="H636" s="254">
        <f ca="1">IF(OFFSET('IWP28'!BackgroundChecks, 13, 8, 1, 1)=DATE(1900,1,0), DATE(1900,1,1), OFFSET('IWP28'!BackgroundChecks, 13, 8, 1, 1))</f>
        <v>1</v>
      </c>
      <c r="I636" s="262" t="str">
        <f ca="1">IF(OFFSET('IWP28'!BackgroundChecks, 13, 9, 1, 1) = 0, "", OFFSET('IWP28'!BackgroundChecks, 13, 9, 1, 1))</f>
        <v/>
      </c>
      <c r="J636" s="262" t="str">
        <f ca="1">IF(OFFSET('IWP28'!BackgroundChecks, 13, 10, 1, 1) = 0, "", OFFSET('IWP28'!BackgroundChecks, 13, 10, 1, 1))</f>
        <v/>
      </c>
      <c r="K636" s="262" t="str">
        <f ca="1">IF(OFFSET('IWP28'!BackgroundChecks, 13, 11, 1, 1) = 0, "", OFFSET('IWP28'!BackgroundChecks, 13, 11, 1, 1))</f>
        <v/>
      </c>
      <c r="L636" s="262" t="str">
        <f ca="1">IF(OFFSET('IWP28'!BackgroundChecks, 13, 12, 1, 1) = 0, "", OFFSET('IWP28'!BackgroundChecks, 13, 12, 1, 1))</f>
        <v/>
      </c>
      <c r="M636" s="262" t="str">
        <f ca="1">IF(OFFSET('IWP28'!BackgroundChecks, 13, 13, 1, 1) = 0, "", OFFSET('IWP28'!BackgroundChecks, 13, 13, 1, 1))</f>
        <v/>
      </c>
      <c r="N636" s="261"/>
    </row>
    <row r="637" spans="1:14" s="146" customFormat="1">
      <c r="A637" s="257" t="s">
        <v>526</v>
      </c>
      <c r="B637" s="262" t="str">
        <f ca="1">IF(OFFSET('IWP28'!BackgroundChecks, 14, 0, 1, 1) = 0, "", OFFSET('IWP28'!BackgroundChecks, 14, 0, 1, 1))</f>
        <v/>
      </c>
      <c r="C637" s="262" t="str">
        <f ca="1">IF(OFFSET('IWP28'!BackgroundChecks, 14, 2, 1, 1) = 0, "", OFFSET('IWP28'!BackgroundChecks, 14, 2, 1, 1))</f>
        <v/>
      </c>
      <c r="D637" s="262" t="str">
        <f ca="1">IF(OFFSET('IWP28'!BackgroundChecks, 14, 4, 1, 1) = 0, "", OFFSET('IWP28'!BackgroundChecks, 14, 4, 1, 1))</f>
        <v/>
      </c>
      <c r="E637" s="254">
        <f ca="1">IF(OFFSET('IWP28'!BackgroundChecks, 14, 5, 1, 1)=DATE(1900,1,0), DATE(1900,1,1), OFFSET('IWP28'!BackgroundChecks, 14, 5, 1, 1))</f>
        <v>1</v>
      </c>
      <c r="F637" s="262" t="str">
        <f ca="1">IF(OFFSET('IWP28'!BackgroundChecks, 14, 6, 1, 1) = 0, "", OFFSET('IWP28'!BackgroundChecks, 14, 6, 1, 1))</f>
        <v/>
      </c>
      <c r="G637" s="254">
        <f ca="1">IF(OFFSET('IWP28'!BackgroundChecks, 14, 7, 1, 1)=DATE(1900,1,0), DATE(1900,1,1), OFFSET('IWP28'!BackgroundChecks, 14, 7, 1, 1))</f>
        <v>1</v>
      </c>
      <c r="H637" s="254">
        <f ca="1">IF(OFFSET('IWP28'!BackgroundChecks, 14, 8, 1, 1)=DATE(1900,1,0), DATE(1900,1,1), OFFSET('IWP28'!BackgroundChecks, 14, 8, 1, 1))</f>
        <v>1</v>
      </c>
      <c r="I637" s="262" t="str">
        <f ca="1">IF(OFFSET('IWP28'!BackgroundChecks, 14, 9, 1, 1) = 0, "", OFFSET('IWP28'!BackgroundChecks, 14, 9, 1, 1))</f>
        <v/>
      </c>
      <c r="J637" s="262" t="str">
        <f ca="1">IF(OFFSET('IWP28'!BackgroundChecks, 14, 10, 1, 1) = 0, "", OFFSET('IWP28'!BackgroundChecks, 14, 10, 1, 1))</f>
        <v/>
      </c>
      <c r="K637" s="262" t="str">
        <f ca="1">IF(OFFSET('IWP28'!BackgroundChecks, 14, 11, 1, 1) = 0, "", OFFSET('IWP28'!BackgroundChecks, 14, 11, 1, 1))</f>
        <v/>
      </c>
      <c r="L637" s="262" t="str">
        <f ca="1">IF(OFFSET('IWP28'!BackgroundChecks, 14, 12, 1, 1) = 0, "", OFFSET('IWP28'!BackgroundChecks, 14, 12, 1, 1))</f>
        <v/>
      </c>
      <c r="M637" s="262" t="str">
        <f ca="1">IF(OFFSET('IWP28'!BackgroundChecks, 14, 13, 1, 1) = 0, "", OFFSET('IWP28'!BackgroundChecks, 14, 13, 1, 1))</f>
        <v/>
      </c>
      <c r="N637" s="261"/>
    </row>
    <row r="638" spans="1:14" s="146" customFormat="1">
      <c r="A638" s="257" t="s">
        <v>526</v>
      </c>
      <c r="B638" s="262" t="str">
        <f ca="1">IF(OFFSET('IWP28'!BackgroundChecks, 15, 0, 1, 1) = 0, "", OFFSET('IWP28'!BackgroundChecks, 15, 0, 1, 1))</f>
        <v/>
      </c>
      <c r="C638" s="262" t="str">
        <f ca="1">IF(OFFSET('IWP28'!BackgroundChecks, 15, 2, 1, 1) = 0, "", OFFSET('IWP28'!BackgroundChecks, 15, 2, 1, 1))</f>
        <v/>
      </c>
      <c r="D638" s="262" t="str">
        <f ca="1">IF(OFFSET('IWP28'!BackgroundChecks, 15, 4, 1, 1) = 0, "", OFFSET('IWP28'!BackgroundChecks, 15, 4, 1, 1))</f>
        <v/>
      </c>
      <c r="E638" s="254">
        <f ca="1">IF(OFFSET('IWP28'!BackgroundChecks, 15, 5, 1, 1)=DATE(1900,1,0), DATE(1900,1,1), OFFSET('IWP28'!BackgroundChecks, 15, 5, 1, 1))</f>
        <v>1</v>
      </c>
      <c r="F638" s="262" t="str">
        <f ca="1">IF(OFFSET('IWP28'!BackgroundChecks, 15, 6, 1, 1) = 0, "", OFFSET('IWP28'!BackgroundChecks, 15, 6, 1, 1))</f>
        <v/>
      </c>
      <c r="G638" s="254">
        <f ca="1">IF(OFFSET('IWP28'!BackgroundChecks, 15, 7, 1, 1)=DATE(1900,1,0), DATE(1900,1,1), OFFSET('IWP28'!BackgroundChecks, 15, 7, 1, 1))</f>
        <v>1</v>
      </c>
      <c r="H638" s="254">
        <f ca="1">IF(OFFSET('IWP28'!BackgroundChecks, 15, 8, 1, 1)=DATE(1900,1,0), DATE(1900,1,1), OFFSET('IWP28'!BackgroundChecks, 15, 8, 1, 1))</f>
        <v>1</v>
      </c>
      <c r="I638" s="262" t="str">
        <f ca="1">IF(OFFSET('IWP28'!BackgroundChecks, 15, 9, 1, 1) = 0, "", OFFSET('IWP28'!BackgroundChecks, 15, 9, 1, 1))</f>
        <v/>
      </c>
      <c r="J638" s="262" t="str">
        <f ca="1">IF(OFFSET('IWP28'!BackgroundChecks, 15, 10, 1, 1) = 0, "", OFFSET('IWP28'!BackgroundChecks, 15, 10, 1, 1))</f>
        <v/>
      </c>
      <c r="K638" s="262" t="str">
        <f ca="1">IF(OFFSET('IWP28'!BackgroundChecks, 15, 11, 1, 1) = 0, "", OFFSET('IWP28'!BackgroundChecks, 15, 11, 1, 1))</f>
        <v/>
      </c>
      <c r="L638" s="262" t="str">
        <f ca="1">IF(OFFSET('IWP28'!BackgroundChecks, 15, 12, 1, 1) = 0, "", OFFSET('IWP28'!BackgroundChecks, 15, 12, 1, 1))</f>
        <v/>
      </c>
      <c r="M638" s="262" t="str">
        <f ca="1">IF(OFFSET('IWP28'!BackgroundChecks, 15, 13, 1, 1) = 0, "", OFFSET('IWP28'!BackgroundChecks, 15, 13, 1, 1))</f>
        <v/>
      </c>
      <c r="N638" s="261"/>
    </row>
    <row r="639" spans="1:14" s="146" customFormat="1">
      <c r="A639" s="257" t="s">
        <v>526</v>
      </c>
      <c r="B639" s="262" t="str">
        <f ca="1">IF(OFFSET('IWP28'!BackgroundChecks, 16, 0, 1, 1) = 0, "", OFFSET('IWP28'!BackgroundChecks, 16, 0, 1, 1))</f>
        <v/>
      </c>
      <c r="C639" s="262" t="str">
        <f ca="1">IF(OFFSET('IWP28'!BackgroundChecks, 16, 2, 1, 1) = 0, "", OFFSET('IWP28'!BackgroundChecks, 16, 2, 1, 1))</f>
        <v/>
      </c>
      <c r="D639" s="262" t="str">
        <f ca="1">IF(OFFSET('IWP28'!BackgroundChecks, 16, 4, 1, 1) = 0, "", OFFSET('IWP28'!BackgroundChecks, 16, 4, 1, 1))</f>
        <v/>
      </c>
      <c r="E639" s="254">
        <f ca="1">IF(OFFSET('IWP28'!BackgroundChecks, 16, 5, 1, 1)=DATE(1900,1,0), DATE(1900,1,1), OFFSET('IWP28'!BackgroundChecks, 16, 5, 1, 1))</f>
        <v>1</v>
      </c>
      <c r="F639" s="262" t="str">
        <f ca="1">IF(OFFSET('IWP28'!BackgroundChecks, 16, 6, 1, 1) = 0, "", OFFSET('IWP28'!BackgroundChecks, 16, 6, 1, 1))</f>
        <v/>
      </c>
      <c r="G639" s="254">
        <f ca="1">IF(OFFSET('IWP28'!BackgroundChecks, 16, 7, 1, 1)=DATE(1900,1,0), DATE(1900,1,1), OFFSET('IWP28'!BackgroundChecks, 16, 7, 1, 1))</f>
        <v>1</v>
      </c>
      <c r="H639" s="254">
        <f ca="1">IF(OFFSET('IWP28'!BackgroundChecks, 16, 8, 1, 1)=DATE(1900,1,0), DATE(1900,1,1), OFFSET('IWP28'!BackgroundChecks, 16, 8, 1, 1))</f>
        <v>1</v>
      </c>
      <c r="I639" s="262" t="str">
        <f ca="1">IF(OFFSET('IWP28'!BackgroundChecks, 16, 9, 1, 1) = 0, "", OFFSET('IWP28'!BackgroundChecks, 16, 9, 1, 1))</f>
        <v/>
      </c>
      <c r="J639" s="262" t="str">
        <f ca="1">IF(OFFSET('IWP28'!BackgroundChecks, 16, 10, 1, 1) = 0, "", OFFSET('IWP28'!BackgroundChecks, 16, 10, 1, 1))</f>
        <v/>
      </c>
      <c r="K639" s="262" t="str">
        <f ca="1">IF(OFFSET('IWP28'!BackgroundChecks, 16, 11, 1, 1) = 0, "", OFFSET('IWP28'!BackgroundChecks, 16, 11, 1, 1))</f>
        <v/>
      </c>
      <c r="L639" s="262" t="str">
        <f ca="1">IF(OFFSET('IWP28'!BackgroundChecks, 16, 12, 1, 1) = 0, "", OFFSET('IWP28'!BackgroundChecks, 16, 12, 1, 1))</f>
        <v/>
      </c>
      <c r="M639" s="262" t="str">
        <f ca="1">IF(OFFSET('IWP28'!BackgroundChecks, 16, 13, 1, 1) = 0, "", OFFSET('IWP28'!BackgroundChecks, 16, 13, 1, 1))</f>
        <v/>
      </c>
      <c r="N639" s="261"/>
    </row>
    <row r="640" spans="1:14" s="146" customFormat="1">
      <c r="A640" s="257" t="s">
        <v>526</v>
      </c>
      <c r="B640" s="262" t="str">
        <f ca="1">IF(OFFSET('IWP28'!BackgroundChecks, 17, 0, 1, 1) = 0, "", OFFSET('IWP28'!BackgroundChecks, 17, 0, 1, 1))</f>
        <v/>
      </c>
      <c r="C640" s="262" t="str">
        <f ca="1">IF(OFFSET('IWP28'!BackgroundChecks, 17, 2, 1, 1) = 0, "", OFFSET('IWP28'!BackgroundChecks, 17, 2, 1, 1))</f>
        <v/>
      </c>
      <c r="D640" s="262" t="str">
        <f ca="1">IF(OFFSET('IWP28'!BackgroundChecks, 17, 4, 1, 1) = 0, "", OFFSET('IWP28'!BackgroundChecks, 17, 4, 1, 1))</f>
        <v/>
      </c>
      <c r="E640" s="254">
        <f ca="1">IF(OFFSET('IWP28'!BackgroundChecks, 17, 5, 1, 1)=DATE(1900,1,0), DATE(1900,1,1), OFFSET('IWP28'!BackgroundChecks, 17, 5, 1, 1))</f>
        <v>1</v>
      </c>
      <c r="F640" s="262" t="str">
        <f ca="1">IF(OFFSET('IWP28'!BackgroundChecks, 17, 6, 1, 1) = 0, "", OFFSET('IWP28'!BackgroundChecks, 17, 6, 1, 1))</f>
        <v/>
      </c>
      <c r="G640" s="254">
        <f ca="1">IF(OFFSET('IWP28'!BackgroundChecks, 17, 7, 1, 1)=DATE(1900,1,0), DATE(1900,1,1), OFFSET('IWP28'!BackgroundChecks, 17, 7, 1, 1))</f>
        <v>1</v>
      </c>
      <c r="H640" s="254">
        <f ca="1">IF(OFFSET('IWP28'!BackgroundChecks, 17, 8, 1, 1)=DATE(1900,1,0), DATE(1900,1,1), OFFSET('IWP28'!BackgroundChecks, 17, 8, 1, 1))</f>
        <v>1</v>
      </c>
      <c r="I640" s="262" t="str">
        <f ca="1">IF(OFFSET('IWP28'!BackgroundChecks, 17, 9, 1, 1) = 0, "", OFFSET('IWP28'!BackgroundChecks, 17, 9, 1, 1))</f>
        <v/>
      </c>
      <c r="J640" s="262" t="str">
        <f ca="1">IF(OFFSET('IWP28'!BackgroundChecks, 17, 10, 1, 1) = 0, "", OFFSET('IWP28'!BackgroundChecks, 17, 10, 1, 1))</f>
        <v/>
      </c>
      <c r="K640" s="262" t="str">
        <f ca="1">IF(OFFSET('IWP28'!BackgroundChecks, 17, 11, 1, 1) = 0, "", OFFSET('IWP28'!BackgroundChecks, 17, 11, 1, 1))</f>
        <v/>
      </c>
      <c r="L640" s="262" t="str">
        <f ca="1">IF(OFFSET('IWP28'!BackgroundChecks, 17, 12, 1, 1) = 0, "", OFFSET('IWP28'!BackgroundChecks, 17, 12, 1, 1))</f>
        <v/>
      </c>
      <c r="M640" s="262" t="str">
        <f ca="1">IF(OFFSET('IWP28'!BackgroundChecks, 17, 13, 1, 1) = 0, "", OFFSET('IWP28'!BackgroundChecks, 17, 13, 1, 1))</f>
        <v/>
      </c>
      <c r="N640" s="261"/>
    </row>
    <row r="641" spans="1:14" s="146" customFormat="1">
      <c r="A641" s="257" t="s">
        <v>526</v>
      </c>
      <c r="B641" s="262" t="str">
        <f ca="1">IF(OFFSET('IWP28'!BackgroundChecks, 18, 0, 1, 1) = 0, "", OFFSET('IWP28'!BackgroundChecks, 18, 0, 1, 1))</f>
        <v/>
      </c>
      <c r="C641" s="262" t="str">
        <f ca="1">IF(OFFSET('IWP28'!BackgroundChecks, 18, 2, 1, 1) = 0, "", OFFSET('IWP28'!BackgroundChecks, 18, 2, 1, 1))</f>
        <v/>
      </c>
      <c r="D641" s="262" t="str">
        <f ca="1">IF(OFFSET('IWP28'!BackgroundChecks, 18, 4, 1, 1) = 0, "", OFFSET('IWP28'!BackgroundChecks, 18, 4, 1, 1))</f>
        <v/>
      </c>
      <c r="E641" s="254">
        <f ca="1">IF(OFFSET('IWP28'!BackgroundChecks, 18, 5, 1, 1)=DATE(1900,1,0), DATE(1900,1,1), OFFSET('IWP28'!BackgroundChecks, 18, 5, 1, 1))</f>
        <v>1</v>
      </c>
      <c r="F641" s="262" t="str">
        <f ca="1">IF(OFFSET('IWP28'!BackgroundChecks, 18, 6, 1, 1) = 0, "", OFFSET('IWP28'!BackgroundChecks, 18, 6, 1, 1))</f>
        <v/>
      </c>
      <c r="G641" s="254">
        <f ca="1">IF(OFFSET('IWP28'!BackgroundChecks, 18, 7, 1, 1)=DATE(1900,1,0), DATE(1900,1,1), OFFSET('IWP28'!BackgroundChecks, 18, 7, 1, 1))</f>
        <v>1</v>
      </c>
      <c r="H641" s="254">
        <f ca="1">IF(OFFSET('IWP28'!BackgroundChecks, 18, 8, 1, 1)=DATE(1900,1,0), DATE(1900,1,1), OFFSET('IWP28'!BackgroundChecks, 18, 8, 1, 1))</f>
        <v>1</v>
      </c>
      <c r="I641" s="262" t="str">
        <f ca="1">IF(OFFSET('IWP28'!BackgroundChecks, 18, 9, 1, 1) = 0, "", OFFSET('IWP28'!BackgroundChecks, 18, 9, 1, 1))</f>
        <v/>
      </c>
      <c r="J641" s="262" t="str">
        <f ca="1">IF(OFFSET('IWP28'!BackgroundChecks, 18, 10, 1, 1) = 0, "", OFFSET('IWP28'!BackgroundChecks, 18, 10, 1, 1))</f>
        <v/>
      </c>
      <c r="K641" s="262" t="str">
        <f ca="1">IF(OFFSET('IWP28'!BackgroundChecks, 18, 11, 1, 1) = 0, "", OFFSET('IWP28'!BackgroundChecks, 18, 11, 1, 1))</f>
        <v/>
      </c>
      <c r="L641" s="262" t="str">
        <f ca="1">IF(OFFSET('IWP28'!BackgroundChecks, 18, 12, 1, 1) = 0, "", OFFSET('IWP28'!BackgroundChecks, 18, 12, 1, 1))</f>
        <v/>
      </c>
      <c r="M641" s="262" t="str">
        <f ca="1">IF(OFFSET('IWP28'!BackgroundChecks, 18, 13, 1, 1) = 0, "", OFFSET('IWP28'!BackgroundChecks, 18, 13, 1, 1))</f>
        <v/>
      </c>
      <c r="N641" s="261"/>
    </row>
    <row r="642" spans="1:14" s="146" customFormat="1">
      <c r="A642" s="257" t="s">
        <v>526</v>
      </c>
      <c r="B642" s="262" t="str">
        <f ca="1">IF(OFFSET('IWP28'!BackgroundChecks, 19, 0, 1, 1) = 0, "", OFFSET('IWP28'!BackgroundChecks, 19, 0, 1, 1))</f>
        <v/>
      </c>
      <c r="C642" s="262" t="str">
        <f ca="1">IF(OFFSET('IWP28'!BackgroundChecks, 19, 2, 1, 1) = 0, "", OFFSET('IWP28'!BackgroundChecks, 19, 2, 1, 1))</f>
        <v/>
      </c>
      <c r="D642" s="262" t="str">
        <f ca="1">IF(OFFSET('IWP28'!BackgroundChecks, 19, 4, 1, 1) = 0, "", OFFSET('IWP28'!BackgroundChecks, 19, 4, 1, 1))</f>
        <v/>
      </c>
      <c r="E642" s="254">
        <f ca="1">IF(OFFSET('IWP28'!BackgroundChecks, 19, 5, 1, 1)=DATE(1900,1,0), DATE(1900,1,1), OFFSET('IWP28'!BackgroundChecks, 19, 5, 1, 1))</f>
        <v>1</v>
      </c>
      <c r="F642" s="262" t="str">
        <f ca="1">IF(OFFSET('IWP28'!BackgroundChecks, 19, 6, 1, 1) = 0, "", OFFSET('IWP28'!BackgroundChecks, 19, 6, 1, 1))</f>
        <v/>
      </c>
      <c r="G642" s="254">
        <f ca="1">IF(OFFSET('IWP28'!BackgroundChecks, 19, 7, 1, 1)=DATE(1900,1,0), DATE(1900,1,1), OFFSET('IWP28'!BackgroundChecks, 19, 7, 1, 1))</f>
        <v>1</v>
      </c>
      <c r="H642" s="254">
        <f ca="1">IF(OFFSET('IWP28'!BackgroundChecks, 19, 8, 1, 1)=DATE(1900,1,0), DATE(1900,1,1), OFFSET('IWP28'!BackgroundChecks, 19, 8, 1, 1))</f>
        <v>1</v>
      </c>
      <c r="I642" s="262" t="str">
        <f ca="1">IF(OFFSET('IWP28'!BackgroundChecks, 19, 9, 1, 1) = 0, "", OFFSET('IWP28'!BackgroundChecks, 19, 9, 1, 1))</f>
        <v/>
      </c>
      <c r="J642" s="262" t="str">
        <f ca="1">IF(OFFSET('IWP28'!BackgroundChecks, 19, 10, 1, 1) = 0, "", OFFSET('IWP28'!BackgroundChecks, 19, 10, 1, 1))</f>
        <v/>
      </c>
      <c r="K642" s="262" t="str">
        <f ca="1">IF(OFFSET('IWP28'!BackgroundChecks, 19, 11, 1, 1) = 0, "", OFFSET('IWP28'!BackgroundChecks, 19, 11, 1, 1))</f>
        <v/>
      </c>
      <c r="L642" s="262" t="str">
        <f ca="1">IF(OFFSET('IWP28'!BackgroundChecks, 19, 12, 1, 1) = 0, "", OFFSET('IWP28'!BackgroundChecks, 19, 12, 1, 1))</f>
        <v/>
      </c>
      <c r="M642" s="262" t="str">
        <f ca="1">IF(OFFSET('IWP28'!BackgroundChecks, 19, 13, 1, 1) = 0, "", OFFSET('IWP28'!BackgroundChecks, 19, 13, 1, 1))</f>
        <v/>
      </c>
      <c r="N642" s="261"/>
    </row>
    <row r="643" spans="1:14" s="146" customFormat="1">
      <c r="A643" s="257" t="s">
        <v>527</v>
      </c>
      <c r="B643" s="262" t="str">
        <f ca="1">IF(OFFSET('IWP29'!BackgroundChecks, 0, 0, 1, 1) = 0, "", OFFSET('IWP29'!BackgroundChecks, 0, 0, 1, 1))</f>
        <v/>
      </c>
      <c r="C643" s="262" t="str">
        <f ca="1">IF(OFFSET('IWP29'!BackgroundChecks, 0, 2, 1, 1) = 0, "", OFFSET('IWP29'!BackgroundChecks, 0, 2, 1, 1))</f>
        <v/>
      </c>
      <c r="D643" s="262" t="str">
        <f ca="1">IF(OFFSET('IWP29'!BackgroundChecks, 0, 4, 1, 1) = 0, "", OFFSET('IWP29'!BackgroundChecks, 0, 4, 1, 1))</f>
        <v/>
      </c>
      <c r="E643" s="254">
        <f ca="1">IF(OFFSET('IWP29'!BackgroundChecks, 0, 5, 1, 1)=DATE(1900,1,0), DATE(1900,1,1), OFFSET('IWP29'!BackgroundChecks, 0, 5, 1, 1))</f>
        <v>1</v>
      </c>
      <c r="F643" s="262" t="str">
        <f ca="1">IF(OFFSET('IWP29'!BackgroundChecks, 0, 6, 1, 1) = 0, "", OFFSET('IWP29'!BackgroundChecks, 0, 6, 1, 1))</f>
        <v/>
      </c>
      <c r="G643" s="254">
        <f ca="1">IF(OFFSET('IWP29'!BackgroundChecks, 0, 7, 1, 1)=DATE(1900,1,0), DATE(1900,1,1), OFFSET('IWP29'!BackgroundChecks, 0, 7, 1, 1))</f>
        <v>1</v>
      </c>
      <c r="H643" s="254">
        <f ca="1">IF(OFFSET('IWP29'!BackgroundChecks, 0, 8, 1, 1)=DATE(1900,1,0), DATE(1900,1,1), OFFSET('IWP29'!BackgroundChecks, 0, 8, 1, 1))</f>
        <v>1</v>
      </c>
      <c r="I643" s="262" t="str">
        <f ca="1">IF(OFFSET('IWP29'!BackgroundChecks, 0, 9, 1, 1) = 0, "", OFFSET('IWP29'!BackgroundChecks, 0, 9, 1, 1))</f>
        <v/>
      </c>
      <c r="J643" s="262" t="str">
        <f ca="1">IF(OFFSET('IWP29'!BackgroundChecks, 0, 10, 1, 1) = 0, "", OFFSET('IWP29'!BackgroundChecks, 0, 10, 1, 1))</f>
        <v/>
      </c>
      <c r="K643" s="262" t="str">
        <f ca="1">IF(OFFSET('IWP29'!BackgroundChecks, 0, 11, 1, 1) = 0, "", OFFSET('IWP29'!BackgroundChecks, 0, 11, 1, 1))</f>
        <v/>
      </c>
      <c r="L643" s="262" t="str">
        <f ca="1">IF(OFFSET('IWP29'!BackgroundChecks, 0, 12, 1, 1) = 0, "", OFFSET('IWP29'!BackgroundChecks, 0, 12, 1, 1))</f>
        <v/>
      </c>
      <c r="M643" s="262" t="str">
        <f ca="1">IF(OFFSET('IWP29'!BackgroundChecks, 0, 13, 1, 1) = 0, "", OFFSET('IWP29'!BackgroundChecks, 0, 13, 1, 1))</f>
        <v/>
      </c>
      <c r="N643" s="261"/>
    </row>
    <row r="644" spans="1:14" s="146" customFormat="1">
      <c r="A644" s="257" t="s">
        <v>527</v>
      </c>
      <c r="B644" s="262" t="str">
        <f ca="1">IF(OFFSET('IWP29'!BackgroundChecks, 1, 0, 1, 1) = 0, "", OFFSET('IWP29'!BackgroundChecks, 1, 0, 1, 1))</f>
        <v/>
      </c>
      <c r="C644" s="262" t="str">
        <f ca="1">IF(OFFSET('IWP29'!BackgroundChecks, 1, 2, 1, 1) = 0, "", OFFSET('IWP29'!BackgroundChecks, 1, 2, 1, 1))</f>
        <v/>
      </c>
      <c r="D644" s="262" t="str">
        <f ca="1">IF(OFFSET('IWP29'!BackgroundChecks, 1, 4, 1, 1) = 0, "", OFFSET('IWP29'!BackgroundChecks, 1, 4, 1, 1))</f>
        <v/>
      </c>
      <c r="E644" s="254">
        <f ca="1">IF(OFFSET('IWP29'!BackgroundChecks, 1, 5, 1, 1)=DATE(1900,1,0), DATE(1900,1,1), OFFSET('IWP29'!BackgroundChecks, 1, 5, 1, 1))</f>
        <v>1</v>
      </c>
      <c r="F644" s="262" t="str">
        <f ca="1">IF(OFFSET('IWP29'!BackgroundChecks, 1, 6, 1, 1) = 0, "", OFFSET('IWP29'!BackgroundChecks, 1, 6, 1, 1))</f>
        <v/>
      </c>
      <c r="G644" s="254">
        <f ca="1">IF(OFFSET('IWP29'!BackgroundChecks, 1, 7, 1, 1)=DATE(1900,1,0), DATE(1900,1,1), OFFSET('IWP29'!BackgroundChecks, 1, 7, 1, 1))</f>
        <v>1</v>
      </c>
      <c r="H644" s="254">
        <f ca="1">IF(OFFSET('IWP29'!BackgroundChecks, 1, 8, 1, 1)=DATE(1900,1,0), DATE(1900,1,1), OFFSET('IWP29'!BackgroundChecks, 1, 8, 1, 1))</f>
        <v>1</v>
      </c>
      <c r="I644" s="262" t="str">
        <f ca="1">IF(OFFSET('IWP29'!BackgroundChecks, 1, 9, 1, 1) = 0, "", OFFSET('IWP29'!BackgroundChecks, 1, 9, 1, 1))</f>
        <v/>
      </c>
      <c r="J644" s="262" t="str">
        <f ca="1">IF(OFFSET('IWP29'!BackgroundChecks, 1, 10, 1, 1) = 0, "", OFFSET('IWP29'!BackgroundChecks, 1, 10, 1, 1))</f>
        <v/>
      </c>
      <c r="K644" s="262" t="str">
        <f ca="1">IF(OFFSET('IWP29'!BackgroundChecks, 1, 11, 1, 1) = 0, "", OFFSET('IWP29'!BackgroundChecks, 1, 11, 1, 1))</f>
        <v/>
      </c>
      <c r="L644" s="262" t="str">
        <f ca="1">IF(OFFSET('IWP29'!BackgroundChecks, 1, 12, 1, 1) = 0, "", OFFSET('IWP29'!BackgroundChecks, 1, 12, 1, 1))</f>
        <v/>
      </c>
      <c r="M644" s="262" t="str">
        <f ca="1">IF(OFFSET('IWP29'!BackgroundChecks, 1, 13, 1, 1) = 0, "", OFFSET('IWP29'!BackgroundChecks, 1, 13, 1, 1))</f>
        <v/>
      </c>
      <c r="N644" s="261"/>
    </row>
    <row r="645" spans="1:14" s="146" customFormat="1">
      <c r="A645" s="257" t="s">
        <v>527</v>
      </c>
      <c r="B645" s="262" t="str">
        <f ca="1">IF(OFFSET('IWP29'!BackgroundChecks, 2, 0, 1, 1) = 0, "", OFFSET('IWP29'!BackgroundChecks, 2, 0, 1, 1))</f>
        <v/>
      </c>
      <c r="C645" s="262" t="str">
        <f ca="1">IF(OFFSET('IWP29'!BackgroundChecks, 2, 2, 1, 1) = 0, "", OFFSET('IWP29'!BackgroundChecks, 2, 2, 1, 1))</f>
        <v/>
      </c>
      <c r="D645" s="262" t="str">
        <f ca="1">IF(OFFSET('IWP29'!BackgroundChecks, 2, 4, 1, 1) = 0, "", OFFSET('IWP29'!BackgroundChecks, 2, 4, 1, 1))</f>
        <v/>
      </c>
      <c r="E645" s="254">
        <f ca="1">IF(OFFSET('IWP29'!BackgroundChecks, 2, 5, 1, 1)=DATE(1900,1,0), DATE(1900,1,1), OFFSET('IWP29'!BackgroundChecks, 2, 5, 1, 1))</f>
        <v>1</v>
      </c>
      <c r="F645" s="262" t="str">
        <f ca="1">IF(OFFSET('IWP29'!BackgroundChecks, 2, 6, 1, 1) = 0, "", OFFSET('IWP29'!BackgroundChecks, 2, 6, 1, 1))</f>
        <v/>
      </c>
      <c r="G645" s="254">
        <f ca="1">IF(OFFSET('IWP29'!BackgroundChecks, 2, 7, 1, 1)=DATE(1900,1,0), DATE(1900,1,1), OFFSET('IWP29'!BackgroundChecks, 2, 7, 1, 1))</f>
        <v>1</v>
      </c>
      <c r="H645" s="254">
        <f ca="1">IF(OFFSET('IWP29'!BackgroundChecks, 2, 8, 1, 1)=DATE(1900,1,0), DATE(1900,1,1), OFFSET('IWP29'!BackgroundChecks, 2, 8, 1, 1))</f>
        <v>1</v>
      </c>
      <c r="I645" s="262" t="str">
        <f ca="1">IF(OFFSET('IWP29'!BackgroundChecks, 2, 9, 1, 1) = 0, "", OFFSET('IWP29'!BackgroundChecks, 2, 9, 1, 1))</f>
        <v/>
      </c>
      <c r="J645" s="262" t="str">
        <f ca="1">IF(OFFSET('IWP29'!BackgroundChecks, 2, 10, 1, 1) = 0, "", OFFSET('IWP29'!BackgroundChecks, 2, 10, 1, 1))</f>
        <v/>
      </c>
      <c r="K645" s="262" t="str">
        <f ca="1">IF(OFFSET('IWP29'!BackgroundChecks, 2, 11, 1, 1) = 0, "", OFFSET('IWP29'!BackgroundChecks, 2, 11, 1, 1))</f>
        <v/>
      </c>
      <c r="L645" s="262" t="str">
        <f ca="1">IF(OFFSET('IWP29'!BackgroundChecks, 2, 12, 1, 1) = 0, "", OFFSET('IWP29'!BackgroundChecks, 2, 12, 1, 1))</f>
        <v/>
      </c>
      <c r="M645" s="262" t="str">
        <f ca="1">IF(OFFSET('IWP29'!BackgroundChecks, 2, 13, 1, 1) = 0, "", OFFSET('IWP29'!BackgroundChecks, 2, 13, 1, 1))</f>
        <v/>
      </c>
      <c r="N645" s="261"/>
    </row>
    <row r="646" spans="1:14" s="146" customFormat="1">
      <c r="A646" s="257" t="s">
        <v>527</v>
      </c>
      <c r="B646" s="262" t="str">
        <f ca="1">IF(OFFSET('IWP29'!BackgroundChecks, 3, 0, 1, 1) = 0, "", OFFSET('IWP29'!BackgroundChecks, 3, 0, 1, 1))</f>
        <v/>
      </c>
      <c r="C646" s="262" t="str">
        <f ca="1">IF(OFFSET('IWP29'!BackgroundChecks, 3, 2, 1, 1) = 0, "", OFFSET('IWP29'!BackgroundChecks, 3, 2, 1, 1))</f>
        <v/>
      </c>
      <c r="D646" s="262" t="str">
        <f ca="1">IF(OFFSET('IWP29'!BackgroundChecks, 3, 4, 1, 1) = 0, "", OFFSET('IWP29'!BackgroundChecks, 3, 4, 1, 1))</f>
        <v/>
      </c>
      <c r="E646" s="254">
        <f ca="1">IF(OFFSET('IWP29'!BackgroundChecks, 3, 5, 1, 1)=DATE(1900,1,0), DATE(1900,1,1), OFFSET('IWP29'!BackgroundChecks, 3, 5, 1, 1))</f>
        <v>1</v>
      </c>
      <c r="F646" s="262" t="str">
        <f ca="1">IF(OFFSET('IWP29'!BackgroundChecks, 3, 6, 1, 1) = 0, "", OFFSET('IWP29'!BackgroundChecks, 3, 6, 1, 1))</f>
        <v/>
      </c>
      <c r="G646" s="254">
        <f ca="1">IF(OFFSET('IWP29'!BackgroundChecks, 3, 7, 1, 1)=DATE(1900,1,0), DATE(1900,1,1), OFFSET('IWP29'!BackgroundChecks, 3, 7, 1, 1))</f>
        <v>1</v>
      </c>
      <c r="H646" s="254">
        <f ca="1">IF(OFFSET('IWP29'!BackgroundChecks, 3, 8, 1, 1)=DATE(1900,1,0), DATE(1900,1,1), OFFSET('IWP29'!BackgroundChecks, 3, 8, 1, 1))</f>
        <v>1</v>
      </c>
      <c r="I646" s="262" t="str">
        <f ca="1">IF(OFFSET('IWP29'!BackgroundChecks, 3, 9, 1, 1) = 0, "", OFFSET('IWP29'!BackgroundChecks, 3, 9, 1, 1))</f>
        <v/>
      </c>
      <c r="J646" s="262" t="str">
        <f ca="1">IF(OFFSET('IWP29'!BackgroundChecks, 3, 10, 1, 1) = 0, "", OFFSET('IWP29'!BackgroundChecks, 3, 10, 1, 1))</f>
        <v/>
      </c>
      <c r="K646" s="262" t="str">
        <f ca="1">IF(OFFSET('IWP29'!BackgroundChecks, 3, 11, 1, 1) = 0, "", OFFSET('IWP29'!BackgroundChecks, 3, 11, 1, 1))</f>
        <v/>
      </c>
      <c r="L646" s="262" t="str">
        <f ca="1">IF(OFFSET('IWP29'!BackgroundChecks, 3, 12, 1, 1) = 0, "", OFFSET('IWP29'!BackgroundChecks, 3, 12, 1, 1))</f>
        <v/>
      </c>
      <c r="M646" s="262" t="str">
        <f ca="1">IF(OFFSET('IWP29'!BackgroundChecks, 3, 13, 1, 1) = 0, "", OFFSET('IWP29'!BackgroundChecks, 3, 13, 1, 1))</f>
        <v/>
      </c>
      <c r="N646" s="261"/>
    </row>
    <row r="647" spans="1:14" s="146" customFormat="1">
      <c r="A647" s="257" t="s">
        <v>527</v>
      </c>
      <c r="B647" s="262" t="str">
        <f ca="1">IF(OFFSET('IWP29'!BackgroundChecks, 4, 0, 1, 1) = 0, "", OFFSET('IWP29'!BackgroundChecks, 4, 0, 1, 1))</f>
        <v/>
      </c>
      <c r="C647" s="262" t="str">
        <f ca="1">IF(OFFSET('IWP29'!BackgroundChecks, 4, 2, 1, 1) = 0, "", OFFSET('IWP29'!BackgroundChecks, 4, 2, 1, 1))</f>
        <v/>
      </c>
      <c r="D647" s="262" t="str">
        <f ca="1">IF(OFFSET('IWP29'!BackgroundChecks, 4, 4, 1, 1) = 0, "", OFFSET('IWP29'!BackgroundChecks, 4, 4, 1, 1))</f>
        <v/>
      </c>
      <c r="E647" s="254">
        <f ca="1">IF(OFFSET('IWP29'!BackgroundChecks, 4, 5, 1, 1)=DATE(1900,1,0), DATE(1900,1,1), OFFSET('IWP29'!BackgroundChecks, 4, 5, 1, 1))</f>
        <v>1</v>
      </c>
      <c r="F647" s="262" t="str">
        <f ca="1">IF(OFFSET('IWP29'!BackgroundChecks, 4, 6, 1, 1) = 0, "", OFFSET('IWP29'!BackgroundChecks, 4, 6, 1, 1))</f>
        <v/>
      </c>
      <c r="G647" s="254">
        <f ca="1">IF(OFFSET('IWP29'!BackgroundChecks, 4, 7, 1, 1)=DATE(1900,1,0), DATE(1900,1,1), OFFSET('IWP29'!BackgroundChecks, 4, 7, 1, 1))</f>
        <v>1</v>
      </c>
      <c r="H647" s="254">
        <f ca="1">IF(OFFSET('IWP29'!BackgroundChecks, 4, 8, 1, 1)=DATE(1900,1,0), DATE(1900,1,1), OFFSET('IWP29'!BackgroundChecks, 4, 8, 1, 1))</f>
        <v>1</v>
      </c>
      <c r="I647" s="262" t="str">
        <f ca="1">IF(OFFSET('IWP29'!BackgroundChecks, 4, 9, 1, 1) = 0, "", OFFSET('IWP29'!BackgroundChecks, 4, 9, 1, 1))</f>
        <v/>
      </c>
      <c r="J647" s="262" t="str">
        <f ca="1">IF(OFFSET('IWP29'!BackgroundChecks, 4, 10, 1, 1) = 0, "", OFFSET('IWP29'!BackgroundChecks, 4, 10, 1, 1))</f>
        <v/>
      </c>
      <c r="K647" s="262" t="str">
        <f ca="1">IF(OFFSET('IWP29'!BackgroundChecks, 4, 11, 1, 1) = 0, "", OFFSET('IWP29'!BackgroundChecks, 4, 11, 1, 1))</f>
        <v/>
      </c>
      <c r="L647" s="262" t="str">
        <f ca="1">IF(OFFSET('IWP29'!BackgroundChecks, 4, 12, 1, 1) = 0, "", OFFSET('IWP29'!BackgroundChecks, 4, 12, 1, 1))</f>
        <v/>
      </c>
      <c r="M647" s="262" t="str">
        <f ca="1">IF(OFFSET('IWP29'!BackgroundChecks, 4, 13, 1, 1) = 0, "", OFFSET('IWP29'!BackgroundChecks, 4, 13, 1, 1))</f>
        <v/>
      </c>
      <c r="N647" s="261"/>
    </row>
    <row r="648" spans="1:14" s="146" customFormat="1">
      <c r="A648" s="257" t="s">
        <v>527</v>
      </c>
      <c r="B648" s="262" t="str">
        <f ca="1">IF(OFFSET('IWP29'!BackgroundChecks, 5, 0, 1, 1) = 0, "", OFFSET('IWP29'!BackgroundChecks, 5, 0, 1, 1))</f>
        <v/>
      </c>
      <c r="C648" s="262" t="str">
        <f ca="1">IF(OFFSET('IWP29'!BackgroundChecks, 5, 2, 1, 1) = 0, "", OFFSET('IWP29'!BackgroundChecks, 5, 2, 1, 1))</f>
        <v/>
      </c>
      <c r="D648" s="262" t="str">
        <f ca="1">IF(OFFSET('IWP29'!BackgroundChecks, 5, 4, 1, 1) = 0, "", OFFSET('IWP29'!BackgroundChecks, 5, 4, 1, 1))</f>
        <v/>
      </c>
      <c r="E648" s="254">
        <f ca="1">IF(OFFSET('IWP29'!BackgroundChecks, 5, 5, 1, 1)=DATE(1900,1,0), DATE(1900,1,1), OFFSET('IWP29'!BackgroundChecks, 5, 5, 1, 1))</f>
        <v>1</v>
      </c>
      <c r="F648" s="262" t="str">
        <f ca="1">IF(OFFSET('IWP29'!BackgroundChecks, 5, 6, 1, 1) = 0, "", OFFSET('IWP29'!BackgroundChecks, 5, 6, 1, 1))</f>
        <v/>
      </c>
      <c r="G648" s="254">
        <f ca="1">IF(OFFSET('IWP29'!BackgroundChecks, 5, 7, 1, 1)=DATE(1900,1,0), DATE(1900,1,1), OFFSET('IWP29'!BackgroundChecks, 5, 7, 1, 1))</f>
        <v>1</v>
      </c>
      <c r="H648" s="254">
        <f ca="1">IF(OFFSET('IWP29'!BackgroundChecks, 5, 8, 1, 1)=DATE(1900,1,0), DATE(1900,1,1), OFFSET('IWP29'!BackgroundChecks, 5, 8, 1, 1))</f>
        <v>1</v>
      </c>
      <c r="I648" s="262" t="str">
        <f ca="1">IF(OFFSET('IWP29'!BackgroundChecks, 5, 9, 1, 1) = 0, "", OFFSET('IWP29'!BackgroundChecks, 5, 9, 1, 1))</f>
        <v/>
      </c>
      <c r="J648" s="262" t="str">
        <f ca="1">IF(OFFSET('IWP29'!BackgroundChecks, 5, 10, 1, 1) = 0, "", OFFSET('IWP29'!BackgroundChecks, 5, 10, 1, 1))</f>
        <v/>
      </c>
      <c r="K648" s="262" t="str">
        <f ca="1">IF(OFFSET('IWP29'!BackgroundChecks, 5, 11, 1, 1) = 0, "", OFFSET('IWP29'!BackgroundChecks, 5, 11, 1, 1))</f>
        <v/>
      </c>
      <c r="L648" s="262" t="str">
        <f ca="1">IF(OFFSET('IWP29'!BackgroundChecks, 5, 12, 1, 1) = 0, "", OFFSET('IWP29'!BackgroundChecks, 5, 12, 1, 1))</f>
        <v/>
      </c>
      <c r="M648" s="262" t="str">
        <f ca="1">IF(OFFSET('IWP29'!BackgroundChecks, 5, 13, 1, 1) = 0, "", OFFSET('IWP29'!BackgroundChecks, 5, 13, 1, 1))</f>
        <v/>
      </c>
      <c r="N648" s="261"/>
    </row>
    <row r="649" spans="1:14" s="146" customFormat="1">
      <c r="A649" s="257" t="s">
        <v>527</v>
      </c>
      <c r="B649" s="262" t="str">
        <f ca="1">IF(OFFSET('IWP29'!BackgroundChecks, 6, 0, 1, 1) = 0, "", OFFSET('IWP29'!BackgroundChecks, 6, 0, 1, 1))</f>
        <v/>
      </c>
      <c r="C649" s="262" t="str">
        <f ca="1">IF(OFFSET('IWP29'!BackgroundChecks, 6, 2, 1, 1) = 0, "", OFFSET('IWP29'!BackgroundChecks, 6, 2, 1, 1))</f>
        <v/>
      </c>
      <c r="D649" s="262" t="str">
        <f ca="1">IF(OFFSET('IWP29'!BackgroundChecks, 6, 4, 1, 1) = 0, "", OFFSET('IWP29'!BackgroundChecks, 6, 4, 1, 1))</f>
        <v/>
      </c>
      <c r="E649" s="254">
        <f ca="1">IF(OFFSET('IWP29'!BackgroundChecks, 6, 5, 1, 1)=DATE(1900,1,0), DATE(1900,1,1), OFFSET('IWP29'!BackgroundChecks, 6, 5, 1, 1))</f>
        <v>1</v>
      </c>
      <c r="F649" s="262" t="str">
        <f ca="1">IF(OFFSET('IWP29'!BackgroundChecks, 6, 6, 1, 1) = 0, "", OFFSET('IWP29'!BackgroundChecks, 6, 6, 1, 1))</f>
        <v/>
      </c>
      <c r="G649" s="254">
        <f ca="1">IF(OFFSET('IWP29'!BackgroundChecks, 6, 7, 1, 1)=DATE(1900,1,0), DATE(1900,1,1), OFFSET('IWP29'!BackgroundChecks, 6, 7, 1, 1))</f>
        <v>1</v>
      </c>
      <c r="H649" s="254">
        <f ca="1">IF(OFFSET('IWP29'!BackgroundChecks, 6, 8, 1, 1)=DATE(1900,1,0), DATE(1900,1,1), OFFSET('IWP29'!BackgroundChecks, 6, 8, 1, 1))</f>
        <v>1</v>
      </c>
      <c r="I649" s="262" t="str">
        <f ca="1">IF(OFFSET('IWP29'!BackgroundChecks, 6, 9, 1, 1) = 0, "", OFFSET('IWP29'!BackgroundChecks, 6, 9, 1, 1))</f>
        <v/>
      </c>
      <c r="J649" s="262" t="str">
        <f ca="1">IF(OFFSET('IWP29'!BackgroundChecks, 6, 10, 1, 1) = 0, "", OFFSET('IWP29'!BackgroundChecks, 6, 10, 1, 1))</f>
        <v/>
      </c>
      <c r="K649" s="262" t="str">
        <f ca="1">IF(OFFSET('IWP29'!BackgroundChecks, 6, 11, 1, 1) = 0, "", OFFSET('IWP29'!BackgroundChecks, 6, 11, 1, 1))</f>
        <v/>
      </c>
      <c r="L649" s="262" t="str">
        <f ca="1">IF(OFFSET('IWP29'!BackgroundChecks, 6, 12, 1, 1) = 0, "", OFFSET('IWP29'!BackgroundChecks, 6, 12, 1, 1))</f>
        <v/>
      </c>
      <c r="M649" s="262" t="str">
        <f ca="1">IF(OFFSET('IWP29'!BackgroundChecks, 6, 13, 1, 1) = 0, "", OFFSET('IWP29'!BackgroundChecks, 6, 13, 1, 1))</f>
        <v/>
      </c>
      <c r="N649" s="261"/>
    </row>
    <row r="650" spans="1:14" s="146" customFormat="1">
      <c r="A650" s="257" t="s">
        <v>527</v>
      </c>
      <c r="B650" s="262" t="str">
        <f ca="1">IF(OFFSET('IWP29'!BackgroundChecks, 7, 0, 1, 1) = 0, "", OFFSET('IWP29'!BackgroundChecks, 7, 0, 1, 1))</f>
        <v/>
      </c>
      <c r="C650" s="262" t="str">
        <f ca="1">IF(OFFSET('IWP29'!BackgroundChecks, 7, 2, 1, 1) = 0, "", OFFSET('IWP29'!BackgroundChecks, 7, 2, 1, 1))</f>
        <v/>
      </c>
      <c r="D650" s="262" t="str">
        <f ca="1">IF(OFFSET('IWP29'!BackgroundChecks, 7, 4, 1, 1) = 0, "", OFFSET('IWP29'!BackgroundChecks, 7, 4, 1, 1))</f>
        <v/>
      </c>
      <c r="E650" s="254">
        <f ca="1">IF(OFFSET('IWP29'!BackgroundChecks, 7, 5, 1, 1)=DATE(1900,1,0), DATE(1900,1,1), OFFSET('IWP29'!BackgroundChecks, 7, 5, 1, 1))</f>
        <v>1</v>
      </c>
      <c r="F650" s="262" t="str">
        <f ca="1">IF(OFFSET('IWP29'!BackgroundChecks, 7, 6, 1, 1) = 0, "", OFFSET('IWP29'!BackgroundChecks, 7, 6, 1, 1))</f>
        <v/>
      </c>
      <c r="G650" s="254">
        <f ca="1">IF(OFFSET('IWP29'!BackgroundChecks, 7, 7, 1, 1)=DATE(1900,1,0), DATE(1900,1,1), OFFSET('IWP29'!BackgroundChecks, 7, 7, 1, 1))</f>
        <v>1</v>
      </c>
      <c r="H650" s="254">
        <f ca="1">IF(OFFSET('IWP29'!BackgroundChecks, 7, 8, 1, 1)=DATE(1900,1,0), DATE(1900,1,1), OFFSET('IWP29'!BackgroundChecks, 7, 8, 1, 1))</f>
        <v>1</v>
      </c>
      <c r="I650" s="262" t="str">
        <f ca="1">IF(OFFSET('IWP29'!BackgroundChecks, 7, 9, 1, 1) = 0, "", OFFSET('IWP29'!BackgroundChecks, 7, 9, 1, 1))</f>
        <v/>
      </c>
      <c r="J650" s="262" t="str">
        <f ca="1">IF(OFFSET('IWP29'!BackgroundChecks, 7, 10, 1, 1) = 0, "", OFFSET('IWP29'!BackgroundChecks, 7, 10, 1, 1))</f>
        <v/>
      </c>
      <c r="K650" s="262" t="str">
        <f ca="1">IF(OFFSET('IWP29'!BackgroundChecks, 7, 11, 1, 1) = 0, "", OFFSET('IWP29'!BackgroundChecks, 7, 11, 1, 1))</f>
        <v/>
      </c>
      <c r="L650" s="262" t="str">
        <f ca="1">IF(OFFSET('IWP29'!BackgroundChecks, 7, 12, 1, 1) = 0, "", OFFSET('IWP29'!BackgroundChecks, 7, 12, 1, 1))</f>
        <v/>
      </c>
      <c r="M650" s="262" t="str">
        <f ca="1">IF(OFFSET('IWP29'!BackgroundChecks, 7, 13, 1, 1) = 0, "", OFFSET('IWP29'!BackgroundChecks, 7, 13, 1, 1))</f>
        <v/>
      </c>
      <c r="N650" s="261"/>
    </row>
    <row r="651" spans="1:14" s="146" customFormat="1">
      <c r="A651" s="257" t="s">
        <v>527</v>
      </c>
      <c r="B651" s="262" t="str">
        <f ca="1">IF(OFFSET('IWP29'!BackgroundChecks, 8, 0, 1, 1) = 0, "", OFFSET('IWP29'!BackgroundChecks, 8, 0, 1, 1))</f>
        <v/>
      </c>
      <c r="C651" s="262" t="str">
        <f ca="1">IF(OFFSET('IWP29'!BackgroundChecks, 8, 2, 1, 1) = 0, "", OFFSET('IWP29'!BackgroundChecks, 8, 2, 1, 1))</f>
        <v/>
      </c>
      <c r="D651" s="262" t="str">
        <f ca="1">IF(OFFSET('IWP29'!BackgroundChecks, 8, 4, 1, 1) = 0, "", OFFSET('IWP29'!BackgroundChecks, 8, 4, 1, 1))</f>
        <v/>
      </c>
      <c r="E651" s="254">
        <f ca="1">IF(OFFSET('IWP29'!BackgroundChecks, 8, 5, 1, 1)=DATE(1900,1,0), DATE(1900,1,1), OFFSET('IWP29'!BackgroundChecks, 8, 5, 1, 1))</f>
        <v>1</v>
      </c>
      <c r="F651" s="262" t="str">
        <f ca="1">IF(OFFSET('IWP29'!BackgroundChecks, 8, 6, 1, 1) = 0, "", OFFSET('IWP29'!BackgroundChecks, 8, 6, 1, 1))</f>
        <v/>
      </c>
      <c r="G651" s="254">
        <f ca="1">IF(OFFSET('IWP29'!BackgroundChecks, 8, 7, 1, 1)=DATE(1900,1,0), DATE(1900,1,1), OFFSET('IWP29'!BackgroundChecks, 8, 7, 1, 1))</f>
        <v>1</v>
      </c>
      <c r="H651" s="254">
        <f ca="1">IF(OFFSET('IWP29'!BackgroundChecks, 8, 8, 1, 1)=DATE(1900,1,0), DATE(1900,1,1), OFFSET('IWP29'!BackgroundChecks, 8, 8, 1, 1))</f>
        <v>1</v>
      </c>
      <c r="I651" s="262" t="str">
        <f ca="1">IF(OFFSET('IWP29'!BackgroundChecks, 8, 9, 1, 1) = 0, "", OFFSET('IWP29'!BackgroundChecks, 8, 9, 1, 1))</f>
        <v/>
      </c>
      <c r="J651" s="262" t="str">
        <f ca="1">IF(OFFSET('IWP29'!BackgroundChecks, 8, 10, 1, 1) = 0, "", OFFSET('IWP29'!BackgroundChecks, 8, 10, 1, 1))</f>
        <v/>
      </c>
      <c r="K651" s="262" t="str">
        <f ca="1">IF(OFFSET('IWP29'!BackgroundChecks, 8, 11, 1, 1) = 0, "", OFFSET('IWP29'!BackgroundChecks, 8, 11, 1, 1))</f>
        <v/>
      </c>
      <c r="L651" s="262" t="str">
        <f ca="1">IF(OFFSET('IWP29'!BackgroundChecks, 8, 12, 1, 1) = 0, "", OFFSET('IWP29'!BackgroundChecks, 8, 12, 1, 1))</f>
        <v/>
      </c>
      <c r="M651" s="262" t="str">
        <f ca="1">IF(OFFSET('IWP29'!BackgroundChecks, 8, 13, 1, 1) = 0, "", OFFSET('IWP29'!BackgroundChecks, 8, 13, 1, 1))</f>
        <v/>
      </c>
      <c r="N651" s="261"/>
    </row>
    <row r="652" spans="1:14" s="146" customFormat="1">
      <c r="A652" s="257" t="s">
        <v>527</v>
      </c>
      <c r="B652" s="262" t="str">
        <f ca="1">IF(OFFSET('IWP29'!BackgroundChecks, 9, 0, 1, 1) = 0, "", OFFSET('IWP29'!BackgroundChecks, 9, 0, 1, 1))</f>
        <v/>
      </c>
      <c r="C652" s="262" t="str">
        <f ca="1">IF(OFFSET('IWP29'!BackgroundChecks, 9, 2, 1, 1) = 0, "", OFFSET('IWP29'!BackgroundChecks, 9, 2, 1, 1))</f>
        <v/>
      </c>
      <c r="D652" s="262" t="str">
        <f ca="1">IF(OFFSET('IWP29'!BackgroundChecks, 9, 4, 1, 1) = 0, "", OFFSET('IWP29'!BackgroundChecks, 9, 4, 1, 1))</f>
        <v/>
      </c>
      <c r="E652" s="254">
        <f ca="1">IF(OFFSET('IWP29'!BackgroundChecks, 9, 5, 1, 1)=DATE(1900,1,0), DATE(1900,1,1), OFFSET('IWP29'!BackgroundChecks, 9, 5, 1, 1))</f>
        <v>1</v>
      </c>
      <c r="F652" s="262" t="str">
        <f ca="1">IF(OFFSET('IWP29'!BackgroundChecks, 9, 6, 1, 1) = 0, "", OFFSET('IWP29'!BackgroundChecks, 9, 6, 1, 1))</f>
        <v/>
      </c>
      <c r="G652" s="254">
        <f ca="1">IF(OFFSET('IWP29'!BackgroundChecks, 9, 7, 1, 1)=DATE(1900,1,0), DATE(1900,1,1), OFFSET('IWP29'!BackgroundChecks, 9, 7, 1, 1))</f>
        <v>1</v>
      </c>
      <c r="H652" s="254">
        <f ca="1">IF(OFFSET('IWP29'!BackgroundChecks, 9, 8, 1, 1)=DATE(1900,1,0), DATE(1900,1,1), OFFSET('IWP29'!BackgroundChecks, 9, 8, 1, 1))</f>
        <v>1</v>
      </c>
      <c r="I652" s="262" t="str">
        <f ca="1">IF(OFFSET('IWP29'!BackgroundChecks, 9, 9, 1, 1) = 0, "", OFFSET('IWP29'!BackgroundChecks, 9, 9, 1, 1))</f>
        <v/>
      </c>
      <c r="J652" s="262" t="str">
        <f ca="1">IF(OFFSET('IWP29'!BackgroundChecks, 9, 10, 1, 1) = 0, "", OFFSET('IWP29'!BackgroundChecks, 9, 10, 1, 1))</f>
        <v/>
      </c>
      <c r="K652" s="262" t="str">
        <f ca="1">IF(OFFSET('IWP29'!BackgroundChecks, 9, 11, 1, 1) = 0, "", OFFSET('IWP29'!BackgroundChecks, 9, 11, 1, 1))</f>
        <v/>
      </c>
      <c r="L652" s="262" t="str">
        <f ca="1">IF(OFFSET('IWP29'!BackgroundChecks, 9, 12, 1, 1) = 0, "", OFFSET('IWP29'!BackgroundChecks, 9, 12, 1, 1))</f>
        <v/>
      </c>
      <c r="M652" s="262" t="str">
        <f ca="1">IF(OFFSET('IWP29'!BackgroundChecks, 9, 13, 1, 1) = 0, "", OFFSET('IWP29'!BackgroundChecks, 9, 13, 1, 1))</f>
        <v/>
      </c>
      <c r="N652" s="261"/>
    </row>
    <row r="653" spans="1:14" s="146" customFormat="1">
      <c r="A653" s="257" t="s">
        <v>527</v>
      </c>
      <c r="B653" s="262" t="str">
        <f ca="1">IF(OFFSET('IWP29'!BackgroundChecks, 10, 0, 1, 1) = 0, "", OFFSET('IWP29'!BackgroundChecks, 10, 0, 1, 1))</f>
        <v/>
      </c>
      <c r="C653" s="262" t="str">
        <f ca="1">IF(OFFSET('IWP29'!BackgroundChecks, 10, 2, 1, 1) = 0, "", OFFSET('IWP29'!BackgroundChecks, 10, 2, 1, 1))</f>
        <v/>
      </c>
      <c r="D653" s="262" t="str">
        <f ca="1">IF(OFFSET('IWP29'!BackgroundChecks, 10, 4, 1, 1) = 0, "", OFFSET('IWP29'!BackgroundChecks, 10, 4, 1, 1))</f>
        <v/>
      </c>
      <c r="E653" s="254">
        <f ca="1">IF(OFFSET('IWP29'!BackgroundChecks, 10, 5, 1, 1)=DATE(1900,1,0), DATE(1900,1,1), OFFSET('IWP29'!BackgroundChecks, 10, 5, 1, 1))</f>
        <v>1</v>
      </c>
      <c r="F653" s="262" t="str">
        <f ca="1">IF(OFFSET('IWP29'!BackgroundChecks, 10, 6, 1, 1) = 0, "", OFFSET('IWP29'!BackgroundChecks, 10, 6, 1, 1))</f>
        <v/>
      </c>
      <c r="G653" s="254">
        <f ca="1">IF(OFFSET('IWP29'!BackgroundChecks, 10, 7, 1, 1)=DATE(1900,1,0), DATE(1900,1,1), OFFSET('IWP29'!BackgroundChecks, 10, 7, 1, 1))</f>
        <v>1</v>
      </c>
      <c r="H653" s="254">
        <f ca="1">IF(OFFSET('IWP29'!BackgroundChecks, 10, 8, 1, 1)=DATE(1900,1,0), DATE(1900,1,1), OFFSET('IWP29'!BackgroundChecks, 10, 8, 1, 1))</f>
        <v>1</v>
      </c>
      <c r="I653" s="262" t="str">
        <f ca="1">IF(OFFSET('IWP29'!BackgroundChecks, 10, 9, 1, 1) = 0, "", OFFSET('IWP29'!BackgroundChecks, 10, 9, 1, 1))</f>
        <v/>
      </c>
      <c r="J653" s="262" t="str">
        <f ca="1">IF(OFFSET('IWP29'!BackgroundChecks, 10, 10, 1, 1) = 0, "", OFFSET('IWP29'!BackgroundChecks, 10, 10, 1, 1))</f>
        <v/>
      </c>
      <c r="K653" s="262" t="str">
        <f ca="1">IF(OFFSET('IWP29'!BackgroundChecks, 10, 11, 1, 1) = 0, "", OFFSET('IWP29'!BackgroundChecks, 10, 11, 1, 1))</f>
        <v/>
      </c>
      <c r="L653" s="262" t="str">
        <f ca="1">IF(OFFSET('IWP29'!BackgroundChecks, 10, 12, 1, 1) = 0, "", OFFSET('IWP29'!BackgroundChecks, 10, 12, 1, 1))</f>
        <v/>
      </c>
      <c r="M653" s="262" t="str">
        <f ca="1">IF(OFFSET('IWP29'!BackgroundChecks, 10, 13, 1, 1) = 0, "", OFFSET('IWP29'!BackgroundChecks, 10, 13, 1, 1))</f>
        <v/>
      </c>
      <c r="N653" s="261"/>
    </row>
    <row r="654" spans="1:14" s="146" customFormat="1">
      <c r="A654" s="257" t="s">
        <v>527</v>
      </c>
      <c r="B654" s="262" t="str">
        <f ca="1">IF(OFFSET('IWP29'!BackgroundChecks, 11, 0, 1, 1) = 0, "", OFFSET('IWP29'!BackgroundChecks, 11, 0, 1, 1))</f>
        <v/>
      </c>
      <c r="C654" s="262" t="str">
        <f ca="1">IF(OFFSET('IWP29'!BackgroundChecks, 11, 2, 1, 1) = 0, "", OFFSET('IWP29'!BackgroundChecks, 11, 2, 1, 1))</f>
        <v/>
      </c>
      <c r="D654" s="262" t="str">
        <f ca="1">IF(OFFSET('IWP29'!BackgroundChecks, 11, 4, 1, 1) = 0, "", OFFSET('IWP29'!BackgroundChecks, 11, 4, 1, 1))</f>
        <v/>
      </c>
      <c r="E654" s="254">
        <f ca="1">IF(OFFSET('IWP29'!BackgroundChecks, 11, 5, 1, 1)=DATE(1900,1,0), DATE(1900,1,1), OFFSET('IWP29'!BackgroundChecks, 11, 5, 1, 1))</f>
        <v>1</v>
      </c>
      <c r="F654" s="262" t="str">
        <f ca="1">IF(OFFSET('IWP29'!BackgroundChecks, 11, 6, 1, 1) = 0, "", OFFSET('IWP29'!BackgroundChecks, 11, 6, 1, 1))</f>
        <v/>
      </c>
      <c r="G654" s="254">
        <f ca="1">IF(OFFSET('IWP29'!BackgroundChecks, 11, 7, 1, 1)=DATE(1900,1,0), DATE(1900,1,1), OFFSET('IWP29'!BackgroundChecks, 11, 7, 1, 1))</f>
        <v>1</v>
      </c>
      <c r="H654" s="254">
        <f ca="1">IF(OFFSET('IWP29'!BackgroundChecks, 11, 8, 1, 1)=DATE(1900,1,0), DATE(1900,1,1), OFFSET('IWP29'!BackgroundChecks, 11, 8, 1, 1))</f>
        <v>1</v>
      </c>
      <c r="I654" s="262" t="str">
        <f ca="1">IF(OFFSET('IWP29'!BackgroundChecks, 11, 9, 1, 1) = 0, "", OFFSET('IWP29'!BackgroundChecks, 11, 9, 1, 1))</f>
        <v/>
      </c>
      <c r="J654" s="262" t="str">
        <f ca="1">IF(OFFSET('IWP29'!BackgroundChecks, 11, 10, 1, 1) = 0, "", OFFSET('IWP29'!BackgroundChecks, 11, 10, 1, 1))</f>
        <v/>
      </c>
      <c r="K654" s="262" t="str">
        <f ca="1">IF(OFFSET('IWP29'!BackgroundChecks, 11, 11, 1, 1) = 0, "", OFFSET('IWP29'!BackgroundChecks, 11, 11, 1, 1))</f>
        <v/>
      </c>
      <c r="L654" s="262" t="str">
        <f ca="1">IF(OFFSET('IWP29'!BackgroundChecks, 11, 12, 1, 1) = 0, "", OFFSET('IWP29'!BackgroundChecks, 11, 12, 1, 1))</f>
        <v/>
      </c>
      <c r="M654" s="262" t="str">
        <f ca="1">IF(OFFSET('IWP29'!BackgroundChecks, 11, 13, 1, 1) = 0, "", OFFSET('IWP29'!BackgroundChecks, 11, 13, 1, 1))</f>
        <v/>
      </c>
      <c r="N654" s="261"/>
    </row>
    <row r="655" spans="1:14" s="146" customFormat="1">
      <c r="A655" s="257" t="s">
        <v>527</v>
      </c>
      <c r="B655" s="262" t="str">
        <f ca="1">IF(OFFSET('IWP29'!BackgroundChecks, 12, 0, 1, 1) = 0, "", OFFSET('IWP29'!BackgroundChecks, 12, 0, 1, 1))</f>
        <v/>
      </c>
      <c r="C655" s="262" t="str">
        <f ca="1">IF(OFFSET('IWP29'!BackgroundChecks, 12, 2, 1, 1) = 0, "", OFFSET('IWP29'!BackgroundChecks, 12, 2, 1, 1))</f>
        <v/>
      </c>
      <c r="D655" s="262" t="str">
        <f ca="1">IF(OFFSET('IWP29'!BackgroundChecks, 12, 4, 1, 1) = 0, "", OFFSET('IWP29'!BackgroundChecks, 12, 4, 1, 1))</f>
        <v/>
      </c>
      <c r="E655" s="254">
        <f ca="1">IF(OFFSET('IWP29'!BackgroundChecks, 12, 5, 1, 1)=DATE(1900,1,0), DATE(1900,1,1), OFFSET('IWP29'!BackgroundChecks, 12, 5, 1, 1))</f>
        <v>1</v>
      </c>
      <c r="F655" s="262" t="str">
        <f ca="1">IF(OFFSET('IWP29'!BackgroundChecks, 12, 6, 1, 1) = 0, "", OFFSET('IWP29'!BackgroundChecks, 12, 6, 1, 1))</f>
        <v/>
      </c>
      <c r="G655" s="254">
        <f ca="1">IF(OFFSET('IWP29'!BackgroundChecks, 12, 7, 1, 1)=DATE(1900,1,0), DATE(1900,1,1), OFFSET('IWP29'!BackgroundChecks, 12, 7, 1, 1))</f>
        <v>1</v>
      </c>
      <c r="H655" s="254">
        <f ca="1">IF(OFFSET('IWP29'!BackgroundChecks, 12, 8, 1, 1)=DATE(1900,1,0), DATE(1900,1,1), OFFSET('IWP29'!BackgroundChecks, 12, 8, 1, 1))</f>
        <v>1</v>
      </c>
      <c r="I655" s="262" t="str">
        <f ca="1">IF(OFFSET('IWP29'!BackgroundChecks, 12, 9, 1, 1) = 0, "", OFFSET('IWP29'!BackgroundChecks, 12, 9, 1, 1))</f>
        <v/>
      </c>
      <c r="J655" s="262" t="str">
        <f ca="1">IF(OFFSET('IWP29'!BackgroundChecks, 12, 10, 1, 1) = 0, "", OFFSET('IWP29'!BackgroundChecks, 12, 10, 1, 1))</f>
        <v/>
      </c>
      <c r="K655" s="262" t="str">
        <f ca="1">IF(OFFSET('IWP29'!BackgroundChecks, 12, 11, 1, 1) = 0, "", OFFSET('IWP29'!BackgroundChecks, 12, 11, 1, 1))</f>
        <v/>
      </c>
      <c r="L655" s="262" t="str">
        <f ca="1">IF(OFFSET('IWP29'!BackgroundChecks, 12, 12, 1, 1) = 0, "", OFFSET('IWP29'!BackgroundChecks, 12, 12, 1, 1))</f>
        <v/>
      </c>
      <c r="M655" s="262" t="str">
        <f ca="1">IF(OFFSET('IWP29'!BackgroundChecks, 12, 13, 1, 1) = 0, "", OFFSET('IWP29'!BackgroundChecks, 12, 13, 1, 1))</f>
        <v/>
      </c>
      <c r="N655" s="261"/>
    </row>
    <row r="656" spans="1:14" s="146" customFormat="1">
      <c r="A656" s="257" t="s">
        <v>527</v>
      </c>
      <c r="B656" s="262" t="str">
        <f ca="1">IF(OFFSET('IWP29'!BackgroundChecks, 13, 0, 1, 1) = 0, "", OFFSET('IWP29'!BackgroundChecks, 13, 0, 1, 1))</f>
        <v/>
      </c>
      <c r="C656" s="262" t="str">
        <f ca="1">IF(OFFSET('IWP29'!BackgroundChecks, 13, 2, 1, 1) = 0, "", OFFSET('IWP29'!BackgroundChecks, 13, 2, 1, 1))</f>
        <v/>
      </c>
      <c r="D656" s="262" t="str">
        <f ca="1">IF(OFFSET('IWP29'!BackgroundChecks, 13, 4, 1, 1) = 0, "", OFFSET('IWP29'!BackgroundChecks, 13, 4, 1, 1))</f>
        <v/>
      </c>
      <c r="E656" s="254">
        <f ca="1">IF(OFFSET('IWP29'!BackgroundChecks, 13, 5, 1, 1)=DATE(1900,1,0), DATE(1900,1,1), OFFSET('IWP29'!BackgroundChecks, 13, 5, 1, 1))</f>
        <v>1</v>
      </c>
      <c r="F656" s="262" t="str">
        <f ca="1">IF(OFFSET('IWP29'!BackgroundChecks, 13, 6, 1, 1) = 0, "", OFFSET('IWP29'!BackgroundChecks, 13, 6, 1, 1))</f>
        <v/>
      </c>
      <c r="G656" s="254">
        <f ca="1">IF(OFFSET('IWP29'!BackgroundChecks, 13, 7, 1, 1)=DATE(1900,1,0), DATE(1900,1,1), OFFSET('IWP29'!BackgroundChecks, 13, 7, 1, 1))</f>
        <v>1</v>
      </c>
      <c r="H656" s="254">
        <f ca="1">IF(OFFSET('IWP29'!BackgroundChecks, 13, 8, 1, 1)=DATE(1900,1,0), DATE(1900,1,1), OFFSET('IWP29'!BackgroundChecks, 13, 8, 1, 1))</f>
        <v>1</v>
      </c>
      <c r="I656" s="262" t="str">
        <f ca="1">IF(OFFSET('IWP29'!BackgroundChecks, 13, 9, 1, 1) = 0, "", OFFSET('IWP29'!BackgroundChecks, 13, 9, 1, 1))</f>
        <v/>
      </c>
      <c r="J656" s="262" t="str">
        <f ca="1">IF(OFFSET('IWP29'!BackgroundChecks, 13, 10, 1, 1) = 0, "", OFFSET('IWP29'!BackgroundChecks, 13, 10, 1, 1))</f>
        <v/>
      </c>
      <c r="K656" s="262" t="str">
        <f ca="1">IF(OFFSET('IWP29'!BackgroundChecks, 13, 11, 1, 1) = 0, "", OFFSET('IWP29'!BackgroundChecks, 13, 11, 1, 1))</f>
        <v/>
      </c>
      <c r="L656" s="262" t="str">
        <f ca="1">IF(OFFSET('IWP29'!BackgroundChecks, 13, 12, 1, 1) = 0, "", OFFSET('IWP29'!BackgroundChecks, 13, 12, 1, 1))</f>
        <v/>
      </c>
      <c r="M656" s="262" t="str">
        <f ca="1">IF(OFFSET('IWP29'!BackgroundChecks, 13, 13, 1, 1) = 0, "", OFFSET('IWP29'!BackgroundChecks, 13, 13, 1, 1))</f>
        <v/>
      </c>
      <c r="N656" s="261"/>
    </row>
    <row r="657" spans="1:14" s="146" customFormat="1">
      <c r="A657" s="257" t="s">
        <v>527</v>
      </c>
      <c r="B657" s="262" t="str">
        <f ca="1">IF(OFFSET('IWP29'!BackgroundChecks, 14, 0, 1, 1) = 0, "", OFFSET('IWP29'!BackgroundChecks, 14, 0, 1, 1))</f>
        <v/>
      </c>
      <c r="C657" s="262" t="str">
        <f ca="1">IF(OFFSET('IWP29'!BackgroundChecks, 14, 2, 1, 1) = 0, "", OFFSET('IWP29'!BackgroundChecks, 14, 2, 1, 1))</f>
        <v/>
      </c>
      <c r="D657" s="262" t="str">
        <f ca="1">IF(OFFSET('IWP29'!BackgroundChecks, 14, 4, 1, 1) = 0, "", OFFSET('IWP29'!BackgroundChecks, 14, 4, 1, 1))</f>
        <v/>
      </c>
      <c r="E657" s="254">
        <f ca="1">IF(OFFSET('IWP29'!BackgroundChecks, 14, 5, 1, 1)=DATE(1900,1,0), DATE(1900,1,1), OFFSET('IWP29'!BackgroundChecks, 14, 5, 1, 1))</f>
        <v>1</v>
      </c>
      <c r="F657" s="262" t="str">
        <f ca="1">IF(OFFSET('IWP29'!BackgroundChecks, 14, 6, 1, 1) = 0, "", OFFSET('IWP29'!BackgroundChecks, 14, 6, 1, 1))</f>
        <v/>
      </c>
      <c r="G657" s="254">
        <f ca="1">IF(OFFSET('IWP29'!BackgroundChecks, 14, 7, 1, 1)=DATE(1900,1,0), DATE(1900,1,1), OFFSET('IWP29'!BackgroundChecks, 14, 7, 1, 1))</f>
        <v>1</v>
      </c>
      <c r="H657" s="254">
        <f ca="1">IF(OFFSET('IWP29'!BackgroundChecks, 14, 8, 1, 1)=DATE(1900,1,0), DATE(1900,1,1), OFFSET('IWP29'!BackgroundChecks, 14, 8, 1, 1))</f>
        <v>1</v>
      </c>
      <c r="I657" s="262" t="str">
        <f ca="1">IF(OFFSET('IWP29'!BackgroundChecks, 14, 9, 1, 1) = 0, "", OFFSET('IWP29'!BackgroundChecks, 14, 9, 1, 1))</f>
        <v/>
      </c>
      <c r="J657" s="262" t="str">
        <f ca="1">IF(OFFSET('IWP29'!BackgroundChecks, 14, 10, 1, 1) = 0, "", OFFSET('IWP29'!BackgroundChecks, 14, 10, 1, 1))</f>
        <v/>
      </c>
      <c r="K657" s="262" t="str">
        <f ca="1">IF(OFFSET('IWP29'!BackgroundChecks, 14, 11, 1, 1) = 0, "", OFFSET('IWP29'!BackgroundChecks, 14, 11, 1, 1))</f>
        <v/>
      </c>
      <c r="L657" s="262" t="str">
        <f ca="1">IF(OFFSET('IWP29'!BackgroundChecks, 14, 12, 1, 1) = 0, "", OFFSET('IWP29'!BackgroundChecks, 14, 12, 1, 1))</f>
        <v/>
      </c>
      <c r="M657" s="262" t="str">
        <f ca="1">IF(OFFSET('IWP29'!BackgroundChecks, 14, 13, 1, 1) = 0, "", OFFSET('IWP29'!BackgroundChecks, 14, 13, 1, 1))</f>
        <v/>
      </c>
      <c r="N657" s="261"/>
    </row>
    <row r="658" spans="1:14" s="146" customFormat="1">
      <c r="A658" s="257" t="s">
        <v>527</v>
      </c>
      <c r="B658" s="262" t="str">
        <f ca="1">IF(OFFSET('IWP29'!BackgroundChecks, 15, 0, 1, 1) = 0, "", OFFSET('IWP29'!BackgroundChecks, 15, 0, 1, 1))</f>
        <v/>
      </c>
      <c r="C658" s="262" t="str">
        <f ca="1">IF(OFFSET('IWP29'!BackgroundChecks, 15, 2, 1, 1) = 0, "", OFFSET('IWP29'!BackgroundChecks, 15, 2, 1, 1))</f>
        <v/>
      </c>
      <c r="D658" s="262" t="str">
        <f ca="1">IF(OFFSET('IWP29'!BackgroundChecks, 15, 4, 1, 1) = 0, "", OFFSET('IWP29'!BackgroundChecks, 15, 4, 1, 1))</f>
        <v/>
      </c>
      <c r="E658" s="254">
        <f ca="1">IF(OFFSET('IWP29'!BackgroundChecks, 15, 5, 1, 1)=DATE(1900,1,0), DATE(1900,1,1), OFFSET('IWP29'!BackgroundChecks, 15, 5, 1, 1))</f>
        <v>1</v>
      </c>
      <c r="F658" s="262" t="str">
        <f ca="1">IF(OFFSET('IWP29'!BackgroundChecks, 15, 6, 1, 1) = 0, "", OFFSET('IWP29'!BackgroundChecks, 15, 6, 1, 1))</f>
        <v/>
      </c>
      <c r="G658" s="254">
        <f ca="1">IF(OFFSET('IWP29'!BackgroundChecks, 15, 7, 1, 1)=DATE(1900,1,0), DATE(1900,1,1), OFFSET('IWP29'!BackgroundChecks, 15, 7, 1, 1))</f>
        <v>1</v>
      </c>
      <c r="H658" s="254">
        <f ca="1">IF(OFFSET('IWP29'!BackgroundChecks, 15, 8, 1, 1)=DATE(1900,1,0), DATE(1900,1,1), OFFSET('IWP29'!BackgroundChecks, 15, 8, 1, 1))</f>
        <v>1</v>
      </c>
      <c r="I658" s="262" t="str">
        <f ca="1">IF(OFFSET('IWP29'!BackgroundChecks, 15, 9, 1, 1) = 0, "", OFFSET('IWP29'!BackgroundChecks, 15, 9, 1, 1))</f>
        <v/>
      </c>
      <c r="J658" s="262" t="str">
        <f ca="1">IF(OFFSET('IWP29'!BackgroundChecks, 15, 10, 1, 1) = 0, "", OFFSET('IWP29'!BackgroundChecks, 15, 10, 1, 1))</f>
        <v/>
      </c>
      <c r="K658" s="262" t="str">
        <f ca="1">IF(OFFSET('IWP29'!BackgroundChecks, 15, 11, 1, 1) = 0, "", OFFSET('IWP29'!BackgroundChecks, 15, 11, 1, 1))</f>
        <v/>
      </c>
      <c r="L658" s="262" t="str">
        <f ca="1">IF(OFFSET('IWP29'!BackgroundChecks, 15, 12, 1, 1) = 0, "", OFFSET('IWP29'!BackgroundChecks, 15, 12, 1, 1))</f>
        <v/>
      </c>
      <c r="M658" s="262" t="str">
        <f ca="1">IF(OFFSET('IWP29'!BackgroundChecks, 15, 13, 1, 1) = 0, "", OFFSET('IWP29'!BackgroundChecks, 15, 13, 1, 1))</f>
        <v/>
      </c>
      <c r="N658" s="261"/>
    </row>
    <row r="659" spans="1:14" s="146" customFormat="1">
      <c r="A659" s="257" t="s">
        <v>527</v>
      </c>
      <c r="B659" s="262" t="str">
        <f ca="1">IF(OFFSET('IWP29'!BackgroundChecks, 16, 0, 1, 1) = 0, "", OFFSET('IWP29'!BackgroundChecks, 16, 0, 1, 1))</f>
        <v/>
      </c>
      <c r="C659" s="262" t="str">
        <f ca="1">IF(OFFSET('IWP29'!BackgroundChecks, 16, 2, 1, 1) = 0, "", OFFSET('IWP29'!BackgroundChecks, 16, 2, 1, 1))</f>
        <v/>
      </c>
      <c r="D659" s="262" t="str">
        <f ca="1">IF(OFFSET('IWP29'!BackgroundChecks, 16, 4, 1, 1) = 0, "", OFFSET('IWP29'!BackgroundChecks, 16, 4, 1, 1))</f>
        <v/>
      </c>
      <c r="E659" s="254">
        <f ca="1">IF(OFFSET('IWP29'!BackgroundChecks, 16, 5, 1, 1)=DATE(1900,1,0), DATE(1900,1,1), OFFSET('IWP29'!BackgroundChecks, 16, 5, 1, 1))</f>
        <v>1</v>
      </c>
      <c r="F659" s="262" t="str">
        <f ca="1">IF(OFFSET('IWP29'!BackgroundChecks, 16, 6, 1, 1) = 0, "", OFFSET('IWP29'!BackgroundChecks, 16, 6, 1, 1))</f>
        <v/>
      </c>
      <c r="G659" s="254">
        <f ca="1">IF(OFFSET('IWP29'!BackgroundChecks, 16, 7, 1, 1)=DATE(1900,1,0), DATE(1900,1,1), OFFSET('IWP29'!BackgroundChecks, 16, 7, 1, 1))</f>
        <v>1</v>
      </c>
      <c r="H659" s="254">
        <f ca="1">IF(OFFSET('IWP29'!BackgroundChecks, 16, 8, 1, 1)=DATE(1900,1,0), DATE(1900,1,1), OFFSET('IWP29'!BackgroundChecks, 16, 8, 1, 1))</f>
        <v>1</v>
      </c>
      <c r="I659" s="262" t="str">
        <f ca="1">IF(OFFSET('IWP29'!BackgroundChecks, 16, 9, 1, 1) = 0, "", OFFSET('IWP29'!BackgroundChecks, 16, 9, 1, 1))</f>
        <v/>
      </c>
      <c r="J659" s="262" t="str">
        <f ca="1">IF(OFFSET('IWP29'!BackgroundChecks, 16, 10, 1, 1) = 0, "", OFFSET('IWP29'!BackgroundChecks, 16, 10, 1, 1))</f>
        <v/>
      </c>
      <c r="K659" s="262" t="str">
        <f ca="1">IF(OFFSET('IWP29'!BackgroundChecks, 16, 11, 1, 1) = 0, "", OFFSET('IWP29'!BackgroundChecks, 16, 11, 1, 1))</f>
        <v/>
      </c>
      <c r="L659" s="262" t="str">
        <f ca="1">IF(OFFSET('IWP29'!BackgroundChecks, 16, 12, 1, 1) = 0, "", OFFSET('IWP29'!BackgroundChecks, 16, 12, 1, 1))</f>
        <v/>
      </c>
      <c r="M659" s="262" t="str">
        <f ca="1">IF(OFFSET('IWP29'!BackgroundChecks, 16, 13, 1, 1) = 0, "", OFFSET('IWP29'!BackgroundChecks, 16, 13, 1, 1))</f>
        <v/>
      </c>
      <c r="N659" s="261"/>
    </row>
    <row r="660" spans="1:14" s="146" customFormat="1">
      <c r="A660" s="257" t="s">
        <v>527</v>
      </c>
      <c r="B660" s="262" t="str">
        <f ca="1">IF(OFFSET('IWP29'!BackgroundChecks, 17, 0, 1, 1) = 0, "", OFFSET('IWP29'!BackgroundChecks, 17, 0, 1, 1))</f>
        <v/>
      </c>
      <c r="C660" s="262" t="str">
        <f ca="1">IF(OFFSET('IWP29'!BackgroundChecks, 17, 2, 1, 1) = 0, "", OFFSET('IWP29'!BackgroundChecks, 17, 2, 1, 1))</f>
        <v/>
      </c>
      <c r="D660" s="262" t="str">
        <f ca="1">IF(OFFSET('IWP29'!BackgroundChecks, 17, 4, 1, 1) = 0, "", OFFSET('IWP29'!BackgroundChecks, 17, 4, 1, 1))</f>
        <v/>
      </c>
      <c r="E660" s="254">
        <f ca="1">IF(OFFSET('IWP29'!BackgroundChecks, 17, 5, 1, 1)=DATE(1900,1,0), DATE(1900,1,1), OFFSET('IWP29'!BackgroundChecks, 17, 5, 1, 1))</f>
        <v>1</v>
      </c>
      <c r="F660" s="262" t="str">
        <f ca="1">IF(OFFSET('IWP29'!BackgroundChecks, 17, 6, 1, 1) = 0, "", OFFSET('IWP29'!BackgroundChecks, 17, 6, 1, 1))</f>
        <v/>
      </c>
      <c r="G660" s="254">
        <f ca="1">IF(OFFSET('IWP29'!BackgroundChecks, 17, 7, 1, 1)=DATE(1900,1,0), DATE(1900,1,1), OFFSET('IWP29'!BackgroundChecks, 17, 7, 1, 1))</f>
        <v>1</v>
      </c>
      <c r="H660" s="254">
        <f ca="1">IF(OFFSET('IWP29'!BackgroundChecks, 17, 8, 1, 1)=DATE(1900,1,0), DATE(1900,1,1), OFFSET('IWP29'!BackgroundChecks, 17, 8, 1, 1))</f>
        <v>1</v>
      </c>
      <c r="I660" s="262" t="str">
        <f ca="1">IF(OFFSET('IWP29'!BackgroundChecks, 17, 9, 1, 1) = 0, "", OFFSET('IWP29'!BackgroundChecks, 17, 9, 1, 1))</f>
        <v/>
      </c>
      <c r="J660" s="262" t="str">
        <f ca="1">IF(OFFSET('IWP29'!BackgroundChecks, 17, 10, 1, 1) = 0, "", OFFSET('IWP29'!BackgroundChecks, 17, 10, 1, 1))</f>
        <v/>
      </c>
      <c r="K660" s="262" t="str">
        <f ca="1">IF(OFFSET('IWP29'!BackgroundChecks, 17, 11, 1, 1) = 0, "", OFFSET('IWP29'!BackgroundChecks, 17, 11, 1, 1))</f>
        <v/>
      </c>
      <c r="L660" s="262" t="str">
        <f ca="1">IF(OFFSET('IWP29'!BackgroundChecks, 17, 12, 1, 1) = 0, "", OFFSET('IWP29'!BackgroundChecks, 17, 12, 1, 1))</f>
        <v/>
      </c>
      <c r="M660" s="262" t="str">
        <f ca="1">IF(OFFSET('IWP29'!BackgroundChecks, 17, 13, 1, 1) = 0, "", OFFSET('IWP29'!BackgroundChecks, 17, 13, 1, 1))</f>
        <v/>
      </c>
      <c r="N660" s="261"/>
    </row>
    <row r="661" spans="1:14" s="146" customFormat="1">
      <c r="A661" s="257" t="s">
        <v>527</v>
      </c>
      <c r="B661" s="262" t="str">
        <f ca="1">IF(OFFSET('IWP29'!BackgroundChecks, 18, 0, 1, 1) = 0, "", OFFSET('IWP29'!BackgroundChecks, 18, 0, 1, 1))</f>
        <v/>
      </c>
      <c r="C661" s="262" t="str">
        <f ca="1">IF(OFFSET('IWP29'!BackgroundChecks, 18, 2, 1, 1) = 0, "", OFFSET('IWP29'!BackgroundChecks, 18, 2, 1, 1))</f>
        <v/>
      </c>
      <c r="D661" s="262" t="str">
        <f ca="1">IF(OFFSET('IWP29'!BackgroundChecks, 18, 4, 1, 1) = 0, "", OFFSET('IWP29'!BackgroundChecks, 18, 4, 1, 1))</f>
        <v/>
      </c>
      <c r="E661" s="254">
        <f ca="1">IF(OFFSET('IWP29'!BackgroundChecks, 18, 5, 1, 1)=DATE(1900,1,0), DATE(1900,1,1), OFFSET('IWP29'!BackgroundChecks, 18, 5, 1, 1))</f>
        <v>1</v>
      </c>
      <c r="F661" s="262" t="str">
        <f ca="1">IF(OFFSET('IWP29'!BackgroundChecks, 18, 6, 1, 1) = 0, "", OFFSET('IWP29'!BackgroundChecks, 18, 6, 1, 1))</f>
        <v/>
      </c>
      <c r="G661" s="254">
        <f ca="1">IF(OFFSET('IWP29'!BackgroundChecks, 18, 7, 1, 1)=DATE(1900,1,0), DATE(1900,1,1), OFFSET('IWP29'!BackgroundChecks, 18, 7, 1, 1))</f>
        <v>1</v>
      </c>
      <c r="H661" s="254">
        <f ca="1">IF(OFFSET('IWP29'!BackgroundChecks, 18, 8, 1, 1)=DATE(1900,1,0), DATE(1900,1,1), OFFSET('IWP29'!BackgroundChecks, 18, 8, 1, 1))</f>
        <v>1</v>
      </c>
      <c r="I661" s="262" t="str">
        <f ca="1">IF(OFFSET('IWP29'!BackgroundChecks, 18, 9, 1, 1) = 0, "", OFFSET('IWP29'!BackgroundChecks, 18, 9, 1, 1))</f>
        <v/>
      </c>
      <c r="J661" s="262" t="str">
        <f ca="1">IF(OFFSET('IWP29'!BackgroundChecks, 18, 10, 1, 1) = 0, "", OFFSET('IWP29'!BackgroundChecks, 18, 10, 1, 1))</f>
        <v/>
      </c>
      <c r="K661" s="262" t="str">
        <f ca="1">IF(OFFSET('IWP29'!BackgroundChecks, 18, 11, 1, 1) = 0, "", OFFSET('IWP29'!BackgroundChecks, 18, 11, 1, 1))</f>
        <v/>
      </c>
      <c r="L661" s="262" t="str">
        <f ca="1">IF(OFFSET('IWP29'!BackgroundChecks, 18, 12, 1, 1) = 0, "", OFFSET('IWP29'!BackgroundChecks, 18, 12, 1, 1))</f>
        <v/>
      </c>
      <c r="M661" s="262" t="str">
        <f ca="1">IF(OFFSET('IWP29'!BackgroundChecks, 18, 13, 1, 1) = 0, "", OFFSET('IWP29'!BackgroundChecks, 18, 13, 1, 1))</f>
        <v/>
      </c>
      <c r="N661" s="261"/>
    </row>
    <row r="662" spans="1:14" s="146" customFormat="1">
      <c r="A662" s="257" t="s">
        <v>527</v>
      </c>
      <c r="B662" s="262" t="str">
        <f ca="1">IF(OFFSET('IWP29'!BackgroundChecks, 19, 0, 1, 1) = 0, "", OFFSET('IWP29'!BackgroundChecks, 19, 0, 1, 1))</f>
        <v/>
      </c>
      <c r="C662" s="262" t="str">
        <f ca="1">IF(OFFSET('IWP29'!BackgroundChecks, 19, 2, 1, 1) = 0, "", OFFSET('IWP29'!BackgroundChecks, 19, 2, 1, 1))</f>
        <v/>
      </c>
      <c r="D662" s="262" t="str">
        <f ca="1">IF(OFFSET('IWP29'!BackgroundChecks, 19, 4, 1, 1) = 0, "", OFFSET('IWP29'!BackgroundChecks, 19, 4, 1, 1))</f>
        <v/>
      </c>
      <c r="E662" s="254">
        <f ca="1">IF(OFFSET('IWP29'!BackgroundChecks, 19, 5, 1, 1)=DATE(1900,1,0), DATE(1900,1,1), OFFSET('IWP29'!BackgroundChecks, 19, 5, 1, 1))</f>
        <v>1</v>
      </c>
      <c r="F662" s="262" t="str">
        <f ca="1">IF(OFFSET('IWP29'!BackgroundChecks, 19, 6, 1, 1) = 0, "", OFFSET('IWP29'!BackgroundChecks, 19, 6, 1, 1))</f>
        <v/>
      </c>
      <c r="G662" s="254">
        <f ca="1">IF(OFFSET('IWP29'!BackgroundChecks, 19, 7, 1, 1)=DATE(1900,1,0), DATE(1900,1,1), OFFSET('IWP29'!BackgroundChecks, 19, 7, 1, 1))</f>
        <v>1</v>
      </c>
      <c r="H662" s="254">
        <f ca="1">IF(OFFSET('IWP29'!BackgroundChecks, 19, 8, 1, 1)=DATE(1900,1,0), DATE(1900,1,1), OFFSET('IWP29'!BackgroundChecks, 19, 8, 1, 1))</f>
        <v>1</v>
      </c>
      <c r="I662" s="262" t="str">
        <f ca="1">IF(OFFSET('IWP29'!BackgroundChecks, 19, 9, 1, 1) = 0, "", OFFSET('IWP29'!BackgroundChecks, 19, 9, 1, 1))</f>
        <v/>
      </c>
      <c r="J662" s="262" t="str">
        <f ca="1">IF(OFFSET('IWP29'!BackgroundChecks, 19, 10, 1, 1) = 0, "", OFFSET('IWP29'!BackgroundChecks, 19, 10, 1, 1))</f>
        <v/>
      </c>
      <c r="K662" s="262" t="str">
        <f ca="1">IF(OFFSET('IWP29'!BackgroundChecks, 19, 11, 1, 1) = 0, "", OFFSET('IWP29'!BackgroundChecks, 19, 11, 1, 1))</f>
        <v/>
      </c>
      <c r="L662" s="262" t="str">
        <f ca="1">IF(OFFSET('IWP29'!BackgroundChecks, 19, 12, 1, 1) = 0, "", OFFSET('IWP29'!BackgroundChecks, 19, 12, 1, 1))</f>
        <v/>
      </c>
      <c r="M662" s="262" t="str">
        <f ca="1">IF(OFFSET('IWP29'!BackgroundChecks, 19, 13, 1, 1) = 0, "", OFFSET('IWP29'!BackgroundChecks, 19, 13, 1, 1))</f>
        <v/>
      </c>
      <c r="N662" s="261"/>
    </row>
    <row r="663" spans="1:14" s="146" customFormat="1">
      <c r="A663" s="257" t="s">
        <v>528</v>
      </c>
      <c r="B663" s="262" t="str">
        <f ca="1">IF(OFFSET('IWP30'!BackgroundChecks, 0, 0, 1, 1) = 0, "", OFFSET('IWP30'!BackgroundChecks, 0, 0, 1, 1))</f>
        <v/>
      </c>
      <c r="C663" s="262" t="str">
        <f ca="1">IF(OFFSET('IWP30'!BackgroundChecks, 0, 2, 1, 1) = 0, "", OFFSET('IWP30'!BackgroundChecks, 0, 2, 1, 1))</f>
        <v/>
      </c>
      <c r="D663" s="262" t="str">
        <f ca="1">IF(OFFSET('IWP30'!BackgroundChecks, 0, 4, 1, 1) = 0, "", OFFSET('IWP30'!BackgroundChecks, 0, 4, 1, 1))</f>
        <v/>
      </c>
      <c r="E663" s="254">
        <f ca="1">IF(OFFSET('IWP30'!BackgroundChecks, 0, 5, 1, 1)=DATE(1900,1,0), DATE(1900,1,1), OFFSET('IWP30'!BackgroundChecks, 0, 5, 1, 1))</f>
        <v>1</v>
      </c>
      <c r="F663" s="262" t="str">
        <f ca="1">IF(OFFSET('IWP30'!BackgroundChecks, 0, 6, 1, 1) = 0, "", OFFSET('IWP30'!BackgroundChecks, 0, 6, 1, 1))</f>
        <v/>
      </c>
      <c r="G663" s="254">
        <f ca="1">IF(OFFSET('IWP30'!BackgroundChecks, 0, 7, 1, 1)=DATE(1900,1,0), DATE(1900,1,1), OFFSET('IWP30'!BackgroundChecks, 0, 7, 1, 1))</f>
        <v>1</v>
      </c>
      <c r="H663" s="254">
        <f ca="1">IF(OFFSET('IWP30'!BackgroundChecks, 0, 8, 1, 1)=DATE(1900,1,0), DATE(1900,1,1), OFFSET('IWP30'!BackgroundChecks, 0, 8, 1, 1))</f>
        <v>1</v>
      </c>
      <c r="I663" s="262" t="str">
        <f ca="1">IF(OFFSET('IWP30'!BackgroundChecks, 0, 9, 1, 1) = 0, "", OFFSET('IWP30'!BackgroundChecks, 0, 9, 1, 1))</f>
        <v/>
      </c>
      <c r="J663" s="262" t="str">
        <f ca="1">IF(OFFSET('IWP30'!BackgroundChecks, 0, 10, 1, 1) = 0, "", OFFSET('IWP30'!BackgroundChecks, 0, 10, 1, 1))</f>
        <v/>
      </c>
      <c r="K663" s="262" t="str">
        <f ca="1">IF(OFFSET('IWP30'!BackgroundChecks, 0, 11, 1, 1) = 0, "", OFFSET('IWP30'!BackgroundChecks, 0, 11, 1, 1))</f>
        <v/>
      </c>
      <c r="L663" s="262" t="str">
        <f ca="1">IF(OFFSET('IWP30'!BackgroundChecks, 0, 12, 1, 1) = 0, "", OFFSET('IWP30'!BackgroundChecks, 0, 12, 1, 1))</f>
        <v/>
      </c>
      <c r="M663" s="262" t="str">
        <f ca="1">IF(OFFSET('IWP30'!BackgroundChecks, 0, 13, 1, 1) = 0, "", OFFSET('IWP30'!BackgroundChecks, 0, 13, 1, 1))</f>
        <v/>
      </c>
      <c r="N663" s="261"/>
    </row>
    <row r="664" spans="1:14" s="146" customFormat="1">
      <c r="A664" s="257" t="s">
        <v>528</v>
      </c>
      <c r="B664" s="262" t="str">
        <f ca="1">IF(OFFSET('IWP30'!BackgroundChecks, 1, 0, 1, 1) = 0, "", OFFSET('IWP30'!BackgroundChecks, 1, 0, 1, 1))</f>
        <v/>
      </c>
      <c r="C664" s="262" t="str">
        <f ca="1">IF(OFFSET('IWP30'!BackgroundChecks, 1, 2, 1, 1) = 0, "", OFFSET('IWP30'!BackgroundChecks, 1, 2, 1, 1))</f>
        <v/>
      </c>
      <c r="D664" s="262" t="str">
        <f ca="1">IF(OFFSET('IWP30'!BackgroundChecks, 1, 4, 1, 1) = 0, "", OFFSET('IWP30'!BackgroundChecks, 1, 4, 1, 1))</f>
        <v/>
      </c>
      <c r="E664" s="254">
        <f ca="1">IF(OFFSET('IWP30'!BackgroundChecks, 1, 5, 1, 1)=DATE(1900,1,0), DATE(1900,1,1), OFFSET('IWP30'!BackgroundChecks, 1, 5, 1, 1))</f>
        <v>1</v>
      </c>
      <c r="F664" s="262" t="str">
        <f ca="1">IF(OFFSET('IWP30'!BackgroundChecks, 1, 6, 1, 1) = 0, "", OFFSET('IWP30'!BackgroundChecks, 1, 6, 1, 1))</f>
        <v/>
      </c>
      <c r="G664" s="254">
        <f ca="1">IF(OFFSET('IWP30'!BackgroundChecks, 1, 7, 1, 1)=DATE(1900,1,0), DATE(1900,1,1), OFFSET('IWP30'!BackgroundChecks, 1, 7, 1, 1))</f>
        <v>1</v>
      </c>
      <c r="H664" s="254">
        <f ca="1">IF(OFFSET('IWP30'!BackgroundChecks, 1, 8, 1, 1)=DATE(1900,1,0), DATE(1900,1,1), OFFSET('IWP30'!BackgroundChecks, 1, 8, 1, 1))</f>
        <v>1</v>
      </c>
      <c r="I664" s="262" t="str">
        <f ca="1">IF(OFFSET('IWP30'!BackgroundChecks, 1, 9, 1, 1) = 0, "", OFFSET('IWP30'!BackgroundChecks, 1, 9, 1, 1))</f>
        <v/>
      </c>
      <c r="J664" s="262" t="str">
        <f ca="1">IF(OFFSET('IWP30'!BackgroundChecks, 1, 10, 1, 1) = 0, "", OFFSET('IWP30'!BackgroundChecks, 1, 10, 1, 1))</f>
        <v/>
      </c>
      <c r="K664" s="262" t="str">
        <f ca="1">IF(OFFSET('IWP30'!BackgroundChecks, 1, 11, 1, 1) = 0, "", OFFSET('IWP30'!BackgroundChecks, 1, 11, 1, 1))</f>
        <v/>
      </c>
      <c r="L664" s="262" t="str">
        <f ca="1">IF(OFFSET('IWP30'!BackgroundChecks, 1, 12, 1, 1) = 0, "", OFFSET('IWP30'!BackgroundChecks, 1, 12, 1, 1))</f>
        <v/>
      </c>
      <c r="M664" s="262" t="str">
        <f ca="1">IF(OFFSET('IWP30'!BackgroundChecks, 1, 13, 1, 1) = 0, "", OFFSET('IWP30'!BackgroundChecks, 1, 13, 1, 1))</f>
        <v/>
      </c>
      <c r="N664" s="261"/>
    </row>
    <row r="665" spans="1:14" s="146" customFormat="1">
      <c r="A665" s="257" t="s">
        <v>528</v>
      </c>
      <c r="B665" s="262" t="str">
        <f ca="1">IF(OFFSET('IWP30'!BackgroundChecks, 2, 0, 1, 1) = 0, "", OFFSET('IWP30'!BackgroundChecks, 2, 0, 1, 1))</f>
        <v/>
      </c>
      <c r="C665" s="262" t="str">
        <f ca="1">IF(OFFSET('IWP30'!BackgroundChecks, 2, 2, 1, 1) = 0, "", OFFSET('IWP30'!BackgroundChecks, 2, 2, 1, 1))</f>
        <v/>
      </c>
      <c r="D665" s="262" t="str">
        <f ca="1">IF(OFFSET('IWP30'!BackgroundChecks, 2, 4, 1, 1) = 0, "", OFFSET('IWP30'!BackgroundChecks, 2, 4, 1, 1))</f>
        <v/>
      </c>
      <c r="E665" s="254">
        <f ca="1">IF(OFFSET('IWP30'!BackgroundChecks, 2, 5, 1, 1)=DATE(1900,1,0), DATE(1900,1,1), OFFSET('IWP30'!BackgroundChecks, 2, 5, 1, 1))</f>
        <v>1</v>
      </c>
      <c r="F665" s="262" t="str">
        <f ca="1">IF(OFFSET('IWP30'!BackgroundChecks, 2, 6, 1, 1) = 0, "", OFFSET('IWP30'!BackgroundChecks, 2, 6, 1, 1))</f>
        <v/>
      </c>
      <c r="G665" s="254">
        <f ca="1">IF(OFFSET('IWP30'!BackgroundChecks, 2, 7, 1, 1)=DATE(1900,1,0), DATE(1900,1,1), OFFSET('IWP30'!BackgroundChecks, 2, 7, 1, 1))</f>
        <v>1</v>
      </c>
      <c r="H665" s="254">
        <f ca="1">IF(OFFSET('IWP30'!BackgroundChecks, 2, 8, 1, 1)=DATE(1900,1,0), DATE(1900,1,1), OFFSET('IWP30'!BackgroundChecks, 2, 8, 1, 1))</f>
        <v>1</v>
      </c>
      <c r="I665" s="262" t="str">
        <f ca="1">IF(OFFSET('IWP30'!BackgroundChecks, 2, 9, 1, 1) = 0, "", OFFSET('IWP30'!BackgroundChecks, 2, 9, 1, 1))</f>
        <v/>
      </c>
      <c r="J665" s="262" t="str">
        <f ca="1">IF(OFFSET('IWP30'!BackgroundChecks, 2, 10, 1, 1) = 0, "", OFFSET('IWP30'!BackgroundChecks, 2, 10, 1, 1))</f>
        <v/>
      </c>
      <c r="K665" s="262" t="str">
        <f ca="1">IF(OFFSET('IWP30'!BackgroundChecks, 2, 11, 1, 1) = 0, "", OFFSET('IWP30'!BackgroundChecks, 2, 11, 1, 1))</f>
        <v/>
      </c>
      <c r="L665" s="262" t="str">
        <f ca="1">IF(OFFSET('IWP30'!BackgroundChecks, 2, 12, 1, 1) = 0, "", OFFSET('IWP30'!BackgroundChecks, 2, 12, 1, 1))</f>
        <v/>
      </c>
      <c r="M665" s="262" t="str">
        <f ca="1">IF(OFFSET('IWP30'!BackgroundChecks, 2, 13, 1, 1) = 0, "", OFFSET('IWP30'!BackgroundChecks, 2, 13, 1, 1))</f>
        <v/>
      </c>
      <c r="N665" s="261"/>
    </row>
    <row r="666" spans="1:14" s="146" customFormat="1">
      <c r="A666" s="257" t="s">
        <v>528</v>
      </c>
      <c r="B666" s="262" t="str">
        <f ca="1">IF(OFFSET('IWP30'!BackgroundChecks, 3, 0, 1, 1) = 0, "", OFFSET('IWP30'!BackgroundChecks, 3, 0, 1, 1))</f>
        <v/>
      </c>
      <c r="C666" s="262" t="str">
        <f ca="1">IF(OFFSET('IWP30'!BackgroundChecks, 3, 2, 1, 1) = 0, "", OFFSET('IWP30'!BackgroundChecks, 3, 2, 1, 1))</f>
        <v/>
      </c>
      <c r="D666" s="262" t="str">
        <f ca="1">IF(OFFSET('IWP30'!BackgroundChecks, 3, 4, 1, 1) = 0, "", OFFSET('IWP30'!BackgroundChecks, 3, 4, 1, 1))</f>
        <v/>
      </c>
      <c r="E666" s="254">
        <f ca="1">IF(OFFSET('IWP30'!BackgroundChecks, 3, 5, 1, 1)=DATE(1900,1,0), DATE(1900,1,1), OFFSET('IWP30'!BackgroundChecks, 3, 5, 1, 1))</f>
        <v>1</v>
      </c>
      <c r="F666" s="262" t="str">
        <f ca="1">IF(OFFSET('IWP30'!BackgroundChecks, 3, 6, 1, 1) = 0, "", OFFSET('IWP30'!BackgroundChecks, 3, 6, 1, 1))</f>
        <v/>
      </c>
      <c r="G666" s="254">
        <f ca="1">IF(OFFSET('IWP30'!BackgroundChecks, 3, 7, 1, 1)=DATE(1900,1,0), DATE(1900,1,1), OFFSET('IWP30'!BackgroundChecks, 3, 7, 1, 1))</f>
        <v>1</v>
      </c>
      <c r="H666" s="254">
        <f ca="1">IF(OFFSET('IWP30'!BackgroundChecks, 3, 8, 1, 1)=DATE(1900,1,0), DATE(1900,1,1), OFFSET('IWP30'!BackgroundChecks, 3, 8, 1, 1))</f>
        <v>1</v>
      </c>
      <c r="I666" s="262" t="str">
        <f ca="1">IF(OFFSET('IWP30'!BackgroundChecks, 3, 9, 1, 1) = 0, "", OFFSET('IWP30'!BackgroundChecks, 3, 9, 1, 1))</f>
        <v/>
      </c>
      <c r="J666" s="262" t="str">
        <f ca="1">IF(OFFSET('IWP30'!BackgroundChecks, 3, 10, 1, 1) = 0, "", OFFSET('IWP30'!BackgroundChecks, 3, 10, 1, 1))</f>
        <v/>
      </c>
      <c r="K666" s="262" t="str">
        <f ca="1">IF(OFFSET('IWP30'!BackgroundChecks, 3, 11, 1, 1) = 0, "", OFFSET('IWP30'!BackgroundChecks, 3, 11, 1, 1))</f>
        <v/>
      </c>
      <c r="L666" s="262" t="str">
        <f ca="1">IF(OFFSET('IWP30'!BackgroundChecks, 3, 12, 1, 1) = 0, "", OFFSET('IWP30'!BackgroundChecks, 3, 12, 1, 1))</f>
        <v/>
      </c>
      <c r="M666" s="262" t="str">
        <f ca="1">IF(OFFSET('IWP30'!BackgroundChecks, 3, 13, 1, 1) = 0, "", OFFSET('IWP30'!BackgroundChecks, 3, 13, 1, 1))</f>
        <v/>
      </c>
      <c r="N666" s="261"/>
    </row>
    <row r="667" spans="1:14" s="146" customFormat="1">
      <c r="A667" s="257" t="s">
        <v>528</v>
      </c>
      <c r="B667" s="262" t="str">
        <f ca="1">IF(OFFSET('IWP30'!BackgroundChecks, 4, 0, 1, 1) = 0, "", OFFSET('IWP30'!BackgroundChecks, 4, 0, 1, 1))</f>
        <v/>
      </c>
      <c r="C667" s="262" t="str">
        <f ca="1">IF(OFFSET('IWP30'!BackgroundChecks, 4, 2, 1, 1) = 0, "", OFFSET('IWP30'!BackgroundChecks, 4, 2, 1, 1))</f>
        <v/>
      </c>
      <c r="D667" s="262" t="str">
        <f ca="1">IF(OFFSET('IWP30'!BackgroundChecks, 4, 4, 1, 1) = 0, "", OFFSET('IWP30'!BackgroundChecks, 4, 4, 1, 1))</f>
        <v/>
      </c>
      <c r="E667" s="254">
        <f ca="1">IF(OFFSET('IWP30'!BackgroundChecks, 4, 5, 1, 1)=DATE(1900,1,0), DATE(1900,1,1), OFFSET('IWP30'!BackgroundChecks, 4, 5, 1, 1))</f>
        <v>1</v>
      </c>
      <c r="F667" s="262" t="str">
        <f ca="1">IF(OFFSET('IWP30'!BackgroundChecks, 4, 6, 1, 1) = 0, "", OFFSET('IWP30'!BackgroundChecks, 4, 6, 1, 1))</f>
        <v/>
      </c>
      <c r="G667" s="254">
        <f ca="1">IF(OFFSET('IWP30'!BackgroundChecks, 4, 7, 1, 1)=DATE(1900,1,0), DATE(1900,1,1), OFFSET('IWP30'!BackgroundChecks, 4, 7, 1, 1))</f>
        <v>1</v>
      </c>
      <c r="H667" s="254">
        <f ca="1">IF(OFFSET('IWP30'!BackgroundChecks, 4, 8, 1, 1)=DATE(1900,1,0), DATE(1900,1,1), OFFSET('IWP30'!BackgroundChecks, 4, 8, 1, 1))</f>
        <v>1</v>
      </c>
      <c r="I667" s="262" t="str">
        <f ca="1">IF(OFFSET('IWP30'!BackgroundChecks, 4, 9, 1, 1) = 0, "", OFFSET('IWP30'!BackgroundChecks, 4, 9, 1, 1))</f>
        <v/>
      </c>
      <c r="J667" s="262" t="str">
        <f ca="1">IF(OFFSET('IWP30'!BackgroundChecks, 4, 10, 1, 1) = 0, "", OFFSET('IWP30'!BackgroundChecks, 4, 10, 1, 1))</f>
        <v/>
      </c>
      <c r="K667" s="262" t="str">
        <f ca="1">IF(OFFSET('IWP30'!BackgroundChecks, 4, 11, 1, 1) = 0, "", OFFSET('IWP30'!BackgroundChecks, 4, 11, 1, 1))</f>
        <v/>
      </c>
      <c r="L667" s="262" t="str">
        <f ca="1">IF(OFFSET('IWP30'!BackgroundChecks, 4, 12, 1, 1) = 0, "", OFFSET('IWP30'!BackgroundChecks, 4, 12, 1, 1))</f>
        <v/>
      </c>
      <c r="M667" s="262" t="str">
        <f ca="1">IF(OFFSET('IWP30'!BackgroundChecks, 4, 13, 1, 1) = 0, "", OFFSET('IWP30'!BackgroundChecks, 4, 13, 1, 1))</f>
        <v/>
      </c>
      <c r="N667" s="261"/>
    </row>
    <row r="668" spans="1:14" s="146" customFormat="1">
      <c r="A668" s="257" t="s">
        <v>528</v>
      </c>
      <c r="B668" s="262" t="str">
        <f ca="1">IF(OFFSET('IWP30'!BackgroundChecks, 5, 0, 1, 1) = 0, "", OFFSET('IWP30'!BackgroundChecks, 5, 0, 1, 1))</f>
        <v/>
      </c>
      <c r="C668" s="262" t="str">
        <f ca="1">IF(OFFSET('IWP30'!BackgroundChecks, 5, 2, 1, 1) = 0, "", OFFSET('IWP30'!BackgroundChecks, 5, 2, 1, 1))</f>
        <v/>
      </c>
      <c r="D668" s="262" t="str">
        <f ca="1">IF(OFFSET('IWP30'!BackgroundChecks, 5, 4, 1, 1) = 0, "", OFFSET('IWP30'!BackgroundChecks, 5, 4, 1, 1))</f>
        <v/>
      </c>
      <c r="E668" s="254">
        <f ca="1">IF(OFFSET('IWP30'!BackgroundChecks, 5, 5, 1, 1)=DATE(1900,1,0), DATE(1900,1,1), OFFSET('IWP30'!BackgroundChecks, 5, 5, 1, 1))</f>
        <v>1</v>
      </c>
      <c r="F668" s="262" t="str">
        <f ca="1">IF(OFFSET('IWP30'!BackgroundChecks, 5, 6, 1, 1) = 0, "", OFFSET('IWP30'!BackgroundChecks, 5, 6, 1, 1))</f>
        <v/>
      </c>
      <c r="G668" s="254">
        <f ca="1">IF(OFFSET('IWP30'!BackgroundChecks, 5, 7, 1, 1)=DATE(1900,1,0), DATE(1900,1,1), OFFSET('IWP30'!BackgroundChecks, 5, 7, 1, 1))</f>
        <v>1</v>
      </c>
      <c r="H668" s="254">
        <f ca="1">IF(OFFSET('IWP30'!BackgroundChecks, 5, 8, 1, 1)=DATE(1900,1,0), DATE(1900,1,1), OFFSET('IWP30'!BackgroundChecks, 5, 8, 1, 1))</f>
        <v>1</v>
      </c>
      <c r="I668" s="262" t="str">
        <f ca="1">IF(OFFSET('IWP30'!BackgroundChecks, 5, 9, 1, 1) = 0, "", OFFSET('IWP30'!BackgroundChecks, 5, 9, 1, 1))</f>
        <v/>
      </c>
      <c r="J668" s="262" t="str">
        <f ca="1">IF(OFFSET('IWP30'!BackgroundChecks, 5, 10, 1, 1) = 0, "", OFFSET('IWP30'!BackgroundChecks, 5, 10, 1, 1))</f>
        <v/>
      </c>
      <c r="K668" s="262" t="str">
        <f ca="1">IF(OFFSET('IWP30'!BackgroundChecks, 5, 11, 1, 1) = 0, "", OFFSET('IWP30'!BackgroundChecks, 5, 11, 1, 1))</f>
        <v/>
      </c>
      <c r="L668" s="262" t="str">
        <f ca="1">IF(OFFSET('IWP30'!BackgroundChecks, 5, 12, 1, 1) = 0, "", OFFSET('IWP30'!BackgroundChecks, 5, 12, 1, 1))</f>
        <v/>
      </c>
      <c r="M668" s="262" t="str">
        <f ca="1">IF(OFFSET('IWP30'!BackgroundChecks, 5, 13, 1, 1) = 0, "", OFFSET('IWP30'!BackgroundChecks, 5, 13, 1, 1))</f>
        <v/>
      </c>
      <c r="N668" s="261"/>
    </row>
    <row r="669" spans="1:14" s="146" customFormat="1">
      <c r="A669" s="257" t="s">
        <v>528</v>
      </c>
      <c r="B669" s="262" t="str">
        <f ca="1">IF(OFFSET('IWP30'!BackgroundChecks, 6, 0, 1, 1) = 0, "", OFFSET('IWP30'!BackgroundChecks, 6, 0, 1, 1))</f>
        <v/>
      </c>
      <c r="C669" s="262" t="str">
        <f ca="1">IF(OFFSET('IWP30'!BackgroundChecks, 6, 2, 1, 1) = 0, "", OFFSET('IWP30'!BackgroundChecks, 6, 2, 1, 1))</f>
        <v/>
      </c>
      <c r="D669" s="262" t="str">
        <f ca="1">IF(OFFSET('IWP30'!BackgroundChecks, 6, 4, 1, 1) = 0, "", OFFSET('IWP30'!BackgroundChecks, 6, 4, 1, 1))</f>
        <v/>
      </c>
      <c r="E669" s="254">
        <f ca="1">IF(OFFSET('IWP30'!BackgroundChecks, 6, 5, 1, 1)=DATE(1900,1,0), DATE(1900,1,1), OFFSET('IWP30'!BackgroundChecks, 6, 5, 1, 1))</f>
        <v>1</v>
      </c>
      <c r="F669" s="262" t="str">
        <f ca="1">IF(OFFSET('IWP30'!BackgroundChecks, 6, 6, 1, 1) = 0, "", OFFSET('IWP30'!BackgroundChecks, 6, 6, 1, 1))</f>
        <v/>
      </c>
      <c r="G669" s="254">
        <f ca="1">IF(OFFSET('IWP30'!BackgroundChecks, 6, 7, 1, 1)=DATE(1900,1,0), DATE(1900,1,1), OFFSET('IWP30'!BackgroundChecks, 6, 7, 1, 1))</f>
        <v>1</v>
      </c>
      <c r="H669" s="254">
        <f ca="1">IF(OFFSET('IWP30'!BackgroundChecks, 6, 8, 1, 1)=DATE(1900,1,0), DATE(1900,1,1), OFFSET('IWP30'!BackgroundChecks, 6, 8, 1, 1))</f>
        <v>1</v>
      </c>
      <c r="I669" s="262" t="str">
        <f ca="1">IF(OFFSET('IWP30'!BackgroundChecks, 6, 9, 1, 1) = 0, "", OFFSET('IWP30'!BackgroundChecks, 6, 9, 1, 1))</f>
        <v/>
      </c>
      <c r="J669" s="262" t="str">
        <f ca="1">IF(OFFSET('IWP30'!BackgroundChecks, 6, 10, 1, 1) = 0, "", OFFSET('IWP30'!BackgroundChecks, 6, 10, 1, 1))</f>
        <v/>
      </c>
      <c r="K669" s="262" t="str">
        <f ca="1">IF(OFFSET('IWP30'!BackgroundChecks, 6, 11, 1, 1) = 0, "", OFFSET('IWP30'!BackgroundChecks, 6, 11, 1, 1))</f>
        <v/>
      </c>
      <c r="L669" s="262" t="str">
        <f ca="1">IF(OFFSET('IWP30'!BackgroundChecks, 6, 12, 1, 1) = 0, "", OFFSET('IWP30'!BackgroundChecks, 6, 12, 1, 1))</f>
        <v/>
      </c>
      <c r="M669" s="262" t="str">
        <f ca="1">IF(OFFSET('IWP30'!BackgroundChecks, 6, 13, 1, 1) = 0, "", OFFSET('IWP30'!BackgroundChecks, 6, 13, 1, 1))</f>
        <v/>
      </c>
      <c r="N669" s="261"/>
    </row>
    <row r="670" spans="1:14" s="146" customFormat="1">
      <c r="A670" s="257" t="s">
        <v>528</v>
      </c>
      <c r="B670" s="262" t="str">
        <f ca="1">IF(OFFSET('IWP30'!BackgroundChecks, 7, 0, 1, 1) = 0, "", OFFSET('IWP30'!BackgroundChecks, 7, 0, 1, 1))</f>
        <v/>
      </c>
      <c r="C670" s="262" t="str">
        <f ca="1">IF(OFFSET('IWP30'!BackgroundChecks, 7, 2, 1, 1) = 0, "", OFFSET('IWP30'!BackgroundChecks, 7, 2, 1, 1))</f>
        <v/>
      </c>
      <c r="D670" s="262" t="str">
        <f ca="1">IF(OFFSET('IWP30'!BackgroundChecks, 7, 4, 1, 1) = 0, "", OFFSET('IWP30'!BackgroundChecks, 7, 4, 1, 1))</f>
        <v/>
      </c>
      <c r="E670" s="254">
        <f ca="1">IF(OFFSET('IWP30'!BackgroundChecks, 7, 5, 1, 1)=DATE(1900,1,0), DATE(1900,1,1), OFFSET('IWP30'!BackgroundChecks, 7, 5, 1, 1))</f>
        <v>1</v>
      </c>
      <c r="F670" s="262" t="str">
        <f ca="1">IF(OFFSET('IWP30'!BackgroundChecks, 7, 6, 1, 1) = 0, "", OFFSET('IWP30'!BackgroundChecks, 7, 6, 1, 1))</f>
        <v/>
      </c>
      <c r="G670" s="254">
        <f ca="1">IF(OFFSET('IWP30'!BackgroundChecks, 7, 7, 1, 1)=DATE(1900,1,0), DATE(1900,1,1), OFFSET('IWP30'!BackgroundChecks, 7, 7, 1, 1))</f>
        <v>1</v>
      </c>
      <c r="H670" s="254">
        <f ca="1">IF(OFFSET('IWP30'!BackgroundChecks, 7, 8, 1, 1)=DATE(1900,1,0), DATE(1900,1,1), OFFSET('IWP30'!BackgroundChecks, 7, 8, 1, 1))</f>
        <v>1</v>
      </c>
      <c r="I670" s="262" t="str">
        <f ca="1">IF(OFFSET('IWP30'!BackgroundChecks, 7, 9, 1, 1) = 0, "", OFFSET('IWP30'!BackgroundChecks, 7, 9, 1, 1))</f>
        <v/>
      </c>
      <c r="J670" s="262" t="str">
        <f ca="1">IF(OFFSET('IWP30'!BackgroundChecks, 7, 10, 1, 1) = 0, "", OFFSET('IWP30'!BackgroundChecks, 7, 10, 1, 1))</f>
        <v/>
      </c>
      <c r="K670" s="262" t="str">
        <f ca="1">IF(OFFSET('IWP30'!BackgroundChecks, 7, 11, 1, 1) = 0, "", OFFSET('IWP30'!BackgroundChecks, 7, 11, 1, 1))</f>
        <v/>
      </c>
      <c r="L670" s="262" t="str">
        <f ca="1">IF(OFFSET('IWP30'!BackgroundChecks, 7, 12, 1, 1) = 0, "", OFFSET('IWP30'!BackgroundChecks, 7, 12, 1, 1))</f>
        <v/>
      </c>
      <c r="M670" s="262" t="str">
        <f ca="1">IF(OFFSET('IWP30'!BackgroundChecks, 7, 13, 1, 1) = 0, "", OFFSET('IWP30'!BackgroundChecks, 7, 13, 1, 1))</f>
        <v/>
      </c>
      <c r="N670" s="261"/>
    </row>
    <row r="671" spans="1:14" s="146" customFormat="1">
      <c r="A671" s="257" t="s">
        <v>528</v>
      </c>
      <c r="B671" s="262" t="str">
        <f ca="1">IF(OFFSET('IWP30'!BackgroundChecks, 8, 0, 1, 1) = 0, "", OFFSET('IWP30'!BackgroundChecks, 8, 0, 1, 1))</f>
        <v/>
      </c>
      <c r="C671" s="262" t="str">
        <f ca="1">IF(OFFSET('IWP30'!BackgroundChecks, 8, 2, 1, 1) = 0, "", OFFSET('IWP30'!BackgroundChecks, 8, 2, 1, 1))</f>
        <v/>
      </c>
      <c r="D671" s="262" t="str">
        <f ca="1">IF(OFFSET('IWP30'!BackgroundChecks, 8, 4, 1, 1) = 0, "", OFFSET('IWP30'!BackgroundChecks, 8, 4, 1, 1))</f>
        <v/>
      </c>
      <c r="E671" s="254">
        <f ca="1">IF(OFFSET('IWP30'!BackgroundChecks, 8, 5, 1, 1)=DATE(1900,1,0), DATE(1900,1,1), OFFSET('IWP30'!BackgroundChecks, 8, 5, 1, 1))</f>
        <v>1</v>
      </c>
      <c r="F671" s="262" t="str">
        <f ca="1">IF(OFFSET('IWP30'!BackgroundChecks, 8, 6, 1, 1) = 0, "", OFFSET('IWP30'!BackgroundChecks, 8, 6, 1, 1))</f>
        <v/>
      </c>
      <c r="G671" s="254">
        <f ca="1">IF(OFFSET('IWP30'!BackgroundChecks, 8, 7, 1, 1)=DATE(1900,1,0), DATE(1900,1,1), OFFSET('IWP30'!BackgroundChecks, 8, 7, 1, 1))</f>
        <v>1</v>
      </c>
      <c r="H671" s="254">
        <f ca="1">IF(OFFSET('IWP30'!BackgroundChecks, 8, 8, 1, 1)=DATE(1900,1,0), DATE(1900,1,1), OFFSET('IWP30'!BackgroundChecks, 8, 8, 1, 1))</f>
        <v>1</v>
      </c>
      <c r="I671" s="262" t="str">
        <f ca="1">IF(OFFSET('IWP30'!BackgroundChecks, 8, 9, 1, 1) = 0, "", OFFSET('IWP30'!BackgroundChecks, 8, 9, 1, 1))</f>
        <v/>
      </c>
      <c r="J671" s="262" t="str">
        <f ca="1">IF(OFFSET('IWP30'!BackgroundChecks, 8, 10, 1, 1) = 0, "", OFFSET('IWP30'!BackgroundChecks, 8, 10, 1, 1))</f>
        <v/>
      </c>
      <c r="K671" s="262" t="str">
        <f ca="1">IF(OFFSET('IWP30'!BackgroundChecks, 8, 11, 1, 1) = 0, "", OFFSET('IWP30'!BackgroundChecks, 8, 11, 1, 1))</f>
        <v/>
      </c>
      <c r="L671" s="262" t="str">
        <f ca="1">IF(OFFSET('IWP30'!BackgroundChecks, 8, 12, 1, 1) = 0, "", OFFSET('IWP30'!BackgroundChecks, 8, 12, 1, 1))</f>
        <v/>
      </c>
      <c r="M671" s="262" t="str">
        <f ca="1">IF(OFFSET('IWP30'!BackgroundChecks, 8, 13, 1, 1) = 0, "", OFFSET('IWP30'!BackgroundChecks, 8, 13, 1, 1))</f>
        <v/>
      </c>
      <c r="N671" s="261"/>
    </row>
    <row r="672" spans="1:14" s="146" customFormat="1">
      <c r="A672" s="257" t="s">
        <v>528</v>
      </c>
      <c r="B672" s="262" t="str">
        <f ca="1">IF(OFFSET('IWP30'!BackgroundChecks, 9, 0, 1, 1) = 0, "", OFFSET('IWP30'!BackgroundChecks, 9, 0, 1, 1))</f>
        <v/>
      </c>
      <c r="C672" s="262" t="str">
        <f ca="1">IF(OFFSET('IWP30'!BackgroundChecks, 9, 2, 1, 1) = 0, "", OFFSET('IWP30'!BackgroundChecks, 9, 2, 1, 1))</f>
        <v/>
      </c>
      <c r="D672" s="262" t="str">
        <f ca="1">IF(OFFSET('IWP30'!BackgroundChecks, 9, 4, 1, 1) = 0, "", OFFSET('IWP30'!BackgroundChecks, 9, 4, 1, 1))</f>
        <v/>
      </c>
      <c r="E672" s="254">
        <f ca="1">IF(OFFSET('IWP30'!BackgroundChecks, 9, 5, 1, 1)=DATE(1900,1,0), DATE(1900,1,1), OFFSET('IWP30'!BackgroundChecks, 9, 5, 1, 1))</f>
        <v>1</v>
      </c>
      <c r="F672" s="262" t="str">
        <f ca="1">IF(OFFSET('IWP30'!BackgroundChecks, 9, 6, 1, 1) = 0, "", OFFSET('IWP30'!BackgroundChecks, 9, 6, 1, 1))</f>
        <v/>
      </c>
      <c r="G672" s="254">
        <f ca="1">IF(OFFSET('IWP30'!BackgroundChecks, 9, 7, 1, 1)=DATE(1900,1,0), DATE(1900,1,1), OFFSET('IWP30'!BackgroundChecks, 9, 7, 1, 1))</f>
        <v>1</v>
      </c>
      <c r="H672" s="254">
        <f ca="1">IF(OFFSET('IWP30'!BackgroundChecks, 9, 8, 1, 1)=DATE(1900,1,0), DATE(1900,1,1), OFFSET('IWP30'!BackgroundChecks, 9, 8, 1, 1))</f>
        <v>1</v>
      </c>
      <c r="I672" s="262" t="str">
        <f ca="1">IF(OFFSET('IWP30'!BackgroundChecks, 9, 9, 1, 1) = 0, "", OFFSET('IWP30'!BackgroundChecks, 9, 9, 1, 1))</f>
        <v/>
      </c>
      <c r="J672" s="262" t="str">
        <f ca="1">IF(OFFSET('IWP30'!BackgroundChecks, 9, 10, 1, 1) = 0, "", OFFSET('IWP30'!BackgroundChecks, 9, 10, 1, 1))</f>
        <v/>
      </c>
      <c r="K672" s="262" t="str">
        <f ca="1">IF(OFFSET('IWP30'!BackgroundChecks, 9, 11, 1, 1) = 0, "", OFFSET('IWP30'!BackgroundChecks, 9, 11, 1, 1))</f>
        <v/>
      </c>
      <c r="L672" s="262" t="str">
        <f ca="1">IF(OFFSET('IWP30'!BackgroundChecks, 9, 12, 1, 1) = 0, "", OFFSET('IWP30'!BackgroundChecks, 9, 12, 1, 1))</f>
        <v/>
      </c>
      <c r="M672" s="262" t="str">
        <f ca="1">IF(OFFSET('IWP30'!BackgroundChecks, 9, 13, 1, 1) = 0, "", OFFSET('IWP30'!BackgroundChecks, 9, 13, 1, 1))</f>
        <v/>
      </c>
      <c r="N672" s="261"/>
    </row>
    <row r="673" spans="1:14" s="146" customFormat="1">
      <c r="A673" s="257" t="s">
        <v>528</v>
      </c>
      <c r="B673" s="262" t="str">
        <f ca="1">IF(OFFSET('IWP30'!BackgroundChecks, 10, 0, 1, 1) = 0, "", OFFSET('IWP30'!BackgroundChecks, 10, 0, 1, 1))</f>
        <v/>
      </c>
      <c r="C673" s="262" t="str">
        <f ca="1">IF(OFFSET('IWP30'!BackgroundChecks, 10, 2, 1, 1) = 0, "", OFFSET('IWP30'!BackgroundChecks, 10, 2, 1, 1))</f>
        <v/>
      </c>
      <c r="D673" s="262" t="str">
        <f ca="1">IF(OFFSET('IWP30'!BackgroundChecks, 10, 4, 1, 1) = 0, "", OFFSET('IWP30'!BackgroundChecks, 10, 4, 1, 1))</f>
        <v/>
      </c>
      <c r="E673" s="254">
        <f ca="1">IF(OFFSET('IWP30'!BackgroundChecks, 10, 5, 1, 1)=DATE(1900,1,0), DATE(1900,1,1), OFFSET('IWP30'!BackgroundChecks, 10, 5, 1, 1))</f>
        <v>1</v>
      </c>
      <c r="F673" s="262" t="str">
        <f ca="1">IF(OFFSET('IWP30'!BackgroundChecks, 10, 6, 1, 1) = 0, "", OFFSET('IWP30'!BackgroundChecks, 10, 6, 1, 1))</f>
        <v/>
      </c>
      <c r="G673" s="254">
        <f ca="1">IF(OFFSET('IWP30'!BackgroundChecks, 10, 7, 1, 1)=DATE(1900,1,0), DATE(1900,1,1), OFFSET('IWP30'!BackgroundChecks, 10, 7, 1, 1))</f>
        <v>1</v>
      </c>
      <c r="H673" s="254">
        <f ca="1">IF(OFFSET('IWP30'!BackgroundChecks, 10, 8, 1, 1)=DATE(1900,1,0), DATE(1900,1,1), OFFSET('IWP30'!BackgroundChecks, 10, 8, 1, 1))</f>
        <v>1</v>
      </c>
      <c r="I673" s="262" t="str">
        <f ca="1">IF(OFFSET('IWP30'!BackgroundChecks, 10, 9, 1, 1) = 0, "", OFFSET('IWP30'!BackgroundChecks, 10, 9, 1, 1))</f>
        <v/>
      </c>
      <c r="J673" s="262" t="str">
        <f ca="1">IF(OFFSET('IWP30'!BackgroundChecks, 10, 10, 1, 1) = 0, "", OFFSET('IWP30'!BackgroundChecks, 10, 10, 1, 1))</f>
        <v/>
      </c>
      <c r="K673" s="262" t="str">
        <f ca="1">IF(OFFSET('IWP30'!BackgroundChecks, 10, 11, 1, 1) = 0, "", OFFSET('IWP30'!BackgroundChecks, 10, 11, 1, 1))</f>
        <v/>
      </c>
      <c r="L673" s="262" t="str">
        <f ca="1">IF(OFFSET('IWP30'!BackgroundChecks, 10, 12, 1, 1) = 0, "", OFFSET('IWP30'!BackgroundChecks, 10, 12, 1, 1))</f>
        <v/>
      </c>
      <c r="M673" s="262" t="str">
        <f ca="1">IF(OFFSET('IWP30'!BackgroundChecks, 10, 13, 1, 1) = 0, "", OFFSET('IWP30'!BackgroundChecks, 10, 13, 1, 1))</f>
        <v/>
      </c>
      <c r="N673" s="261"/>
    </row>
    <row r="674" spans="1:14" s="146" customFormat="1">
      <c r="A674" s="257" t="s">
        <v>528</v>
      </c>
      <c r="B674" s="262" t="str">
        <f ca="1">IF(OFFSET('IWP30'!BackgroundChecks, 11, 0, 1, 1) = 0, "", OFFSET('IWP30'!BackgroundChecks, 11, 0, 1, 1))</f>
        <v/>
      </c>
      <c r="C674" s="262" t="str">
        <f ca="1">IF(OFFSET('IWP30'!BackgroundChecks, 11, 2, 1, 1) = 0, "", OFFSET('IWP30'!BackgroundChecks, 11, 2, 1, 1))</f>
        <v/>
      </c>
      <c r="D674" s="262" t="str">
        <f ca="1">IF(OFFSET('IWP30'!BackgroundChecks, 11, 4, 1, 1) = 0, "", OFFSET('IWP30'!BackgroundChecks, 11, 4, 1, 1))</f>
        <v/>
      </c>
      <c r="E674" s="254">
        <f ca="1">IF(OFFSET('IWP30'!BackgroundChecks, 11, 5, 1, 1)=DATE(1900,1,0), DATE(1900,1,1), OFFSET('IWP30'!BackgroundChecks, 11, 5, 1, 1))</f>
        <v>1</v>
      </c>
      <c r="F674" s="262" t="str">
        <f ca="1">IF(OFFSET('IWP30'!BackgroundChecks, 11, 6, 1, 1) = 0, "", OFFSET('IWP30'!BackgroundChecks, 11, 6, 1, 1))</f>
        <v/>
      </c>
      <c r="G674" s="254">
        <f ca="1">IF(OFFSET('IWP30'!BackgroundChecks, 11, 7, 1, 1)=DATE(1900,1,0), DATE(1900,1,1), OFFSET('IWP30'!BackgroundChecks, 11, 7, 1, 1))</f>
        <v>1</v>
      </c>
      <c r="H674" s="254">
        <f ca="1">IF(OFFSET('IWP30'!BackgroundChecks, 11, 8, 1, 1)=DATE(1900,1,0), DATE(1900,1,1), OFFSET('IWP30'!BackgroundChecks, 11, 8, 1, 1))</f>
        <v>1</v>
      </c>
      <c r="I674" s="262" t="str">
        <f ca="1">IF(OFFSET('IWP30'!BackgroundChecks, 11, 9, 1, 1) = 0, "", OFFSET('IWP30'!BackgroundChecks, 11, 9, 1, 1))</f>
        <v/>
      </c>
      <c r="J674" s="262" t="str">
        <f ca="1">IF(OFFSET('IWP30'!BackgroundChecks, 11, 10, 1, 1) = 0, "", OFFSET('IWP30'!BackgroundChecks, 11, 10, 1, 1))</f>
        <v/>
      </c>
      <c r="K674" s="262" t="str">
        <f ca="1">IF(OFFSET('IWP30'!BackgroundChecks, 11, 11, 1, 1) = 0, "", OFFSET('IWP30'!BackgroundChecks, 11, 11, 1, 1))</f>
        <v/>
      </c>
      <c r="L674" s="262" t="str">
        <f ca="1">IF(OFFSET('IWP30'!BackgroundChecks, 11, 12, 1, 1) = 0, "", OFFSET('IWP30'!BackgroundChecks, 11, 12, 1, 1))</f>
        <v/>
      </c>
      <c r="M674" s="262" t="str">
        <f ca="1">IF(OFFSET('IWP30'!BackgroundChecks, 11, 13, 1, 1) = 0, "", OFFSET('IWP30'!BackgroundChecks, 11, 13, 1, 1))</f>
        <v/>
      </c>
      <c r="N674" s="261"/>
    </row>
    <row r="675" spans="1:14" s="146" customFormat="1">
      <c r="A675" s="257" t="s">
        <v>528</v>
      </c>
      <c r="B675" s="262" t="str">
        <f ca="1">IF(OFFSET('IWP30'!BackgroundChecks, 12, 0, 1, 1) = 0, "", OFFSET('IWP30'!BackgroundChecks, 12, 0, 1, 1))</f>
        <v/>
      </c>
      <c r="C675" s="262" t="str">
        <f ca="1">IF(OFFSET('IWP30'!BackgroundChecks, 12, 2, 1, 1) = 0, "", OFFSET('IWP30'!BackgroundChecks, 12, 2, 1, 1))</f>
        <v/>
      </c>
      <c r="D675" s="262" t="str">
        <f ca="1">IF(OFFSET('IWP30'!BackgroundChecks, 12, 4, 1, 1) = 0, "", OFFSET('IWP30'!BackgroundChecks, 12, 4, 1, 1))</f>
        <v/>
      </c>
      <c r="E675" s="254">
        <f ca="1">IF(OFFSET('IWP30'!BackgroundChecks, 12, 5, 1, 1)=DATE(1900,1,0), DATE(1900,1,1), OFFSET('IWP30'!BackgroundChecks, 12, 5, 1, 1))</f>
        <v>1</v>
      </c>
      <c r="F675" s="262" t="str">
        <f ca="1">IF(OFFSET('IWP30'!BackgroundChecks, 12, 6, 1, 1) = 0, "", OFFSET('IWP30'!BackgroundChecks, 12, 6, 1, 1))</f>
        <v/>
      </c>
      <c r="G675" s="254">
        <f ca="1">IF(OFFSET('IWP30'!BackgroundChecks, 12, 7, 1, 1)=DATE(1900,1,0), DATE(1900,1,1), OFFSET('IWP30'!BackgroundChecks, 12, 7, 1, 1))</f>
        <v>1</v>
      </c>
      <c r="H675" s="254">
        <f ca="1">IF(OFFSET('IWP30'!BackgroundChecks, 12, 8, 1, 1)=DATE(1900,1,0), DATE(1900,1,1), OFFSET('IWP30'!BackgroundChecks, 12, 8, 1, 1))</f>
        <v>1</v>
      </c>
      <c r="I675" s="262" t="str">
        <f ca="1">IF(OFFSET('IWP30'!BackgroundChecks, 12, 9, 1, 1) = 0, "", OFFSET('IWP30'!BackgroundChecks, 12, 9, 1, 1))</f>
        <v/>
      </c>
      <c r="J675" s="262" t="str">
        <f ca="1">IF(OFFSET('IWP30'!BackgroundChecks, 12, 10, 1, 1) = 0, "", OFFSET('IWP30'!BackgroundChecks, 12, 10, 1, 1))</f>
        <v/>
      </c>
      <c r="K675" s="262" t="str">
        <f ca="1">IF(OFFSET('IWP30'!BackgroundChecks, 12, 11, 1, 1) = 0, "", OFFSET('IWP30'!BackgroundChecks, 12, 11, 1, 1))</f>
        <v/>
      </c>
      <c r="L675" s="262" t="str">
        <f ca="1">IF(OFFSET('IWP30'!BackgroundChecks, 12, 12, 1, 1) = 0, "", OFFSET('IWP30'!BackgroundChecks, 12, 12, 1, 1))</f>
        <v/>
      </c>
      <c r="M675" s="262" t="str">
        <f ca="1">IF(OFFSET('IWP30'!BackgroundChecks, 12, 13, 1, 1) = 0, "", OFFSET('IWP30'!BackgroundChecks, 12, 13, 1, 1))</f>
        <v/>
      </c>
      <c r="N675" s="261"/>
    </row>
    <row r="676" spans="1:14" s="146" customFormat="1">
      <c r="A676" s="257" t="s">
        <v>528</v>
      </c>
      <c r="B676" s="262" t="str">
        <f ca="1">IF(OFFSET('IWP30'!BackgroundChecks, 13, 0, 1, 1) = 0, "", OFFSET('IWP30'!BackgroundChecks, 13, 0, 1, 1))</f>
        <v/>
      </c>
      <c r="C676" s="262" t="str">
        <f ca="1">IF(OFFSET('IWP30'!BackgroundChecks, 13, 2, 1, 1) = 0, "", OFFSET('IWP30'!BackgroundChecks, 13, 2, 1, 1))</f>
        <v/>
      </c>
      <c r="D676" s="262" t="str">
        <f ca="1">IF(OFFSET('IWP30'!BackgroundChecks, 13, 4, 1, 1) = 0, "", OFFSET('IWP30'!BackgroundChecks, 13, 4, 1, 1))</f>
        <v/>
      </c>
      <c r="E676" s="254">
        <f ca="1">IF(OFFSET('IWP30'!BackgroundChecks, 13, 5, 1, 1)=DATE(1900,1,0), DATE(1900,1,1), OFFSET('IWP30'!BackgroundChecks, 13, 5, 1, 1))</f>
        <v>1</v>
      </c>
      <c r="F676" s="262" t="str">
        <f ca="1">IF(OFFSET('IWP30'!BackgroundChecks, 13, 6, 1, 1) = 0, "", OFFSET('IWP30'!BackgroundChecks, 13, 6, 1, 1))</f>
        <v/>
      </c>
      <c r="G676" s="254">
        <f ca="1">IF(OFFSET('IWP30'!BackgroundChecks, 13, 7, 1, 1)=DATE(1900,1,0), DATE(1900,1,1), OFFSET('IWP30'!BackgroundChecks, 13, 7, 1, 1))</f>
        <v>1</v>
      </c>
      <c r="H676" s="254">
        <f ca="1">IF(OFFSET('IWP30'!BackgroundChecks, 13, 8, 1, 1)=DATE(1900,1,0), DATE(1900,1,1), OFFSET('IWP30'!BackgroundChecks, 13, 8, 1, 1))</f>
        <v>1</v>
      </c>
      <c r="I676" s="262" t="str">
        <f ca="1">IF(OFFSET('IWP30'!BackgroundChecks, 13, 9, 1, 1) = 0, "", OFFSET('IWP30'!BackgroundChecks, 13, 9, 1, 1))</f>
        <v/>
      </c>
      <c r="J676" s="262" t="str">
        <f ca="1">IF(OFFSET('IWP30'!BackgroundChecks, 13, 10, 1, 1) = 0, "", OFFSET('IWP30'!BackgroundChecks, 13, 10, 1, 1))</f>
        <v/>
      </c>
      <c r="K676" s="262" t="str">
        <f ca="1">IF(OFFSET('IWP30'!BackgroundChecks, 13, 11, 1, 1) = 0, "", OFFSET('IWP30'!BackgroundChecks, 13, 11, 1, 1))</f>
        <v/>
      </c>
      <c r="L676" s="262" t="str">
        <f ca="1">IF(OFFSET('IWP30'!BackgroundChecks, 13, 12, 1, 1) = 0, "", OFFSET('IWP30'!BackgroundChecks, 13, 12, 1, 1))</f>
        <v/>
      </c>
      <c r="M676" s="262" t="str">
        <f ca="1">IF(OFFSET('IWP30'!BackgroundChecks, 13, 13, 1, 1) = 0, "", OFFSET('IWP30'!BackgroundChecks, 13, 13, 1, 1))</f>
        <v/>
      </c>
      <c r="N676" s="261"/>
    </row>
    <row r="677" spans="1:14" s="146" customFormat="1">
      <c r="A677" s="257" t="s">
        <v>528</v>
      </c>
      <c r="B677" s="262" t="str">
        <f ca="1">IF(OFFSET('IWP30'!BackgroundChecks, 14, 0, 1, 1) = 0, "", OFFSET('IWP30'!BackgroundChecks, 14, 0, 1, 1))</f>
        <v/>
      </c>
      <c r="C677" s="262" t="str">
        <f ca="1">IF(OFFSET('IWP30'!BackgroundChecks, 14, 2, 1, 1) = 0, "", OFFSET('IWP30'!BackgroundChecks, 14, 2, 1, 1))</f>
        <v/>
      </c>
      <c r="D677" s="262" t="str">
        <f ca="1">IF(OFFSET('IWP30'!BackgroundChecks, 14, 4, 1, 1) = 0, "", OFFSET('IWP30'!BackgroundChecks, 14, 4, 1, 1))</f>
        <v/>
      </c>
      <c r="E677" s="254">
        <f ca="1">IF(OFFSET('IWP30'!BackgroundChecks, 14, 5, 1, 1)=DATE(1900,1,0), DATE(1900,1,1), OFFSET('IWP30'!BackgroundChecks, 14, 5, 1, 1))</f>
        <v>1</v>
      </c>
      <c r="F677" s="262" t="str">
        <f ca="1">IF(OFFSET('IWP30'!BackgroundChecks, 14, 6, 1, 1) = 0, "", OFFSET('IWP30'!BackgroundChecks, 14, 6, 1, 1))</f>
        <v/>
      </c>
      <c r="G677" s="254">
        <f ca="1">IF(OFFSET('IWP30'!BackgroundChecks, 14, 7, 1, 1)=DATE(1900,1,0), DATE(1900,1,1), OFFSET('IWP30'!BackgroundChecks, 14, 7, 1, 1))</f>
        <v>1</v>
      </c>
      <c r="H677" s="254">
        <f ca="1">IF(OFFSET('IWP30'!BackgroundChecks, 14, 8, 1, 1)=DATE(1900,1,0), DATE(1900,1,1), OFFSET('IWP30'!BackgroundChecks, 14, 8, 1, 1))</f>
        <v>1</v>
      </c>
      <c r="I677" s="262" t="str">
        <f ca="1">IF(OFFSET('IWP30'!BackgroundChecks, 14, 9, 1, 1) = 0, "", OFFSET('IWP30'!BackgroundChecks, 14, 9, 1, 1))</f>
        <v/>
      </c>
      <c r="J677" s="262" t="str">
        <f ca="1">IF(OFFSET('IWP30'!BackgroundChecks, 14, 10, 1, 1) = 0, "", OFFSET('IWP30'!BackgroundChecks, 14, 10, 1, 1))</f>
        <v/>
      </c>
      <c r="K677" s="262" t="str">
        <f ca="1">IF(OFFSET('IWP30'!BackgroundChecks, 14, 11, 1, 1) = 0, "", OFFSET('IWP30'!BackgroundChecks, 14, 11, 1, 1))</f>
        <v/>
      </c>
      <c r="L677" s="262" t="str">
        <f ca="1">IF(OFFSET('IWP30'!BackgroundChecks, 14, 12, 1, 1) = 0, "", OFFSET('IWP30'!BackgroundChecks, 14, 12, 1, 1))</f>
        <v/>
      </c>
      <c r="M677" s="262" t="str">
        <f ca="1">IF(OFFSET('IWP30'!BackgroundChecks, 14, 13, 1, 1) = 0, "", OFFSET('IWP30'!BackgroundChecks, 14, 13, 1, 1))</f>
        <v/>
      </c>
      <c r="N677" s="261"/>
    </row>
    <row r="678" spans="1:14" s="146" customFormat="1">
      <c r="A678" s="257" t="s">
        <v>528</v>
      </c>
      <c r="B678" s="262" t="str">
        <f ca="1">IF(OFFSET('IWP30'!BackgroundChecks, 15, 0, 1, 1) = 0, "", OFFSET('IWP30'!BackgroundChecks, 15, 0, 1, 1))</f>
        <v/>
      </c>
      <c r="C678" s="262" t="str">
        <f ca="1">IF(OFFSET('IWP30'!BackgroundChecks, 15, 2, 1, 1) = 0, "", OFFSET('IWP30'!BackgroundChecks, 15, 2, 1, 1))</f>
        <v/>
      </c>
      <c r="D678" s="262" t="str">
        <f ca="1">IF(OFFSET('IWP30'!BackgroundChecks, 15, 4, 1, 1) = 0, "", OFFSET('IWP30'!BackgroundChecks, 15, 4, 1, 1))</f>
        <v/>
      </c>
      <c r="E678" s="254">
        <f ca="1">IF(OFFSET('IWP30'!BackgroundChecks, 15, 5, 1, 1)=DATE(1900,1,0), DATE(1900,1,1), OFFSET('IWP30'!BackgroundChecks, 15, 5, 1, 1))</f>
        <v>1</v>
      </c>
      <c r="F678" s="262" t="str">
        <f ca="1">IF(OFFSET('IWP30'!BackgroundChecks, 15, 6, 1, 1) = 0, "", OFFSET('IWP30'!BackgroundChecks, 15, 6, 1, 1))</f>
        <v/>
      </c>
      <c r="G678" s="254">
        <f ca="1">IF(OFFSET('IWP30'!BackgroundChecks, 15, 7, 1, 1)=DATE(1900,1,0), DATE(1900,1,1), OFFSET('IWP30'!BackgroundChecks, 15, 7, 1, 1))</f>
        <v>1</v>
      </c>
      <c r="H678" s="254">
        <f ca="1">IF(OFFSET('IWP30'!BackgroundChecks, 15, 8, 1, 1)=DATE(1900,1,0), DATE(1900,1,1), OFFSET('IWP30'!BackgroundChecks, 15, 8, 1, 1))</f>
        <v>1</v>
      </c>
      <c r="I678" s="262" t="str">
        <f ca="1">IF(OFFSET('IWP30'!BackgroundChecks, 15, 9, 1, 1) = 0, "", OFFSET('IWP30'!BackgroundChecks, 15, 9, 1, 1))</f>
        <v/>
      </c>
      <c r="J678" s="262" t="str">
        <f ca="1">IF(OFFSET('IWP30'!BackgroundChecks, 15, 10, 1, 1) = 0, "", OFFSET('IWP30'!BackgroundChecks, 15, 10, 1, 1))</f>
        <v/>
      </c>
      <c r="K678" s="262" t="str">
        <f ca="1">IF(OFFSET('IWP30'!BackgroundChecks, 15, 11, 1, 1) = 0, "", OFFSET('IWP30'!BackgroundChecks, 15, 11, 1, 1))</f>
        <v/>
      </c>
      <c r="L678" s="262" t="str">
        <f ca="1">IF(OFFSET('IWP30'!BackgroundChecks, 15, 12, 1, 1) = 0, "", OFFSET('IWP30'!BackgroundChecks, 15, 12, 1, 1))</f>
        <v/>
      </c>
      <c r="M678" s="262" t="str">
        <f ca="1">IF(OFFSET('IWP30'!BackgroundChecks, 15, 13, 1, 1) = 0, "", OFFSET('IWP30'!BackgroundChecks, 15, 13, 1, 1))</f>
        <v/>
      </c>
      <c r="N678" s="261"/>
    </row>
    <row r="679" spans="1:14" s="146" customFormat="1">
      <c r="A679" s="257" t="s">
        <v>528</v>
      </c>
      <c r="B679" s="262" t="str">
        <f ca="1">IF(OFFSET('IWP30'!BackgroundChecks, 16, 0, 1, 1) = 0, "", OFFSET('IWP30'!BackgroundChecks, 16, 0, 1, 1))</f>
        <v/>
      </c>
      <c r="C679" s="262" t="str">
        <f ca="1">IF(OFFSET('IWP30'!BackgroundChecks, 16, 2, 1, 1) = 0, "", OFFSET('IWP30'!BackgroundChecks, 16, 2, 1, 1))</f>
        <v/>
      </c>
      <c r="D679" s="262" t="str">
        <f ca="1">IF(OFFSET('IWP30'!BackgroundChecks, 16, 4, 1, 1) = 0, "", OFFSET('IWP30'!BackgroundChecks, 16, 4, 1, 1))</f>
        <v/>
      </c>
      <c r="E679" s="254">
        <f ca="1">IF(OFFSET('IWP30'!BackgroundChecks, 16, 5, 1, 1)=DATE(1900,1,0), DATE(1900,1,1), OFFSET('IWP30'!BackgroundChecks, 16, 5, 1, 1))</f>
        <v>1</v>
      </c>
      <c r="F679" s="262" t="str">
        <f ca="1">IF(OFFSET('IWP30'!BackgroundChecks, 16, 6, 1, 1) = 0, "", OFFSET('IWP30'!BackgroundChecks, 16, 6, 1, 1))</f>
        <v/>
      </c>
      <c r="G679" s="254">
        <f ca="1">IF(OFFSET('IWP30'!BackgroundChecks, 16, 7, 1, 1)=DATE(1900,1,0), DATE(1900,1,1), OFFSET('IWP30'!BackgroundChecks, 16, 7, 1, 1))</f>
        <v>1</v>
      </c>
      <c r="H679" s="254">
        <f ca="1">IF(OFFSET('IWP30'!BackgroundChecks, 16, 8, 1, 1)=DATE(1900,1,0), DATE(1900,1,1), OFFSET('IWP30'!BackgroundChecks, 16, 8, 1, 1))</f>
        <v>1</v>
      </c>
      <c r="I679" s="262" t="str">
        <f ca="1">IF(OFFSET('IWP30'!BackgroundChecks, 16, 9, 1, 1) = 0, "", OFFSET('IWP30'!BackgroundChecks, 16, 9, 1, 1))</f>
        <v/>
      </c>
      <c r="J679" s="262" t="str">
        <f ca="1">IF(OFFSET('IWP30'!BackgroundChecks, 16, 10, 1, 1) = 0, "", OFFSET('IWP30'!BackgroundChecks, 16, 10, 1, 1))</f>
        <v/>
      </c>
      <c r="K679" s="262" t="str">
        <f ca="1">IF(OFFSET('IWP30'!BackgroundChecks, 16, 11, 1, 1) = 0, "", OFFSET('IWP30'!BackgroundChecks, 16, 11, 1, 1))</f>
        <v/>
      </c>
      <c r="L679" s="262" t="str">
        <f ca="1">IF(OFFSET('IWP30'!BackgroundChecks, 16, 12, 1, 1) = 0, "", OFFSET('IWP30'!BackgroundChecks, 16, 12, 1, 1))</f>
        <v/>
      </c>
      <c r="M679" s="262" t="str">
        <f ca="1">IF(OFFSET('IWP30'!BackgroundChecks, 16, 13, 1, 1) = 0, "", OFFSET('IWP30'!BackgroundChecks, 16, 13, 1, 1))</f>
        <v/>
      </c>
      <c r="N679" s="261"/>
    </row>
    <row r="680" spans="1:14" s="146" customFormat="1">
      <c r="A680" s="257" t="s">
        <v>528</v>
      </c>
      <c r="B680" s="262" t="str">
        <f ca="1">IF(OFFSET('IWP30'!BackgroundChecks, 17, 0, 1, 1) = 0, "", OFFSET('IWP30'!BackgroundChecks, 17, 0, 1, 1))</f>
        <v/>
      </c>
      <c r="C680" s="262" t="str">
        <f ca="1">IF(OFFSET('IWP30'!BackgroundChecks, 17, 2, 1, 1) = 0, "", OFFSET('IWP30'!BackgroundChecks, 17, 2, 1, 1))</f>
        <v/>
      </c>
      <c r="D680" s="262" t="str">
        <f ca="1">IF(OFFSET('IWP30'!BackgroundChecks, 17, 4, 1, 1) = 0, "", OFFSET('IWP30'!BackgroundChecks, 17, 4, 1, 1))</f>
        <v/>
      </c>
      <c r="E680" s="254">
        <f ca="1">IF(OFFSET('IWP30'!BackgroundChecks, 17, 5, 1, 1)=DATE(1900,1,0), DATE(1900,1,1), OFFSET('IWP30'!BackgroundChecks, 17, 5, 1, 1))</f>
        <v>1</v>
      </c>
      <c r="F680" s="262" t="str">
        <f ca="1">IF(OFFSET('IWP30'!BackgroundChecks, 17, 6, 1, 1) = 0, "", OFFSET('IWP30'!BackgroundChecks, 17, 6, 1, 1))</f>
        <v/>
      </c>
      <c r="G680" s="254">
        <f ca="1">IF(OFFSET('IWP30'!BackgroundChecks, 17, 7, 1, 1)=DATE(1900,1,0), DATE(1900,1,1), OFFSET('IWP30'!BackgroundChecks, 17, 7, 1, 1))</f>
        <v>1</v>
      </c>
      <c r="H680" s="254">
        <f ca="1">IF(OFFSET('IWP30'!BackgroundChecks, 17, 8, 1, 1)=DATE(1900,1,0), DATE(1900,1,1), OFFSET('IWP30'!BackgroundChecks, 17, 8, 1, 1))</f>
        <v>1</v>
      </c>
      <c r="I680" s="262" t="str">
        <f ca="1">IF(OFFSET('IWP30'!BackgroundChecks, 17, 9, 1, 1) = 0, "", OFFSET('IWP30'!BackgroundChecks, 17, 9, 1, 1))</f>
        <v/>
      </c>
      <c r="J680" s="262" t="str">
        <f ca="1">IF(OFFSET('IWP30'!BackgroundChecks, 17, 10, 1, 1) = 0, "", OFFSET('IWP30'!BackgroundChecks, 17, 10, 1, 1))</f>
        <v/>
      </c>
      <c r="K680" s="262" t="str">
        <f ca="1">IF(OFFSET('IWP30'!BackgroundChecks, 17, 11, 1, 1) = 0, "", OFFSET('IWP30'!BackgroundChecks, 17, 11, 1, 1))</f>
        <v/>
      </c>
      <c r="L680" s="262" t="str">
        <f ca="1">IF(OFFSET('IWP30'!BackgroundChecks, 17, 12, 1, 1) = 0, "", OFFSET('IWP30'!BackgroundChecks, 17, 12, 1, 1))</f>
        <v/>
      </c>
      <c r="M680" s="262" t="str">
        <f ca="1">IF(OFFSET('IWP30'!BackgroundChecks, 17, 13, 1, 1) = 0, "", OFFSET('IWP30'!BackgroundChecks, 17, 13, 1, 1))</f>
        <v/>
      </c>
      <c r="N680" s="261"/>
    </row>
    <row r="681" spans="1:14" s="146" customFormat="1">
      <c r="A681" s="257" t="s">
        <v>528</v>
      </c>
      <c r="B681" s="262" t="str">
        <f ca="1">IF(OFFSET('IWP30'!BackgroundChecks, 18, 0, 1, 1) = 0, "", OFFSET('IWP30'!BackgroundChecks, 18, 0, 1, 1))</f>
        <v/>
      </c>
      <c r="C681" s="262" t="str">
        <f ca="1">IF(OFFSET('IWP30'!BackgroundChecks, 18, 2, 1, 1) = 0, "", OFFSET('IWP30'!BackgroundChecks, 18, 2, 1, 1))</f>
        <v/>
      </c>
      <c r="D681" s="262" t="str">
        <f ca="1">IF(OFFSET('IWP30'!BackgroundChecks, 18, 4, 1, 1) = 0, "", OFFSET('IWP30'!BackgroundChecks, 18, 4, 1, 1))</f>
        <v/>
      </c>
      <c r="E681" s="254">
        <f ca="1">IF(OFFSET('IWP30'!BackgroundChecks, 18, 5, 1, 1)=DATE(1900,1,0), DATE(1900,1,1), OFFSET('IWP30'!BackgroundChecks, 18, 5, 1, 1))</f>
        <v>1</v>
      </c>
      <c r="F681" s="262" t="str">
        <f ca="1">IF(OFFSET('IWP30'!BackgroundChecks, 18, 6, 1, 1) = 0, "", OFFSET('IWP30'!BackgroundChecks, 18, 6, 1, 1))</f>
        <v/>
      </c>
      <c r="G681" s="254">
        <f ca="1">IF(OFFSET('IWP30'!BackgroundChecks, 18, 7, 1, 1)=DATE(1900,1,0), DATE(1900,1,1), OFFSET('IWP30'!BackgroundChecks, 18, 7, 1, 1))</f>
        <v>1</v>
      </c>
      <c r="H681" s="254">
        <f ca="1">IF(OFFSET('IWP30'!BackgroundChecks, 18, 8, 1, 1)=DATE(1900,1,0), DATE(1900,1,1), OFFSET('IWP30'!BackgroundChecks, 18, 8, 1, 1))</f>
        <v>1</v>
      </c>
      <c r="I681" s="262" t="str">
        <f ca="1">IF(OFFSET('IWP30'!BackgroundChecks, 18, 9, 1, 1) = 0, "", OFFSET('IWP30'!BackgroundChecks, 18, 9, 1, 1))</f>
        <v/>
      </c>
      <c r="J681" s="262" t="str">
        <f ca="1">IF(OFFSET('IWP30'!BackgroundChecks, 18, 10, 1, 1) = 0, "", OFFSET('IWP30'!BackgroundChecks, 18, 10, 1, 1))</f>
        <v/>
      </c>
      <c r="K681" s="262" t="str">
        <f ca="1">IF(OFFSET('IWP30'!BackgroundChecks, 18, 11, 1, 1) = 0, "", OFFSET('IWP30'!BackgroundChecks, 18, 11, 1, 1))</f>
        <v/>
      </c>
      <c r="L681" s="262" t="str">
        <f ca="1">IF(OFFSET('IWP30'!BackgroundChecks, 18, 12, 1, 1) = 0, "", OFFSET('IWP30'!BackgroundChecks, 18, 12, 1, 1))</f>
        <v/>
      </c>
      <c r="M681" s="262" t="str">
        <f ca="1">IF(OFFSET('IWP30'!BackgroundChecks, 18, 13, 1, 1) = 0, "", OFFSET('IWP30'!BackgroundChecks, 18, 13, 1, 1))</f>
        <v/>
      </c>
      <c r="N681" s="261"/>
    </row>
    <row r="682" spans="1:14" s="146" customFormat="1" ht="15.75" thickBot="1">
      <c r="A682" s="258" t="s">
        <v>528</v>
      </c>
      <c r="B682" s="260" t="str">
        <f ca="1">IF(OFFSET('IWP30'!BackgroundChecks, 19, 0, 1, 1) = 0, "", OFFSET('IWP30'!BackgroundChecks, 19, 0, 1, 1))</f>
        <v/>
      </c>
      <c r="C682" s="260" t="str">
        <f ca="1">IF(OFFSET('IWP30'!BackgroundChecks, 19, 2, 1, 1) = 0, "", OFFSET('IWP30'!BackgroundChecks, 19, 2, 1, 1))</f>
        <v/>
      </c>
      <c r="D682" s="260" t="str">
        <f ca="1">IF(OFFSET('IWP30'!BackgroundChecks, 19, 4, 1, 1) = 0, "", OFFSET('IWP30'!BackgroundChecks, 19, 4, 1, 1))</f>
        <v/>
      </c>
      <c r="E682" s="256">
        <f ca="1">IF(OFFSET('IWP30'!BackgroundChecks, 19, 5, 1, 1)=DATE(1900,1,0), DATE(1900,1,1), OFFSET('IWP30'!BackgroundChecks, 19, 5, 1, 1))</f>
        <v>1</v>
      </c>
      <c r="F682" s="260" t="str">
        <f ca="1">IF(OFFSET('IWP30'!BackgroundChecks, 19, 6, 1, 1) = 0, "", OFFSET('IWP30'!BackgroundChecks, 19, 6, 1, 1))</f>
        <v/>
      </c>
      <c r="G682" s="256">
        <f ca="1">IF(OFFSET('IWP30'!BackgroundChecks, 19, 7, 1, 1)=DATE(1900,1,0), DATE(1900,1,1), OFFSET('IWP30'!BackgroundChecks, 19, 7, 1, 1))</f>
        <v>1</v>
      </c>
      <c r="H682" s="256">
        <f ca="1">IF(OFFSET('IWP30'!BackgroundChecks, 19, 8, 1, 1)=DATE(1900,1,0), DATE(1900,1,1), OFFSET('IWP30'!BackgroundChecks, 19, 8, 1, 1))</f>
        <v>1</v>
      </c>
      <c r="I682" s="260" t="str">
        <f ca="1">IF(OFFSET('IWP30'!BackgroundChecks, 19, 9, 1, 1) = 0, "", OFFSET('IWP30'!BackgroundChecks, 19, 9, 1, 1))</f>
        <v/>
      </c>
      <c r="J682" s="260" t="str">
        <f ca="1">IF(OFFSET('IWP30'!BackgroundChecks, 19, 10, 1, 1) = 0, "", OFFSET('IWP30'!BackgroundChecks, 19, 10, 1, 1))</f>
        <v/>
      </c>
      <c r="K682" s="260" t="str">
        <f ca="1">IF(OFFSET('IWP30'!BackgroundChecks, 19, 11, 1, 1) = 0, "", OFFSET('IWP30'!BackgroundChecks, 19, 11, 1, 1))</f>
        <v/>
      </c>
      <c r="L682" s="260" t="str">
        <f ca="1">IF(OFFSET('IWP30'!BackgroundChecks, 19, 12, 1, 1) = 0, "", OFFSET('IWP30'!BackgroundChecks, 19, 12, 1, 1))</f>
        <v/>
      </c>
      <c r="M682" s="260" t="str">
        <f ca="1">IF(OFFSET('IWP30'!BackgroundChecks, 19, 13, 1, 1) = 0, "", OFFSET('IWP30'!BackgroundChecks, 19, 13, 1, 1))</f>
        <v/>
      </c>
      <c r="N682" s="259"/>
    </row>
    <row r="685" spans="1:14" ht="15.75" thickBot="1">
      <c r="A685" s="168" t="s">
        <v>547</v>
      </c>
    </row>
    <row r="686" spans="1:14" s="107" customFormat="1" ht="30">
      <c r="A686" s="170" t="s">
        <v>443</v>
      </c>
      <c r="B686" s="171" t="s">
        <v>541</v>
      </c>
      <c r="C686" s="171" t="s">
        <v>542</v>
      </c>
      <c r="D686" s="171" t="s">
        <v>543</v>
      </c>
      <c r="E686" s="171" t="s">
        <v>544</v>
      </c>
      <c r="F686" s="171" t="s">
        <v>545</v>
      </c>
      <c r="G686" s="173" t="s">
        <v>546</v>
      </c>
    </row>
    <row r="687" spans="1:14">
      <c r="A687" s="183" t="s">
        <v>499</v>
      </c>
      <c r="B687" s="195" t="str">
        <f ca="1">IF(OFFSET('IWP01'!Std3LicenseInfo, 0, 0, 1, 1) = 0, "", OFFSET('IWP01'!Std3LicenseInfo, 0, 0, 1, 1))</f>
        <v/>
      </c>
      <c r="C687" s="195" t="str">
        <f ca="1">IF(OFFSET('IWP01'!Std3LicenseInfo, 0, 3, 1, 1) = 0, "", OFFSET('IWP01'!Std3LicenseInfo, 0, 3, 1, 1))</f>
        <v/>
      </c>
      <c r="D687" s="195" t="str">
        <f ca="1">IF(OFFSET('IWP01'!Std3LicenseInfo, 0, 6, 1, 1) = 0, "", OFFSET('IWP01'!Std3LicenseInfo, 0, 6, 1, 1))</f>
        <v/>
      </c>
      <c r="E687" s="172">
        <f ca="1">IF(OFFSET('IWP01'!Std3LicenseInfo, 0, 9, 1, 1)=DATE(1900,1,0), DATE(1900,1,1), OFFSET('IWP01'!Std3LicenseInfo, 0, 9, 1, 1))</f>
        <v>1</v>
      </c>
      <c r="F687" s="172">
        <f ca="1">IF(OFFSET('IWP01'!Std3LicenseInfo, 0, 10, 1, 1)=DATE(1900,1,0), DATE(1900,1,1), OFFSET('IWP01'!Std3LicenseInfo, 0, 10, 1, 1))</f>
        <v>1</v>
      </c>
      <c r="G687" s="194" t="str">
        <f ca="1">IF(OFFSET('IWP01'!Std3LicenseInfo, 0, 11, 1, 1) = 0, "", OFFSET('IWP01'!Std3LicenseInfo, 0, 11, 1, 1))</f>
        <v/>
      </c>
    </row>
    <row r="688" spans="1:14">
      <c r="A688" s="183" t="s">
        <v>499</v>
      </c>
      <c r="B688" s="195" t="str">
        <f ca="1">IF(OFFSET('IWP01'!Std3LicenseInfo, 1, 0, 1, 1) = 0, "", OFFSET('IWP01'!Std3LicenseInfo, 1, 0, 1, 1))</f>
        <v/>
      </c>
      <c r="C688" s="195" t="str">
        <f ca="1">IF(OFFSET('IWP01'!Std3LicenseInfo, 1, 3, 1, 1) = 0, "", OFFSET('IWP01'!Std3LicenseInfo, 1, 3, 1, 1))</f>
        <v/>
      </c>
      <c r="D688" s="195" t="str">
        <f ca="1">IF(OFFSET('IWP01'!Std3LicenseInfo, 1, 6, 1, 1) = 0, "", OFFSET('IWP01'!Std3LicenseInfo, 1, 6, 1, 1))</f>
        <v/>
      </c>
      <c r="E688" s="172">
        <f ca="1">IF(OFFSET('IWP01'!Std3LicenseInfo, 1, 9, 1, 1)=DATE(1900,1,0), DATE(1900,1,1), OFFSET('IWP01'!Std3LicenseInfo, 1, 9, 1, 1))</f>
        <v>1</v>
      </c>
      <c r="F688" s="172">
        <f ca="1">IF(OFFSET('IWP01'!Std3LicenseInfo, 1, 10, 1, 1)=DATE(1900,1,0), DATE(1900,1,1), OFFSET('IWP01'!Std3LicenseInfo, 1, 10, 1, 1))</f>
        <v>1</v>
      </c>
      <c r="G688" s="194" t="str">
        <f ca="1">IF(OFFSET('IWP01'!Std3LicenseInfo, 1, 11, 1, 1) = 0, "", OFFSET('IWP01'!Std3LicenseInfo, 1, 11, 1, 1))</f>
        <v/>
      </c>
    </row>
    <row r="689" spans="1:7">
      <c r="A689" s="183" t="s">
        <v>499</v>
      </c>
      <c r="B689" s="195" t="str">
        <f ca="1">IF(OFFSET('IWP01'!Std3LicenseInfo, 2, 0, 1, 1) = 0, "", OFFSET('IWP01'!Std3LicenseInfo, 2, 0, 1, 1))</f>
        <v/>
      </c>
      <c r="C689" s="195" t="str">
        <f ca="1">IF(OFFSET('IWP01'!Std3LicenseInfo, 2, 3, 1, 1) = 0, "", OFFSET('IWP01'!Std3LicenseInfo, 2, 3, 1, 1))</f>
        <v/>
      </c>
      <c r="D689" s="195" t="str">
        <f ca="1">IF(OFFSET('IWP01'!Std3LicenseInfo, 2, 6, 1, 1) = 0, "", OFFSET('IWP01'!Std3LicenseInfo, 2, 6, 1, 1))</f>
        <v/>
      </c>
      <c r="E689" s="172">
        <f ca="1">IF(OFFSET('IWP01'!Std3LicenseInfo, 2, 9, 1, 1)=DATE(1900,1,0), DATE(1900,1,1), OFFSET('IWP01'!Std3LicenseInfo, 2, 9, 1, 1))</f>
        <v>1</v>
      </c>
      <c r="F689" s="172">
        <f ca="1">IF(OFFSET('IWP01'!Std3LicenseInfo, 2, 10, 1, 1)=DATE(1900,1,0), DATE(1900,1,1), OFFSET('IWP01'!Std3LicenseInfo, 2, 10, 1, 1))</f>
        <v>1</v>
      </c>
      <c r="G689" s="194" t="str">
        <f ca="1">IF(OFFSET('IWP01'!Std3LicenseInfo, 2, 11, 1, 1) = 0, "", OFFSET('IWP01'!Std3LicenseInfo, 2, 11, 1, 1))</f>
        <v/>
      </c>
    </row>
    <row r="690" spans="1:7">
      <c r="A690" s="183" t="s">
        <v>499</v>
      </c>
      <c r="B690" s="195" t="str">
        <f ca="1">IF(OFFSET('IWP01'!Std3LicenseInfo, 3, 0, 1, 1) = 0, "", OFFSET('IWP01'!Std3LicenseInfo, 3, 0, 1, 1))</f>
        <v/>
      </c>
      <c r="C690" s="195" t="str">
        <f ca="1">IF(OFFSET('IWP01'!Std3LicenseInfo, 3, 3, 1, 1) = 0, "", OFFSET('IWP01'!Std3LicenseInfo, 3, 3, 1, 1))</f>
        <v/>
      </c>
      <c r="D690" s="195" t="str">
        <f ca="1">IF(OFFSET('IWP01'!Std3LicenseInfo, 3, 6, 1, 1) = 0, "", OFFSET('IWP01'!Std3LicenseInfo, 3, 6, 1, 1))</f>
        <v/>
      </c>
      <c r="E690" s="172">
        <f ca="1">IF(OFFSET('IWP01'!Std3LicenseInfo, 3, 9, 1, 1)=DATE(1900,1,0), DATE(1900,1,1), OFFSET('IWP01'!Std3LicenseInfo, 3, 9, 1, 1))</f>
        <v>1</v>
      </c>
      <c r="F690" s="172">
        <f ca="1">IF(OFFSET('IWP01'!Std3LicenseInfo, 3, 10, 1, 1)=DATE(1900,1,0), DATE(1900,1,1), OFFSET('IWP01'!Std3LicenseInfo, 3, 10, 1, 1))</f>
        <v>1</v>
      </c>
      <c r="G690" s="194" t="str">
        <f ca="1">IF(OFFSET('IWP01'!Std3LicenseInfo, 3, 11, 1, 1) = 0, "", OFFSET('IWP01'!Std3LicenseInfo, 3, 11, 1, 1))</f>
        <v/>
      </c>
    </row>
    <row r="691" spans="1:7">
      <c r="A691" s="183" t="s">
        <v>499</v>
      </c>
      <c r="B691" s="195" t="str">
        <f ca="1">IF(OFFSET('IWP01'!Std3LicenseInfo, 4, 0, 1, 1) = 0, "", OFFSET('IWP01'!Std3LicenseInfo, 4, 0, 1, 1))</f>
        <v/>
      </c>
      <c r="C691" s="195" t="str">
        <f ca="1">IF(OFFSET('IWP01'!Std3LicenseInfo, 4, 3, 1, 1) = 0, "", OFFSET('IWP01'!Std3LicenseInfo, 4, 3, 1, 1))</f>
        <v/>
      </c>
      <c r="D691" s="195" t="str">
        <f ca="1">IF(OFFSET('IWP01'!Std3LicenseInfo, 4, 6, 1, 1) = 0, "", OFFSET('IWP01'!Std3LicenseInfo, 4, 6, 1, 1))</f>
        <v/>
      </c>
      <c r="E691" s="172">
        <f ca="1">IF(OFFSET('IWP01'!Std3LicenseInfo, 4, 9, 1, 1)=DATE(1900,1,0), DATE(1900,1,1), OFFSET('IWP01'!Std3LicenseInfo, 4, 9, 1, 1))</f>
        <v>1</v>
      </c>
      <c r="F691" s="172">
        <f ca="1">IF(OFFSET('IWP01'!Std3LicenseInfo, 4, 10, 1, 1)=DATE(1900,1,0), DATE(1900,1,1), OFFSET('IWP01'!Std3LicenseInfo, 4, 10, 1, 1))</f>
        <v>1</v>
      </c>
      <c r="G691" s="194" t="str">
        <f ca="1">IF(OFFSET('IWP01'!Std3LicenseInfo, 4, 11, 1, 1) = 0, "", OFFSET('IWP01'!Std3LicenseInfo, 4, 11, 1, 1))</f>
        <v/>
      </c>
    </row>
    <row r="692" spans="1:7">
      <c r="A692" s="183" t="s">
        <v>499</v>
      </c>
      <c r="B692" s="195" t="str">
        <f ca="1">IF(OFFSET('IWP01'!Std3LicenseInfo, 5, 0, 1, 1) = 0, "", OFFSET('IWP01'!Std3LicenseInfo, 5, 0, 1, 1))</f>
        <v/>
      </c>
      <c r="C692" s="195" t="str">
        <f ca="1">IF(OFFSET('IWP01'!Std3LicenseInfo, 5, 3, 1, 1) = 0, "", OFFSET('IWP01'!Std3LicenseInfo, 5, 3, 1, 1))</f>
        <v/>
      </c>
      <c r="D692" s="195" t="str">
        <f ca="1">IF(OFFSET('IWP01'!Std3LicenseInfo, 5, 6, 1, 1) = 0, "", OFFSET('IWP01'!Std3LicenseInfo, 5, 6, 1, 1))</f>
        <v/>
      </c>
      <c r="E692" s="172">
        <f ca="1">IF(OFFSET('IWP01'!Std3LicenseInfo, 5, 9, 1, 1)=DATE(1900,1,0), DATE(1900,1,1), OFFSET('IWP01'!Std3LicenseInfo, 5, 9, 1, 1))</f>
        <v>1</v>
      </c>
      <c r="F692" s="172">
        <f ca="1">IF(OFFSET('IWP01'!Std3LicenseInfo, 5, 10, 1, 1)=DATE(1900,1,0), DATE(1900,1,1), OFFSET('IWP01'!Std3LicenseInfo, 5, 10, 1, 1))</f>
        <v>1</v>
      </c>
      <c r="G692" s="194" t="str">
        <f ca="1">IF(OFFSET('IWP01'!Std3LicenseInfo, 5, 11, 1, 1) = 0, "", OFFSET('IWP01'!Std3LicenseInfo, 5, 11, 1, 1))</f>
        <v/>
      </c>
    </row>
    <row r="693" spans="1:7">
      <c r="A693" s="183" t="s">
        <v>499</v>
      </c>
      <c r="B693" s="195" t="str">
        <f ca="1">IF(OFFSET('IWP01'!Std3LicenseInfo, 6, 0, 1, 1) = 0, "", OFFSET('IWP01'!Std3LicenseInfo, 6, 0, 1, 1))</f>
        <v/>
      </c>
      <c r="C693" s="195" t="str">
        <f ca="1">IF(OFFSET('IWP01'!Std3LicenseInfo, 6, 3, 1, 1) = 0, "", OFFSET('IWP01'!Std3LicenseInfo, 6, 3, 1, 1))</f>
        <v/>
      </c>
      <c r="D693" s="195" t="str">
        <f ca="1">IF(OFFSET('IWP01'!Std3LicenseInfo, 6, 6, 1, 1) = 0, "", OFFSET('IWP01'!Std3LicenseInfo, 6, 6, 1, 1))</f>
        <v/>
      </c>
      <c r="E693" s="172">
        <f ca="1">IF(OFFSET('IWP01'!Std3LicenseInfo, 6, 9, 1, 1)=DATE(1900,1,0), DATE(1900,1,1), OFFSET('IWP01'!Std3LicenseInfo, 6, 9, 1, 1))</f>
        <v>1</v>
      </c>
      <c r="F693" s="172">
        <f ca="1">IF(OFFSET('IWP01'!Std3LicenseInfo, 6, 10, 1, 1)=DATE(1900,1,0), DATE(1900,1,1), OFFSET('IWP01'!Std3LicenseInfo, 6, 10, 1, 1))</f>
        <v>1</v>
      </c>
      <c r="G693" s="194" t="str">
        <f ca="1">IF(OFFSET('IWP01'!Std3LicenseInfo, 6, 11, 1, 1) = 0, "", OFFSET('IWP01'!Std3LicenseInfo, 6, 11, 1, 1))</f>
        <v/>
      </c>
    </row>
    <row r="694" spans="1:7">
      <c r="A694" s="183" t="s">
        <v>499</v>
      </c>
      <c r="B694" s="195" t="str">
        <f ca="1">IF(OFFSET('IWP01'!Std3LicenseInfo, 7, 0, 1, 1) = 0, "", OFFSET('IWP01'!Std3LicenseInfo, 7, 0, 1, 1))</f>
        <v/>
      </c>
      <c r="C694" s="195" t="str">
        <f ca="1">IF(OFFSET('IWP01'!Std3LicenseInfo, 7, 3, 1, 1) = 0, "", OFFSET('IWP01'!Std3LicenseInfo, 7, 3, 1, 1))</f>
        <v/>
      </c>
      <c r="D694" s="195" t="str">
        <f ca="1">IF(OFFSET('IWP01'!Std3LicenseInfo, 7, 6, 1, 1) = 0, "", OFFSET('IWP01'!Std3LicenseInfo, 7, 6, 1, 1))</f>
        <v/>
      </c>
      <c r="E694" s="172">
        <f ca="1">IF(OFFSET('IWP01'!Std3LicenseInfo, 7, 9, 1, 1)=DATE(1900,1,0), DATE(1900,1,1), OFFSET('IWP01'!Std3LicenseInfo, 7, 9, 1, 1))</f>
        <v>1</v>
      </c>
      <c r="F694" s="172">
        <f ca="1">IF(OFFSET('IWP01'!Std3LicenseInfo, 7, 10, 1, 1)=DATE(1900,1,0), DATE(1900,1,1), OFFSET('IWP01'!Std3LicenseInfo, 7, 10, 1, 1))</f>
        <v>1</v>
      </c>
      <c r="G694" s="194" t="str">
        <f ca="1">IF(OFFSET('IWP01'!Std3LicenseInfo, 7, 11, 1, 1) = 0, "", OFFSET('IWP01'!Std3LicenseInfo, 7, 11, 1, 1))</f>
        <v/>
      </c>
    </row>
    <row r="695" spans="1:7">
      <c r="A695" s="183" t="s">
        <v>499</v>
      </c>
      <c r="B695" s="195" t="str">
        <f ca="1">IF(OFFSET('IWP01'!Std3LicenseInfo, 8, 0, 1, 1) = 0, "", OFFSET('IWP01'!Std3LicenseInfo, 8, 0, 1, 1))</f>
        <v/>
      </c>
      <c r="C695" s="195" t="str">
        <f ca="1">IF(OFFSET('IWP01'!Std3LicenseInfo, 8, 3, 1, 1) = 0, "", OFFSET('IWP01'!Std3LicenseInfo, 8, 3, 1, 1))</f>
        <v/>
      </c>
      <c r="D695" s="195" t="str">
        <f ca="1">IF(OFFSET('IWP01'!Std3LicenseInfo, 8, 6, 1, 1) = 0, "", OFFSET('IWP01'!Std3LicenseInfo, 8, 6, 1, 1))</f>
        <v/>
      </c>
      <c r="E695" s="172">
        <f ca="1">IF(OFFSET('IWP01'!Std3LicenseInfo, 8, 9, 1, 1)=DATE(1900,1,0), DATE(1900,1,1), OFFSET('IWP01'!Std3LicenseInfo, 8, 9, 1, 1))</f>
        <v>1</v>
      </c>
      <c r="F695" s="172">
        <f ca="1">IF(OFFSET('IWP01'!Std3LicenseInfo, 8, 10, 1, 1)=DATE(1900,1,0), DATE(1900,1,1), OFFSET('IWP01'!Std3LicenseInfo, 8, 10, 1, 1))</f>
        <v>1</v>
      </c>
      <c r="G695" s="194" t="str">
        <f ca="1">IF(OFFSET('IWP01'!Std3LicenseInfo, 8, 11, 1, 1) = 0, "", OFFSET('IWP01'!Std3LicenseInfo, 8, 11, 1, 1))</f>
        <v/>
      </c>
    </row>
    <row r="696" spans="1:7">
      <c r="A696" s="183" t="s">
        <v>499</v>
      </c>
      <c r="B696" s="195" t="str">
        <f ca="1">IF(OFFSET('IWP01'!Std3LicenseInfo, 9, 0, 1, 1) = 0, "", OFFSET('IWP01'!Std3LicenseInfo, 9, 0, 1, 1))</f>
        <v/>
      </c>
      <c r="C696" s="195" t="str">
        <f ca="1">IF(OFFSET('IWP01'!Std3LicenseInfo, 9, 3, 1, 1) = 0, "", OFFSET('IWP01'!Std3LicenseInfo, 9, 3, 1, 1))</f>
        <v/>
      </c>
      <c r="D696" s="195" t="str">
        <f ca="1">IF(OFFSET('IWP01'!Std3LicenseInfo, 9, 6, 1, 1) = 0, "", OFFSET('IWP01'!Std3LicenseInfo, 9, 6, 1, 1))</f>
        <v/>
      </c>
      <c r="E696" s="172">
        <f ca="1">IF(OFFSET('IWP01'!Std3LicenseInfo, 9, 9, 1, 1)=DATE(1900,1,0), DATE(1900,1,1), OFFSET('IWP01'!Std3LicenseInfo, 9, 9, 1, 1))</f>
        <v>1</v>
      </c>
      <c r="F696" s="172">
        <f ca="1">IF(OFFSET('IWP01'!Std3LicenseInfo, 9, 10, 1, 1)=DATE(1900,1,0), DATE(1900,1,1), OFFSET('IWP01'!Std3LicenseInfo, 9, 10, 1, 1))</f>
        <v>1</v>
      </c>
      <c r="G696" s="194" t="str">
        <f ca="1">IF(OFFSET('IWP01'!Std3LicenseInfo, 9, 11, 1, 1) = 0, "", OFFSET('IWP01'!Std3LicenseInfo, 9, 11, 1, 1))</f>
        <v/>
      </c>
    </row>
    <row r="697" spans="1:7">
      <c r="A697" s="183" t="s">
        <v>499</v>
      </c>
      <c r="B697" s="195" t="str">
        <f ca="1">IF(OFFSET('IWP01'!Std3LicenseInfo, 10, 0, 1, 1) = 0, "", OFFSET('IWP01'!Std3LicenseInfo, 10, 0, 1, 1))</f>
        <v/>
      </c>
      <c r="C697" s="195" t="str">
        <f ca="1">IF(OFFSET('IWP01'!Std3LicenseInfo, 10, 3, 1, 1) = 0, "", OFFSET('IWP01'!Std3LicenseInfo, 10, 3, 1, 1))</f>
        <v/>
      </c>
      <c r="D697" s="195" t="str">
        <f ca="1">IF(OFFSET('IWP01'!Std3LicenseInfo, 10, 6, 1, 1) = 0, "", OFFSET('IWP01'!Std3LicenseInfo, 10, 6, 1, 1))</f>
        <v/>
      </c>
      <c r="E697" s="172">
        <f ca="1">IF(OFFSET('IWP01'!Std3LicenseInfo, 10, 9, 1, 1)=DATE(1900,1,0), DATE(1900,1,1), OFFSET('IWP01'!Std3LicenseInfo, 10, 9, 1, 1))</f>
        <v>1</v>
      </c>
      <c r="F697" s="172">
        <f ca="1">IF(OFFSET('IWP01'!Std3LicenseInfo, 10, 10, 1, 1)=DATE(1900,1,0), DATE(1900,1,1), OFFSET('IWP01'!Std3LicenseInfo, 10, 10, 1, 1))</f>
        <v>1</v>
      </c>
      <c r="G697" s="194" t="str">
        <f ca="1">IF(OFFSET('IWP01'!Std3LicenseInfo, 10, 11, 1, 1) = 0, "", OFFSET('IWP01'!Std3LicenseInfo, 10, 11, 1, 1))</f>
        <v/>
      </c>
    </row>
    <row r="698" spans="1:7">
      <c r="A698" s="183" t="s">
        <v>499</v>
      </c>
      <c r="B698" s="195" t="str">
        <f ca="1">IF(OFFSET('IWP01'!Std3LicenseInfo, 11, 0, 1, 1) = 0, "", OFFSET('IWP01'!Std3LicenseInfo, 11, 0, 1, 1))</f>
        <v/>
      </c>
      <c r="C698" s="195" t="str">
        <f ca="1">IF(OFFSET('IWP01'!Std3LicenseInfo, 11, 3, 1, 1) = 0, "", OFFSET('IWP01'!Std3LicenseInfo, 11, 3, 1, 1))</f>
        <v/>
      </c>
      <c r="D698" s="195" t="str">
        <f ca="1">IF(OFFSET('IWP01'!Std3LicenseInfo, 11, 6, 1, 1) = 0, "", OFFSET('IWP01'!Std3LicenseInfo, 11, 6, 1, 1))</f>
        <v/>
      </c>
      <c r="E698" s="172">
        <f ca="1">IF(OFFSET('IWP01'!Std3LicenseInfo, 11, 9, 1, 1)=DATE(1900,1,0), DATE(1900,1,1), OFFSET('IWP01'!Std3LicenseInfo, 11, 9, 1, 1))</f>
        <v>1</v>
      </c>
      <c r="F698" s="172">
        <f ca="1">IF(OFFSET('IWP01'!Std3LicenseInfo, 11, 10, 1, 1)=DATE(1900,1,0), DATE(1900,1,1), OFFSET('IWP01'!Std3LicenseInfo, 11, 10, 1, 1))</f>
        <v>1</v>
      </c>
      <c r="G698" s="194" t="str">
        <f ca="1">IF(OFFSET('IWP01'!Std3LicenseInfo, 11, 11, 1, 1) = 0, "", OFFSET('IWP01'!Std3LicenseInfo, 11, 11, 1, 1))</f>
        <v/>
      </c>
    </row>
    <row r="699" spans="1:7">
      <c r="A699" s="183" t="s">
        <v>499</v>
      </c>
      <c r="B699" s="195" t="str">
        <f ca="1">IF(OFFSET('IWP01'!Std3LicenseInfo, 12, 0, 1, 1) = 0, "", OFFSET('IWP01'!Std3LicenseInfo, 12, 0, 1, 1))</f>
        <v/>
      </c>
      <c r="C699" s="195" t="str">
        <f ca="1">IF(OFFSET('IWP01'!Std3LicenseInfo, 12, 3, 1, 1) = 0, "", OFFSET('IWP01'!Std3LicenseInfo, 12, 3, 1, 1))</f>
        <v/>
      </c>
      <c r="D699" s="195" t="str">
        <f ca="1">IF(OFFSET('IWP01'!Std3LicenseInfo, 12, 6, 1, 1) = 0, "", OFFSET('IWP01'!Std3LicenseInfo, 12, 6, 1, 1))</f>
        <v/>
      </c>
      <c r="E699" s="172">
        <f ca="1">IF(OFFSET('IWP01'!Std3LicenseInfo, 12, 9, 1, 1)=DATE(1900,1,0), DATE(1900,1,1), OFFSET('IWP01'!Std3LicenseInfo, 12, 9, 1, 1))</f>
        <v>1</v>
      </c>
      <c r="F699" s="172">
        <f ca="1">IF(OFFSET('IWP01'!Std3LicenseInfo, 12, 10, 1, 1)=DATE(1900,1,0), DATE(1900,1,1), OFFSET('IWP01'!Std3LicenseInfo, 12, 10, 1, 1))</f>
        <v>1</v>
      </c>
      <c r="G699" s="194" t="str">
        <f ca="1">IF(OFFSET('IWP01'!Std3LicenseInfo, 12, 11, 1, 1) = 0, "", OFFSET('IWP01'!Std3LicenseInfo, 12, 11, 1, 1))</f>
        <v/>
      </c>
    </row>
    <row r="700" spans="1:7">
      <c r="A700" s="183" t="s">
        <v>499</v>
      </c>
      <c r="B700" s="195" t="str">
        <f ca="1">IF(OFFSET('IWP01'!Std3LicenseInfo, 13, 0, 1, 1) = 0, "", OFFSET('IWP01'!Std3LicenseInfo, 13, 0, 1, 1))</f>
        <v/>
      </c>
      <c r="C700" s="195" t="str">
        <f ca="1">IF(OFFSET('IWP01'!Std3LicenseInfo, 13, 3, 1, 1) = 0, "", OFFSET('IWP01'!Std3LicenseInfo, 13, 3, 1, 1))</f>
        <v/>
      </c>
      <c r="D700" s="195" t="str">
        <f ca="1">IF(OFFSET('IWP01'!Std3LicenseInfo, 13, 6, 1, 1) = 0, "", OFFSET('IWP01'!Std3LicenseInfo, 13, 6, 1, 1))</f>
        <v/>
      </c>
      <c r="E700" s="172">
        <f ca="1">IF(OFFSET('IWP01'!Std3LicenseInfo, 13, 9, 1, 1)=DATE(1900,1,0), DATE(1900,1,1), OFFSET('IWP01'!Std3LicenseInfo, 13, 9, 1, 1))</f>
        <v>1</v>
      </c>
      <c r="F700" s="172">
        <f ca="1">IF(OFFSET('IWP01'!Std3LicenseInfo, 13, 10, 1, 1)=DATE(1900,1,0), DATE(1900,1,1), OFFSET('IWP01'!Std3LicenseInfo, 13, 10, 1, 1))</f>
        <v>1</v>
      </c>
      <c r="G700" s="194" t="str">
        <f ca="1">IF(OFFSET('IWP01'!Std3LicenseInfo, 13, 11, 1, 1) = 0, "", OFFSET('IWP01'!Std3LicenseInfo, 13, 11, 1, 1))</f>
        <v/>
      </c>
    </row>
    <row r="701" spans="1:7" s="105" customFormat="1">
      <c r="A701" s="183" t="s">
        <v>500</v>
      </c>
      <c r="B701" s="195" t="str">
        <f ca="1">IF(OFFSET('IWP02'!Std3LicenseInfo, 0, 0, 1, 1) = 0, "", OFFSET('IWP02'!Std3LicenseInfo, 0, 0, 1, 1))</f>
        <v/>
      </c>
      <c r="C701" s="195" t="str">
        <f ca="1">IF(OFFSET('IWP02'!Std3LicenseInfo, 0, 3, 1, 1) = 0, "", OFFSET('IWP02'!Std3LicenseInfo, 0, 3, 1, 1))</f>
        <v/>
      </c>
      <c r="D701" s="195" t="str">
        <f ca="1">IF(OFFSET('IWP02'!Std3LicenseInfo, 0, 6, 1, 1) = 0, "", OFFSET('IWP02'!Std3LicenseInfo, 0, 6, 1, 1))</f>
        <v/>
      </c>
      <c r="E701" s="172">
        <f ca="1">IF(OFFSET('IWP02'!Std3LicenseInfo, 0, 9, 1, 1)=DATE(1900,1,0), DATE(1900,1,1), OFFSET('IWP02'!Std3LicenseInfo, 0, 9, 1, 1))</f>
        <v>1</v>
      </c>
      <c r="F701" s="172">
        <f ca="1">IF(OFFSET('IWP02'!Std3LicenseInfo, 0, 10, 1, 1)=DATE(1900,1,0), DATE(1900,1,1), OFFSET('IWP02'!Std3LicenseInfo, 0, 10, 1, 1))</f>
        <v>1</v>
      </c>
      <c r="G701" s="194" t="str">
        <f ca="1">IF(OFFSET('IWP02'!Std3LicenseInfo, 0, 11, 1, 1) = 0, "", OFFSET('IWP02'!Std3LicenseInfo, 0, 11, 1, 1))</f>
        <v/>
      </c>
    </row>
    <row r="702" spans="1:7" s="105" customFormat="1">
      <c r="A702" s="183" t="s">
        <v>500</v>
      </c>
      <c r="B702" s="195" t="str">
        <f ca="1">IF(OFFSET('IWP02'!Std3LicenseInfo, 1, 0, 1, 1) = 0, "", OFFSET('IWP02'!Std3LicenseInfo, 1, 0, 1, 1))</f>
        <v/>
      </c>
      <c r="C702" s="195" t="str">
        <f ca="1">IF(OFFSET('IWP02'!Std3LicenseInfo, 1, 3, 1, 1) = 0, "", OFFSET('IWP02'!Std3LicenseInfo, 1, 3, 1, 1))</f>
        <v/>
      </c>
      <c r="D702" s="195" t="str">
        <f ca="1">IF(OFFSET('IWP02'!Std3LicenseInfo, 1, 6, 1, 1) = 0, "", OFFSET('IWP02'!Std3LicenseInfo, 1, 6, 1, 1))</f>
        <v/>
      </c>
      <c r="E702" s="172">
        <f ca="1">IF(OFFSET('IWP02'!Std3LicenseInfo, 1, 9, 1, 1)=DATE(1900,1,0), DATE(1900,1,1), OFFSET('IWP02'!Std3LicenseInfo, 1, 9, 1, 1))</f>
        <v>1</v>
      </c>
      <c r="F702" s="172">
        <f ca="1">IF(OFFSET('IWP02'!Std3LicenseInfo, 1, 10, 1, 1)=DATE(1900,1,0), DATE(1900,1,1), OFFSET('IWP02'!Std3LicenseInfo, 1, 10, 1, 1))</f>
        <v>1</v>
      </c>
      <c r="G702" s="194" t="str">
        <f ca="1">IF(OFFSET('IWP02'!Std3LicenseInfo, 1, 11, 1, 1) = 0, "", OFFSET('IWP02'!Std3LicenseInfo, 1, 11, 1, 1))</f>
        <v/>
      </c>
    </row>
    <row r="703" spans="1:7" s="105" customFormat="1">
      <c r="A703" s="183" t="s">
        <v>500</v>
      </c>
      <c r="B703" s="195" t="str">
        <f ca="1">IF(OFFSET('IWP02'!Std3LicenseInfo, 2, 0, 1, 1) = 0, "", OFFSET('IWP02'!Std3LicenseInfo, 2, 0, 1, 1))</f>
        <v/>
      </c>
      <c r="C703" s="195" t="str">
        <f ca="1">IF(OFFSET('IWP02'!Std3LicenseInfo, 2, 3, 1, 1) = 0, "", OFFSET('IWP02'!Std3LicenseInfo, 2, 3, 1, 1))</f>
        <v/>
      </c>
      <c r="D703" s="195" t="str">
        <f ca="1">IF(OFFSET('IWP02'!Std3LicenseInfo, 2, 6, 1, 1) = 0, "", OFFSET('IWP02'!Std3LicenseInfo, 2, 6, 1, 1))</f>
        <v/>
      </c>
      <c r="E703" s="172">
        <f ca="1">IF(OFFSET('IWP02'!Std3LicenseInfo, 2, 9, 1, 1)=DATE(1900,1,0), DATE(1900,1,1), OFFSET('IWP02'!Std3LicenseInfo, 2, 9, 1, 1))</f>
        <v>1</v>
      </c>
      <c r="F703" s="172">
        <f ca="1">IF(OFFSET('IWP02'!Std3LicenseInfo, 2, 10, 1, 1)=DATE(1900,1,0), DATE(1900,1,1), OFFSET('IWP02'!Std3LicenseInfo, 2, 10, 1, 1))</f>
        <v>1</v>
      </c>
      <c r="G703" s="194" t="str">
        <f ca="1">IF(OFFSET('IWP02'!Std3LicenseInfo, 2, 11, 1, 1) = 0, "", OFFSET('IWP02'!Std3LicenseInfo, 2, 11, 1, 1))</f>
        <v/>
      </c>
    </row>
    <row r="704" spans="1:7" s="105" customFormat="1">
      <c r="A704" s="183" t="s">
        <v>500</v>
      </c>
      <c r="B704" s="195" t="str">
        <f ca="1">IF(OFFSET('IWP02'!Std3LicenseInfo, 3, 0, 1, 1) = 0, "", OFFSET('IWP02'!Std3LicenseInfo, 3, 0, 1, 1))</f>
        <v/>
      </c>
      <c r="C704" s="195" t="str">
        <f ca="1">IF(OFFSET('IWP02'!Std3LicenseInfo, 3, 3, 1, 1) = 0, "", OFFSET('IWP02'!Std3LicenseInfo, 3, 3, 1, 1))</f>
        <v/>
      </c>
      <c r="D704" s="195" t="str">
        <f ca="1">IF(OFFSET('IWP02'!Std3LicenseInfo, 3, 6, 1, 1) = 0, "", OFFSET('IWP02'!Std3LicenseInfo, 3, 6, 1, 1))</f>
        <v/>
      </c>
      <c r="E704" s="172">
        <f ca="1">IF(OFFSET('IWP02'!Std3LicenseInfo, 3, 9, 1, 1)=DATE(1900,1,0), DATE(1900,1,1), OFFSET('IWP02'!Std3LicenseInfo, 3, 9, 1, 1))</f>
        <v>1</v>
      </c>
      <c r="F704" s="172">
        <f ca="1">IF(OFFSET('IWP02'!Std3LicenseInfo, 3, 10, 1, 1)=DATE(1900,1,0), DATE(1900,1,1), OFFSET('IWP02'!Std3LicenseInfo, 3, 10, 1, 1))</f>
        <v>1</v>
      </c>
      <c r="G704" s="194" t="str">
        <f ca="1">IF(OFFSET('IWP02'!Std3LicenseInfo, 3, 11, 1, 1) = 0, "", OFFSET('IWP02'!Std3LicenseInfo, 3, 11, 1, 1))</f>
        <v/>
      </c>
    </row>
    <row r="705" spans="1:7" s="105" customFormat="1">
      <c r="A705" s="183" t="s">
        <v>500</v>
      </c>
      <c r="B705" s="195" t="str">
        <f ca="1">IF(OFFSET('IWP02'!Std3LicenseInfo, 4, 0, 1, 1) = 0, "", OFFSET('IWP02'!Std3LicenseInfo, 4, 0, 1, 1))</f>
        <v/>
      </c>
      <c r="C705" s="195" t="str">
        <f ca="1">IF(OFFSET('IWP02'!Std3LicenseInfo, 4, 3, 1, 1) = 0, "", OFFSET('IWP02'!Std3LicenseInfo, 4, 3, 1, 1))</f>
        <v/>
      </c>
      <c r="D705" s="195" t="str">
        <f ca="1">IF(OFFSET('IWP02'!Std3LicenseInfo, 4, 6, 1, 1) = 0, "", OFFSET('IWP02'!Std3LicenseInfo, 4, 6, 1, 1))</f>
        <v/>
      </c>
      <c r="E705" s="172">
        <f ca="1">IF(OFFSET('IWP02'!Std3LicenseInfo, 4, 9, 1, 1)=DATE(1900,1,0), DATE(1900,1,1), OFFSET('IWP02'!Std3LicenseInfo, 4, 9, 1, 1))</f>
        <v>1</v>
      </c>
      <c r="F705" s="172">
        <f ca="1">IF(OFFSET('IWP02'!Std3LicenseInfo, 4, 10, 1, 1)=DATE(1900,1,0), DATE(1900,1,1), OFFSET('IWP02'!Std3LicenseInfo, 4, 10, 1, 1))</f>
        <v>1</v>
      </c>
      <c r="G705" s="194" t="str">
        <f ca="1">IF(OFFSET('IWP02'!Std3LicenseInfo, 4, 11, 1, 1) = 0, "", OFFSET('IWP02'!Std3LicenseInfo, 4, 11, 1, 1))</f>
        <v/>
      </c>
    </row>
    <row r="706" spans="1:7" s="105" customFormat="1">
      <c r="A706" s="183" t="s">
        <v>500</v>
      </c>
      <c r="B706" s="195" t="str">
        <f ca="1">IF(OFFSET('IWP02'!Std3LicenseInfo, 5, 0, 1, 1) = 0, "", OFFSET('IWP02'!Std3LicenseInfo, 5, 0, 1, 1))</f>
        <v/>
      </c>
      <c r="C706" s="195" t="str">
        <f ca="1">IF(OFFSET('IWP02'!Std3LicenseInfo, 5, 3, 1, 1) = 0, "", OFFSET('IWP02'!Std3LicenseInfo, 5, 3, 1, 1))</f>
        <v/>
      </c>
      <c r="D706" s="195" t="str">
        <f ca="1">IF(OFFSET('IWP02'!Std3LicenseInfo, 5, 6, 1, 1) = 0, "", OFFSET('IWP02'!Std3LicenseInfo, 5, 6, 1, 1))</f>
        <v/>
      </c>
      <c r="E706" s="172">
        <f ca="1">IF(OFFSET('IWP02'!Std3LicenseInfo, 5, 9, 1, 1)=DATE(1900,1,0), DATE(1900,1,1), OFFSET('IWP02'!Std3LicenseInfo, 5, 9, 1, 1))</f>
        <v>1</v>
      </c>
      <c r="F706" s="172">
        <f ca="1">IF(OFFSET('IWP02'!Std3LicenseInfo, 5, 10, 1, 1)=DATE(1900,1,0), DATE(1900,1,1), OFFSET('IWP02'!Std3LicenseInfo, 5, 10, 1, 1))</f>
        <v>1</v>
      </c>
      <c r="G706" s="194" t="str">
        <f ca="1">IF(OFFSET('IWP02'!Std3LicenseInfo, 5, 11, 1, 1) = 0, "", OFFSET('IWP02'!Std3LicenseInfo, 5, 11, 1, 1))</f>
        <v/>
      </c>
    </row>
    <row r="707" spans="1:7" s="105" customFormat="1">
      <c r="A707" s="183" t="s">
        <v>500</v>
      </c>
      <c r="B707" s="195" t="str">
        <f ca="1">IF(OFFSET('IWP02'!Std3LicenseInfo, 6, 0, 1, 1) = 0, "", OFFSET('IWP02'!Std3LicenseInfo, 6, 0, 1, 1))</f>
        <v/>
      </c>
      <c r="C707" s="195" t="str">
        <f ca="1">IF(OFFSET('IWP02'!Std3LicenseInfo, 6, 3, 1, 1) = 0, "", OFFSET('IWP02'!Std3LicenseInfo, 6, 3, 1, 1))</f>
        <v/>
      </c>
      <c r="D707" s="195" t="str">
        <f ca="1">IF(OFFSET('IWP02'!Std3LicenseInfo, 6, 6, 1, 1) = 0, "", OFFSET('IWP02'!Std3LicenseInfo, 6, 6, 1, 1))</f>
        <v/>
      </c>
      <c r="E707" s="172">
        <f ca="1">IF(OFFSET('IWP02'!Std3LicenseInfo, 6, 9, 1, 1)=DATE(1900,1,0), DATE(1900,1,1), OFFSET('IWP02'!Std3LicenseInfo, 6, 9, 1, 1))</f>
        <v>1</v>
      </c>
      <c r="F707" s="172">
        <f ca="1">IF(OFFSET('IWP02'!Std3LicenseInfo, 6, 10, 1, 1)=DATE(1900,1,0), DATE(1900,1,1), OFFSET('IWP02'!Std3LicenseInfo, 6, 10, 1, 1))</f>
        <v>1</v>
      </c>
      <c r="G707" s="194" t="str">
        <f ca="1">IF(OFFSET('IWP02'!Std3LicenseInfo, 6, 11, 1, 1) = 0, "", OFFSET('IWP02'!Std3LicenseInfo, 6, 11, 1, 1))</f>
        <v/>
      </c>
    </row>
    <row r="708" spans="1:7" s="105" customFormat="1">
      <c r="A708" s="183" t="s">
        <v>500</v>
      </c>
      <c r="B708" s="195" t="str">
        <f ca="1">IF(OFFSET('IWP02'!Std3LicenseInfo, 7, 0, 1, 1) = 0, "", OFFSET('IWP02'!Std3LicenseInfo, 7, 0, 1, 1))</f>
        <v/>
      </c>
      <c r="C708" s="195" t="str">
        <f ca="1">IF(OFFSET('IWP02'!Std3LicenseInfo, 7, 3, 1, 1) = 0, "", OFFSET('IWP02'!Std3LicenseInfo, 7, 3, 1, 1))</f>
        <v/>
      </c>
      <c r="D708" s="195" t="str">
        <f ca="1">IF(OFFSET('IWP02'!Std3LicenseInfo, 7, 6, 1, 1) = 0, "", OFFSET('IWP02'!Std3LicenseInfo, 7, 6, 1, 1))</f>
        <v/>
      </c>
      <c r="E708" s="172">
        <f ca="1">IF(OFFSET('IWP02'!Std3LicenseInfo, 7, 9, 1, 1)=DATE(1900,1,0), DATE(1900,1,1), OFFSET('IWP02'!Std3LicenseInfo, 7, 9, 1, 1))</f>
        <v>1</v>
      </c>
      <c r="F708" s="172">
        <f ca="1">IF(OFFSET('IWP02'!Std3LicenseInfo, 7, 10, 1, 1)=DATE(1900,1,0), DATE(1900,1,1), OFFSET('IWP02'!Std3LicenseInfo, 7, 10, 1, 1))</f>
        <v>1</v>
      </c>
      <c r="G708" s="194" t="str">
        <f ca="1">IF(OFFSET('IWP02'!Std3LicenseInfo, 7, 11, 1, 1) = 0, "", OFFSET('IWP02'!Std3LicenseInfo, 7, 11, 1, 1))</f>
        <v/>
      </c>
    </row>
    <row r="709" spans="1:7" s="105" customFormat="1">
      <c r="A709" s="183" t="s">
        <v>500</v>
      </c>
      <c r="B709" s="195" t="str">
        <f ca="1">IF(OFFSET('IWP02'!Std3LicenseInfo, 8, 0, 1, 1) = 0, "", OFFSET('IWP02'!Std3LicenseInfo, 8, 0, 1, 1))</f>
        <v/>
      </c>
      <c r="C709" s="195" t="str">
        <f ca="1">IF(OFFSET('IWP02'!Std3LicenseInfo, 8, 3, 1, 1) = 0, "", OFFSET('IWP02'!Std3LicenseInfo, 8, 3, 1, 1))</f>
        <v/>
      </c>
      <c r="D709" s="195" t="str">
        <f ca="1">IF(OFFSET('IWP02'!Std3LicenseInfo, 8, 6, 1, 1) = 0, "", OFFSET('IWP02'!Std3LicenseInfo, 8, 6, 1, 1))</f>
        <v/>
      </c>
      <c r="E709" s="172">
        <f ca="1">IF(OFFSET('IWP02'!Std3LicenseInfo, 8, 9, 1, 1)=DATE(1900,1,0), DATE(1900,1,1), OFFSET('IWP02'!Std3LicenseInfo, 8, 9, 1, 1))</f>
        <v>1</v>
      </c>
      <c r="F709" s="172">
        <f ca="1">IF(OFFSET('IWP02'!Std3LicenseInfo, 8, 10, 1, 1)=DATE(1900,1,0), DATE(1900,1,1), OFFSET('IWP02'!Std3LicenseInfo, 8, 10, 1, 1))</f>
        <v>1</v>
      </c>
      <c r="G709" s="194" t="str">
        <f ca="1">IF(OFFSET('IWP02'!Std3LicenseInfo, 8, 11, 1, 1) = 0, "", OFFSET('IWP02'!Std3LicenseInfo, 8, 11, 1, 1))</f>
        <v/>
      </c>
    </row>
    <row r="710" spans="1:7" s="105" customFormat="1">
      <c r="A710" s="183" t="s">
        <v>500</v>
      </c>
      <c r="B710" s="195" t="str">
        <f ca="1">IF(OFFSET('IWP02'!Std3LicenseInfo, 9, 0, 1, 1) = 0, "", OFFSET('IWP02'!Std3LicenseInfo, 9, 0, 1, 1))</f>
        <v/>
      </c>
      <c r="C710" s="195" t="str">
        <f ca="1">IF(OFFSET('IWP02'!Std3LicenseInfo, 9, 3, 1, 1) = 0, "", OFFSET('IWP02'!Std3LicenseInfo, 9, 3, 1, 1))</f>
        <v/>
      </c>
      <c r="D710" s="195" t="str">
        <f ca="1">IF(OFFSET('IWP02'!Std3LicenseInfo, 9, 6, 1, 1) = 0, "", OFFSET('IWP02'!Std3LicenseInfo, 9, 6, 1, 1))</f>
        <v/>
      </c>
      <c r="E710" s="172">
        <f ca="1">IF(OFFSET('IWP02'!Std3LicenseInfo, 9, 9, 1, 1)=DATE(1900,1,0), DATE(1900,1,1), OFFSET('IWP02'!Std3LicenseInfo, 9, 9, 1, 1))</f>
        <v>1</v>
      </c>
      <c r="F710" s="172">
        <f ca="1">IF(OFFSET('IWP02'!Std3LicenseInfo, 9, 10, 1, 1)=DATE(1900,1,0), DATE(1900,1,1), OFFSET('IWP02'!Std3LicenseInfo, 9, 10, 1, 1))</f>
        <v>1</v>
      </c>
      <c r="G710" s="194" t="str">
        <f ca="1">IF(OFFSET('IWP02'!Std3LicenseInfo, 9, 11, 1, 1) = 0, "", OFFSET('IWP02'!Std3LicenseInfo, 9, 11, 1, 1))</f>
        <v/>
      </c>
    </row>
    <row r="711" spans="1:7" s="105" customFormat="1">
      <c r="A711" s="183" t="s">
        <v>500</v>
      </c>
      <c r="B711" s="195" t="str">
        <f ca="1">IF(OFFSET('IWP02'!Std3LicenseInfo, 10, 0, 1, 1) = 0, "", OFFSET('IWP02'!Std3LicenseInfo, 10, 0, 1, 1))</f>
        <v/>
      </c>
      <c r="C711" s="195" t="str">
        <f ca="1">IF(OFFSET('IWP02'!Std3LicenseInfo, 10, 3, 1, 1) = 0, "", OFFSET('IWP02'!Std3LicenseInfo, 10, 3, 1, 1))</f>
        <v/>
      </c>
      <c r="D711" s="195" t="str">
        <f ca="1">IF(OFFSET('IWP02'!Std3LicenseInfo, 10, 6, 1, 1) = 0, "", OFFSET('IWP02'!Std3LicenseInfo, 10, 6, 1, 1))</f>
        <v/>
      </c>
      <c r="E711" s="172">
        <f ca="1">IF(OFFSET('IWP02'!Std3LicenseInfo, 10, 9, 1, 1)=DATE(1900,1,0), DATE(1900,1,1), OFFSET('IWP02'!Std3LicenseInfo, 10, 9, 1, 1))</f>
        <v>1</v>
      </c>
      <c r="F711" s="172">
        <f ca="1">IF(OFFSET('IWP02'!Std3LicenseInfo, 10, 10, 1, 1)=DATE(1900,1,0), DATE(1900,1,1), OFFSET('IWP02'!Std3LicenseInfo, 10, 10, 1, 1))</f>
        <v>1</v>
      </c>
      <c r="G711" s="194" t="str">
        <f ca="1">IF(OFFSET('IWP02'!Std3LicenseInfo, 10, 11, 1, 1) = 0, "", OFFSET('IWP02'!Std3LicenseInfo, 10, 11, 1, 1))</f>
        <v/>
      </c>
    </row>
    <row r="712" spans="1:7" s="105" customFormat="1">
      <c r="A712" s="183" t="s">
        <v>500</v>
      </c>
      <c r="B712" s="195" t="str">
        <f ca="1">IF(OFFSET('IWP02'!Std3LicenseInfo, 11, 0, 1, 1) = 0, "", OFFSET('IWP02'!Std3LicenseInfo, 11, 0, 1, 1))</f>
        <v/>
      </c>
      <c r="C712" s="195" t="str">
        <f ca="1">IF(OFFSET('IWP02'!Std3LicenseInfo, 11, 3, 1, 1) = 0, "", OFFSET('IWP02'!Std3LicenseInfo, 11, 3, 1, 1))</f>
        <v/>
      </c>
      <c r="D712" s="195" t="str">
        <f ca="1">IF(OFFSET('IWP02'!Std3LicenseInfo, 11, 6, 1, 1) = 0, "", OFFSET('IWP02'!Std3LicenseInfo, 11, 6, 1, 1))</f>
        <v/>
      </c>
      <c r="E712" s="172">
        <f ca="1">IF(OFFSET('IWP02'!Std3LicenseInfo, 11, 9, 1, 1)=DATE(1900,1,0), DATE(1900,1,1), OFFSET('IWP02'!Std3LicenseInfo, 11, 9, 1, 1))</f>
        <v>1</v>
      </c>
      <c r="F712" s="172">
        <f ca="1">IF(OFFSET('IWP02'!Std3LicenseInfo, 11, 10, 1, 1)=DATE(1900,1,0), DATE(1900,1,1), OFFSET('IWP02'!Std3LicenseInfo, 11, 10, 1, 1))</f>
        <v>1</v>
      </c>
      <c r="G712" s="194" t="str">
        <f ca="1">IF(OFFSET('IWP02'!Std3LicenseInfo, 11, 11, 1, 1) = 0, "", OFFSET('IWP02'!Std3LicenseInfo, 11, 11, 1, 1))</f>
        <v/>
      </c>
    </row>
    <row r="713" spans="1:7" s="105" customFormat="1">
      <c r="A713" s="183" t="s">
        <v>500</v>
      </c>
      <c r="B713" s="195" t="str">
        <f ca="1">IF(OFFSET('IWP02'!Std3LicenseInfo, 12, 0, 1, 1) = 0, "", OFFSET('IWP02'!Std3LicenseInfo, 12, 0, 1, 1))</f>
        <v/>
      </c>
      <c r="C713" s="195" t="str">
        <f ca="1">IF(OFFSET('IWP02'!Std3LicenseInfo, 12, 3, 1, 1) = 0, "", OFFSET('IWP02'!Std3LicenseInfo, 12, 3, 1, 1))</f>
        <v/>
      </c>
      <c r="D713" s="195" t="str">
        <f ca="1">IF(OFFSET('IWP02'!Std3LicenseInfo, 12, 6, 1, 1) = 0, "", OFFSET('IWP02'!Std3LicenseInfo, 12, 6, 1, 1))</f>
        <v/>
      </c>
      <c r="E713" s="172">
        <f ca="1">IF(OFFSET('IWP02'!Std3LicenseInfo, 12, 9, 1, 1)=DATE(1900,1,0), DATE(1900,1,1), OFFSET('IWP02'!Std3LicenseInfo, 12, 9, 1, 1))</f>
        <v>1</v>
      </c>
      <c r="F713" s="172">
        <f ca="1">IF(OFFSET('IWP02'!Std3LicenseInfo, 12, 10, 1, 1)=DATE(1900,1,0), DATE(1900,1,1), OFFSET('IWP02'!Std3LicenseInfo, 12, 10, 1, 1))</f>
        <v>1</v>
      </c>
      <c r="G713" s="194" t="str">
        <f ca="1">IF(OFFSET('IWP02'!Std3LicenseInfo, 12, 11, 1, 1) = 0, "", OFFSET('IWP02'!Std3LicenseInfo, 12, 11, 1, 1))</f>
        <v/>
      </c>
    </row>
    <row r="714" spans="1:7" s="105" customFormat="1">
      <c r="A714" s="183" t="s">
        <v>500</v>
      </c>
      <c r="B714" s="195" t="str">
        <f ca="1">IF(OFFSET('IWP02'!Std3LicenseInfo, 13, 0, 1, 1) = 0, "", OFFSET('IWP02'!Std3LicenseInfo, 13, 0, 1, 1))</f>
        <v/>
      </c>
      <c r="C714" s="195" t="str">
        <f ca="1">IF(OFFSET('IWP02'!Std3LicenseInfo, 13, 3, 1, 1) = 0, "", OFFSET('IWP02'!Std3LicenseInfo, 13, 3, 1, 1))</f>
        <v/>
      </c>
      <c r="D714" s="195" t="str">
        <f ca="1">IF(OFFSET('IWP02'!Std3LicenseInfo, 13, 6, 1, 1) = 0, "", OFFSET('IWP02'!Std3LicenseInfo, 13, 6, 1, 1))</f>
        <v/>
      </c>
      <c r="E714" s="172">
        <f ca="1">IF(OFFSET('IWP02'!Std3LicenseInfo, 13, 9, 1, 1)=DATE(1900,1,0), DATE(1900,1,1), OFFSET('IWP02'!Std3LicenseInfo, 13, 9, 1, 1))</f>
        <v>1</v>
      </c>
      <c r="F714" s="172">
        <f ca="1">IF(OFFSET('IWP02'!Std3LicenseInfo, 13, 10, 1, 1)=DATE(1900,1,0), DATE(1900,1,1), OFFSET('IWP02'!Std3LicenseInfo, 13, 10, 1, 1))</f>
        <v>1</v>
      </c>
      <c r="G714" s="194" t="str">
        <f ca="1">IF(OFFSET('IWP02'!Std3LicenseInfo, 13, 11, 1, 1) = 0, "", OFFSET('IWP02'!Std3LicenseInfo, 13, 11, 1, 1))</f>
        <v/>
      </c>
    </row>
    <row r="715" spans="1:7" s="105" customFormat="1">
      <c r="A715" s="183" t="s">
        <v>501</v>
      </c>
      <c r="B715" s="195" t="str">
        <f ca="1">IF(OFFSET('IWP03'!Std3LicenseInfo, 0, 0, 1, 1) = 0, "", OFFSET('IWP03'!Std3LicenseInfo, 0, 0, 1, 1))</f>
        <v/>
      </c>
      <c r="C715" s="195" t="str">
        <f ca="1">IF(OFFSET('IWP03'!Std3LicenseInfo, 0, 3, 1, 1) = 0, "", OFFSET('IWP03'!Std3LicenseInfo, 0, 3, 1, 1))</f>
        <v/>
      </c>
      <c r="D715" s="195" t="str">
        <f ca="1">IF(OFFSET('IWP03'!Std3LicenseInfo, 0, 6, 1, 1) = 0, "", OFFSET('IWP03'!Std3LicenseInfo, 0, 6, 1, 1))</f>
        <v/>
      </c>
      <c r="E715" s="172">
        <f ca="1">IF(OFFSET('IWP03'!Std3LicenseInfo, 0, 9, 1, 1)=DATE(1900,1,0), DATE(1900,1,1), OFFSET('IWP03'!Std3LicenseInfo, 0, 9, 1, 1))</f>
        <v>1</v>
      </c>
      <c r="F715" s="172">
        <f ca="1">IF(OFFSET('IWP03'!Std3LicenseInfo, 0, 10, 1, 1)=DATE(1900,1,0), DATE(1900,1,1), OFFSET('IWP03'!Std3LicenseInfo, 0, 10, 1, 1))</f>
        <v>1</v>
      </c>
      <c r="G715" s="194" t="str">
        <f ca="1">IF(OFFSET('IWP03'!Std3LicenseInfo, 0, 11, 1, 1) = 0, "", OFFSET('IWP03'!Std3LicenseInfo, 0, 11, 1, 1))</f>
        <v/>
      </c>
    </row>
    <row r="716" spans="1:7" s="105" customFormat="1">
      <c r="A716" s="183" t="s">
        <v>501</v>
      </c>
      <c r="B716" s="195" t="str">
        <f ca="1">IF(OFFSET('IWP03'!Std3LicenseInfo, 1, 0, 1, 1) = 0, "", OFFSET('IWP03'!Std3LicenseInfo, 1, 0, 1, 1))</f>
        <v/>
      </c>
      <c r="C716" s="195" t="str">
        <f ca="1">IF(OFFSET('IWP03'!Std3LicenseInfo, 1, 3, 1, 1) = 0, "", OFFSET('IWP03'!Std3LicenseInfo, 1, 3, 1, 1))</f>
        <v/>
      </c>
      <c r="D716" s="195" t="str">
        <f ca="1">IF(OFFSET('IWP03'!Std3LicenseInfo, 1, 6, 1, 1) = 0, "", OFFSET('IWP03'!Std3LicenseInfo, 1, 6, 1, 1))</f>
        <v/>
      </c>
      <c r="E716" s="172">
        <f ca="1">IF(OFFSET('IWP03'!Std3LicenseInfo, 1, 9, 1, 1)=DATE(1900,1,0), DATE(1900,1,1), OFFSET('IWP03'!Std3LicenseInfo, 1, 9, 1, 1))</f>
        <v>1</v>
      </c>
      <c r="F716" s="172">
        <f ca="1">IF(OFFSET('IWP03'!Std3LicenseInfo, 1, 10, 1, 1)=DATE(1900,1,0), DATE(1900,1,1), OFFSET('IWP03'!Std3LicenseInfo, 1, 10, 1, 1))</f>
        <v>1</v>
      </c>
      <c r="G716" s="194" t="str">
        <f ca="1">IF(OFFSET('IWP03'!Std3LicenseInfo, 1, 11, 1, 1) = 0, "", OFFSET('IWP03'!Std3LicenseInfo, 1, 11, 1, 1))</f>
        <v/>
      </c>
    </row>
    <row r="717" spans="1:7" s="105" customFormat="1">
      <c r="A717" s="183" t="s">
        <v>501</v>
      </c>
      <c r="B717" s="195" t="str">
        <f ca="1">IF(OFFSET('IWP03'!Std3LicenseInfo, 2, 0, 1, 1) = 0, "", OFFSET('IWP03'!Std3LicenseInfo, 2, 0, 1, 1))</f>
        <v/>
      </c>
      <c r="C717" s="195" t="str">
        <f ca="1">IF(OFFSET('IWP03'!Std3LicenseInfo, 2, 3, 1, 1) = 0, "", OFFSET('IWP03'!Std3LicenseInfo, 2, 3, 1, 1))</f>
        <v/>
      </c>
      <c r="D717" s="195" t="str">
        <f ca="1">IF(OFFSET('IWP03'!Std3LicenseInfo, 2, 6, 1, 1) = 0, "", OFFSET('IWP03'!Std3LicenseInfo, 2, 6, 1, 1))</f>
        <v/>
      </c>
      <c r="E717" s="172">
        <f ca="1">IF(OFFSET('IWP03'!Std3LicenseInfo, 2, 9, 1, 1)=DATE(1900,1,0), DATE(1900,1,1), OFFSET('IWP03'!Std3LicenseInfo, 2, 9, 1, 1))</f>
        <v>1</v>
      </c>
      <c r="F717" s="172">
        <f ca="1">IF(OFFSET('IWP03'!Std3LicenseInfo, 2, 10, 1, 1)=DATE(1900,1,0), DATE(1900,1,1), OFFSET('IWP03'!Std3LicenseInfo, 2, 10, 1, 1))</f>
        <v>1</v>
      </c>
      <c r="G717" s="194" t="str">
        <f ca="1">IF(OFFSET('IWP03'!Std3LicenseInfo, 2, 11, 1, 1) = 0, "", OFFSET('IWP03'!Std3LicenseInfo, 2, 11, 1, 1))</f>
        <v/>
      </c>
    </row>
    <row r="718" spans="1:7" s="105" customFormat="1">
      <c r="A718" s="183" t="s">
        <v>501</v>
      </c>
      <c r="B718" s="195" t="str">
        <f ca="1">IF(OFFSET('IWP03'!Std3LicenseInfo, 3, 0, 1, 1) = 0, "", OFFSET('IWP03'!Std3LicenseInfo, 3, 0, 1, 1))</f>
        <v/>
      </c>
      <c r="C718" s="195" t="str">
        <f ca="1">IF(OFFSET('IWP03'!Std3LicenseInfo, 3, 3, 1, 1) = 0, "", OFFSET('IWP03'!Std3LicenseInfo, 3, 3, 1, 1))</f>
        <v/>
      </c>
      <c r="D718" s="195" t="str">
        <f ca="1">IF(OFFSET('IWP03'!Std3LicenseInfo, 3, 6, 1, 1) = 0, "", OFFSET('IWP03'!Std3LicenseInfo, 3, 6, 1, 1))</f>
        <v/>
      </c>
      <c r="E718" s="172">
        <f ca="1">IF(OFFSET('IWP03'!Std3LicenseInfo, 3, 9, 1, 1)=DATE(1900,1,0), DATE(1900,1,1), OFFSET('IWP03'!Std3LicenseInfo, 3, 9, 1, 1))</f>
        <v>1</v>
      </c>
      <c r="F718" s="172">
        <f ca="1">IF(OFFSET('IWP03'!Std3LicenseInfo, 3, 10, 1, 1)=DATE(1900,1,0), DATE(1900,1,1), OFFSET('IWP03'!Std3LicenseInfo, 3, 10, 1, 1))</f>
        <v>1</v>
      </c>
      <c r="G718" s="194" t="str">
        <f ca="1">IF(OFFSET('IWP03'!Std3LicenseInfo, 3, 11, 1, 1) = 0, "", OFFSET('IWP03'!Std3LicenseInfo, 3, 11, 1, 1))</f>
        <v/>
      </c>
    </row>
    <row r="719" spans="1:7" s="105" customFormat="1">
      <c r="A719" s="183" t="s">
        <v>501</v>
      </c>
      <c r="B719" s="195" t="str">
        <f ca="1">IF(OFFSET('IWP03'!Std3LicenseInfo, 4, 0, 1, 1) = 0, "", OFFSET('IWP03'!Std3LicenseInfo, 4, 0, 1, 1))</f>
        <v/>
      </c>
      <c r="C719" s="195" t="str">
        <f ca="1">IF(OFFSET('IWP03'!Std3LicenseInfo, 4, 3, 1, 1) = 0, "", OFFSET('IWP03'!Std3LicenseInfo, 4, 3, 1, 1))</f>
        <v/>
      </c>
      <c r="D719" s="195" t="str">
        <f ca="1">IF(OFFSET('IWP03'!Std3LicenseInfo, 4, 6, 1, 1) = 0, "", OFFSET('IWP03'!Std3LicenseInfo, 4, 6, 1, 1))</f>
        <v/>
      </c>
      <c r="E719" s="172">
        <f ca="1">IF(OFFSET('IWP03'!Std3LicenseInfo, 4, 9, 1, 1)=DATE(1900,1,0), DATE(1900,1,1), OFFSET('IWP03'!Std3LicenseInfo, 4, 9, 1, 1))</f>
        <v>1</v>
      </c>
      <c r="F719" s="172">
        <f ca="1">IF(OFFSET('IWP03'!Std3LicenseInfo, 4, 10, 1, 1)=DATE(1900,1,0), DATE(1900,1,1), OFFSET('IWP03'!Std3LicenseInfo, 4, 10, 1, 1))</f>
        <v>1</v>
      </c>
      <c r="G719" s="194" t="str">
        <f ca="1">IF(OFFSET('IWP03'!Std3LicenseInfo, 4, 11, 1, 1) = 0, "", OFFSET('IWP03'!Std3LicenseInfo, 4, 11, 1, 1))</f>
        <v/>
      </c>
    </row>
    <row r="720" spans="1:7" s="105" customFormat="1">
      <c r="A720" s="183" t="s">
        <v>501</v>
      </c>
      <c r="B720" s="195" t="str">
        <f ca="1">IF(OFFSET('IWP03'!Std3LicenseInfo, 5, 0, 1, 1) = 0, "", OFFSET('IWP03'!Std3LicenseInfo, 5, 0, 1, 1))</f>
        <v/>
      </c>
      <c r="C720" s="195" t="str">
        <f ca="1">IF(OFFSET('IWP03'!Std3LicenseInfo, 5, 3, 1, 1) = 0, "", OFFSET('IWP03'!Std3LicenseInfo, 5, 3, 1, 1))</f>
        <v/>
      </c>
      <c r="D720" s="195" t="str">
        <f ca="1">IF(OFFSET('IWP03'!Std3LicenseInfo, 5, 6, 1, 1) = 0, "", OFFSET('IWP03'!Std3LicenseInfo, 5, 6, 1, 1))</f>
        <v/>
      </c>
      <c r="E720" s="172">
        <f ca="1">IF(OFFSET('IWP03'!Std3LicenseInfo, 5, 9, 1, 1)=DATE(1900,1,0), DATE(1900,1,1), OFFSET('IWP03'!Std3LicenseInfo, 5, 9, 1, 1))</f>
        <v>1</v>
      </c>
      <c r="F720" s="172">
        <f ca="1">IF(OFFSET('IWP03'!Std3LicenseInfo, 5, 10, 1, 1)=DATE(1900,1,0), DATE(1900,1,1), OFFSET('IWP03'!Std3LicenseInfo, 5, 10, 1, 1))</f>
        <v>1</v>
      </c>
      <c r="G720" s="194" t="str">
        <f ca="1">IF(OFFSET('IWP03'!Std3LicenseInfo, 5, 11, 1, 1) = 0, "", OFFSET('IWP03'!Std3LicenseInfo, 5, 11, 1, 1))</f>
        <v/>
      </c>
    </row>
    <row r="721" spans="1:7" s="105" customFormat="1">
      <c r="A721" s="183" t="s">
        <v>501</v>
      </c>
      <c r="B721" s="195" t="str">
        <f ca="1">IF(OFFSET('IWP03'!Std3LicenseInfo, 6, 0, 1, 1) = 0, "", OFFSET('IWP03'!Std3LicenseInfo, 6, 0, 1, 1))</f>
        <v/>
      </c>
      <c r="C721" s="195" t="str">
        <f ca="1">IF(OFFSET('IWP03'!Std3LicenseInfo, 6, 3, 1, 1) = 0, "", OFFSET('IWP03'!Std3LicenseInfo, 6, 3, 1, 1))</f>
        <v/>
      </c>
      <c r="D721" s="195" t="str">
        <f ca="1">IF(OFFSET('IWP03'!Std3LicenseInfo, 6, 6, 1, 1) = 0, "", OFFSET('IWP03'!Std3LicenseInfo, 6, 6, 1, 1))</f>
        <v/>
      </c>
      <c r="E721" s="172">
        <f ca="1">IF(OFFSET('IWP03'!Std3LicenseInfo, 6, 9, 1, 1)=DATE(1900,1,0), DATE(1900,1,1), OFFSET('IWP03'!Std3LicenseInfo, 6, 9, 1, 1))</f>
        <v>1</v>
      </c>
      <c r="F721" s="172">
        <f ca="1">IF(OFFSET('IWP03'!Std3LicenseInfo, 6, 10, 1, 1)=DATE(1900,1,0), DATE(1900,1,1), OFFSET('IWP03'!Std3LicenseInfo, 6, 10, 1, 1))</f>
        <v>1</v>
      </c>
      <c r="G721" s="194" t="str">
        <f ca="1">IF(OFFSET('IWP03'!Std3LicenseInfo, 6, 11, 1, 1) = 0, "", OFFSET('IWP03'!Std3LicenseInfo, 6, 11, 1, 1))</f>
        <v/>
      </c>
    </row>
    <row r="722" spans="1:7" s="105" customFormat="1">
      <c r="A722" s="183" t="s">
        <v>501</v>
      </c>
      <c r="B722" s="195" t="str">
        <f ca="1">IF(OFFSET('IWP03'!Std3LicenseInfo, 7, 0, 1, 1) = 0, "", OFFSET('IWP03'!Std3LicenseInfo, 7, 0, 1, 1))</f>
        <v/>
      </c>
      <c r="C722" s="195" t="str">
        <f ca="1">IF(OFFSET('IWP03'!Std3LicenseInfo, 7, 3, 1, 1) = 0, "", OFFSET('IWP03'!Std3LicenseInfo, 7, 3, 1, 1))</f>
        <v/>
      </c>
      <c r="D722" s="195" t="str">
        <f ca="1">IF(OFFSET('IWP03'!Std3LicenseInfo, 7, 6, 1, 1) = 0, "", OFFSET('IWP03'!Std3LicenseInfo, 7, 6, 1, 1))</f>
        <v/>
      </c>
      <c r="E722" s="172">
        <f ca="1">IF(OFFSET('IWP03'!Std3LicenseInfo, 7, 9, 1, 1)=DATE(1900,1,0), DATE(1900,1,1), OFFSET('IWP03'!Std3LicenseInfo, 7, 9, 1, 1))</f>
        <v>1</v>
      </c>
      <c r="F722" s="172">
        <f ca="1">IF(OFFSET('IWP03'!Std3LicenseInfo, 7, 10, 1, 1)=DATE(1900,1,0), DATE(1900,1,1), OFFSET('IWP03'!Std3LicenseInfo, 7, 10, 1, 1))</f>
        <v>1</v>
      </c>
      <c r="G722" s="194" t="str">
        <f ca="1">IF(OFFSET('IWP03'!Std3LicenseInfo, 7, 11, 1, 1) = 0, "", OFFSET('IWP03'!Std3LicenseInfo, 7, 11, 1, 1))</f>
        <v/>
      </c>
    </row>
    <row r="723" spans="1:7" s="105" customFormat="1">
      <c r="A723" s="183" t="s">
        <v>501</v>
      </c>
      <c r="B723" s="195" t="str">
        <f ca="1">IF(OFFSET('IWP03'!Std3LicenseInfo, 8, 0, 1, 1) = 0, "", OFFSET('IWP03'!Std3LicenseInfo, 8, 0, 1, 1))</f>
        <v/>
      </c>
      <c r="C723" s="195" t="str">
        <f ca="1">IF(OFFSET('IWP03'!Std3LicenseInfo, 8, 3, 1, 1) = 0, "", OFFSET('IWP03'!Std3LicenseInfo, 8, 3, 1, 1))</f>
        <v/>
      </c>
      <c r="D723" s="195" t="str">
        <f ca="1">IF(OFFSET('IWP03'!Std3LicenseInfo, 8, 6, 1, 1) = 0, "", OFFSET('IWP03'!Std3LicenseInfo, 8, 6, 1, 1))</f>
        <v/>
      </c>
      <c r="E723" s="172">
        <f ca="1">IF(OFFSET('IWP03'!Std3LicenseInfo, 8, 9, 1, 1)=DATE(1900,1,0), DATE(1900,1,1), OFFSET('IWP03'!Std3LicenseInfo, 8, 9, 1, 1))</f>
        <v>1</v>
      </c>
      <c r="F723" s="172">
        <f ca="1">IF(OFFSET('IWP03'!Std3LicenseInfo, 8, 10, 1, 1)=DATE(1900,1,0), DATE(1900,1,1), OFFSET('IWP03'!Std3LicenseInfo, 8, 10, 1, 1))</f>
        <v>1</v>
      </c>
      <c r="G723" s="194" t="str">
        <f ca="1">IF(OFFSET('IWP03'!Std3LicenseInfo, 8, 11, 1, 1) = 0, "", OFFSET('IWP03'!Std3LicenseInfo, 8, 11, 1, 1))</f>
        <v/>
      </c>
    </row>
    <row r="724" spans="1:7" s="105" customFormat="1">
      <c r="A724" s="183" t="s">
        <v>501</v>
      </c>
      <c r="B724" s="195" t="str">
        <f ca="1">IF(OFFSET('IWP03'!Std3LicenseInfo, 9, 0, 1, 1) = 0, "", OFFSET('IWP03'!Std3LicenseInfo, 9, 0, 1, 1))</f>
        <v/>
      </c>
      <c r="C724" s="195" t="str">
        <f ca="1">IF(OFFSET('IWP03'!Std3LicenseInfo, 9, 3, 1, 1) = 0, "", OFFSET('IWP03'!Std3LicenseInfo, 9, 3, 1, 1))</f>
        <v/>
      </c>
      <c r="D724" s="195" t="str">
        <f ca="1">IF(OFFSET('IWP03'!Std3LicenseInfo, 9, 6, 1, 1) = 0, "", OFFSET('IWP03'!Std3LicenseInfo, 9, 6, 1, 1))</f>
        <v/>
      </c>
      <c r="E724" s="172">
        <f ca="1">IF(OFFSET('IWP03'!Std3LicenseInfo, 9, 9, 1, 1)=DATE(1900,1,0), DATE(1900,1,1), OFFSET('IWP03'!Std3LicenseInfo, 9, 9, 1, 1))</f>
        <v>1</v>
      </c>
      <c r="F724" s="172">
        <f ca="1">IF(OFFSET('IWP03'!Std3LicenseInfo, 9, 10, 1, 1)=DATE(1900,1,0), DATE(1900,1,1), OFFSET('IWP03'!Std3LicenseInfo, 9, 10, 1, 1))</f>
        <v>1</v>
      </c>
      <c r="G724" s="194" t="str">
        <f ca="1">IF(OFFSET('IWP03'!Std3LicenseInfo, 9, 11, 1, 1) = 0, "", OFFSET('IWP03'!Std3LicenseInfo, 9, 11, 1, 1))</f>
        <v/>
      </c>
    </row>
    <row r="725" spans="1:7" s="105" customFormat="1">
      <c r="A725" s="183" t="s">
        <v>501</v>
      </c>
      <c r="B725" s="195" t="str">
        <f ca="1">IF(OFFSET('IWP03'!Std3LicenseInfo, 10, 0, 1, 1) = 0, "", OFFSET('IWP03'!Std3LicenseInfo, 10, 0, 1, 1))</f>
        <v/>
      </c>
      <c r="C725" s="195" t="str">
        <f ca="1">IF(OFFSET('IWP03'!Std3LicenseInfo, 10, 3, 1, 1) = 0, "", OFFSET('IWP03'!Std3LicenseInfo, 10, 3, 1, 1))</f>
        <v/>
      </c>
      <c r="D725" s="195" t="str">
        <f ca="1">IF(OFFSET('IWP03'!Std3LicenseInfo, 10, 6, 1, 1) = 0, "", OFFSET('IWP03'!Std3LicenseInfo, 10, 6, 1, 1))</f>
        <v/>
      </c>
      <c r="E725" s="172">
        <f ca="1">IF(OFFSET('IWP03'!Std3LicenseInfo, 10, 9, 1, 1)=DATE(1900,1,0), DATE(1900,1,1), OFFSET('IWP03'!Std3LicenseInfo, 10, 9, 1, 1))</f>
        <v>1</v>
      </c>
      <c r="F725" s="172">
        <f ca="1">IF(OFFSET('IWP03'!Std3LicenseInfo, 10, 10, 1, 1)=DATE(1900,1,0), DATE(1900,1,1), OFFSET('IWP03'!Std3LicenseInfo, 10, 10, 1, 1))</f>
        <v>1</v>
      </c>
      <c r="G725" s="194" t="str">
        <f ca="1">IF(OFFSET('IWP03'!Std3LicenseInfo, 10, 11, 1, 1) = 0, "", OFFSET('IWP03'!Std3LicenseInfo, 10, 11, 1, 1))</f>
        <v/>
      </c>
    </row>
    <row r="726" spans="1:7" s="105" customFormat="1">
      <c r="A726" s="183" t="s">
        <v>501</v>
      </c>
      <c r="B726" s="195" t="str">
        <f ca="1">IF(OFFSET('IWP03'!Std3LicenseInfo, 11, 0, 1, 1) = 0, "", OFFSET('IWP03'!Std3LicenseInfo, 11, 0, 1, 1))</f>
        <v/>
      </c>
      <c r="C726" s="195" t="str">
        <f ca="1">IF(OFFSET('IWP03'!Std3LicenseInfo, 11, 3, 1, 1) = 0, "", OFFSET('IWP03'!Std3LicenseInfo, 11, 3, 1, 1))</f>
        <v/>
      </c>
      <c r="D726" s="195" t="str">
        <f ca="1">IF(OFFSET('IWP03'!Std3LicenseInfo, 11, 6, 1, 1) = 0, "", OFFSET('IWP03'!Std3LicenseInfo, 11, 6, 1, 1))</f>
        <v/>
      </c>
      <c r="E726" s="172">
        <f ca="1">IF(OFFSET('IWP03'!Std3LicenseInfo, 11, 9, 1, 1)=DATE(1900,1,0), DATE(1900,1,1), OFFSET('IWP03'!Std3LicenseInfo, 11, 9, 1, 1))</f>
        <v>1</v>
      </c>
      <c r="F726" s="172">
        <f ca="1">IF(OFFSET('IWP03'!Std3LicenseInfo, 11, 10, 1, 1)=DATE(1900,1,0), DATE(1900,1,1), OFFSET('IWP03'!Std3LicenseInfo, 11, 10, 1, 1))</f>
        <v>1</v>
      </c>
      <c r="G726" s="194" t="str">
        <f ca="1">IF(OFFSET('IWP03'!Std3LicenseInfo, 11, 11, 1, 1) = 0, "", OFFSET('IWP03'!Std3LicenseInfo, 11, 11, 1, 1))</f>
        <v/>
      </c>
    </row>
    <row r="727" spans="1:7" s="105" customFormat="1">
      <c r="A727" s="183" t="s">
        <v>501</v>
      </c>
      <c r="B727" s="195" t="str">
        <f ca="1">IF(OFFSET('IWP03'!Std3LicenseInfo, 12, 0, 1, 1) = 0, "", OFFSET('IWP03'!Std3LicenseInfo, 12, 0, 1, 1))</f>
        <v/>
      </c>
      <c r="C727" s="195" t="str">
        <f ca="1">IF(OFFSET('IWP03'!Std3LicenseInfo, 12, 3, 1, 1) = 0, "", OFFSET('IWP03'!Std3LicenseInfo, 12, 3, 1, 1))</f>
        <v/>
      </c>
      <c r="D727" s="195" t="str">
        <f ca="1">IF(OFFSET('IWP03'!Std3LicenseInfo, 12, 6, 1, 1) = 0, "", OFFSET('IWP03'!Std3LicenseInfo, 12, 6, 1, 1))</f>
        <v/>
      </c>
      <c r="E727" s="172">
        <f ca="1">IF(OFFSET('IWP03'!Std3LicenseInfo, 12, 9, 1, 1)=DATE(1900,1,0), DATE(1900,1,1), OFFSET('IWP03'!Std3LicenseInfo, 12, 9, 1, 1))</f>
        <v>1</v>
      </c>
      <c r="F727" s="172">
        <f ca="1">IF(OFFSET('IWP03'!Std3LicenseInfo, 12, 10, 1, 1)=DATE(1900,1,0), DATE(1900,1,1), OFFSET('IWP03'!Std3LicenseInfo, 12, 10, 1, 1))</f>
        <v>1</v>
      </c>
      <c r="G727" s="194" t="str">
        <f ca="1">IF(OFFSET('IWP03'!Std3LicenseInfo, 12, 11, 1, 1) = 0, "", OFFSET('IWP03'!Std3LicenseInfo, 12, 11, 1, 1))</f>
        <v/>
      </c>
    </row>
    <row r="728" spans="1:7" s="105" customFormat="1">
      <c r="A728" s="183" t="s">
        <v>501</v>
      </c>
      <c r="B728" s="195" t="str">
        <f ca="1">IF(OFFSET('IWP03'!Std3LicenseInfo, 13, 0, 1, 1) = 0, "", OFFSET('IWP03'!Std3LicenseInfo, 13, 0, 1, 1))</f>
        <v/>
      </c>
      <c r="C728" s="195" t="str">
        <f ca="1">IF(OFFSET('IWP03'!Std3LicenseInfo, 13, 3, 1, 1) = 0, "", OFFSET('IWP03'!Std3LicenseInfo, 13, 3, 1, 1))</f>
        <v/>
      </c>
      <c r="D728" s="195" t="str">
        <f ca="1">IF(OFFSET('IWP03'!Std3LicenseInfo, 13, 6, 1, 1) = 0, "", OFFSET('IWP03'!Std3LicenseInfo, 13, 6, 1, 1))</f>
        <v/>
      </c>
      <c r="E728" s="172">
        <f ca="1">IF(OFFSET('IWP03'!Std3LicenseInfo, 13, 9, 1, 1)=DATE(1900,1,0), DATE(1900,1,1), OFFSET('IWP03'!Std3LicenseInfo, 13, 9, 1, 1))</f>
        <v>1</v>
      </c>
      <c r="F728" s="172">
        <f ca="1">IF(OFFSET('IWP03'!Std3LicenseInfo, 13, 10, 1, 1)=DATE(1900,1,0), DATE(1900,1,1), OFFSET('IWP03'!Std3LicenseInfo, 13, 10, 1, 1))</f>
        <v>1</v>
      </c>
      <c r="G728" s="194" t="str">
        <f ca="1">IF(OFFSET('IWP03'!Std3LicenseInfo, 13, 11, 1, 1) = 0, "", OFFSET('IWP03'!Std3LicenseInfo, 13, 11, 1, 1))</f>
        <v/>
      </c>
    </row>
    <row r="729" spans="1:7" s="146" customFormat="1">
      <c r="A729" s="183" t="s">
        <v>502</v>
      </c>
      <c r="B729" s="195" t="str">
        <f ca="1">IF(OFFSET('IWP04'!Std3LicenseInfo, 0, 0, 1, 1) = 0, "", OFFSET('IWP04'!Std3LicenseInfo, 0, 0, 1, 1))</f>
        <v/>
      </c>
      <c r="C729" s="195" t="str">
        <f ca="1">IF(OFFSET('IWP04'!Std3LicenseInfo, 0, 3, 1, 1) = 0, "", OFFSET('IWP04'!Std3LicenseInfo, 0, 3, 1, 1))</f>
        <v/>
      </c>
      <c r="D729" s="195" t="str">
        <f ca="1">IF(OFFSET('IWP04'!Std3LicenseInfo, 0, 6, 1, 1) = 0, "", OFFSET('IWP04'!Std3LicenseInfo, 0, 6, 1, 1))</f>
        <v/>
      </c>
      <c r="E729" s="172">
        <f ca="1">IF(OFFSET('IWP04'!Std3LicenseInfo, 0, 9, 1, 1)=DATE(1900,1,0), DATE(1900,1,1), OFFSET('IWP04'!Std3LicenseInfo, 0, 9, 1, 1))</f>
        <v>1</v>
      </c>
      <c r="F729" s="172">
        <f ca="1">IF(OFFSET('IWP04'!Std3LicenseInfo, 0, 10, 1, 1)=DATE(1900,1,0), DATE(1900,1,1), OFFSET('IWP04'!Std3LicenseInfo, 0, 10, 1, 1))</f>
        <v>1</v>
      </c>
      <c r="G729" s="194" t="str">
        <f ca="1">IF(OFFSET('IWP04'!Std3LicenseInfo, 0, 11, 1, 1) = 0, "", OFFSET('IWP04'!Std3LicenseInfo, 0, 11, 1, 1))</f>
        <v/>
      </c>
    </row>
    <row r="730" spans="1:7" s="146" customFormat="1">
      <c r="A730" s="183" t="s">
        <v>502</v>
      </c>
      <c r="B730" s="195" t="str">
        <f ca="1">IF(OFFSET('IWP04'!Std3LicenseInfo, 1, 0, 1, 1) = 0, "", OFFSET('IWP04'!Std3LicenseInfo, 1, 0, 1, 1))</f>
        <v/>
      </c>
      <c r="C730" s="195" t="str">
        <f ca="1">IF(OFFSET('IWP04'!Std3LicenseInfo, 1, 3, 1, 1) = 0, "", OFFSET('IWP04'!Std3LicenseInfo, 1, 3, 1, 1))</f>
        <v/>
      </c>
      <c r="D730" s="195" t="str">
        <f ca="1">IF(OFFSET('IWP04'!Std3LicenseInfo, 1, 6, 1, 1) = 0, "", OFFSET('IWP04'!Std3LicenseInfo, 1, 6, 1, 1))</f>
        <v/>
      </c>
      <c r="E730" s="172">
        <f ca="1">IF(OFFSET('IWP04'!Std3LicenseInfo, 1, 9, 1, 1)=DATE(1900,1,0), DATE(1900,1,1), OFFSET('IWP04'!Std3LicenseInfo, 1, 9, 1, 1))</f>
        <v>1</v>
      </c>
      <c r="F730" s="172">
        <f ca="1">IF(OFFSET('IWP04'!Std3LicenseInfo, 1, 10, 1, 1)=DATE(1900,1,0), DATE(1900,1,1), OFFSET('IWP04'!Std3LicenseInfo, 1, 10, 1, 1))</f>
        <v>1</v>
      </c>
      <c r="G730" s="194" t="str">
        <f ca="1">IF(OFFSET('IWP04'!Std3LicenseInfo, 1, 11, 1, 1) = 0, "", OFFSET('IWP04'!Std3LicenseInfo, 1, 11, 1, 1))</f>
        <v/>
      </c>
    </row>
    <row r="731" spans="1:7" s="146" customFormat="1">
      <c r="A731" s="183" t="s">
        <v>502</v>
      </c>
      <c r="B731" s="195" t="str">
        <f ca="1">IF(OFFSET('IWP04'!Std3LicenseInfo, 2, 0, 1, 1) = 0, "", OFFSET('IWP04'!Std3LicenseInfo, 2, 0, 1, 1))</f>
        <v/>
      </c>
      <c r="C731" s="195" t="str">
        <f ca="1">IF(OFFSET('IWP04'!Std3LicenseInfo, 2, 3, 1, 1) = 0, "", OFFSET('IWP04'!Std3LicenseInfo, 2, 3, 1, 1))</f>
        <v/>
      </c>
      <c r="D731" s="195" t="str">
        <f ca="1">IF(OFFSET('IWP04'!Std3LicenseInfo, 2, 6, 1, 1) = 0, "", OFFSET('IWP04'!Std3LicenseInfo, 2, 6, 1, 1))</f>
        <v/>
      </c>
      <c r="E731" s="172">
        <f ca="1">IF(OFFSET('IWP04'!Std3LicenseInfo, 2, 9, 1, 1)=DATE(1900,1,0), DATE(1900,1,1), OFFSET('IWP04'!Std3LicenseInfo, 2, 9, 1, 1))</f>
        <v>1</v>
      </c>
      <c r="F731" s="172">
        <f ca="1">IF(OFFSET('IWP04'!Std3LicenseInfo, 2, 10, 1, 1)=DATE(1900,1,0), DATE(1900,1,1), OFFSET('IWP04'!Std3LicenseInfo, 2, 10, 1, 1))</f>
        <v>1</v>
      </c>
      <c r="G731" s="194" t="str">
        <f ca="1">IF(OFFSET('IWP04'!Std3LicenseInfo, 2, 11, 1, 1) = 0, "", OFFSET('IWP04'!Std3LicenseInfo, 2, 11, 1, 1))</f>
        <v/>
      </c>
    </row>
    <row r="732" spans="1:7" s="146" customFormat="1">
      <c r="A732" s="183" t="s">
        <v>502</v>
      </c>
      <c r="B732" s="195" t="str">
        <f ca="1">IF(OFFSET('IWP04'!Std3LicenseInfo, 3, 0, 1, 1) = 0, "", OFFSET('IWP04'!Std3LicenseInfo, 3, 0, 1, 1))</f>
        <v/>
      </c>
      <c r="C732" s="195" t="str">
        <f ca="1">IF(OFFSET('IWP04'!Std3LicenseInfo, 3, 3, 1, 1) = 0, "", OFFSET('IWP04'!Std3LicenseInfo, 3, 3, 1, 1))</f>
        <v/>
      </c>
      <c r="D732" s="195" t="str">
        <f ca="1">IF(OFFSET('IWP04'!Std3LicenseInfo, 3, 6, 1, 1) = 0, "", OFFSET('IWP04'!Std3LicenseInfo, 3, 6, 1, 1))</f>
        <v/>
      </c>
      <c r="E732" s="172">
        <f ca="1">IF(OFFSET('IWP04'!Std3LicenseInfo, 3, 9, 1, 1)=DATE(1900,1,0), DATE(1900,1,1), OFFSET('IWP04'!Std3LicenseInfo, 3, 9, 1, 1))</f>
        <v>1</v>
      </c>
      <c r="F732" s="172">
        <f ca="1">IF(OFFSET('IWP04'!Std3LicenseInfo, 3, 10, 1, 1)=DATE(1900,1,0), DATE(1900,1,1), OFFSET('IWP04'!Std3LicenseInfo, 3, 10, 1, 1))</f>
        <v>1</v>
      </c>
      <c r="G732" s="194" t="str">
        <f ca="1">IF(OFFSET('IWP04'!Std3LicenseInfo, 3, 11, 1, 1) = 0, "", OFFSET('IWP04'!Std3LicenseInfo, 3, 11, 1, 1))</f>
        <v/>
      </c>
    </row>
    <row r="733" spans="1:7" s="146" customFormat="1">
      <c r="A733" s="183" t="s">
        <v>502</v>
      </c>
      <c r="B733" s="195" t="str">
        <f ca="1">IF(OFFSET('IWP04'!Std3LicenseInfo, 4, 0, 1, 1) = 0, "", OFFSET('IWP04'!Std3LicenseInfo, 4, 0, 1, 1))</f>
        <v/>
      </c>
      <c r="C733" s="195" t="str">
        <f ca="1">IF(OFFSET('IWP04'!Std3LicenseInfo, 4, 3, 1, 1) = 0, "", OFFSET('IWP04'!Std3LicenseInfo, 4, 3, 1, 1))</f>
        <v/>
      </c>
      <c r="D733" s="195" t="str">
        <f ca="1">IF(OFFSET('IWP04'!Std3LicenseInfo, 4, 6, 1, 1) = 0, "", OFFSET('IWP04'!Std3LicenseInfo, 4, 6, 1, 1))</f>
        <v/>
      </c>
      <c r="E733" s="172">
        <f ca="1">IF(OFFSET('IWP04'!Std3LicenseInfo, 4, 9, 1, 1)=DATE(1900,1,0), DATE(1900,1,1), OFFSET('IWP04'!Std3LicenseInfo, 4, 9, 1, 1))</f>
        <v>1</v>
      </c>
      <c r="F733" s="172">
        <f ca="1">IF(OFFSET('IWP04'!Std3LicenseInfo, 4, 10, 1, 1)=DATE(1900,1,0), DATE(1900,1,1), OFFSET('IWP04'!Std3LicenseInfo, 4, 10, 1, 1))</f>
        <v>1</v>
      </c>
      <c r="G733" s="194" t="str">
        <f ca="1">IF(OFFSET('IWP04'!Std3LicenseInfo, 4, 11, 1, 1) = 0, "", OFFSET('IWP04'!Std3LicenseInfo, 4, 11, 1, 1))</f>
        <v/>
      </c>
    </row>
    <row r="734" spans="1:7" s="146" customFormat="1">
      <c r="A734" s="183" t="s">
        <v>502</v>
      </c>
      <c r="B734" s="195" t="str">
        <f ca="1">IF(OFFSET('IWP04'!Std3LicenseInfo, 5, 0, 1, 1) = 0, "", OFFSET('IWP04'!Std3LicenseInfo, 5, 0, 1, 1))</f>
        <v/>
      </c>
      <c r="C734" s="195" t="str">
        <f ca="1">IF(OFFSET('IWP04'!Std3LicenseInfo, 5, 3, 1, 1) = 0, "", OFFSET('IWP04'!Std3LicenseInfo, 5, 3, 1, 1))</f>
        <v/>
      </c>
      <c r="D734" s="195" t="str">
        <f ca="1">IF(OFFSET('IWP04'!Std3LicenseInfo, 5, 6, 1, 1) = 0, "", OFFSET('IWP04'!Std3LicenseInfo, 5, 6, 1, 1))</f>
        <v/>
      </c>
      <c r="E734" s="172">
        <f ca="1">IF(OFFSET('IWP04'!Std3LicenseInfo, 5, 9, 1, 1)=DATE(1900,1,0), DATE(1900,1,1), OFFSET('IWP04'!Std3LicenseInfo, 5, 9, 1, 1))</f>
        <v>1</v>
      </c>
      <c r="F734" s="172">
        <f ca="1">IF(OFFSET('IWP04'!Std3LicenseInfo, 5, 10, 1, 1)=DATE(1900,1,0), DATE(1900,1,1), OFFSET('IWP04'!Std3LicenseInfo, 5, 10, 1, 1))</f>
        <v>1</v>
      </c>
      <c r="G734" s="194" t="str">
        <f ca="1">IF(OFFSET('IWP04'!Std3LicenseInfo, 5, 11, 1, 1) = 0, "", OFFSET('IWP04'!Std3LicenseInfo, 5, 11, 1, 1))</f>
        <v/>
      </c>
    </row>
    <row r="735" spans="1:7" s="146" customFormat="1">
      <c r="A735" s="183" t="s">
        <v>502</v>
      </c>
      <c r="B735" s="195" t="str">
        <f ca="1">IF(OFFSET('IWP04'!Std3LicenseInfo, 6, 0, 1, 1) = 0, "", OFFSET('IWP04'!Std3LicenseInfo, 6, 0, 1, 1))</f>
        <v/>
      </c>
      <c r="C735" s="195" t="str">
        <f ca="1">IF(OFFSET('IWP04'!Std3LicenseInfo, 6, 3, 1, 1) = 0, "", OFFSET('IWP04'!Std3LicenseInfo, 6, 3, 1, 1))</f>
        <v/>
      </c>
      <c r="D735" s="195" t="str">
        <f ca="1">IF(OFFSET('IWP04'!Std3LicenseInfo, 6, 6, 1, 1) = 0, "", OFFSET('IWP04'!Std3LicenseInfo, 6, 6, 1, 1))</f>
        <v/>
      </c>
      <c r="E735" s="172">
        <f ca="1">IF(OFFSET('IWP04'!Std3LicenseInfo, 6, 9, 1, 1)=DATE(1900,1,0), DATE(1900,1,1), OFFSET('IWP04'!Std3LicenseInfo, 6, 9, 1, 1))</f>
        <v>1</v>
      </c>
      <c r="F735" s="172">
        <f ca="1">IF(OFFSET('IWP04'!Std3LicenseInfo, 6, 10, 1, 1)=DATE(1900,1,0), DATE(1900,1,1), OFFSET('IWP04'!Std3LicenseInfo, 6, 10, 1, 1))</f>
        <v>1</v>
      </c>
      <c r="G735" s="194" t="str">
        <f ca="1">IF(OFFSET('IWP04'!Std3LicenseInfo, 6, 11, 1, 1) = 0, "", OFFSET('IWP04'!Std3LicenseInfo, 6, 11, 1, 1))</f>
        <v/>
      </c>
    </row>
    <row r="736" spans="1:7" s="146" customFormat="1">
      <c r="A736" s="183" t="s">
        <v>502</v>
      </c>
      <c r="B736" s="195" t="str">
        <f ca="1">IF(OFFSET('IWP04'!Std3LicenseInfo, 7, 0, 1, 1) = 0, "", OFFSET('IWP04'!Std3LicenseInfo, 7, 0, 1, 1))</f>
        <v/>
      </c>
      <c r="C736" s="195" t="str">
        <f ca="1">IF(OFFSET('IWP04'!Std3LicenseInfo, 7, 3, 1, 1) = 0, "", OFFSET('IWP04'!Std3LicenseInfo, 7, 3, 1, 1))</f>
        <v/>
      </c>
      <c r="D736" s="195" t="str">
        <f ca="1">IF(OFFSET('IWP04'!Std3LicenseInfo, 7, 6, 1, 1) = 0, "", OFFSET('IWP04'!Std3LicenseInfo, 7, 6, 1, 1))</f>
        <v/>
      </c>
      <c r="E736" s="172">
        <f ca="1">IF(OFFSET('IWP04'!Std3LicenseInfo, 7, 9, 1, 1)=DATE(1900,1,0), DATE(1900,1,1), OFFSET('IWP04'!Std3LicenseInfo, 7, 9, 1, 1))</f>
        <v>1</v>
      </c>
      <c r="F736" s="172">
        <f ca="1">IF(OFFSET('IWP04'!Std3LicenseInfo, 7, 10, 1, 1)=DATE(1900,1,0), DATE(1900,1,1), OFFSET('IWP04'!Std3LicenseInfo, 7, 10, 1, 1))</f>
        <v>1</v>
      </c>
      <c r="G736" s="194" t="str">
        <f ca="1">IF(OFFSET('IWP04'!Std3LicenseInfo, 7, 11, 1, 1) = 0, "", OFFSET('IWP04'!Std3LicenseInfo, 7, 11, 1, 1))</f>
        <v/>
      </c>
    </row>
    <row r="737" spans="1:7" s="146" customFormat="1">
      <c r="A737" s="183" t="s">
        <v>502</v>
      </c>
      <c r="B737" s="195" t="str">
        <f ca="1">IF(OFFSET('IWP04'!Std3LicenseInfo, 8, 0, 1, 1) = 0, "", OFFSET('IWP04'!Std3LicenseInfo, 8, 0, 1, 1))</f>
        <v/>
      </c>
      <c r="C737" s="195" t="str">
        <f ca="1">IF(OFFSET('IWP04'!Std3LicenseInfo, 8, 3, 1, 1) = 0, "", OFFSET('IWP04'!Std3LicenseInfo, 8, 3, 1, 1))</f>
        <v/>
      </c>
      <c r="D737" s="195" t="str">
        <f ca="1">IF(OFFSET('IWP04'!Std3LicenseInfo, 8, 6, 1, 1) = 0, "", OFFSET('IWP04'!Std3LicenseInfo, 8, 6, 1, 1))</f>
        <v/>
      </c>
      <c r="E737" s="172">
        <f ca="1">IF(OFFSET('IWP04'!Std3LicenseInfo, 8, 9, 1, 1)=DATE(1900,1,0), DATE(1900,1,1), OFFSET('IWP04'!Std3LicenseInfo, 8, 9, 1, 1))</f>
        <v>1</v>
      </c>
      <c r="F737" s="172">
        <f ca="1">IF(OFFSET('IWP04'!Std3LicenseInfo, 8, 10, 1, 1)=DATE(1900,1,0), DATE(1900,1,1), OFFSET('IWP04'!Std3LicenseInfo, 8, 10, 1, 1))</f>
        <v>1</v>
      </c>
      <c r="G737" s="194" t="str">
        <f ca="1">IF(OFFSET('IWP04'!Std3LicenseInfo, 8, 11, 1, 1) = 0, "", OFFSET('IWP04'!Std3LicenseInfo, 8, 11, 1, 1))</f>
        <v/>
      </c>
    </row>
    <row r="738" spans="1:7" s="146" customFormat="1">
      <c r="A738" s="183" t="s">
        <v>502</v>
      </c>
      <c r="B738" s="195" t="str">
        <f ca="1">IF(OFFSET('IWP04'!Std3LicenseInfo, 9, 0, 1, 1) = 0, "", OFFSET('IWP04'!Std3LicenseInfo, 9, 0, 1, 1))</f>
        <v/>
      </c>
      <c r="C738" s="195" t="str">
        <f ca="1">IF(OFFSET('IWP04'!Std3LicenseInfo, 9, 3, 1, 1) = 0, "", OFFSET('IWP04'!Std3LicenseInfo, 9, 3, 1, 1))</f>
        <v/>
      </c>
      <c r="D738" s="195" t="str">
        <f ca="1">IF(OFFSET('IWP04'!Std3LicenseInfo, 9, 6, 1, 1) = 0, "", OFFSET('IWP04'!Std3LicenseInfo, 9, 6, 1, 1))</f>
        <v/>
      </c>
      <c r="E738" s="172">
        <f ca="1">IF(OFFSET('IWP04'!Std3LicenseInfo, 9, 9, 1, 1)=DATE(1900,1,0), DATE(1900,1,1), OFFSET('IWP04'!Std3LicenseInfo, 9, 9, 1, 1))</f>
        <v>1</v>
      </c>
      <c r="F738" s="172">
        <f ca="1">IF(OFFSET('IWP04'!Std3LicenseInfo, 9, 10, 1, 1)=DATE(1900,1,0), DATE(1900,1,1), OFFSET('IWP04'!Std3LicenseInfo, 9, 10, 1, 1))</f>
        <v>1</v>
      </c>
      <c r="G738" s="194" t="str">
        <f ca="1">IF(OFFSET('IWP04'!Std3LicenseInfo, 9, 11, 1, 1) = 0, "", OFFSET('IWP04'!Std3LicenseInfo, 9, 11, 1, 1))</f>
        <v/>
      </c>
    </row>
    <row r="739" spans="1:7" s="146" customFormat="1">
      <c r="A739" s="183" t="s">
        <v>502</v>
      </c>
      <c r="B739" s="195" t="str">
        <f ca="1">IF(OFFSET('IWP04'!Std3LicenseInfo, 10, 0, 1, 1) = 0, "", OFFSET('IWP04'!Std3LicenseInfo, 10, 0, 1, 1))</f>
        <v/>
      </c>
      <c r="C739" s="195" t="str">
        <f ca="1">IF(OFFSET('IWP04'!Std3LicenseInfo, 10, 3, 1, 1) = 0, "", OFFSET('IWP04'!Std3LicenseInfo, 10, 3, 1, 1))</f>
        <v/>
      </c>
      <c r="D739" s="195" t="str">
        <f ca="1">IF(OFFSET('IWP04'!Std3LicenseInfo, 10, 6, 1, 1) = 0, "", OFFSET('IWP04'!Std3LicenseInfo, 10, 6, 1, 1))</f>
        <v/>
      </c>
      <c r="E739" s="172">
        <f ca="1">IF(OFFSET('IWP04'!Std3LicenseInfo, 10, 9, 1, 1)=DATE(1900,1,0), DATE(1900,1,1), OFFSET('IWP04'!Std3LicenseInfo, 10, 9, 1, 1))</f>
        <v>1</v>
      </c>
      <c r="F739" s="172">
        <f ca="1">IF(OFFSET('IWP04'!Std3LicenseInfo, 10, 10, 1, 1)=DATE(1900,1,0), DATE(1900,1,1), OFFSET('IWP04'!Std3LicenseInfo, 10, 10, 1, 1))</f>
        <v>1</v>
      </c>
      <c r="G739" s="194" t="str">
        <f ca="1">IF(OFFSET('IWP04'!Std3LicenseInfo, 10, 11, 1, 1) = 0, "", OFFSET('IWP04'!Std3LicenseInfo, 10, 11, 1, 1))</f>
        <v/>
      </c>
    </row>
    <row r="740" spans="1:7" s="146" customFormat="1">
      <c r="A740" s="183" t="s">
        <v>502</v>
      </c>
      <c r="B740" s="195" t="str">
        <f ca="1">IF(OFFSET('IWP04'!Std3LicenseInfo, 11, 0, 1, 1) = 0, "", OFFSET('IWP04'!Std3LicenseInfo, 11, 0, 1, 1))</f>
        <v/>
      </c>
      <c r="C740" s="195" t="str">
        <f ca="1">IF(OFFSET('IWP04'!Std3LicenseInfo, 11, 3, 1, 1) = 0, "", OFFSET('IWP04'!Std3LicenseInfo, 11, 3, 1, 1))</f>
        <v/>
      </c>
      <c r="D740" s="195" t="str">
        <f ca="1">IF(OFFSET('IWP04'!Std3LicenseInfo, 11, 6, 1, 1) = 0, "", OFFSET('IWP04'!Std3LicenseInfo, 11, 6, 1, 1))</f>
        <v/>
      </c>
      <c r="E740" s="172">
        <f ca="1">IF(OFFSET('IWP04'!Std3LicenseInfo, 11, 9, 1, 1)=DATE(1900,1,0), DATE(1900,1,1), OFFSET('IWP04'!Std3LicenseInfo, 11, 9, 1, 1))</f>
        <v>1</v>
      </c>
      <c r="F740" s="172">
        <f ca="1">IF(OFFSET('IWP04'!Std3LicenseInfo, 11, 10, 1, 1)=DATE(1900,1,0), DATE(1900,1,1), OFFSET('IWP04'!Std3LicenseInfo, 11, 10, 1, 1))</f>
        <v>1</v>
      </c>
      <c r="G740" s="194" t="str">
        <f ca="1">IF(OFFSET('IWP04'!Std3LicenseInfo, 11, 11, 1, 1) = 0, "", OFFSET('IWP04'!Std3LicenseInfo, 11, 11, 1, 1))</f>
        <v/>
      </c>
    </row>
    <row r="741" spans="1:7" s="146" customFormat="1">
      <c r="A741" s="183" t="s">
        <v>502</v>
      </c>
      <c r="B741" s="195" t="str">
        <f ca="1">IF(OFFSET('IWP04'!Std3LicenseInfo, 12, 0, 1, 1) = 0, "", OFFSET('IWP04'!Std3LicenseInfo, 12, 0, 1, 1))</f>
        <v/>
      </c>
      <c r="C741" s="195" t="str">
        <f ca="1">IF(OFFSET('IWP04'!Std3LicenseInfo, 12, 3, 1, 1) = 0, "", OFFSET('IWP04'!Std3LicenseInfo, 12, 3, 1, 1))</f>
        <v/>
      </c>
      <c r="D741" s="195" t="str">
        <f ca="1">IF(OFFSET('IWP04'!Std3LicenseInfo, 12, 6, 1, 1) = 0, "", OFFSET('IWP04'!Std3LicenseInfo, 12, 6, 1, 1))</f>
        <v/>
      </c>
      <c r="E741" s="172">
        <f ca="1">IF(OFFSET('IWP04'!Std3LicenseInfo, 12, 9, 1, 1)=DATE(1900,1,0), DATE(1900,1,1), OFFSET('IWP04'!Std3LicenseInfo, 12, 9, 1, 1))</f>
        <v>1</v>
      </c>
      <c r="F741" s="172">
        <f ca="1">IF(OFFSET('IWP04'!Std3LicenseInfo, 12, 10, 1, 1)=DATE(1900,1,0), DATE(1900,1,1), OFFSET('IWP04'!Std3LicenseInfo, 12, 10, 1, 1))</f>
        <v>1</v>
      </c>
      <c r="G741" s="194" t="str">
        <f ca="1">IF(OFFSET('IWP04'!Std3LicenseInfo, 12, 11, 1, 1) = 0, "", OFFSET('IWP04'!Std3LicenseInfo, 12, 11, 1, 1))</f>
        <v/>
      </c>
    </row>
    <row r="742" spans="1:7" s="146" customFormat="1">
      <c r="A742" s="183" t="s">
        <v>502</v>
      </c>
      <c r="B742" s="195" t="str">
        <f ca="1">IF(OFFSET('IWP04'!Std3LicenseInfo, 13, 0, 1, 1) = 0, "", OFFSET('IWP04'!Std3LicenseInfo, 13, 0, 1, 1))</f>
        <v/>
      </c>
      <c r="C742" s="195" t="str">
        <f ca="1">IF(OFFSET('IWP04'!Std3LicenseInfo, 13, 3, 1, 1) = 0, "", OFFSET('IWP04'!Std3LicenseInfo, 13, 3, 1, 1))</f>
        <v/>
      </c>
      <c r="D742" s="195" t="str">
        <f ca="1">IF(OFFSET('IWP04'!Std3LicenseInfo, 13, 6, 1, 1) = 0, "", OFFSET('IWP04'!Std3LicenseInfo, 13, 6, 1, 1))</f>
        <v/>
      </c>
      <c r="E742" s="172">
        <f ca="1">IF(OFFSET('IWP04'!Std3LicenseInfo, 13, 9, 1, 1)=DATE(1900,1,0), DATE(1900,1,1), OFFSET('IWP04'!Std3LicenseInfo, 13, 9, 1, 1))</f>
        <v>1</v>
      </c>
      <c r="F742" s="172">
        <f ca="1">IF(OFFSET('IWP04'!Std3LicenseInfo, 13, 10, 1, 1)=DATE(1900,1,0), DATE(1900,1,1), OFFSET('IWP04'!Std3LicenseInfo, 13, 10, 1, 1))</f>
        <v>1</v>
      </c>
      <c r="G742" s="194" t="str">
        <f ca="1">IF(OFFSET('IWP04'!Std3LicenseInfo, 13, 11, 1, 1) = 0, "", OFFSET('IWP04'!Std3LicenseInfo, 13, 11, 1, 1))</f>
        <v/>
      </c>
    </row>
    <row r="743" spans="1:7" s="146" customFormat="1">
      <c r="A743" s="183" t="s">
        <v>503</v>
      </c>
      <c r="B743" s="195" t="str">
        <f ca="1">IF(OFFSET('IWP05'!Std3LicenseInfo, 0, 0, 1, 1) = 0, "", OFFSET('IWP05'!Std3LicenseInfo, 0, 0, 1, 1))</f>
        <v/>
      </c>
      <c r="C743" s="195" t="str">
        <f ca="1">IF(OFFSET('IWP05'!Std3LicenseInfo, 0, 3, 1, 1) = 0, "", OFFSET('IWP05'!Std3LicenseInfo, 0, 3, 1, 1))</f>
        <v/>
      </c>
      <c r="D743" s="195" t="str">
        <f ca="1">IF(OFFSET('IWP05'!Std3LicenseInfo, 0, 6, 1, 1) = 0, "", OFFSET('IWP05'!Std3LicenseInfo, 0, 6, 1, 1))</f>
        <v/>
      </c>
      <c r="E743" s="172">
        <f ca="1">IF(OFFSET('IWP05'!Std3LicenseInfo, 0, 9, 1, 1)=DATE(1900,1,0), DATE(1900,1,1), OFFSET('IWP05'!Std3LicenseInfo, 0, 9, 1, 1))</f>
        <v>1</v>
      </c>
      <c r="F743" s="172">
        <f ca="1">IF(OFFSET('IWP05'!Std3LicenseInfo, 0, 10, 1, 1)=DATE(1900,1,0), DATE(1900,1,1), OFFSET('IWP05'!Std3LicenseInfo, 0, 10, 1, 1))</f>
        <v>1</v>
      </c>
      <c r="G743" s="194" t="str">
        <f ca="1">IF(OFFSET('IWP05'!Std3LicenseInfo, 0, 11, 1, 1) = 0, "", OFFSET('IWP05'!Std3LicenseInfo, 0, 11, 1, 1))</f>
        <v/>
      </c>
    </row>
    <row r="744" spans="1:7" s="146" customFormat="1">
      <c r="A744" s="183" t="s">
        <v>503</v>
      </c>
      <c r="B744" s="195" t="str">
        <f ca="1">IF(OFFSET('IWP05'!Std3LicenseInfo, 1, 0, 1, 1) = 0, "", OFFSET('IWP05'!Std3LicenseInfo, 1, 0, 1, 1))</f>
        <v/>
      </c>
      <c r="C744" s="195" t="str">
        <f ca="1">IF(OFFSET('IWP05'!Std3LicenseInfo, 1, 3, 1, 1) = 0, "", OFFSET('IWP05'!Std3LicenseInfo, 1, 3, 1, 1))</f>
        <v/>
      </c>
      <c r="D744" s="195" t="str">
        <f ca="1">IF(OFFSET('IWP05'!Std3LicenseInfo, 1, 6, 1, 1) = 0, "", OFFSET('IWP05'!Std3LicenseInfo, 1, 6, 1, 1))</f>
        <v/>
      </c>
      <c r="E744" s="172">
        <f ca="1">IF(OFFSET('IWP05'!Std3LicenseInfo, 1, 9, 1, 1)=DATE(1900,1,0), DATE(1900,1,1), OFFSET('IWP05'!Std3LicenseInfo, 1, 9, 1, 1))</f>
        <v>1</v>
      </c>
      <c r="F744" s="172">
        <f ca="1">IF(OFFSET('IWP05'!Std3LicenseInfo, 1, 10, 1, 1)=DATE(1900,1,0), DATE(1900,1,1), OFFSET('IWP05'!Std3LicenseInfo, 1, 10, 1, 1))</f>
        <v>1</v>
      </c>
      <c r="G744" s="194" t="str">
        <f ca="1">IF(OFFSET('IWP05'!Std3LicenseInfo, 1, 11, 1, 1) = 0, "", OFFSET('IWP05'!Std3LicenseInfo, 1, 11, 1, 1))</f>
        <v/>
      </c>
    </row>
    <row r="745" spans="1:7" s="146" customFormat="1">
      <c r="A745" s="183" t="s">
        <v>503</v>
      </c>
      <c r="B745" s="195" t="str">
        <f ca="1">IF(OFFSET('IWP05'!Std3LicenseInfo, 2, 0, 1, 1) = 0, "", OFFSET('IWP05'!Std3LicenseInfo, 2, 0, 1, 1))</f>
        <v/>
      </c>
      <c r="C745" s="195" t="str">
        <f ca="1">IF(OFFSET('IWP05'!Std3LicenseInfo, 2, 3, 1, 1) = 0, "", OFFSET('IWP05'!Std3LicenseInfo, 2, 3, 1, 1))</f>
        <v/>
      </c>
      <c r="D745" s="195" t="str">
        <f ca="1">IF(OFFSET('IWP05'!Std3LicenseInfo, 2, 6, 1, 1) = 0, "", OFFSET('IWP05'!Std3LicenseInfo, 2, 6, 1, 1))</f>
        <v/>
      </c>
      <c r="E745" s="172">
        <f ca="1">IF(OFFSET('IWP05'!Std3LicenseInfo, 2, 9, 1, 1)=DATE(1900,1,0), DATE(1900,1,1), OFFSET('IWP05'!Std3LicenseInfo, 2, 9, 1, 1))</f>
        <v>1</v>
      </c>
      <c r="F745" s="172">
        <f ca="1">IF(OFFSET('IWP05'!Std3LicenseInfo, 2, 10, 1, 1)=DATE(1900,1,0), DATE(1900,1,1), OFFSET('IWP05'!Std3LicenseInfo, 2, 10, 1, 1))</f>
        <v>1</v>
      </c>
      <c r="G745" s="194" t="str">
        <f ca="1">IF(OFFSET('IWP05'!Std3LicenseInfo, 2, 11, 1, 1) = 0, "", OFFSET('IWP05'!Std3LicenseInfo, 2, 11, 1, 1))</f>
        <v/>
      </c>
    </row>
    <row r="746" spans="1:7" s="146" customFormat="1">
      <c r="A746" s="183" t="s">
        <v>503</v>
      </c>
      <c r="B746" s="195" t="str">
        <f ca="1">IF(OFFSET('IWP05'!Std3LicenseInfo, 3, 0, 1, 1) = 0, "", OFFSET('IWP05'!Std3LicenseInfo, 3, 0, 1, 1))</f>
        <v/>
      </c>
      <c r="C746" s="195" t="str">
        <f ca="1">IF(OFFSET('IWP05'!Std3LicenseInfo, 3, 3, 1, 1) = 0, "", OFFSET('IWP05'!Std3LicenseInfo, 3, 3, 1, 1))</f>
        <v/>
      </c>
      <c r="D746" s="195" t="str">
        <f ca="1">IF(OFFSET('IWP05'!Std3LicenseInfo, 3, 6, 1, 1) = 0, "", OFFSET('IWP05'!Std3LicenseInfo, 3, 6, 1, 1))</f>
        <v/>
      </c>
      <c r="E746" s="172">
        <f ca="1">IF(OFFSET('IWP05'!Std3LicenseInfo, 3, 9, 1, 1)=DATE(1900,1,0), DATE(1900,1,1), OFFSET('IWP05'!Std3LicenseInfo, 3, 9, 1, 1))</f>
        <v>1</v>
      </c>
      <c r="F746" s="172">
        <f ca="1">IF(OFFSET('IWP05'!Std3LicenseInfo, 3, 10, 1, 1)=DATE(1900,1,0), DATE(1900,1,1), OFFSET('IWP05'!Std3LicenseInfo, 3, 10, 1, 1))</f>
        <v>1</v>
      </c>
      <c r="G746" s="194" t="str">
        <f ca="1">IF(OFFSET('IWP05'!Std3LicenseInfo, 3, 11, 1, 1) = 0, "", OFFSET('IWP05'!Std3LicenseInfo, 3, 11, 1, 1))</f>
        <v/>
      </c>
    </row>
    <row r="747" spans="1:7" s="146" customFormat="1">
      <c r="A747" s="183" t="s">
        <v>503</v>
      </c>
      <c r="B747" s="195" t="str">
        <f ca="1">IF(OFFSET('IWP05'!Std3LicenseInfo, 4, 0, 1, 1) = 0, "", OFFSET('IWP05'!Std3LicenseInfo, 4, 0, 1, 1))</f>
        <v/>
      </c>
      <c r="C747" s="195" t="str">
        <f ca="1">IF(OFFSET('IWP05'!Std3LicenseInfo, 4, 3, 1, 1) = 0, "", OFFSET('IWP05'!Std3LicenseInfo, 4, 3, 1, 1))</f>
        <v/>
      </c>
      <c r="D747" s="195" t="str">
        <f ca="1">IF(OFFSET('IWP05'!Std3LicenseInfo, 4, 6, 1, 1) = 0, "", OFFSET('IWP05'!Std3LicenseInfo, 4, 6, 1, 1))</f>
        <v/>
      </c>
      <c r="E747" s="172">
        <f ca="1">IF(OFFSET('IWP05'!Std3LicenseInfo, 4, 9, 1, 1)=DATE(1900,1,0), DATE(1900,1,1), OFFSET('IWP05'!Std3LicenseInfo, 4, 9, 1, 1))</f>
        <v>1</v>
      </c>
      <c r="F747" s="172">
        <f ca="1">IF(OFFSET('IWP05'!Std3LicenseInfo, 4, 10, 1, 1)=DATE(1900,1,0), DATE(1900,1,1), OFFSET('IWP05'!Std3LicenseInfo, 4, 10, 1, 1))</f>
        <v>1</v>
      </c>
      <c r="G747" s="194" t="str">
        <f ca="1">IF(OFFSET('IWP05'!Std3LicenseInfo, 4, 11, 1, 1) = 0, "", OFFSET('IWP05'!Std3LicenseInfo, 4, 11, 1, 1))</f>
        <v/>
      </c>
    </row>
    <row r="748" spans="1:7" s="146" customFormat="1">
      <c r="A748" s="183" t="s">
        <v>503</v>
      </c>
      <c r="B748" s="195" t="str">
        <f ca="1">IF(OFFSET('IWP05'!Std3LicenseInfo, 5, 0, 1, 1) = 0, "", OFFSET('IWP05'!Std3LicenseInfo, 5, 0, 1, 1))</f>
        <v/>
      </c>
      <c r="C748" s="195" t="str">
        <f ca="1">IF(OFFSET('IWP05'!Std3LicenseInfo, 5, 3, 1, 1) = 0, "", OFFSET('IWP05'!Std3LicenseInfo, 5, 3, 1, 1))</f>
        <v/>
      </c>
      <c r="D748" s="195" t="str">
        <f ca="1">IF(OFFSET('IWP05'!Std3LicenseInfo, 5, 6, 1, 1) = 0, "", OFFSET('IWP05'!Std3LicenseInfo, 5, 6, 1, 1))</f>
        <v/>
      </c>
      <c r="E748" s="172">
        <f ca="1">IF(OFFSET('IWP05'!Std3LicenseInfo, 5, 9, 1, 1)=DATE(1900,1,0), DATE(1900,1,1), OFFSET('IWP05'!Std3LicenseInfo, 5, 9, 1, 1))</f>
        <v>1</v>
      </c>
      <c r="F748" s="172">
        <f ca="1">IF(OFFSET('IWP05'!Std3LicenseInfo, 5, 10, 1, 1)=DATE(1900,1,0), DATE(1900,1,1), OFFSET('IWP05'!Std3LicenseInfo, 5, 10, 1, 1))</f>
        <v>1</v>
      </c>
      <c r="G748" s="194" t="str">
        <f ca="1">IF(OFFSET('IWP05'!Std3LicenseInfo, 5, 11, 1, 1) = 0, "", OFFSET('IWP05'!Std3LicenseInfo, 5, 11, 1, 1))</f>
        <v/>
      </c>
    </row>
    <row r="749" spans="1:7" s="146" customFormat="1">
      <c r="A749" s="183" t="s">
        <v>503</v>
      </c>
      <c r="B749" s="195" t="str">
        <f ca="1">IF(OFFSET('IWP05'!Std3LicenseInfo, 6, 0, 1, 1) = 0, "", OFFSET('IWP05'!Std3LicenseInfo, 6, 0, 1, 1))</f>
        <v/>
      </c>
      <c r="C749" s="195" t="str">
        <f ca="1">IF(OFFSET('IWP05'!Std3LicenseInfo, 6, 3, 1, 1) = 0, "", OFFSET('IWP05'!Std3LicenseInfo, 6, 3, 1, 1))</f>
        <v/>
      </c>
      <c r="D749" s="195" t="str">
        <f ca="1">IF(OFFSET('IWP05'!Std3LicenseInfo, 6, 6, 1, 1) = 0, "", OFFSET('IWP05'!Std3LicenseInfo, 6, 6, 1, 1))</f>
        <v/>
      </c>
      <c r="E749" s="172">
        <f ca="1">IF(OFFSET('IWP05'!Std3LicenseInfo, 6, 9, 1, 1)=DATE(1900,1,0), DATE(1900,1,1), OFFSET('IWP05'!Std3LicenseInfo, 6, 9, 1, 1))</f>
        <v>1</v>
      </c>
      <c r="F749" s="172">
        <f ca="1">IF(OFFSET('IWP05'!Std3LicenseInfo, 6, 10, 1, 1)=DATE(1900,1,0), DATE(1900,1,1), OFFSET('IWP05'!Std3LicenseInfo, 6, 10, 1, 1))</f>
        <v>1</v>
      </c>
      <c r="G749" s="194" t="str">
        <f ca="1">IF(OFFSET('IWP05'!Std3LicenseInfo, 6, 11, 1, 1) = 0, "", OFFSET('IWP05'!Std3LicenseInfo, 6, 11, 1, 1))</f>
        <v/>
      </c>
    </row>
    <row r="750" spans="1:7" s="146" customFormat="1">
      <c r="A750" s="183" t="s">
        <v>503</v>
      </c>
      <c r="B750" s="195" t="str">
        <f ca="1">IF(OFFSET('IWP05'!Std3LicenseInfo, 7, 0, 1, 1) = 0, "", OFFSET('IWP05'!Std3LicenseInfo, 7, 0, 1, 1))</f>
        <v/>
      </c>
      <c r="C750" s="195" t="str">
        <f ca="1">IF(OFFSET('IWP05'!Std3LicenseInfo, 7, 3, 1, 1) = 0, "", OFFSET('IWP05'!Std3LicenseInfo, 7, 3, 1, 1))</f>
        <v/>
      </c>
      <c r="D750" s="195" t="str">
        <f ca="1">IF(OFFSET('IWP05'!Std3LicenseInfo, 7, 6, 1, 1) = 0, "", OFFSET('IWP05'!Std3LicenseInfo, 7, 6, 1, 1))</f>
        <v/>
      </c>
      <c r="E750" s="172">
        <f ca="1">IF(OFFSET('IWP05'!Std3LicenseInfo, 7, 9, 1, 1)=DATE(1900,1,0), DATE(1900,1,1), OFFSET('IWP05'!Std3LicenseInfo, 7, 9, 1, 1))</f>
        <v>1</v>
      </c>
      <c r="F750" s="172">
        <f ca="1">IF(OFFSET('IWP05'!Std3LicenseInfo, 7, 10, 1, 1)=DATE(1900,1,0), DATE(1900,1,1), OFFSET('IWP05'!Std3LicenseInfo, 7, 10, 1, 1))</f>
        <v>1</v>
      </c>
      <c r="G750" s="194" t="str">
        <f ca="1">IF(OFFSET('IWP05'!Std3LicenseInfo, 7, 11, 1, 1) = 0, "", OFFSET('IWP05'!Std3LicenseInfo, 7, 11, 1, 1))</f>
        <v/>
      </c>
    </row>
    <row r="751" spans="1:7" s="146" customFormat="1">
      <c r="A751" s="183" t="s">
        <v>503</v>
      </c>
      <c r="B751" s="195" t="str">
        <f ca="1">IF(OFFSET('IWP05'!Std3LicenseInfo, 8, 0, 1, 1) = 0, "", OFFSET('IWP05'!Std3LicenseInfo, 8, 0, 1, 1))</f>
        <v/>
      </c>
      <c r="C751" s="195" t="str">
        <f ca="1">IF(OFFSET('IWP05'!Std3LicenseInfo, 8, 3, 1, 1) = 0, "", OFFSET('IWP05'!Std3LicenseInfo, 8, 3, 1, 1))</f>
        <v/>
      </c>
      <c r="D751" s="195" t="str">
        <f ca="1">IF(OFFSET('IWP05'!Std3LicenseInfo, 8, 6, 1, 1) = 0, "", OFFSET('IWP05'!Std3LicenseInfo, 8, 6, 1, 1))</f>
        <v/>
      </c>
      <c r="E751" s="172">
        <f ca="1">IF(OFFSET('IWP05'!Std3LicenseInfo, 8, 9, 1, 1)=DATE(1900,1,0), DATE(1900,1,1), OFFSET('IWP05'!Std3LicenseInfo, 8, 9, 1, 1))</f>
        <v>1</v>
      </c>
      <c r="F751" s="172">
        <f ca="1">IF(OFFSET('IWP05'!Std3LicenseInfo, 8, 10, 1, 1)=DATE(1900,1,0), DATE(1900,1,1), OFFSET('IWP05'!Std3LicenseInfo, 8, 10, 1, 1))</f>
        <v>1</v>
      </c>
      <c r="G751" s="194" t="str">
        <f ca="1">IF(OFFSET('IWP05'!Std3LicenseInfo, 8, 11, 1, 1) = 0, "", OFFSET('IWP05'!Std3LicenseInfo, 8, 11, 1, 1))</f>
        <v/>
      </c>
    </row>
    <row r="752" spans="1:7" s="146" customFormat="1">
      <c r="A752" s="183" t="s">
        <v>503</v>
      </c>
      <c r="B752" s="195" t="str">
        <f ca="1">IF(OFFSET('IWP05'!Std3LicenseInfo, 9, 0, 1, 1) = 0, "", OFFSET('IWP05'!Std3LicenseInfo, 9, 0, 1, 1))</f>
        <v/>
      </c>
      <c r="C752" s="195" t="str">
        <f ca="1">IF(OFFSET('IWP05'!Std3LicenseInfo, 9, 3, 1, 1) = 0, "", OFFSET('IWP05'!Std3LicenseInfo, 9, 3, 1, 1))</f>
        <v/>
      </c>
      <c r="D752" s="195" t="str">
        <f ca="1">IF(OFFSET('IWP05'!Std3LicenseInfo, 9, 6, 1, 1) = 0, "", OFFSET('IWP05'!Std3LicenseInfo, 9, 6, 1, 1))</f>
        <v/>
      </c>
      <c r="E752" s="172">
        <f ca="1">IF(OFFSET('IWP05'!Std3LicenseInfo, 9, 9, 1, 1)=DATE(1900,1,0), DATE(1900,1,1), OFFSET('IWP05'!Std3LicenseInfo, 9, 9, 1, 1))</f>
        <v>1</v>
      </c>
      <c r="F752" s="172">
        <f ca="1">IF(OFFSET('IWP05'!Std3LicenseInfo, 9, 10, 1, 1)=DATE(1900,1,0), DATE(1900,1,1), OFFSET('IWP05'!Std3LicenseInfo, 9, 10, 1, 1))</f>
        <v>1</v>
      </c>
      <c r="G752" s="194" t="str">
        <f ca="1">IF(OFFSET('IWP05'!Std3LicenseInfo, 9, 11, 1, 1) = 0, "", OFFSET('IWP05'!Std3LicenseInfo, 9, 11, 1, 1))</f>
        <v/>
      </c>
    </row>
    <row r="753" spans="1:7" s="146" customFormat="1">
      <c r="A753" s="183" t="s">
        <v>503</v>
      </c>
      <c r="B753" s="195" t="str">
        <f ca="1">IF(OFFSET('IWP05'!Std3LicenseInfo, 10, 0, 1, 1) = 0, "", OFFSET('IWP05'!Std3LicenseInfo, 10, 0, 1, 1))</f>
        <v/>
      </c>
      <c r="C753" s="195" t="str">
        <f ca="1">IF(OFFSET('IWP05'!Std3LicenseInfo, 10, 3, 1, 1) = 0, "", OFFSET('IWP05'!Std3LicenseInfo, 10, 3, 1, 1))</f>
        <v/>
      </c>
      <c r="D753" s="195" t="str">
        <f ca="1">IF(OFFSET('IWP05'!Std3LicenseInfo, 10, 6, 1, 1) = 0, "", OFFSET('IWP05'!Std3LicenseInfo, 10, 6, 1, 1))</f>
        <v/>
      </c>
      <c r="E753" s="172">
        <f ca="1">IF(OFFSET('IWP05'!Std3LicenseInfo, 10, 9, 1, 1)=DATE(1900,1,0), DATE(1900,1,1), OFFSET('IWP05'!Std3LicenseInfo, 10, 9, 1, 1))</f>
        <v>1</v>
      </c>
      <c r="F753" s="172">
        <f ca="1">IF(OFFSET('IWP05'!Std3LicenseInfo, 10, 10, 1, 1)=DATE(1900,1,0), DATE(1900,1,1), OFFSET('IWP05'!Std3LicenseInfo, 10, 10, 1, 1))</f>
        <v>1</v>
      </c>
      <c r="G753" s="194" t="str">
        <f ca="1">IF(OFFSET('IWP05'!Std3LicenseInfo, 10, 11, 1, 1) = 0, "", OFFSET('IWP05'!Std3LicenseInfo, 10, 11, 1, 1))</f>
        <v/>
      </c>
    </row>
    <row r="754" spans="1:7" s="146" customFormat="1">
      <c r="A754" s="183" t="s">
        <v>503</v>
      </c>
      <c r="B754" s="195" t="str">
        <f ca="1">IF(OFFSET('IWP05'!Std3LicenseInfo, 11, 0, 1, 1) = 0, "", OFFSET('IWP05'!Std3LicenseInfo, 11, 0, 1, 1))</f>
        <v/>
      </c>
      <c r="C754" s="195" t="str">
        <f ca="1">IF(OFFSET('IWP05'!Std3LicenseInfo, 11, 3, 1, 1) = 0, "", OFFSET('IWP05'!Std3LicenseInfo, 11, 3, 1, 1))</f>
        <v/>
      </c>
      <c r="D754" s="195" t="str">
        <f ca="1">IF(OFFSET('IWP05'!Std3LicenseInfo, 11, 6, 1, 1) = 0, "", OFFSET('IWP05'!Std3LicenseInfo, 11, 6, 1, 1))</f>
        <v/>
      </c>
      <c r="E754" s="172">
        <f ca="1">IF(OFFSET('IWP05'!Std3LicenseInfo, 11, 9, 1, 1)=DATE(1900,1,0), DATE(1900,1,1), OFFSET('IWP05'!Std3LicenseInfo, 11, 9, 1, 1))</f>
        <v>1</v>
      </c>
      <c r="F754" s="172">
        <f ca="1">IF(OFFSET('IWP05'!Std3LicenseInfo, 11, 10, 1, 1)=DATE(1900,1,0), DATE(1900,1,1), OFFSET('IWP05'!Std3LicenseInfo, 11, 10, 1, 1))</f>
        <v>1</v>
      </c>
      <c r="G754" s="194" t="str">
        <f ca="1">IF(OFFSET('IWP05'!Std3LicenseInfo, 11, 11, 1, 1) = 0, "", OFFSET('IWP05'!Std3LicenseInfo, 11, 11, 1, 1))</f>
        <v/>
      </c>
    </row>
    <row r="755" spans="1:7" s="146" customFormat="1">
      <c r="A755" s="183" t="s">
        <v>503</v>
      </c>
      <c r="B755" s="195" t="str">
        <f ca="1">IF(OFFSET('IWP05'!Std3LicenseInfo, 12, 0, 1, 1) = 0, "", OFFSET('IWP05'!Std3LicenseInfo, 12, 0, 1, 1))</f>
        <v/>
      </c>
      <c r="C755" s="195" t="str">
        <f ca="1">IF(OFFSET('IWP05'!Std3LicenseInfo, 12, 3, 1, 1) = 0, "", OFFSET('IWP05'!Std3LicenseInfo, 12, 3, 1, 1))</f>
        <v/>
      </c>
      <c r="D755" s="195" t="str">
        <f ca="1">IF(OFFSET('IWP05'!Std3LicenseInfo, 12, 6, 1, 1) = 0, "", OFFSET('IWP05'!Std3LicenseInfo, 12, 6, 1, 1))</f>
        <v/>
      </c>
      <c r="E755" s="172">
        <f ca="1">IF(OFFSET('IWP05'!Std3LicenseInfo, 12, 9, 1, 1)=DATE(1900,1,0), DATE(1900,1,1), OFFSET('IWP05'!Std3LicenseInfo, 12, 9, 1, 1))</f>
        <v>1</v>
      </c>
      <c r="F755" s="172">
        <f ca="1">IF(OFFSET('IWP05'!Std3LicenseInfo, 12, 10, 1, 1)=DATE(1900,1,0), DATE(1900,1,1), OFFSET('IWP05'!Std3LicenseInfo, 12, 10, 1, 1))</f>
        <v>1</v>
      </c>
      <c r="G755" s="194" t="str">
        <f ca="1">IF(OFFSET('IWP05'!Std3LicenseInfo, 12, 11, 1, 1) = 0, "", OFFSET('IWP05'!Std3LicenseInfo, 12, 11, 1, 1))</f>
        <v/>
      </c>
    </row>
    <row r="756" spans="1:7" s="146" customFormat="1">
      <c r="A756" s="183" t="s">
        <v>503</v>
      </c>
      <c r="B756" s="195" t="str">
        <f ca="1">IF(OFFSET('IWP05'!Std3LicenseInfo, 13, 0, 1, 1) = 0, "", OFFSET('IWP05'!Std3LicenseInfo, 13, 0, 1, 1))</f>
        <v/>
      </c>
      <c r="C756" s="195" t="str">
        <f ca="1">IF(OFFSET('IWP05'!Std3LicenseInfo, 13, 3, 1, 1) = 0, "", OFFSET('IWP05'!Std3LicenseInfo, 13, 3, 1, 1))</f>
        <v/>
      </c>
      <c r="D756" s="195" t="str">
        <f ca="1">IF(OFFSET('IWP05'!Std3LicenseInfo, 13, 6, 1, 1) = 0, "", OFFSET('IWP05'!Std3LicenseInfo, 13, 6, 1, 1))</f>
        <v/>
      </c>
      <c r="E756" s="172">
        <f ca="1">IF(OFFSET('IWP05'!Std3LicenseInfo, 13, 9, 1, 1)=DATE(1900,1,0), DATE(1900,1,1), OFFSET('IWP05'!Std3LicenseInfo, 13, 9, 1, 1))</f>
        <v>1</v>
      </c>
      <c r="F756" s="172">
        <f ca="1">IF(OFFSET('IWP05'!Std3LicenseInfo, 13, 10, 1, 1)=DATE(1900,1,0), DATE(1900,1,1), OFFSET('IWP05'!Std3LicenseInfo, 13, 10, 1, 1))</f>
        <v>1</v>
      </c>
      <c r="G756" s="194" t="str">
        <f ca="1">IF(OFFSET('IWP05'!Std3LicenseInfo, 13, 11, 1, 1) = 0, "", OFFSET('IWP05'!Std3LicenseInfo, 13, 11, 1, 1))</f>
        <v/>
      </c>
    </row>
    <row r="757" spans="1:7" s="146" customFormat="1">
      <c r="A757" s="183" t="s">
        <v>504</v>
      </c>
      <c r="B757" s="195" t="str">
        <f ca="1">IF(OFFSET('IWP06'!Std3LicenseInfo, 0, 0, 1, 1) = 0, "", OFFSET('IWP06'!Std3LicenseInfo, 0, 0, 1, 1))</f>
        <v/>
      </c>
      <c r="C757" s="195" t="str">
        <f ca="1">IF(OFFSET('IWP06'!Std3LicenseInfo, 0, 3, 1, 1) = 0, "", OFFSET('IWP06'!Std3LicenseInfo, 0, 3, 1, 1))</f>
        <v/>
      </c>
      <c r="D757" s="195" t="str">
        <f ca="1">IF(OFFSET('IWP06'!Std3LicenseInfo, 0, 6, 1, 1) = 0, "", OFFSET('IWP06'!Std3LicenseInfo, 0, 6, 1, 1))</f>
        <v/>
      </c>
      <c r="E757" s="172">
        <f ca="1">IF(OFFSET('IWP06'!Std3LicenseInfo, 0, 9, 1, 1)=DATE(1900,1,0), DATE(1900,1,1), OFFSET('IWP06'!Std3LicenseInfo, 0, 9, 1, 1))</f>
        <v>1</v>
      </c>
      <c r="F757" s="172">
        <f ca="1">IF(OFFSET('IWP06'!Std3LicenseInfo, 0, 10, 1, 1)=DATE(1900,1,0), DATE(1900,1,1), OFFSET('IWP06'!Std3LicenseInfo, 0, 10, 1, 1))</f>
        <v>1</v>
      </c>
      <c r="G757" s="194" t="str">
        <f ca="1">IF(OFFSET('IWP06'!Std3LicenseInfo, 0, 11, 1, 1) = 0, "", OFFSET('IWP06'!Std3LicenseInfo, 0, 11, 1, 1))</f>
        <v/>
      </c>
    </row>
    <row r="758" spans="1:7" s="146" customFormat="1">
      <c r="A758" s="183" t="s">
        <v>504</v>
      </c>
      <c r="B758" s="195" t="str">
        <f ca="1">IF(OFFSET('IWP06'!Std3LicenseInfo, 1, 0, 1, 1) = 0, "", OFFSET('IWP06'!Std3LicenseInfo, 1, 0, 1, 1))</f>
        <v/>
      </c>
      <c r="C758" s="195" t="str">
        <f ca="1">IF(OFFSET('IWP06'!Std3LicenseInfo, 1, 3, 1, 1) = 0, "", OFFSET('IWP06'!Std3LicenseInfo, 1, 3, 1, 1))</f>
        <v/>
      </c>
      <c r="D758" s="195" t="str">
        <f ca="1">IF(OFFSET('IWP06'!Std3LicenseInfo, 1, 6, 1, 1) = 0, "", OFFSET('IWP06'!Std3LicenseInfo, 1, 6, 1, 1))</f>
        <v/>
      </c>
      <c r="E758" s="172">
        <f ca="1">IF(OFFSET('IWP06'!Std3LicenseInfo, 1, 9, 1, 1)=DATE(1900,1,0), DATE(1900,1,1), OFFSET('IWP06'!Std3LicenseInfo, 1, 9, 1, 1))</f>
        <v>1</v>
      </c>
      <c r="F758" s="172">
        <f ca="1">IF(OFFSET('IWP06'!Std3LicenseInfo, 1, 10, 1, 1)=DATE(1900,1,0), DATE(1900,1,1), OFFSET('IWP06'!Std3LicenseInfo, 1, 10, 1, 1))</f>
        <v>1</v>
      </c>
      <c r="G758" s="194" t="str">
        <f ca="1">IF(OFFSET('IWP06'!Std3LicenseInfo, 1, 11, 1, 1) = 0, "", OFFSET('IWP06'!Std3LicenseInfo, 1, 11, 1, 1))</f>
        <v/>
      </c>
    </row>
    <row r="759" spans="1:7" s="146" customFormat="1">
      <c r="A759" s="183" t="s">
        <v>504</v>
      </c>
      <c r="B759" s="195" t="str">
        <f ca="1">IF(OFFSET('IWP06'!Std3LicenseInfo, 2, 0, 1, 1) = 0, "", OFFSET('IWP06'!Std3LicenseInfo, 2, 0, 1, 1))</f>
        <v/>
      </c>
      <c r="C759" s="195" t="str">
        <f ca="1">IF(OFFSET('IWP06'!Std3LicenseInfo, 2, 3, 1, 1) = 0, "", OFFSET('IWP06'!Std3LicenseInfo, 2, 3, 1, 1))</f>
        <v/>
      </c>
      <c r="D759" s="195" t="str">
        <f ca="1">IF(OFFSET('IWP06'!Std3LicenseInfo, 2, 6, 1, 1) = 0, "", OFFSET('IWP06'!Std3LicenseInfo, 2, 6, 1, 1))</f>
        <v/>
      </c>
      <c r="E759" s="172">
        <f ca="1">IF(OFFSET('IWP06'!Std3LicenseInfo, 2, 9, 1, 1)=DATE(1900,1,0), DATE(1900,1,1), OFFSET('IWP06'!Std3LicenseInfo, 2, 9, 1, 1))</f>
        <v>1</v>
      </c>
      <c r="F759" s="172">
        <f ca="1">IF(OFFSET('IWP06'!Std3LicenseInfo, 2, 10, 1, 1)=DATE(1900,1,0), DATE(1900,1,1), OFFSET('IWP06'!Std3LicenseInfo, 2, 10, 1, 1))</f>
        <v>1</v>
      </c>
      <c r="G759" s="194" t="str">
        <f ca="1">IF(OFFSET('IWP06'!Std3LicenseInfo, 2, 11, 1, 1) = 0, "", OFFSET('IWP06'!Std3LicenseInfo, 2, 11, 1, 1))</f>
        <v/>
      </c>
    </row>
    <row r="760" spans="1:7" s="146" customFormat="1">
      <c r="A760" s="183" t="s">
        <v>504</v>
      </c>
      <c r="B760" s="195" t="str">
        <f ca="1">IF(OFFSET('IWP06'!Std3LicenseInfo, 3, 0, 1, 1) = 0, "", OFFSET('IWP06'!Std3LicenseInfo, 3, 0, 1, 1))</f>
        <v/>
      </c>
      <c r="C760" s="195" t="str">
        <f ca="1">IF(OFFSET('IWP06'!Std3LicenseInfo, 3, 3, 1, 1) = 0, "", OFFSET('IWP06'!Std3LicenseInfo, 3, 3, 1, 1))</f>
        <v/>
      </c>
      <c r="D760" s="195" t="str">
        <f ca="1">IF(OFFSET('IWP06'!Std3LicenseInfo, 3, 6, 1, 1) = 0, "", OFFSET('IWP06'!Std3LicenseInfo, 3, 6, 1, 1))</f>
        <v/>
      </c>
      <c r="E760" s="172">
        <f ca="1">IF(OFFSET('IWP06'!Std3LicenseInfo, 3, 9, 1, 1)=DATE(1900,1,0), DATE(1900,1,1), OFFSET('IWP06'!Std3LicenseInfo, 3, 9, 1, 1))</f>
        <v>1</v>
      </c>
      <c r="F760" s="172">
        <f ca="1">IF(OFFSET('IWP06'!Std3LicenseInfo, 3, 10, 1, 1)=DATE(1900,1,0), DATE(1900,1,1), OFFSET('IWP06'!Std3LicenseInfo, 3, 10, 1, 1))</f>
        <v>1</v>
      </c>
      <c r="G760" s="194" t="str">
        <f ca="1">IF(OFFSET('IWP06'!Std3LicenseInfo, 3, 11, 1, 1) = 0, "", OFFSET('IWP06'!Std3LicenseInfo, 3, 11, 1, 1))</f>
        <v/>
      </c>
    </row>
    <row r="761" spans="1:7" s="146" customFormat="1">
      <c r="A761" s="183" t="s">
        <v>504</v>
      </c>
      <c r="B761" s="195" t="str">
        <f ca="1">IF(OFFSET('IWP06'!Std3LicenseInfo, 4, 0, 1, 1) = 0, "", OFFSET('IWP06'!Std3LicenseInfo, 4, 0, 1, 1))</f>
        <v/>
      </c>
      <c r="C761" s="195" t="str">
        <f ca="1">IF(OFFSET('IWP06'!Std3LicenseInfo, 4, 3, 1, 1) = 0, "", OFFSET('IWP06'!Std3LicenseInfo, 4, 3, 1, 1))</f>
        <v/>
      </c>
      <c r="D761" s="195" t="str">
        <f ca="1">IF(OFFSET('IWP06'!Std3LicenseInfo, 4, 6, 1, 1) = 0, "", OFFSET('IWP06'!Std3LicenseInfo, 4, 6, 1, 1))</f>
        <v/>
      </c>
      <c r="E761" s="172">
        <f ca="1">IF(OFFSET('IWP06'!Std3LicenseInfo, 4, 9, 1, 1)=DATE(1900,1,0), DATE(1900,1,1), OFFSET('IWP06'!Std3LicenseInfo, 4, 9, 1, 1))</f>
        <v>1</v>
      </c>
      <c r="F761" s="172">
        <f ca="1">IF(OFFSET('IWP06'!Std3LicenseInfo, 4, 10, 1, 1)=DATE(1900,1,0), DATE(1900,1,1), OFFSET('IWP06'!Std3LicenseInfo, 4, 10, 1, 1))</f>
        <v>1</v>
      </c>
      <c r="G761" s="194" t="str">
        <f ca="1">IF(OFFSET('IWP06'!Std3LicenseInfo, 4, 11, 1, 1) = 0, "", OFFSET('IWP06'!Std3LicenseInfo, 4, 11, 1, 1))</f>
        <v/>
      </c>
    </row>
    <row r="762" spans="1:7" s="146" customFormat="1">
      <c r="A762" s="183" t="s">
        <v>504</v>
      </c>
      <c r="B762" s="195" t="str">
        <f ca="1">IF(OFFSET('IWP06'!Std3LicenseInfo, 5, 0, 1, 1) = 0, "", OFFSET('IWP06'!Std3LicenseInfo, 5, 0, 1, 1))</f>
        <v/>
      </c>
      <c r="C762" s="195" t="str">
        <f ca="1">IF(OFFSET('IWP06'!Std3LicenseInfo, 5, 3, 1, 1) = 0, "", OFFSET('IWP06'!Std3LicenseInfo, 5, 3, 1, 1))</f>
        <v/>
      </c>
      <c r="D762" s="195" t="str">
        <f ca="1">IF(OFFSET('IWP06'!Std3LicenseInfo, 5, 6, 1, 1) = 0, "", OFFSET('IWP06'!Std3LicenseInfo, 5, 6, 1, 1))</f>
        <v/>
      </c>
      <c r="E762" s="172">
        <f ca="1">IF(OFFSET('IWP06'!Std3LicenseInfo, 5, 9, 1, 1)=DATE(1900,1,0), DATE(1900,1,1), OFFSET('IWP06'!Std3LicenseInfo, 5, 9, 1, 1))</f>
        <v>1</v>
      </c>
      <c r="F762" s="172">
        <f ca="1">IF(OFFSET('IWP06'!Std3LicenseInfo, 5, 10, 1, 1)=DATE(1900,1,0), DATE(1900,1,1), OFFSET('IWP06'!Std3LicenseInfo, 5, 10, 1, 1))</f>
        <v>1</v>
      </c>
      <c r="G762" s="194" t="str">
        <f ca="1">IF(OFFSET('IWP06'!Std3LicenseInfo, 5, 11, 1, 1) = 0, "", OFFSET('IWP06'!Std3LicenseInfo, 5, 11, 1, 1))</f>
        <v/>
      </c>
    </row>
    <row r="763" spans="1:7" s="146" customFormat="1">
      <c r="A763" s="183" t="s">
        <v>504</v>
      </c>
      <c r="B763" s="195" t="str">
        <f ca="1">IF(OFFSET('IWP06'!Std3LicenseInfo, 6, 0, 1, 1) = 0, "", OFFSET('IWP06'!Std3LicenseInfo, 6, 0, 1, 1))</f>
        <v/>
      </c>
      <c r="C763" s="195" t="str">
        <f ca="1">IF(OFFSET('IWP06'!Std3LicenseInfo, 6, 3, 1, 1) = 0, "", OFFSET('IWP06'!Std3LicenseInfo, 6, 3, 1, 1))</f>
        <v/>
      </c>
      <c r="D763" s="195" t="str">
        <f ca="1">IF(OFFSET('IWP06'!Std3LicenseInfo, 6, 6, 1, 1) = 0, "", OFFSET('IWP06'!Std3LicenseInfo, 6, 6, 1, 1))</f>
        <v/>
      </c>
      <c r="E763" s="172">
        <f ca="1">IF(OFFSET('IWP06'!Std3LicenseInfo, 6, 9, 1, 1)=DATE(1900,1,0), DATE(1900,1,1), OFFSET('IWP06'!Std3LicenseInfo, 6, 9, 1, 1))</f>
        <v>1</v>
      </c>
      <c r="F763" s="172">
        <f ca="1">IF(OFFSET('IWP06'!Std3LicenseInfo, 6, 10, 1, 1)=DATE(1900,1,0), DATE(1900,1,1), OFFSET('IWP06'!Std3LicenseInfo, 6, 10, 1, 1))</f>
        <v>1</v>
      </c>
      <c r="G763" s="194" t="str">
        <f ca="1">IF(OFFSET('IWP06'!Std3LicenseInfo, 6, 11, 1, 1) = 0, "", OFFSET('IWP06'!Std3LicenseInfo, 6, 11, 1, 1))</f>
        <v/>
      </c>
    </row>
    <row r="764" spans="1:7" s="146" customFormat="1">
      <c r="A764" s="183" t="s">
        <v>504</v>
      </c>
      <c r="B764" s="195" t="str">
        <f ca="1">IF(OFFSET('IWP06'!Std3LicenseInfo, 7, 0, 1, 1) = 0, "", OFFSET('IWP06'!Std3LicenseInfo, 7, 0, 1, 1))</f>
        <v/>
      </c>
      <c r="C764" s="195" t="str">
        <f ca="1">IF(OFFSET('IWP06'!Std3LicenseInfo, 7, 3, 1, 1) = 0, "", OFFSET('IWP06'!Std3LicenseInfo, 7, 3, 1, 1))</f>
        <v/>
      </c>
      <c r="D764" s="195" t="str">
        <f ca="1">IF(OFFSET('IWP06'!Std3LicenseInfo, 7, 6, 1, 1) = 0, "", OFFSET('IWP06'!Std3LicenseInfo, 7, 6, 1, 1))</f>
        <v/>
      </c>
      <c r="E764" s="172">
        <f ca="1">IF(OFFSET('IWP06'!Std3LicenseInfo, 7, 9, 1, 1)=DATE(1900,1,0), DATE(1900,1,1), OFFSET('IWP06'!Std3LicenseInfo, 7, 9, 1, 1))</f>
        <v>1</v>
      </c>
      <c r="F764" s="172">
        <f ca="1">IF(OFFSET('IWP06'!Std3LicenseInfo, 7, 10, 1, 1)=DATE(1900,1,0), DATE(1900,1,1), OFFSET('IWP06'!Std3LicenseInfo, 7, 10, 1, 1))</f>
        <v>1</v>
      </c>
      <c r="G764" s="194" t="str">
        <f ca="1">IF(OFFSET('IWP06'!Std3LicenseInfo, 7, 11, 1, 1) = 0, "", OFFSET('IWP06'!Std3LicenseInfo, 7, 11, 1, 1))</f>
        <v/>
      </c>
    </row>
    <row r="765" spans="1:7" s="146" customFormat="1">
      <c r="A765" s="183" t="s">
        <v>504</v>
      </c>
      <c r="B765" s="195" t="str">
        <f ca="1">IF(OFFSET('IWP06'!Std3LicenseInfo, 8, 0, 1, 1) = 0, "", OFFSET('IWP06'!Std3LicenseInfo, 8, 0, 1, 1))</f>
        <v/>
      </c>
      <c r="C765" s="195" t="str">
        <f ca="1">IF(OFFSET('IWP06'!Std3LicenseInfo, 8, 3, 1, 1) = 0, "", OFFSET('IWP06'!Std3LicenseInfo, 8, 3, 1, 1))</f>
        <v/>
      </c>
      <c r="D765" s="195" t="str">
        <f ca="1">IF(OFFSET('IWP06'!Std3LicenseInfo, 8, 6, 1, 1) = 0, "", OFFSET('IWP06'!Std3LicenseInfo, 8, 6, 1, 1))</f>
        <v/>
      </c>
      <c r="E765" s="172">
        <f ca="1">IF(OFFSET('IWP06'!Std3LicenseInfo, 8, 9, 1, 1)=DATE(1900,1,0), DATE(1900,1,1), OFFSET('IWP06'!Std3LicenseInfo, 8, 9, 1, 1))</f>
        <v>1</v>
      </c>
      <c r="F765" s="172">
        <f ca="1">IF(OFFSET('IWP06'!Std3LicenseInfo, 8, 10, 1, 1)=DATE(1900,1,0), DATE(1900,1,1), OFFSET('IWP06'!Std3LicenseInfo, 8, 10, 1, 1))</f>
        <v>1</v>
      </c>
      <c r="G765" s="194" t="str">
        <f ca="1">IF(OFFSET('IWP06'!Std3LicenseInfo, 8, 11, 1, 1) = 0, "", OFFSET('IWP06'!Std3LicenseInfo, 8, 11, 1, 1))</f>
        <v/>
      </c>
    </row>
    <row r="766" spans="1:7" s="146" customFormat="1">
      <c r="A766" s="183" t="s">
        <v>504</v>
      </c>
      <c r="B766" s="195" t="str">
        <f ca="1">IF(OFFSET('IWP06'!Std3LicenseInfo, 9, 0, 1, 1) = 0, "", OFFSET('IWP06'!Std3LicenseInfo, 9, 0, 1, 1))</f>
        <v/>
      </c>
      <c r="C766" s="195" t="str">
        <f ca="1">IF(OFFSET('IWP06'!Std3LicenseInfo, 9, 3, 1, 1) = 0, "", OFFSET('IWP06'!Std3LicenseInfo, 9, 3, 1, 1))</f>
        <v/>
      </c>
      <c r="D766" s="195" t="str">
        <f ca="1">IF(OFFSET('IWP06'!Std3LicenseInfo, 9, 6, 1, 1) = 0, "", OFFSET('IWP06'!Std3LicenseInfo, 9, 6, 1, 1))</f>
        <v/>
      </c>
      <c r="E766" s="172">
        <f ca="1">IF(OFFSET('IWP06'!Std3LicenseInfo, 9, 9, 1, 1)=DATE(1900,1,0), DATE(1900,1,1), OFFSET('IWP06'!Std3LicenseInfo, 9, 9, 1, 1))</f>
        <v>1</v>
      </c>
      <c r="F766" s="172">
        <f ca="1">IF(OFFSET('IWP06'!Std3LicenseInfo, 9, 10, 1, 1)=DATE(1900,1,0), DATE(1900,1,1), OFFSET('IWP06'!Std3LicenseInfo, 9, 10, 1, 1))</f>
        <v>1</v>
      </c>
      <c r="G766" s="194" t="str">
        <f ca="1">IF(OFFSET('IWP06'!Std3LicenseInfo, 9, 11, 1, 1) = 0, "", OFFSET('IWP06'!Std3LicenseInfo, 9, 11, 1, 1))</f>
        <v/>
      </c>
    </row>
    <row r="767" spans="1:7" s="146" customFormat="1">
      <c r="A767" s="183" t="s">
        <v>504</v>
      </c>
      <c r="B767" s="195" t="str">
        <f ca="1">IF(OFFSET('IWP06'!Std3LicenseInfo, 10, 0, 1, 1) = 0, "", OFFSET('IWP06'!Std3LicenseInfo, 10, 0, 1, 1))</f>
        <v/>
      </c>
      <c r="C767" s="195" t="str">
        <f ca="1">IF(OFFSET('IWP06'!Std3LicenseInfo, 10, 3, 1, 1) = 0, "", OFFSET('IWP06'!Std3LicenseInfo, 10, 3, 1, 1))</f>
        <v/>
      </c>
      <c r="D767" s="195" t="str">
        <f ca="1">IF(OFFSET('IWP06'!Std3LicenseInfo, 10, 6, 1, 1) = 0, "", OFFSET('IWP06'!Std3LicenseInfo, 10, 6, 1, 1))</f>
        <v/>
      </c>
      <c r="E767" s="172">
        <f ca="1">IF(OFFSET('IWP06'!Std3LicenseInfo, 10, 9, 1, 1)=DATE(1900,1,0), DATE(1900,1,1), OFFSET('IWP06'!Std3LicenseInfo, 10, 9, 1, 1))</f>
        <v>1</v>
      </c>
      <c r="F767" s="172">
        <f ca="1">IF(OFFSET('IWP06'!Std3LicenseInfo, 10, 10, 1, 1)=DATE(1900,1,0), DATE(1900,1,1), OFFSET('IWP06'!Std3LicenseInfo, 10, 10, 1, 1))</f>
        <v>1</v>
      </c>
      <c r="G767" s="194" t="str">
        <f ca="1">IF(OFFSET('IWP06'!Std3LicenseInfo, 10, 11, 1, 1) = 0, "", OFFSET('IWP06'!Std3LicenseInfo, 10, 11, 1, 1))</f>
        <v/>
      </c>
    </row>
    <row r="768" spans="1:7" s="146" customFormat="1">
      <c r="A768" s="183" t="s">
        <v>504</v>
      </c>
      <c r="B768" s="195" t="str">
        <f ca="1">IF(OFFSET('IWP06'!Std3LicenseInfo, 11, 0, 1, 1) = 0, "", OFFSET('IWP06'!Std3LicenseInfo, 11, 0, 1, 1))</f>
        <v/>
      </c>
      <c r="C768" s="195" t="str">
        <f ca="1">IF(OFFSET('IWP06'!Std3LicenseInfo, 11, 3, 1, 1) = 0, "", OFFSET('IWP06'!Std3LicenseInfo, 11, 3, 1, 1))</f>
        <v/>
      </c>
      <c r="D768" s="195" t="str">
        <f ca="1">IF(OFFSET('IWP06'!Std3LicenseInfo, 11, 6, 1, 1) = 0, "", OFFSET('IWP06'!Std3LicenseInfo, 11, 6, 1, 1))</f>
        <v/>
      </c>
      <c r="E768" s="172">
        <f ca="1">IF(OFFSET('IWP06'!Std3LicenseInfo, 11, 9, 1, 1)=DATE(1900,1,0), DATE(1900,1,1), OFFSET('IWP06'!Std3LicenseInfo, 11, 9, 1, 1))</f>
        <v>1</v>
      </c>
      <c r="F768" s="172">
        <f ca="1">IF(OFFSET('IWP06'!Std3LicenseInfo, 11, 10, 1, 1)=DATE(1900,1,0), DATE(1900,1,1), OFFSET('IWP06'!Std3LicenseInfo, 11, 10, 1, 1))</f>
        <v>1</v>
      </c>
      <c r="G768" s="194" t="str">
        <f ca="1">IF(OFFSET('IWP06'!Std3LicenseInfo, 11, 11, 1, 1) = 0, "", OFFSET('IWP06'!Std3LicenseInfo, 11, 11, 1, 1))</f>
        <v/>
      </c>
    </row>
    <row r="769" spans="1:7" s="146" customFormat="1">
      <c r="A769" s="183" t="s">
        <v>504</v>
      </c>
      <c r="B769" s="195" t="str">
        <f ca="1">IF(OFFSET('IWP06'!Std3LicenseInfo, 12, 0, 1, 1) = 0, "", OFFSET('IWP06'!Std3LicenseInfo, 12, 0, 1, 1))</f>
        <v/>
      </c>
      <c r="C769" s="195" t="str">
        <f ca="1">IF(OFFSET('IWP06'!Std3LicenseInfo, 12, 3, 1, 1) = 0, "", OFFSET('IWP06'!Std3LicenseInfo, 12, 3, 1, 1))</f>
        <v/>
      </c>
      <c r="D769" s="195" t="str">
        <f ca="1">IF(OFFSET('IWP06'!Std3LicenseInfo, 12, 6, 1, 1) = 0, "", OFFSET('IWP06'!Std3LicenseInfo, 12, 6, 1, 1))</f>
        <v/>
      </c>
      <c r="E769" s="172">
        <f ca="1">IF(OFFSET('IWP06'!Std3LicenseInfo, 12, 9, 1, 1)=DATE(1900,1,0), DATE(1900,1,1), OFFSET('IWP06'!Std3LicenseInfo, 12, 9, 1, 1))</f>
        <v>1</v>
      </c>
      <c r="F769" s="172">
        <f ca="1">IF(OFFSET('IWP06'!Std3LicenseInfo, 12, 10, 1, 1)=DATE(1900,1,0), DATE(1900,1,1), OFFSET('IWP06'!Std3LicenseInfo, 12, 10, 1, 1))</f>
        <v>1</v>
      </c>
      <c r="G769" s="194" t="str">
        <f ca="1">IF(OFFSET('IWP06'!Std3LicenseInfo, 12, 11, 1, 1) = 0, "", OFFSET('IWP06'!Std3LicenseInfo, 12, 11, 1, 1))</f>
        <v/>
      </c>
    </row>
    <row r="770" spans="1:7" s="146" customFormat="1">
      <c r="A770" s="183" t="s">
        <v>504</v>
      </c>
      <c r="B770" s="195" t="str">
        <f ca="1">IF(OFFSET('IWP06'!Std3LicenseInfo, 13, 0, 1, 1) = 0, "", OFFSET('IWP06'!Std3LicenseInfo, 13, 0, 1, 1))</f>
        <v/>
      </c>
      <c r="C770" s="195" t="str">
        <f ca="1">IF(OFFSET('IWP06'!Std3LicenseInfo, 13, 3, 1, 1) = 0, "", OFFSET('IWP06'!Std3LicenseInfo, 13, 3, 1, 1))</f>
        <v/>
      </c>
      <c r="D770" s="195" t="str">
        <f ca="1">IF(OFFSET('IWP06'!Std3LicenseInfo, 13, 6, 1, 1) = 0, "", OFFSET('IWP06'!Std3LicenseInfo, 13, 6, 1, 1))</f>
        <v/>
      </c>
      <c r="E770" s="172">
        <f ca="1">IF(OFFSET('IWP06'!Std3LicenseInfo, 13, 9, 1, 1)=DATE(1900,1,0), DATE(1900,1,1), OFFSET('IWP06'!Std3LicenseInfo, 13, 9, 1, 1))</f>
        <v>1</v>
      </c>
      <c r="F770" s="172">
        <f ca="1">IF(OFFSET('IWP06'!Std3LicenseInfo, 13, 10, 1, 1)=DATE(1900,1,0), DATE(1900,1,1), OFFSET('IWP06'!Std3LicenseInfo, 13, 10, 1, 1))</f>
        <v>1</v>
      </c>
      <c r="G770" s="194" t="str">
        <f ca="1">IF(OFFSET('IWP06'!Std3LicenseInfo, 13, 11, 1, 1) = 0, "", OFFSET('IWP06'!Std3LicenseInfo, 13, 11, 1, 1))</f>
        <v/>
      </c>
    </row>
    <row r="771" spans="1:7" s="146" customFormat="1">
      <c r="A771" s="183" t="s">
        <v>505</v>
      </c>
      <c r="B771" s="195" t="str">
        <f ca="1">IF(OFFSET('IWP07'!Std3LicenseInfo, 0, 0, 1, 1) = 0, "", OFFSET('IWP07'!Std3LicenseInfo, 0, 0, 1, 1))</f>
        <v/>
      </c>
      <c r="C771" s="195" t="str">
        <f ca="1">IF(OFFSET('IWP07'!Std3LicenseInfo, 0, 3, 1, 1) = 0, "", OFFSET('IWP07'!Std3LicenseInfo, 0, 3, 1, 1))</f>
        <v/>
      </c>
      <c r="D771" s="195" t="str">
        <f ca="1">IF(OFFSET('IWP07'!Std3LicenseInfo, 0, 6, 1, 1) = 0, "", OFFSET('IWP07'!Std3LicenseInfo, 0, 6, 1, 1))</f>
        <v/>
      </c>
      <c r="E771" s="172">
        <f ca="1">IF(OFFSET('IWP07'!Std3LicenseInfo, 0, 9, 1, 1)=DATE(1900,1,0), DATE(1900,1,1), OFFSET('IWP07'!Std3LicenseInfo, 0, 9, 1, 1))</f>
        <v>1</v>
      </c>
      <c r="F771" s="172">
        <f ca="1">IF(OFFSET('IWP07'!Std3LicenseInfo, 0, 10, 1, 1)=DATE(1900,1,0), DATE(1900,1,1), OFFSET('IWP07'!Std3LicenseInfo, 0, 10, 1, 1))</f>
        <v>1</v>
      </c>
      <c r="G771" s="194" t="str">
        <f ca="1">IF(OFFSET('IWP07'!Std3LicenseInfo, 0, 11, 1, 1) = 0, "", OFFSET('IWP07'!Std3LicenseInfo, 0, 11, 1, 1))</f>
        <v/>
      </c>
    </row>
    <row r="772" spans="1:7" s="146" customFormat="1">
      <c r="A772" s="183" t="s">
        <v>505</v>
      </c>
      <c r="B772" s="195" t="str">
        <f ca="1">IF(OFFSET('IWP07'!Std3LicenseInfo, 1, 0, 1, 1) = 0, "", OFFSET('IWP07'!Std3LicenseInfo, 1, 0, 1, 1))</f>
        <v/>
      </c>
      <c r="C772" s="195" t="str">
        <f ca="1">IF(OFFSET('IWP07'!Std3LicenseInfo, 1, 3, 1, 1) = 0, "", OFFSET('IWP07'!Std3LicenseInfo, 1, 3, 1, 1))</f>
        <v/>
      </c>
      <c r="D772" s="195" t="str">
        <f ca="1">IF(OFFSET('IWP07'!Std3LicenseInfo, 1, 6, 1, 1) = 0, "", OFFSET('IWP07'!Std3LicenseInfo, 1, 6, 1, 1))</f>
        <v/>
      </c>
      <c r="E772" s="172">
        <f ca="1">IF(OFFSET('IWP07'!Std3LicenseInfo, 1, 9, 1, 1)=DATE(1900,1,0), DATE(1900,1,1), OFFSET('IWP07'!Std3LicenseInfo, 1, 9, 1, 1))</f>
        <v>1</v>
      </c>
      <c r="F772" s="172">
        <f ca="1">IF(OFFSET('IWP07'!Std3LicenseInfo, 1, 10, 1, 1)=DATE(1900,1,0), DATE(1900,1,1), OFFSET('IWP07'!Std3LicenseInfo, 1, 10, 1, 1))</f>
        <v>1</v>
      </c>
      <c r="G772" s="194" t="str">
        <f ca="1">IF(OFFSET('IWP07'!Std3LicenseInfo, 1, 11, 1, 1) = 0, "", OFFSET('IWP07'!Std3LicenseInfo, 1, 11, 1, 1))</f>
        <v/>
      </c>
    </row>
    <row r="773" spans="1:7" s="146" customFormat="1">
      <c r="A773" s="183" t="s">
        <v>505</v>
      </c>
      <c r="B773" s="195" t="str">
        <f ca="1">IF(OFFSET('IWP07'!Std3LicenseInfo, 2, 0, 1, 1) = 0, "", OFFSET('IWP07'!Std3LicenseInfo, 2, 0, 1, 1))</f>
        <v/>
      </c>
      <c r="C773" s="195" t="str">
        <f ca="1">IF(OFFSET('IWP07'!Std3LicenseInfo, 2, 3, 1, 1) = 0, "", OFFSET('IWP07'!Std3LicenseInfo, 2, 3, 1, 1))</f>
        <v/>
      </c>
      <c r="D773" s="195" t="str">
        <f ca="1">IF(OFFSET('IWP07'!Std3LicenseInfo, 2, 6, 1, 1) = 0, "", OFFSET('IWP07'!Std3LicenseInfo, 2, 6, 1, 1))</f>
        <v/>
      </c>
      <c r="E773" s="172">
        <f ca="1">IF(OFFSET('IWP07'!Std3LicenseInfo, 2, 9, 1, 1)=DATE(1900,1,0), DATE(1900,1,1), OFFSET('IWP07'!Std3LicenseInfo, 2, 9, 1, 1))</f>
        <v>1</v>
      </c>
      <c r="F773" s="172">
        <f ca="1">IF(OFFSET('IWP07'!Std3LicenseInfo, 2, 10, 1, 1)=DATE(1900,1,0), DATE(1900,1,1), OFFSET('IWP07'!Std3LicenseInfo, 2, 10, 1, 1))</f>
        <v>1</v>
      </c>
      <c r="G773" s="194" t="str">
        <f ca="1">IF(OFFSET('IWP07'!Std3LicenseInfo, 2, 11, 1, 1) = 0, "", OFFSET('IWP07'!Std3LicenseInfo, 2, 11, 1, 1))</f>
        <v/>
      </c>
    </row>
    <row r="774" spans="1:7" s="146" customFormat="1">
      <c r="A774" s="183" t="s">
        <v>505</v>
      </c>
      <c r="B774" s="195" t="str">
        <f ca="1">IF(OFFSET('IWP07'!Std3LicenseInfo, 3, 0, 1, 1) = 0, "", OFFSET('IWP07'!Std3LicenseInfo, 3, 0, 1, 1))</f>
        <v/>
      </c>
      <c r="C774" s="195" t="str">
        <f ca="1">IF(OFFSET('IWP07'!Std3LicenseInfo, 3, 3, 1, 1) = 0, "", OFFSET('IWP07'!Std3LicenseInfo, 3, 3, 1, 1))</f>
        <v/>
      </c>
      <c r="D774" s="195" t="str">
        <f ca="1">IF(OFFSET('IWP07'!Std3LicenseInfo, 3, 6, 1, 1) = 0, "", OFFSET('IWP07'!Std3LicenseInfo, 3, 6, 1, 1))</f>
        <v/>
      </c>
      <c r="E774" s="172">
        <f ca="1">IF(OFFSET('IWP07'!Std3LicenseInfo, 3, 9, 1, 1)=DATE(1900,1,0), DATE(1900,1,1), OFFSET('IWP07'!Std3LicenseInfo, 3, 9, 1, 1))</f>
        <v>1</v>
      </c>
      <c r="F774" s="172">
        <f ca="1">IF(OFFSET('IWP07'!Std3LicenseInfo, 3, 10, 1, 1)=DATE(1900,1,0), DATE(1900,1,1), OFFSET('IWP07'!Std3LicenseInfo, 3, 10, 1, 1))</f>
        <v>1</v>
      </c>
      <c r="G774" s="194" t="str">
        <f ca="1">IF(OFFSET('IWP07'!Std3LicenseInfo, 3, 11, 1, 1) = 0, "", OFFSET('IWP07'!Std3LicenseInfo, 3, 11, 1, 1))</f>
        <v/>
      </c>
    </row>
    <row r="775" spans="1:7" s="146" customFormat="1">
      <c r="A775" s="183" t="s">
        <v>505</v>
      </c>
      <c r="B775" s="195" t="str">
        <f ca="1">IF(OFFSET('IWP07'!Std3LicenseInfo, 4, 0, 1, 1) = 0, "", OFFSET('IWP07'!Std3LicenseInfo, 4, 0, 1, 1))</f>
        <v/>
      </c>
      <c r="C775" s="195" t="str">
        <f ca="1">IF(OFFSET('IWP07'!Std3LicenseInfo, 4, 3, 1, 1) = 0, "", OFFSET('IWP07'!Std3LicenseInfo, 4, 3, 1, 1))</f>
        <v/>
      </c>
      <c r="D775" s="195" t="str">
        <f ca="1">IF(OFFSET('IWP07'!Std3LicenseInfo, 4, 6, 1, 1) = 0, "", OFFSET('IWP07'!Std3LicenseInfo, 4, 6, 1, 1))</f>
        <v/>
      </c>
      <c r="E775" s="172">
        <f ca="1">IF(OFFSET('IWP07'!Std3LicenseInfo, 4, 9, 1, 1)=DATE(1900,1,0), DATE(1900,1,1), OFFSET('IWP07'!Std3LicenseInfo, 4, 9, 1, 1))</f>
        <v>1</v>
      </c>
      <c r="F775" s="172">
        <f ca="1">IF(OFFSET('IWP07'!Std3LicenseInfo, 4, 10, 1, 1)=DATE(1900,1,0), DATE(1900,1,1), OFFSET('IWP07'!Std3LicenseInfo, 4, 10, 1, 1))</f>
        <v>1</v>
      </c>
      <c r="G775" s="194" t="str">
        <f ca="1">IF(OFFSET('IWP07'!Std3LicenseInfo, 4, 11, 1, 1) = 0, "", OFFSET('IWP07'!Std3LicenseInfo, 4, 11, 1, 1))</f>
        <v/>
      </c>
    </row>
    <row r="776" spans="1:7" s="146" customFormat="1">
      <c r="A776" s="183" t="s">
        <v>505</v>
      </c>
      <c r="B776" s="195" t="str">
        <f ca="1">IF(OFFSET('IWP07'!Std3LicenseInfo, 5, 0, 1, 1) = 0, "", OFFSET('IWP07'!Std3LicenseInfo, 5, 0, 1, 1))</f>
        <v/>
      </c>
      <c r="C776" s="195" t="str">
        <f ca="1">IF(OFFSET('IWP07'!Std3LicenseInfo, 5, 3, 1, 1) = 0, "", OFFSET('IWP07'!Std3LicenseInfo, 5, 3, 1, 1))</f>
        <v/>
      </c>
      <c r="D776" s="195" t="str">
        <f ca="1">IF(OFFSET('IWP07'!Std3LicenseInfo, 5, 6, 1, 1) = 0, "", OFFSET('IWP07'!Std3LicenseInfo, 5, 6, 1, 1))</f>
        <v/>
      </c>
      <c r="E776" s="172">
        <f ca="1">IF(OFFSET('IWP07'!Std3LicenseInfo, 5, 9, 1, 1)=DATE(1900,1,0), DATE(1900,1,1), OFFSET('IWP07'!Std3LicenseInfo, 5, 9, 1, 1))</f>
        <v>1</v>
      </c>
      <c r="F776" s="172">
        <f ca="1">IF(OFFSET('IWP07'!Std3LicenseInfo, 5, 10, 1, 1)=DATE(1900,1,0), DATE(1900,1,1), OFFSET('IWP07'!Std3LicenseInfo, 5, 10, 1, 1))</f>
        <v>1</v>
      </c>
      <c r="G776" s="194" t="str">
        <f ca="1">IF(OFFSET('IWP07'!Std3LicenseInfo, 5, 11, 1, 1) = 0, "", OFFSET('IWP07'!Std3LicenseInfo, 5, 11, 1, 1))</f>
        <v/>
      </c>
    </row>
    <row r="777" spans="1:7" s="146" customFormat="1">
      <c r="A777" s="183" t="s">
        <v>505</v>
      </c>
      <c r="B777" s="195" t="str">
        <f ca="1">IF(OFFSET('IWP07'!Std3LicenseInfo, 6, 0, 1, 1) = 0, "", OFFSET('IWP07'!Std3LicenseInfo, 6, 0, 1, 1))</f>
        <v/>
      </c>
      <c r="C777" s="195" t="str">
        <f ca="1">IF(OFFSET('IWP07'!Std3LicenseInfo, 6, 3, 1, 1) = 0, "", OFFSET('IWP07'!Std3LicenseInfo, 6, 3, 1, 1))</f>
        <v/>
      </c>
      <c r="D777" s="195" t="str">
        <f ca="1">IF(OFFSET('IWP07'!Std3LicenseInfo, 6, 6, 1, 1) = 0, "", OFFSET('IWP07'!Std3LicenseInfo, 6, 6, 1, 1))</f>
        <v/>
      </c>
      <c r="E777" s="172">
        <f ca="1">IF(OFFSET('IWP07'!Std3LicenseInfo, 6, 9, 1, 1)=DATE(1900,1,0), DATE(1900,1,1), OFFSET('IWP07'!Std3LicenseInfo, 6, 9, 1, 1))</f>
        <v>1</v>
      </c>
      <c r="F777" s="172">
        <f ca="1">IF(OFFSET('IWP07'!Std3LicenseInfo, 6, 10, 1, 1)=DATE(1900,1,0), DATE(1900,1,1), OFFSET('IWP07'!Std3LicenseInfo, 6, 10, 1, 1))</f>
        <v>1</v>
      </c>
      <c r="G777" s="194" t="str">
        <f ca="1">IF(OFFSET('IWP07'!Std3LicenseInfo, 6, 11, 1, 1) = 0, "", OFFSET('IWP07'!Std3LicenseInfo, 6, 11, 1, 1))</f>
        <v/>
      </c>
    </row>
    <row r="778" spans="1:7" s="146" customFormat="1">
      <c r="A778" s="183" t="s">
        <v>505</v>
      </c>
      <c r="B778" s="195" t="str">
        <f ca="1">IF(OFFSET('IWP07'!Std3LicenseInfo, 7, 0, 1, 1) = 0, "", OFFSET('IWP07'!Std3LicenseInfo, 7, 0, 1, 1))</f>
        <v/>
      </c>
      <c r="C778" s="195" t="str">
        <f ca="1">IF(OFFSET('IWP07'!Std3LicenseInfo, 7, 3, 1, 1) = 0, "", OFFSET('IWP07'!Std3LicenseInfo, 7, 3, 1, 1))</f>
        <v/>
      </c>
      <c r="D778" s="195" t="str">
        <f ca="1">IF(OFFSET('IWP07'!Std3LicenseInfo, 7, 6, 1, 1) = 0, "", OFFSET('IWP07'!Std3LicenseInfo, 7, 6, 1, 1))</f>
        <v/>
      </c>
      <c r="E778" s="172">
        <f ca="1">IF(OFFSET('IWP07'!Std3LicenseInfo, 7, 9, 1, 1)=DATE(1900,1,0), DATE(1900,1,1), OFFSET('IWP07'!Std3LicenseInfo, 7, 9, 1, 1))</f>
        <v>1</v>
      </c>
      <c r="F778" s="172">
        <f ca="1">IF(OFFSET('IWP07'!Std3LicenseInfo, 7, 10, 1, 1)=DATE(1900,1,0), DATE(1900,1,1), OFFSET('IWP07'!Std3LicenseInfo, 7, 10, 1, 1))</f>
        <v>1</v>
      </c>
      <c r="G778" s="194" t="str">
        <f ca="1">IF(OFFSET('IWP07'!Std3LicenseInfo, 7, 11, 1, 1) = 0, "", OFFSET('IWP07'!Std3LicenseInfo, 7, 11, 1, 1))</f>
        <v/>
      </c>
    </row>
    <row r="779" spans="1:7" s="146" customFormat="1">
      <c r="A779" s="183" t="s">
        <v>505</v>
      </c>
      <c r="B779" s="195" t="str">
        <f ca="1">IF(OFFSET('IWP07'!Std3LicenseInfo, 8, 0, 1, 1) = 0, "", OFFSET('IWP07'!Std3LicenseInfo, 8, 0, 1, 1))</f>
        <v/>
      </c>
      <c r="C779" s="195" t="str">
        <f ca="1">IF(OFFSET('IWP07'!Std3LicenseInfo, 8, 3, 1, 1) = 0, "", OFFSET('IWP07'!Std3LicenseInfo, 8, 3, 1, 1))</f>
        <v/>
      </c>
      <c r="D779" s="195" t="str">
        <f ca="1">IF(OFFSET('IWP07'!Std3LicenseInfo, 8, 6, 1, 1) = 0, "", OFFSET('IWP07'!Std3LicenseInfo, 8, 6, 1, 1))</f>
        <v/>
      </c>
      <c r="E779" s="172">
        <f ca="1">IF(OFFSET('IWP07'!Std3LicenseInfo, 8, 9, 1, 1)=DATE(1900,1,0), DATE(1900,1,1), OFFSET('IWP07'!Std3LicenseInfo, 8, 9, 1, 1))</f>
        <v>1</v>
      </c>
      <c r="F779" s="172">
        <f ca="1">IF(OFFSET('IWP07'!Std3LicenseInfo, 8, 10, 1, 1)=DATE(1900,1,0), DATE(1900,1,1), OFFSET('IWP07'!Std3LicenseInfo, 8, 10, 1, 1))</f>
        <v>1</v>
      </c>
      <c r="G779" s="194" t="str">
        <f ca="1">IF(OFFSET('IWP07'!Std3LicenseInfo, 8, 11, 1, 1) = 0, "", OFFSET('IWP07'!Std3LicenseInfo, 8, 11, 1, 1))</f>
        <v/>
      </c>
    </row>
    <row r="780" spans="1:7" s="146" customFormat="1">
      <c r="A780" s="183" t="s">
        <v>505</v>
      </c>
      <c r="B780" s="195" t="str">
        <f ca="1">IF(OFFSET('IWP07'!Std3LicenseInfo, 9, 0, 1, 1) = 0, "", OFFSET('IWP07'!Std3LicenseInfo, 9, 0, 1, 1))</f>
        <v/>
      </c>
      <c r="C780" s="195" t="str">
        <f ca="1">IF(OFFSET('IWP07'!Std3LicenseInfo, 9, 3, 1, 1) = 0, "", OFFSET('IWP07'!Std3LicenseInfo, 9, 3, 1, 1))</f>
        <v/>
      </c>
      <c r="D780" s="195" t="str">
        <f ca="1">IF(OFFSET('IWP07'!Std3LicenseInfo, 9, 6, 1, 1) = 0, "", OFFSET('IWP07'!Std3LicenseInfo, 9, 6, 1, 1))</f>
        <v/>
      </c>
      <c r="E780" s="172">
        <f ca="1">IF(OFFSET('IWP07'!Std3LicenseInfo, 9, 9, 1, 1)=DATE(1900,1,0), DATE(1900,1,1), OFFSET('IWP07'!Std3LicenseInfo, 9, 9, 1, 1))</f>
        <v>1</v>
      </c>
      <c r="F780" s="172">
        <f ca="1">IF(OFFSET('IWP07'!Std3LicenseInfo, 9, 10, 1, 1)=DATE(1900,1,0), DATE(1900,1,1), OFFSET('IWP07'!Std3LicenseInfo, 9, 10, 1, 1))</f>
        <v>1</v>
      </c>
      <c r="G780" s="194" t="str">
        <f ca="1">IF(OFFSET('IWP07'!Std3LicenseInfo, 9, 11, 1, 1) = 0, "", OFFSET('IWP07'!Std3LicenseInfo, 9, 11, 1, 1))</f>
        <v/>
      </c>
    </row>
    <row r="781" spans="1:7" s="146" customFormat="1">
      <c r="A781" s="183" t="s">
        <v>505</v>
      </c>
      <c r="B781" s="195" t="str">
        <f ca="1">IF(OFFSET('IWP07'!Std3LicenseInfo, 10, 0, 1, 1) = 0, "", OFFSET('IWP07'!Std3LicenseInfo, 10, 0, 1, 1))</f>
        <v/>
      </c>
      <c r="C781" s="195" t="str">
        <f ca="1">IF(OFFSET('IWP07'!Std3LicenseInfo, 10, 3, 1, 1) = 0, "", OFFSET('IWP07'!Std3LicenseInfo, 10, 3, 1, 1))</f>
        <v/>
      </c>
      <c r="D781" s="195" t="str">
        <f ca="1">IF(OFFSET('IWP07'!Std3LicenseInfo, 10, 6, 1, 1) = 0, "", OFFSET('IWP07'!Std3LicenseInfo, 10, 6, 1, 1))</f>
        <v/>
      </c>
      <c r="E781" s="172">
        <f ca="1">IF(OFFSET('IWP07'!Std3LicenseInfo, 10, 9, 1, 1)=DATE(1900,1,0), DATE(1900,1,1), OFFSET('IWP07'!Std3LicenseInfo, 10, 9, 1, 1))</f>
        <v>1</v>
      </c>
      <c r="F781" s="172">
        <f ca="1">IF(OFFSET('IWP07'!Std3LicenseInfo, 10, 10, 1, 1)=DATE(1900,1,0), DATE(1900,1,1), OFFSET('IWP07'!Std3LicenseInfo, 10, 10, 1, 1))</f>
        <v>1</v>
      </c>
      <c r="G781" s="194" t="str">
        <f ca="1">IF(OFFSET('IWP07'!Std3LicenseInfo, 10, 11, 1, 1) = 0, "", OFFSET('IWP07'!Std3LicenseInfo, 10, 11, 1, 1))</f>
        <v/>
      </c>
    </row>
    <row r="782" spans="1:7" s="146" customFormat="1">
      <c r="A782" s="183" t="s">
        <v>505</v>
      </c>
      <c r="B782" s="195" t="str">
        <f ca="1">IF(OFFSET('IWP07'!Std3LicenseInfo, 11, 0, 1, 1) = 0, "", OFFSET('IWP07'!Std3LicenseInfo, 11, 0, 1, 1))</f>
        <v/>
      </c>
      <c r="C782" s="195" t="str">
        <f ca="1">IF(OFFSET('IWP07'!Std3LicenseInfo, 11, 3, 1, 1) = 0, "", OFFSET('IWP07'!Std3LicenseInfo, 11, 3, 1, 1))</f>
        <v/>
      </c>
      <c r="D782" s="195" t="str">
        <f ca="1">IF(OFFSET('IWP07'!Std3LicenseInfo, 11, 6, 1, 1) = 0, "", OFFSET('IWP07'!Std3LicenseInfo, 11, 6, 1, 1))</f>
        <v/>
      </c>
      <c r="E782" s="172">
        <f ca="1">IF(OFFSET('IWP07'!Std3LicenseInfo, 11, 9, 1, 1)=DATE(1900,1,0), DATE(1900,1,1), OFFSET('IWP07'!Std3LicenseInfo, 11, 9, 1, 1))</f>
        <v>1</v>
      </c>
      <c r="F782" s="172">
        <f ca="1">IF(OFFSET('IWP07'!Std3LicenseInfo, 11, 10, 1, 1)=DATE(1900,1,0), DATE(1900,1,1), OFFSET('IWP07'!Std3LicenseInfo, 11, 10, 1, 1))</f>
        <v>1</v>
      </c>
      <c r="G782" s="194" t="str">
        <f ca="1">IF(OFFSET('IWP07'!Std3LicenseInfo, 11, 11, 1, 1) = 0, "", OFFSET('IWP07'!Std3LicenseInfo, 11, 11, 1, 1))</f>
        <v/>
      </c>
    </row>
    <row r="783" spans="1:7" s="146" customFormat="1">
      <c r="A783" s="183" t="s">
        <v>505</v>
      </c>
      <c r="B783" s="195" t="str">
        <f ca="1">IF(OFFSET('IWP07'!Std3LicenseInfo, 12, 0, 1, 1) = 0, "", OFFSET('IWP07'!Std3LicenseInfo, 12, 0, 1, 1))</f>
        <v/>
      </c>
      <c r="C783" s="195" t="str">
        <f ca="1">IF(OFFSET('IWP07'!Std3LicenseInfo, 12, 3, 1, 1) = 0, "", OFFSET('IWP07'!Std3LicenseInfo, 12, 3, 1, 1))</f>
        <v/>
      </c>
      <c r="D783" s="195" t="str">
        <f ca="1">IF(OFFSET('IWP07'!Std3LicenseInfo, 12, 6, 1, 1) = 0, "", OFFSET('IWP07'!Std3LicenseInfo, 12, 6, 1, 1))</f>
        <v/>
      </c>
      <c r="E783" s="172">
        <f ca="1">IF(OFFSET('IWP07'!Std3LicenseInfo, 12, 9, 1, 1)=DATE(1900,1,0), DATE(1900,1,1), OFFSET('IWP07'!Std3LicenseInfo, 12, 9, 1, 1))</f>
        <v>1</v>
      </c>
      <c r="F783" s="172">
        <f ca="1">IF(OFFSET('IWP07'!Std3LicenseInfo, 12, 10, 1, 1)=DATE(1900,1,0), DATE(1900,1,1), OFFSET('IWP07'!Std3LicenseInfo, 12, 10, 1, 1))</f>
        <v>1</v>
      </c>
      <c r="G783" s="194" t="str">
        <f ca="1">IF(OFFSET('IWP07'!Std3LicenseInfo, 12, 11, 1, 1) = 0, "", OFFSET('IWP07'!Std3LicenseInfo, 12, 11, 1, 1))</f>
        <v/>
      </c>
    </row>
    <row r="784" spans="1:7" s="146" customFormat="1">
      <c r="A784" s="183" t="s">
        <v>505</v>
      </c>
      <c r="B784" s="195" t="str">
        <f ca="1">IF(OFFSET('IWP07'!Std3LicenseInfo, 13, 0, 1, 1) = 0, "", OFFSET('IWP07'!Std3LicenseInfo, 13, 0, 1, 1))</f>
        <v/>
      </c>
      <c r="C784" s="195" t="str">
        <f ca="1">IF(OFFSET('IWP07'!Std3LicenseInfo, 13, 3, 1, 1) = 0, "", OFFSET('IWP07'!Std3LicenseInfo, 13, 3, 1, 1))</f>
        <v/>
      </c>
      <c r="D784" s="195" t="str">
        <f ca="1">IF(OFFSET('IWP07'!Std3LicenseInfo, 13, 6, 1, 1) = 0, "", OFFSET('IWP07'!Std3LicenseInfo, 13, 6, 1, 1))</f>
        <v/>
      </c>
      <c r="E784" s="172">
        <f ca="1">IF(OFFSET('IWP07'!Std3LicenseInfo, 13, 9, 1, 1)=DATE(1900,1,0), DATE(1900,1,1), OFFSET('IWP07'!Std3LicenseInfo, 13, 9, 1, 1))</f>
        <v>1</v>
      </c>
      <c r="F784" s="172">
        <f ca="1">IF(OFFSET('IWP07'!Std3LicenseInfo, 13, 10, 1, 1)=DATE(1900,1,0), DATE(1900,1,1), OFFSET('IWP07'!Std3LicenseInfo, 13, 10, 1, 1))</f>
        <v>1</v>
      </c>
      <c r="G784" s="194" t="str">
        <f ca="1">IF(OFFSET('IWP07'!Std3LicenseInfo, 13, 11, 1, 1) = 0, "", OFFSET('IWP07'!Std3LicenseInfo, 13, 11, 1, 1))</f>
        <v/>
      </c>
    </row>
    <row r="785" spans="1:7" s="146" customFormat="1">
      <c r="A785" s="183" t="s">
        <v>506</v>
      </c>
      <c r="B785" s="195" t="str">
        <f ca="1">IF(OFFSET('IWP08'!Std3LicenseInfo, 0, 0, 1, 1) = 0, "", OFFSET('IWP08'!Std3LicenseInfo, 0, 0, 1, 1))</f>
        <v/>
      </c>
      <c r="C785" s="195" t="str">
        <f ca="1">IF(OFFSET('IWP08'!Std3LicenseInfo, 0, 3, 1, 1) = 0, "", OFFSET('IWP08'!Std3LicenseInfo, 0, 3, 1, 1))</f>
        <v/>
      </c>
      <c r="D785" s="195" t="str">
        <f ca="1">IF(OFFSET('IWP08'!Std3LicenseInfo, 0, 6, 1, 1) = 0, "", OFFSET('IWP08'!Std3LicenseInfo, 0, 6, 1, 1))</f>
        <v/>
      </c>
      <c r="E785" s="172">
        <f ca="1">IF(OFFSET('IWP08'!Std3LicenseInfo, 0, 9, 1, 1)=DATE(1900,1,0), DATE(1900,1,1), OFFSET('IWP08'!Std3LicenseInfo, 0, 9, 1, 1))</f>
        <v>1</v>
      </c>
      <c r="F785" s="172">
        <f ca="1">IF(OFFSET('IWP08'!Std3LicenseInfo, 0, 10, 1, 1)=DATE(1900,1,0), DATE(1900,1,1), OFFSET('IWP08'!Std3LicenseInfo, 0, 10, 1, 1))</f>
        <v>1</v>
      </c>
      <c r="G785" s="194" t="str">
        <f ca="1">IF(OFFSET('IWP08'!Std3LicenseInfo, 0, 11, 1, 1) = 0, "", OFFSET('IWP08'!Std3LicenseInfo, 0, 11, 1, 1))</f>
        <v/>
      </c>
    </row>
    <row r="786" spans="1:7" s="146" customFormat="1">
      <c r="A786" s="183" t="s">
        <v>506</v>
      </c>
      <c r="B786" s="195" t="str">
        <f ca="1">IF(OFFSET('IWP08'!Std3LicenseInfo, 1, 0, 1, 1) = 0, "", OFFSET('IWP08'!Std3LicenseInfo, 1, 0, 1, 1))</f>
        <v/>
      </c>
      <c r="C786" s="195" t="str">
        <f ca="1">IF(OFFSET('IWP08'!Std3LicenseInfo, 1, 3, 1, 1) = 0, "", OFFSET('IWP08'!Std3LicenseInfo, 1, 3, 1, 1))</f>
        <v/>
      </c>
      <c r="D786" s="195" t="str">
        <f ca="1">IF(OFFSET('IWP08'!Std3LicenseInfo, 1, 6, 1, 1) = 0, "", OFFSET('IWP08'!Std3LicenseInfo, 1, 6, 1, 1))</f>
        <v/>
      </c>
      <c r="E786" s="172">
        <f ca="1">IF(OFFSET('IWP08'!Std3LicenseInfo, 1, 9, 1, 1)=DATE(1900,1,0), DATE(1900,1,1), OFFSET('IWP08'!Std3LicenseInfo, 1, 9, 1, 1))</f>
        <v>1</v>
      </c>
      <c r="F786" s="172">
        <f ca="1">IF(OFFSET('IWP08'!Std3LicenseInfo, 1, 10, 1, 1)=DATE(1900,1,0), DATE(1900,1,1), OFFSET('IWP08'!Std3LicenseInfo, 1, 10, 1, 1))</f>
        <v>1</v>
      </c>
      <c r="G786" s="194" t="str">
        <f ca="1">IF(OFFSET('IWP08'!Std3LicenseInfo, 1, 11, 1, 1) = 0, "", OFFSET('IWP08'!Std3LicenseInfo, 1, 11, 1, 1))</f>
        <v/>
      </c>
    </row>
    <row r="787" spans="1:7" s="146" customFormat="1">
      <c r="A787" s="183" t="s">
        <v>506</v>
      </c>
      <c r="B787" s="195" t="str">
        <f ca="1">IF(OFFSET('IWP08'!Std3LicenseInfo, 2, 0, 1, 1) = 0, "", OFFSET('IWP08'!Std3LicenseInfo, 2, 0, 1, 1))</f>
        <v/>
      </c>
      <c r="C787" s="195" t="str">
        <f ca="1">IF(OFFSET('IWP08'!Std3LicenseInfo, 2, 3, 1, 1) = 0, "", OFFSET('IWP08'!Std3LicenseInfo, 2, 3, 1, 1))</f>
        <v/>
      </c>
      <c r="D787" s="195" t="str">
        <f ca="1">IF(OFFSET('IWP08'!Std3LicenseInfo, 2, 6, 1, 1) = 0, "", OFFSET('IWP08'!Std3LicenseInfo, 2, 6, 1, 1))</f>
        <v/>
      </c>
      <c r="E787" s="172">
        <f ca="1">IF(OFFSET('IWP08'!Std3LicenseInfo, 2, 9, 1, 1)=DATE(1900,1,0), DATE(1900,1,1), OFFSET('IWP08'!Std3LicenseInfo, 2, 9, 1, 1))</f>
        <v>1</v>
      </c>
      <c r="F787" s="172">
        <f ca="1">IF(OFFSET('IWP08'!Std3LicenseInfo, 2, 10, 1, 1)=DATE(1900,1,0), DATE(1900,1,1), OFFSET('IWP08'!Std3LicenseInfo, 2, 10, 1, 1))</f>
        <v>1</v>
      </c>
      <c r="G787" s="194" t="str">
        <f ca="1">IF(OFFSET('IWP08'!Std3LicenseInfo, 2, 11, 1, 1) = 0, "", OFFSET('IWP08'!Std3LicenseInfo, 2, 11, 1, 1))</f>
        <v/>
      </c>
    </row>
    <row r="788" spans="1:7" s="146" customFormat="1">
      <c r="A788" s="183" t="s">
        <v>506</v>
      </c>
      <c r="B788" s="195" t="str">
        <f ca="1">IF(OFFSET('IWP08'!Std3LicenseInfo, 3, 0, 1, 1) = 0, "", OFFSET('IWP08'!Std3LicenseInfo, 3, 0, 1, 1))</f>
        <v/>
      </c>
      <c r="C788" s="195" t="str">
        <f ca="1">IF(OFFSET('IWP08'!Std3LicenseInfo, 3, 3, 1, 1) = 0, "", OFFSET('IWP08'!Std3LicenseInfo, 3, 3, 1, 1))</f>
        <v/>
      </c>
      <c r="D788" s="195" t="str">
        <f ca="1">IF(OFFSET('IWP08'!Std3LicenseInfo, 3, 6, 1, 1) = 0, "", OFFSET('IWP08'!Std3LicenseInfo, 3, 6, 1, 1))</f>
        <v/>
      </c>
      <c r="E788" s="172">
        <f ca="1">IF(OFFSET('IWP08'!Std3LicenseInfo, 3, 9, 1, 1)=DATE(1900,1,0), DATE(1900,1,1), OFFSET('IWP08'!Std3LicenseInfo, 3, 9, 1, 1))</f>
        <v>1</v>
      </c>
      <c r="F788" s="172">
        <f ca="1">IF(OFFSET('IWP08'!Std3LicenseInfo, 3, 10, 1, 1)=DATE(1900,1,0), DATE(1900,1,1), OFFSET('IWP08'!Std3LicenseInfo, 3, 10, 1, 1))</f>
        <v>1</v>
      </c>
      <c r="G788" s="194" t="str">
        <f ca="1">IF(OFFSET('IWP08'!Std3LicenseInfo, 3, 11, 1, 1) = 0, "", OFFSET('IWP08'!Std3LicenseInfo, 3, 11, 1, 1))</f>
        <v/>
      </c>
    </row>
    <row r="789" spans="1:7" s="146" customFormat="1">
      <c r="A789" s="183" t="s">
        <v>506</v>
      </c>
      <c r="B789" s="195" t="str">
        <f ca="1">IF(OFFSET('IWP08'!Std3LicenseInfo, 4, 0, 1, 1) = 0, "", OFFSET('IWP08'!Std3LicenseInfo, 4, 0, 1, 1))</f>
        <v/>
      </c>
      <c r="C789" s="195" t="str">
        <f ca="1">IF(OFFSET('IWP08'!Std3LicenseInfo, 4, 3, 1, 1) = 0, "", OFFSET('IWP08'!Std3LicenseInfo, 4, 3, 1, 1))</f>
        <v/>
      </c>
      <c r="D789" s="195" t="str">
        <f ca="1">IF(OFFSET('IWP08'!Std3LicenseInfo, 4, 6, 1, 1) = 0, "", OFFSET('IWP08'!Std3LicenseInfo, 4, 6, 1, 1))</f>
        <v/>
      </c>
      <c r="E789" s="172">
        <f ca="1">IF(OFFSET('IWP08'!Std3LicenseInfo, 4, 9, 1, 1)=DATE(1900,1,0), DATE(1900,1,1), OFFSET('IWP08'!Std3LicenseInfo, 4, 9, 1, 1))</f>
        <v>1</v>
      </c>
      <c r="F789" s="172">
        <f ca="1">IF(OFFSET('IWP08'!Std3LicenseInfo, 4, 10, 1, 1)=DATE(1900,1,0), DATE(1900,1,1), OFFSET('IWP08'!Std3LicenseInfo, 4, 10, 1, 1))</f>
        <v>1</v>
      </c>
      <c r="G789" s="194" t="str">
        <f ca="1">IF(OFFSET('IWP08'!Std3LicenseInfo, 4, 11, 1, 1) = 0, "", OFFSET('IWP08'!Std3LicenseInfo, 4, 11, 1, 1))</f>
        <v/>
      </c>
    </row>
    <row r="790" spans="1:7" s="146" customFormat="1">
      <c r="A790" s="183" t="s">
        <v>506</v>
      </c>
      <c r="B790" s="195" t="str">
        <f ca="1">IF(OFFSET('IWP08'!Std3LicenseInfo, 5, 0, 1, 1) = 0, "", OFFSET('IWP08'!Std3LicenseInfo, 5, 0, 1, 1))</f>
        <v/>
      </c>
      <c r="C790" s="195" t="str">
        <f ca="1">IF(OFFSET('IWP08'!Std3LicenseInfo, 5, 3, 1, 1) = 0, "", OFFSET('IWP08'!Std3LicenseInfo, 5, 3, 1, 1))</f>
        <v/>
      </c>
      <c r="D790" s="195" t="str">
        <f ca="1">IF(OFFSET('IWP08'!Std3LicenseInfo, 5, 6, 1, 1) = 0, "", OFFSET('IWP08'!Std3LicenseInfo, 5, 6, 1, 1))</f>
        <v/>
      </c>
      <c r="E790" s="172">
        <f ca="1">IF(OFFSET('IWP08'!Std3LicenseInfo, 5, 9, 1, 1)=DATE(1900,1,0), DATE(1900,1,1), OFFSET('IWP08'!Std3LicenseInfo, 5, 9, 1, 1))</f>
        <v>1</v>
      </c>
      <c r="F790" s="172">
        <f ca="1">IF(OFFSET('IWP08'!Std3LicenseInfo, 5, 10, 1, 1)=DATE(1900,1,0), DATE(1900,1,1), OFFSET('IWP08'!Std3LicenseInfo, 5, 10, 1, 1))</f>
        <v>1</v>
      </c>
      <c r="G790" s="194" t="str">
        <f ca="1">IF(OFFSET('IWP08'!Std3LicenseInfo, 5, 11, 1, 1) = 0, "", OFFSET('IWP08'!Std3LicenseInfo, 5, 11, 1, 1))</f>
        <v/>
      </c>
    </row>
    <row r="791" spans="1:7" s="146" customFormat="1">
      <c r="A791" s="183" t="s">
        <v>506</v>
      </c>
      <c r="B791" s="195" t="str">
        <f ca="1">IF(OFFSET('IWP08'!Std3LicenseInfo, 6, 0, 1, 1) = 0, "", OFFSET('IWP08'!Std3LicenseInfo, 6, 0, 1, 1))</f>
        <v/>
      </c>
      <c r="C791" s="195" t="str">
        <f ca="1">IF(OFFSET('IWP08'!Std3LicenseInfo, 6, 3, 1, 1) = 0, "", OFFSET('IWP08'!Std3LicenseInfo, 6, 3, 1, 1))</f>
        <v/>
      </c>
      <c r="D791" s="195" t="str">
        <f ca="1">IF(OFFSET('IWP08'!Std3LicenseInfo, 6, 6, 1, 1) = 0, "", OFFSET('IWP08'!Std3LicenseInfo, 6, 6, 1, 1))</f>
        <v/>
      </c>
      <c r="E791" s="172">
        <f ca="1">IF(OFFSET('IWP08'!Std3LicenseInfo, 6, 9, 1, 1)=DATE(1900,1,0), DATE(1900,1,1), OFFSET('IWP08'!Std3LicenseInfo, 6, 9, 1, 1))</f>
        <v>1</v>
      </c>
      <c r="F791" s="172">
        <f ca="1">IF(OFFSET('IWP08'!Std3LicenseInfo, 6, 10, 1, 1)=DATE(1900,1,0), DATE(1900,1,1), OFFSET('IWP08'!Std3LicenseInfo, 6, 10, 1, 1))</f>
        <v>1</v>
      </c>
      <c r="G791" s="194" t="str">
        <f ca="1">IF(OFFSET('IWP08'!Std3LicenseInfo, 6, 11, 1, 1) = 0, "", OFFSET('IWP08'!Std3LicenseInfo, 6, 11, 1, 1))</f>
        <v/>
      </c>
    </row>
    <row r="792" spans="1:7" s="146" customFormat="1">
      <c r="A792" s="183" t="s">
        <v>506</v>
      </c>
      <c r="B792" s="195" t="str">
        <f ca="1">IF(OFFSET('IWP08'!Std3LicenseInfo, 7, 0, 1, 1) = 0, "", OFFSET('IWP08'!Std3LicenseInfo, 7, 0, 1, 1))</f>
        <v/>
      </c>
      <c r="C792" s="195" t="str">
        <f ca="1">IF(OFFSET('IWP08'!Std3LicenseInfo, 7, 3, 1, 1) = 0, "", OFFSET('IWP08'!Std3LicenseInfo, 7, 3, 1, 1))</f>
        <v/>
      </c>
      <c r="D792" s="195" t="str">
        <f ca="1">IF(OFFSET('IWP08'!Std3LicenseInfo, 7, 6, 1, 1) = 0, "", OFFSET('IWP08'!Std3LicenseInfo, 7, 6, 1, 1))</f>
        <v/>
      </c>
      <c r="E792" s="172">
        <f ca="1">IF(OFFSET('IWP08'!Std3LicenseInfo, 7, 9, 1, 1)=DATE(1900,1,0), DATE(1900,1,1), OFFSET('IWP08'!Std3LicenseInfo, 7, 9, 1, 1))</f>
        <v>1</v>
      </c>
      <c r="F792" s="172">
        <f ca="1">IF(OFFSET('IWP08'!Std3LicenseInfo, 7, 10, 1, 1)=DATE(1900,1,0), DATE(1900,1,1), OFFSET('IWP08'!Std3LicenseInfo, 7, 10, 1, 1))</f>
        <v>1</v>
      </c>
      <c r="G792" s="194" t="str">
        <f ca="1">IF(OFFSET('IWP08'!Std3LicenseInfo, 7, 11, 1, 1) = 0, "", OFFSET('IWP08'!Std3LicenseInfo, 7, 11, 1, 1))</f>
        <v/>
      </c>
    </row>
    <row r="793" spans="1:7" s="146" customFormat="1">
      <c r="A793" s="183" t="s">
        <v>506</v>
      </c>
      <c r="B793" s="195" t="str">
        <f ca="1">IF(OFFSET('IWP08'!Std3LicenseInfo, 8, 0, 1, 1) = 0, "", OFFSET('IWP08'!Std3LicenseInfo, 8, 0, 1, 1))</f>
        <v/>
      </c>
      <c r="C793" s="195" t="str">
        <f ca="1">IF(OFFSET('IWP08'!Std3LicenseInfo, 8, 3, 1, 1) = 0, "", OFFSET('IWP08'!Std3LicenseInfo, 8, 3, 1, 1))</f>
        <v/>
      </c>
      <c r="D793" s="195" t="str">
        <f ca="1">IF(OFFSET('IWP08'!Std3LicenseInfo, 8, 6, 1, 1) = 0, "", OFFSET('IWP08'!Std3LicenseInfo, 8, 6, 1, 1))</f>
        <v/>
      </c>
      <c r="E793" s="172">
        <f ca="1">IF(OFFSET('IWP08'!Std3LicenseInfo, 8, 9, 1, 1)=DATE(1900,1,0), DATE(1900,1,1), OFFSET('IWP08'!Std3LicenseInfo, 8, 9, 1, 1))</f>
        <v>1</v>
      </c>
      <c r="F793" s="172">
        <f ca="1">IF(OFFSET('IWP08'!Std3LicenseInfo, 8, 10, 1, 1)=DATE(1900,1,0), DATE(1900,1,1), OFFSET('IWP08'!Std3LicenseInfo, 8, 10, 1, 1))</f>
        <v>1</v>
      </c>
      <c r="G793" s="194" t="str">
        <f ca="1">IF(OFFSET('IWP08'!Std3LicenseInfo, 8, 11, 1, 1) = 0, "", OFFSET('IWP08'!Std3LicenseInfo, 8, 11, 1, 1))</f>
        <v/>
      </c>
    </row>
    <row r="794" spans="1:7" s="146" customFormat="1">
      <c r="A794" s="183" t="s">
        <v>506</v>
      </c>
      <c r="B794" s="195" t="str">
        <f ca="1">IF(OFFSET('IWP08'!Std3LicenseInfo, 9, 0, 1, 1) = 0, "", OFFSET('IWP08'!Std3LicenseInfo, 9, 0, 1, 1))</f>
        <v/>
      </c>
      <c r="C794" s="195" t="str">
        <f ca="1">IF(OFFSET('IWP08'!Std3LicenseInfo, 9, 3, 1, 1) = 0, "", OFFSET('IWP08'!Std3LicenseInfo, 9, 3, 1, 1))</f>
        <v/>
      </c>
      <c r="D794" s="195" t="str">
        <f ca="1">IF(OFFSET('IWP08'!Std3LicenseInfo, 9, 6, 1, 1) = 0, "", OFFSET('IWP08'!Std3LicenseInfo, 9, 6, 1, 1))</f>
        <v/>
      </c>
      <c r="E794" s="172">
        <f ca="1">IF(OFFSET('IWP08'!Std3LicenseInfo, 9, 9, 1, 1)=DATE(1900,1,0), DATE(1900,1,1), OFFSET('IWP08'!Std3LicenseInfo, 9, 9, 1, 1))</f>
        <v>1</v>
      </c>
      <c r="F794" s="172">
        <f ca="1">IF(OFFSET('IWP08'!Std3LicenseInfo, 9, 10, 1, 1)=DATE(1900,1,0), DATE(1900,1,1), OFFSET('IWP08'!Std3LicenseInfo, 9, 10, 1, 1))</f>
        <v>1</v>
      </c>
      <c r="G794" s="194" t="str">
        <f ca="1">IF(OFFSET('IWP08'!Std3LicenseInfo, 9, 11, 1, 1) = 0, "", OFFSET('IWP08'!Std3LicenseInfo, 9, 11, 1, 1))</f>
        <v/>
      </c>
    </row>
    <row r="795" spans="1:7" s="146" customFormat="1">
      <c r="A795" s="183" t="s">
        <v>506</v>
      </c>
      <c r="B795" s="195" t="str">
        <f ca="1">IF(OFFSET('IWP08'!Std3LicenseInfo, 10, 0, 1, 1) = 0, "", OFFSET('IWP08'!Std3LicenseInfo, 10, 0, 1, 1))</f>
        <v/>
      </c>
      <c r="C795" s="195" t="str">
        <f ca="1">IF(OFFSET('IWP08'!Std3LicenseInfo, 10, 3, 1, 1) = 0, "", OFFSET('IWP08'!Std3LicenseInfo, 10, 3, 1, 1))</f>
        <v/>
      </c>
      <c r="D795" s="195" t="str">
        <f ca="1">IF(OFFSET('IWP08'!Std3LicenseInfo, 10, 6, 1, 1) = 0, "", OFFSET('IWP08'!Std3LicenseInfo, 10, 6, 1, 1))</f>
        <v/>
      </c>
      <c r="E795" s="172">
        <f ca="1">IF(OFFSET('IWP08'!Std3LicenseInfo, 10, 9, 1, 1)=DATE(1900,1,0), DATE(1900,1,1), OFFSET('IWP08'!Std3LicenseInfo, 10, 9, 1, 1))</f>
        <v>1</v>
      </c>
      <c r="F795" s="172">
        <f ca="1">IF(OFFSET('IWP08'!Std3LicenseInfo, 10, 10, 1, 1)=DATE(1900,1,0), DATE(1900,1,1), OFFSET('IWP08'!Std3LicenseInfo, 10, 10, 1, 1))</f>
        <v>1</v>
      </c>
      <c r="G795" s="194" t="str">
        <f ca="1">IF(OFFSET('IWP08'!Std3LicenseInfo, 10, 11, 1, 1) = 0, "", OFFSET('IWP08'!Std3LicenseInfo, 10, 11, 1, 1))</f>
        <v/>
      </c>
    </row>
    <row r="796" spans="1:7" s="146" customFormat="1">
      <c r="A796" s="183" t="s">
        <v>506</v>
      </c>
      <c r="B796" s="195" t="str">
        <f ca="1">IF(OFFSET('IWP08'!Std3LicenseInfo, 11, 0, 1, 1) = 0, "", OFFSET('IWP08'!Std3LicenseInfo, 11, 0, 1, 1))</f>
        <v/>
      </c>
      <c r="C796" s="195" t="str">
        <f ca="1">IF(OFFSET('IWP08'!Std3LicenseInfo, 11, 3, 1, 1) = 0, "", OFFSET('IWP08'!Std3LicenseInfo, 11, 3, 1, 1))</f>
        <v/>
      </c>
      <c r="D796" s="195" t="str">
        <f ca="1">IF(OFFSET('IWP08'!Std3LicenseInfo, 11, 6, 1, 1) = 0, "", OFFSET('IWP08'!Std3LicenseInfo, 11, 6, 1, 1))</f>
        <v/>
      </c>
      <c r="E796" s="172">
        <f ca="1">IF(OFFSET('IWP08'!Std3LicenseInfo, 11, 9, 1, 1)=DATE(1900,1,0), DATE(1900,1,1), OFFSET('IWP08'!Std3LicenseInfo, 11, 9, 1, 1))</f>
        <v>1</v>
      </c>
      <c r="F796" s="172">
        <f ca="1">IF(OFFSET('IWP08'!Std3LicenseInfo, 11, 10, 1, 1)=DATE(1900,1,0), DATE(1900,1,1), OFFSET('IWP08'!Std3LicenseInfo, 11, 10, 1, 1))</f>
        <v>1</v>
      </c>
      <c r="G796" s="194" t="str">
        <f ca="1">IF(OFFSET('IWP08'!Std3LicenseInfo, 11, 11, 1, 1) = 0, "", OFFSET('IWP08'!Std3LicenseInfo, 11, 11, 1, 1))</f>
        <v/>
      </c>
    </row>
    <row r="797" spans="1:7" s="146" customFormat="1">
      <c r="A797" s="183" t="s">
        <v>506</v>
      </c>
      <c r="B797" s="195" t="str">
        <f ca="1">IF(OFFSET('IWP08'!Std3LicenseInfo, 12, 0, 1, 1) = 0, "", OFFSET('IWP08'!Std3LicenseInfo, 12, 0, 1, 1))</f>
        <v/>
      </c>
      <c r="C797" s="195" t="str">
        <f ca="1">IF(OFFSET('IWP08'!Std3LicenseInfo, 12, 3, 1, 1) = 0, "", OFFSET('IWP08'!Std3LicenseInfo, 12, 3, 1, 1))</f>
        <v/>
      </c>
      <c r="D797" s="195" t="str">
        <f ca="1">IF(OFFSET('IWP08'!Std3LicenseInfo, 12, 6, 1, 1) = 0, "", OFFSET('IWP08'!Std3LicenseInfo, 12, 6, 1, 1))</f>
        <v/>
      </c>
      <c r="E797" s="172">
        <f ca="1">IF(OFFSET('IWP08'!Std3LicenseInfo, 12, 9, 1, 1)=DATE(1900,1,0), DATE(1900,1,1), OFFSET('IWP08'!Std3LicenseInfo, 12, 9, 1, 1))</f>
        <v>1</v>
      </c>
      <c r="F797" s="172">
        <f ca="1">IF(OFFSET('IWP08'!Std3LicenseInfo, 12, 10, 1, 1)=DATE(1900,1,0), DATE(1900,1,1), OFFSET('IWP08'!Std3LicenseInfo, 12, 10, 1, 1))</f>
        <v>1</v>
      </c>
      <c r="G797" s="194" t="str">
        <f ca="1">IF(OFFSET('IWP08'!Std3LicenseInfo, 12, 11, 1, 1) = 0, "", OFFSET('IWP08'!Std3LicenseInfo, 12, 11, 1, 1))</f>
        <v/>
      </c>
    </row>
    <row r="798" spans="1:7" s="146" customFormat="1">
      <c r="A798" s="183" t="s">
        <v>506</v>
      </c>
      <c r="B798" s="195" t="str">
        <f ca="1">IF(OFFSET('IWP08'!Std3LicenseInfo, 13, 0, 1, 1) = 0, "", OFFSET('IWP08'!Std3LicenseInfo, 13, 0, 1, 1))</f>
        <v/>
      </c>
      <c r="C798" s="195" t="str">
        <f ca="1">IF(OFFSET('IWP08'!Std3LicenseInfo, 13, 3, 1, 1) = 0, "", OFFSET('IWP08'!Std3LicenseInfo, 13, 3, 1, 1))</f>
        <v/>
      </c>
      <c r="D798" s="195" t="str">
        <f ca="1">IF(OFFSET('IWP08'!Std3LicenseInfo, 13, 6, 1, 1) = 0, "", OFFSET('IWP08'!Std3LicenseInfo, 13, 6, 1, 1))</f>
        <v/>
      </c>
      <c r="E798" s="172">
        <f ca="1">IF(OFFSET('IWP08'!Std3LicenseInfo, 13, 9, 1, 1)=DATE(1900,1,0), DATE(1900,1,1), OFFSET('IWP08'!Std3LicenseInfo, 13, 9, 1, 1))</f>
        <v>1</v>
      </c>
      <c r="F798" s="172">
        <f ca="1">IF(OFFSET('IWP08'!Std3LicenseInfo, 13, 10, 1, 1)=DATE(1900,1,0), DATE(1900,1,1), OFFSET('IWP08'!Std3LicenseInfo, 13, 10, 1, 1))</f>
        <v>1</v>
      </c>
      <c r="G798" s="194" t="str">
        <f ca="1">IF(OFFSET('IWP08'!Std3LicenseInfo, 13, 11, 1, 1) = 0, "", OFFSET('IWP08'!Std3LicenseInfo, 13, 11, 1, 1))</f>
        <v/>
      </c>
    </row>
    <row r="799" spans="1:7" s="146" customFormat="1">
      <c r="A799" s="183" t="s">
        <v>507</v>
      </c>
      <c r="B799" s="195" t="str">
        <f ca="1">IF(OFFSET('IWP09'!Std3LicenseInfo, 0, 0, 1, 1) = 0, "", OFFSET('IWP09'!Std3LicenseInfo, 0, 0, 1, 1))</f>
        <v/>
      </c>
      <c r="C799" s="195" t="str">
        <f ca="1">IF(OFFSET('IWP09'!Std3LicenseInfo, 0, 3, 1, 1) = 0, "", OFFSET('IWP09'!Std3LicenseInfo, 0, 3, 1, 1))</f>
        <v/>
      </c>
      <c r="D799" s="195" t="str">
        <f ca="1">IF(OFFSET('IWP09'!Std3LicenseInfo, 0, 6, 1, 1) = 0, "", OFFSET('IWP09'!Std3LicenseInfo, 0, 6, 1, 1))</f>
        <v/>
      </c>
      <c r="E799" s="172">
        <f ca="1">IF(OFFSET('IWP09'!Std3LicenseInfo, 0, 9, 1, 1)=DATE(1900,1,0), DATE(1900,1,1), OFFSET('IWP09'!Std3LicenseInfo, 0, 9, 1, 1))</f>
        <v>1</v>
      </c>
      <c r="F799" s="172">
        <f ca="1">IF(OFFSET('IWP09'!Std3LicenseInfo, 0, 10, 1, 1)=DATE(1900,1,0), DATE(1900,1,1), OFFSET('IWP09'!Std3LicenseInfo, 0, 10, 1, 1))</f>
        <v>1</v>
      </c>
      <c r="G799" s="194" t="str">
        <f ca="1">IF(OFFSET('IWP09'!Std3LicenseInfo, 0, 11, 1, 1) = 0, "", OFFSET('IWP09'!Std3LicenseInfo, 0, 11, 1, 1))</f>
        <v/>
      </c>
    </row>
    <row r="800" spans="1:7" s="146" customFormat="1">
      <c r="A800" s="183" t="s">
        <v>507</v>
      </c>
      <c r="B800" s="195" t="str">
        <f ca="1">IF(OFFSET('IWP09'!Std3LicenseInfo, 1, 0, 1, 1) = 0, "", OFFSET('IWP09'!Std3LicenseInfo, 1, 0, 1, 1))</f>
        <v/>
      </c>
      <c r="C800" s="195" t="str">
        <f ca="1">IF(OFFSET('IWP09'!Std3LicenseInfo, 1, 3, 1, 1) = 0, "", OFFSET('IWP09'!Std3LicenseInfo, 1, 3, 1, 1))</f>
        <v/>
      </c>
      <c r="D800" s="195" t="str">
        <f ca="1">IF(OFFSET('IWP09'!Std3LicenseInfo, 1, 6, 1, 1) = 0, "", OFFSET('IWP09'!Std3LicenseInfo, 1, 6, 1, 1))</f>
        <v/>
      </c>
      <c r="E800" s="172">
        <f ca="1">IF(OFFSET('IWP09'!Std3LicenseInfo, 1, 9, 1, 1)=DATE(1900,1,0), DATE(1900,1,1), OFFSET('IWP09'!Std3LicenseInfo, 1, 9, 1, 1))</f>
        <v>1</v>
      </c>
      <c r="F800" s="172">
        <f ca="1">IF(OFFSET('IWP09'!Std3LicenseInfo, 1, 10, 1, 1)=DATE(1900,1,0), DATE(1900,1,1), OFFSET('IWP09'!Std3LicenseInfo, 1, 10, 1, 1))</f>
        <v>1</v>
      </c>
      <c r="G800" s="194" t="str">
        <f ca="1">IF(OFFSET('IWP09'!Std3LicenseInfo, 1, 11, 1, 1) = 0, "", OFFSET('IWP09'!Std3LicenseInfo, 1, 11, 1, 1))</f>
        <v/>
      </c>
    </row>
    <row r="801" spans="1:7" s="146" customFormat="1">
      <c r="A801" s="183" t="s">
        <v>507</v>
      </c>
      <c r="B801" s="195" t="str">
        <f ca="1">IF(OFFSET('IWP09'!Std3LicenseInfo, 2, 0, 1, 1) = 0, "", OFFSET('IWP09'!Std3LicenseInfo, 2, 0, 1, 1))</f>
        <v/>
      </c>
      <c r="C801" s="195" t="str">
        <f ca="1">IF(OFFSET('IWP09'!Std3LicenseInfo, 2, 3, 1, 1) = 0, "", OFFSET('IWP09'!Std3LicenseInfo, 2, 3, 1, 1))</f>
        <v/>
      </c>
      <c r="D801" s="195" t="str">
        <f ca="1">IF(OFFSET('IWP09'!Std3LicenseInfo, 2, 6, 1, 1) = 0, "", OFFSET('IWP09'!Std3LicenseInfo, 2, 6, 1, 1))</f>
        <v/>
      </c>
      <c r="E801" s="172">
        <f ca="1">IF(OFFSET('IWP09'!Std3LicenseInfo, 2, 9, 1, 1)=DATE(1900,1,0), DATE(1900,1,1), OFFSET('IWP09'!Std3LicenseInfo, 2, 9, 1, 1))</f>
        <v>1</v>
      </c>
      <c r="F801" s="172">
        <f ca="1">IF(OFFSET('IWP09'!Std3LicenseInfo, 2, 10, 1, 1)=DATE(1900,1,0), DATE(1900,1,1), OFFSET('IWP09'!Std3LicenseInfo, 2, 10, 1, 1))</f>
        <v>1</v>
      </c>
      <c r="G801" s="194" t="str">
        <f ca="1">IF(OFFSET('IWP09'!Std3LicenseInfo, 2, 11, 1, 1) = 0, "", OFFSET('IWP09'!Std3LicenseInfo, 2, 11, 1, 1))</f>
        <v/>
      </c>
    </row>
    <row r="802" spans="1:7" s="146" customFormat="1">
      <c r="A802" s="183" t="s">
        <v>507</v>
      </c>
      <c r="B802" s="195" t="str">
        <f ca="1">IF(OFFSET('IWP09'!Std3LicenseInfo, 3, 0, 1, 1) = 0, "", OFFSET('IWP09'!Std3LicenseInfo, 3, 0, 1, 1))</f>
        <v/>
      </c>
      <c r="C802" s="195" t="str">
        <f ca="1">IF(OFFSET('IWP09'!Std3LicenseInfo, 3, 3, 1, 1) = 0, "", OFFSET('IWP09'!Std3LicenseInfo, 3, 3, 1, 1))</f>
        <v/>
      </c>
      <c r="D802" s="195" t="str">
        <f ca="1">IF(OFFSET('IWP09'!Std3LicenseInfo, 3, 6, 1, 1) = 0, "", OFFSET('IWP09'!Std3LicenseInfo, 3, 6, 1, 1))</f>
        <v/>
      </c>
      <c r="E802" s="172">
        <f ca="1">IF(OFFSET('IWP09'!Std3LicenseInfo, 3, 9, 1, 1)=DATE(1900,1,0), DATE(1900,1,1), OFFSET('IWP09'!Std3LicenseInfo, 3, 9, 1, 1))</f>
        <v>1</v>
      </c>
      <c r="F802" s="172">
        <f ca="1">IF(OFFSET('IWP09'!Std3LicenseInfo, 3, 10, 1, 1)=DATE(1900,1,0), DATE(1900,1,1), OFFSET('IWP09'!Std3LicenseInfo, 3, 10, 1, 1))</f>
        <v>1</v>
      </c>
      <c r="G802" s="194" t="str">
        <f ca="1">IF(OFFSET('IWP09'!Std3LicenseInfo, 3, 11, 1, 1) = 0, "", OFFSET('IWP09'!Std3LicenseInfo, 3, 11, 1, 1))</f>
        <v/>
      </c>
    </row>
    <row r="803" spans="1:7" s="146" customFormat="1">
      <c r="A803" s="183" t="s">
        <v>507</v>
      </c>
      <c r="B803" s="195" t="str">
        <f ca="1">IF(OFFSET('IWP09'!Std3LicenseInfo, 4, 0, 1, 1) = 0, "", OFFSET('IWP09'!Std3LicenseInfo, 4, 0, 1, 1))</f>
        <v/>
      </c>
      <c r="C803" s="195" t="str">
        <f ca="1">IF(OFFSET('IWP09'!Std3LicenseInfo, 4, 3, 1, 1) = 0, "", OFFSET('IWP09'!Std3LicenseInfo, 4, 3, 1, 1))</f>
        <v/>
      </c>
      <c r="D803" s="195" t="str">
        <f ca="1">IF(OFFSET('IWP09'!Std3LicenseInfo, 4, 6, 1, 1) = 0, "", OFFSET('IWP09'!Std3LicenseInfo, 4, 6, 1, 1))</f>
        <v/>
      </c>
      <c r="E803" s="172">
        <f ca="1">IF(OFFSET('IWP09'!Std3LicenseInfo, 4, 9, 1, 1)=DATE(1900,1,0), DATE(1900,1,1), OFFSET('IWP09'!Std3LicenseInfo, 4, 9, 1, 1))</f>
        <v>1</v>
      </c>
      <c r="F803" s="172">
        <f ca="1">IF(OFFSET('IWP09'!Std3LicenseInfo, 4, 10, 1, 1)=DATE(1900,1,0), DATE(1900,1,1), OFFSET('IWP09'!Std3LicenseInfo, 4, 10, 1, 1))</f>
        <v>1</v>
      </c>
      <c r="G803" s="194" t="str">
        <f ca="1">IF(OFFSET('IWP09'!Std3LicenseInfo, 4, 11, 1, 1) = 0, "", OFFSET('IWP09'!Std3LicenseInfo, 4, 11, 1, 1))</f>
        <v/>
      </c>
    </row>
    <row r="804" spans="1:7" s="146" customFormat="1">
      <c r="A804" s="183" t="s">
        <v>507</v>
      </c>
      <c r="B804" s="195" t="str">
        <f ca="1">IF(OFFSET('IWP09'!Std3LicenseInfo, 5, 0, 1, 1) = 0, "", OFFSET('IWP09'!Std3LicenseInfo, 5, 0, 1, 1))</f>
        <v/>
      </c>
      <c r="C804" s="195" t="str">
        <f ca="1">IF(OFFSET('IWP09'!Std3LicenseInfo, 5, 3, 1, 1) = 0, "", OFFSET('IWP09'!Std3LicenseInfo, 5, 3, 1, 1))</f>
        <v/>
      </c>
      <c r="D804" s="195" t="str">
        <f ca="1">IF(OFFSET('IWP09'!Std3LicenseInfo, 5, 6, 1, 1) = 0, "", OFFSET('IWP09'!Std3LicenseInfo, 5, 6, 1, 1))</f>
        <v/>
      </c>
      <c r="E804" s="172">
        <f ca="1">IF(OFFSET('IWP09'!Std3LicenseInfo, 5, 9, 1, 1)=DATE(1900,1,0), DATE(1900,1,1), OFFSET('IWP09'!Std3LicenseInfo, 5, 9, 1, 1))</f>
        <v>1</v>
      </c>
      <c r="F804" s="172">
        <f ca="1">IF(OFFSET('IWP09'!Std3LicenseInfo, 5, 10, 1, 1)=DATE(1900,1,0), DATE(1900,1,1), OFFSET('IWP09'!Std3LicenseInfo, 5, 10, 1, 1))</f>
        <v>1</v>
      </c>
      <c r="G804" s="194" t="str">
        <f ca="1">IF(OFFSET('IWP09'!Std3LicenseInfo, 5, 11, 1, 1) = 0, "", OFFSET('IWP09'!Std3LicenseInfo, 5, 11, 1, 1))</f>
        <v/>
      </c>
    </row>
    <row r="805" spans="1:7" s="146" customFormat="1">
      <c r="A805" s="183" t="s">
        <v>507</v>
      </c>
      <c r="B805" s="195" t="str">
        <f ca="1">IF(OFFSET('IWP09'!Std3LicenseInfo, 6, 0, 1, 1) = 0, "", OFFSET('IWP09'!Std3LicenseInfo, 6, 0, 1, 1))</f>
        <v/>
      </c>
      <c r="C805" s="195" t="str">
        <f ca="1">IF(OFFSET('IWP09'!Std3LicenseInfo, 6, 3, 1, 1) = 0, "", OFFSET('IWP09'!Std3LicenseInfo, 6, 3, 1, 1))</f>
        <v/>
      </c>
      <c r="D805" s="195" t="str">
        <f ca="1">IF(OFFSET('IWP09'!Std3LicenseInfo, 6, 6, 1, 1) = 0, "", OFFSET('IWP09'!Std3LicenseInfo, 6, 6, 1, 1))</f>
        <v/>
      </c>
      <c r="E805" s="172">
        <f ca="1">IF(OFFSET('IWP09'!Std3LicenseInfo, 6, 9, 1, 1)=DATE(1900,1,0), DATE(1900,1,1), OFFSET('IWP09'!Std3LicenseInfo, 6, 9, 1, 1))</f>
        <v>1</v>
      </c>
      <c r="F805" s="172">
        <f ca="1">IF(OFFSET('IWP09'!Std3LicenseInfo, 6, 10, 1, 1)=DATE(1900,1,0), DATE(1900,1,1), OFFSET('IWP09'!Std3LicenseInfo, 6, 10, 1, 1))</f>
        <v>1</v>
      </c>
      <c r="G805" s="194" t="str">
        <f ca="1">IF(OFFSET('IWP09'!Std3LicenseInfo, 6, 11, 1, 1) = 0, "", OFFSET('IWP09'!Std3LicenseInfo, 6, 11, 1, 1))</f>
        <v/>
      </c>
    </row>
    <row r="806" spans="1:7" s="146" customFormat="1">
      <c r="A806" s="183" t="s">
        <v>507</v>
      </c>
      <c r="B806" s="195" t="str">
        <f ca="1">IF(OFFSET('IWP09'!Std3LicenseInfo, 7, 0, 1, 1) = 0, "", OFFSET('IWP09'!Std3LicenseInfo, 7, 0, 1, 1))</f>
        <v/>
      </c>
      <c r="C806" s="195" t="str">
        <f ca="1">IF(OFFSET('IWP09'!Std3LicenseInfo, 7, 3, 1, 1) = 0, "", OFFSET('IWP09'!Std3LicenseInfo, 7, 3, 1, 1))</f>
        <v/>
      </c>
      <c r="D806" s="195" t="str">
        <f ca="1">IF(OFFSET('IWP09'!Std3LicenseInfo, 7, 6, 1, 1) = 0, "", OFFSET('IWP09'!Std3LicenseInfo, 7, 6, 1, 1))</f>
        <v/>
      </c>
      <c r="E806" s="172">
        <f ca="1">IF(OFFSET('IWP09'!Std3LicenseInfo, 7, 9, 1, 1)=DATE(1900,1,0), DATE(1900,1,1), OFFSET('IWP09'!Std3LicenseInfo, 7, 9, 1, 1))</f>
        <v>1</v>
      </c>
      <c r="F806" s="172">
        <f ca="1">IF(OFFSET('IWP09'!Std3LicenseInfo, 7, 10, 1, 1)=DATE(1900,1,0), DATE(1900,1,1), OFFSET('IWP09'!Std3LicenseInfo, 7, 10, 1, 1))</f>
        <v>1</v>
      </c>
      <c r="G806" s="194" t="str">
        <f ca="1">IF(OFFSET('IWP09'!Std3LicenseInfo, 7, 11, 1, 1) = 0, "", OFFSET('IWP09'!Std3LicenseInfo, 7, 11, 1, 1))</f>
        <v/>
      </c>
    </row>
    <row r="807" spans="1:7" s="146" customFormat="1">
      <c r="A807" s="183" t="s">
        <v>507</v>
      </c>
      <c r="B807" s="195" t="str">
        <f ca="1">IF(OFFSET('IWP09'!Std3LicenseInfo, 8, 0, 1, 1) = 0, "", OFFSET('IWP09'!Std3LicenseInfo, 8, 0, 1, 1))</f>
        <v/>
      </c>
      <c r="C807" s="195" t="str">
        <f ca="1">IF(OFFSET('IWP09'!Std3LicenseInfo, 8, 3, 1, 1) = 0, "", OFFSET('IWP09'!Std3LicenseInfo, 8, 3, 1, 1))</f>
        <v/>
      </c>
      <c r="D807" s="195" t="str">
        <f ca="1">IF(OFFSET('IWP09'!Std3LicenseInfo, 8, 6, 1, 1) = 0, "", OFFSET('IWP09'!Std3LicenseInfo, 8, 6, 1, 1))</f>
        <v/>
      </c>
      <c r="E807" s="172">
        <f ca="1">IF(OFFSET('IWP09'!Std3LicenseInfo, 8, 9, 1, 1)=DATE(1900,1,0), DATE(1900,1,1), OFFSET('IWP09'!Std3LicenseInfo, 8, 9, 1, 1))</f>
        <v>1</v>
      </c>
      <c r="F807" s="172">
        <f ca="1">IF(OFFSET('IWP09'!Std3LicenseInfo, 8, 10, 1, 1)=DATE(1900,1,0), DATE(1900,1,1), OFFSET('IWP09'!Std3LicenseInfo, 8, 10, 1, 1))</f>
        <v>1</v>
      </c>
      <c r="G807" s="194" t="str">
        <f ca="1">IF(OFFSET('IWP09'!Std3LicenseInfo, 8, 11, 1, 1) = 0, "", OFFSET('IWP09'!Std3LicenseInfo, 8, 11, 1, 1))</f>
        <v/>
      </c>
    </row>
    <row r="808" spans="1:7" s="146" customFormat="1">
      <c r="A808" s="183" t="s">
        <v>507</v>
      </c>
      <c r="B808" s="195" t="str">
        <f ca="1">IF(OFFSET('IWP09'!Std3LicenseInfo, 9, 0, 1, 1) = 0, "", OFFSET('IWP09'!Std3LicenseInfo, 9, 0, 1, 1))</f>
        <v/>
      </c>
      <c r="C808" s="195" t="str">
        <f ca="1">IF(OFFSET('IWP09'!Std3LicenseInfo, 9, 3, 1, 1) = 0, "", OFFSET('IWP09'!Std3LicenseInfo, 9, 3, 1, 1))</f>
        <v/>
      </c>
      <c r="D808" s="195" t="str">
        <f ca="1">IF(OFFSET('IWP09'!Std3LicenseInfo, 9, 6, 1, 1) = 0, "", OFFSET('IWP09'!Std3LicenseInfo, 9, 6, 1, 1))</f>
        <v/>
      </c>
      <c r="E808" s="172">
        <f ca="1">IF(OFFSET('IWP09'!Std3LicenseInfo, 9, 9, 1, 1)=DATE(1900,1,0), DATE(1900,1,1), OFFSET('IWP09'!Std3LicenseInfo, 9, 9, 1, 1))</f>
        <v>1</v>
      </c>
      <c r="F808" s="172">
        <f ca="1">IF(OFFSET('IWP09'!Std3LicenseInfo, 9, 10, 1, 1)=DATE(1900,1,0), DATE(1900,1,1), OFFSET('IWP09'!Std3LicenseInfo, 9, 10, 1, 1))</f>
        <v>1</v>
      </c>
      <c r="G808" s="194" t="str">
        <f ca="1">IF(OFFSET('IWP09'!Std3LicenseInfo, 9, 11, 1, 1) = 0, "", OFFSET('IWP09'!Std3LicenseInfo, 9, 11, 1, 1))</f>
        <v/>
      </c>
    </row>
    <row r="809" spans="1:7" s="146" customFormat="1">
      <c r="A809" s="183" t="s">
        <v>507</v>
      </c>
      <c r="B809" s="195" t="str">
        <f ca="1">IF(OFFSET('IWP09'!Std3LicenseInfo, 10, 0, 1, 1) = 0, "", OFFSET('IWP09'!Std3LicenseInfo, 10, 0, 1, 1))</f>
        <v/>
      </c>
      <c r="C809" s="195" t="str">
        <f ca="1">IF(OFFSET('IWP09'!Std3LicenseInfo, 10, 3, 1, 1) = 0, "", OFFSET('IWP09'!Std3LicenseInfo, 10, 3, 1, 1))</f>
        <v/>
      </c>
      <c r="D809" s="195" t="str">
        <f ca="1">IF(OFFSET('IWP09'!Std3LicenseInfo, 10, 6, 1, 1) = 0, "", OFFSET('IWP09'!Std3LicenseInfo, 10, 6, 1, 1))</f>
        <v/>
      </c>
      <c r="E809" s="172">
        <f ca="1">IF(OFFSET('IWP09'!Std3LicenseInfo, 10, 9, 1, 1)=DATE(1900,1,0), DATE(1900,1,1), OFFSET('IWP09'!Std3LicenseInfo, 10, 9, 1, 1))</f>
        <v>1</v>
      </c>
      <c r="F809" s="172">
        <f ca="1">IF(OFFSET('IWP09'!Std3LicenseInfo, 10, 10, 1, 1)=DATE(1900,1,0), DATE(1900,1,1), OFFSET('IWP09'!Std3LicenseInfo, 10, 10, 1, 1))</f>
        <v>1</v>
      </c>
      <c r="G809" s="194" t="str">
        <f ca="1">IF(OFFSET('IWP09'!Std3LicenseInfo, 10, 11, 1, 1) = 0, "", OFFSET('IWP09'!Std3LicenseInfo, 10, 11, 1, 1))</f>
        <v/>
      </c>
    </row>
    <row r="810" spans="1:7" s="146" customFormat="1">
      <c r="A810" s="183" t="s">
        <v>507</v>
      </c>
      <c r="B810" s="195" t="str">
        <f ca="1">IF(OFFSET('IWP09'!Std3LicenseInfo, 11, 0, 1, 1) = 0, "", OFFSET('IWP09'!Std3LicenseInfo, 11, 0, 1, 1))</f>
        <v/>
      </c>
      <c r="C810" s="195" t="str">
        <f ca="1">IF(OFFSET('IWP09'!Std3LicenseInfo, 11, 3, 1, 1) = 0, "", OFFSET('IWP09'!Std3LicenseInfo, 11, 3, 1, 1))</f>
        <v/>
      </c>
      <c r="D810" s="195" t="str">
        <f ca="1">IF(OFFSET('IWP09'!Std3LicenseInfo, 11, 6, 1, 1) = 0, "", OFFSET('IWP09'!Std3LicenseInfo, 11, 6, 1, 1))</f>
        <v/>
      </c>
      <c r="E810" s="172">
        <f ca="1">IF(OFFSET('IWP09'!Std3LicenseInfo, 11, 9, 1, 1)=DATE(1900,1,0), DATE(1900,1,1), OFFSET('IWP09'!Std3LicenseInfo, 11, 9, 1, 1))</f>
        <v>1</v>
      </c>
      <c r="F810" s="172">
        <f ca="1">IF(OFFSET('IWP09'!Std3LicenseInfo, 11, 10, 1, 1)=DATE(1900,1,0), DATE(1900,1,1), OFFSET('IWP09'!Std3LicenseInfo, 11, 10, 1, 1))</f>
        <v>1</v>
      </c>
      <c r="G810" s="194" t="str">
        <f ca="1">IF(OFFSET('IWP09'!Std3LicenseInfo, 11, 11, 1, 1) = 0, "", OFFSET('IWP09'!Std3LicenseInfo, 11, 11, 1, 1))</f>
        <v/>
      </c>
    </row>
    <row r="811" spans="1:7" s="146" customFormat="1">
      <c r="A811" s="183" t="s">
        <v>507</v>
      </c>
      <c r="B811" s="195" t="str">
        <f ca="1">IF(OFFSET('IWP09'!Std3LicenseInfo, 12, 0, 1, 1) = 0, "", OFFSET('IWP09'!Std3LicenseInfo, 12, 0, 1, 1))</f>
        <v/>
      </c>
      <c r="C811" s="195" t="str">
        <f ca="1">IF(OFFSET('IWP09'!Std3LicenseInfo, 12, 3, 1, 1) = 0, "", OFFSET('IWP09'!Std3LicenseInfo, 12, 3, 1, 1))</f>
        <v/>
      </c>
      <c r="D811" s="195" t="str">
        <f ca="1">IF(OFFSET('IWP09'!Std3LicenseInfo, 12, 6, 1, 1) = 0, "", OFFSET('IWP09'!Std3LicenseInfo, 12, 6, 1, 1))</f>
        <v/>
      </c>
      <c r="E811" s="172">
        <f ca="1">IF(OFFSET('IWP09'!Std3LicenseInfo, 12, 9, 1, 1)=DATE(1900,1,0), DATE(1900,1,1), OFFSET('IWP09'!Std3LicenseInfo, 12, 9, 1, 1))</f>
        <v>1</v>
      </c>
      <c r="F811" s="172">
        <f ca="1">IF(OFFSET('IWP09'!Std3LicenseInfo, 12, 10, 1, 1)=DATE(1900,1,0), DATE(1900,1,1), OFFSET('IWP09'!Std3LicenseInfo, 12, 10, 1, 1))</f>
        <v>1</v>
      </c>
      <c r="G811" s="194" t="str">
        <f ca="1">IF(OFFSET('IWP09'!Std3LicenseInfo, 12, 11, 1, 1) = 0, "", OFFSET('IWP09'!Std3LicenseInfo, 12, 11, 1, 1))</f>
        <v/>
      </c>
    </row>
    <row r="812" spans="1:7" s="146" customFormat="1">
      <c r="A812" s="183" t="s">
        <v>507</v>
      </c>
      <c r="B812" s="195" t="str">
        <f ca="1">IF(OFFSET('IWP09'!Std3LicenseInfo, 13, 0, 1, 1) = 0, "", OFFSET('IWP09'!Std3LicenseInfo, 13, 0, 1, 1))</f>
        <v/>
      </c>
      <c r="C812" s="195" t="str">
        <f ca="1">IF(OFFSET('IWP09'!Std3LicenseInfo, 13, 3, 1, 1) = 0, "", OFFSET('IWP09'!Std3LicenseInfo, 13, 3, 1, 1))</f>
        <v/>
      </c>
      <c r="D812" s="195" t="str">
        <f ca="1">IF(OFFSET('IWP09'!Std3LicenseInfo, 13, 6, 1, 1) = 0, "", OFFSET('IWP09'!Std3LicenseInfo, 13, 6, 1, 1))</f>
        <v/>
      </c>
      <c r="E812" s="172">
        <f ca="1">IF(OFFSET('IWP09'!Std3LicenseInfo, 13, 9, 1, 1)=DATE(1900,1,0), DATE(1900,1,1), OFFSET('IWP09'!Std3LicenseInfo, 13, 9, 1, 1))</f>
        <v>1</v>
      </c>
      <c r="F812" s="172">
        <f ca="1">IF(OFFSET('IWP09'!Std3LicenseInfo, 13, 10, 1, 1)=DATE(1900,1,0), DATE(1900,1,1), OFFSET('IWP09'!Std3LicenseInfo, 13, 10, 1, 1))</f>
        <v>1</v>
      </c>
      <c r="G812" s="194" t="str">
        <f ca="1">IF(OFFSET('IWP09'!Std3LicenseInfo, 13, 11, 1, 1) = 0, "", OFFSET('IWP09'!Std3LicenseInfo, 13, 11, 1, 1))</f>
        <v/>
      </c>
    </row>
    <row r="813" spans="1:7" s="146" customFormat="1">
      <c r="A813" s="183" t="s">
        <v>508</v>
      </c>
      <c r="B813" s="195" t="str">
        <f ca="1">IF(OFFSET('IWP10'!Std3LicenseInfo, 0, 0, 1, 1) = 0, "", OFFSET('IWP10'!Std3LicenseInfo, 0, 0, 1, 1))</f>
        <v/>
      </c>
      <c r="C813" s="195" t="str">
        <f ca="1">IF(OFFSET('IWP10'!Std3LicenseInfo, 0, 3, 1, 1) = 0, "", OFFSET('IWP10'!Std3LicenseInfo, 0, 3, 1, 1))</f>
        <v/>
      </c>
      <c r="D813" s="195" t="str">
        <f ca="1">IF(OFFSET('IWP10'!Std3LicenseInfo, 0, 6, 1, 1) = 0, "", OFFSET('IWP10'!Std3LicenseInfo, 0, 6, 1, 1))</f>
        <v/>
      </c>
      <c r="E813" s="172">
        <f ca="1">IF(OFFSET('IWP10'!Std3LicenseInfo, 0, 9, 1, 1)=DATE(1900,1,0), DATE(1900,1,1), OFFSET('IWP10'!Std3LicenseInfo, 0, 9, 1, 1))</f>
        <v>1</v>
      </c>
      <c r="F813" s="172">
        <f ca="1">IF(OFFSET('IWP10'!Std3LicenseInfo, 0, 10, 1, 1)=DATE(1900,1,0), DATE(1900,1,1), OFFSET('IWP10'!Std3LicenseInfo, 0, 10, 1, 1))</f>
        <v>1</v>
      </c>
      <c r="G813" s="194" t="str">
        <f ca="1">IF(OFFSET('IWP10'!Std3LicenseInfo, 0, 11, 1, 1) = 0, "", OFFSET('IWP10'!Std3LicenseInfo, 0, 11, 1, 1))</f>
        <v/>
      </c>
    </row>
    <row r="814" spans="1:7" s="146" customFormat="1">
      <c r="A814" s="183" t="s">
        <v>508</v>
      </c>
      <c r="B814" s="195" t="str">
        <f ca="1">IF(OFFSET('IWP10'!Std3LicenseInfo, 1, 0, 1, 1) = 0, "", OFFSET('IWP10'!Std3LicenseInfo, 1, 0, 1, 1))</f>
        <v/>
      </c>
      <c r="C814" s="195" t="str">
        <f ca="1">IF(OFFSET('IWP10'!Std3LicenseInfo, 1, 3, 1, 1) = 0, "", OFFSET('IWP10'!Std3LicenseInfo, 1, 3, 1, 1))</f>
        <v/>
      </c>
      <c r="D814" s="195" t="str">
        <f ca="1">IF(OFFSET('IWP10'!Std3LicenseInfo, 1, 6, 1, 1) = 0, "", OFFSET('IWP10'!Std3LicenseInfo, 1, 6, 1, 1))</f>
        <v/>
      </c>
      <c r="E814" s="172">
        <f ca="1">IF(OFFSET('IWP10'!Std3LicenseInfo, 1, 9, 1, 1)=DATE(1900,1,0), DATE(1900,1,1), OFFSET('IWP10'!Std3LicenseInfo, 1, 9, 1, 1))</f>
        <v>1</v>
      </c>
      <c r="F814" s="172">
        <f ca="1">IF(OFFSET('IWP10'!Std3LicenseInfo, 1, 10, 1, 1)=DATE(1900,1,0), DATE(1900,1,1), OFFSET('IWP10'!Std3LicenseInfo, 1, 10, 1, 1))</f>
        <v>1</v>
      </c>
      <c r="G814" s="194" t="str">
        <f ca="1">IF(OFFSET('IWP10'!Std3LicenseInfo, 1, 11, 1, 1) = 0, "", OFFSET('IWP10'!Std3LicenseInfo, 1, 11, 1, 1))</f>
        <v/>
      </c>
    </row>
    <row r="815" spans="1:7" s="146" customFormat="1">
      <c r="A815" s="183" t="s">
        <v>508</v>
      </c>
      <c r="B815" s="195" t="str">
        <f ca="1">IF(OFFSET('IWP10'!Std3LicenseInfo, 2, 0, 1, 1) = 0, "", OFFSET('IWP10'!Std3LicenseInfo, 2, 0, 1, 1))</f>
        <v/>
      </c>
      <c r="C815" s="195" t="str">
        <f ca="1">IF(OFFSET('IWP10'!Std3LicenseInfo, 2, 3, 1, 1) = 0, "", OFFSET('IWP10'!Std3LicenseInfo, 2, 3, 1, 1))</f>
        <v/>
      </c>
      <c r="D815" s="195" t="str">
        <f ca="1">IF(OFFSET('IWP10'!Std3LicenseInfo, 2, 6, 1, 1) = 0, "", OFFSET('IWP10'!Std3LicenseInfo, 2, 6, 1, 1))</f>
        <v/>
      </c>
      <c r="E815" s="172">
        <f ca="1">IF(OFFSET('IWP10'!Std3LicenseInfo, 2, 9, 1, 1)=DATE(1900,1,0), DATE(1900,1,1), OFFSET('IWP10'!Std3LicenseInfo, 2, 9, 1, 1))</f>
        <v>1</v>
      </c>
      <c r="F815" s="172">
        <f ca="1">IF(OFFSET('IWP10'!Std3LicenseInfo, 2, 10, 1, 1)=DATE(1900,1,0), DATE(1900,1,1), OFFSET('IWP10'!Std3LicenseInfo, 2, 10, 1, 1))</f>
        <v>1</v>
      </c>
      <c r="G815" s="194" t="str">
        <f ca="1">IF(OFFSET('IWP10'!Std3LicenseInfo, 2, 11, 1, 1) = 0, "", OFFSET('IWP10'!Std3LicenseInfo, 2, 11, 1, 1))</f>
        <v/>
      </c>
    </row>
    <row r="816" spans="1:7" s="146" customFormat="1">
      <c r="A816" s="183" t="s">
        <v>508</v>
      </c>
      <c r="B816" s="195" t="str">
        <f ca="1">IF(OFFSET('IWP10'!Std3LicenseInfo, 3, 0, 1, 1) = 0, "", OFFSET('IWP10'!Std3LicenseInfo, 3, 0, 1, 1))</f>
        <v/>
      </c>
      <c r="C816" s="195" t="str">
        <f ca="1">IF(OFFSET('IWP10'!Std3LicenseInfo, 3, 3, 1, 1) = 0, "", OFFSET('IWP10'!Std3LicenseInfo, 3, 3, 1, 1))</f>
        <v/>
      </c>
      <c r="D816" s="195" t="str">
        <f ca="1">IF(OFFSET('IWP10'!Std3LicenseInfo, 3, 6, 1, 1) = 0, "", OFFSET('IWP10'!Std3LicenseInfo, 3, 6, 1, 1))</f>
        <v/>
      </c>
      <c r="E816" s="172">
        <f ca="1">IF(OFFSET('IWP10'!Std3LicenseInfo, 3, 9, 1, 1)=DATE(1900,1,0), DATE(1900,1,1), OFFSET('IWP10'!Std3LicenseInfo, 3, 9, 1, 1))</f>
        <v>1</v>
      </c>
      <c r="F816" s="172">
        <f ca="1">IF(OFFSET('IWP10'!Std3LicenseInfo, 3, 10, 1, 1)=DATE(1900,1,0), DATE(1900,1,1), OFFSET('IWP10'!Std3LicenseInfo, 3, 10, 1, 1))</f>
        <v>1</v>
      </c>
      <c r="G816" s="194" t="str">
        <f ca="1">IF(OFFSET('IWP10'!Std3LicenseInfo, 3, 11, 1, 1) = 0, "", OFFSET('IWP10'!Std3LicenseInfo, 3, 11, 1, 1))</f>
        <v/>
      </c>
    </row>
    <row r="817" spans="1:7" s="146" customFormat="1">
      <c r="A817" s="183" t="s">
        <v>508</v>
      </c>
      <c r="B817" s="195" t="str">
        <f ca="1">IF(OFFSET('IWP10'!Std3LicenseInfo, 4, 0, 1, 1) = 0, "", OFFSET('IWP10'!Std3LicenseInfo, 4, 0, 1, 1))</f>
        <v/>
      </c>
      <c r="C817" s="195" t="str">
        <f ca="1">IF(OFFSET('IWP10'!Std3LicenseInfo, 4, 3, 1, 1) = 0, "", OFFSET('IWP10'!Std3LicenseInfo, 4, 3, 1, 1))</f>
        <v/>
      </c>
      <c r="D817" s="195" t="str">
        <f ca="1">IF(OFFSET('IWP10'!Std3LicenseInfo, 4, 6, 1, 1) = 0, "", OFFSET('IWP10'!Std3LicenseInfo, 4, 6, 1, 1))</f>
        <v/>
      </c>
      <c r="E817" s="172">
        <f ca="1">IF(OFFSET('IWP10'!Std3LicenseInfo, 4, 9, 1, 1)=DATE(1900,1,0), DATE(1900,1,1), OFFSET('IWP10'!Std3LicenseInfo, 4, 9, 1, 1))</f>
        <v>1</v>
      </c>
      <c r="F817" s="172">
        <f ca="1">IF(OFFSET('IWP10'!Std3LicenseInfo, 4, 10, 1, 1)=DATE(1900,1,0), DATE(1900,1,1), OFFSET('IWP10'!Std3LicenseInfo, 4, 10, 1, 1))</f>
        <v>1</v>
      </c>
      <c r="G817" s="194" t="str">
        <f ca="1">IF(OFFSET('IWP10'!Std3LicenseInfo, 4, 11, 1, 1) = 0, "", OFFSET('IWP10'!Std3LicenseInfo, 4, 11, 1, 1))</f>
        <v/>
      </c>
    </row>
    <row r="818" spans="1:7" s="146" customFormat="1">
      <c r="A818" s="183" t="s">
        <v>508</v>
      </c>
      <c r="B818" s="195" t="str">
        <f ca="1">IF(OFFSET('IWP10'!Std3LicenseInfo, 5, 0, 1, 1) = 0, "", OFFSET('IWP10'!Std3LicenseInfo, 5, 0, 1, 1))</f>
        <v/>
      </c>
      <c r="C818" s="195" t="str">
        <f ca="1">IF(OFFSET('IWP10'!Std3LicenseInfo, 5, 3, 1, 1) = 0, "", OFFSET('IWP10'!Std3LicenseInfo, 5, 3, 1, 1))</f>
        <v/>
      </c>
      <c r="D818" s="195" t="str">
        <f ca="1">IF(OFFSET('IWP10'!Std3LicenseInfo, 5, 6, 1, 1) = 0, "", OFFSET('IWP10'!Std3LicenseInfo, 5, 6, 1, 1))</f>
        <v/>
      </c>
      <c r="E818" s="172">
        <f ca="1">IF(OFFSET('IWP10'!Std3LicenseInfo, 5, 9, 1, 1)=DATE(1900,1,0), DATE(1900,1,1), OFFSET('IWP10'!Std3LicenseInfo, 5, 9, 1, 1))</f>
        <v>1</v>
      </c>
      <c r="F818" s="172">
        <f ca="1">IF(OFFSET('IWP10'!Std3LicenseInfo, 5, 10, 1, 1)=DATE(1900,1,0), DATE(1900,1,1), OFFSET('IWP10'!Std3LicenseInfo, 5, 10, 1, 1))</f>
        <v>1</v>
      </c>
      <c r="G818" s="194" t="str">
        <f ca="1">IF(OFFSET('IWP10'!Std3LicenseInfo, 5, 11, 1, 1) = 0, "", OFFSET('IWP10'!Std3LicenseInfo, 5, 11, 1, 1))</f>
        <v/>
      </c>
    </row>
    <row r="819" spans="1:7" s="146" customFormat="1">
      <c r="A819" s="183" t="s">
        <v>508</v>
      </c>
      <c r="B819" s="195" t="str">
        <f ca="1">IF(OFFSET('IWP10'!Std3LicenseInfo, 6, 0, 1, 1) = 0, "", OFFSET('IWP10'!Std3LicenseInfo, 6, 0, 1, 1))</f>
        <v/>
      </c>
      <c r="C819" s="195" t="str">
        <f ca="1">IF(OFFSET('IWP10'!Std3LicenseInfo, 6, 3, 1, 1) = 0, "", OFFSET('IWP10'!Std3LicenseInfo, 6, 3, 1, 1))</f>
        <v/>
      </c>
      <c r="D819" s="195" t="str">
        <f ca="1">IF(OFFSET('IWP10'!Std3LicenseInfo, 6, 6, 1, 1) = 0, "", OFFSET('IWP10'!Std3LicenseInfo, 6, 6, 1, 1))</f>
        <v/>
      </c>
      <c r="E819" s="172">
        <f ca="1">IF(OFFSET('IWP10'!Std3LicenseInfo, 6, 9, 1, 1)=DATE(1900,1,0), DATE(1900,1,1), OFFSET('IWP10'!Std3LicenseInfo, 6, 9, 1, 1))</f>
        <v>1</v>
      </c>
      <c r="F819" s="172">
        <f ca="1">IF(OFFSET('IWP10'!Std3LicenseInfo, 6, 10, 1, 1)=DATE(1900,1,0), DATE(1900,1,1), OFFSET('IWP10'!Std3LicenseInfo, 6, 10, 1, 1))</f>
        <v>1</v>
      </c>
      <c r="G819" s="194" t="str">
        <f ca="1">IF(OFFSET('IWP10'!Std3LicenseInfo, 6, 11, 1, 1) = 0, "", OFFSET('IWP10'!Std3LicenseInfo, 6, 11, 1, 1))</f>
        <v/>
      </c>
    </row>
    <row r="820" spans="1:7" s="146" customFormat="1">
      <c r="A820" s="183" t="s">
        <v>508</v>
      </c>
      <c r="B820" s="195" t="str">
        <f ca="1">IF(OFFSET('IWP10'!Std3LicenseInfo, 7, 0, 1, 1) = 0, "", OFFSET('IWP10'!Std3LicenseInfo, 7, 0, 1, 1))</f>
        <v/>
      </c>
      <c r="C820" s="195" t="str">
        <f ca="1">IF(OFFSET('IWP10'!Std3LicenseInfo, 7, 3, 1, 1) = 0, "", OFFSET('IWP10'!Std3LicenseInfo, 7, 3, 1, 1))</f>
        <v/>
      </c>
      <c r="D820" s="195" t="str">
        <f ca="1">IF(OFFSET('IWP10'!Std3LicenseInfo, 7, 6, 1, 1) = 0, "", OFFSET('IWP10'!Std3LicenseInfo, 7, 6, 1, 1))</f>
        <v/>
      </c>
      <c r="E820" s="172">
        <f ca="1">IF(OFFSET('IWP10'!Std3LicenseInfo, 7, 9, 1, 1)=DATE(1900,1,0), DATE(1900,1,1), OFFSET('IWP10'!Std3LicenseInfo, 7, 9, 1, 1))</f>
        <v>1</v>
      </c>
      <c r="F820" s="172">
        <f ca="1">IF(OFFSET('IWP10'!Std3LicenseInfo, 7, 10, 1, 1)=DATE(1900,1,0), DATE(1900,1,1), OFFSET('IWP10'!Std3LicenseInfo, 7, 10, 1, 1))</f>
        <v>1</v>
      </c>
      <c r="G820" s="194" t="str">
        <f ca="1">IF(OFFSET('IWP10'!Std3LicenseInfo, 7, 11, 1, 1) = 0, "", OFFSET('IWP10'!Std3LicenseInfo, 7, 11, 1, 1))</f>
        <v/>
      </c>
    </row>
    <row r="821" spans="1:7" s="146" customFormat="1">
      <c r="A821" s="183" t="s">
        <v>508</v>
      </c>
      <c r="B821" s="195" t="str">
        <f ca="1">IF(OFFSET('IWP10'!Std3LicenseInfo, 8, 0, 1, 1) = 0, "", OFFSET('IWP10'!Std3LicenseInfo, 8, 0, 1, 1))</f>
        <v/>
      </c>
      <c r="C821" s="195" t="str">
        <f ca="1">IF(OFFSET('IWP10'!Std3LicenseInfo, 8, 3, 1, 1) = 0, "", OFFSET('IWP10'!Std3LicenseInfo, 8, 3, 1, 1))</f>
        <v/>
      </c>
      <c r="D821" s="195" t="str">
        <f ca="1">IF(OFFSET('IWP10'!Std3LicenseInfo, 8, 6, 1, 1) = 0, "", OFFSET('IWP10'!Std3LicenseInfo, 8, 6, 1, 1))</f>
        <v/>
      </c>
      <c r="E821" s="172">
        <f ca="1">IF(OFFSET('IWP10'!Std3LicenseInfo, 8, 9, 1, 1)=DATE(1900,1,0), DATE(1900,1,1), OFFSET('IWP10'!Std3LicenseInfo, 8, 9, 1, 1))</f>
        <v>1</v>
      </c>
      <c r="F821" s="172">
        <f ca="1">IF(OFFSET('IWP10'!Std3LicenseInfo, 8, 10, 1, 1)=DATE(1900,1,0), DATE(1900,1,1), OFFSET('IWP10'!Std3LicenseInfo, 8, 10, 1, 1))</f>
        <v>1</v>
      </c>
      <c r="G821" s="194" t="str">
        <f ca="1">IF(OFFSET('IWP10'!Std3LicenseInfo, 8, 11, 1, 1) = 0, "", OFFSET('IWP10'!Std3LicenseInfo, 8, 11, 1, 1))</f>
        <v/>
      </c>
    </row>
    <row r="822" spans="1:7" s="146" customFormat="1">
      <c r="A822" s="183" t="s">
        <v>508</v>
      </c>
      <c r="B822" s="195" t="str">
        <f ca="1">IF(OFFSET('IWP10'!Std3LicenseInfo, 9, 0, 1, 1) = 0, "", OFFSET('IWP10'!Std3LicenseInfo, 9, 0, 1, 1))</f>
        <v/>
      </c>
      <c r="C822" s="195" t="str">
        <f ca="1">IF(OFFSET('IWP10'!Std3LicenseInfo, 9, 3, 1, 1) = 0, "", OFFSET('IWP10'!Std3LicenseInfo, 9, 3, 1, 1))</f>
        <v/>
      </c>
      <c r="D822" s="195" t="str">
        <f ca="1">IF(OFFSET('IWP10'!Std3LicenseInfo, 9, 6, 1, 1) = 0, "", OFFSET('IWP10'!Std3LicenseInfo, 9, 6, 1, 1))</f>
        <v/>
      </c>
      <c r="E822" s="172">
        <f ca="1">IF(OFFSET('IWP10'!Std3LicenseInfo, 9, 9, 1, 1)=DATE(1900,1,0), DATE(1900,1,1), OFFSET('IWP10'!Std3LicenseInfo, 9, 9, 1, 1))</f>
        <v>1</v>
      </c>
      <c r="F822" s="172">
        <f ca="1">IF(OFFSET('IWP10'!Std3LicenseInfo, 9, 10, 1, 1)=DATE(1900,1,0), DATE(1900,1,1), OFFSET('IWP10'!Std3LicenseInfo, 9, 10, 1, 1))</f>
        <v>1</v>
      </c>
      <c r="G822" s="194" t="str">
        <f ca="1">IF(OFFSET('IWP10'!Std3LicenseInfo, 9, 11, 1, 1) = 0, "", OFFSET('IWP10'!Std3LicenseInfo, 9, 11, 1, 1))</f>
        <v/>
      </c>
    </row>
    <row r="823" spans="1:7" s="146" customFormat="1">
      <c r="A823" s="183" t="s">
        <v>508</v>
      </c>
      <c r="B823" s="195" t="str">
        <f ca="1">IF(OFFSET('IWP10'!Std3LicenseInfo, 10, 0, 1, 1) = 0, "", OFFSET('IWP10'!Std3LicenseInfo, 10, 0, 1, 1))</f>
        <v/>
      </c>
      <c r="C823" s="195" t="str">
        <f ca="1">IF(OFFSET('IWP10'!Std3LicenseInfo, 10, 3, 1, 1) = 0, "", OFFSET('IWP10'!Std3LicenseInfo, 10, 3, 1, 1))</f>
        <v/>
      </c>
      <c r="D823" s="195" t="str">
        <f ca="1">IF(OFFSET('IWP10'!Std3LicenseInfo, 10, 6, 1, 1) = 0, "", OFFSET('IWP10'!Std3LicenseInfo, 10, 6, 1, 1))</f>
        <v/>
      </c>
      <c r="E823" s="172">
        <f ca="1">IF(OFFSET('IWP10'!Std3LicenseInfo, 10, 9, 1, 1)=DATE(1900,1,0), DATE(1900,1,1), OFFSET('IWP10'!Std3LicenseInfo, 10, 9, 1, 1))</f>
        <v>1</v>
      </c>
      <c r="F823" s="172">
        <f ca="1">IF(OFFSET('IWP10'!Std3LicenseInfo, 10, 10, 1, 1)=DATE(1900,1,0), DATE(1900,1,1), OFFSET('IWP10'!Std3LicenseInfo, 10, 10, 1, 1))</f>
        <v>1</v>
      </c>
      <c r="G823" s="194" t="str">
        <f ca="1">IF(OFFSET('IWP10'!Std3LicenseInfo, 10, 11, 1, 1) = 0, "", OFFSET('IWP10'!Std3LicenseInfo, 10, 11, 1, 1))</f>
        <v/>
      </c>
    </row>
    <row r="824" spans="1:7" s="146" customFormat="1">
      <c r="A824" s="183" t="s">
        <v>508</v>
      </c>
      <c r="B824" s="195" t="str">
        <f ca="1">IF(OFFSET('IWP10'!Std3LicenseInfo, 11, 0, 1, 1) = 0, "", OFFSET('IWP10'!Std3LicenseInfo, 11, 0, 1, 1))</f>
        <v/>
      </c>
      <c r="C824" s="195" t="str">
        <f ca="1">IF(OFFSET('IWP10'!Std3LicenseInfo, 11, 3, 1, 1) = 0, "", OFFSET('IWP10'!Std3LicenseInfo, 11, 3, 1, 1))</f>
        <v/>
      </c>
      <c r="D824" s="195" t="str">
        <f ca="1">IF(OFFSET('IWP10'!Std3LicenseInfo, 11, 6, 1, 1) = 0, "", OFFSET('IWP10'!Std3LicenseInfo, 11, 6, 1, 1))</f>
        <v/>
      </c>
      <c r="E824" s="172">
        <f ca="1">IF(OFFSET('IWP10'!Std3LicenseInfo, 11, 9, 1, 1)=DATE(1900,1,0), DATE(1900,1,1), OFFSET('IWP10'!Std3LicenseInfo, 11, 9, 1, 1))</f>
        <v>1</v>
      </c>
      <c r="F824" s="172">
        <f ca="1">IF(OFFSET('IWP10'!Std3LicenseInfo, 11, 10, 1, 1)=DATE(1900,1,0), DATE(1900,1,1), OFFSET('IWP10'!Std3LicenseInfo, 11, 10, 1, 1))</f>
        <v>1</v>
      </c>
      <c r="G824" s="194" t="str">
        <f ca="1">IF(OFFSET('IWP10'!Std3LicenseInfo, 11, 11, 1, 1) = 0, "", OFFSET('IWP10'!Std3LicenseInfo, 11, 11, 1, 1))</f>
        <v/>
      </c>
    </row>
    <row r="825" spans="1:7" s="146" customFormat="1">
      <c r="A825" s="183" t="s">
        <v>508</v>
      </c>
      <c r="B825" s="195" t="str">
        <f ca="1">IF(OFFSET('IWP10'!Std3LicenseInfo, 12, 0, 1, 1) = 0, "", OFFSET('IWP10'!Std3LicenseInfo, 12, 0, 1, 1))</f>
        <v/>
      </c>
      <c r="C825" s="195" t="str">
        <f ca="1">IF(OFFSET('IWP10'!Std3LicenseInfo, 12, 3, 1, 1) = 0, "", OFFSET('IWP10'!Std3LicenseInfo, 12, 3, 1, 1))</f>
        <v/>
      </c>
      <c r="D825" s="195" t="str">
        <f ca="1">IF(OFFSET('IWP10'!Std3LicenseInfo, 12, 6, 1, 1) = 0, "", OFFSET('IWP10'!Std3LicenseInfo, 12, 6, 1, 1))</f>
        <v/>
      </c>
      <c r="E825" s="172">
        <f ca="1">IF(OFFSET('IWP10'!Std3LicenseInfo, 12, 9, 1, 1)=DATE(1900,1,0), DATE(1900,1,1), OFFSET('IWP10'!Std3LicenseInfo, 12, 9, 1, 1))</f>
        <v>1</v>
      </c>
      <c r="F825" s="172">
        <f ca="1">IF(OFFSET('IWP10'!Std3LicenseInfo, 12, 10, 1, 1)=DATE(1900,1,0), DATE(1900,1,1), OFFSET('IWP10'!Std3LicenseInfo, 12, 10, 1, 1))</f>
        <v>1</v>
      </c>
      <c r="G825" s="194" t="str">
        <f ca="1">IF(OFFSET('IWP10'!Std3LicenseInfo, 12, 11, 1, 1) = 0, "", OFFSET('IWP10'!Std3LicenseInfo, 12, 11, 1, 1))</f>
        <v/>
      </c>
    </row>
    <row r="826" spans="1:7" s="146" customFormat="1">
      <c r="A826" s="183" t="s">
        <v>508</v>
      </c>
      <c r="B826" s="195" t="str">
        <f ca="1">IF(OFFSET('IWP10'!Std3LicenseInfo, 13, 0, 1, 1) = 0, "", OFFSET('IWP10'!Std3LicenseInfo, 13, 0, 1, 1))</f>
        <v/>
      </c>
      <c r="C826" s="195" t="str">
        <f ca="1">IF(OFFSET('IWP10'!Std3LicenseInfo, 13, 3, 1, 1) = 0, "", OFFSET('IWP10'!Std3LicenseInfo, 13, 3, 1, 1))</f>
        <v/>
      </c>
      <c r="D826" s="195" t="str">
        <f ca="1">IF(OFFSET('IWP10'!Std3LicenseInfo, 13, 6, 1, 1) = 0, "", OFFSET('IWP10'!Std3LicenseInfo, 13, 6, 1, 1))</f>
        <v/>
      </c>
      <c r="E826" s="172">
        <f ca="1">IF(OFFSET('IWP10'!Std3LicenseInfo, 13, 9, 1, 1)=DATE(1900,1,0), DATE(1900,1,1), OFFSET('IWP10'!Std3LicenseInfo, 13, 9, 1, 1))</f>
        <v>1</v>
      </c>
      <c r="F826" s="172">
        <f ca="1">IF(OFFSET('IWP10'!Std3LicenseInfo, 13, 10, 1, 1)=DATE(1900,1,0), DATE(1900,1,1), OFFSET('IWP10'!Std3LicenseInfo, 13, 10, 1, 1))</f>
        <v>1</v>
      </c>
      <c r="G826" s="194" t="str">
        <f ca="1">IF(OFFSET('IWP10'!Std3LicenseInfo, 13, 11, 1, 1) = 0, "", OFFSET('IWP10'!Std3LicenseInfo, 13, 11, 1, 1))</f>
        <v/>
      </c>
    </row>
    <row r="827" spans="1:7" s="146" customFormat="1">
      <c r="A827" s="183" t="s">
        <v>509</v>
      </c>
      <c r="B827" s="195" t="str">
        <f ca="1">IF(OFFSET('IWP11'!Std3LicenseInfo, 0, 0, 1, 1) = 0, "", OFFSET('IWP11'!Std3LicenseInfo, 0, 0, 1, 1))</f>
        <v/>
      </c>
      <c r="C827" s="195" t="str">
        <f ca="1">IF(OFFSET('IWP11'!Std3LicenseInfo, 0, 3, 1, 1) = 0, "", OFFSET('IWP11'!Std3LicenseInfo, 0, 3, 1, 1))</f>
        <v/>
      </c>
      <c r="D827" s="195" t="str">
        <f ca="1">IF(OFFSET('IWP11'!Std3LicenseInfo, 0, 6, 1, 1) = 0, "", OFFSET('IWP11'!Std3LicenseInfo, 0, 6, 1, 1))</f>
        <v/>
      </c>
      <c r="E827" s="172">
        <f ca="1">IF(OFFSET('IWP11'!Std3LicenseInfo, 0, 9, 1, 1)=DATE(1900,1,0), DATE(1900,1,1), OFFSET('IWP11'!Std3LicenseInfo, 0, 9, 1, 1))</f>
        <v>1</v>
      </c>
      <c r="F827" s="172">
        <f ca="1">IF(OFFSET('IWP11'!Std3LicenseInfo, 0, 10, 1, 1)=DATE(1900,1,0), DATE(1900,1,1), OFFSET('IWP11'!Std3LicenseInfo, 0, 10, 1, 1))</f>
        <v>1</v>
      </c>
      <c r="G827" s="194" t="str">
        <f ca="1">IF(OFFSET('IWP11'!Std3LicenseInfo, 0, 11, 1, 1) = 0, "", OFFSET('IWP11'!Std3LicenseInfo, 0, 11, 1, 1))</f>
        <v/>
      </c>
    </row>
    <row r="828" spans="1:7" s="146" customFormat="1">
      <c r="A828" s="183" t="s">
        <v>509</v>
      </c>
      <c r="B828" s="195" t="str">
        <f ca="1">IF(OFFSET('IWP11'!Std3LicenseInfo, 1, 0, 1, 1) = 0, "", OFFSET('IWP11'!Std3LicenseInfo, 1, 0, 1, 1))</f>
        <v/>
      </c>
      <c r="C828" s="195" t="str">
        <f ca="1">IF(OFFSET('IWP11'!Std3LicenseInfo, 1, 3, 1, 1) = 0, "", OFFSET('IWP11'!Std3LicenseInfo, 1, 3, 1, 1))</f>
        <v/>
      </c>
      <c r="D828" s="195" t="str">
        <f ca="1">IF(OFFSET('IWP11'!Std3LicenseInfo, 1, 6, 1, 1) = 0, "", OFFSET('IWP11'!Std3LicenseInfo, 1, 6, 1, 1))</f>
        <v/>
      </c>
      <c r="E828" s="172">
        <f ca="1">IF(OFFSET('IWP11'!Std3LicenseInfo, 1, 9, 1, 1)=DATE(1900,1,0), DATE(1900,1,1), OFFSET('IWP11'!Std3LicenseInfo, 1, 9, 1, 1))</f>
        <v>1</v>
      </c>
      <c r="F828" s="172">
        <f ca="1">IF(OFFSET('IWP11'!Std3LicenseInfo, 1, 10, 1, 1)=DATE(1900,1,0), DATE(1900,1,1), OFFSET('IWP11'!Std3LicenseInfo, 1, 10, 1, 1))</f>
        <v>1</v>
      </c>
      <c r="G828" s="194" t="str">
        <f ca="1">IF(OFFSET('IWP11'!Std3LicenseInfo, 1, 11, 1, 1) = 0, "", OFFSET('IWP11'!Std3LicenseInfo, 1, 11, 1, 1))</f>
        <v/>
      </c>
    </row>
    <row r="829" spans="1:7" s="146" customFormat="1">
      <c r="A829" s="183" t="s">
        <v>509</v>
      </c>
      <c r="B829" s="195" t="str">
        <f ca="1">IF(OFFSET('IWP11'!Std3LicenseInfo, 2, 0, 1, 1) = 0, "", OFFSET('IWP11'!Std3LicenseInfo, 2, 0, 1, 1))</f>
        <v/>
      </c>
      <c r="C829" s="195" t="str">
        <f ca="1">IF(OFFSET('IWP11'!Std3LicenseInfo, 2, 3, 1, 1) = 0, "", OFFSET('IWP11'!Std3LicenseInfo, 2, 3, 1, 1))</f>
        <v/>
      </c>
      <c r="D829" s="195" t="str">
        <f ca="1">IF(OFFSET('IWP11'!Std3LicenseInfo, 2, 6, 1, 1) = 0, "", OFFSET('IWP11'!Std3LicenseInfo, 2, 6, 1, 1))</f>
        <v/>
      </c>
      <c r="E829" s="172">
        <f ca="1">IF(OFFSET('IWP11'!Std3LicenseInfo, 2, 9, 1, 1)=DATE(1900,1,0), DATE(1900,1,1), OFFSET('IWP11'!Std3LicenseInfo, 2, 9, 1, 1))</f>
        <v>1</v>
      </c>
      <c r="F829" s="172">
        <f ca="1">IF(OFFSET('IWP11'!Std3LicenseInfo, 2, 10, 1, 1)=DATE(1900,1,0), DATE(1900,1,1), OFFSET('IWP11'!Std3LicenseInfo, 2, 10, 1, 1))</f>
        <v>1</v>
      </c>
      <c r="G829" s="194" t="str">
        <f ca="1">IF(OFFSET('IWP11'!Std3LicenseInfo, 2, 11, 1, 1) = 0, "", OFFSET('IWP11'!Std3LicenseInfo, 2, 11, 1, 1))</f>
        <v/>
      </c>
    </row>
    <row r="830" spans="1:7" s="146" customFormat="1">
      <c r="A830" s="183" t="s">
        <v>509</v>
      </c>
      <c r="B830" s="195" t="str">
        <f ca="1">IF(OFFSET('IWP11'!Std3LicenseInfo, 3, 0, 1, 1) = 0, "", OFFSET('IWP11'!Std3LicenseInfo, 3, 0, 1, 1))</f>
        <v/>
      </c>
      <c r="C830" s="195" t="str">
        <f ca="1">IF(OFFSET('IWP11'!Std3LicenseInfo, 3, 3, 1, 1) = 0, "", OFFSET('IWP11'!Std3LicenseInfo, 3, 3, 1, 1))</f>
        <v/>
      </c>
      <c r="D830" s="195" t="str">
        <f ca="1">IF(OFFSET('IWP11'!Std3LicenseInfo, 3, 6, 1, 1) = 0, "", OFFSET('IWP11'!Std3LicenseInfo, 3, 6, 1, 1))</f>
        <v/>
      </c>
      <c r="E830" s="172">
        <f ca="1">IF(OFFSET('IWP11'!Std3LicenseInfo, 3, 9, 1, 1)=DATE(1900,1,0), DATE(1900,1,1), OFFSET('IWP11'!Std3LicenseInfo, 3, 9, 1, 1))</f>
        <v>1</v>
      </c>
      <c r="F830" s="172">
        <f ca="1">IF(OFFSET('IWP11'!Std3LicenseInfo, 3, 10, 1, 1)=DATE(1900,1,0), DATE(1900,1,1), OFFSET('IWP11'!Std3LicenseInfo, 3, 10, 1, 1))</f>
        <v>1</v>
      </c>
      <c r="G830" s="194" t="str">
        <f ca="1">IF(OFFSET('IWP11'!Std3LicenseInfo, 3, 11, 1, 1) = 0, "", OFFSET('IWP11'!Std3LicenseInfo, 3, 11, 1, 1))</f>
        <v/>
      </c>
    </row>
    <row r="831" spans="1:7" s="146" customFormat="1">
      <c r="A831" s="183" t="s">
        <v>509</v>
      </c>
      <c r="B831" s="195" t="str">
        <f ca="1">IF(OFFSET('IWP11'!Std3LicenseInfo, 4, 0, 1, 1) = 0, "", OFFSET('IWP11'!Std3LicenseInfo, 4, 0, 1, 1))</f>
        <v/>
      </c>
      <c r="C831" s="195" t="str">
        <f ca="1">IF(OFFSET('IWP11'!Std3LicenseInfo, 4, 3, 1, 1) = 0, "", OFFSET('IWP11'!Std3LicenseInfo, 4, 3, 1, 1))</f>
        <v/>
      </c>
      <c r="D831" s="195" t="str">
        <f ca="1">IF(OFFSET('IWP11'!Std3LicenseInfo, 4, 6, 1, 1) = 0, "", OFFSET('IWP11'!Std3LicenseInfo, 4, 6, 1, 1))</f>
        <v/>
      </c>
      <c r="E831" s="172">
        <f ca="1">IF(OFFSET('IWP11'!Std3LicenseInfo, 4, 9, 1, 1)=DATE(1900,1,0), DATE(1900,1,1), OFFSET('IWP11'!Std3LicenseInfo, 4, 9, 1, 1))</f>
        <v>1</v>
      </c>
      <c r="F831" s="172">
        <f ca="1">IF(OFFSET('IWP11'!Std3LicenseInfo, 4, 10, 1, 1)=DATE(1900,1,0), DATE(1900,1,1), OFFSET('IWP11'!Std3LicenseInfo, 4, 10, 1, 1))</f>
        <v>1</v>
      </c>
      <c r="G831" s="194" t="str">
        <f ca="1">IF(OFFSET('IWP11'!Std3LicenseInfo, 4, 11, 1, 1) = 0, "", OFFSET('IWP11'!Std3LicenseInfo, 4, 11, 1, 1))</f>
        <v/>
      </c>
    </row>
    <row r="832" spans="1:7" s="146" customFormat="1">
      <c r="A832" s="183" t="s">
        <v>509</v>
      </c>
      <c r="B832" s="195" t="str">
        <f ca="1">IF(OFFSET('IWP11'!Std3LicenseInfo, 5, 0, 1, 1) = 0, "", OFFSET('IWP11'!Std3LicenseInfo, 5, 0, 1, 1))</f>
        <v/>
      </c>
      <c r="C832" s="195" t="str">
        <f ca="1">IF(OFFSET('IWP11'!Std3LicenseInfo, 5, 3, 1, 1) = 0, "", OFFSET('IWP11'!Std3LicenseInfo, 5, 3, 1, 1))</f>
        <v/>
      </c>
      <c r="D832" s="195" t="str">
        <f ca="1">IF(OFFSET('IWP11'!Std3LicenseInfo, 5, 6, 1, 1) = 0, "", OFFSET('IWP11'!Std3LicenseInfo, 5, 6, 1, 1))</f>
        <v/>
      </c>
      <c r="E832" s="172">
        <f ca="1">IF(OFFSET('IWP11'!Std3LicenseInfo, 5, 9, 1, 1)=DATE(1900,1,0), DATE(1900,1,1), OFFSET('IWP11'!Std3LicenseInfo, 5, 9, 1, 1))</f>
        <v>1</v>
      </c>
      <c r="F832" s="172">
        <f ca="1">IF(OFFSET('IWP11'!Std3LicenseInfo, 5, 10, 1, 1)=DATE(1900,1,0), DATE(1900,1,1), OFFSET('IWP11'!Std3LicenseInfo, 5, 10, 1, 1))</f>
        <v>1</v>
      </c>
      <c r="G832" s="194" t="str">
        <f ca="1">IF(OFFSET('IWP11'!Std3LicenseInfo, 5, 11, 1, 1) = 0, "", OFFSET('IWP11'!Std3LicenseInfo, 5, 11, 1, 1))</f>
        <v/>
      </c>
    </row>
    <row r="833" spans="1:7" s="146" customFormat="1">
      <c r="A833" s="183" t="s">
        <v>509</v>
      </c>
      <c r="B833" s="195" t="str">
        <f ca="1">IF(OFFSET('IWP11'!Std3LicenseInfo, 6, 0, 1, 1) = 0, "", OFFSET('IWP11'!Std3LicenseInfo, 6, 0, 1, 1))</f>
        <v/>
      </c>
      <c r="C833" s="195" t="str">
        <f ca="1">IF(OFFSET('IWP11'!Std3LicenseInfo, 6, 3, 1, 1) = 0, "", OFFSET('IWP11'!Std3LicenseInfo, 6, 3, 1, 1))</f>
        <v/>
      </c>
      <c r="D833" s="195" t="str">
        <f ca="1">IF(OFFSET('IWP11'!Std3LicenseInfo, 6, 6, 1, 1) = 0, "", OFFSET('IWP11'!Std3LicenseInfo, 6, 6, 1, 1))</f>
        <v/>
      </c>
      <c r="E833" s="172">
        <f ca="1">IF(OFFSET('IWP11'!Std3LicenseInfo, 6, 9, 1, 1)=DATE(1900,1,0), DATE(1900,1,1), OFFSET('IWP11'!Std3LicenseInfo, 6, 9, 1, 1))</f>
        <v>1</v>
      </c>
      <c r="F833" s="172">
        <f ca="1">IF(OFFSET('IWP11'!Std3LicenseInfo, 6, 10, 1, 1)=DATE(1900,1,0), DATE(1900,1,1), OFFSET('IWP11'!Std3LicenseInfo, 6, 10, 1, 1))</f>
        <v>1</v>
      </c>
      <c r="G833" s="194" t="str">
        <f ca="1">IF(OFFSET('IWP11'!Std3LicenseInfo, 6, 11, 1, 1) = 0, "", OFFSET('IWP11'!Std3LicenseInfo, 6, 11, 1, 1))</f>
        <v/>
      </c>
    </row>
    <row r="834" spans="1:7" s="146" customFormat="1">
      <c r="A834" s="183" t="s">
        <v>509</v>
      </c>
      <c r="B834" s="195" t="str">
        <f ca="1">IF(OFFSET('IWP11'!Std3LicenseInfo, 7, 0, 1, 1) = 0, "", OFFSET('IWP11'!Std3LicenseInfo, 7, 0, 1, 1))</f>
        <v/>
      </c>
      <c r="C834" s="195" t="str">
        <f ca="1">IF(OFFSET('IWP11'!Std3LicenseInfo, 7, 3, 1, 1) = 0, "", OFFSET('IWP11'!Std3LicenseInfo, 7, 3, 1, 1))</f>
        <v/>
      </c>
      <c r="D834" s="195" t="str">
        <f ca="1">IF(OFFSET('IWP11'!Std3LicenseInfo, 7, 6, 1, 1) = 0, "", OFFSET('IWP11'!Std3LicenseInfo, 7, 6, 1, 1))</f>
        <v/>
      </c>
      <c r="E834" s="172">
        <f ca="1">IF(OFFSET('IWP11'!Std3LicenseInfo, 7, 9, 1, 1)=DATE(1900,1,0), DATE(1900,1,1), OFFSET('IWP11'!Std3LicenseInfo, 7, 9, 1, 1))</f>
        <v>1</v>
      </c>
      <c r="F834" s="172">
        <f ca="1">IF(OFFSET('IWP11'!Std3LicenseInfo, 7, 10, 1, 1)=DATE(1900,1,0), DATE(1900,1,1), OFFSET('IWP11'!Std3LicenseInfo, 7, 10, 1, 1))</f>
        <v>1</v>
      </c>
      <c r="G834" s="194" t="str">
        <f ca="1">IF(OFFSET('IWP11'!Std3LicenseInfo, 7, 11, 1, 1) = 0, "", OFFSET('IWP11'!Std3LicenseInfo, 7, 11, 1, 1))</f>
        <v/>
      </c>
    </row>
    <row r="835" spans="1:7" s="146" customFormat="1">
      <c r="A835" s="183" t="s">
        <v>509</v>
      </c>
      <c r="B835" s="195" t="str">
        <f ca="1">IF(OFFSET('IWP11'!Std3LicenseInfo, 8, 0, 1, 1) = 0, "", OFFSET('IWP11'!Std3LicenseInfo, 8, 0, 1, 1))</f>
        <v/>
      </c>
      <c r="C835" s="195" t="str">
        <f ca="1">IF(OFFSET('IWP11'!Std3LicenseInfo, 8, 3, 1, 1) = 0, "", OFFSET('IWP11'!Std3LicenseInfo, 8, 3, 1, 1))</f>
        <v/>
      </c>
      <c r="D835" s="195" t="str">
        <f ca="1">IF(OFFSET('IWP11'!Std3LicenseInfo, 8, 6, 1, 1) = 0, "", OFFSET('IWP11'!Std3LicenseInfo, 8, 6, 1, 1))</f>
        <v/>
      </c>
      <c r="E835" s="172">
        <f ca="1">IF(OFFSET('IWP11'!Std3LicenseInfo, 8, 9, 1, 1)=DATE(1900,1,0), DATE(1900,1,1), OFFSET('IWP11'!Std3LicenseInfo, 8, 9, 1, 1))</f>
        <v>1</v>
      </c>
      <c r="F835" s="172">
        <f ca="1">IF(OFFSET('IWP11'!Std3LicenseInfo, 8, 10, 1, 1)=DATE(1900,1,0), DATE(1900,1,1), OFFSET('IWP11'!Std3LicenseInfo, 8, 10, 1, 1))</f>
        <v>1</v>
      </c>
      <c r="G835" s="194" t="str">
        <f ca="1">IF(OFFSET('IWP11'!Std3LicenseInfo, 8, 11, 1, 1) = 0, "", OFFSET('IWP11'!Std3LicenseInfo, 8, 11, 1, 1))</f>
        <v/>
      </c>
    </row>
    <row r="836" spans="1:7" s="146" customFormat="1">
      <c r="A836" s="183" t="s">
        <v>509</v>
      </c>
      <c r="B836" s="195" t="str">
        <f ca="1">IF(OFFSET('IWP11'!Std3LicenseInfo, 9, 0, 1, 1) = 0, "", OFFSET('IWP11'!Std3LicenseInfo, 9, 0, 1, 1))</f>
        <v/>
      </c>
      <c r="C836" s="195" t="str">
        <f ca="1">IF(OFFSET('IWP11'!Std3LicenseInfo, 9, 3, 1, 1) = 0, "", OFFSET('IWP11'!Std3LicenseInfo, 9, 3, 1, 1))</f>
        <v/>
      </c>
      <c r="D836" s="195" t="str">
        <f ca="1">IF(OFFSET('IWP11'!Std3LicenseInfo, 9, 6, 1, 1) = 0, "", OFFSET('IWP11'!Std3LicenseInfo, 9, 6, 1, 1))</f>
        <v/>
      </c>
      <c r="E836" s="172">
        <f ca="1">IF(OFFSET('IWP11'!Std3LicenseInfo, 9, 9, 1, 1)=DATE(1900,1,0), DATE(1900,1,1), OFFSET('IWP11'!Std3LicenseInfo, 9, 9, 1, 1))</f>
        <v>1</v>
      </c>
      <c r="F836" s="172">
        <f ca="1">IF(OFFSET('IWP11'!Std3LicenseInfo, 9, 10, 1, 1)=DATE(1900,1,0), DATE(1900,1,1), OFFSET('IWP11'!Std3LicenseInfo, 9, 10, 1, 1))</f>
        <v>1</v>
      </c>
      <c r="G836" s="194" t="str">
        <f ca="1">IF(OFFSET('IWP11'!Std3LicenseInfo, 9, 11, 1, 1) = 0, "", OFFSET('IWP11'!Std3LicenseInfo, 9, 11, 1, 1))</f>
        <v/>
      </c>
    </row>
    <row r="837" spans="1:7" s="146" customFormat="1">
      <c r="A837" s="183" t="s">
        <v>509</v>
      </c>
      <c r="B837" s="195" t="str">
        <f ca="1">IF(OFFSET('IWP11'!Std3LicenseInfo, 10, 0, 1, 1) = 0, "", OFFSET('IWP11'!Std3LicenseInfo, 10, 0, 1, 1))</f>
        <v/>
      </c>
      <c r="C837" s="195" t="str">
        <f ca="1">IF(OFFSET('IWP11'!Std3LicenseInfo, 10, 3, 1, 1) = 0, "", OFFSET('IWP11'!Std3LicenseInfo, 10, 3, 1, 1))</f>
        <v/>
      </c>
      <c r="D837" s="195" t="str">
        <f ca="1">IF(OFFSET('IWP11'!Std3LicenseInfo, 10, 6, 1, 1) = 0, "", OFFSET('IWP11'!Std3LicenseInfo, 10, 6, 1, 1))</f>
        <v/>
      </c>
      <c r="E837" s="172">
        <f ca="1">IF(OFFSET('IWP11'!Std3LicenseInfo, 10, 9, 1, 1)=DATE(1900,1,0), DATE(1900,1,1), OFFSET('IWP11'!Std3LicenseInfo, 10, 9, 1, 1))</f>
        <v>1</v>
      </c>
      <c r="F837" s="172">
        <f ca="1">IF(OFFSET('IWP11'!Std3LicenseInfo, 10, 10, 1, 1)=DATE(1900,1,0), DATE(1900,1,1), OFFSET('IWP11'!Std3LicenseInfo, 10, 10, 1, 1))</f>
        <v>1</v>
      </c>
      <c r="G837" s="194" t="str">
        <f ca="1">IF(OFFSET('IWP11'!Std3LicenseInfo, 10, 11, 1, 1) = 0, "", OFFSET('IWP11'!Std3LicenseInfo, 10, 11, 1, 1))</f>
        <v/>
      </c>
    </row>
    <row r="838" spans="1:7" s="146" customFormat="1">
      <c r="A838" s="183" t="s">
        <v>509</v>
      </c>
      <c r="B838" s="195" t="str">
        <f ca="1">IF(OFFSET('IWP11'!Std3LicenseInfo, 11, 0, 1, 1) = 0, "", OFFSET('IWP11'!Std3LicenseInfo, 11, 0, 1, 1))</f>
        <v/>
      </c>
      <c r="C838" s="195" t="str">
        <f ca="1">IF(OFFSET('IWP11'!Std3LicenseInfo, 11, 3, 1, 1) = 0, "", OFFSET('IWP11'!Std3LicenseInfo, 11, 3, 1, 1))</f>
        <v/>
      </c>
      <c r="D838" s="195" t="str">
        <f ca="1">IF(OFFSET('IWP11'!Std3LicenseInfo, 11, 6, 1, 1) = 0, "", OFFSET('IWP11'!Std3LicenseInfo, 11, 6, 1, 1))</f>
        <v/>
      </c>
      <c r="E838" s="172">
        <f ca="1">IF(OFFSET('IWP11'!Std3LicenseInfo, 11, 9, 1, 1)=DATE(1900,1,0), DATE(1900,1,1), OFFSET('IWP11'!Std3LicenseInfo, 11, 9, 1, 1))</f>
        <v>1</v>
      </c>
      <c r="F838" s="172">
        <f ca="1">IF(OFFSET('IWP11'!Std3LicenseInfo, 11, 10, 1, 1)=DATE(1900,1,0), DATE(1900,1,1), OFFSET('IWP11'!Std3LicenseInfo, 11, 10, 1, 1))</f>
        <v>1</v>
      </c>
      <c r="G838" s="194" t="str">
        <f ca="1">IF(OFFSET('IWP11'!Std3LicenseInfo, 11, 11, 1, 1) = 0, "", OFFSET('IWP11'!Std3LicenseInfo, 11, 11, 1, 1))</f>
        <v/>
      </c>
    </row>
    <row r="839" spans="1:7" s="146" customFormat="1">
      <c r="A839" s="183" t="s">
        <v>509</v>
      </c>
      <c r="B839" s="195" t="str">
        <f ca="1">IF(OFFSET('IWP11'!Std3LicenseInfo, 12, 0, 1, 1) = 0, "", OFFSET('IWP11'!Std3LicenseInfo, 12, 0, 1, 1))</f>
        <v/>
      </c>
      <c r="C839" s="195" t="str">
        <f ca="1">IF(OFFSET('IWP11'!Std3LicenseInfo, 12, 3, 1, 1) = 0, "", OFFSET('IWP11'!Std3LicenseInfo, 12, 3, 1, 1))</f>
        <v/>
      </c>
      <c r="D839" s="195" t="str">
        <f ca="1">IF(OFFSET('IWP11'!Std3LicenseInfo, 12, 6, 1, 1) = 0, "", OFFSET('IWP11'!Std3LicenseInfo, 12, 6, 1, 1))</f>
        <v/>
      </c>
      <c r="E839" s="172">
        <f ca="1">IF(OFFSET('IWP11'!Std3LicenseInfo, 12, 9, 1, 1)=DATE(1900,1,0), DATE(1900,1,1), OFFSET('IWP11'!Std3LicenseInfo, 12, 9, 1, 1))</f>
        <v>1</v>
      </c>
      <c r="F839" s="172">
        <f ca="1">IF(OFFSET('IWP11'!Std3LicenseInfo, 12, 10, 1, 1)=DATE(1900,1,0), DATE(1900,1,1), OFFSET('IWP11'!Std3LicenseInfo, 12, 10, 1, 1))</f>
        <v>1</v>
      </c>
      <c r="G839" s="194" t="str">
        <f ca="1">IF(OFFSET('IWP11'!Std3LicenseInfo, 12, 11, 1, 1) = 0, "", OFFSET('IWP11'!Std3LicenseInfo, 12, 11, 1, 1))</f>
        <v/>
      </c>
    </row>
    <row r="840" spans="1:7" s="146" customFormat="1">
      <c r="A840" s="183" t="s">
        <v>509</v>
      </c>
      <c r="B840" s="195" t="str">
        <f ca="1">IF(OFFSET('IWP11'!Std3LicenseInfo, 13, 0, 1, 1) = 0, "", OFFSET('IWP11'!Std3LicenseInfo, 13, 0, 1, 1))</f>
        <v/>
      </c>
      <c r="C840" s="195" t="str">
        <f ca="1">IF(OFFSET('IWP11'!Std3LicenseInfo, 13, 3, 1, 1) = 0, "", OFFSET('IWP11'!Std3LicenseInfo, 13, 3, 1, 1))</f>
        <v/>
      </c>
      <c r="D840" s="195" t="str">
        <f ca="1">IF(OFFSET('IWP11'!Std3LicenseInfo, 13, 6, 1, 1) = 0, "", OFFSET('IWP11'!Std3LicenseInfo, 13, 6, 1, 1))</f>
        <v/>
      </c>
      <c r="E840" s="172">
        <f ca="1">IF(OFFSET('IWP11'!Std3LicenseInfo, 13, 9, 1, 1)=DATE(1900,1,0), DATE(1900,1,1), OFFSET('IWP11'!Std3LicenseInfo, 13, 9, 1, 1))</f>
        <v>1</v>
      </c>
      <c r="F840" s="172">
        <f ca="1">IF(OFFSET('IWP11'!Std3LicenseInfo, 13, 10, 1, 1)=DATE(1900,1,0), DATE(1900,1,1), OFFSET('IWP11'!Std3LicenseInfo, 13, 10, 1, 1))</f>
        <v>1</v>
      </c>
      <c r="G840" s="194" t="str">
        <f ca="1">IF(OFFSET('IWP11'!Std3LicenseInfo, 13, 11, 1, 1) = 0, "", OFFSET('IWP11'!Std3LicenseInfo, 13, 11, 1, 1))</f>
        <v/>
      </c>
    </row>
    <row r="841" spans="1:7" s="146" customFormat="1">
      <c r="A841" s="183" t="s">
        <v>510</v>
      </c>
      <c r="B841" s="195" t="str">
        <f ca="1">IF(OFFSET('IWP12'!Std3LicenseInfo, 0, 0, 1, 1) = 0, "", OFFSET('IWP12'!Std3LicenseInfo, 0, 0, 1, 1))</f>
        <v/>
      </c>
      <c r="C841" s="195" t="str">
        <f ca="1">IF(OFFSET('IWP12'!Std3LicenseInfo, 0, 3, 1, 1) = 0, "", OFFSET('IWP12'!Std3LicenseInfo, 0, 3, 1, 1))</f>
        <v/>
      </c>
      <c r="D841" s="195" t="str">
        <f ca="1">IF(OFFSET('IWP12'!Std3LicenseInfo, 0, 6, 1, 1) = 0, "", OFFSET('IWP12'!Std3LicenseInfo, 0, 6, 1, 1))</f>
        <v/>
      </c>
      <c r="E841" s="172">
        <f ca="1">IF(OFFSET('IWP12'!Std3LicenseInfo, 0, 9, 1, 1)=DATE(1900,1,0), DATE(1900,1,1), OFFSET('IWP12'!Std3LicenseInfo, 0, 9, 1, 1))</f>
        <v>1</v>
      </c>
      <c r="F841" s="172">
        <f ca="1">IF(OFFSET('IWP12'!Std3LicenseInfo, 0, 10, 1, 1)=DATE(1900,1,0), DATE(1900,1,1), OFFSET('IWP12'!Std3LicenseInfo, 0, 10, 1, 1))</f>
        <v>1</v>
      </c>
      <c r="G841" s="194" t="str">
        <f ca="1">IF(OFFSET('IWP12'!Std3LicenseInfo, 0, 11, 1, 1) = 0, "", OFFSET('IWP12'!Std3LicenseInfo, 0, 11, 1, 1))</f>
        <v/>
      </c>
    </row>
    <row r="842" spans="1:7" s="146" customFormat="1">
      <c r="A842" s="183" t="s">
        <v>510</v>
      </c>
      <c r="B842" s="195" t="str">
        <f ca="1">IF(OFFSET('IWP12'!Std3LicenseInfo, 1, 0, 1, 1) = 0, "", OFFSET('IWP12'!Std3LicenseInfo, 1, 0, 1, 1))</f>
        <v/>
      </c>
      <c r="C842" s="195" t="str">
        <f ca="1">IF(OFFSET('IWP12'!Std3LicenseInfo, 1, 3, 1, 1) = 0, "", OFFSET('IWP12'!Std3LicenseInfo, 1, 3, 1, 1))</f>
        <v/>
      </c>
      <c r="D842" s="195" t="str">
        <f ca="1">IF(OFFSET('IWP12'!Std3LicenseInfo, 1, 6, 1, 1) = 0, "", OFFSET('IWP12'!Std3LicenseInfo, 1, 6, 1, 1))</f>
        <v/>
      </c>
      <c r="E842" s="172">
        <f ca="1">IF(OFFSET('IWP12'!Std3LicenseInfo, 1, 9, 1, 1)=DATE(1900,1,0), DATE(1900,1,1), OFFSET('IWP12'!Std3LicenseInfo, 1, 9, 1, 1))</f>
        <v>1</v>
      </c>
      <c r="F842" s="172">
        <f ca="1">IF(OFFSET('IWP12'!Std3LicenseInfo, 1, 10, 1, 1)=DATE(1900,1,0), DATE(1900,1,1), OFFSET('IWP12'!Std3LicenseInfo, 1, 10, 1, 1))</f>
        <v>1</v>
      </c>
      <c r="G842" s="194" t="str">
        <f ca="1">IF(OFFSET('IWP12'!Std3LicenseInfo, 1, 11, 1, 1) = 0, "", OFFSET('IWP12'!Std3LicenseInfo, 1, 11, 1, 1))</f>
        <v/>
      </c>
    </row>
    <row r="843" spans="1:7" s="146" customFormat="1">
      <c r="A843" s="183" t="s">
        <v>510</v>
      </c>
      <c r="B843" s="195" t="str">
        <f ca="1">IF(OFFSET('IWP12'!Std3LicenseInfo, 2, 0, 1, 1) = 0, "", OFFSET('IWP12'!Std3LicenseInfo, 2, 0, 1, 1))</f>
        <v/>
      </c>
      <c r="C843" s="195" t="str">
        <f ca="1">IF(OFFSET('IWP12'!Std3LicenseInfo, 2, 3, 1, 1) = 0, "", OFFSET('IWP12'!Std3LicenseInfo, 2, 3, 1, 1))</f>
        <v/>
      </c>
      <c r="D843" s="195" t="str">
        <f ca="1">IF(OFFSET('IWP12'!Std3LicenseInfo, 2, 6, 1, 1) = 0, "", OFFSET('IWP12'!Std3LicenseInfo, 2, 6, 1, 1))</f>
        <v/>
      </c>
      <c r="E843" s="172">
        <f ca="1">IF(OFFSET('IWP12'!Std3LicenseInfo, 2, 9, 1, 1)=DATE(1900,1,0), DATE(1900,1,1), OFFSET('IWP12'!Std3LicenseInfo, 2, 9, 1, 1))</f>
        <v>1</v>
      </c>
      <c r="F843" s="172">
        <f ca="1">IF(OFFSET('IWP12'!Std3LicenseInfo, 2, 10, 1, 1)=DATE(1900,1,0), DATE(1900,1,1), OFFSET('IWP12'!Std3LicenseInfo, 2, 10, 1, 1))</f>
        <v>1</v>
      </c>
      <c r="G843" s="194" t="str">
        <f ca="1">IF(OFFSET('IWP12'!Std3LicenseInfo, 2, 11, 1, 1) = 0, "", OFFSET('IWP12'!Std3LicenseInfo, 2, 11, 1, 1))</f>
        <v/>
      </c>
    </row>
    <row r="844" spans="1:7" s="146" customFormat="1">
      <c r="A844" s="183" t="s">
        <v>510</v>
      </c>
      <c r="B844" s="195" t="str">
        <f ca="1">IF(OFFSET('IWP12'!Std3LicenseInfo, 3, 0, 1, 1) = 0, "", OFFSET('IWP12'!Std3LicenseInfo, 3, 0, 1, 1))</f>
        <v/>
      </c>
      <c r="C844" s="195" t="str">
        <f ca="1">IF(OFFSET('IWP12'!Std3LicenseInfo, 3, 3, 1, 1) = 0, "", OFFSET('IWP12'!Std3LicenseInfo, 3, 3, 1, 1))</f>
        <v/>
      </c>
      <c r="D844" s="195" t="str">
        <f ca="1">IF(OFFSET('IWP12'!Std3LicenseInfo, 3, 6, 1, 1) = 0, "", OFFSET('IWP12'!Std3LicenseInfo, 3, 6, 1, 1))</f>
        <v/>
      </c>
      <c r="E844" s="172">
        <f ca="1">IF(OFFSET('IWP12'!Std3LicenseInfo, 3, 9, 1, 1)=DATE(1900,1,0), DATE(1900,1,1), OFFSET('IWP12'!Std3LicenseInfo, 3, 9, 1, 1))</f>
        <v>1</v>
      </c>
      <c r="F844" s="172">
        <f ca="1">IF(OFFSET('IWP12'!Std3LicenseInfo, 3, 10, 1, 1)=DATE(1900,1,0), DATE(1900,1,1), OFFSET('IWP12'!Std3LicenseInfo, 3, 10, 1, 1))</f>
        <v>1</v>
      </c>
      <c r="G844" s="194" t="str">
        <f ca="1">IF(OFFSET('IWP12'!Std3LicenseInfo, 3, 11, 1, 1) = 0, "", OFFSET('IWP12'!Std3LicenseInfo, 3, 11, 1, 1))</f>
        <v/>
      </c>
    </row>
    <row r="845" spans="1:7" s="146" customFormat="1">
      <c r="A845" s="183" t="s">
        <v>510</v>
      </c>
      <c r="B845" s="195" t="str">
        <f ca="1">IF(OFFSET('IWP12'!Std3LicenseInfo, 4, 0, 1, 1) = 0, "", OFFSET('IWP12'!Std3LicenseInfo, 4, 0, 1, 1))</f>
        <v/>
      </c>
      <c r="C845" s="195" t="str">
        <f ca="1">IF(OFFSET('IWP12'!Std3LicenseInfo, 4, 3, 1, 1) = 0, "", OFFSET('IWP12'!Std3LicenseInfo, 4, 3, 1, 1))</f>
        <v/>
      </c>
      <c r="D845" s="195" t="str">
        <f ca="1">IF(OFFSET('IWP12'!Std3LicenseInfo, 4, 6, 1, 1) = 0, "", OFFSET('IWP12'!Std3LicenseInfo, 4, 6, 1, 1))</f>
        <v/>
      </c>
      <c r="E845" s="172">
        <f ca="1">IF(OFFSET('IWP12'!Std3LicenseInfo, 4, 9, 1, 1)=DATE(1900,1,0), DATE(1900,1,1), OFFSET('IWP12'!Std3LicenseInfo, 4, 9, 1, 1))</f>
        <v>1</v>
      </c>
      <c r="F845" s="172">
        <f ca="1">IF(OFFSET('IWP12'!Std3LicenseInfo, 4, 10, 1, 1)=DATE(1900,1,0), DATE(1900,1,1), OFFSET('IWP12'!Std3LicenseInfo, 4, 10, 1, 1))</f>
        <v>1</v>
      </c>
      <c r="G845" s="194" t="str">
        <f ca="1">IF(OFFSET('IWP12'!Std3LicenseInfo, 4, 11, 1, 1) = 0, "", OFFSET('IWP12'!Std3LicenseInfo, 4, 11, 1, 1))</f>
        <v/>
      </c>
    </row>
    <row r="846" spans="1:7" s="146" customFormat="1">
      <c r="A846" s="183" t="s">
        <v>510</v>
      </c>
      <c r="B846" s="195" t="str">
        <f ca="1">IF(OFFSET('IWP12'!Std3LicenseInfo, 5, 0, 1, 1) = 0, "", OFFSET('IWP12'!Std3LicenseInfo, 5, 0, 1, 1))</f>
        <v/>
      </c>
      <c r="C846" s="195" t="str">
        <f ca="1">IF(OFFSET('IWP12'!Std3LicenseInfo, 5, 3, 1, 1) = 0, "", OFFSET('IWP12'!Std3LicenseInfo, 5, 3, 1, 1))</f>
        <v/>
      </c>
      <c r="D846" s="195" t="str">
        <f ca="1">IF(OFFSET('IWP12'!Std3LicenseInfo, 5, 6, 1, 1) = 0, "", OFFSET('IWP12'!Std3LicenseInfo, 5, 6, 1, 1))</f>
        <v/>
      </c>
      <c r="E846" s="172">
        <f ca="1">IF(OFFSET('IWP12'!Std3LicenseInfo, 5, 9, 1, 1)=DATE(1900,1,0), DATE(1900,1,1), OFFSET('IWP12'!Std3LicenseInfo, 5, 9, 1, 1))</f>
        <v>1</v>
      </c>
      <c r="F846" s="172">
        <f ca="1">IF(OFFSET('IWP12'!Std3LicenseInfo, 5, 10, 1, 1)=DATE(1900,1,0), DATE(1900,1,1), OFFSET('IWP12'!Std3LicenseInfo, 5, 10, 1, 1))</f>
        <v>1</v>
      </c>
      <c r="G846" s="194" t="str">
        <f ca="1">IF(OFFSET('IWP12'!Std3LicenseInfo, 5, 11, 1, 1) = 0, "", OFFSET('IWP12'!Std3LicenseInfo, 5, 11, 1, 1))</f>
        <v/>
      </c>
    </row>
    <row r="847" spans="1:7" s="146" customFormat="1">
      <c r="A847" s="183" t="s">
        <v>510</v>
      </c>
      <c r="B847" s="195" t="str">
        <f ca="1">IF(OFFSET('IWP12'!Std3LicenseInfo, 6, 0, 1, 1) = 0, "", OFFSET('IWP12'!Std3LicenseInfo, 6, 0, 1, 1))</f>
        <v/>
      </c>
      <c r="C847" s="195" t="str">
        <f ca="1">IF(OFFSET('IWP12'!Std3LicenseInfo, 6, 3, 1, 1) = 0, "", OFFSET('IWP12'!Std3LicenseInfo, 6, 3, 1, 1))</f>
        <v/>
      </c>
      <c r="D847" s="195" t="str">
        <f ca="1">IF(OFFSET('IWP12'!Std3LicenseInfo, 6, 6, 1, 1) = 0, "", OFFSET('IWP12'!Std3LicenseInfo, 6, 6, 1, 1))</f>
        <v/>
      </c>
      <c r="E847" s="172">
        <f ca="1">IF(OFFSET('IWP12'!Std3LicenseInfo, 6, 9, 1, 1)=DATE(1900,1,0), DATE(1900,1,1), OFFSET('IWP12'!Std3LicenseInfo, 6, 9, 1, 1))</f>
        <v>1</v>
      </c>
      <c r="F847" s="172">
        <f ca="1">IF(OFFSET('IWP12'!Std3LicenseInfo, 6, 10, 1, 1)=DATE(1900,1,0), DATE(1900,1,1), OFFSET('IWP12'!Std3LicenseInfo, 6, 10, 1, 1))</f>
        <v>1</v>
      </c>
      <c r="G847" s="194" t="str">
        <f ca="1">IF(OFFSET('IWP12'!Std3LicenseInfo, 6, 11, 1, 1) = 0, "", OFFSET('IWP12'!Std3LicenseInfo, 6, 11, 1, 1))</f>
        <v/>
      </c>
    </row>
    <row r="848" spans="1:7" s="146" customFormat="1">
      <c r="A848" s="183" t="s">
        <v>510</v>
      </c>
      <c r="B848" s="195" t="str">
        <f ca="1">IF(OFFSET('IWP12'!Std3LicenseInfo, 7, 0, 1, 1) = 0, "", OFFSET('IWP12'!Std3LicenseInfo, 7, 0, 1, 1))</f>
        <v/>
      </c>
      <c r="C848" s="195" t="str">
        <f ca="1">IF(OFFSET('IWP12'!Std3LicenseInfo, 7, 3, 1, 1) = 0, "", OFFSET('IWP12'!Std3LicenseInfo, 7, 3, 1, 1))</f>
        <v/>
      </c>
      <c r="D848" s="195" t="str">
        <f ca="1">IF(OFFSET('IWP12'!Std3LicenseInfo, 7, 6, 1, 1) = 0, "", OFFSET('IWP12'!Std3LicenseInfo, 7, 6, 1, 1))</f>
        <v/>
      </c>
      <c r="E848" s="172">
        <f ca="1">IF(OFFSET('IWP12'!Std3LicenseInfo, 7, 9, 1, 1)=DATE(1900,1,0), DATE(1900,1,1), OFFSET('IWP12'!Std3LicenseInfo, 7, 9, 1, 1))</f>
        <v>1</v>
      </c>
      <c r="F848" s="172">
        <f ca="1">IF(OFFSET('IWP12'!Std3LicenseInfo, 7, 10, 1, 1)=DATE(1900,1,0), DATE(1900,1,1), OFFSET('IWP12'!Std3LicenseInfo, 7, 10, 1, 1))</f>
        <v>1</v>
      </c>
      <c r="G848" s="194" t="str">
        <f ca="1">IF(OFFSET('IWP12'!Std3LicenseInfo, 7, 11, 1, 1) = 0, "", OFFSET('IWP12'!Std3LicenseInfo, 7, 11, 1, 1))</f>
        <v/>
      </c>
    </row>
    <row r="849" spans="1:7" s="146" customFormat="1">
      <c r="A849" s="183" t="s">
        <v>510</v>
      </c>
      <c r="B849" s="195" t="str">
        <f ca="1">IF(OFFSET('IWP12'!Std3LicenseInfo, 8, 0, 1, 1) = 0, "", OFFSET('IWP12'!Std3LicenseInfo, 8, 0, 1, 1))</f>
        <v/>
      </c>
      <c r="C849" s="195" t="str">
        <f ca="1">IF(OFFSET('IWP12'!Std3LicenseInfo, 8, 3, 1, 1) = 0, "", OFFSET('IWP12'!Std3LicenseInfo, 8, 3, 1, 1))</f>
        <v/>
      </c>
      <c r="D849" s="195" t="str">
        <f ca="1">IF(OFFSET('IWP12'!Std3LicenseInfo, 8, 6, 1, 1) = 0, "", OFFSET('IWP12'!Std3LicenseInfo, 8, 6, 1, 1))</f>
        <v/>
      </c>
      <c r="E849" s="172">
        <f ca="1">IF(OFFSET('IWP12'!Std3LicenseInfo, 8, 9, 1, 1)=DATE(1900,1,0), DATE(1900,1,1), OFFSET('IWP12'!Std3LicenseInfo, 8, 9, 1, 1))</f>
        <v>1</v>
      </c>
      <c r="F849" s="172">
        <f ca="1">IF(OFFSET('IWP12'!Std3LicenseInfo, 8, 10, 1, 1)=DATE(1900,1,0), DATE(1900,1,1), OFFSET('IWP12'!Std3LicenseInfo, 8, 10, 1, 1))</f>
        <v>1</v>
      </c>
      <c r="G849" s="194" t="str">
        <f ca="1">IF(OFFSET('IWP12'!Std3LicenseInfo, 8, 11, 1, 1) = 0, "", OFFSET('IWP12'!Std3LicenseInfo, 8, 11, 1, 1))</f>
        <v/>
      </c>
    </row>
    <row r="850" spans="1:7" s="146" customFormat="1">
      <c r="A850" s="183" t="s">
        <v>510</v>
      </c>
      <c r="B850" s="195" t="str">
        <f ca="1">IF(OFFSET('IWP12'!Std3LicenseInfo, 9, 0, 1, 1) = 0, "", OFFSET('IWP12'!Std3LicenseInfo, 9, 0, 1, 1))</f>
        <v/>
      </c>
      <c r="C850" s="195" t="str">
        <f ca="1">IF(OFFSET('IWP12'!Std3LicenseInfo, 9, 3, 1, 1) = 0, "", OFFSET('IWP12'!Std3LicenseInfo, 9, 3, 1, 1))</f>
        <v/>
      </c>
      <c r="D850" s="195" t="str">
        <f ca="1">IF(OFFSET('IWP12'!Std3LicenseInfo, 9, 6, 1, 1) = 0, "", OFFSET('IWP12'!Std3LicenseInfo, 9, 6, 1, 1))</f>
        <v/>
      </c>
      <c r="E850" s="172">
        <f ca="1">IF(OFFSET('IWP12'!Std3LicenseInfo, 9, 9, 1, 1)=DATE(1900,1,0), DATE(1900,1,1), OFFSET('IWP12'!Std3LicenseInfo, 9, 9, 1, 1))</f>
        <v>1</v>
      </c>
      <c r="F850" s="172">
        <f ca="1">IF(OFFSET('IWP12'!Std3LicenseInfo, 9, 10, 1, 1)=DATE(1900,1,0), DATE(1900,1,1), OFFSET('IWP12'!Std3LicenseInfo, 9, 10, 1, 1))</f>
        <v>1</v>
      </c>
      <c r="G850" s="194" t="str">
        <f ca="1">IF(OFFSET('IWP12'!Std3LicenseInfo, 9, 11, 1, 1) = 0, "", OFFSET('IWP12'!Std3LicenseInfo, 9, 11, 1, 1))</f>
        <v/>
      </c>
    </row>
    <row r="851" spans="1:7" s="146" customFormat="1">
      <c r="A851" s="183" t="s">
        <v>510</v>
      </c>
      <c r="B851" s="195" t="str">
        <f ca="1">IF(OFFSET('IWP12'!Std3LicenseInfo, 10, 0, 1, 1) = 0, "", OFFSET('IWP12'!Std3LicenseInfo, 10, 0, 1, 1))</f>
        <v/>
      </c>
      <c r="C851" s="195" t="str">
        <f ca="1">IF(OFFSET('IWP12'!Std3LicenseInfo, 10, 3, 1, 1) = 0, "", OFFSET('IWP12'!Std3LicenseInfo, 10, 3, 1, 1))</f>
        <v/>
      </c>
      <c r="D851" s="195" t="str">
        <f ca="1">IF(OFFSET('IWP12'!Std3LicenseInfo, 10, 6, 1, 1) = 0, "", OFFSET('IWP12'!Std3LicenseInfo, 10, 6, 1, 1))</f>
        <v/>
      </c>
      <c r="E851" s="172">
        <f ca="1">IF(OFFSET('IWP12'!Std3LicenseInfo, 10, 9, 1, 1)=DATE(1900,1,0), DATE(1900,1,1), OFFSET('IWP12'!Std3LicenseInfo, 10, 9, 1, 1))</f>
        <v>1</v>
      </c>
      <c r="F851" s="172">
        <f ca="1">IF(OFFSET('IWP12'!Std3LicenseInfo, 10, 10, 1, 1)=DATE(1900,1,0), DATE(1900,1,1), OFFSET('IWP12'!Std3LicenseInfo, 10, 10, 1, 1))</f>
        <v>1</v>
      </c>
      <c r="G851" s="194" t="str">
        <f ca="1">IF(OFFSET('IWP12'!Std3LicenseInfo, 10, 11, 1, 1) = 0, "", OFFSET('IWP12'!Std3LicenseInfo, 10, 11, 1, 1))</f>
        <v/>
      </c>
    </row>
    <row r="852" spans="1:7" s="146" customFormat="1">
      <c r="A852" s="183" t="s">
        <v>510</v>
      </c>
      <c r="B852" s="195" t="str">
        <f ca="1">IF(OFFSET('IWP12'!Std3LicenseInfo, 11, 0, 1, 1) = 0, "", OFFSET('IWP12'!Std3LicenseInfo, 11, 0, 1, 1))</f>
        <v/>
      </c>
      <c r="C852" s="195" t="str">
        <f ca="1">IF(OFFSET('IWP12'!Std3LicenseInfo, 11, 3, 1, 1) = 0, "", OFFSET('IWP12'!Std3LicenseInfo, 11, 3, 1, 1))</f>
        <v/>
      </c>
      <c r="D852" s="195" t="str">
        <f ca="1">IF(OFFSET('IWP12'!Std3LicenseInfo, 11, 6, 1, 1) = 0, "", OFFSET('IWP12'!Std3LicenseInfo, 11, 6, 1, 1))</f>
        <v/>
      </c>
      <c r="E852" s="172">
        <f ca="1">IF(OFFSET('IWP12'!Std3LicenseInfo, 11, 9, 1, 1)=DATE(1900,1,0), DATE(1900,1,1), OFFSET('IWP12'!Std3LicenseInfo, 11, 9, 1, 1))</f>
        <v>1</v>
      </c>
      <c r="F852" s="172">
        <f ca="1">IF(OFFSET('IWP12'!Std3LicenseInfo, 11, 10, 1, 1)=DATE(1900,1,0), DATE(1900,1,1), OFFSET('IWP12'!Std3LicenseInfo, 11, 10, 1, 1))</f>
        <v>1</v>
      </c>
      <c r="G852" s="194" t="str">
        <f ca="1">IF(OFFSET('IWP12'!Std3LicenseInfo, 11, 11, 1, 1) = 0, "", OFFSET('IWP12'!Std3LicenseInfo, 11, 11, 1, 1))</f>
        <v/>
      </c>
    </row>
    <row r="853" spans="1:7" s="146" customFormat="1">
      <c r="A853" s="183" t="s">
        <v>510</v>
      </c>
      <c r="B853" s="195" t="str">
        <f ca="1">IF(OFFSET('IWP12'!Std3LicenseInfo, 12, 0, 1, 1) = 0, "", OFFSET('IWP12'!Std3LicenseInfo, 12, 0, 1, 1))</f>
        <v/>
      </c>
      <c r="C853" s="195" t="str">
        <f ca="1">IF(OFFSET('IWP12'!Std3LicenseInfo, 12, 3, 1, 1) = 0, "", OFFSET('IWP12'!Std3LicenseInfo, 12, 3, 1, 1))</f>
        <v/>
      </c>
      <c r="D853" s="195" t="str">
        <f ca="1">IF(OFFSET('IWP12'!Std3LicenseInfo, 12, 6, 1, 1) = 0, "", OFFSET('IWP12'!Std3LicenseInfo, 12, 6, 1, 1))</f>
        <v/>
      </c>
      <c r="E853" s="172">
        <f ca="1">IF(OFFSET('IWP12'!Std3LicenseInfo, 12, 9, 1, 1)=DATE(1900,1,0), DATE(1900,1,1), OFFSET('IWP12'!Std3LicenseInfo, 12, 9, 1, 1))</f>
        <v>1</v>
      </c>
      <c r="F853" s="172">
        <f ca="1">IF(OFFSET('IWP12'!Std3LicenseInfo, 12, 10, 1, 1)=DATE(1900,1,0), DATE(1900,1,1), OFFSET('IWP12'!Std3LicenseInfo, 12, 10, 1, 1))</f>
        <v>1</v>
      </c>
      <c r="G853" s="194" t="str">
        <f ca="1">IF(OFFSET('IWP12'!Std3LicenseInfo, 12, 11, 1, 1) = 0, "", OFFSET('IWP12'!Std3LicenseInfo, 12, 11, 1, 1))</f>
        <v/>
      </c>
    </row>
    <row r="854" spans="1:7" s="146" customFormat="1">
      <c r="A854" s="183" t="s">
        <v>510</v>
      </c>
      <c r="B854" s="195" t="str">
        <f ca="1">IF(OFFSET('IWP12'!Std3LicenseInfo, 13, 0, 1, 1) = 0, "", OFFSET('IWP12'!Std3LicenseInfo, 13, 0, 1, 1))</f>
        <v/>
      </c>
      <c r="C854" s="195" t="str">
        <f ca="1">IF(OFFSET('IWP12'!Std3LicenseInfo, 13, 3, 1, 1) = 0, "", OFFSET('IWP12'!Std3LicenseInfo, 13, 3, 1, 1))</f>
        <v/>
      </c>
      <c r="D854" s="195" t="str">
        <f ca="1">IF(OFFSET('IWP12'!Std3LicenseInfo, 13, 6, 1, 1) = 0, "", OFFSET('IWP12'!Std3LicenseInfo, 13, 6, 1, 1))</f>
        <v/>
      </c>
      <c r="E854" s="172">
        <f ca="1">IF(OFFSET('IWP12'!Std3LicenseInfo, 13, 9, 1, 1)=DATE(1900,1,0), DATE(1900,1,1), OFFSET('IWP12'!Std3LicenseInfo, 13, 9, 1, 1))</f>
        <v>1</v>
      </c>
      <c r="F854" s="172">
        <f ca="1">IF(OFFSET('IWP12'!Std3LicenseInfo, 13, 10, 1, 1)=DATE(1900,1,0), DATE(1900,1,1), OFFSET('IWP12'!Std3LicenseInfo, 13, 10, 1, 1))</f>
        <v>1</v>
      </c>
      <c r="G854" s="194" t="str">
        <f ca="1">IF(OFFSET('IWP12'!Std3LicenseInfo, 13, 11, 1, 1) = 0, "", OFFSET('IWP12'!Std3LicenseInfo, 13, 11, 1, 1))</f>
        <v/>
      </c>
    </row>
    <row r="855" spans="1:7" s="146" customFormat="1">
      <c r="A855" s="183" t="s">
        <v>511</v>
      </c>
      <c r="B855" s="195" t="str">
        <f ca="1">IF(OFFSET('IWP13'!Std3LicenseInfo, 0, 0, 1, 1) = 0, "", OFFSET('IWP13'!Std3LicenseInfo, 0, 0, 1, 1))</f>
        <v/>
      </c>
      <c r="C855" s="195" t="str">
        <f ca="1">IF(OFFSET('IWP13'!Std3LicenseInfo, 0, 3, 1, 1) = 0, "", OFFSET('IWP13'!Std3LicenseInfo, 0, 3, 1, 1))</f>
        <v/>
      </c>
      <c r="D855" s="195" t="str">
        <f ca="1">IF(OFFSET('IWP13'!Std3LicenseInfo, 0, 6, 1, 1) = 0, "", OFFSET('IWP13'!Std3LicenseInfo, 0, 6, 1, 1))</f>
        <v/>
      </c>
      <c r="E855" s="172">
        <f ca="1">IF(OFFSET('IWP13'!Std3LicenseInfo, 0, 9, 1, 1)=DATE(1900,1,0), DATE(1900,1,1), OFFSET('IWP13'!Std3LicenseInfo, 0, 9, 1, 1))</f>
        <v>1</v>
      </c>
      <c r="F855" s="172">
        <f ca="1">IF(OFFSET('IWP13'!Std3LicenseInfo, 0, 10, 1, 1)=DATE(1900,1,0), DATE(1900,1,1), OFFSET('IWP13'!Std3LicenseInfo, 0, 10, 1, 1))</f>
        <v>1</v>
      </c>
      <c r="G855" s="194" t="str">
        <f ca="1">IF(OFFSET('IWP13'!Std3LicenseInfo, 0, 11, 1, 1) = 0, "", OFFSET('IWP13'!Std3LicenseInfo, 0, 11, 1, 1))</f>
        <v/>
      </c>
    </row>
    <row r="856" spans="1:7" s="146" customFormat="1">
      <c r="A856" s="183" t="s">
        <v>511</v>
      </c>
      <c r="B856" s="195" t="str">
        <f ca="1">IF(OFFSET('IWP13'!Std3LicenseInfo, 1, 0, 1, 1) = 0, "", OFFSET('IWP13'!Std3LicenseInfo, 1, 0, 1, 1))</f>
        <v/>
      </c>
      <c r="C856" s="195" t="str">
        <f ca="1">IF(OFFSET('IWP13'!Std3LicenseInfo, 1, 3, 1, 1) = 0, "", OFFSET('IWP13'!Std3LicenseInfo, 1, 3, 1, 1))</f>
        <v/>
      </c>
      <c r="D856" s="195" t="str">
        <f ca="1">IF(OFFSET('IWP13'!Std3LicenseInfo, 1, 6, 1, 1) = 0, "", OFFSET('IWP13'!Std3LicenseInfo, 1, 6, 1, 1))</f>
        <v/>
      </c>
      <c r="E856" s="172">
        <f ca="1">IF(OFFSET('IWP13'!Std3LicenseInfo, 1, 9, 1, 1)=DATE(1900,1,0), DATE(1900,1,1), OFFSET('IWP13'!Std3LicenseInfo, 1, 9, 1, 1))</f>
        <v>1</v>
      </c>
      <c r="F856" s="172">
        <f ca="1">IF(OFFSET('IWP13'!Std3LicenseInfo, 1, 10, 1, 1)=DATE(1900,1,0), DATE(1900,1,1), OFFSET('IWP13'!Std3LicenseInfo, 1, 10, 1, 1))</f>
        <v>1</v>
      </c>
      <c r="G856" s="194" t="str">
        <f ca="1">IF(OFFSET('IWP13'!Std3LicenseInfo, 1, 11, 1, 1) = 0, "", OFFSET('IWP13'!Std3LicenseInfo, 1, 11, 1, 1))</f>
        <v/>
      </c>
    </row>
    <row r="857" spans="1:7" s="146" customFormat="1">
      <c r="A857" s="183" t="s">
        <v>511</v>
      </c>
      <c r="B857" s="195" t="str">
        <f ca="1">IF(OFFSET('IWP13'!Std3LicenseInfo, 2, 0, 1, 1) = 0, "", OFFSET('IWP13'!Std3LicenseInfo, 2, 0, 1, 1))</f>
        <v/>
      </c>
      <c r="C857" s="195" t="str">
        <f ca="1">IF(OFFSET('IWP13'!Std3LicenseInfo, 2, 3, 1, 1) = 0, "", OFFSET('IWP13'!Std3LicenseInfo, 2, 3, 1, 1))</f>
        <v/>
      </c>
      <c r="D857" s="195" t="str">
        <f ca="1">IF(OFFSET('IWP13'!Std3LicenseInfo, 2, 6, 1, 1) = 0, "", OFFSET('IWP13'!Std3LicenseInfo, 2, 6, 1, 1))</f>
        <v/>
      </c>
      <c r="E857" s="172">
        <f ca="1">IF(OFFSET('IWP13'!Std3LicenseInfo, 2, 9, 1, 1)=DATE(1900,1,0), DATE(1900,1,1), OFFSET('IWP13'!Std3LicenseInfo, 2, 9, 1, 1))</f>
        <v>1</v>
      </c>
      <c r="F857" s="172">
        <f ca="1">IF(OFFSET('IWP13'!Std3LicenseInfo, 2, 10, 1, 1)=DATE(1900,1,0), DATE(1900,1,1), OFFSET('IWP13'!Std3LicenseInfo, 2, 10, 1, 1))</f>
        <v>1</v>
      </c>
      <c r="G857" s="194" t="str">
        <f ca="1">IF(OFFSET('IWP13'!Std3LicenseInfo, 2, 11, 1, 1) = 0, "", OFFSET('IWP13'!Std3LicenseInfo, 2, 11, 1, 1))</f>
        <v/>
      </c>
    </row>
    <row r="858" spans="1:7" s="146" customFormat="1">
      <c r="A858" s="183" t="s">
        <v>511</v>
      </c>
      <c r="B858" s="195" t="str">
        <f ca="1">IF(OFFSET('IWP13'!Std3LicenseInfo, 3, 0, 1, 1) = 0, "", OFFSET('IWP13'!Std3LicenseInfo, 3, 0, 1, 1))</f>
        <v/>
      </c>
      <c r="C858" s="195" t="str">
        <f ca="1">IF(OFFSET('IWP13'!Std3LicenseInfo, 3, 3, 1, 1) = 0, "", OFFSET('IWP13'!Std3LicenseInfo, 3, 3, 1, 1))</f>
        <v/>
      </c>
      <c r="D858" s="195" t="str">
        <f ca="1">IF(OFFSET('IWP13'!Std3LicenseInfo, 3, 6, 1, 1) = 0, "", OFFSET('IWP13'!Std3LicenseInfo, 3, 6, 1, 1))</f>
        <v/>
      </c>
      <c r="E858" s="172">
        <f ca="1">IF(OFFSET('IWP13'!Std3LicenseInfo, 3, 9, 1, 1)=DATE(1900,1,0), DATE(1900,1,1), OFFSET('IWP13'!Std3LicenseInfo, 3, 9, 1, 1))</f>
        <v>1</v>
      </c>
      <c r="F858" s="172">
        <f ca="1">IF(OFFSET('IWP13'!Std3LicenseInfo, 3, 10, 1, 1)=DATE(1900,1,0), DATE(1900,1,1), OFFSET('IWP13'!Std3LicenseInfo, 3, 10, 1, 1))</f>
        <v>1</v>
      </c>
      <c r="G858" s="194" t="str">
        <f ca="1">IF(OFFSET('IWP13'!Std3LicenseInfo, 3, 11, 1, 1) = 0, "", OFFSET('IWP13'!Std3LicenseInfo, 3, 11, 1, 1))</f>
        <v/>
      </c>
    </row>
    <row r="859" spans="1:7" s="146" customFormat="1">
      <c r="A859" s="183" t="s">
        <v>511</v>
      </c>
      <c r="B859" s="195" t="str">
        <f ca="1">IF(OFFSET('IWP13'!Std3LicenseInfo, 4, 0, 1, 1) = 0, "", OFFSET('IWP13'!Std3LicenseInfo, 4, 0, 1, 1))</f>
        <v/>
      </c>
      <c r="C859" s="195" t="str">
        <f ca="1">IF(OFFSET('IWP13'!Std3LicenseInfo, 4, 3, 1, 1) = 0, "", OFFSET('IWP13'!Std3LicenseInfo, 4, 3, 1, 1))</f>
        <v/>
      </c>
      <c r="D859" s="195" t="str">
        <f ca="1">IF(OFFSET('IWP13'!Std3LicenseInfo, 4, 6, 1, 1) = 0, "", OFFSET('IWP13'!Std3LicenseInfo, 4, 6, 1, 1))</f>
        <v/>
      </c>
      <c r="E859" s="172">
        <f ca="1">IF(OFFSET('IWP13'!Std3LicenseInfo, 4, 9, 1, 1)=DATE(1900,1,0), DATE(1900,1,1), OFFSET('IWP13'!Std3LicenseInfo, 4, 9, 1, 1))</f>
        <v>1</v>
      </c>
      <c r="F859" s="172">
        <f ca="1">IF(OFFSET('IWP13'!Std3LicenseInfo, 4, 10, 1, 1)=DATE(1900,1,0), DATE(1900,1,1), OFFSET('IWP13'!Std3LicenseInfo, 4, 10, 1, 1))</f>
        <v>1</v>
      </c>
      <c r="G859" s="194" t="str">
        <f ca="1">IF(OFFSET('IWP13'!Std3LicenseInfo, 4, 11, 1, 1) = 0, "", OFFSET('IWP13'!Std3LicenseInfo, 4, 11, 1, 1))</f>
        <v/>
      </c>
    </row>
    <row r="860" spans="1:7" s="146" customFormat="1">
      <c r="A860" s="183" t="s">
        <v>511</v>
      </c>
      <c r="B860" s="195" t="str">
        <f ca="1">IF(OFFSET('IWP13'!Std3LicenseInfo, 5, 0, 1, 1) = 0, "", OFFSET('IWP13'!Std3LicenseInfo, 5, 0, 1, 1))</f>
        <v/>
      </c>
      <c r="C860" s="195" t="str">
        <f ca="1">IF(OFFSET('IWP13'!Std3LicenseInfo, 5, 3, 1, 1) = 0, "", OFFSET('IWP13'!Std3LicenseInfo, 5, 3, 1, 1))</f>
        <v/>
      </c>
      <c r="D860" s="195" t="str">
        <f ca="1">IF(OFFSET('IWP13'!Std3LicenseInfo, 5, 6, 1, 1) = 0, "", OFFSET('IWP13'!Std3LicenseInfo, 5, 6, 1, 1))</f>
        <v/>
      </c>
      <c r="E860" s="172">
        <f ca="1">IF(OFFSET('IWP13'!Std3LicenseInfo, 5, 9, 1, 1)=DATE(1900,1,0), DATE(1900,1,1), OFFSET('IWP13'!Std3LicenseInfo, 5, 9, 1, 1))</f>
        <v>1</v>
      </c>
      <c r="F860" s="172">
        <f ca="1">IF(OFFSET('IWP13'!Std3LicenseInfo, 5, 10, 1, 1)=DATE(1900,1,0), DATE(1900,1,1), OFFSET('IWP13'!Std3LicenseInfo, 5, 10, 1, 1))</f>
        <v>1</v>
      </c>
      <c r="G860" s="194" t="str">
        <f ca="1">IF(OFFSET('IWP13'!Std3LicenseInfo, 5, 11, 1, 1) = 0, "", OFFSET('IWP13'!Std3LicenseInfo, 5, 11, 1, 1))</f>
        <v/>
      </c>
    </row>
    <row r="861" spans="1:7" s="146" customFormat="1">
      <c r="A861" s="183" t="s">
        <v>511</v>
      </c>
      <c r="B861" s="195" t="str">
        <f ca="1">IF(OFFSET('IWP13'!Std3LicenseInfo, 6, 0, 1, 1) = 0, "", OFFSET('IWP13'!Std3LicenseInfo, 6, 0, 1, 1))</f>
        <v/>
      </c>
      <c r="C861" s="195" t="str">
        <f ca="1">IF(OFFSET('IWP13'!Std3LicenseInfo, 6, 3, 1, 1) = 0, "", OFFSET('IWP13'!Std3LicenseInfo, 6, 3, 1, 1))</f>
        <v/>
      </c>
      <c r="D861" s="195" t="str">
        <f ca="1">IF(OFFSET('IWP13'!Std3LicenseInfo, 6, 6, 1, 1) = 0, "", OFFSET('IWP13'!Std3LicenseInfo, 6, 6, 1, 1))</f>
        <v/>
      </c>
      <c r="E861" s="172">
        <f ca="1">IF(OFFSET('IWP13'!Std3LicenseInfo, 6, 9, 1, 1)=DATE(1900,1,0), DATE(1900,1,1), OFFSET('IWP13'!Std3LicenseInfo, 6, 9, 1, 1))</f>
        <v>1</v>
      </c>
      <c r="F861" s="172">
        <f ca="1">IF(OFFSET('IWP13'!Std3LicenseInfo, 6, 10, 1, 1)=DATE(1900,1,0), DATE(1900,1,1), OFFSET('IWP13'!Std3LicenseInfo, 6, 10, 1, 1))</f>
        <v>1</v>
      </c>
      <c r="G861" s="194" t="str">
        <f ca="1">IF(OFFSET('IWP13'!Std3LicenseInfo, 6, 11, 1, 1) = 0, "", OFFSET('IWP13'!Std3LicenseInfo, 6, 11, 1, 1))</f>
        <v/>
      </c>
    </row>
    <row r="862" spans="1:7" s="146" customFormat="1">
      <c r="A862" s="183" t="s">
        <v>511</v>
      </c>
      <c r="B862" s="195" t="str">
        <f ca="1">IF(OFFSET('IWP13'!Std3LicenseInfo, 7, 0, 1, 1) = 0, "", OFFSET('IWP13'!Std3LicenseInfo, 7, 0, 1, 1))</f>
        <v/>
      </c>
      <c r="C862" s="195" t="str">
        <f ca="1">IF(OFFSET('IWP13'!Std3LicenseInfo, 7, 3, 1, 1) = 0, "", OFFSET('IWP13'!Std3LicenseInfo, 7, 3, 1, 1))</f>
        <v/>
      </c>
      <c r="D862" s="195" t="str">
        <f ca="1">IF(OFFSET('IWP13'!Std3LicenseInfo, 7, 6, 1, 1) = 0, "", OFFSET('IWP13'!Std3LicenseInfo, 7, 6, 1, 1))</f>
        <v/>
      </c>
      <c r="E862" s="172">
        <f ca="1">IF(OFFSET('IWP13'!Std3LicenseInfo, 7, 9, 1, 1)=DATE(1900,1,0), DATE(1900,1,1), OFFSET('IWP13'!Std3LicenseInfo, 7, 9, 1, 1))</f>
        <v>1</v>
      </c>
      <c r="F862" s="172">
        <f ca="1">IF(OFFSET('IWP13'!Std3LicenseInfo, 7, 10, 1, 1)=DATE(1900,1,0), DATE(1900,1,1), OFFSET('IWP13'!Std3LicenseInfo, 7, 10, 1, 1))</f>
        <v>1</v>
      </c>
      <c r="G862" s="194" t="str">
        <f ca="1">IF(OFFSET('IWP13'!Std3LicenseInfo, 7, 11, 1, 1) = 0, "", OFFSET('IWP13'!Std3LicenseInfo, 7, 11, 1, 1))</f>
        <v/>
      </c>
    </row>
    <row r="863" spans="1:7" s="146" customFormat="1">
      <c r="A863" s="183" t="s">
        <v>511</v>
      </c>
      <c r="B863" s="195" t="str">
        <f ca="1">IF(OFFSET('IWP13'!Std3LicenseInfo, 8, 0, 1, 1) = 0, "", OFFSET('IWP13'!Std3LicenseInfo, 8, 0, 1, 1))</f>
        <v/>
      </c>
      <c r="C863" s="195" t="str">
        <f ca="1">IF(OFFSET('IWP13'!Std3LicenseInfo, 8, 3, 1, 1) = 0, "", OFFSET('IWP13'!Std3LicenseInfo, 8, 3, 1, 1))</f>
        <v/>
      </c>
      <c r="D863" s="195" t="str">
        <f ca="1">IF(OFFSET('IWP13'!Std3LicenseInfo, 8, 6, 1, 1) = 0, "", OFFSET('IWP13'!Std3LicenseInfo, 8, 6, 1, 1))</f>
        <v/>
      </c>
      <c r="E863" s="172">
        <f ca="1">IF(OFFSET('IWP13'!Std3LicenseInfo, 8, 9, 1, 1)=DATE(1900,1,0), DATE(1900,1,1), OFFSET('IWP13'!Std3LicenseInfo, 8, 9, 1, 1))</f>
        <v>1</v>
      </c>
      <c r="F863" s="172">
        <f ca="1">IF(OFFSET('IWP13'!Std3LicenseInfo, 8, 10, 1, 1)=DATE(1900,1,0), DATE(1900,1,1), OFFSET('IWP13'!Std3LicenseInfo, 8, 10, 1, 1))</f>
        <v>1</v>
      </c>
      <c r="G863" s="194" t="str">
        <f ca="1">IF(OFFSET('IWP13'!Std3LicenseInfo, 8, 11, 1, 1) = 0, "", OFFSET('IWP13'!Std3LicenseInfo, 8, 11, 1, 1))</f>
        <v/>
      </c>
    </row>
    <row r="864" spans="1:7" s="146" customFormat="1">
      <c r="A864" s="183" t="s">
        <v>511</v>
      </c>
      <c r="B864" s="195" t="str">
        <f ca="1">IF(OFFSET('IWP13'!Std3LicenseInfo, 9, 0, 1, 1) = 0, "", OFFSET('IWP13'!Std3LicenseInfo, 9, 0, 1, 1))</f>
        <v/>
      </c>
      <c r="C864" s="195" t="str">
        <f ca="1">IF(OFFSET('IWP13'!Std3LicenseInfo, 9, 3, 1, 1) = 0, "", OFFSET('IWP13'!Std3LicenseInfo, 9, 3, 1, 1))</f>
        <v/>
      </c>
      <c r="D864" s="195" t="str">
        <f ca="1">IF(OFFSET('IWP13'!Std3LicenseInfo, 9, 6, 1, 1) = 0, "", OFFSET('IWP13'!Std3LicenseInfo, 9, 6, 1, 1))</f>
        <v/>
      </c>
      <c r="E864" s="172">
        <f ca="1">IF(OFFSET('IWP13'!Std3LicenseInfo, 9, 9, 1, 1)=DATE(1900,1,0), DATE(1900,1,1), OFFSET('IWP13'!Std3LicenseInfo, 9, 9, 1, 1))</f>
        <v>1</v>
      </c>
      <c r="F864" s="172">
        <f ca="1">IF(OFFSET('IWP13'!Std3LicenseInfo, 9, 10, 1, 1)=DATE(1900,1,0), DATE(1900,1,1), OFFSET('IWP13'!Std3LicenseInfo, 9, 10, 1, 1))</f>
        <v>1</v>
      </c>
      <c r="G864" s="194" t="str">
        <f ca="1">IF(OFFSET('IWP13'!Std3LicenseInfo, 9, 11, 1, 1) = 0, "", OFFSET('IWP13'!Std3LicenseInfo, 9, 11, 1, 1))</f>
        <v/>
      </c>
    </row>
    <row r="865" spans="1:7" s="146" customFormat="1">
      <c r="A865" s="183" t="s">
        <v>511</v>
      </c>
      <c r="B865" s="195" t="str">
        <f ca="1">IF(OFFSET('IWP13'!Std3LicenseInfo, 10, 0, 1, 1) = 0, "", OFFSET('IWP13'!Std3LicenseInfo, 10, 0, 1, 1))</f>
        <v/>
      </c>
      <c r="C865" s="195" t="str">
        <f ca="1">IF(OFFSET('IWP13'!Std3LicenseInfo, 10, 3, 1, 1) = 0, "", OFFSET('IWP13'!Std3LicenseInfo, 10, 3, 1, 1))</f>
        <v/>
      </c>
      <c r="D865" s="195" t="str">
        <f ca="1">IF(OFFSET('IWP13'!Std3LicenseInfo, 10, 6, 1, 1) = 0, "", OFFSET('IWP13'!Std3LicenseInfo, 10, 6, 1, 1))</f>
        <v/>
      </c>
      <c r="E865" s="172">
        <f ca="1">IF(OFFSET('IWP13'!Std3LicenseInfo, 10, 9, 1, 1)=DATE(1900,1,0), DATE(1900,1,1), OFFSET('IWP13'!Std3LicenseInfo, 10, 9, 1, 1))</f>
        <v>1</v>
      </c>
      <c r="F865" s="172">
        <f ca="1">IF(OFFSET('IWP13'!Std3LicenseInfo, 10, 10, 1, 1)=DATE(1900,1,0), DATE(1900,1,1), OFFSET('IWP13'!Std3LicenseInfo, 10, 10, 1, 1))</f>
        <v>1</v>
      </c>
      <c r="G865" s="194" t="str">
        <f ca="1">IF(OFFSET('IWP13'!Std3LicenseInfo, 10, 11, 1, 1) = 0, "", OFFSET('IWP13'!Std3LicenseInfo, 10, 11, 1, 1))</f>
        <v/>
      </c>
    </row>
    <row r="866" spans="1:7" s="146" customFormat="1">
      <c r="A866" s="183" t="s">
        <v>511</v>
      </c>
      <c r="B866" s="195" t="str">
        <f ca="1">IF(OFFSET('IWP13'!Std3LicenseInfo, 11, 0, 1, 1) = 0, "", OFFSET('IWP13'!Std3LicenseInfo, 11, 0, 1, 1))</f>
        <v/>
      </c>
      <c r="C866" s="195" t="str">
        <f ca="1">IF(OFFSET('IWP13'!Std3LicenseInfo, 11, 3, 1, 1) = 0, "", OFFSET('IWP13'!Std3LicenseInfo, 11, 3, 1, 1))</f>
        <v/>
      </c>
      <c r="D866" s="195" t="str">
        <f ca="1">IF(OFFSET('IWP13'!Std3LicenseInfo, 11, 6, 1, 1) = 0, "", OFFSET('IWP13'!Std3LicenseInfo, 11, 6, 1, 1))</f>
        <v/>
      </c>
      <c r="E866" s="172">
        <f ca="1">IF(OFFSET('IWP13'!Std3LicenseInfo, 11, 9, 1, 1)=DATE(1900,1,0), DATE(1900,1,1), OFFSET('IWP13'!Std3LicenseInfo, 11, 9, 1, 1))</f>
        <v>1</v>
      </c>
      <c r="F866" s="172">
        <f ca="1">IF(OFFSET('IWP13'!Std3LicenseInfo, 11, 10, 1, 1)=DATE(1900,1,0), DATE(1900,1,1), OFFSET('IWP13'!Std3LicenseInfo, 11, 10, 1, 1))</f>
        <v>1</v>
      </c>
      <c r="G866" s="194" t="str">
        <f ca="1">IF(OFFSET('IWP13'!Std3LicenseInfo, 11, 11, 1, 1) = 0, "", OFFSET('IWP13'!Std3LicenseInfo, 11, 11, 1, 1))</f>
        <v/>
      </c>
    </row>
    <row r="867" spans="1:7" s="146" customFormat="1">
      <c r="A867" s="183" t="s">
        <v>511</v>
      </c>
      <c r="B867" s="195" t="str">
        <f ca="1">IF(OFFSET('IWP13'!Std3LicenseInfo, 12, 0, 1, 1) = 0, "", OFFSET('IWP13'!Std3LicenseInfo, 12, 0, 1, 1))</f>
        <v/>
      </c>
      <c r="C867" s="195" t="str">
        <f ca="1">IF(OFFSET('IWP13'!Std3LicenseInfo, 12, 3, 1, 1) = 0, "", OFFSET('IWP13'!Std3LicenseInfo, 12, 3, 1, 1))</f>
        <v/>
      </c>
      <c r="D867" s="195" t="str">
        <f ca="1">IF(OFFSET('IWP13'!Std3LicenseInfo, 12, 6, 1, 1) = 0, "", OFFSET('IWP13'!Std3LicenseInfo, 12, 6, 1, 1))</f>
        <v/>
      </c>
      <c r="E867" s="172">
        <f ca="1">IF(OFFSET('IWP13'!Std3LicenseInfo, 12, 9, 1, 1)=DATE(1900,1,0), DATE(1900,1,1), OFFSET('IWP13'!Std3LicenseInfo, 12, 9, 1, 1))</f>
        <v>1</v>
      </c>
      <c r="F867" s="172">
        <f ca="1">IF(OFFSET('IWP13'!Std3LicenseInfo, 12, 10, 1, 1)=DATE(1900,1,0), DATE(1900,1,1), OFFSET('IWP13'!Std3LicenseInfo, 12, 10, 1, 1))</f>
        <v>1</v>
      </c>
      <c r="G867" s="194" t="str">
        <f ca="1">IF(OFFSET('IWP13'!Std3LicenseInfo, 12, 11, 1, 1) = 0, "", OFFSET('IWP13'!Std3LicenseInfo, 12, 11, 1, 1))</f>
        <v/>
      </c>
    </row>
    <row r="868" spans="1:7" s="146" customFormat="1">
      <c r="A868" s="183" t="s">
        <v>511</v>
      </c>
      <c r="B868" s="195" t="str">
        <f ca="1">IF(OFFSET('IWP13'!Std3LicenseInfo, 13, 0, 1, 1) = 0, "", OFFSET('IWP13'!Std3LicenseInfo, 13, 0, 1, 1))</f>
        <v/>
      </c>
      <c r="C868" s="195" t="str">
        <f ca="1">IF(OFFSET('IWP13'!Std3LicenseInfo, 13, 3, 1, 1) = 0, "", OFFSET('IWP13'!Std3LicenseInfo, 13, 3, 1, 1))</f>
        <v/>
      </c>
      <c r="D868" s="195" t="str">
        <f ca="1">IF(OFFSET('IWP13'!Std3LicenseInfo, 13, 6, 1, 1) = 0, "", OFFSET('IWP13'!Std3LicenseInfo, 13, 6, 1, 1))</f>
        <v/>
      </c>
      <c r="E868" s="172">
        <f ca="1">IF(OFFSET('IWP13'!Std3LicenseInfo, 13, 9, 1, 1)=DATE(1900,1,0), DATE(1900,1,1), OFFSET('IWP13'!Std3LicenseInfo, 13, 9, 1, 1))</f>
        <v>1</v>
      </c>
      <c r="F868" s="172">
        <f ca="1">IF(OFFSET('IWP13'!Std3LicenseInfo, 13, 10, 1, 1)=DATE(1900,1,0), DATE(1900,1,1), OFFSET('IWP13'!Std3LicenseInfo, 13, 10, 1, 1))</f>
        <v>1</v>
      </c>
      <c r="G868" s="194" t="str">
        <f ca="1">IF(OFFSET('IWP13'!Std3LicenseInfo, 13, 11, 1, 1) = 0, "", OFFSET('IWP13'!Std3LicenseInfo, 13, 11, 1, 1))</f>
        <v/>
      </c>
    </row>
    <row r="869" spans="1:7" s="146" customFormat="1">
      <c r="A869" s="183" t="s">
        <v>512</v>
      </c>
      <c r="B869" s="195" t="str">
        <f ca="1">IF(OFFSET('IWP14'!Std3LicenseInfo, 0, 0, 1, 1) = 0, "", OFFSET('IWP14'!Std3LicenseInfo, 0, 0, 1, 1))</f>
        <v/>
      </c>
      <c r="C869" s="195" t="str">
        <f ca="1">IF(OFFSET('IWP14'!Std3LicenseInfo, 0, 3, 1, 1) = 0, "", OFFSET('IWP14'!Std3LicenseInfo, 0, 3, 1, 1))</f>
        <v/>
      </c>
      <c r="D869" s="195" t="str">
        <f ca="1">IF(OFFSET('IWP14'!Std3LicenseInfo, 0, 6, 1, 1) = 0, "", OFFSET('IWP14'!Std3LicenseInfo, 0, 6, 1, 1))</f>
        <v/>
      </c>
      <c r="E869" s="172">
        <f ca="1">IF(OFFSET('IWP14'!Std3LicenseInfo, 0, 9, 1, 1)=DATE(1900,1,0), DATE(1900,1,1), OFFSET('IWP14'!Std3LicenseInfo, 0, 9, 1, 1))</f>
        <v>1</v>
      </c>
      <c r="F869" s="172">
        <f ca="1">IF(OFFSET('IWP14'!Std3LicenseInfo, 0, 10, 1, 1)=DATE(1900,1,0), DATE(1900,1,1), OFFSET('IWP14'!Std3LicenseInfo, 0, 10, 1, 1))</f>
        <v>1</v>
      </c>
      <c r="G869" s="194" t="str">
        <f ca="1">IF(OFFSET('IWP14'!Std3LicenseInfo, 0, 11, 1, 1) = 0, "", OFFSET('IWP14'!Std3LicenseInfo, 0, 11, 1, 1))</f>
        <v/>
      </c>
    </row>
    <row r="870" spans="1:7" s="146" customFormat="1">
      <c r="A870" s="183" t="s">
        <v>512</v>
      </c>
      <c r="B870" s="195" t="str">
        <f ca="1">IF(OFFSET('IWP14'!Std3LicenseInfo, 1, 0, 1, 1) = 0, "", OFFSET('IWP14'!Std3LicenseInfo, 1, 0, 1, 1))</f>
        <v/>
      </c>
      <c r="C870" s="195" t="str">
        <f ca="1">IF(OFFSET('IWP14'!Std3LicenseInfo, 1, 3, 1, 1) = 0, "", OFFSET('IWP14'!Std3LicenseInfo, 1, 3, 1, 1))</f>
        <v/>
      </c>
      <c r="D870" s="195" t="str">
        <f ca="1">IF(OFFSET('IWP14'!Std3LicenseInfo, 1, 6, 1, 1) = 0, "", OFFSET('IWP14'!Std3LicenseInfo, 1, 6, 1, 1))</f>
        <v/>
      </c>
      <c r="E870" s="172">
        <f ca="1">IF(OFFSET('IWP14'!Std3LicenseInfo, 1, 9, 1, 1)=DATE(1900,1,0), DATE(1900,1,1), OFFSET('IWP14'!Std3LicenseInfo, 1, 9, 1, 1))</f>
        <v>1</v>
      </c>
      <c r="F870" s="172">
        <f ca="1">IF(OFFSET('IWP14'!Std3LicenseInfo, 1, 10, 1, 1)=DATE(1900,1,0), DATE(1900,1,1), OFFSET('IWP14'!Std3LicenseInfo, 1, 10, 1, 1))</f>
        <v>1</v>
      </c>
      <c r="G870" s="194" t="str">
        <f ca="1">IF(OFFSET('IWP14'!Std3LicenseInfo, 1, 11, 1, 1) = 0, "", OFFSET('IWP14'!Std3LicenseInfo, 1, 11, 1, 1))</f>
        <v/>
      </c>
    </row>
    <row r="871" spans="1:7" s="146" customFormat="1">
      <c r="A871" s="183" t="s">
        <v>512</v>
      </c>
      <c r="B871" s="195" t="str">
        <f ca="1">IF(OFFSET('IWP14'!Std3LicenseInfo, 2, 0, 1, 1) = 0, "", OFFSET('IWP14'!Std3LicenseInfo, 2, 0, 1, 1))</f>
        <v/>
      </c>
      <c r="C871" s="195" t="str">
        <f ca="1">IF(OFFSET('IWP14'!Std3LicenseInfo, 2, 3, 1, 1) = 0, "", OFFSET('IWP14'!Std3LicenseInfo, 2, 3, 1, 1))</f>
        <v/>
      </c>
      <c r="D871" s="195" t="str">
        <f ca="1">IF(OFFSET('IWP14'!Std3LicenseInfo, 2, 6, 1, 1) = 0, "", OFFSET('IWP14'!Std3LicenseInfo, 2, 6, 1, 1))</f>
        <v/>
      </c>
      <c r="E871" s="172">
        <f ca="1">IF(OFFSET('IWP14'!Std3LicenseInfo, 2, 9, 1, 1)=DATE(1900,1,0), DATE(1900,1,1), OFFSET('IWP14'!Std3LicenseInfo, 2, 9, 1, 1))</f>
        <v>1</v>
      </c>
      <c r="F871" s="172">
        <f ca="1">IF(OFFSET('IWP14'!Std3LicenseInfo, 2, 10, 1, 1)=DATE(1900,1,0), DATE(1900,1,1), OFFSET('IWP14'!Std3LicenseInfo, 2, 10, 1, 1))</f>
        <v>1</v>
      </c>
      <c r="G871" s="194" t="str">
        <f ca="1">IF(OFFSET('IWP14'!Std3LicenseInfo, 2, 11, 1, 1) = 0, "", OFFSET('IWP14'!Std3LicenseInfo, 2, 11, 1, 1))</f>
        <v/>
      </c>
    </row>
    <row r="872" spans="1:7" s="146" customFormat="1">
      <c r="A872" s="183" t="s">
        <v>512</v>
      </c>
      <c r="B872" s="195" t="str">
        <f ca="1">IF(OFFSET('IWP14'!Std3LicenseInfo, 3, 0, 1, 1) = 0, "", OFFSET('IWP14'!Std3LicenseInfo, 3, 0, 1, 1))</f>
        <v/>
      </c>
      <c r="C872" s="195" t="str">
        <f ca="1">IF(OFFSET('IWP14'!Std3LicenseInfo, 3, 3, 1, 1) = 0, "", OFFSET('IWP14'!Std3LicenseInfo, 3, 3, 1, 1))</f>
        <v/>
      </c>
      <c r="D872" s="195" t="str">
        <f ca="1">IF(OFFSET('IWP14'!Std3LicenseInfo, 3, 6, 1, 1) = 0, "", OFFSET('IWP14'!Std3LicenseInfo, 3, 6, 1, 1))</f>
        <v/>
      </c>
      <c r="E872" s="172">
        <f ca="1">IF(OFFSET('IWP14'!Std3LicenseInfo, 3, 9, 1, 1)=DATE(1900,1,0), DATE(1900,1,1), OFFSET('IWP14'!Std3LicenseInfo, 3, 9, 1, 1))</f>
        <v>1</v>
      </c>
      <c r="F872" s="172">
        <f ca="1">IF(OFFSET('IWP14'!Std3LicenseInfo, 3, 10, 1, 1)=DATE(1900,1,0), DATE(1900,1,1), OFFSET('IWP14'!Std3LicenseInfo, 3, 10, 1, 1))</f>
        <v>1</v>
      </c>
      <c r="G872" s="194" t="str">
        <f ca="1">IF(OFFSET('IWP14'!Std3LicenseInfo, 3, 11, 1, 1) = 0, "", OFFSET('IWP14'!Std3LicenseInfo, 3, 11, 1, 1))</f>
        <v/>
      </c>
    </row>
    <row r="873" spans="1:7" s="146" customFormat="1">
      <c r="A873" s="183" t="s">
        <v>512</v>
      </c>
      <c r="B873" s="195" t="str">
        <f ca="1">IF(OFFSET('IWP14'!Std3LicenseInfo, 4, 0, 1, 1) = 0, "", OFFSET('IWP14'!Std3LicenseInfo, 4, 0, 1, 1))</f>
        <v/>
      </c>
      <c r="C873" s="195" t="str">
        <f ca="1">IF(OFFSET('IWP14'!Std3LicenseInfo, 4, 3, 1, 1) = 0, "", OFFSET('IWP14'!Std3LicenseInfo, 4, 3, 1, 1))</f>
        <v/>
      </c>
      <c r="D873" s="195" t="str">
        <f ca="1">IF(OFFSET('IWP14'!Std3LicenseInfo, 4, 6, 1, 1) = 0, "", OFFSET('IWP14'!Std3LicenseInfo, 4, 6, 1, 1))</f>
        <v/>
      </c>
      <c r="E873" s="172">
        <f ca="1">IF(OFFSET('IWP14'!Std3LicenseInfo, 4, 9, 1, 1)=DATE(1900,1,0), DATE(1900,1,1), OFFSET('IWP14'!Std3LicenseInfo, 4, 9, 1, 1))</f>
        <v>1</v>
      </c>
      <c r="F873" s="172">
        <f ca="1">IF(OFFSET('IWP14'!Std3LicenseInfo, 4, 10, 1, 1)=DATE(1900,1,0), DATE(1900,1,1), OFFSET('IWP14'!Std3LicenseInfo, 4, 10, 1, 1))</f>
        <v>1</v>
      </c>
      <c r="G873" s="194" t="str">
        <f ca="1">IF(OFFSET('IWP14'!Std3LicenseInfo, 4, 11, 1, 1) = 0, "", OFFSET('IWP14'!Std3LicenseInfo, 4, 11, 1, 1))</f>
        <v/>
      </c>
    </row>
    <row r="874" spans="1:7" s="146" customFormat="1">
      <c r="A874" s="183" t="s">
        <v>512</v>
      </c>
      <c r="B874" s="195" t="str">
        <f ca="1">IF(OFFSET('IWP14'!Std3LicenseInfo, 5, 0, 1, 1) = 0, "", OFFSET('IWP14'!Std3LicenseInfo, 5, 0, 1, 1))</f>
        <v/>
      </c>
      <c r="C874" s="195" t="str">
        <f ca="1">IF(OFFSET('IWP14'!Std3LicenseInfo, 5, 3, 1, 1) = 0, "", OFFSET('IWP14'!Std3LicenseInfo, 5, 3, 1, 1))</f>
        <v/>
      </c>
      <c r="D874" s="195" t="str">
        <f ca="1">IF(OFFSET('IWP14'!Std3LicenseInfo, 5, 6, 1, 1) = 0, "", OFFSET('IWP14'!Std3LicenseInfo, 5, 6, 1, 1))</f>
        <v/>
      </c>
      <c r="E874" s="172">
        <f ca="1">IF(OFFSET('IWP14'!Std3LicenseInfo, 5, 9, 1, 1)=DATE(1900,1,0), DATE(1900,1,1), OFFSET('IWP14'!Std3LicenseInfo, 5, 9, 1, 1))</f>
        <v>1</v>
      </c>
      <c r="F874" s="172">
        <f ca="1">IF(OFFSET('IWP14'!Std3LicenseInfo, 5, 10, 1, 1)=DATE(1900,1,0), DATE(1900,1,1), OFFSET('IWP14'!Std3LicenseInfo, 5, 10, 1, 1))</f>
        <v>1</v>
      </c>
      <c r="G874" s="194" t="str">
        <f ca="1">IF(OFFSET('IWP14'!Std3LicenseInfo, 5, 11, 1, 1) = 0, "", OFFSET('IWP14'!Std3LicenseInfo, 5, 11, 1, 1))</f>
        <v/>
      </c>
    </row>
    <row r="875" spans="1:7" s="146" customFormat="1">
      <c r="A875" s="183" t="s">
        <v>512</v>
      </c>
      <c r="B875" s="195" t="str">
        <f ca="1">IF(OFFSET('IWP14'!Std3LicenseInfo, 6, 0, 1, 1) = 0, "", OFFSET('IWP14'!Std3LicenseInfo, 6, 0, 1, 1))</f>
        <v/>
      </c>
      <c r="C875" s="195" t="str">
        <f ca="1">IF(OFFSET('IWP14'!Std3LicenseInfo, 6, 3, 1, 1) = 0, "", OFFSET('IWP14'!Std3LicenseInfo, 6, 3, 1, 1))</f>
        <v/>
      </c>
      <c r="D875" s="195" t="str">
        <f ca="1">IF(OFFSET('IWP14'!Std3LicenseInfo, 6, 6, 1, 1) = 0, "", OFFSET('IWP14'!Std3LicenseInfo, 6, 6, 1, 1))</f>
        <v/>
      </c>
      <c r="E875" s="172">
        <f ca="1">IF(OFFSET('IWP14'!Std3LicenseInfo, 6, 9, 1, 1)=DATE(1900,1,0), DATE(1900,1,1), OFFSET('IWP14'!Std3LicenseInfo, 6, 9, 1, 1))</f>
        <v>1</v>
      </c>
      <c r="F875" s="172">
        <f ca="1">IF(OFFSET('IWP14'!Std3LicenseInfo, 6, 10, 1, 1)=DATE(1900,1,0), DATE(1900,1,1), OFFSET('IWP14'!Std3LicenseInfo, 6, 10, 1, 1))</f>
        <v>1</v>
      </c>
      <c r="G875" s="194" t="str">
        <f ca="1">IF(OFFSET('IWP14'!Std3LicenseInfo, 6, 11, 1, 1) = 0, "", OFFSET('IWP14'!Std3LicenseInfo, 6, 11, 1, 1))</f>
        <v/>
      </c>
    </row>
    <row r="876" spans="1:7" s="146" customFormat="1">
      <c r="A876" s="183" t="s">
        <v>512</v>
      </c>
      <c r="B876" s="195" t="str">
        <f ca="1">IF(OFFSET('IWP14'!Std3LicenseInfo, 7, 0, 1, 1) = 0, "", OFFSET('IWP14'!Std3LicenseInfo, 7, 0, 1, 1))</f>
        <v/>
      </c>
      <c r="C876" s="195" t="str">
        <f ca="1">IF(OFFSET('IWP14'!Std3LicenseInfo, 7, 3, 1, 1) = 0, "", OFFSET('IWP14'!Std3LicenseInfo, 7, 3, 1, 1))</f>
        <v/>
      </c>
      <c r="D876" s="195" t="str">
        <f ca="1">IF(OFFSET('IWP14'!Std3LicenseInfo, 7, 6, 1, 1) = 0, "", OFFSET('IWP14'!Std3LicenseInfo, 7, 6, 1, 1))</f>
        <v/>
      </c>
      <c r="E876" s="172">
        <f ca="1">IF(OFFSET('IWP14'!Std3LicenseInfo, 7, 9, 1, 1)=DATE(1900,1,0), DATE(1900,1,1), OFFSET('IWP14'!Std3LicenseInfo, 7, 9, 1, 1))</f>
        <v>1</v>
      </c>
      <c r="F876" s="172">
        <f ca="1">IF(OFFSET('IWP14'!Std3LicenseInfo, 7, 10, 1, 1)=DATE(1900,1,0), DATE(1900,1,1), OFFSET('IWP14'!Std3LicenseInfo, 7, 10, 1, 1))</f>
        <v>1</v>
      </c>
      <c r="G876" s="194" t="str">
        <f ca="1">IF(OFFSET('IWP14'!Std3LicenseInfo, 7, 11, 1, 1) = 0, "", OFFSET('IWP14'!Std3LicenseInfo, 7, 11, 1, 1))</f>
        <v/>
      </c>
    </row>
    <row r="877" spans="1:7" s="146" customFormat="1">
      <c r="A877" s="183" t="s">
        <v>512</v>
      </c>
      <c r="B877" s="195" t="str">
        <f ca="1">IF(OFFSET('IWP14'!Std3LicenseInfo, 8, 0, 1, 1) = 0, "", OFFSET('IWP14'!Std3LicenseInfo, 8, 0, 1, 1))</f>
        <v/>
      </c>
      <c r="C877" s="195" t="str">
        <f ca="1">IF(OFFSET('IWP14'!Std3LicenseInfo, 8, 3, 1, 1) = 0, "", OFFSET('IWP14'!Std3LicenseInfo, 8, 3, 1, 1))</f>
        <v/>
      </c>
      <c r="D877" s="195" t="str">
        <f ca="1">IF(OFFSET('IWP14'!Std3LicenseInfo, 8, 6, 1, 1) = 0, "", OFFSET('IWP14'!Std3LicenseInfo, 8, 6, 1, 1))</f>
        <v/>
      </c>
      <c r="E877" s="172">
        <f ca="1">IF(OFFSET('IWP14'!Std3LicenseInfo, 8, 9, 1, 1)=DATE(1900,1,0), DATE(1900,1,1), OFFSET('IWP14'!Std3LicenseInfo, 8, 9, 1, 1))</f>
        <v>1</v>
      </c>
      <c r="F877" s="172">
        <f ca="1">IF(OFFSET('IWP14'!Std3LicenseInfo, 8, 10, 1, 1)=DATE(1900,1,0), DATE(1900,1,1), OFFSET('IWP14'!Std3LicenseInfo, 8, 10, 1, 1))</f>
        <v>1</v>
      </c>
      <c r="G877" s="194" t="str">
        <f ca="1">IF(OFFSET('IWP14'!Std3LicenseInfo, 8, 11, 1, 1) = 0, "", OFFSET('IWP14'!Std3LicenseInfo, 8, 11, 1, 1))</f>
        <v/>
      </c>
    </row>
    <row r="878" spans="1:7" s="146" customFormat="1">
      <c r="A878" s="183" t="s">
        <v>512</v>
      </c>
      <c r="B878" s="195" t="str">
        <f ca="1">IF(OFFSET('IWP14'!Std3LicenseInfo, 9, 0, 1, 1) = 0, "", OFFSET('IWP14'!Std3LicenseInfo, 9, 0, 1, 1))</f>
        <v/>
      </c>
      <c r="C878" s="195" t="str">
        <f ca="1">IF(OFFSET('IWP14'!Std3LicenseInfo, 9, 3, 1, 1) = 0, "", OFFSET('IWP14'!Std3LicenseInfo, 9, 3, 1, 1))</f>
        <v/>
      </c>
      <c r="D878" s="195" t="str">
        <f ca="1">IF(OFFSET('IWP14'!Std3LicenseInfo, 9, 6, 1, 1) = 0, "", OFFSET('IWP14'!Std3LicenseInfo, 9, 6, 1, 1))</f>
        <v/>
      </c>
      <c r="E878" s="172">
        <f ca="1">IF(OFFSET('IWP14'!Std3LicenseInfo, 9, 9, 1, 1)=DATE(1900,1,0), DATE(1900,1,1), OFFSET('IWP14'!Std3LicenseInfo, 9, 9, 1, 1))</f>
        <v>1</v>
      </c>
      <c r="F878" s="172">
        <f ca="1">IF(OFFSET('IWP14'!Std3LicenseInfo, 9, 10, 1, 1)=DATE(1900,1,0), DATE(1900,1,1), OFFSET('IWP14'!Std3LicenseInfo, 9, 10, 1, 1))</f>
        <v>1</v>
      </c>
      <c r="G878" s="194" t="str">
        <f ca="1">IF(OFFSET('IWP14'!Std3LicenseInfo, 9, 11, 1, 1) = 0, "", OFFSET('IWP14'!Std3LicenseInfo, 9, 11, 1, 1))</f>
        <v/>
      </c>
    </row>
    <row r="879" spans="1:7" s="146" customFormat="1">
      <c r="A879" s="183" t="s">
        <v>512</v>
      </c>
      <c r="B879" s="195" t="str">
        <f ca="1">IF(OFFSET('IWP14'!Std3LicenseInfo, 10, 0, 1, 1) = 0, "", OFFSET('IWP14'!Std3LicenseInfo, 10, 0, 1, 1))</f>
        <v/>
      </c>
      <c r="C879" s="195" t="str">
        <f ca="1">IF(OFFSET('IWP14'!Std3LicenseInfo, 10, 3, 1, 1) = 0, "", OFFSET('IWP14'!Std3LicenseInfo, 10, 3, 1, 1))</f>
        <v/>
      </c>
      <c r="D879" s="195" t="str">
        <f ca="1">IF(OFFSET('IWP14'!Std3LicenseInfo, 10, 6, 1, 1) = 0, "", OFFSET('IWP14'!Std3LicenseInfo, 10, 6, 1, 1))</f>
        <v/>
      </c>
      <c r="E879" s="172">
        <f ca="1">IF(OFFSET('IWP14'!Std3LicenseInfo, 10, 9, 1, 1)=DATE(1900,1,0), DATE(1900,1,1), OFFSET('IWP14'!Std3LicenseInfo, 10, 9, 1, 1))</f>
        <v>1</v>
      </c>
      <c r="F879" s="172">
        <f ca="1">IF(OFFSET('IWP14'!Std3LicenseInfo, 10, 10, 1, 1)=DATE(1900,1,0), DATE(1900,1,1), OFFSET('IWP14'!Std3LicenseInfo, 10, 10, 1, 1))</f>
        <v>1</v>
      </c>
      <c r="G879" s="194" t="str">
        <f ca="1">IF(OFFSET('IWP14'!Std3LicenseInfo, 10, 11, 1, 1) = 0, "", OFFSET('IWP14'!Std3LicenseInfo, 10, 11, 1, 1))</f>
        <v/>
      </c>
    </row>
    <row r="880" spans="1:7" s="146" customFormat="1">
      <c r="A880" s="183" t="s">
        <v>512</v>
      </c>
      <c r="B880" s="195" t="str">
        <f ca="1">IF(OFFSET('IWP14'!Std3LicenseInfo, 11, 0, 1, 1) = 0, "", OFFSET('IWP14'!Std3LicenseInfo, 11, 0, 1, 1))</f>
        <v/>
      </c>
      <c r="C880" s="195" t="str">
        <f ca="1">IF(OFFSET('IWP14'!Std3LicenseInfo, 11, 3, 1, 1) = 0, "", OFFSET('IWP14'!Std3LicenseInfo, 11, 3, 1, 1))</f>
        <v/>
      </c>
      <c r="D880" s="195" t="str">
        <f ca="1">IF(OFFSET('IWP14'!Std3LicenseInfo, 11, 6, 1, 1) = 0, "", OFFSET('IWP14'!Std3LicenseInfo, 11, 6, 1, 1))</f>
        <v/>
      </c>
      <c r="E880" s="172">
        <f ca="1">IF(OFFSET('IWP14'!Std3LicenseInfo, 11, 9, 1, 1)=DATE(1900,1,0), DATE(1900,1,1), OFFSET('IWP14'!Std3LicenseInfo, 11, 9, 1, 1))</f>
        <v>1</v>
      </c>
      <c r="F880" s="172">
        <f ca="1">IF(OFFSET('IWP14'!Std3LicenseInfo, 11, 10, 1, 1)=DATE(1900,1,0), DATE(1900,1,1), OFFSET('IWP14'!Std3LicenseInfo, 11, 10, 1, 1))</f>
        <v>1</v>
      </c>
      <c r="G880" s="194" t="str">
        <f ca="1">IF(OFFSET('IWP14'!Std3LicenseInfo, 11, 11, 1, 1) = 0, "", OFFSET('IWP14'!Std3LicenseInfo, 11, 11, 1, 1))</f>
        <v/>
      </c>
    </row>
    <row r="881" spans="1:7" s="146" customFormat="1">
      <c r="A881" s="183" t="s">
        <v>512</v>
      </c>
      <c r="B881" s="195" t="str">
        <f ca="1">IF(OFFSET('IWP14'!Std3LicenseInfo, 12, 0, 1, 1) = 0, "", OFFSET('IWP14'!Std3LicenseInfo, 12, 0, 1, 1))</f>
        <v/>
      </c>
      <c r="C881" s="195" t="str">
        <f ca="1">IF(OFFSET('IWP14'!Std3LicenseInfo, 12, 3, 1, 1) = 0, "", OFFSET('IWP14'!Std3LicenseInfo, 12, 3, 1, 1))</f>
        <v/>
      </c>
      <c r="D881" s="195" t="str">
        <f ca="1">IF(OFFSET('IWP14'!Std3LicenseInfo, 12, 6, 1, 1) = 0, "", OFFSET('IWP14'!Std3LicenseInfo, 12, 6, 1, 1))</f>
        <v/>
      </c>
      <c r="E881" s="172">
        <f ca="1">IF(OFFSET('IWP14'!Std3LicenseInfo, 12, 9, 1, 1)=DATE(1900,1,0), DATE(1900,1,1), OFFSET('IWP14'!Std3LicenseInfo, 12, 9, 1, 1))</f>
        <v>1</v>
      </c>
      <c r="F881" s="172">
        <f ca="1">IF(OFFSET('IWP14'!Std3LicenseInfo, 12, 10, 1, 1)=DATE(1900,1,0), DATE(1900,1,1), OFFSET('IWP14'!Std3LicenseInfo, 12, 10, 1, 1))</f>
        <v>1</v>
      </c>
      <c r="G881" s="194" t="str">
        <f ca="1">IF(OFFSET('IWP14'!Std3LicenseInfo, 12, 11, 1, 1) = 0, "", OFFSET('IWP14'!Std3LicenseInfo, 12, 11, 1, 1))</f>
        <v/>
      </c>
    </row>
    <row r="882" spans="1:7" s="146" customFormat="1">
      <c r="A882" s="183" t="s">
        <v>512</v>
      </c>
      <c r="B882" s="195" t="str">
        <f ca="1">IF(OFFSET('IWP14'!Std3LicenseInfo, 13, 0, 1, 1) = 0, "", OFFSET('IWP14'!Std3LicenseInfo, 13, 0, 1, 1))</f>
        <v/>
      </c>
      <c r="C882" s="195" t="str">
        <f ca="1">IF(OFFSET('IWP14'!Std3LicenseInfo, 13, 3, 1, 1) = 0, "", OFFSET('IWP14'!Std3LicenseInfo, 13, 3, 1, 1))</f>
        <v/>
      </c>
      <c r="D882" s="195" t="str">
        <f ca="1">IF(OFFSET('IWP14'!Std3LicenseInfo, 13, 6, 1, 1) = 0, "", OFFSET('IWP14'!Std3LicenseInfo, 13, 6, 1, 1))</f>
        <v/>
      </c>
      <c r="E882" s="172">
        <f ca="1">IF(OFFSET('IWP14'!Std3LicenseInfo, 13, 9, 1, 1)=DATE(1900,1,0), DATE(1900,1,1), OFFSET('IWP14'!Std3LicenseInfo, 13, 9, 1, 1))</f>
        <v>1</v>
      </c>
      <c r="F882" s="172">
        <f ca="1">IF(OFFSET('IWP14'!Std3LicenseInfo, 13, 10, 1, 1)=DATE(1900,1,0), DATE(1900,1,1), OFFSET('IWP14'!Std3LicenseInfo, 13, 10, 1, 1))</f>
        <v>1</v>
      </c>
      <c r="G882" s="194" t="str">
        <f ca="1">IF(OFFSET('IWP14'!Std3LicenseInfo, 13, 11, 1, 1) = 0, "", OFFSET('IWP14'!Std3LicenseInfo, 13, 11, 1, 1))</f>
        <v/>
      </c>
    </row>
    <row r="883" spans="1:7" s="146" customFormat="1">
      <c r="A883" s="183" t="s">
        <v>513</v>
      </c>
      <c r="B883" s="195" t="str">
        <f ca="1">IF(OFFSET('IWP15'!Std3LicenseInfo, 0, 0, 1, 1) = 0, "", OFFSET('IWP15'!Std3LicenseInfo, 0, 0, 1, 1))</f>
        <v/>
      </c>
      <c r="C883" s="195" t="str">
        <f ca="1">IF(OFFSET('IWP15'!Std3LicenseInfo, 0, 3, 1, 1) = 0, "", OFFSET('IWP15'!Std3LicenseInfo, 0, 3, 1, 1))</f>
        <v/>
      </c>
      <c r="D883" s="195" t="str">
        <f ca="1">IF(OFFSET('IWP15'!Std3LicenseInfo, 0, 6, 1, 1) = 0, "", OFFSET('IWP15'!Std3LicenseInfo, 0, 6, 1, 1))</f>
        <v/>
      </c>
      <c r="E883" s="172">
        <f ca="1">IF(OFFSET('IWP15'!Std3LicenseInfo, 0, 9, 1, 1)=DATE(1900,1,0), DATE(1900,1,1), OFFSET('IWP15'!Std3LicenseInfo, 0, 9, 1, 1))</f>
        <v>1</v>
      </c>
      <c r="F883" s="172">
        <f ca="1">IF(OFFSET('IWP15'!Std3LicenseInfo, 0, 10, 1, 1)=DATE(1900,1,0), DATE(1900,1,1), OFFSET('IWP15'!Std3LicenseInfo, 0, 10, 1, 1))</f>
        <v>1</v>
      </c>
      <c r="G883" s="194" t="str">
        <f ca="1">IF(OFFSET('IWP15'!Std3LicenseInfo, 0, 11, 1, 1) = 0, "", OFFSET('IWP15'!Std3LicenseInfo, 0, 11, 1, 1))</f>
        <v/>
      </c>
    </row>
    <row r="884" spans="1:7" s="146" customFormat="1">
      <c r="A884" s="183" t="s">
        <v>513</v>
      </c>
      <c r="B884" s="195" t="str">
        <f ca="1">IF(OFFSET('IWP15'!Std3LicenseInfo, 1, 0, 1, 1) = 0, "", OFFSET('IWP15'!Std3LicenseInfo, 1, 0, 1, 1))</f>
        <v/>
      </c>
      <c r="C884" s="195" t="str">
        <f ca="1">IF(OFFSET('IWP15'!Std3LicenseInfo, 1, 3, 1, 1) = 0, "", OFFSET('IWP15'!Std3LicenseInfo, 1, 3, 1, 1))</f>
        <v/>
      </c>
      <c r="D884" s="195" t="str">
        <f ca="1">IF(OFFSET('IWP15'!Std3LicenseInfo, 1, 6, 1, 1) = 0, "", OFFSET('IWP15'!Std3LicenseInfo, 1, 6, 1, 1))</f>
        <v/>
      </c>
      <c r="E884" s="172">
        <f ca="1">IF(OFFSET('IWP15'!Std3LicenseInfo, 1, 9, 1, 1)=DATE(1900,1,0), DATE(1900,1,1), OFFSET('IWP15'!Std3LicenseInfo, 1, 9, 1, 1))</f>
        <v>1</v>
      </c>
      <c r="F884" s="172">
        <f ca="1">IF(OFFSET('IWP15'!Std3LicenseInfo, 1, 10, 1, 1)=DATE(1900,1,0), DATE(1900,1,1), OFFSET('IWP15'!Std3LicenseInfo, 1, 10, 1, 1))</f>
        <v>1</v>
      </c>
      <c r="G884" s="194" t="str">
        <f ca="1">IF(OFFSET('IWP15'!Std3LicenseInfo, 1, 11, 1, 1) = 0, "", OFFSET('IWP15'!Std3LicenseInfo, 1, 11, 1, 1))</f>
        <v/>
      </c>
    </row>
    <row r="885" spans="1:7" s="146" customFormat="1">
      <c r="A885" s="183" t="s">
        <v>513</v>
      </c>
      <c r="B885" s="195" t="str">
        <f ca="1">IF(OFFSET('IWP15'!Std3LicenseInfo, 2, 0, 1, 1) = 0, "", OFFSET('IWP15'!Std3LicenseInfo, 2, 0, 1, 1))</f>
        <v/>
      </c>
      <c r="C885" s="195" t="str">
        <f ca="1">IF(OFFSET('IWP15'!Std3LicenseInfo, 2, 3, 1, 1) = 0, "", OFFSET('IWP15'!Std3LicenseInfo, 2, 3, 1, 1))</f>
        <v/>
      </c>
      <c r="D885" s="195" t="str">
        <f ca="1">IF(OFFSET('IWP15'!Std3LicenseInfo, 2, 6, 1, 1) = 0, "", OFFSET('IWP15'!Std3LicenseInfo, 2, 6, 1, 1))</f>
        <v/>
      </c>
      <c r="E885" s="172">
        <f ca="1">IF(OFFSET('IWP15'!Std3LicenseInfo, 2, 9, 1, 1)=DATE(1900,1,0), DATE(1900,1,1), OFFSET('IWP15'!Std3LicenseInfo, 2, 9, 1, 1))</f>
        <v>1</v>
      </c>
      <c r="F885" s="172">
        <f ca="1">IF(OFFSET('IWP15'!Std3LicenseInfo, 2, 10, 1, 1)=DATE(1900,1,0), DATE(1900,1,1), OFFSET('IWP15'!Std3LicenseInfo, 2, 10, 1, 1))</f>
        <v>1</v>
      </c>
      <c r="G885" s="194" t="str">
        <f ca="1">IF(OFFSET('IWP15'!Std3LicenseInfo, 2, 11, 1, 1) = 0, "", OFFSET('IWP15'!Std3LicenseInfo, 2, 11, 1, 1))</f>
        <v/>
      </c>
    </row>
    <row r="886" spans="1:7" s="146" customFormat="1">
      <c r="A886" s="183" t="s">
        <v>513</v>
      </c>
      <c r="B886" s="195" t="str">
        <f ca="1">IF(OFFSET('IWP15'!Std3LicenseInfo, 3, 0, 1, 1) = 0, "", OFFSET('IWP15'!Std3LicenseInfo, 3, 0, 1, 1))</f>
        <v/>
      </c>
      <c r="C886" s="195" t="str">
        <f ca="1">IF(OFFSET('IWP15'!Std3LicenseInfo, 3, 3, 1, 1) = 0, "", OFFSET('IWP15'!Std3LicenseInfo, 3, 3, 1, 1))</f>
        <v/>
      </c>
      <c r="D886" s="195" t="str">
        <f ca="1">IF(OFFSET('IWP15'!Std3LicenseInfo, 3, 6, 1, 1) = 0, "", OFFSET('IWP15'!Std3LicenseInfo, 3, 6, 1, 1))</f>
        <v/>
      </c>
      <c r="E886" s="172">
        <f ca="1">IF(OFFSET('IWP15'!Std3LicenseInfo, 3, 9, 1, 1)=DATE(1900,1,0), DATE(1900,1,1), OFFSET('IWP15'!Std3LicenseInfo, 3, 9, 1, 1))</f>
        <v>1</v>
      </c>
      <c r="F886" s="172">
        <f ca="1">IF(OFFSET('IWP15'!Std3LicenseInfo, 3, 10, 1, 1)=DATE(1900,1,0), DATE(1900,1,1), OFFSET('IWP15'!Std3LicenseInfo, 3, 10, 1, 1))</f>
        <v>1</v>
      </c>
      <c r="G886" s="194" t="str">
        <f ca="1">IF(OFFSET('IWP15'!Std3LicenseInfo, 3, 11, 1, 1) = 0, "", OFFSET('IWP15'!Std3LicenseInfo, 3, 11, 1, 1))</f>
        <v/>
      </c>
    </row>
    <row r="887" spans="1:7" s="146" customFormat="1">
      <c r="A887" s="183" t="s">
        <v>513</v>
      </c>
      <c r="B887" s="195" t="str">
        <f ca="1">IF(OFFSET('IWP15'!Std3LicenseInfo, 4, 0, 1, 1) = 0, "", OFFSET('IWP15'!Std3LicenseInfo, 4, 0, 1, 1))</f>
        <v/>
      </c>
      <c r="C887" s="195" t="str">
        <f ca="1">IF(OFFSET('IWP15'!Std3LicenseInfo, 4, 3, 1, 1) = 0, "", OFFSET('IWP15'!Std3LicenseInfo, 4, 3, 1, 1))</f>
        <v/>
      </c>
      <c r="D887" s="195" t="str">
        <f ca="1">IF(OFFSET('IWP15'!Std3LicenseInfo, 4, 6, 1, 1) = 0, "", OFFSET('IWP15'!Std3LicenseInfo, 4, 6, 1, 1))</f>
        <v/>
      </c>
      <c r="E887" s="172">
        <f ca="1">IF(OFFSET('IWP15'!Std3LicenseInfo, 4, 9, 1, 1)=DATE(1900,1,0), DATE(1900,1,1), OFFSET('IWP15'!Std3LicenseInfo, 4, 9, 1, 1))</f>
        <v>1</v>
      </c>
      <c r="F887" s="172">
        <f ca="1">IF(OFFSET('IWP15'!Std3LicenseInfo, 4, 10, 1, 1)=DATE(1900,1,0), DATE(1900,1,1), OFFSET('IWP15'!Std3LicenseInfo, 4, 10, 1, 1))</f>
        <v>1</v>
      </c>
      <c r="G887" s="194" t="str">
        <f ca="1">IF(OFFSET('IWP15'!Std3LicenseInfo, 4, 11, 1, 1) = 0, "", OFFSET('IWP15'!Std3LicenseInfo, 4, 11, 1, 1))</f>
        <v/>
      </c>
    </row>
    <row r="888" spans="1:7" s="146" customFormat="1">
      <c r="A888" s="183" t="s">
        <v>513</v>
      </c>
      <c r="B888" s="195" t="str">
        <f ca="1">IF(OFFSET('IWP15'!Std3LicenseInfo, 5, 0, 1, 1) = 0, "", OFFSET('IWP15'!Std3LicenseInfo, 5, 0, 1, 1))</f>
        <v/>
      </c>
      <c r="C888" s="195" t="str">
        <f ca="1">IF(OFFSET('IWP15'!Std3LicenseInfo, 5, 3, 1, 1) = 0, "", OFFSET('IWP15'!Std3LicenseInfo, 5, 3, 1, 1))</f>
        <v/>
      </c>
      <c r="D888" s="195" t="str">
        <f ca="1">IF(OFFSET('IWP15'!Std3LicenseInfo, 5, 6, 1, 1) = 0, "", OFFSET('IWP15'!Std3LicenseInfo, 5, 6, 1, 1))</f>
        <v/>
      </c>
      <c r="E888" s="172">
        <f ca="1">IF(OFFSET('IWP15'!Std3LicenseInfo, 5, 9, 1, 1)=DATE(1900,1,0), DATE(1900,1,1), OFFSET('IWP15'!Std3LicenseInfo, 5, 9, 1, 1))</f>
        <v>1</v>
      </c>
      <c r="F888" s="172">
        <f ca="1">IF(OFFSET('IWP15'!Std3LicenseInfo, 5, 10, 1, 1)=DATE(1900,1,0), DATE(1900,1,1), OFFSET('IWP15'!Std3LicenseInfo, 5, 10, 1, 1))</f>
        <v>1</v>
      </c>
      <c r="G888" s="194" t="str">
        <f ca="1">IF(OFFSET('IWP15'!Std3LicenseInfo, 5, 11, 1, 1) = 0, "", OFFSET('IWP15'!Std3LicenseInfo, 5, 11, 1, 1))</f>
        <v/>
      </c>
    </row>
    <row r="889" spans="1:7" s="146" customFormat="1">
      <c r="A889" s="183" t="s">
        <v>513</v>
      </c>
      <c r="B889" s="195" t="str">
        <f ca="1">IF(OFFSET('IWP15'!Std3LicenseInfo, 6, 0, 1, 1) = 0, "", OFFSET('IWP15'!Std3LicenseInfo, 6, 0, 1, 1))</f>
        <v/>
      </c>
      <c r="C889" s="195" t="str">
        <f ca="1">IF(OFFSET('IWP15'!Std3LicenseInfo, 6, 3, 1, 1) = 0, "", OFFSET('IWP15'!Std3LicenseInfo, 6, 3, 1, 1))</f>
        <v/>
      </c>
      <c r="D889" s="195" t="str">
        <f ca="1">IF(OFFSET('IWP15'!Std3LicenseInfo, 6, 6, 1, 1) = 0, "", OFFSET('IWP15'!Std3LicenseInfo, 6, 6, 1, 1))</f>
        <v/>
      </c>
      <c r="E889" s="172">
        <f ca="1">IF(OFFSET('IWP15'!Std3LicenseInfo, 6, 9, 1, 1)=DATE(1900,1,0), DATE(1900,1,1), OFFSET('IWP15'!Std3LicenseInfo, 6, 9, 1, 1))</f>
        <v>1</v>
      </c>
      <c r="F889" s="172">
        <f ca="1">IF(OFFSET('IWP15'!Std3LicenseInfo, 6, 10, 1, 1)=DATE(1900,1,0), DATE(1900,1,1), OFFSET('IWP15'!Std3LicenseInfo, 6, 10, 1, 1))</f>
        <v>1</v>
      </c>
      <c r="G889" s="194" t="str">
        <f ca="1">IF(OFFSET('IWP15'!Std3LicenseInfo, 6, 11, 1, 1) = 0, "", OFFSET('IWP15'!Std3LicenseInfo, 6, 11, 1, 1))</f>
        <v/>
      </c>
    </row>
    <row r="890" spans="1:7" s="146" customFormat="1">
      <c r="A890" s="183" t="s">
        <v>513</v>
      </c>
      <c r="B890" s="195" t="str">
        <f ca="1">IF(OFFSET('IWP15'!Std3LicenseInfo, 7, 0, 1, 1) = 0, "", OFFSET('IWP15'!Std3LicenseInfo, 7, 0, 1, 1))</f>
        <v/>
      </c>
      <c r="C890" s="195" t="str">
        <f ca="1">IF(OFFSET('IWP15'!Std3LicenseInfo, 7, 3, 1, 1) = 0, "", OFFSET('IWP15'!Std3LicenseInfo, 7, 3, 1, 1))</f>
        <v/>
      </c>
      <c r="D890" s="195" t="str">
        <f ca="1">IF(OFFSET('IWP15'!Std3LicenseInfo, 7, 6, 1, 1) = 0, "", OFFSET('IWP15'!Std3LicenseInfo, 7, 6, 1, 1))</f>
        <v/>
      </c>
      <c r="E890" s="172">
        <f ca="1">IF(OFFSET('IWP15'!Std3LicenseInfo, 7, 9, 1, 1)=DATE(1900,1,0), DATE(1900,1,1), OFFSET('IWP15'!Std3LicenseInfo, 7, 9, 1, 1))</f>
        <v>1</v>
      </c>
      <c r="F890" s="172">
        <f ca="1">IF(OFFSET('IWP15'!Std3LicenseInfo, 7, 10, 1, 1)=DATE(1900,1,0), DATE(1900,1,1), OFFSET('IWP15'!Std3LicenseInfo, 7, 10, 1, 1))</f>
        <v>1</v>
      </c>
      <c r="G890" s="194" t="str">
        <f ca="1">IF(OFFSET('IWP15'!Std3LicenseInfo, 7, 11, 1, 1) = 0, "", OFFSET('IWP15'!Std3LicenseInfo, 7, 11, 1, 1))</f>
        <v/>
      </c>
    </row>
    <row r="891" spans="1:7" s="146" customFormat="1">
      <c r="A891" s="183" t="s">
        <v>513</v>
      </c>
      <c r="B891" s="195" t="str">
        <f ca="1">IF(OFFSET('IWP15'!Std3LicenseInfo, 8, 0, 1, 1) = 0, "", OFFSET('IWP15'!Std3LicenseInfo, 8, 0, 1, 1))</f>
        <v/>
      </c>
      <c r="C891" s="195" t="str">
        <f ca="1">IF(OFFSET('IWP15'!Std3LicenseInfo, 8, 3, 1, 1) = 0, "", OFFSET('IWP15'!Std3LicenseInfo, 8, 3, 1, 1))</f>
        <v/>
      </c>
      <c r="D891" s="195" t="str">
        <f ca="1">IF(OFFSET('IWP15'!Std3LicenseInfo, 8, 6, 1, 1) = 0, "", OFFSET('IWP15'!Std3LicenseInfo, 8, 6, 1, 1))</f>
        <v/>
      </c>
      <c r="E891" s="172">
        <f ca="1">IF(OFFSET('IWP15'!Std3LicenseInfo, 8, 9, 1, 1)=DATE(1900,1,0), DATE(1900,1,1), OFFSET('IWP15'!Std3LicenseInfo, 8, 9, 1, 1))</f>
        <v>1</v>
      </c>
      <c r="F891" s="172">
        <f ca="1">IF(OFFSET('IWP15'!Std3LicenseInfo, 8, 10, 1, 1)=DATE(1900,1,0), DATE(1900,1,1), OFFSET('IWP15'!Std3LicenseInfo, 8, 10, 1, 1))</f>
        <v>1</v>
      </c>
      <c r="G891" s="194" t="str">
        <f ca="1">IF(OFFSET('IWP15'!Std3LicenseInfo, 8, 11, 1, 1) = 0, "", OFFSET('IWP15'!Std3LicenseInfo, 8, 11, 1, 1))</f>
        <v/>
      </c>
    </row>
    <row r="892" spans="1:7" s="146" customFormat="1">
      <c r="A892" s="183" t="s">
        <v>513</v>
      </c>
      <c r="B892" s="195" t="str">
        <f ca="1">IF(OFFSET('IWP15'!Std3LicenseInfo, 9, 0, 1, 1) = 0, "", OFFSET('IWP15'!Std3LicenseInfo, 9, 0, 1, 1))</f>
        <v/>
      </c>
      <c r="C892" s="195" t="str">
        <f ca="1">IF(OFFSET('IWP15'!Std3LicenseInfo, 9, 3, 1, 1) = 0, "", OFFSET('IWP15'!Std3LicenseInfo, 9, 3, 1, 1))</f>
        <v/>
      </c>
      <c r="D892" s="195" t="str">
        <f ca="1">IF(OFFSET('IWP15'!Std3LicenseInfo, 9, 6, 1, 1) = 0, "", OFFSET('IWP15'!Std3LicenseInfo, 9, 6, 1, 1))</f>
        <v/>
      </c>
      <c r="E892" s="172">
        <f ca="1">IF(OFFSET('IWP15'!Std3LicenseInfo, 9, 9, 1, 1)=DATE(1900,1,0), DATE(1900,1,1), OFFSET('IWP15'!Std3LicenseInfo, 9, 9, 1, 1))</f>
        <v>1</v>
      </c>
      <c r="F892" s="172">
        <f ca="1">IF(OFFSET('IWP15'!Std3LicenseInfo, 9, 10, 1, 1)=DATE(1900,1,0), DATE(1900,1,1), OFFSET('IWP15'!Std3LicenseInfo, 9, 10, 1, 1))</f>
        <v>1</v>
      </c>
      <c r="G892" s="194" t="str">
        <f ca="1">IF(OFFSET('IWP15'!Std3LicenseInfo, 9, 11, 1, 1) = 0, "", OFFSET('IWP15'!Std3LicenseInfo, 9, 11, 1, 1))</f>
        <v/>
      </c>
    </row>
    <row r="893" spans="1:7" s="146" customFormat="1">
      <c r="A893" s="183" t="s">
        <v>513</v>
      </c>
      <c r="B893" s="195" t="str">
        <f ca="1">IF(OFFSET('IWP15'!Std3LicenseInfo, 10, 0, 1, 1) = 0, "", OFFSET('IWP15'!Std3LicenseInfo, 10, 0, 1, 1))</f>
        <v/>
      </c>
      <c r="C893" s="195" t="str">
        <f ca="1">IF(OFFSET('IWP15'!Std3LicenseInfo, 10, 3, 1, 1) = 0, "", OFFSET('IWP15'!Std3LicenseInfo, 10, 3, 1, 1))</f>
        <v/>
      </c>
      <c r="D893" s="195" t="str">
        <f ca="1">IF(OFFSET('IWP15'!Std3LicenseInfo, 10, 6, 1, 1) = 0, "", OFFSET('IWP15'!Std3LicenseInfo, 10, 6, 1, 1))</f>
        <v/>
      </c>
      <c r="E893" s="172">
        <f ca="1">IF(OFFSET('IWP15'!Std3LicenseInfo, 10, 9, 1, 1)=DATE(1900,1,0), DATE(1900,1,1), OFFSET('IWP15'!Std3LicenseInfo, 10, 9, 1, 1))</f>
        <v>1</v>
      </c>
      <c r="F893" s="172">
        <f ca="1">IF(OFFSET('IWP15'!Std3LicenseInfo, 10, 10, 1, 1)=DATE(1900,1,0), DATE(1900,1,1), OFFSET('IWP15'!Std3LicenseInfo, 10, 10, 1, 1))</f>
        <v>1</v>
      </c>
      <c r="G893" s="194" t="str">
        <f ca="1">IF(OFFSET('IWP15'!Std3LicenseInfo, 10, 11, 1, 1) = 0, "", OFFSET('IWP15'!Std3LicenseInfo, 10, 11, 1, 1))</f>
        <v/>
      </c>
    </row>
    <row r="894" spans="1:7" s="146" customFormat="1">
      <c r="A894" s="183" t="s">
        <v>513</v>
      </c>
      <c r="B894" s="195" t="str">
        <f ca="1">IF(OFFSET('IWP15'!Std3LicenseInfo, 11, 0, 1, 1) = 0, "", OFFSET('IWP15'!Std3LicenseInfo, 11, 0, 1, 1))</f>
        <v/>
      </c>
      <c r="C894" s="195" t="str">
        <f ca="1">IF(OFFSET('IWP15'!Std3LicenseInfo, 11, 3, 1, 1) = 0, "", OFFSET('IWP15'!Std3LicenseInfo, 11, 3, 1, 1))</f>
        <v/>
      </c>
      <c r="D894" s="195" t="str">
        <f ca="1">IF(OFFSET('IWP15'!Std3LicenseInfo, 11, 6, 1, 1) = 0, "", OFFSET('IWP15'!Std3LicenseInfo, 11, 6, 1, 1))</f>
        <v/>
      </c>
      <c r="E894" s="172">
        <f ca="1">IF(OFFSET('IWP15'!Std3LicenseInfo, 11, 9, 1, 1)=DATE(1900,1,0), DATE(1900,1,1), OFFSET('IWP15'!Std3LicenseInfo, 11, 9, 1, 1))</f>
        <v>1</v>
      </c>
      <c r="F894" s="172">
        <f ca="1">IF(OFFSET('IWP15'!Std3LicenseInfo, 11, 10, 1, 1)=DATE(1900,1,0), DATE(1900,1,1), OFFSET('IWP15'!Std3LicenseInfo, 11, 10, 1, 1))</f>
        <v>1</v>
      </c>
      <c r="G894" s="194" t="str">
        <f ca="1">IF(OFFSET('IWP15'!Std3LicenseInfo, 11, 11, 1, 1) = 0, "", OFFSET('IWP15'!Std3LicenseInfo, 11, 11, 1, 1))</f>
        <v/>
      </c>
    </row>
    <row r="895" spans="1:7" s="146" customFormat="1">
      <c r="A895" s="183" t="s">
        <v>513</v>
      </c>
      <c r="B895" s="195" t="str">
        <f ca="1">IF(OFFSET('IWP15'!Std3LicenseInfo, 12, 0, 1, 1) = 0, "", OFFSET('IWP15'!Std3LicenseInfo, 12, 0, 1, 1))</f>
        <v/>
      </c>
      <c r="C895" s="195" t="str">
        <f ca="1">IF(OFFSET('IWP15'!Std3LicenseInfo, 12, 3, 1, 1) = 0, "", OFFSET('IWP15'!Std3LicenseInfo, 12, 3, 1, 1))</f>
        <v/>
      </c>
      <c r="D895" s="195" t="str">
        <f ca="1">IF(OFFSET('IWP15'!Std3LicenseInfo, 12, 6, 1, 1) = 0, "", OFFSET('IWP15'!Std3LicenseInfo, 12, 6, 1, 1))</f>
        <v/>
      </c>
      <c r="E895" s="172">
        <f ca="1">IF(OFFSET('IWP15'!Std3LicenseInfo, 12, 9, 1, 1)=DATE(1900,1,0), DATE(1900,1,1), OFFSET('IWP15'!Std3LicenseInfo, 12, 9, 1, 1))</f>
        <v>1</v>
      </c>
      <c r="F895" s="172">
        <f ca="1">IF(OFFSET('IWP15'!Std3LicenseInfo, 12, 10, 1, 1)=DATE(1900,1,0), DATE(1900,1,1), OFFSET('IWP15'!Std3LicenseInfo, 12, 10, 1, 1))</f>
        <v>1</v>
      </c>
      <c r="G895" s="194" t="str">
        <f ca="1">IF(OFFSET('IWP15'!Std3LicenseInfo, 12, 11, 1, 1) = 0, "", OFFSET('IWP15'!Std3LicenseInfo, 12, 11, 1, 1))</f>
        <v/>
      </c>
    </row>
    <row r="896" spans="1:7" s="146" customFormat="1">
      <c r="A896" s="183" t="s">
        <v>513</v>
      </c>
      <c r="B896" s="195" t="str">
        <f ca="1">IF(OFFSET('IWP15'!Std3LicenseInfo, 13, 0, 1, 1) = 0, "", OFFSET('IWP15'!Std3LicenseInfo, 13, 0, 1, 1))</f>
        <v/>
      </c>
      <c r="C896" s="195" t="str">
        <f ca="1">IF(OFFSET('IWP15'!Std3LicenseInfo, 13, 3, 1, 1) = 0, "", OFFSET('IWP15'!Std3LicenseInfo, 13, 3, 1, 1))</f>
        <v/>
      </c>
      <c r="D896" s="195" t="str">
        <f ca="1">IF(OFFSET('IWP15'!Std3LicenseInfo, 13, 6, 1, 1) = 0, "", OFFSET('IWP15'!Std3LicenseInfo, 13, 6, 1, 1))</f>
        <v/>
      </c>
      <c r="E896" s="172">
        <f ca="1">IF(OFFSET('IWP15'!Std3LicenseInfo, 13, 9, 1, 1)=DATE(1900,1,0), DATE(1900,1,1), OFFSET('IWP15'!Std3LicenseInfo, 13, 9, 1, 1))</f>
        <v>1</v>
      </c>
      <c r="F896" s="172">
        <f ca="1">IF(OFFSET('IWP15'!Std3LicenseInfo, 13, 10, 1, 1)=DATE(1900,1,0), DATE(1900,1,1), OFFSET('IWP15'!Std3LicenseInfo, 13, 10, 1, 1))</f>
        <v>1</v>
      </c>
      <c r="G896" s="194" t="str">
        <f ca="1">IF(OFFSET('IWP15'!Std3LicenseInfo, 13, 11, 1, 1) = 0, "", OFFSET('IWP15'!Std3LicenseInfo, 13, 11, 1, 1))</f>
        <v/>
      </c>
    </row>
    <row r="897" spans="1:7" s="146" customFormat="1">
      <c r="A897" s="183" t="s">
        <v>514</v>
      </c>
      <c r="B897" s="195" t="str">
        <f ca="1">IF(OFFSET('IWP16'!Std3LicenseInfo, 0, 0, 1, 1) = 0, "", OFFSET('IWP16'!Std3LicenseInfo, 0, 0, 1, 1))</f>
        <v/>
      </c>
      <c r="C897" s="195" t="str">
        <f ca="1">IF(OFFSET('IWP16'!Std3LicenseInfo, 0, 3, 1, 1) = 0, "", OFFSET('IWP16'!Std3LicenseInfo, 0, 3, 1, 1))</f>
        <v/>
      </c>
      <c r="D897" s="195" t="str">
        <f ca="1">IF(OFFSET('IWP16'!Std3LicenseInfo, 0, 6, 1, 1) = 0, "", OFFSET('IWP16'!Std3LicenseInfo, 0, 6, 1, 1))</f>
        <v/>
      </c>
      <c r="E897" s="172">
        <f ca="1">IF(OFFSET('IWP16'!Std3LicenseInfo, 0, 9, 1, 1)=DATE(1900,1,0), DATE(1900,1,1), OFFSET('IWP16'!Std3LicenseInfo, 0, 9, 1, 1))</f>
        <v>1</v>
      </c>
      <c r="F897" s="172">
        <f ca="1">IF(OFFSET('IWP16'!Std3LicenseInfo, 0, 10, 1, 1)=DATE(1900,1,0), DATE(1900,1,1), OFFSET('IWP16'!Std3LicenseInfo, 0, 10, 1, 1))</f>
        <v>1</v>
      </c>
      <c r="G897" s="194" t="str">
        <f ca="1">IF(OFFSET('IWP16'!Std3LicenseInfo, 0, 11, 1, 1) = 0, "", OFFSET('IWP16'!Std3LicenseInfo, 0, 11, 1, 1))</f>
        <v/>
      </c>
    </row>
    <row r="898" spans="1:7" s="146" customFormat="1">
      <c r="A898" s="183" t="s">
        <v>514</v>
      </c>
      <c r="B898" s="195" t="str">
        <f ca="1">IF(OFFSET('IWP16'!Std3LicenseInfo, 1, 0, 1, 1) = 0, "", OFFSET('IWP16'!Std3LicenseInfo, 1, 0, 1, 1))</f>
        <v/>
      </c>
      <c r="C898" s="195" t="str">
        <f ca="1">IF(OFFSET('IWP16'!Std3LicenseInfo, 1, 3, 1, 1) = 0, "", OFFSET('IWP16'!Std3LicenseInfo, 1, 3, 1, 1))</f>
        <v/>
      </c>
      <c r="D898" s="195" t="str">
        <f ca="1">IF(OFFSET('IWP16'!Std3LicenseInfo, 1, 6, 1, 1) = 0, "", OFFSET('IWP16'!Std3LicenseInfo, 1, 6, 1, 1))</f>
        <v/>
      </c>
      <c r="E898" s="172">
        <f ca="1">IF(OFFSET('IWP16'!Std3LicenseInfo, 1, 9, 1, 1)=DATE(1900,1,0), DATE(1900,1,1), OFFSET('IWP16'!Std3LicenseInfo, 1, 9, 1, 1))</f>
        <v>1</v>
      </c>
      <c r="F898" s="172">
        <f ca="1">IF(OFFSET('IWP16'!Std3LicenseInfo, 1, 10, 1, 1)=DATE(1900,1,0), DATE(1900,1,1), OFFSET('IWP16'!Std3LicenseInfo, 1, 10, 1, 1))</f>
        <v>1</v>
      </c>
      <c r="G898" s="194" t="str">
        <f ca="1">IF(OFFSET('IWP16'!Std3LicenseInfo, 1, 11, 1, 1) = 0, "", OFFSET('IWP16'!Std3LicenseInfo, 1, 11, 1, 1))</f>
        <v/>
      </c>
    </row>
    <row r="899" spans="1:7" s="146" customFormat="1">
      <c r="A899" s="183" t="s">
        <v>514</v>
      </c>
      <c r="B899" s="195" t="str">
        <f ca="1">IF(OFFSET('IWP16'!Std3LicenseInfo, 2, 0, 1, 1) = 0, "", OFFSET('IWP16'!Std3LicenseInfo, 2, 0, 1, 1))</f>
        <v/>
      </c>
      <c r="C899" s="195" t="str">
        <f ca="1">IF(OFFSET('IWP16'!Std3LicenseInfo, 2, 3, 1, 1) = 0, "", OFFSET('IWP16'!Std3LicenseInfo, 2, 3, 1, 1))</f>
        <v/>
      </c>
      <c r="D899" s="195" t="str">
        <f ca="1">IF(OFFSET('IWP16'!Std3LicenseInfo, 2, 6, 1, 1) = 0, "", OFFSET('IWP16'!Std3LicenseInfo, 2, 6, 1, 1))</f>
        <v/>
      </c>
      <c r="E899" s="172">
        <f ca="1">IF(OFFSET('IWP16'!Std3LicenseInfo, 2, 9, 1, 1)=DATE(1900,1,0), DATE(1900,1,1), OFFSET('IWP16'!Std3LicenseInfo, 2, 9, 1, 1))</f>
        <v>1</v>
      </c>
      <c r="F899" s="172">
        <f ca="1">IF(OFFSET('IWP16'!Std3LicenseInfo, 2, 10, 1, 1)=DATE(1900,1,0), DATE(1900,1,1), OFFSET('IWP16'!Std3LicenseInfo, 2, 10, 1, 1))</f>
        <v>1</v>
      </c>
      <c r="G899" s="194" t="str">
        <f ca="1">IF(OFFSET('IWP16'!Std3LicenseInfo, 2, 11, 1, 1) = 0, "", OFFSET('IWP16'!Std3LicenseInfo, 2, 11, 1, 1))</f>
        <v/>
      </c>
    </row>
    <row r="900" spans="1:7" s="146" customFormat="1">
      <c r="A900" s="183" t="s">
        <v>514</v>
      </c>
      <c r="B900" s="195" t="str">
        <f ca="1">IF(OFFSET('IWP16'!Std3LicenseInfo, 3, 0, 1, 1) = 0, "", OFFSET('IWP16'!Std3LicenseInfo, 3, 0, 1, 1))</f>
        <v/>
      </c>
      <c r="C900" s="195" t="str">
        <f ca="1">IF(OFFSET('IWP16'!Std3LicenseInfo, 3, 3, 1, 1) = 0, "", OFFSET('IWP16'!Std3LicenseInfo, 3, 3, 1, 1))</f>
        <v/>
      </c>
      <c r="D900" s="195" t="str">
        <f ca="1">IF(OFFSET('IWP16'!Std3LicenseInfo, 3, 6, 1, 1) = 0, "", OFFSET('IWP16'!Std3LicenseInfo, 3, 6, 1, 1))</f>
        <v/>
      </c>
      <c r="E900" s="172">
        <f ca="1">IF(OFFSET('IWP16'!Std3LicenseInfo, 3, 9, 1, 1)=DATE(1900,1,0), DATE(1900,1,1), OFFSET('IWP16'!Std3LicenseInfo, 3, 9, 1, 1))</f>
        <v>1</v>
      </c>
      <c r="F900" s="172">
        <f ca="1">IF(OFFSET('IWP16'!Std3LicenseInfo, 3, 10, 1, 1)=DATE(1900,1,0), DATE(1900,1,1), OFFSET('IWP16'!Std3LicenseInfo, 3, 10, 1, 1))</f>
        <v>1</v>
      </c>
      <c r="G900" s="194" t="str">
        <f ca="1">IF(OFFSET('IWP16'!Std3LicenseInfo, 3, 11, 1, 1) = 0, "", OFFSET('IWP16'!Std3LicenseInfo, 3, 11, 1, 1))</f>
        <v/>
      </c>
    </row>
    <row r="901" spans="1:7" s="146" customFormat="1">
      <c r="A901" s="183" t="s">
        <v>514</v>
      </c>
      <c r="B901" s="195" t="str">
        <f ca="1">IF(OFFSET('IWP16'!Std3LicenseInfo, 4, 0, 1, 1) = 0, "", OFFSET('IWP16'!Std3LicenseInfo, 4, 0, 1, 1))</f>
        <v/>
      </c>
      <c r="C901" s="195" t="str">
        <f ca="1">IF(OFFSET('IWP16'!Std3LicenseInfo, 4, 3, 1, 1) = 0, "", OFFSET('IWP16'!Std3LicenseInfo, 4, 3, 1, 1))</f>
        <v/>
      </c>
      <c r="D901" s="195" t="str">
        <f ca="1">IF(OFFSET('IWP16'!Std3LicenseInfo, 4, 6, 1, 1) = 0, "", OFFSET('IWP16'!Std3LicenseInfo, 4, 6, 1, 1))</f>
        <v/>
      </c>
      <c r="E901" s="172">
        <f ca="1">IF(OFFSET('IWP16'!Std3LicenseInfo, 4, 9, 1, 1)=DATE(1900,1,0), DATE(1900,1,1), OFFSET('IWP16'!Std3LicenseInfo, 4, 9, 1, 1))</f>
        <v>1</v>
      </c>
      <c r="F901" s="172">
        <f ca="1">IF(OFFSET('IWP16'!Std3LicenseInfo, 4, 10, 1, 1)=DATE(1900,1,0), DATE(1900,1,1), OFFSET('IWP16'!Std3LicenseInfo, 4, 10, 1, 1))</f>
        <v>1</v>
      </c>
      <c r="G901" s="194" t="str">
        <f ca="1">IF(OFFSET('IWP16'!Std3LicenseInfo, 4, 11, 1, 1) = 0, "", OFFSET('IWP16'!Std3LicenseInfo, 4, 11, 1, 1))</f>
        <v/>
      </c>
    </row>
    <row r="902" spans="1:7" s="146" customFormat="1">
      <c r="A902" s="183" t="s">
        <v>514</v>
      </c>
      <c r="B902" s="195" t="str">
        <f ca="1">IF(OFFSET('IWP16'!Std3LicenseInfo, 5, 0, 1, 1) = 0, "", OFFSET('IWP16'!Std3LicenseInfo, 5, 0, 1, 1))</f>
        <v/>
      </c>
      <c r="C902" s="195" t="str">
        <f ca="1">IF(OFFSET('IWP16'!Std3LicenseInfo, 5, 3, 1, 1) = 0, "", OFFSET('IWP16'!Std3LicenseInfo, 5, 3, 1, 1))</f>
        <v/>
      </c>
      <c r="D902" s="195" t="str">
        <f ca="1">IF(OFFSET('IWP16'!Std3LicenseInfo, 5, 6, 1, 1) = 0, "", OFFSET('IWP16'!Std3LicenseInfo, 5, 6, 1, 1))</f>
        <v/>
      </c>
      <c r="E902" s="172">
        <f ca="1">IF(OFFSET('IWP16'!Std3LicenseInfo, 5, 9, 1, 1)=DATE(1900,1,0), DATE(1900,1,1), OFFSET('IWP16'!Std3LicenseInfo, 5, 9, 1, 1))</f>
        <v>1</v>
      </c>
      <c r="F902" s="172">
        <f ca="1">IF(OFFSET('IWP16'!Std3LicenseInfo, 5, 10, 1, 1)=DATE(1900,1,0), DATE(1900,1,1), OFFSET('IWP16'!Std3LicenseInfo, 5, 10, 1, 1))</f>
        <v>1</v>
      </c>
      <c r="G902" s="194" t="str">
        <f ca="1">IF(OFFSET('IWP16'!Std3LicenseInfo, 5, 11, 1, 1) = 0, "", OFFSET('IWP16'!Std3LicenseInfo, 5, 11, 1, 1))</f>
        <v/>
      </c>
    </row>
    <row r="903" spans="1:7" s="146" customFormat="1">
      <c r="A903" s="183" t="s">
        <v>514</v>
      </c>
      <c r="B903" s="195" t="str">
        <f ca="1">IF(OFFSET('IWP16'!Std3LicenseInfo, 6, 0, 1, 1) = 0, "", OFFSET('IWP16'!Std3LicenseInfo, 6, 0, 1, 1))</f>
        <v/>
      </c>
      <c r="C903" s="195" t="str">
        <f ca="1">IF(OFFSET('IWP16'!Std3LicenseInfo, 6, 3, 1, 1) = 0, "", OFFSET('IWP16'!Std3LicenseInfo, 6, 3, 1, 1))</f>
        <v/>
      </c>
      <c r="D903" s="195" t="str">
        <f ca="1">IF(OFFSET('IWP16'!Std3LicenseInfo, 6, 6, 1, 1) = 0, "", OFFSET('IWP16'!Std3LicenseInfo, 6, 6, 1, 1))</f>
        <v/>
      </c>
      <c r="E903" s="172">
        <f ca="1">IF(OFFSET('IWP16'!Std3LicenseInfo, 6, 9, 1, 1)=DATE(1900,1,0), DATE(1900,1,1), OFFSET('IWP16'!Std3LicenseInfo, 6, 9, 1, 1))</f>
        <v>1</v>
      </c>
      <c r="F903" s="172">
        <f ca="1">IF(OFFSET('IWP16'!Std3LicenseInfo, 6, 10, 1, 1)=DATE(1900,1,0), DATE(1900,1,1), OFFSET('IWP16'!Std3LicenseInfo, 6, 10, 1, 1))</f>
        <v>1</v>
      </c>
      <c r="G903" s="194" t="str">
        <f ca="1">IF(OFFSET('IWP16'!Std3LicenseInfo, 6, 11, 1, 1) = 0, "", OFFSET('IWP16'!Std3LicenseInfo, 6, 11, 1, 1))</f>
        <v/>
      </c>
    </row>
    <row r="904" spans="1:7" s="146" customFormat="1">
      <c r="A904" s="183" t="s">
        <v>514</v>
      </c>
      <c r="B904" s="195" t="str">
        <f ca="1">IF(OFFSET('IWP16'!Std3LicenseInfo, 7, 0, 1, 1) = 0, "", OFFSET('IWP16'!Std3LicenseInfo, 7, 0, 1, 1))</f>
        <v/>
      </c>
      <c r="C904" s="195" t="str">
        <f ca="1">IF(OFFSET('IWP16'!Std3LicenseInfo, 7, 3, 1, 1) = 0, "", OFFSET('IWP16'!Std3LicenseInfo, 7, 3, 1, 1))</f>
        <v/>
      </c>
      <c r="D904" s="195" t="str">
        <f ca="1">IF(OFFSET('IWP16'!Std3LicenseInfo, 7, 6, 1, 1) = 0, "", OFFSET('IWP16'!Std3LicenseInfo, 7, 6, 1, 1))</f>
        <v/>
      </c>
      <c r="E904" s="172">
        <f ca="1">IF(OFFSET('IWP16'!Std3LicenseInfo, 7, 9, 1, 1)=DATE(1900,1,0), DATE(1900,1,1), OFFSET('IWP16'!Std3LicenseInfo, 7, 9, 1, 1))</f>
        <v>1</v>
      </c>
      <c r="F904" s="172">
        <f ca="1">IF(OFFSET('IWP16'!Std3LicenseInfo, 7, 10, 1, 1)=DATE(1900,1,0), DATE(1900,1,1), OFFSET('IWP16'!Std3LicenseInfo, 7, 10, 1, 1))</f>
        <v>1</v>
      </c>
      <c r="G904" s="194" t="str">
        <f ca="1">IF(OFFSET('IWP16'!Std3LicenseInfo, 7, 11, 1, 1) = 0, "", OFFSET('IWP16'!Std3LicenseInfo, 7, 11, 1, 1))</f>
        <v/>
      </c>
    </row>
    <row r="905" spans="1:7" s="146" customFormat="1">
      <c r="A905" s="183" t="s">
        <v>514</v>
      </c>
      <c r="B905" s="195" t="str">
        <f ca="1">IF(OFFSET('IWP16'!Std3LicenseInfo, 8, 0, 1, 1) = 0, "", OFFSET('IWP16'!Std3LicenseInfo, 8, 0, 1, 1))</f>
        <v/>
      </c>
      <c r="C905" s="195" t="str">
        <f ca="1">IF(OFFSET('IWP16'!Std3LicenseInfo, 8, 3, 1, 1) = 0, "", OFFSET('IWP16'!Std3LicenseInfo, 8, 3, 1, 1))</f>
        <v/>
      </c>
      <c r="D905" s="195" t="str">
        <f ca="1">IF(OFFSET('IWP16'!Std3LicenseInfo, 8, 6, 1, 1) = 0, "", OFFSET('IWP16'!Std3LicenseInfo, 8, 6, 1, 1))</f>
        <v/>
      </c>
      <c r="E905" s="172">
        <f ca="1">IF(OFFSET('IWP16'!Std3LicenseInfo, 8, 9, 1, 1)=DATE(1900,1,0), DATE(1900,1,1), OFFSET('IWP16'!Std3LicenseInfo, 8, 9, 1, 1))</f>
        <v>1</v>
      </c>
      <c r="F905" s="172">
        <f ca="1">IF(OFFSET('IWP16'!Std3LicenseInfo, 8, 10, 1, 1)=DATE(1900,1,0), DATE(1900,1,1), OFFSET('IWP16'!Std3LicenseInfo, 8, 10, 1, 1))</f>
        <v>1</v>
      </c>
      <c r="G905" s="194" t="str">
        <f ca="1">IF(OFFSET('IWP16'!Std3LicenseInfo, 8, 11, 1, 1) = 0, "", OFFSET('IWP16'!Std3LicenseInfo, 8, 11, 1, 1))</f>
        <v/>
      </c>
    </row>
    <row r="906" spans="1:7" s="146" customFormat="1">
      <c r="A906" s="183" t="s">
        <v>514</v>
      </c>
      <c r="B906" s="195" t="str">
        <f ca="1">IF(OFFSET('IWP16'!Std3LicenseInfo, 9, 0, 1, 1) = 0, "", OFFSET('IWP16'!Std3LicenseInfo, 9, 0, 1, 1))</f>
        <v/>
      </c>
      <c r="C906" s="195" t="str">
        <f ca="1">IF(OFFSET('IWP16'!Std3LicenseInfo, 9, 3, 1, 1) = 0, "", OFFSET('IWP16'!Std3LicenseInfo, 9, 3, 1, 1))</f>
        <v/>
      </c>
      <c r="D906" s="195" t="str">
        <f ca="1">IF(OFFSET('IWP16'!Std3LicenseInfo, 9, 6, 1, 1) = 0, "", OFFSET('IWP16'!Std3LicenseInfo, 9, 6, 1, 1))</f>
        <v/>
      </c>
      <c r="E906" s="172">
        <f ca="1">IF(OFFSET('IWP16'!Std3LicenseInfo, 9, 9, 1, 1)=DATE(1900,1,0), DATE(1900,1,1), OFFSET('IWP16'!Std3LicenseInfo, 9, 9, 1, 1))</f>
        <v>1</v>
      </c>
      <c r="F906" s="172">
        <f ca="1">IF(OFFSET('IWP16'!Std3LicenseInfo, 9, 10, 1, 1)=DATE(1900,1,0), DATE(1900,1,1), OFFSET('IWP16'!Std3LicenseInfo, 9, 10, 1, 1))</f>
        <v>1</v>
      </c>
      <c r="G906" s="194" t="str">
        <f ca="1">IF(OFFSET('IWP16'!Std3LicenseInfo, 9, 11, 1, 1) = 0, "", OFFSET('IWP16'!Std3LicenseInfo, 9, 11, 1, 1))</f>
        <v/>
      </c>
    </row>
    <row r="907" spans="1:7" s="146" customFormat="1">
      <c r="A907" s="183" t="s">
        <v>514</v>
      </c>
      <c r="B907" s="195" t="str">
        <f ca="1">IF(OFFSET('IWP16'!Std3LicenseInfo, 10, 0, 1, 1) = 0, "", OFFSET('IWP16'!Std3LicenseInfo, 10, 0, 1, 1))</f>
        <v/>
      </c>
      <c r="C907" s="195" t="str">
        <f ca="1">IF(OFFSET('IWP16'!Std3LicenseInfo, 10, 3, 1, 1) = 0, "", OFFSET('IWP16'!Std3LicenseInfo, 10, 3, 1, 1))</f>
        <v/>
      </c>
      <c r="D907" s="195" t="str">
        <f ca="1">IF(OFFSET('IWP16'!Std3LicenseInfo, 10, 6, 1, 1) = 0, "", OFFSET('IWP16'!Std3LicenseInfo, 10, 6, 1, 1))</f>
        <v/>
      </c>
      <c r="E907" s="172">
        <f ca="1">IF(OFFSET('IWP16'!Std3LicenseInfo, 10, 9, 1, 1)=DATE(1900,1,0), DATE(1900,1,1), OFFSET('IWP16'!Std3LicenseInfo, 10, 9, 1, 1))</f>
        <v>1</v>
      </c>
      <c r="F907" s="172">
        <f ca="1">IF(OFFSET('IWP16'!Std3LicenseInfo, 10, 10, 1, 1)=DATE(1900,1,0), DATE(1900,1,1), OFFSET('IWP16'!Std3LicenseInfo, 10, 10, 1, 1))</f>
        <v>1</v>
      </c>
      <c r="G907" s="194" t="str">
        <f ca="1">IF(OFFSET('IWP16'!Std3LicenseInfo, 10, 11, 1, 1) = 0, "", OFFSET('IWP16'!Std3LicenseInfo, 10, 11, 1, 1))</f>
        <v/>
      </c>
    </row>
    <row r="908" spans="1:7" s="146" customFormat="1">
      <c r="A908" s="183" t="s">
        <v>514</v>
      </c>
      <c r="B908" s="195" t="str">
        <f ca="1">IF(OFFSET('IWP16'!Std3LicenseInfo, 11, 0, 1, 1) = 0, "", OFFSET('IWP16'!Std3LicenseInfo, 11, 0, 1, 1))</f>
        <v/>
      </c>
      <c r="C908" s="195" t="str">
        <f ca="1">IF(OFFSET('IWP16'!Std3LicenseInfo, 11, 3, 1, 1) = 0, "", OFFSET('IWP16'!Std3LicenseInfo, 11, 3, 1, 1))</f>
        <v/>
      </c>
      <c r="D908" s="195" t="str">
        <f ca="1">IF(OFFSET('IWP16'!Std3LicenseInfo, 11, 6, 1, 1) = 0, "", OFFSET('IWP16'!Std3LicenseInfo, 11, 6, 1, 1))</f>
        <v/>
      </c>
      <c r="E908" s="172">
        <f ca="1">IF(OFFSET('IWP16'!Std3LicenseInfo, 11, 9, 1, 1)=DATE(1900,1,0), DATE(1900,1,1), OFFSET('IWP16'!Std3LicenseInfo, 11, 9, 1, 1))</f>
        <v>1</v>
      </c>
      <c r="F908" s="172">
        <f ca="1">IF(OFFSET('IWP16'!Std3LicenseInfo, 11, 10, 1, 1)=DATE(1900,1,0), DATE(1900,1,1), OFFSET('IWP16'!Std3LicenseInfo, 11, 10, 1, 1))</f>
        <v>1</v>
      </c>
      <c r="G908" s="194" t="str">
        <f ca="1">IF(OFFSET('IWP16'!Std3LicenseInfo, 11, 11, 1, 1) = 0, "", OFFSET('IWP16'!Std3LicenseInfo, 11, 11, 1, 1))</f>
        <v/>
      </c>
    </row>
    <row r="909" spans="1:7" s="146" customFormat="1">
      <c r="A909" s="183" t="s">
        <v>514</v>
      </c>
      <c r="B909" s="195" t="str">
        <f ca="1">IF(OFFSET('IWP16'!Std3LicenseInfo, 12, 0, 1, 1) = 0, "", OFFSET('IWP16'!Std3LicenseInfo, 12, 0, 1, 1))</f>
        <v/>
      </c>
      <c r="C909" s="195" t="str">
        <f ca="1">IF(OFFSET('IWP16'!Std3LicenseInfo, 12, 3, 1, 1) = 0, "", OFFSET('IWP16'!Std3LicenseInfo, 12, 3, 1, 1))</f>
        <v/>
      </c>
      <c r="D909" s="195" t="str">
        <f ca="1">IF(OFFSET('IWP16'!Std3LicenseInfo, 12, 6, 1, 1) = 0, "", OFFSET('IWP16'!Std3LicenseInfo, 12, 6, 1, 1))</f>
        <v/>
      </c>
      <c r="E909" s="172">
        <f ca="1">IF(OFFSET('IWP16'!Std3LicenseInfo, 12, 9, 1, 1)=DATE(1900,1,0), DATE(1900,1,1), OFFSET('IWP16'!Std3LicenseInfo, 12, 9, 1, 1))</f>
        <v>1</v>
      </c>
      <c r="F909" s="172">
        <f ca="1">IF(OFFSET('IWP16'!Std3LicenseInfo, 12, 10, 1, 1)=DATE(1900,1,0), DATE(1900,1,1), OFFSET('IWP16'!Std3LicenseInfo, 12, 10, 1, 1))</f>
        <v>1</v>
      </c>
      <c r="G909" s="194" t="str">
        <f ca="1">IF(OFFSET('IWP16'!Std3LicenseInfo, 12, 11, 1, 1) = 0, "", OFFSET('IWP16'!Std3LicenseInfo, 12, 11, 1, 1))</f>
        <v/>
      </c>
    </row>
    <row r="910" spans="1:7" s="146" customFormat="1">
      <c r="A910" s="183" t="s">
        <v>514</v>
      </c>
      <c r="B910" s="195" t="str">
        <f ca="1">IF(OFFSET('IWP16'!Std3LicenseInfo, 13, 0, 1, 1) = 0, "", OFFSET('IWP16'!Std3LicenseInfo, 13, 0, 1, 1))</f>
        <v/>
      </c>
      <c r="C910" s="195" t="str">
        <f ca="1">IF(OFFSET('IWP16'!Std3LicenseInfo, 13, 3, 1, 1) = 0, "", OFFSET('IWP16'!Std3LicenseInfo, 13, 3, 1, 1))</f>
        <v/>
      </c>
      <c r="D910" s="195" t="str">
        <f ca="1">IF(OFFSET('IWP16'!Std3LicenseInfo, 13, 6, 1, 1) = 0, "", OFFSET('IWP16'!Std3LicenseInfo, 13, 6, 1, 1))</f>
        <v/>
      </c>
      <c r="E910" s="172">
        <f ca="1">IF(OFFSET('IWP16'!Std3LicenseInfo, 13, 9, 1, 1)=DATE(1900,1,0), DATE(1900,1,1), OFFSET('IWP16'!Std3LicenseInfo, 13, 9, 1, 1))</f>
        <v>1</v>
      </c>
      <c r="F910" s="172">
        <f ca="1">IF(OFFSET('IWP16'!Std3LicenseInfo, 13, 10, 1, 1)=DATE(1900,1,0), DATE(1900,1,1), OFFSET('IWP16'!Std3LicenseInfo, 13, 10, 1, 1))</f>
        <v>1</v>
      </c>
      <c r="G910" s="194" t="str">
        <f ca="1">IF(OFFSET('IWP16'!Std3LicenseInfo, 13, 11, 1, 1) = 0, "", OFFSET('IWP16'!Std3LicenseInfo, 13, 11, 1, 1))</f>
        <v/>
      </c>
    </row>
    <row r="911" spans="1:7" s="146" customFormat="1">
      <c r="A911" s="183" t="s">
        <v>515</v>
      </c>
      <c r="B911" s="195" t="str">
        <f ca="1">IF(OFFSET('IWP17'!Std3LicenseInfo, 0, 0, 1, 1) = 0, "", OFFSET('IWP17'!Std3LicenseInfo, 0, 0, 1, 1))</f>
        <v/>
      </c>
      <c r="C911" s="195" t="str">
        <f ca="1">IF(OFFSET('IWP17'!Std3LicenseInfo, 0, 3, 1, 1) = 0, "", OFFSET('IWP17'!Std3LicenseInfo, 0, 3, 1, 1))</f>
        <v/>
      </c>
      <c r="D911" s="195" t="str">
        <f ca="1">IF(OFFSET('IWP17'!Std3LicenseInfo, 0, 6, 1, 1) = 0, "", OFFSET('IWP17'!Std3LicenseInfo, 0, 6, 1, 1))</f>
        <v/>
      </c>
      <c r="E911" s="172">
        <f ca="1">IF(OFFSET('IWP17'!Std3LicenseInfo, 0, 9, 1, 1)=DATE(1900,1,0), DATE(1900,1,1), OFFSET('IWP17'!Std3LicenseInfo, 0, 9, 1, 1))</f>
        <v>1</v>
      </c>
      <c r="F911" s="172">
        <f ca="1">IF(OFFSET('IWP17'!Std3LicenseInfo, 0, 10, 1, 1)=DATE(1900,1,0), DATE(1900,1,1), OFFSET('IWP17'!Std3LicenseInfo, 0, 10, 1, 1))</f>
        <v>1</v>
      </c>
      <c r="G911" s="194" t="str">
        <f ca="1">IF(OFFSET('IWP17'!Std3LicenseInfo, 0, 11, 1, 1) = 0, "", OFFSET('IWP17'!Std3LicenseInfo, 0, 11, 1, 1))</f>
        <v/>
      </c>
    </row>
    <row r="912" spans="1:7" s="146" customFormat="1">
      <c r="A912" s="183" t="s">
        <v>515</v>
      </c>
      <c r="B912" s="195" t="str">
        <f ca="1">IF(OFFSET('IWP17'!Std3LicenseInfo, 1, 0, 1, 1) = 0, "", OFFSET('IWP17'!Std3LicenseInfo, 1, 0, 1, 1))</f>
        <v/>
      </c>
      <c r="C912" s="195" t="str">
        <f ca="1">IF(OFFSET('IWP17'!Std3LicenseInfo, 1, 3, 1, 1) = 0, "", OFFSET('IWP17'!Std3LicenseInfo, 1, 3, 1, 1))</f>
        <v/>
      </c>
      <c r="D912" s="195" t="str">
        <f ca="1">IF(OFFSET('IWP17'!Std3LicenseInfo, 1, 6, 1, 1) = 0, "", OFFSET('IWP17'!Std3LicenseInfo, 1, 6, 1, 1))</f>
        <v/>
      </c>
      <c r="E912" s="172">
        <f ca="1">IF(OFFSET('IWP17'!Std3LicenseInfo, 1, 9, 1, 1)=DATE(1900,1,0), DATE(1900,1,1), OFFSET('IWP17'!Std3LicenseInfo, 1, 9, 1, 1))</f>
        <v>1</v>
      </c>
      <c r="F912" s="172">
        <f ca="1">IF(OFFSET('IWP17'!Std3LicenseInfo, 1, 10, 1, 1)=DATE(1900,1,0), DATE(1900,1,1), OFFSET('IWP17'!Std3LicenseInfo, 1, 10, 1, 1))</f>
        <v>1</v>
      </c>
      <c r="G912" s="194" t="str">
        <f ca="1">IF(OFFSET('IWP17'!Std3LicenseInfo, 1, 11, 1, 1) = 0, "", OFFSET('IWP17'!Std3LicenseInfo, 1, 11, 1, 1))</f>
        <v/>
      </c>
    </row>
    <row r="913" spans="1:7" s="146" customFormat="1">
      <c r="A913" s="183" t="s">
        <v>515</v>
      </c>
      <c r="B913" s="195" t="str">
        <f ca="1">IF(OFFSET('IWP17'!Std3LicenseInfo, 2, 0, 1, 1) = 0, "", OFFSET('IWP17'!Std3LicenseInfo, 2, 0, 1, 1))</f>
        <v/>
      </c>
      <c r="C913" s="195" t="str">
        <f ca="1">IF(OFFSET('IWP17'!Std3LicenseInfo, 2, 3, 1, 1) = 0, "", OFFSET('IWP17'!Std3LicenseInfo, 2, 3, 1, 1))</f>
        <v/>
      </c>
      <c r="D913" s="195" t="str">
        <f ca="1">IF(OFFSET('IWP17'!Std3LicenseInfo, 2, 6, 1, 1) = 0, "", OFFSET('IWP17'!Std3LicenseInfo, 2, 6, 1, 1))</f>
        <v/>
      </c>
      <c r="E913" s="172">
        <f ca="1">IF(OFFSET('IWP17'!Std3LicenseInfo, 2, 9, 1, 1)=DATE(1900,1,0), DATE(1900,1,1), OFFSET('IWP17'!Std3LicenseInfo, 2, 9, 1, 1))</f>
        <v>1</v>
      </c>
      <c r="F913" s="172">
        <f ca="1">IF(OFFSET('IWP17'!Std3LicenseInfo, 2, 10, 1, 1)=DATE(1900,1,0), DATE(1900,1,1), OFFSET('IWP17'!Std3LicenseInfo, 2, 10, 1, 1))</f>
        <v>1</v>
      </c>
      <c r="G913" s="194" t="str">
        <f ca="1">IF(OFFSET('IWP17'!Std3LicenseInfo, 2, 11, 1, 1) = 0, "", OFFSET('IWP17'!Std3LicenseInfo, 2, 11, 1, 1))</f>
        <v/>
      </c>
    </row>
    <row r="914" spans="1:7" s="146" customFormat="1">
      <c r="A914" s="183" t="s">
        <v>515</v>
      </c>
      <c r="B914" s="195" t="str">
        <f ca="1">IF(OFFSET('IWP17'!Std3LicenseInfo, 3, 0, 1, 1) = 0, "", OFFSET('IWP17'!Std3LicenseInfo, 3, 0, 1, 1))</f>
        <v/>
      </c>
      <c r="C914" s="195" t="str">
        <f ca="1">IF(OFFSET('IWP17'!Std3LicenseInfo, 3, 3, 1, 1) = 0, "", OFFSET('IWP17'!Std3LicenseInfo, 3, 3, 1, 1))</f>
        <v/>
      </c>
      <c r="D914" s="195" t="str">
        <f ca="1">IF(OFFSET('IWP17'!Std3LicenseInfo, 3, 6, 1, 1) = 0, "", OFFSET('IWP17'!Std3LicenseInfo, 3, 6, 1, 1))</f>
        <v/>
      </c>
      <c r="E914" s="172">
        <f ca="1">IF(OFFSET('IWP17'!Std3LicenseInfo, 3, 9, 1, 1)=DATE(1900,1,0), DATE(1900,1,1), OFFSET('IWP17'!Std3LicenseInfo, 3, 9, 1, 1))</f>
        <v>1</v>
      </c>
      <c r="F914" s="172">
        <f ca="1">IF(OFFSET('IWP17'!Std3LicenseInfo, 3, 10, 1, 1)=DATE(1900,1,0), DATE(1900,1,1), OFFSET('IWP17'!Std3LicenseInfo, 3, 10, 1, 1))</f>
        <v>1</v>
      </c>
      <c r="G914" s="194" t="str">
        <f ca="1">IF(OFFSET('IWP17'!Std3LicenseInfo, 3, 11, 1, 1) = 0, "", OFFSET('IWP17'!Std3LicenseInfo, 3, 11, 1, 1))</f>
        <v/>
      </c>
    </row>
    <row r="915" spans="1:7" s="146" customFormat="1">
      <c r="A915" s="183" t="s">
        <v>515</v>
      </c>
      <c r="B915" s="195" t="str">
        <f ca="1">IF(OFFSET('IWP17'!Std3LicenseInfo, 4, 0, 1, 1) = 0, "", OFFSET('IWP17'!Std3LicenseInfo, 4, 0, 1, 1))</f>
        <v/>
      </c>
      <c r="C915" s="195" t="str">
        <f ca="1">IF(OFFSET('IWP17'!Std3LicenseInfo, 4, 3, 1, 1) = 0, "", OFFSET('IWP17'!Std3LicenseInfo, 4, 3, 1, 1))</f>
        <v/>
      </c>
      <c r="D915" s="195" t="str">
        <f ca="1">IF(OFFSET('IWP17'!Std3LicenseInfo, 4, 6, 1, 1) = 0, "", OFFSET('IWP17'!Std3LicenseInfo, 4, 6, 1, 1))</f>
        <v/>
      </c>
      <c r="E915" s="172">
        <f ca="1">IF(OFFSET('IWP17'!Std3LicenseInfo, 4, 9, 1, 1)=DATE(1900,1,0), DATE(1900,1,1), OFFSET('IWP17'!Std3LicenseInfo, 4, 9, 1, 1))</f>
        <v>1</v>
      </c>
      <c r="F915" s="172">
        <f ca="1">IF(OFFSET('IWP17'!Std3LicenseInfo, 4, 10, 1, 1)=DATE(1900,1,0), DATE(1900,1,1), OFFSET('IWP17'!Std3LicenseInfo, 4, 10, 1, 1))</f>
        <v>1</v>
      </c>
      <c r="G915" s="194" t="str">
        <f ca="1">IF(OFFSET('IWP17'!Std3LicenseInfo, 4, 11, 1, 1) = 0, "", OFFSET('IWP17'!Std3LicenseInfo, 4, 11, 1, 1))</f>
        <v/>
      </c>
    </row>
    <row r="916" spans="1:7" s="146" customFormat="1">
      <c r="A916" s="183" t="s">
        <v>515</v>
      </c>
      <c r="B916" s="195" t="str">
        <f ca="1">IF(OFFSET('IWP17'!Std3LicenseInfo, 5, 0, 1, 1) = 0, "", OFFSET('IWP17'!Std3LicenseInfo, 5, 0, 1, 1))</f>
        <v/>
      </c>
      <c r="C916" s="195" t="str">
        <f ca="1">IF(OFFSET('IWP17'!Std3LicenseInfo, 5, 3, 1, 1) = 0, "", OFFSET('IWP17'!Std3LicenseInfo, 5, 3, 1, 1))</f>
        <v/>
      </c>
      <c r="D916" s="195" t="str">
        <f ca="1">IF(OFFSET('IWP17'!Std3LicenseInfo, 5, 6, 1, 1) = 0, "", OFFSET('IWP17'!Std3LicenseInfo, 5, 6, 1, 1))</f>
        <v/>
      </c>
      <c r="E916" s="172">
        <f ca="1">IF(OFFSET('IWP17'!Std3LicenseInfo, 5, 9, 1, 1)=DATE(1900,1,0), DATE(1900,1,1), OFFSET('IWP17'!Std3LicenseInfo, 5, 9, 1, 1))</f>
        <v>1</v>
      </c>
      <c r="F916" s="172">
        <f ca="1">IF(OFFSET('IWP17'!Std3LicenseInfo, 5, 10, 1, 1)=DATE(1900,1,0), DATE(1900,1,1), OFFSET('IWP17'!Std3LicenseInfo, 5, 10, 1, 1))</f>
        <v>1</v>
      </c>
      <c r="G916" s="194" t="str">
        <f ca="1">IF(OFFSET('IWP17'!Std3LicenseInfo, 5, 11, 1, 1) = 0, "", OFFSET('IWP17'!Std3LicenseInfo, 5, 11, 1, 1))</f>
        <v/>
      </c>
    </row>
    <row r="917" spans="1:7" s="146" customFormat="1">
      <c r="A917" s="183" t="s">
        <v>515</v>
      </c>
      <c r="B917" s="195" t="str">
        <f ca="1">IF(OFFSET('IWP17'!Std3LicenseInfo, 6, 0, 1, 1) = 0, "", OFFSET('IWP17'!Std3LicenseInfo, 6, 0, 1, 1))</f>
        <v/>
      </c>
      <c r="C917" s="195" t="str">
        <f ca="1">IF(OFFSET('IWP17'!Std3LicenseInfo, 6, 3, 1, 1) = 0, "", OFFSET('IWP17'!Std3LicenseInfo, 6, 3, 1, 1))</f>
        <v/>
      </c>
      <c r="D917" s="195" t="str">
        <f ca="1">IF(OFFSET('IWP17'!Std3LicenseInfo, 6, 6, 1, 1) = 0, "", OFFSET('IWP17'!Std3LicenseInfo, 6, 6, 1, 1))</f>
        <v/>
      </c>
      <c r="E917" s="172">
        <f ca="1">IF(OFFSET('IWP17'!Std3LicenseInfo, 6, 9, 1, 1)=DATE(1900,1,0), DATE(1900,1,1), OFFSET('IWP17'!Std3LicenseInfo, 6, 9, 1, 1))</f>
        <v>1</v>
      </c>
      <c r="F917" s="172">
        <f ca="1">IF(OFFSET('IWP17'!Std3LicenseInfo, 6, 10, 1, 1)=DATE(1900,1,0), DATE(1900,1,1), OFFSET('IWP17'!Std3LicenseInfo, 6, 10, 1, 1))</f>
        <v>1</v>
      </c>
      <c r="G917" s="194" t="str">
        <f ca="1">IF(OFFSET('IWP17'!Std3LicenseInfo, 6, 11, 1, 1) = 0, "", OFFSET('IWP17'!Std3LicenseInfo, 6, 11, 1, 1))</f>
        <v/>
      </c>
    </row>
    <row r="918" spans="1:7" s="146" customFormat="1">
      <c r="A918" s="183" t="s">
        <v>515</v>
      </c>
      <c r="B918" s="195" t="str">
        <f ca="1">IF(OFFSET('IWP17'!Std3LicenseInfo, 7, 0, 1, 1) = 0, "", OFFSET('IWP17'!Std3LicenseInfo, 7, 0, 1, 1))</f>
        <v/>
      </c>
      <c r="C918" s="195" t="str">
        <f ca="1">IF(OFFSET('IWP17'!Std3LicenseInfo, 7, 3, 1, 1) = 0, "", OFFSET('IWP17'!Std3LicenseInfo, 7, 3, 1, 1))</f>
        <v/>
      </c>
      <c r="D918" s="195" t="str">
        <f ca="1">IF(OFFSET('IWP17'!Std3LicenseInfo, 7, 6, 1, 1) = 0, "", OFFSET('IWP17'!Std3LicenseInfo, 7, 6, 1, 1))</f>
        <v/>
      </c>
      <c r="E918" s="172">
        <f ca="1">IF(OFFSET('IWP17'!Std3LicenseInfo, 7, 9, 1, 1)=DATE(1900,1,0), DATE(1900,1,1), OFFSET('IWP17'!Std3LicenseInfo, 7, 9, 1, 1))</f>
        <v>1</v>
      </c>
      <c r="F918" s="172">
        <f ca="1">IF(OFFSET('IWP17'!Std3LicenseInfo, 7, 10, 1, 1)=DATE(1900,1,0), DATE(1900,1,1), OFFSET('IWP17'!Std3LicenseInfo, 7, 10, 1, 1))</f>
        <v>1</v>
      </c>
      <c r="G918" s="194" t="str">
        <f ca="1">IF(OFFSET('IWP17'!Std3LicenseInfo, 7, 11, 1, 1) = 0, "", OFFSET('IWP17'!Std3LicenseInfo, 7, 11, 1, 1))</f>
        <v/>
      </c>
    </row>
    <row r="919" spans="1:7" s="146" customFormat="1">
      <c r="A919" s="183" t="s">
        <v>515</v>
      </c>
      <c r="B919" s="195" t="str">
        <f ca="1">IF(OFFSET('IWP17'!Std3LicenseInfo, 8, 0, 1, 1) = 0, "", OFFSET('IWP17'!Std3LicenseInfo, 8, 0, 1, 1))</f>
        <v/>
      </c>
      <c r="C919" s="195" t="str">
        <f ca="1">IF(OFFSET('IWP17'!Std3LicenseInfo, 8, 3, 1, 1) = 0, "", OFFSET('IWP17'!Std3LicenseInfo, 8, 3, 1, 1))</f>
        <v/>
      </c>
      <c r="D919" s="195" t="str">
        <f ca="1">IF(OFFSET('IWP17'!Std3LicenseInfo, 8, 6, 1, 1) = 0, "", OFFSET('IWP17'!Std3LicenseInfo, 8, 6, 1, 1))</f>
        <v/>
      </c>
      <c r="E919" s="172">
        <f ca="1">IF(OFFSET('IWP17'!Std3LicenseInfo, 8, 9, 1, 1)=DATE(1900,1,0), DATE(1900,1,1), OFFSET('IWP17'!Std3LicenseInfo, 8, 9, 1, 1))</f>
        <v>1</v>
      </c>
      <c r="F919" s="172">
        <f ca="1">IF(OFFSET('IWP17'!Std3LicenseInfo, 8, 10, 1, 1)=DATE(1900,1,0), DATE(1900,1,1), OFFSET('IWP17'!Std3LicenseInfo, 8, 10, 1, 1))</f>
        <v>1</v>
      </c>
      <c r="G919" s="194" t="str">
        <f ca="1">IF(OFFSET('IWP17'!Std3LicenseInfo, 8, 11, 1, 1) = 0, "", OFFSET('IWP17'!Std3LicenseInfo, 8, 11, 1, 1))</f>
        <v/>
      </c>
    </row>
    <row r="920" spans="1:7" s="146" customFormat="1">
      <c r="A920" s="183" t="s">
        <v>515</v>
      </c>
      <c r="B920" s="195" t="str">
        <f ca="1">IF(OFFSET('IWP17'!Std3LicenseInfo, 9, 0, 1, 1) = 0, "", OFFSET('IWP17'!Std3LicenseInfo, 9, 0, 1, 1))</f>
        <v/>
      </c>
      <c r="C920" s="195" t="str">
        <f ca="1">IF(OFFSET('IWP17'!Std3LicenseInfo, 9, 3, 1, 1) = 0, "", OFFSET('IWP17'!Std3LicenseInfo, 9, 3, 1, 1))</f>
        <v/>
      </c>
      <c r="D920" s="195" t="str">
        <f ca="1">IF(OFFSET('IWP17'!Std3LicenseInfo, 9, 6, 1, 1) = 0, "", OFFSET('IWP17'!Std3LicenseInfo, 9, 6, 1, 1))</f>
        <v/>
      </c>
      <c r="E920" s="172">
        <f ca="1">IF(OFFSET('IWP17'!Std3LicenseInfo, 9, 9, 1, 1)=DATE(1900,1,0), DATE(1900,1,1), OFFSET('IWP17'!Std3LicenseInfo, 9, 9, 1, 1))</f>
        <v>1</v>
      </c>
      <c r="F920" s="172">
        <f ca="1">IF(OFFSET('IWP17'!Std3LicenseInfo, 9, 10, 1, 1)=DATE(1900,1,0), DATE(1900,1,1), OFFSET('IWP17'!Std3LicenseInfo, 9, 10, 1, 1))</f>
        <v>1</v>
      </c>
      <c r="G920" s="194" t="str">
        <f ca="1">IF(OFFSET('IWP17'!Std3LicenseInfo, 9, 11, 1, 1) = 0, "", OFFSET('IWP17'!Std3LicenseInfo, 9, 11, 1, 1))</f>
        <v/>
      </c>
    </row>
    <row r="921" spans="1:7" s="146" customFormat="1">
      <c r="A921" s="183" t="s">
        <v>515</v>
      </c>
      <c r="B921" s="195" t="str">
        <f ca="1">IF(OFFSET('IWP17'!Std3LicenseInfo, 10, 0, 1, 1) = 0, "", OFFSET('IWP17'!Std3LicenseInfo, 10, 0, 1, 1))</f>
        <v/>
      </c>
      <c r="C921" s="195" t="str">
        <f ca="1">IF(OFFSET('IWP17'!Std3LicenseInfo, 10, 3, 1, 1) = 0, "", OFFSET('IWP17'!Std3LicenseInfo, 10, 3, 1, 1))</f>
        <v/>
      </c>
      <c r="D921" s="195" t="str">
        <f ca="1">IF(OFFSET('IWP17'!Std3LicenseInfo, 10, 6, 1, 1) = 0, "", OFFSET('IWP17'!Std3LicenseInfo, 10, 6, 1, 1))</f>
        <v/>
      </c>
      <c r="E921" s="172">
        <f ca="1">IF(OFFSET('IWP17'!Std3LicenseInfo, 10, 9, 1, 1)=DATE(1900,1,0), DATE(1900,1,1), OFFSET('IWP17'!Std3LicenseInfo, 10, 9, 1, 1))</f>
        <v>1</v>
      </c>
      <c r="F921" s="172">
        <f ca="1">IF(OFFSET('IWP17'!Std3LicenseInfo, 10, 10, 1, 1)=DATE(1900,1,0), DATE(1900,1,1), OFFSET('IWP17'!Std3LicenseInfo, 10, 10, 1, 1))</f>
        <v>1</v>
      </c>
      <c r="G921" s="194" t="str">
        <f ca="1">IF(OFFSET('IWP17'!Std3LicenseInfo, 10, 11, 1, 1) = 0, "", OFFSET('IWP17'!Std3LicenseInfo, 10, 11, 1, 1))</f>
        <v/>
      </c>
    </row>
    <row r="922" spans="1:7" s="146" customFormat="1">
      <c r="A922" s="183" t="s">
        <v>515</v>
      </c>
      <c r="B922" s="195" t="str">
        <f ca="1">IF(OFFSET('IWP17'!Std3LicenseInfo, 11, 0, 1, 1) = 0, "", OFFSET('IWP17'!Std3LicenseInfo, 11, 0, 1, 1))</f>
        <v/>
      </c>
      <c r="C922" s="195" t="str">
        <f ca="1">IF(OFFSET('IWP17'!Std3LicenseInfo, 11, 3, 1, 1) = 0, "", OFFSET('IWP17'!Std3LicenseInfo, 11, 3, 1, 1))</f>
        <v/>
      </c>
      <c r="D922" s="195" t="str">
        <f ca="1">IF(OFFSET('IWP17'!Std3LicenseInfo, 11, 6, 1, 1) = 0, "", OFFSET('IWP17'!Std3LicenseInfo, 11, 6, 1, 1))</f>
        <v/>
      </c>
      <c r="E922" s="172">
        <f ca="1">IF(OFFSET('IWP17'!Std3LicenseInfo, 11, 9, 1, 1)=DATE(1900,1,0), DATE(1900,1,1), OFFSET('IWP17'!Std3LicenseInfo, 11, 9, 1, 1))</f>
        <v>1</v>
      </c>
      <c r="F922" s="172">
        <f ca="1">IF(OFFSET('IWP17'!Std3LicenseInfo, 11, 10, 1, 1)=DATE(1900,1,0), DATE(1900,1,1), OFFSET('IWP17'!Std3LicenseInfo, 11, 10, 1, 1))</f>
        <v>1</v>
      </c>
      <c r="G922" s="194" t="str">
        <f ca="1">IF(OFFSET('IWP17'!Std3LicenseInfo, 11, 11, 1, 1) = 0, "", OFFSET('IWP17'!Std3LicenseInfo, 11, 11, 1, 1))</f>
        <v/>
      </c>
    </row>
    <row r="923" spans="1:7" s="146" customFormat="1">
      <c r="A923" s="183" t="s">
        <v>515</v>
      </c>
      <c r="B923" s="195" t="str">
        <f ca="1">IF(OFFSET('IWP17'!Std3LicenseInfo, 12, 0, 1, 1) = 0, "", OFFSET('IWP17'!Std3LicenseInfo, 12, 0, 1, 1))</f>
        <v/>
      </c>
      <c r="C923" s="195" t="str">
        <f ca="1">IF(OFFSET('IWP17'!Std3LicenseInfo, 12, 3, 1, 1) = 0, "", OFFSET('IWP17'!Std3LicenseInfo, 12, 3, 1, 1))</f>
        <v/>
      </c>
      <c r="D923" s="195" t="str">
        <f ca="1">IF(OFFSET('IWP17'!Std3LicenseInfo, 12, 6, 1, 1) = 0, "", OFFSET('IWP17'!Std3LicenseInfo, 12, 6, 1, 1))</f>
        <v/>
      </c>
      <c r="E923" s="172">
        <f ca="1">IF(OFFSET('IWP17'!Std3LicenseInfo, 12, 9, 1, 1)=DATE(1900,1,0), DATE(1900,1,1), OFFSET('IWP17'!Std3LicenseInfo, 12, 9, 1, 1))</f>
        <v>1</v>
      </c>
      <c r="F923" s="172">
        <f ca="1">IF(OFFSET('IWP17'!Std3LicenseInfo, 12, 10, 1, 1)=DATE(1900,1,0), DATE(1900,1,1), OFFSET('IWP17'!Std3LicenseInfo, 12, 10, 1, 1))</f>
        <v>1</v>
      </c>
      <c r="G923" s="194" t="str">
        <f ca="1">IF(OFFSET('IWP17'!Std3LicenseInfo, 12, 11, 1, 1) = 0, "", OFFSET('IWP17'!Std3LicenseInfo, 12, 11, 1, 1))</f>
        <v/>
      </c>
    </row>
    <row r="924" spans="1:7" s="146" customFormat="1">
      <c r="A924" s="183" t="s">
        <v>515</v>
      </c>
      <c r="B924" s="195" t="str">
        <f ca="1">IF(OFFSET('IWP17'!Std3LicenseInfo, 13, 0, 1, 1) = 0, "", OFFSET('IWP17'!Std3LicenseInfo, 13, 0, 1, 1))</f>
        <v/>
      </c>
      <c r="C924" s="195" t="str">
        <f ca="1">IF(OFFSET('IWP17'!Std3LicenseInfo, 13, 3, 1, 1) = 0, "", OFFSET('IWP17'!Std3LicenseInfo, 13, 3, 1, 1))</f>
        <v/>
      </c>
      <c r="D924" s="195" t="str">
        <f ca="1">IF(OFFSET('IWP17'!Std3LicenseInfo, 13, 6, 1, 1) = 0, "", OFFSET('IWP17'!Std3LicenseInfo, 13, 6, 1, 1))</f>
        <v/>
      </c>
      <c r="E924" s="172">
        <f ca="1">IF(OFFSET('IWP17'!Std3LicenseInfo, 13, 9, 1, 1)=DATE(1900,1,0), DATE(1900,1,1), OFFSET('IWP17'!Std3LicenseInfo, 13, 9, 1, 1))</f>
        <v>1</v>
      </c>
      <c r="F924" s="172">
        <f ca="1">IF(OFFSET('IWP17'!Std3LicenseInfo, 13, 10, 1, 1)=DATE(1900,1,0), DATE(1900,1,1), OFFSET('IWP17'!Std3LicenseInfo, 13, 10, 1, 1))</f>
        <v>1</v>
      </c>
      <c r="G924" s="194" t="str">
        <f ca="1">IF(OFFSET('IWP17'!Std3LicenseInfo, 13, 11, 1, 1) = 0, "", OFFSET('IWP17'!Std3LicenseInfo, 13, 11, 1, 1))</f>
        <v/>
      </c>
    </row>
    <row r="925" spans="1:7" s="146" customFormat="1">
      <c r="A925" s="183" t="s">
        <v>516</v>
      </c>
      <c r="B925" s="195" t="str">
        <f ca="1">IF(OFFSET('IWP18'!Std3LicenseInfo, 0, 0, 1, 1) = 0, "", OFFSET('IWP18'!Std3LicenseInfo, 0, 0, 1, 1))</f>
        <v/>
      </c>
      <c r="C925" s="195" t="str">
        <f ca="1">IF(OFFSET('IWP18'!Std3LicenseInfo, 0, 3, 1, 1) = 0, "", OFFSET('IWP18'!Std3LicenseInfo, 0, 3, 1, 1))</f>
        <v/>
      </c>
      <c r="D925" s="195" t="str">
        <f ca="1">IF(OFFSET('IWP18'!Std3LicenseInfo, 0, 6, 1, 1) = 0, "", OFFSET('IWP18'!Std3LicenseInfo, 0, 6, 1, 1))</f>
        <v/>
      </c>
      <c r="E925" s="172">
        <f ca="1">IF(OFFSET('IWP18'!Std3LicenseInfo, 0, 9, 1, 1)=DATE(1900,1,0), DATE(1900,1,1), OFFSET('IWP18'!Std3LicenseInfo, 0, 9, 1, 1))</f>
        <v>1</v>
      </c>
      <c r="F925" s="172">
        <f ca="1">IF(OFFSET('IWP18'!Std3LicenseInfo, 0, 10, 1, 1)=DATE(1900,1,0), DATE(1900,1,1), OFFSET('IWP18'!Std3LicenseInfo, 0, 10, 1, 1))</f>
        <v>1</v>
      </c>
      <c r="G925" s="194" t="str">
        <f ca="1">IF(OFFSET('IWP18'!Std3LicenseInfo, 0, 11, 1, 1) = 0, "", OFFSET('IWP18'!Std3LicenseInfo, 0, 11, 1, 1))</f>
        <v/>
      </c>
    </row>
    <row r="926" spans="1:7" s="146" customFormat="1">
      <c r="A926" s="183" t="s">
        <v>516</v>
      </c>
      <c r="B926" s="195" t="str">
        <f ca="1">IF(OFFSET('IWP18'!Std3LicenseInfo, 1, 0, 1, 1) = 0, "", OFFSET('IWP18'!Std3LicenseInfo, 1, 0, 1, 1))</f>
        <v/>
      </c>
      <c r="C926" s="195" t="str">
        <f ca="1">IF(OFFSET('IWP18'!Std3LicenseInfo, 1, 3, 1, 1) = 0, "", OFFSET('IWP18'!Std3LicenseInfo, 1, 3, 1, 1))</f>
        <v/>
      </c>
      <c r="D926" s="195" t="str">
        <f ca="1">IF(OFFSET('IWP18'!Std3LicenseInfo, 1, 6, 1, 1) = 0, "", OFFSET('IWP18'!Std3LicenseInfo, 1, 6, 1, 1))</f>
        <v/>
      </c>
      <c r="E926" s="172">
        <f ca="1">IF(OFFSET('IWP18'!Std3LicenseInfo, 1, 9, 1, 1)=DATE(1900,1,0), DATE(1900,1,1), OFFSET('IWP18'!Std3LicenseInfo, 1, 9, 1, 1))</f>
        <v>1</v>
      </c>
      <c r="F926" s="172">
        <f ca="1">IF(OFFSET('IWP18'!Std3LicenseInfo, 1, 10, 1, 1)=DATE(1900,1,0), DATE(1900,1,1), OFFSET('IWP18'!Std3LicenseInfo, 1, 10, 1, 1))</f>
        <v>1</v>
      </c>
      <c r="G926" s="194" t="str">
        <f ca="1">IF(OFFSET('IWP18'!Std3LicenseInfo, 1, 11, 1, 1) = 0, "", OFFSET('IWP18'!Std3LicenseInfo, 1, 11, 1, 1))</f>
        <v/>
      </c>
    </row>
    <row r="927" spans="1:7" s="146" customFormat="1">
      <c r="A927" s="183" t="s">
        <v>516</v>
      </c>
      <c r="B927" s="195" t="str">
        <f ca="1">IF(OFFSET('IWP18'!Std3LicenseInfo, 2, 0, 1, 1) = 0, "", OFFSET('IWP18'!Std3LicenseInfo, 2, 0, 1, 1))</f>
        <v/>
      </c>
      <c r="C927" s="195" t="str">
        <f ca="1">IF(OFFSET('IWP18'!Std3LicenseInfo, 2, 3, 1, 1) = 0, "", OFFSET('IWP18'!Std3LicenseInfo, 2, 3, 1, 1))</f>
        <v/>
      </c>
      <c r="D927" s="195" t="str">
        <f ca="1">IF(OFFSET('IWP18'!Std3LicenseInfo, 2, 6, 1, 1) = 0, "", OFFSET('IWP18'!Std3LicenseInfo, 2, 6, 1, 1))</f>
        <v/>
      </c>
      <c r="E927" s="172">
        <f ca="1">IF(OFFSET('IWP18'!Std3LicenseInfo, 2, 9, 1, 1)=DATE(1900,1,0), DATE(1900,1,1), OFFSET('IWP18'!Std3LicenseInfo, 2, 9, 1, 1))</f>
        <v>1</v>
      </c>
      <c r="F927" s="172">
        <f ca="1">IF(OFFSET('IWP18'!Std3LicenseInfo, 2, 10, 1, 1)=DATE(1900,1,0), DATE(1900,1,1), OFFSET('IWP18'!Std3LicenseInfo, 2, 10, 1, 1))</f>
        <v>1</v>
      </c>
      <c r="G927" s="194" t="str">
        <f ca="1">IF(OFFSET('IWP18'!Std3LicenseInfo, 2, 11, 1, 1) = 0, "", OFFSET('IWP18'!Std3LicenseInfo, 2, 11, 1, 1))</f>
        <v/>
      </c>
    </row>
    <row r="928" spans="1:7" s="146" customFormat="1">
      <c r="A928" s="183" t="s">
        <v>516</v>
      </c>
      <c r="B928" s="195" t="str">
        <f ca="1">IF(OFFSET('IWP18'!Std3LicenseInfo, 3, 0, 1, 1) = 0, "", OFFSET('IWP18'!Std3LicenseInfo, 3, 0, 1, 1))</f>
        <v/>
      </c>
      <c r="C928" s="195" t="str">
        <f ca="1">IF(OFFSET('IWP18'!Std3LicenseInfo, 3, 3, 1, 1) = 0, "", OFFSET('IWP18'!Std3LicenseInfo, 3, 3, 1, 1))</f>
        <v/>
      </c>
      <c r="D928" s="195" t="str">
        <f ca="1">IF(OFFSET('IWP18'!Std3LicenseInfo, 3, 6, 1, 1) = 0, "", OFFSET('IWP18'!Std3LicenseInfo, 3, 6, 1, 1))</f>
        <v/>
      </c>
      <c r="E928" s="172">
        <f ca="1">IF(OFFSET('IWP18'!Std3LicenseInfo, 3, 9, 1, 1)=DATE(1900,1,0), DATE(1900,1,1), OFFSET('IWP18'!Std3LicenseInfo, 3, 9, 1, 1))</f>
        <v>1</v>
      </c>
      <c r="F928" s="172">
        <f ca="1">IF(OFFSET('IWP18'!Std3LicenseInfo, 3, 10, 1, 1)=DATE(1900,1,0), DATE(1900,1,1), OFFSET('IWP18'!Std3LicenseInfo, 3, 10, 1, 1))</f>
        <v>1</v>
      </c>
      <c r="G928" s="194" t="str">
        <f ca="1">IF(OFFSET('IWP18'!Std3LicenseInfo, 3, 11, 1, 1) = 0, "", OFFSET('IWP18'!Std3LicenseInfo, 3, 11, 1, 1))</f>
        <v/>
      </c>
    </row>
    <row r="929" spans="1:7" s="146" customFormat="1">
      <c r="A929" s="183" t="s">
        <v>516</v>
      </c>
      <c r="B929" s="195" t="str">
        <f ca="1">IF(OFFSET('IWP18'!Std3LicenseInfo, 4, 0, 1, 1) = 0, "", OFFSET('IWP18'!Std3LicenseInfo, 4, 0, 1, 1))</f>
        <v/>
      </c>
      <c r="C929" s="195" t="str">
        <f ca="1">IF(OFFSET('IWP18'!Std3LicenseInfo, 4, 3, 1, 1) = 0, "", OFFSET('IWP18'!Std3LicenseInfo, 4, 3, 1, 1))</f>
        <v/>
      </c>
      <c r="D929" s="195" t="str">
        <f ca="1">IF(OFFSET('IWP18'!Std3LicenseInfo, 4, 6, 1, 1) = 0, "", OFFSET('IWP18'!Std3LicenseInfo, 4, 6, 1, 1))</f>
        <v/>
      </c>
      <c r="E929" s="172">
        <f ca="1">IF(OFFSET('IWP18'!Std3LicenseInfo, 4, 9, 1, 1)=DATE(1900,1,0), DATE(1900,1,1), OFFSET('IWP18'!Std3LicenseInfo, 4, 9, 1, 1))</f>
        <v>1</v>
      </c>
      <c r="F929" s="172">
        <f ca="1">IF(OFFSET('IWP18'!Std3LicenseInfo, 4, 10, 1, 1)=DATE(1900,1,0), DATE(1900,1,1), OFFSET('IWP18'!Std3LicenseInfo, 4, 10, 1, 1))</f>
        <v>1</v>
      </c>
      <c r="G929" s="194" t="str">
        <f ca="1">IF(OFFSET('IWP18'!Std3LicenseInfo, 4, 11, 1, 1) = 0, "", OFFSET('IWP18'!Std3LicenseInfo, 4, 11, 1, 1))</f>
        <v/>
      </c>
    </row>
    <row r="930" spans="1:7" s="146" customFormat="1">
      <c r="A930" s="183" t="s">
        <v>516</v>
      </c>
      <c r="B930" s="195" t="str">
        <f ca="1">IF(OFFSET('IWP18'!Std3LicenseInfo, 5, 0, 1, 1) = 0, "", OFFSET('IWP18'!Std3LicenseInfo, 5, 0, 1, 1))</f>
        <v/>
      </c>
      <c r="C930" s="195" t="str">
        <f ca="1">IF(OFFSET('IWP18'!Std3LicenseInfo, 5, 3, 1, 1) = 0, "", OFFSET('IWP18'!Std3LicenseInfo, 5, 3, 1, 1))</f>
        <v/>
      </c>
      <c r="D930" s="195" t="str">
        <f ca="1">IF(OFFSET('IWP18'!Std3LicenseInfo, 5, 6, 1, 1) = 0, "", OFFSET('IWP18'!Std3LicenseInfo, 5, 6, 1, 1))</f>
        <v/>
      </c>
      <c r="E930" s="172">
        <f ca="1">IF(OFFSET('IWP18'!Std3LicenseInfo, 5, 9, 1, 1)=DATE(1900,1,0), DATE(1900,1,1), OFFSET('IWP18'!Std3LicenseInfo, 5, 9, 1, 1))</f>
        <v>1</v>
      </c>
      <c r="F930" s="172">
        <f ca="1">IF(OFFSET('IWP18'!Std3LicenseInfo, 5, 10, 1, 1)=DATE(1900,1,0), DATE(1900,1,1), OFFSET('IWP18'!Std3LicenseInfo, 5, 10, 1, 1))</f>
        <v>1</v>
      </c>
      <c r="G930" s="194" t="str">
        <f ca="1">IF(OFFSET('IWP18'!Std3LicenseInfo, 5, 11, 1, 1) = 0, "", OFFSET('IWP18'!Std3LicenseInfo, 5, 11, 1, 1))</f>
        <v/>
      </c>
    </row>
    <row r="931" spans="1:7" s="146" customFormat="1">
      <c r="A931" s="183" t="s">
        <v>516</v>
      </c>
      <c r="B931" s="195" t="str">
        <f ca="1">IF(OFFSET('IWP18'!Std3LicenseInfo, 6, 0, 1, 1) = 0, "", OFFSET('IWP18'!Std3LicenseInfo, 6, 0, 1, 1))</f>
        <v/>
      </c>
      <c r="C931" s="195" t="str">
        <f ca="1">IF(OFFSET('IWP18'!Std3LicenseInfo, 6, 3, 1, 1) = 0, "", OFFSET('IWP18'!Std3LicenseInfo, 6, 3, 1, 1))</f>
        <v/>
      </c>
      <c r="D931" s="195" t="str">
        <f ca="1">IF(OFFSET('IWP18'!Std3LicenseInfo, 6, 6, 1, 1) = 0, "", OFFSET('IWP18'!Std3LicenseInfo, 6, 6, 1, 1))</f>
        <v/>
      </c>
      <c r="E931" s="172">
        <f ca="1">IF(OFFSET('IWP18'!Std3LicenseInfo, 6, 9, 1, 1)=DATE(1900,1,0), DATE(1900,1,1), OFFSET('IWP18'!Std3LicenseInfo, 6, 9, 1, 1))</f>
        <v>1</v>
      </c>
      <c r="F931" s="172">
        <f ca="1">IF(OFFSET('IWP18'!Std3LicenseInfo, 6, 10, 1, 1)=DATE(1900,1,0), DATE(1900,1,1), OFFSET('IWP18'!Std3LicenseInfo, 6, 10, 1, 1))</f>
        <v>1</v>
      </c>
      <c r="G931" s="194" t="str">
        <f ca="1">IF(OFFSET('IWP18'!Std3LicenseInfo, 6, 11, 1, 1) = 0, "", OFFSET('IWP18'!Std3LicenseInfo, 6, 11, 1, 1))</f>
        <v/>
      </c>
    </row>
    <row r="932" spans="1:7" s="146" customFormat="1">
      <c r="A932" s="183" t="s">
        <v>516</v>
      </c>
      <c r="B932" s="195" t="str">
        <f ca="1">IF(OFFSET('IWP18'!Std3LicenseInfo, 7, 0, 1, 1) = 0, "", OFFSET('IWP18'!Std3LicenseInfo, 7, 0, 1, 1))</f>
        <v/>
      </c>
      <c r="C932" s="195" t="str">
        <f ca="1">IF(OFFSET('IWP18'!Std3LicenseInfo, 7, 3, 1, 1) = 0, "", OFFSET('IWP18'!Std3LicenseInfo, 7, 3, 1, 1))</f>
        <v/>
      </c>
      <c r="D932" s="195" t="str">
        <f ca="1">IF(OFFSET('IWP18'!Std3LicenseInfo, 7, 6, 1, 1) = 0, "", OFFSET('IWP18'!Std3LicenseInfo, 7, 6, 1, 1))</f>
        <v/>
      </c>
      <c r="E932" s="172">
        <f ca="1">IF(OFFSET('IWP18'!Std3LicenseInfo, 7, 9, 1, 1)=DATE(1900,1,0), DATE(1900,1,1), OFFSET('IWP18'!Std3LicenseInfo, 7, 9, 1, 1))</f>
        <v>1</v>
      </c>
      <c r="F932" s="172">
        <f ca="1">IF(OFFSET('IWP18'!Std3LicenseInfo, 7, 10, 1, 1)=DATE(1900,1,0), DATE(1900,1,1), OFFSET('IWP18'!Std3LicenseInfo, 7, 10, 1, 1))</f>
        <v>1</v>
      </c>
      <c r="G932" s="194" t="str">
        <f ca="1">IF(OFFSET('IWP18'!Std3LicenseInfo, 7, 11, 1, 1) = 0, "", OFFSET('IWP18'!Std3LicenseInfo, 7, 11, 1, 1))</f>
        <v/>
      </c>
    </row>
    <row r="933" spans="1:7" s="146" customFormat="1">
      <c r="A933" s="183" t="s">
        <v>516</v>
      </c>
      <c r="B933" s="195" t="str">
        <f ca="1">IF(OFFSET('IWP18'!Std3LicenseInfo, 8, 0, 1, 1) = 0, "", OFFSET('IWP18'!Std3LicenseInfo, 8, 0, 1, 1))</f>
        <v/>
      </c>
      <c r="C933" s="195" t="str">
        <f ca="1">IF(OFFSET('IWP18'!Std3LicenseInfo, 8, 3, 1, 1) = 0, "", OFFSET('IWP18'!Std3LicenseInfo, 8, 3, 1, 1))</f>
        <v/>
      </c>
      <c r="D933" s="195" t="str">
        <f ca="1">IF(OFFSET('IWP18'!Std3LicenseInfo, 8, 6, 1, 1) = 0, "", OFFSET('IWP18'!Std3LicenseInfo, 8, 6, 1, 1))</f>
        <v/>
      </c>
      <c r="E933" s="172">
        <f ca="1">IF(OFFSET('IWP18'!Std3LicenseInfo, 8, 9, 1, 1)=DATE(1900,1,0), DATE(1900,1,1), OFFSET('IWP18'!Std3LicenseInfo, 8, 9, 1, 1))</f>
        <v>1</v>
      </c>
      <c r="F933" s="172">
        <f ca="1">IF(OFFSET('IWP18'!Std3LicenseInfo, 8, 10, 1, 1)=DATE(1900,1,0), DATE(1900,1,1), OFFSET('IWP18'!Std3LicenseInfo, 8, 10, 1, 1))</f>
        <v>1</v>
      </c>
      <c r="G933" s="194" t="str">
        <f ca="1">IF(OFFSET('IWP18'!Std3LicenseInfo, 8, 11, 1, 1) = 0, "", OFFSET('IWP18'!Std3LicenseInfo, 8, 11, 1, 1))</f>
        <v/>
      </c>
    </row>
    <row r="934" spans="1:7" s="146" customFormat="1">
      <c r="A934" s="183" t="s">
        <v>516</v>
      </c>
      <c r="B934" s="195" t="str">
        <f ca="1">IF(OFFSET('IWP18'!Std3LicenseInfo, 9, 0, 1, 1) = 0, "", OFFSET('IWP18'!Std3LicenseInfo, 9, 0, 1, 1))</f>
        <v/>
      </c>
      <c r="C934" s="195" t="str">
        <f ca="1">IF(OFFSET('IWP18'!Std3LicenseInfo, 9, 3, 1, 1) = 0, "", OFFSET('IWP18'!Std3LicenseInfo, 9, 3, 1, 1))</f>
        <v/>
      </c>
      <c r="D934" s="195" t="str">
        <f ca="1">IF(OFFSET('IWP18'!Std3LicenseInfo, 9, 6, 1, 1) = 0, "", OFFSET('IWP18'!Std3LicenseInfo, 9, 6, 1, 1))</f>
        <v/>
      </c>
      <c r="E934" s="172">
        <f ca="1">IF(OFFSET('IWP18'!Std3LicenseInfo, 9, 9, 1, 1)=DATE(1900,1,0), DATE(1900,1,1), OFFSET('IWP18'!Std3LicenseInfo, 9, 9, 1, 1))</f>
        <v>1</v>
      </c>
      <c r="F934" s="172">
        <f ca="1">IF(OFFSET('IWP18'!Std3LicenseInfo, 9, 10, 1, 1)=DATE(1900,1,0), DATE(1900,1,1), OFFSET('IWP18'!Std3LicenseInfo, 9, 10, 1, 1))</f>
        <v>1</v>
      </c>
      <c r="G934" s="194" t="str">
        <f ca="1">IF(OFFSET('IWP18'!Std3LicenseInfo, 9, 11, 1, 1) = 0, "", OFFSET('IWP18'!Std3LicenseInfo, 9, 11, 1, 1))</f>
        <v/>
      </c>
    </row>
    <row r="935" spans="1:7" s="146" customFormat="1">
      <c r="A935" s="183" t="s">
        <v>516</v>
      </c>
      <c r="B935" s="195" t="str">
        <f ca="1">IF(OFFSET('IWP18'!Std3LicenseInfo, 10, 0, 1, 1) = 0, "", OFFSET('IWP18'!Std3LicenseInfo, 10, 0, 1, 1))</f>
        <v/>
      </c>
      <c r="C935" s="195" t="str">
        <f ca="1">IF(OFFSET('IWP18'!Std3LicenseInfo, 10, 3, 1, 1) = 0, "", OFFSET('IWP18'!Std3LicenseInfo, 10, 3, 1, 1))</f>
        <v/>
      </c>
      <c r="D935" s="195" t="str">
        <f ca="1">IF(OFFSET('IWP18'!Std3LicenseInfo, 10, 6, 1, 1) = 0, "", OFFSET('IWP18'!Std3LicenseInfo, 10, 6, 1, 1))</f>
        <v/>
      </c>
      <c r="E935" s="172">
        <f ca="1">IF(OFFSET('IWP18'!Std3LicenseInfo, 10, 9, 1, 1)=DATE(1900,1,0), DATE(1900,1,1), OFFSET('IWP18'!Std3LicenseInfo, 10, 9, 1, 1))</f>
        <v>1</v>
      </c>
      <c r="F935" s="172">
        <f ca="1">IF(OFFSET('IWP18'!Std3LicenseInfo, 10, 10, 1, 1)=DATE(1900,1,0), DATE(1900,1,1), OFFSET('IWP18'!Std3LicenseInfo, 10, 10, 1, 1))</f>
        <v>1</v>
      </c>
      <c r="G935" s="194" t="str">
        <f ca="1">IF(OFFSET('IWP18'!Std3LicenseInfo, 10, 11, 1, 1) = 0, "", OFFSET('IWP18'!Std3LicenseInfo, 10, 11, 1, 1))</f>
        <v/>
      </c>
    </row>
    <row r="936" spans="1:7" s="146" customFormat="1">
      <c r="A936" s="183" t="s">
        <v>516</v>
      </c>
      <c r="B936" s="195" t="str">
        <f ca="1">IF(OFFSET('IWP18'!Std3LicenseInfo, 11, 0, 1, 1) = 0, "", OFFSET('IWP18'!Std3LicenseInfo, 11, 0, 1, 1))</f>
        <v/>
      </c>
      <c r="C936" s="195" t="str">
        <f ca="1">IF(OFFSET('IWP18'!Std3LicenseInfo, 11, 3, 1, 1) = 0, "", OFFSET('IWP18'!Std3LicenseInfo, 11, 3, 1, 1))</f>
        <v/>
      </c>
      <c r="D936" s="195" t="str">
        <f ca="1">IF(OFFSET('IWP18'!Std3LicenseInfo, 11, 6, 1, 1) = 0, "", OFFSET('IWP18'!Std3LicenseInfo, 11, 6, 1, 1))</f>
        <v/>
      </c>
      <c r="E936" s="172">
        <f ca="1">IF(OFFSET('IWP18'!Std3LicenseInfo, 11, 9, 1, 1)=DATE(1900,1,0), DATE(1900,1,1), OFFSET('IWP18'!Std3LicenseInfo, 11, 9, 1, 1))</f>
        <v>1</v>
      </c>
      <c r="F936" s="172">
        <f ca="1">IF(OFFSET('IWP18'!Std3LicenseInfo, 11, 10, 1, 1)=DATE(1900,1,0), DATE(1900,1,1), OFFSET('IWP18'!Std3LicenseInfo, 11, 10, 1, 1))</f>
        <v>1</v>
      </c>
      <c r="G936" s="194" t="str">
        <f ca="1">IF(OFFSET('IWP18'!Std3LicenseInfo, 11, 11, 1, 1) = 0, "", OFFSET('IWP18'!Std3LicenseInfo, 11, 11, 1, 1))</f>
        <v/>
      </c>
    </row>
    <row r="937" spans="1:7" s="146" customFormat="1">
      <c r="A937" s="183" t="s">
        <v>516</v>
      </c>
      <c r="B937" s="195" t="str">
        <f ca="1">IF(OFFSET('IWP18'!Std3LicenseInfo, 12, 0, 1, 1) = 0, "", OFFSET('IWP18'!Std3LicenseInfo, 12, 0, 1, 1))</f>
        <v/>
      </c>
      <c r="C937" s="195" t="str">
        <f ca="1">IF(OFFSET('IWP18'!Std3LicenseInfo, 12, 3, 1, 1) = 0, "", OFFSET('IWP18'!Std3LicenseInfo, 12, 3, 1, 1))</f>
        <v/>
      </c>
      <c r="D937" s="195" t="str">
        <f ca="1">IF(OFFSET('IWP18'!Std3LicenseInfo, 12, 6, 1, 1) = 0, "", OFFSET('IWP18'!Std3LicenseInfo, 12, 6, 1, 1))</f>
        <v/>
      </c>
      <c r="E937" s="172">
        <f ca="1">IF(OFFSET('IWP18'!Std3LicenseInfo, 12, 9, 1, 1)=DATE(1900,1,0), DATE(1900,1,1), OFFSET('IWP18'!Std3LicenseInfo, 12, 9, 1, 1))</f>
        <v>1</v>
      </c>
      <c r="F937" s="172">
        <f ca="1">IF(OFFSET('IWP18'!Std3LicenseInfo, 12, 10, 1, 1)=DATE(1900,1,0), DATE(1900,1,1), OFFSET('IWP18'!Std3LicenseInfo, 12, 10, 1, 1))</f>
        <v>1</v>
      </c>
      <c r="G937" s="194" t="str">
        <f ca="1">IF(OFFSET('IWP18'!Std3LicenseInfo, 12, 11, 1, 1) = 0, "", OFFSET('IWP18'!Std3LicenseInfo, 12, 11, 1, 1))</f>
        <v/>
      </c>
    </row>
    <row r="938" spans="1:7" s="146" customFormat="1">
      <c r="A938" s="183" t="s">
        <v>516</v>
      </c>
      <c r="B938" s="195" t="str">
        <f ca="1">IF(OFFSET('IWP18'!Std3LicenseInfo, 13, 0, 1, 1) = 0, "", OFFSET('IWP18'!Std3LicenseInfo, 13, 0, 1, 1))</f>
        <v/>
      </c>
      <c r="C938" s="195" t="str">
        <f ca="1">IF(OFFSET('IWP18'!Std3LicenseInfo, 13, 3, 1, 1) = 0, "", OFFSET('IWP18'!Std3LicenseInfo, 13, 3, 1, 1))</f>
        <v/>
      </c>
      <c r="D938" s="195" t="str">
        <f ca="1">IF(OFFSET('IWP18'!Std3LicenseInfo, 13, 6, 1, 1) = 0, "", OFFSET('IWP18'!Std3LicenseInfo, 13, 6, 1, 1))</f>
        <v/>
      </c>
      <c r="E938" s="172">
        <f ca="1">IF(OFFSET('IWP18'!Std3LicenseInfo, 13, 9, 1, 1)=DATE(1900,1,0), DATE(1900,1,1), OFFSET('IWP18'!Std3LicenseInfo, 13, 9, 1, 1))</f>
        <v>1</v>
      </c>
      <c r="F938" s="172">
        <f ca="1">IF(OFFSET('IWP18'!Std3LicenseInfo, 13, 10, 1, 1)=DATE(1900,1,0), DATE(1900,1,1), OFFSET('IWP18'!Std3LicenseInfo, 13, 10, 1, 1))</f>
        <v>1</v>
      </c>
      <c r="G938" s="194" t="str">
        <f ca="1">IF(OFFSET('IWP18'!Std3LicenseInfo, 13, 11, 1, 1) = 0, "", OFFSET('IWP18'!Std3LicenseInfo, 13, 11, 1, 1))</f>
        <v/>
      </c>
    </row>
    <row r="939" spans="1:7" s="146" customFormat="1">
      <c r="A939" s="183" t="s">
        <v>517</v>
      </c>
      <c r="B939" s="195" t="str">
        <f ca="1">IF(OFFSET('IWP19'!Std3LicenseInfo, 0, 0, 1, 1) = 0, "", OFFSET('IWP19'!Std3LicenseInfo, 0, 0, 1, 1))</f>
        <v/>
      </c>
      <c r="C939" s="195" t="str">
        <f ca="1">IF(OFFSET('IWP19'!Std3LicenseInfo, 0, 3, 1, 1) = 0, "", OFFSET('IWP19'!Std3LicenseInfo, 0, 3, 1, 1))</f>
        <v/>
      </c>
      <c r="D939" s="195" t="str">
        <f ca="1">IF(OFFSET('IWP19'!Std3LicenseInfo, 0, 6, 1, 1) = 0, "", OFFSET('IWP19'!Std3LicenseInfo, 0, 6, 1, 1))</f>
        <v/>
      </c>
      <c r="E939" s="172">
        <f ca="1">IF(OFFSET('IWP19'!Std3LicenseInfo, 0, 9, 1, 1)=DATE(1900,1,0), DATE(1900,1,1), OFFSET('IWP19'!Std3LicenseInfo, 0, 9, 1, 1))</f>
        <v>1</v>
      </c>
      <c r="F939" s="172">
        <f ca="1">IF(OFFSET('IWP19'!Std3LicenseInfo, 0, 10, 1, 1)=DATE(1900,1,0), DATE(1900,1,1), OFFSET('IWP19'!Std3LicenseInfo, 0, 10, 1, 1))</f>
        <v>1</v>
      </c>
      <c r="G939" s="194" t="str">
        <f ca="1">IF(OFFSET('IWP19'!Std3LicenseInfo, 0, 11, 1, 1) = 0, "", OFFSET('IWP19'!Std3LicenseInfo, 0, 11, 1, 1))</f>
        <v/>
      </c>
    </row>
    <row r="940" spans="1:7" s="146" customFormat="1">
      <c r="A940" s="183" t="s">
        <v>517</v>
      </c>
      <c r="B940" s="195" t="str">
        <f ca="1">IF(OFFSET('IWP19'!Std3LicenseInfo, 1, 0, 1, 1) = 0, "", OFFSET('IWP19'!Std3LicenseInfo, 1, 0, 1, 1))</f>
        <v/>
      </c>
      <c r="C940" s="195" t="str">
        <f ca="1">IF(OFFSET('IWP19'!Std3LicenseInfo, 1, 3, 1, 1) = 0, "", OFFSET('IWP19'!Std3LicenseInfo, 1, 3, 1, 1))</f>
        <v/>
      </c>
      <c r="D940" s="195" t="str">
        <f ca="1">IF(OFFSET('IWP19'!Std3LicenseInfo, 1, 6, 1, 1) = 0, "", OFFSET('IWP19'!Std3LicenseInfo, 1, 6, 1, 1))</f>
        <v/>
      </c>
      <c r="E940" s="172">
        <f ca="1">IF(OFFSET('IWP19'!Std3LicenseInfo, 1, 9, 1, 1)=DATE(1900,1,0), DATE(1900,1,1), OFFSET('IWP19'!Std3LicenseInfo, 1, 9, 1, 1))</f>
        <v>1</v>
      </c>
      <c r="F940" s="172">
        <f ca="1">IF(OFFSET('IWP19'!Std3LicenseInfo, 1, 10, 1, 1)=DATE(1900,1,0), DATE(1900,1,1), OFFSET('IWP19'!Std3LicenseInfo, 1, 10, 1, 1))</f>
        <v>1</v>
      </c>
      <c r="G940" s="194" t="str">
        <f ca="1">IF(OFFSET('IWP19'!Std3LicenseInfo, 1, 11, 1, 1) = 0, "", OFFSET('IWP19'!Std3LicenseInfo, 1, 11, 1, 1))</f>
        <v/>
      </c>
    </row>
    <row r="941" spans="1:7" s="146" customFormat="1">
      <c r="A941" s="183" t="s">
        <v>517</v>
      </c>
      <c r="B941" s="195" t="str">
        <f ca="1">IF(OFFSET('IWP19'!Std3LicenseInfo, 2, 0, 1, 1) = 0, "", OFFSET('IWP19'!Std3LicenseInfo, 2, 0, 1, 1))</f>
        <v/>
      </c>
      <c r="C941" s="195" t="str">
        <f ca="1">IF(OFFSET('IWP19'!Std3LicenseInfo, 2, 3, 1, 1) = 0, "", OFFSET('IWP19'!Std3LicenseInfo, 2, 3, 1, 1))</f>
        <v/>
      </c>
      <c r="D941" s="195" t="str">
        <f ca="1">IF(OFFSET('IWP19'!Std3LicenseInfo, 2, 6, 1, 1) = 0, "", OFFSET('IWP19'!Std3LicenseInfo, 2, 6, 1, 1))</f>
        <v/>
      </c>
      <c r="E941" s="172">
        <f ca="1">IF(OFFSET('IWP19'!Std3LicenseInfo, 2, 9, 1, 1)=DATE(1900,1,0), DATE(1900,1,1), OFFSET('IWP19'!Std3LicenseInfo, 2, 9, 1, 1))</f>
        <v>1</v>
      </c>
      <c r="F941" s="172">
        <f ca="1">IF(OFFSET('IWP19'!Std3LicenseInfo, 2, 10, 1, 1)=DATE(1900,1,0), DATE(1900,1,1), OFFSET('IWP19'!Std3LicenseInfo, 2, 10, 1, 1))</f>
        <v>1</v>
      </c>
      <c r="G941" s="194" t="str">
        <f ca="1">IF(OFFSET('IWP19'!Std3LicenseInfo, 2, 11, 1, 1) = 0, "", OFFSET('IWP19'!Std3LicenseInfo, 2, 11, 1, 1))</f>
        <v/>
      </c>
    </row>
    <row r="942" spans="1:7" s="146" customFormat="1">
      <c r="A942" s="183" t="s">
        <v>517</v>
      </c>
      <c r="B942" s="195" t="str">
        <f ca="1">IF(OFFSET('IWP19'!Std3LicenseInfo, 3, 0, 1, 1) = 0, "", OFFSET('IWP19'!Std3LicenseInfo, 3, 0, 1, 1))</f>
        <v/>
      </c>
      <c r="C942" s="195" t="str">
        <f ca="1">IF(OFFSET('IWP19'!Std3LicenseInfo, 3, 3, 1, 1) = 0, "", OFFSET('IWP19'!Std3LicenseInfo, 3, 3, 1, 1))</f>
        <v/>
      </c>
      <c r="D942" s="195" t="str">
        <f ca="1">IF(OFFSET('IWP19'!Std3LicenseInfo, 3, 6, 1, 1) = 0, "", OFFSET('IWP19'!Std3LicenseInfo, 3, 6, 1, 1))</f>
        <v/>
      </c>
      <c r="E942" s="172">
        <f ca="1">IF(OFFSET('IWP19'!Std3LicenseInfo, 3, 9, 1, 1)=DATE(1900,1,0), DATE(1900,1,1), OFFSET('IWP19'!Std3LicenseInfo, 3, 9, 1, 1))</f>
        <v>1</v>
      </c>
      <c r="F942" s="172">
        <f ca="1">IF(OFFSET('IWP19'!Std3LicenseInfo, 3, 10, 1, 1)=DATE(1900,1,0), DATE(1900,1,1), OFFSET('IWP19'!Std3LicenseInfo, 3, 10, 1, 1))</f>
        <v>1</v>
      </c>
      <c r="G942" s="194" t="str">
        <f ca="1">IF(OFFSET('IWP19'!Std3LicenseInfo, 3, 11, 1, 1) = 0, "", OFFSET('IWP19'!Std3LicenseInfo, 3, 11, 1, 1))</f>
        <v/>
      </c>
    </row>
    <row r="943" spans="1:7" s="146" customFormat="1">
      <c r="A943" s="183" t="s">
        <v>517</v>
      </c>
      <c r="B943" s="195" t="str">
        <f ca="1">IF(OFFSET('IWP19'!Std3LicenseInfo, 4, 0, 1, 1) = 0, "", OFFSET('IWP19'!Std3LicenseInfo, 4, 0, 1, 1))</f>
        <v/>
      </c>
      <c r="C943" s="195" t="str">
        <f ca="1">IF(OFFSET('IWP19'!Std3LicenseInfo, 4, 3, 1, 1) = 0, "", OFFSET('IWP19'!Std3LicenseInfo, 4, 3, 1, 1))</f>
        <v/>
      </c>
      <c r="D943" s="195" t="str">
        <f ca="1">IF(OFFSET('IWP19'!Std3LicenseInfo, 4, 6, 1, 1) = 0, "", OFFSET('IWP19'!Std3LicenseInfo, 4, 6, 1, 1))</f>
        <v/>
      </c>
      <c r="E943" s="172">
        <f ca="1">IF(OFFSET('IWP19'!Std3LicenseInfo, 4, 9, 1, 1)=DATE(1900,1,0), DATE(1900,1,1), OFFSET('IWP19'!Std3LicenseInfo, 4, 9, 1, 1))</f>
        <v>1</v>
      </c>
      <c r="F943" s="172">
        <f ca="1">IF(OFFSET('IWP19'!Std3LicenseInfo, 4, 10, 1, 1)=DATE(1900,1,0), DATE(1900,1,1), OFFSET('IWP19'!Std3LicenseInfo, 4, 10, 1, 1))</f>
        <v>1</v>
      </c>
      <c r="G943" s="194" t="str">
        <f ca="1">IF(OFFSET('IWP19'!Std3LicenseInfo, 4, 11, 1, 1) = 0, "", OFFSET('IWP19'!Std3LicenseInfo, 4, 11, 1, 1))</f>
        <v/>
      </c>
    </row>
    <row r="944" spans="1:7" s="146" customFormat="1">
      <c r="A944" s="183" t="s">
        <v>517</v>
      </c>
      <c r="B944" s="195" t="str">
        <f ca="1">IF(OFFSET('IWP19'!Std3LicenseInfo, 5, 0, 1, 1) = 0, "", OFFSET('IWP19'!Std3LicenseInfo, 5, 0, 1, 1))</f>
        <v/>
      </c>
      <c r="C944" s="195" t="str">
        <f ca="1">IF(OFFSET('IWP19'!Std3LicenseInfo, 5, 3, 1, 1) = 0, "", OFFSET('IWP19'!Std3LicenseInfo, 5, 3, 1, 1))</f>
        <v/>
      </c>
      <c r="D944" s="195" t="str">
        <f ca="1">IF(OFFSET('IWP19'!Std3LicenseInfo, 5, 6, 1, 1) = 0, "", OFFSET('IWP19'!Std3LicenseInfo, 5, 6, 1, 1))</f>
        <v/>
      </c>
      <c r="E944" s="172">
        <f ca="1">IF(OFFSET('IWP19'!Std3LicenseInfo, 5, 9, 1, 1)=DATE(1900,1,0), DATE(1900,1,1), OFFSET('IWP19'!Std3LicenseInfo, 5, 9, 1, 1))</f>
        <v>1</v>
      </c>
      <c r="F944" s="172">
        <f ca="1">IF(OFFSET('IWP19'!Std3LicenseInfo, 5, 10, 1, 1)=DATE(1900,1,0), DATE(1900,1,1), OFFSET('IWP19'!Std3LicenseInfo, 5, 10, 1, 1))</f>
        <v>1</v>
      </c>
      <c r="G944" s="194" t="str">
        <f ca="1">IF(OFFSET('IWP19'!Std3LicenseInfo, 5, 11, 1, 1) = 0, "", OFFSET('IWP19'!Std3LicenseInfo, 5, 11, 1, 1))</f>
        <v/>
      </c>
    </row>
    <row r="945" spans="1:7" s="146" customFormat="1">
      <c r="A945" s="183" t="s">
        <v>517</v>
      </c>
      <c r="B945" s="195" t="str">
        <f ca="1">IF(OFFSET('IWP19'!Std3LicenseInfo, 6, 0, 1, 1) = 0, "", OFFSET('IWP19'!Std3LicenseInfo, 6, 0, 1, 1))</f>
        <v/>
      </c>
      <c r="C945" s="195" t="str">
        <f ca="1">IF(OFFSET('IWP19'!Std3LicenseInfo, 6, 3, 1, 1) = 0, "", OFFSET('IWP19'!Std3LicenseInfo, 6, 3, 1, 1))</f>
        <v/>
      </c>
      <c r="D945" s="195" t="str">
        <f ca="1">IF(OFFSET('IWP19'!Std3LicenseInfo, 6, 6, 1, 1) = 0, "", OFFSET('IWP19'!Std3LicenseInfo, 6, 6, 1, 1))</f>
        <v/>
      </c>
      <c r="E945" s="172">
        <f ca="1">IF(OFFSET('IWP19'!Std3LicenseInfo, 6, 9, 1, 1)=DATE(1900,1,0), DATE(1900,1,1), OFFSET('IWP19'!Std3LicenseInfo, 6, 9, 1, 1))</f>
        <v>1</v>
      </c>
      <c r="F945" s="172">
        <f ca="1">IF(OFFSET('IWP19'!Std3LicenseInfo, 6, 10, 1, 1)=DATE(1900,1,0), DATE(1900,1,1), OFFSET('IWP19'!Std3LicenseInfo, 6, 10, 1, 1))</f>
        <v>1</v>
      </c>
      <c r="G945" s="194" t="str">
        <f ca="1">IF(OFFSET('IWP19'!Std3LicenseInfo, 6, 11, 1, 1) = 0, "", OFFSET('IWP19'!Std3LicenseInfo, 6, 11, 1, 1))</f>
        <v/>
      </c>
    </row>
    <row r="946" spans="1:7" s="146" customFormat="1">
      <c r="A946" s="183" t="s">
        <v>517</v>
      </c>
      <c r="B946" s="195" t="str">
        <f ca="1">IF(OFFSET('IWP19'!Std3LicenseInfo, 7, 0, 1, 1) = 0, "", OFFSET('IWP19'!Std3LicenseInfo, 7, 0, 1, 1))</f>
        <v/>
      </c>
      <c r="C946" s="195" t="str">
        <f ca="1">IF(OFFSET('IWP19'!Std3LicenseInfo, 7, 3, 1, 1) = 0, "", OFFSET('IWP19'!Std3LicenseInfo, 7, 3, 1, 1))</f>
        <v/>
      </c>
      <c r="D946" s="195" t="str">
        <f ca="1">IF(OFFSET('IWP19'!Std3LicenseInfo, 7, 6, 1, 1) = 0, "", OFFSET('IWP19'!Std3LicenseInfo, 7, 6, 1, 1))</f>
        <v/>
      </c>
      <c r="E946" s="172">
        <f ca="1">IF(OFFSET('IWP19'!Std3LicenseInfo, 7, 9, 1, 1)=DATE(1900,1,0), DATE(1900,1,1), OFFSET('IWP19'!Std3LicenseInfo, 7, 9, 1, 1))</f>
        <v>1</v>
      </c>
      <c r="F946" s="172">
        <f ca="1">IF(OFFSET('IWP19'!Std3LicenseInfo, 7, 10, 1, 1)=DATE(1900,1,0), DATE(1900,1,1), OFFSET('IWP19'!Std3LicenseInfo, 7, 10, 1, 1))</f>
        <v>1</v>
      </c>
      <c r="G946" s="194" t="str">
        <f ca="1">IF(OFFSET('IWP19'!Std3LicenseInfo, 7, 11, 1, 1) = 0, "", OFFSET('IWP19'!Std3LicenseInfo, 7, 11, 1, 1))</f>
        <v/>
      </c>
    </row>
    <row r="947" spans="1:7" s="146" customFormat="1">
      <c r="A947" s="183" t="s">
        <v>517</v>
      </c>
      <c r="B947" s="195" t="str">
        <f ca="1">IF(OFFSET('IWP19'!Std3LicenseInfo, 8, 0, 1, 1) = 0, "", OFFSET('IWP19'!Std3LicenseInfo, 8, 0, 1, 1))</f>
        <v/>
      </c>
      <c r="C947" s="195" t="str">
        <f ca="1">IF(OFFSET('IWP19'!Std3LicenseInfo, 8, 3, 1, 1) = 0, "", OFFSET('IWP19'!Std3LicenseInfo, 8, 3, 1, 1))</f>
        <v/>
      </c>
      <c r="D947" s="195" t="str">
        <f ca="1">IF(OFFSET('IWP19'!Std3LicenseInfo, 8, 6, 1, 1) = 0, "", OFFSET('IWP19'!Std3LicenseInfo, 8, 6, 1, 1))</f>
        <v/>
      </c>
      <c r="E947" s="172">
        <f ca="1">IF(OFFSET('IWP19'!Std3LicenseInfo, 8, 9, 1, 1)=DATE(1900,1,0), DATE(1900,1,1), OFFSET('IWP19'!Std3LicenseInfo, 8, 9, 1, 1))</f>
        <v>1</v>
      </c>
      <c r="F947" s="172">
        <f ca="1">IF(OFFSET('IWP19'!Std3LicenseInfo, 8, 10, 1, 1)=DATE(1900,1,0), DATE(1900,1,1), OFFSET('IWP19'!Std3LicenseInfo, 8, 10, 1, 1))</f>
        <v>1</v>
      </c>
      <c r="G947" s="194" t="str">
        <f ca="1">IF(OFFSET('IWP19'!Std3LicenseInfo, 8, 11, 1, 1) = 0, "", OFFSET('IWP19'!Std3LicenseInfo, 8, 11, 1, 1))</f>
        <v/>
      </c>
    </row>
    <row r="948" spans="1:7" s="146" customFormat="1">
      <c r="A948" s="183" t="s">
        <v>517</v>
      </c>
      <c r="B948" s="195" t="str">
        <f ca="1">IF(OFFSET('IWP19'!Std3LicenseInfo, 9, 0, 1, 1) = 0, "", OFFSET('IWP19'!Std3LicenseInfo, 9, 0, 1, 1))</f>
        <v/>
      </c>
      <c r="C948" s="195" t="str">
        <f ca="1">IF(OFFSET('IWP19'!Std3LicenseInfo, 9, 3, 1, 1) = 0, "", OFFSET('IWP19'!Std3LicenseInfo, 9, 3, 1, 1))</f>
        <v/>
      </c>
      <c r="D948" s="195" t="str">
        <f ca="1">IF(OFFSET('IWP19'!Std3LicenseInfo, 9, 6, 1, 1) = 0, "", OFFSET('IWP19'!Std3LicenseInfo, 9, 6, 1, 1))</f>
        <v/>
      </c>
      <c r="E948" s="172">
        <f ca="1">IF(OFFSET('IWP19'!Std3LicenseInfo, 9, 9, 1, 1)=DATE(1900,1,0), DATE(1900,1,1), OFFSET('IWP19'!Std3LicenseInfo, 9, 9, 1, 1))</f>
        <v>1</v>
      </c>
      <c r="F948" s="172">
        <f ca="1">IF(OFFSET('IWP19'!Std3LicenseInfo, 9, 10, 1, 1)=DATE(1900,1,0), DATE(1900,1,1), OFFSET('IWP19'!Std3LicenseInfo, 9, 10, 1, 1))</f>
        <v>1</v>
      </c>
      <c r="G948" s="194" t="str">
        <f ca="1">IF(OFFSET('IWP19'!Std3LicenseInfo, 9, 11, 1, 1) = 0, "", OFFSET('IWP19'!Std3LicenseInfo, 9, 11, 1, 1))</f>
        <v/>
      </c>
    </row>
    <row r="949" spans="1:7" s="146" customFormat="1">
      <c r="A949" s="183" t="s">
        <v>517</v>
      </c>
      <c r="B949" s="195" t="str">
        <f ca="1">IF(OFFSET('IWP19'!Std3LicenseInfo, 10, 0, 1, 1) = 0, "", OFFSET('IWP19'!Std3LicenseInfo, 10, 0, 1, 1))</f>
        <v/>
      </c>
      <c r="C949" s="195" t="str">
        <f ca="1">IF(OFFSET('IWP19'!Std3LicenseInfo, 10, 3, 1, 1) = 0, "", OFFSET('IWP19'!Std3LicenseInfo, 10, 3, 1, 1))</f>
        <v/>
      </c>
      <c r="D949" s="195" t="str">
        <f ca="1">IF(OFFSET('IWP19'!Std3LicenseInfo, 10, 6, 1, 1) = 0, "", OFFSET('IWP19'!Std3LicenseInfo, 10, 6, 1, 1))</f>
        <v/>
      </c>
      <c r="E949" s="172">
        <f ca="1">IF(OFFSET('IWP19'!Std3LicenseInfo, 10, 9, 1, 1)=DATE(1900,1,0), DATE(1900,1,1), OFFSET('IWP19'!Std3LicenseInfo, 10, 9, 1, 1))</f>
        <v>1</v>
      </c>
      <c r="F949" s="172">
        <f ca="1">IF(OFFSET('IWP19'!Std3LicenseInfo, 10, 10, 1, 1)=DATE(1900,1,0), DATE(1900,1,1), OFFSET('IWP19'!Std3LicenseInfo, 10, 10, 1, 1))</f>
        <v>1</v>
      </c>
      <c r="G949" s="194" t="str">
        <f ca="1">IF(OFFSET('IWP19'!Std3LicenseInfo, 10, 11, 1, 1) = 0, "", OFFSET('IWP19'!Std3LicenseInfo, 10, 11, 1, 1))</f>
        <v/>
      </c>
    </row>
    <row r="950" spans="1:7" s="146" customFormat="1">
      <c r="A950" s="183" t="s">
        <v>517</v>
      </c>
      <c r="B950" s="195" t="str">
        <f ca="1">IF(OFFSET('IWP19'!Std3LicenseInfo, 11, 0, 1, 1) = 0, "", OFFSET('IWP19'!Std3LicenseInfo, 11, 0, 1, 1))</f>
        <v/>
      </c>
      <c r="C950" s="195" t="str">
        <f ca="1">IF(OFFSET('IWP19'!Std3LicenseInfo, 11, 3, 1, 1) = 0, "", OFFSET('IWP19'!Std3LicenseInfo, 11, 3, 1, 1))</f>
        <v/>
      </c>
      <c r="D950" s="195" t="str">
        <f ca="1">IF(OFFSET('IWP19'!Std3LicenseInfo, 11, 6, 1, 1) = 0, "", OFFSET('IWP19'!Std3LicenseInfo, 11, 6, 1, 1))</f>
        <v/>
      </c>
      <c r="E950" s="172">
        <f ca="1">IF(OFFSET('IWP19'!Std3LicenseInfo, 11, 9, 1, 1)=DATE(1900,1,0), DATE(1900,1,1), OFFSET('IWP19'!Std3LicenseInfo, 11, 9, 1, 1))</f>
        <v>1</v>
      </c>
      <c r="F950" s="172">
        <f ca="1">IF(OFFSET('IWP19'!Std3LicenseInfo, 11, 10, 1, 1)=DATE(1900,1,0), DATE(1900,1,1), OFFSET('IWP19'!Std3LicenseInfo, 11, 10, 1, 1))</f>
        <v>1</v>
      </c>
      <c r="G950" s="194" t="str">
        <f ca="1">IF(OFFSET('IWP19'!Std3LicenseInfo, 11, 11, 1, 1) = 0, "", OFFSET('IWP19'!Std3LicenseInfo, 11, 11, 1, 1))</f>
        <v/>
      </c>
    </row>
    <row r="951" spans="1:7" s="146" customFormat="1">
      <c r="A951" s="183" t="s">
        <v>517</v>
      </c>
      <c r="B951" s="195" t="str">
        <f ca="1">IF(OFFSET('IWP19'!Std3LicenseInfo, 12, 0, 1, 1) = 0, "", OFFSET('IWP19'!Std3LicenseInfo, 12, 0, 1, 1))</f>
        <v/>
      </c>
      <c r="C951" s="195" t="str">
        <f ca="1">IF(OFFSET('IWP19'!Std3LicenseInfo, 12, 3, 1, 1) = 0, "", OFFSET('IWP19'!Std3LicenseInfo, 12, 3, 1, 1))</f>
        <v/>
      </c>
      <c r="D951" s="195" t="str">
        <f ca="1">IF(OFFSET('IWP19'!Std3LicenseInfo, 12, 6, 1, 1) = 0, "", OFFSET('IWP19'!Std3LicenseInfo, 12, 6, 1, 1))</f>
        <v/>
      </c>
      <c r="E951" s="172">
        <f ca="1">IF(OFFSET('IWP19'!Std3LicenseInfo, 12, 9, 1, 1)=DATE(1900,1,0), DATE(1900,1,1), OFFSET('IWP19'!Std3LicenseInfo, 12, 9, 1, 1))</f>
        <v>1</v>
      </c>
      <c r="F951" s="172">
        <f ca="1">IF(OFFSET('IWP19'!Std3LicenseInfo, 12, 10, 1, 1)=DATE(1900,1,0), DATE(1900,1,1), OFFSET('IWP19'!Std3LicenseInfo, 12, 10, 1, 1))</f>
        <v>1</v>
      </c>
      <c r="G951" s="194" t="str">
        <f ca="1">IF(OFFSET('IWP19'!Std3LicenseInfo, 12, 11, 1, 1) = 0, "", OFFSET('IWP19'!Std3LicenseInfo, 12, 11, 1, 1))</f>
        <v/>
      </c>
    </row>
    <row r="952" spans="1:7" s="146" customFormat="1">
      <c r="A952" s="183" t="s">
        <v>517</v>
      </c>
      <c r="B952" s="195" t="str">
        <f ca="1">IF(OFFSET('IWP19'!Std3LicenseInfo, 13, 0, 1, 1) = 0, "", OFFSET('IWP19'!Std3LicenseInfo, 13, 0, 1, 1))</f>
        <v/>
      </c>
      <c r="C952" s="195" t="str">
        <f ca="1">IF(OFFSET('IWP19'!Std3LicenseInfo, 13, 3, 1, 1) = 0, "", OFFSET('IWP19'!Std3LicenseInfo, 13, 3, 1, 1))</f>
        <v/>
      </c>
      <c r="D952" s="195" t="str">
        <f ca="1">IF(OFFSET('IWP19'!Std3LicenseInfo, 13, 6, 1, 1) = 0, "", OFFSET('IWP19'!Std3LicenseInfo, 13, 6, 1, 1))</f>
        <v/>
      </c>
      <c r="E952" s="172">
        <f ca="1">IF(OFFSET('IWP19'!Std3LicenseInfo, 13, 9, 1, 1)=DATE(1900,1,0), DATE(1900,1,1), OFFSET('IWP19'!Std3LicenseInfo, 13, 9, 1, 1))</f>
        <v>1</v>
      </c>
      <c r="F952" s="172">
        <f ca="1">IF(OFFSET('IWP19'!Std3LicenseInfo, 13, 10, 1, 1)=DATE(1900,1,0), DATE(1900,1,1), OFFSET('IWP19'!Std3LicenseInfo, 13, 10, 1, 1))</f>
        <v>1</v>
      </c>
      <c r="G952" s="194" t="str">
        <f ca="1">IF(OFFSET('IWP19'!Std3LicenseInfo, 13, 11, 1, 1) = 0, "", OFFSET('IWP19'!Std3LicenseInfo, 13, 11, 1, 1))</f>
        <v/>
      </c>
    </row>
    <row r="953" spans="1:7" s="146" customFormat="1">
      <c r="A953" s="183" t="s">
        <v>518</v>
      </c>
      <c r="B953" s="195" t="str">
        <f ca="1">IF(OFFSET('IWP20'!Std3LicenseInfo, 0, 0, 1, 1) = 0, "", OFFSET('IWP20'!Std3LicenseInfo, 0, 0, 1, 1))</f>
        <v/>
      </c>
      <c r="C953" s="195" t="str">
        <f ca="1">IF(OFFSET('IWP20'!Std3LicenseInfo, 0, 3, 1, 1) = 0, "", OFFSET('IWP20'!Std3LicenseInfo, 0, 3, 1, 1))</f>
        <v/>
      </c>
      <c r="D953" s="195" t="str">
        <f ca="1">IF(OFFSET('IWP20'!Std3LicenseInfo, 0, 6, 1, 1) = 0, "", OFFSET('IWP20'!Std3LicenseInfo, 0, 6, 1, 1))</f>
        <v/>
      </c>
      <c r="E953" s="172">
        <f ca="1">IF(OFFSET('IWP20'!Std3LicenseInfo, 0, 9, 1, 1)=DATE(1900,1,0), DATE(1900,1,1), OFFSET('IWP20'!Std3LicenseInfo, 0, 9, 1, 1))</f>
        <v>1</v>
      </c>
      <c r="F953" s="172">
        <f ca="1">IF(OFFSET('IWP20'!Std3LicenseInfo, 0, 10, 1, 1)=DATE(1900,1,0), DATE(1900,1,1), OFFSET('IWP20'!Std3LicenseInfo, 0, 10, 1, 1))</f>
        <v>1</v>
      </c>
      <c r="G953" s="194" t="str">
        <f ca="1">IF(OFFSET('IWP20'!Std3LicenseInfo, 0, 11, 1, 1) = 0, "", OFFSET('IWP20'!Std3LicenseInfo, 0, 11, 1, 1))</f>
        <v/>
      </c>
    </row>
    <row r="954" spans="1:7" s="146" customFormat="1">
      <c r="A954" s="183" t="s">
        <v>518</v>
      </c>
      <c r="B954" s="195" t="str">
        <f ca="1">IF(OFFSET('IWP20'!Std3LicenseInfo, 1, 0, 1, 1) = 0, "", OFFSET('IWP20'!Std3LicenseInfo, 1, 0, 1, 1))</f>
        <v/>
      </c>
      <c r="C954" s="195" t="str">
        <f ca="1">IF(OFFSET('IWP20'!Std3LicenseInfo, 1, 3, 1, 1) = 0, "", OFFSET('IWP20'!Std3LicenseInfo, 1, 3, 1, 1))</f>
        <v/>
      </c>
      <c r="D954" s="195" t="str">
        <f ca="1">IF(OFFSET('IWP20'!Std3LicenseInfo, 1, 6, 1, 1) = 0, "", OFFSET('IWP20'!Std3LicenseInfo, 1, 6, 1, 1))</f>
        <v/>
      </c>
      <c r="E954" s="172">
        <f ca="1">IF(OFFSET('IWP20'!Std3LicenseInfo, 1, 9, 1, 1)=DATE(1900,1,0), DATE(1900,1,1), OFFSET('IWP20'!Std3LicenseInfo, 1, 9, 1, 1))</f>
        <v>1</v>
      </c>
      <c r="F954" s="172">
        <f ca="1">IF(OFFSET('IWP20'!Std3LicenseInfo, 1, 10, 1, 1)=DATE(1900,1,0), DATE(1900,1,1), OFFSET('IWP20'!Std3LicenseInfo, 1, 10, 1, 1))</f>
        <v>1</v>
      </c>
      <c r="G954" s="194" t="str">
        <f ca="1">IF(OFFSET('IWP20'!Std3LicenseInfo, 1, 11, 1, 1) = 0, "", OFFSET('IWP20'!Std3LicenseInfo, 1, 11, 1, 1))</f>
        <v/>
      </c>
    </row>
    <row r="955" spans="1:7" s="146" customFormat="1">
      <c r="A955" s="183" t="s">
        <v>518</v>
      </c>
      <c r="B955" s="195" t="str">
        <f ca="1">IF(OFFSET('IWP20'!Std3LicenseInfo, 2, 0, 1, 1) = 0, "", OFFSET('IWP20'!Std3LicenseInfo, 2, 0, 1, 1))</f>
        <v/>
      </c>
      <c r="C955" s="195" t="str">
        <f ca="1">IF(OFFSET('IWP20'!Std3LicenseInfo, 2, 3, 1, 1) = 0, "", OFFSET('IWP20'!Std3LicenseInfo, 2, 3, 1, 1))</f>
        <v/>
      </c>
      <c r="D955" s="195" t="str">
        <f ca="1">IF(OFFSET('IWP20'!Std3LicenseInfo, 2, 6, 1, 1) = 0, "", OFFSET('IWP20'!Std3LicenseInfo, 2, 6, 1, 1))</f>
        <v/>
      </c>
      <c r="E955" s="172">
        <f ca="1">IF(OFFSET('IWP20'!Std3LicenseInfo, 2, 9, 1, 1)=DATE(1900,1,0), DATE(1900,1,1), OFFSET('IWP20'!Std3LicenseInfo, 2, 9, 1, 1))</f>
        <v>1</v>
      </c>
      <c r="F955" s="172">
        <f ca="1">IF(OFFSET('IWP20'!Std3LicenseInfo, 2, 10, 1, 1)=DATE(1900,1,0), DATE(1900,1,1), OFFSET('IWP20'!Std3LicenseInfo, 2, 10, 1, 1))</f>
        <v>1</v>
      </c>
      <c r="G955" s="194" t="str">
        <f ca="1">IF(OFFSET('IWP20'!Std3LicenseInfo, 2, 11, 1, 1) = 0, "", OFFSET('IWP20'!Std3LicenseInfo, 2, 11, 1, 1))</f>
        <v/>
      </c>
    </row>
    <row r="956" spans="1:7" s="146" customFormat="1">
      <c r="A956" s="183" t="s">
        <v>518</v>
      </c>
      <c r="B956" s="195" t="str">
        <f ca="1">IF(OFFSET('IWP20'!Std3LicenseInfo, 3, 0, 1, 1) = 0, "", OFFSET('IWP20'!Std3LicenseInfo, 3, 0, 1, 1))</f>
        <v/>
      </c>
      <c r="C956" s="195" t="str">
        <f ca="1">IF(OFFSET('IWP20'!Std3LicenseInfo, 3, 3, 1, 1) = 0, "", OFFSET('IWP20'!Std3LicenseInfo, 3, 3, 1, 1))</f>
        <v/>
      </c>
      <c r="D956" s="195" t="str">
        <f ca="1">IF(OFFSET('IWP20'!Std3LicenseInfo, 3, 6, 1, 1) = 0, "", OFFSET('IWP20'!Std3LicenseInfo, 3, 6, 1, 1))</f>
        <v/>
      </c>
      <c r="E956" s="172">
        <f ca="1">IF(OFFSET('IWP20'!Std3LicenseInfo, 3, 9, 1, 1)=DATE(1900,1,0), DATE(1900,1,1), OFFSET('IWP20'!Std3LicenseInfo, 3, 9, 1, 1))</f>
        <v>1</v>
      </c>
      <c r="F956" s="172">
        <f ca="1">IF(OFFSET('IWP20'!Std3LicenseInfo, 3, 10, 1, 1)=DATE(1900,1,0), DATE(1900,1,1), OFFSET('IWP20'!Std3LicenseInfo, 3, 10, 1, 1))</f>
        <v>1</v>
      </c>
      <c r="G956" s="194" t="str">
        <f ca="1">IF(OFFSET('IWP20'!Std3LicenseInfo, 3, 11, 1, 1) = 0, "", OFFSET('IWP20'!Std3LicenseInfo, 3, 11, 1, 1))</f>
        <v/>
      </c>
    </row>
    <row r="957" spans="1:7" s="146" customFormat="1">
      <c r="A957" s="183" t="s">
        <v>518</v>
      </c>
      <c r="B957" s="195" t="str">
        <f ca="1">IF(OFFSET('IWP20'!Std3LicenseInfo, 4, 0, 1, 1) = 0, "", OFFSET('IWP20'!Std3LicenseInfo, 4, 0, 1, 1))</f>
        <v/>
      </c>
      <c r="C957" s="195" t="str">
        <f ca="1">IF(OFFSET('IWP20'!Std3LicenseInfo, 4, 3, 1, 1) = 0, "", OFFSET('IWP20'!Std3LicenseInfo, 4, 3, 1, 1))</f>
        <v/>
      </c>
      <c r="D957" s="195" t="str">
        <f ca="1">IF(OFFSET('IWP20'!Std3LicenseInfo, 4, 6, 1, 1) = 0, "", OFFSET('IWP20'!Std3LicenseInfo, 4, 6, 1, 1))</f>
        <v/>
      </c>
      <c r="E957" s="172">
        <f ca="1">IF(OFFSET('IWP20'!Std3LicenseInfo, 4, 9, 1, 1)=DATE(1900,1,0), DATE(1900,1,1), OFFSET('IWP20'!Std3LicenseInfo, 4, 9, 1, 1))</f>
        <v>1</v>
      </c>
      <c r="F957" s="172">
        <f ca="1">IF(OFFSET('IWP20'!Std3LicenseInfo, 4, 10, 1, 1)=DATE(1900,1,0), DATE(1900,1,1), OFFSET('IWP20'!Std3LicenseInfo, 4, 10, 1, 1))</f>
        <v>1</v>
      </c>
      <c r="G957" s="194" t="str">
        <f ca="1">IF(OFFSET('IWP20'!Std3LicenseInfo, 4, 11, 1, 1) = 0, "", OFFSET('IWP20'!Std3LicenseInfo, 4, 11, 1, 1))</f>
        <v/>
      </c>
    </row>
    <row r="958" spans="1:7" s="146" customFormat="1">
      <c r="A958" s="183" t="s">
        <v>518</v>
      </c>
      <c r="B958" s="195" t="str">
        <f ca="1">IF(OFFSET('IWP20'!Std3LicenseInfo, 5, 0, 1, 1) = 0, "", OFFSET('IWP20'!Std3LicenseInfo, 5, 0, 1, 1))</f>
        <v/>
      </c>
      <c r="C958" s="195" t="str">
        <f ca="1">IF(OFFSET('IWP20'!Std3LicenseInfo, 5, 3, 1, 1) = 0, "", OFFSET('IWP20'!Std3LicenseInfo, 5, 3, 1, 1))</f>
        <v/>
      </c>
      <c r="D958" s="195" t="str">
        <f ca="1">IF(OFFSET('IWP20'!Std3LicenseInfo, 5, 6, 1, 1) = 0, "", OFFSET('IWP20'!Std3LicenseInfo, 5, 6, 1, 1))</f>
        <v/>
      </c>
      <c r="E958" s="172">
        <f ca="1">IF(OFFSET('IWP20'!Std3LicenseInfo, 5, 9, 1, 1)=DATE(1900,1,0), DATE(1900,1,1), OFFSET('IWP20'!Std3LicenseInfo, 5, 9, 1, 1))</f>
        <v>1</v>
      </c>
      <c r="F958" s="172">
        <f ca="1">IF(OFFSET('IWP20'!Std3LicenseInfo, 5, 10, 1, 1)=DATE(1900,1,0), DATE(1900,1,1), OFFSET('IWP20'!Std3LicenseInfo, 5, 10, 1, 1))</f>
        <v>1</v>
      </c>
      <c r="G958" s="194" t="str">
        <f ca="1">IF(OFFSET('IWP20'!Std3LicenseInfo, 5, 11, 1, 1) = 0, "", OFFSET('IWP20'!Std3LicenseInfo, 5, 11, 1, 1))</f>
        <v/>
      </c>
    </row>
    <row r="959" spans="1:7" s="146" customFormat="1">
      <c r="A959" s="183" t="s">
        <v>518</v>
      </c>
      <c r="B959" s="195" t="str">
        <f ca="1">IF(OFFSET('IWP20'!Std3LicenseInfo, 6, 0, 1, 1) = 0, "", OFFSET('IWP20'!Std3LicenseInfo, 6, 0, 1, 1))</f>
        <v/>
      </c>
      <c r="C959" s="195" t="str">
        <f ca="1">IF(OFFSET('IWP20'!Std3LicenseInfo, 6, 3, 1, 1) = 0, "", OFFSET('IWP20'!Std3LicenseInfo, 6, 3, 1, 1))</f>
        <v/>
      </c>
      <c r="D959" s="195" t="str">
        <f ca="1">IF(OFFSET('IWP20'!Std3LicenseInfo, 6, 6, 1, 1) = 0, "", OFFSET('IWP20'!Std3LicenseInfo, 6, 6, 1, 1))</f>
        <v/>
      </c>
      <c r="E959" s="172">
        <f ca="1">IF(OFFSET('IWP20'!Std3LicenseInfo, 6, 9, 1, 1)=DATE(1900,1,0), DATE(1900,1,1), OFFSET('IWP20'!Std3LicenseInfo, 6, 9, 1, 1))</f>
        <v>1</v>
      </c>
      <c r="F959" s="172">
        <f ca="1">IF(OFFSET('IWP20'!Std3LicenseInfo, 6, 10, 1, 1)=DATE(1900,1,0), DATE(1900,1,1), OFFSET('IWP20'!Std3LicenseInfo, 6, 10, 1, 1))</f>
        <v>1</v>
      </c>
      <c r="G959" s="194" t="str">
        <f ca="1">IF(OFFSET('IWP20'!Std3LicenseInfo, 6, 11, 1, 1) = 0, "", OFFSET('IWP20'!Std3LicenseInfo, 6, 11, 1, 1))</f>
        <v/>
      </c>
    </row>
    <row r="960" spans="1:7" s="146" customFormat="1">
      <c r="A960" s="183" t="s">
        <v>518</v>
      </c>
      <c r="B960" s="195" t="str">
        <f ca="1">IF(OFFSET('IWP20'!Std3LicenseInfo, 7, 0, 1, 1) = 0, "", OFFSET('IWP20'!Std3LicenseInfo, 7, 0, 1, 1))</f>
        <v/>
      </c>
      <c r="C960" s="195" t="str">
        <f ca="1">IF(OFFSET('IWP20'!Std3LicenseInfo, 7, 3, 1, 1) = 0, "", OFFSET('IWP20'!Std3LicenseInfo, 7, 3, 1, 1))</f>
        <v/>
      </c>
      <c r="D960" s="195" t="str">
        <f ca="1">IF(OFFSET('IWP20'!Std3LicenseInfo, 7, 6, 1, 1) = 0, "", OFFSET('IWP20'!Std3LicenseInfo, 7, 6, 1, 1))</f>
        <v/>
      </c>
      <c r="E960" s="172">
        <f ca="1">IF(OFFSET('IWP20'!Std3LicenseInfo, 7, 9, 1, 1)=DATE(1900,1,0), DATE(1900,1,1), OFFSET('IWP20'!Std3LicenseInfo, 7, 9, 1, 1))</f>
        <v>1</v>
      </c>
      <c r="F960" s="172">
        <f ca="1">IF(OFFSET('IWP20'!Std3LicenseInfo, 7, 10, 1, 1)=DATE(1900,1,0), DATE(1900,1,1), OFFSET('IWP20'!Std3LicenseInfo, 7, 10, 1, 1))</f>
        <v>1</v>
      </c>
      <c r="G960" s="194" t="str">
        <f ca="1">IF(OFFSET('IWP20'!Std3LicenseInfo, 7, 11, 1, 1) = 0, "", OFFSET('IWP20'!Std3LicenseInfo, 7, 11, 1, 1))</f>
        <v/>
      </c>
    </row>
    <row r="961" spans="1:7" s="146" customFormat="1">
      <c r="A961" s="183" t="s">
        <v>518</v>
      </c>
      <c r="B961" s="195" t="str">
        <f ca="1">IF(OFFSET('IWP20'!Std3LicenseInfo, 8, 0, 1, 1) = 0, "", OFFSET('IWP20'!Std3LicenseInfo, 8, 0, 1, 1))</f>
        <v/>
      </c>
      <c r="C961" s="195" t="str">
        <f ca="1">IF(OFFSET('IWP20'!Std3LicenseInfo, 8, 3, 1, 1) = 0, "", OFFSET('IWP20'!Std3LicenseInfo, 8, 3, 1, 1))</f>
        <v/>
      </c>
      <c r="D961" s="195" t="str">
        <f ca="1">IF(OFFSET('IWP20'!Std3LicenseInfo, 8, 6, 1, 1) = 0, "", OFFSET('IWP20'!Std3LicenseInfo, 8, 6, 1, 1))</f>
        <v/>
      </c>
      <c r="E961" s="172">
        <f ca="1">IF(OFFSET('IWP20'!Std3LicenseInfo, 8, 9, 1, 1)=DATE(1900,1,0), DATE(1900,1,1), OFFSET('IWP20'!Std3LicenseInfo, 8, 9, 1, 1))</f>
        <v>1</v>
      </c>
      <c r="F961" s="172">
        <f ca="1">IF(OFFSET('IWP20'!Std3LicenseInfo, 8, 10, 1, 1)=DATE(1900,1,0), DATE(1900,1,1), OFFSET('IWP20'!Std3LicenseInfo, 8, 10, 1, 1))</f>
        <v>1</v>
      </c>
      <c r="G961" s="194" t="str">
        <f ca="1">IF(OFFSET('IWP20'!Std3LicenseInfo, 8, 11, 1, 1) = 0, "", OFFSET('IWP20'!Std3LicenseInfo, 8, 11, 1, 1))</f>
        <v/>
      </c>
    </row>
    <row r="962" spans="1:7" s="146" customFormat="1">
      <c r="A962" s="183" t="s">
        <v>518</v>
      </c>
      <c r="B962" s="195" t="str">
        <f ca="1">IF(OFFSET('IWP20'!Std3LicenseInfo, 9, 0, 1, 1) = 0, "", OFFSET('IWP20'!Std3LicenseInfo, 9, 0, 1, 1))</f>
        <v/>
      </c>
      <c r="C962" s="195" t="str">
        <f ca="1">IF(OFFSET('IWP20'!Std3LicenseInfo, 9, 3, 1, 1) = 0, "", OFFSET('IWP20'!Std3LicenseInfo, 9, 3, 1, 1))</f>
        <v/>
      </c>
      <c r="D962" s="195" t="str">
        <f ca="1">IF(OFFSET('IWP20'!Std3LicenseInfo, 9, 6, 1, 1) = 0, "", OFFSET('IWP20'!Std3LicenseInfo, 9, 6, 1, 1))</f>
        <v/>
      </c>
      <c r="E962" s="172">
        <f ca="1">IF(OFFSET('IWP20'!Std3LicenseInfo, 9, 9, 1, 1)=DATE(1900,1,0), DATE(1900,1,1), OFFSET('IWP20'!Std3LicenseInfo, 9, 9, 1, 1))</f>
        <v>1</v>
      </c>
      <c r="F962" s="172">
        <f ca="1">IF(OFFSET('IWP20'!Std3LicenseInfo, 9, 10, 1, 1)=DATE(1900,1,0), DATE(1900,1,1), OFFSET('IWP20'!Std3LicenseInfo, 9, 10, 1, 1))</f>
        <v>1</v>
      </c>
      <c r="G962" s="194" t="str">
        <f ca="1">IF(OFFSET('IWP20'!Std3LicenseInfo, 9, 11, 1, 1) = 0, "", OFFSET('IWP20'!Std3LicenseInfo, 9, 11, 1, 1))</f>
        <v/>
      </c>
    </row>
    <row r="963" spans="1:7" s="146" customFormat="1">
      <c r="A963" s="183" t="s">
        <v>518</v>
      </c>
      <c r="B963" s="195" t="str">
        <f ca="1">IF(OFFSET('IWP20'!Std3LicenseInfo, 10, 0, 1, 1) = 0, "", OFFSET('IWP20'!Std3LicenseInfo, 10, 0, 1, 1))</f>
        <v/>
      </c>
      <c r="C963" s="195" t="str">
        <f ca="1">IF(OFFSET('IWP20'!Std3LicenseInfo, 10, 3, 1, 1) = 0, "", OFFSET('IWP20'!Std3LicenseInfo, 10, 3, 1, 1))</f>
        <v/>
      </c>
      <c r="D963" s="195" t="str">
        <f ca="1">IF(OFFSET('IWP20'!Std3LicenseInfo, 10, 6, 1, 1) = 0, "", OFFSET('IWP20'!Std3LicenseInfo, 10, 6, 1, 1))</f>
        <v/>
      </c>
      <c r="E963" s="172">
        <f ca="1">IF(OFFSET('IWP20'!Std3LicenseInfo, 10, 9, 1, 1)=DATE(1900,1,0), DATE(1900,1,1), OFFSET('IWP20'!Std3LicenseInfo, 10, 9, 1, 1))</f>
        <v>1</v>
      </c>
      <c r="F963" s="172">
        <f ca="1">IF(OFFSET('IWP20'!Std3LicenseInfo, 10, 10, 1, 1)=DATE(1900,1,0), DATE(1900,1,1), OFFSET('IWP20'!Std3LicenseInfo, 10, 10, 1, 1))</f>
        <v>1</v>
      </c>
      <c r="G963" s="194" t="str">
        <f ca="1">IF(OFFSET('IWP20'!Std3LicenseInfo, 10, 11, 1, 1) = 0, "", OFFSET('IWP20'!Std3LicenseInfo, 10, 11, 1, 1))</f>
        <v/>
      </c>
    </row>
    <row r="964" spans="1:7" s="146" customFormat="1">
      <c r="A964" s="183" t="s">
        <v>518</v>
      </c>
      <c r="B964" s="195" t="str">
        <f ca="1">IF(OFFSET('IWP20'!Std3LicenseInfo, 11, 0, 1, 1) = 0, "", OFFSET('IWP20'!Std3LicenseInfo, 11, 0, 1, 1))</f>
        <v/>
      </c>
      <c r="C964" s="195" t="str">
        <f ca="1">IF(OFFSET('IWP20'!Std3LicenseInfo, 11, 3, 1, 1) = 0, "", OFFSET('IWP20'!Std3LicenseInfo, 11, 3, 1, 1))</f>
        <v/>
      </c>
      <c r="D964" s="195" t="str">
        <f ca="1">IF(OFFSET('IWP20'!Std3LicenseInfo, 11, 6, 1, 1) = 0, "", OFFSET('IWP20'!Std3LicenseInfo, 11, 6, 1, 1))</f>
        <v/>
      </c>
      <c r="E964" s="172">
        <f ca="1">IF(OFFSET('IWP20'!Std3LicenseInfo, 11, 9, 1, 1)=DATE(1900,1,0), DATE(1900,1,1), OFFSET('IWP20'!Std3LicenseInfo, 11, 9, 1, 1))</f>
        <v>1</v>
      </c>
      <c r="F964" s="172">
        <f ca="1">IF(OFFSET('IWP20'!Std3LicenseInfo, 11, 10, 1, 1)=DATE(1900,1,0), DATE(1900,1,1), OFFSET('IWP20'!Std3LicenseInfo, 11, 10, 1, 1))</f>
        <v>1</v>
      </c>
      <c r="G964" s="194" t="str">
        <f ca="1">IF(OFFSET('IWP20'!Std3LicenseInfo, 11, 11, 1, 1) = 0, "", OFFSET('IWP20'!Std3LicenseInfo, 11, 11, 1, 1))</f>
        <v/>
      </c>
    </row>
    <row r="965" spans="1:7" s="146" customFormat="1">
      <c r="A965" s="183" t="s">
        <v>518</v>
      </c>
      <c r="B965" s="195" t="str">
        <f ca="1">IF(OFFSET('IWP20'!Std3LicenseInfo, 12, 0, 1, 1) = 0, "", OFFSET('IWP20'!Std3LicenseInfo, 12, 0, 1, 1))</f>
        <v/>
      </c>
      <c r="C965" s="195" t="str">
        <f ca="1">IF(OFFSET('IWP20'!Std3LicenseInfo, 12, 3, 1, 1) = 0, "", OFFSET('IWP20'!Std3LicenseInfo, 12, 3, 1, 1))</f>
        <v/>
      </c>
      <c r="D965" s="195" t="str">
        <f ca="1">IF(OFFSET('IWP20'!Std3LicenseInfo, 12, 6, 1, 1) = 0, "", OFFSET('IWP20'!Std3LicenseInfo, 12, 6, 1, 1))</f>
        <v/>
      </c>
      <c r="E965" s="172">
        <f ca="1">IF(OFFSET('IWP20'!Std3LicenseInfo, 12, 9, 1, 1)=DATE(1900,1,0), DATE(1900,1,1), OFFSET('IWP20'!Std3LicenseInfo, 12, 9, 1, 1))</f>
        <v>1</v>
      </c>
      <c r="F965" s="172">
        <f ca="1">IF(OFFSET('IWP20'!Std3LicenseInfo, 12, 10, 1, 1)=DATE(1900,1,0), DATE(1900,1,1), OFFSET('IWP20'!Std3LicenseInfo, 12, 10, 1, 1))</f>
        <v>1</v>
      </c>
      <c r="G965" s="194" t="str">
        <f ca="1">IF(OFFSET('IWP20'!Std3LicenseInfo, 12, 11, 1, 1) = 0, "", OFFSET('IWP20'!Std3LicenseInfo, 12, 11, 1, 1))</f>
        <v/>
      </c>
    </row>
    <row r="966" spans="1:7" s="146" customFormat="1">
      <c r="A966" s="183" t="s">
        <v>518</v>
      </c>
      <c r="B966" s="195" t="str">
        <f ca="1">IF(OFFSET('IWP20'!Std3LicenseInfo, 13, 0, 1, 1) = 0, "", OFFSET('IWP20'!Std3LicenseInfo, 13, 0, 1, 1))</f>
        <v/>
      </c>
      <c r="C966" s="195" t="str">
        <f ca="1">IF(OFFSET('IWP20'!Std3LicenseInfo, 13, 3, 1, 1) = 0, "", OFFSET('IWP20'!Std3LicenseInfo, 13, 3, 1, 1))</f>
        <v/>
      </c>
      <c r="D966" s="195" t="str">
        <f ca="1">IF(OFFSET('IWP20'!Std3LicenseInfo, 13, 6, 1, 1) = 0, "", OFFSET('IWP20'!Std3LicenseInfo, 13, 6, 1, 1))</f>
        <v/>
      </c>
      <c r="E966" s="172">
        <f ca="1">IF(OFFSET('IWP20'!Std3LicenseInfo, 13, 9, 1, 1)=DATE(1900,1,0), DATE(1900,1,1), OFFSET('IWP20'!Std3LicenseInfo, 13, 9, 1, 1))</f>
        <v>1</v>
      </c>
      <c r="F966" s="172">
        <f ca="1">IF(OFFSET('IWP20'!Std3LicenseInfo, 13, 10, 1, 1)=DATE(1900,1,0), DATE(1900,1,1), OFFSET('IWP20'!Std3LicenseInfo, 13, 10, 1, 1))</f>
        <v>1</v>
      </c>
      <c r="G966" s="194" t="str">
        <f ca="1">IF(OFFSET('IWP20'!Std3LicenseInfo, 13, 11, 1, 1) = 0, "", OFFSET('IWP20'!Std3LicenseInfo, 13, 11, 1, 1))</f>
        <v/>
      </c>
    </row>
    <row r="967" spans="1:7" s="146" customFormat="1">
      <c r="A967" s="183" t="s">
        <v>519</v>
      </c>
      <c r="B967" s="195" t="str">
        <f ca="1">IF(OFFSET('IWP21'!Std3LicenseInfo, 0, 0, 1, 1) = 0, "", OFFSET('IWP21'!Std3LicenseInfo, 0, 0, 1, 1))</f>
        <v/>
      </c>
      <c r="C967" s="195" t="str">
        <f ca="1">IF(OFFSET('IWP21'!Std3LicenseInfo, 0, 3, 1, 1) = 0, "", OFFSET('IWP21'!Std3LicenseInfo, 0, 3, 1, 1))</f>
        <v/>
      </c>
      <c r="D967" s="195" t="str">
        <f ca="1">IF(OFFSET('IWP21'!Std3LicenseInfo, 0, 6, 1, 1) = 0, "", OFFSET('IWP21'!Std3LicenseInfo, 0, 6, 1, 1))</f>
        <v/>
      </c>
      <c r="E967" s="172">
        <f ca="1">IF(OFFSET('IWP21'!Std3LicenseInfo, 0, 9, 1, 1)=DATE(1900,1,0), DATE(1900,1,1), OFFSET('IWP21'!Std3LicenseInfo, 0, 9, 1, 1))</f>
        <v>1</v>
      </c>
      <c r="F967" s="172">
        <f ca="1">IF(OFFSET('IWP21'!Std3LicenseInfo, 0, 10, 1, 1)=DATE(1900,1,0), DATE(1900,1,1), OFFSET('IWP21'!Std3LicenseInfo, 0, 10, 1, 1))</f>
        <v>1</v>
      </c>
      <c r="G967" s="194" t="str">
        <f ca="1">IF(OFFSET('IWP21'!Std3LicenseInfo, 0, 11, 1, 1) = 0, "", OFFSET('IWP21'!Std3LicenseInfo, 0, 11, 1, 1))</f>
        <v/>
      </c>
    </row>
    <row r="968" spans="1:7" s="146" customFormat="1">
      <c r="A968" s="183" t="s">
        <v>519</v>
      </c>
      <c r="B968" s="195" t="str">
        <f ca="1">IF(OFFSET('IWP21'!Std3LicenseInfo, 1, 0, 1, 1) = 0, "", OFFSET('IWP21'!Std3LicenseInfo, 1, 0, 1, 1))</f>
        <v/>
      </c>
      <c r="C968" s="195" t="str">
        <f ca="1">IF(OFFSET('IWP21'!Std3LicenseInfo, 1, 3, 1, 1) = 0, "", OFFSET('IWP21'!Std3LicenseInfo, 1, 3, 1, 1))</f>
        <v/>
      </c>
      <c r="D968" s="195" t="str">
        <f ca="1">IF(OFFSET('IWP21'!Std3LicenseInfo, 1, 6, 1, 1) = 0, "", OFFSET('IWP21'!Std3LicenseInfo, 1, 6, 1, 1))</f>
        <v/>
      </c>
      <c r="E968" s="172">
        <f ca="1">IF(OFFSET('IWP21'!Std3LicenseInfo, 1, 9, 1, 1)=DATE(1900,1,0), DATE(1900,1,1), OFFSET('IWP21'!Std3LicenseInfo, 1, 9, 1, 1))</f>
        <v>1</v>
      </c>
      <c r="F968" s="172">
        <f ca="1">IF(OFFSET('IWP21'!Std3LicenseInfo, 1, 10, 1, 1)=DATE(1900,1,0), DATE(1900,1,1), OFFSET('IWP21'!Std3LicenseInfo, 1, 10, 1, 1))</f>
        <v>1</v>
      </c>
      <c r="G968" s="194" t="str">
        <f ca="1">IF(OFFSET('IWP21'!Std3LicenseInfo, 1, 11, 1, 1) = 0, "", OFFSET('IWP21'!Std3LicenseInfo, 1, 11, 1, 1))</f>
        <v/>
      </c>
    </row>
    <row r="969" spans="1:7" s="146" customFormat="1">
      <c r="A969" s="183" t="s">
        <v>519</v>
      </c>
      <c r="B969" s="195" t="str">
        <f ca="1">IF(OFFSET('IWP21'!Std3LicenseInfo, 2, 0, 1, 1) = 0, "", OFFSET('IWP21'!Std3LicenseInfo, 2, 0, 1, 1))</f>
        <v/>
      </c>
      <c r="C969" s="195" t="str">
        <f ca="1">IF(OFFSET('IWP21'!Std3LicenseInfo, 2, 3, 1, 1) = 0, "", OFFSET('IWP21'!Std3LicenseInfo, 2, 3, 1, 1))</f>
        <v/>
      </c>
      <c r="D969" s="195" t="str">
        <f ca="1">IF(OFFSET('IWP21'!Std3LicenseInfo, 2, 6, 1, 1) = 0, "", OFFSET('IWP21'!Std3LicenseInfo, 2, 6, 1, 1))</f>
        <v/>
      </c>
      <c r="E969" s="172">
        <f ca="1">IF(OFFSET('IWP21'!Std3LicenseInfo, 2, 9, 1, 1)=DATE(1900,1,0), DATE(1900,1,1), OFFSET('IWP21'!Std3LicenseInfo, 2, 9, 1, 1))</f>
        <v>1</v>
      </c>
      <c r="F969" s="172">
        <f ca="1">IF(OFFSET('IWP21'!Std3LicenseInfo, 2, 10, 1, 1)=DATE(1900,1,0), DATE(1900,1,1), OFFSET('IWP21'!Std3LicenseInfo, 2, 10, 1, 1))</f>
        <v>1</v>
      </c>
      <c r="G969" s="194" t="str">
        <f ca="1">IF(OFFSET('IWP21'!Std3LicenseInfo, 2, 11, 1, 1) = 0, "", OFFSET('IWP21'!Std3LicenseInfo, 2, 11, 1, 1))</f>
        <v/>
      </c>
    </row>
    <row r="970" spans="1:7" s="146" customFormat="1">
      <c r="A970" s="183" t="s">
        <v>519</v>
      </c>
      <c r="B970" s="195" t="str">
        <f ca="1">IF(OFFSET('IWP21'!Std3LicenseInfo, 3, 0, 1, 1) = 0, "", OFFSET('IWP21'!Std3LicenseInfo, 3, 0, 1, 1))</f>
        <v/>
      </c>
      <c r="C970" s="195" t="str">
        <f ca="1">IF(OFFSET('IWP21'!Std3LicenseInfo, 3, 3, 1, 1) = 0, "", OFFSET('IWP21'!Std3LicenseInfo, 3, 3, 1, 1))</f>
        <v/>
      </c>
      <c r="D970" s="195" t="str">
        <f ca="1">IF(OFFSET('IWP21'!Std3LicenseInfo, 3, 6, 1, 1) = 0, "", OFFSET('IWP21'!Std3LicenseInfo, 3, 6, 1, 1))</f>
        <v/>
      </c>
      <c r="E970" s="172">
        <f ca="1">IF(OFFSET('IWP21'!Std3LicenseInfo, 3, 9, 1, 1)=DATE(1900,1,0), DATE(1900,1,1), OFFSET('IWP21'!Std3LicenseInfo, 3, 9, 1, 1))</f>
        <v>1</v>
      </c>
      <c r="F970" s="172">
        <f ca="1">IF(OFFSET('IWP21'!Std3LicenseInfo, 3, 10, 1, 1)=DATE(1900,1,0), DATE(1900,1,1), OFFSET('IWP21'!Std3LicenseInfo, 3, 10, 1, 1))</f>
        <v>1</v>
      </c>
      <c r="G970" s="194" t="str">
        <f ca="1">IF(OFFSET('IWP21'!Std3LicenseInfo, 3, 11, 1, 1) = 0, "", OFFSET('IWP21'!Std3LicenseInfo, 3, 11, 1, 1))</f>
        <v/>
      </c>
    </row>
    <row r="971" spans="1:7" s="146" customFormat="1">
      <c r="A971" s="183" t="s">
        <v>519</v>
      </c>
      <c r="B971" s="195" t="str">
        <f ca="1">IF(OFFSET('IWP21'!Std3LicenseInfo, 4, 0, 1, 1) = 0, "", OFFSET('IWP21'!Std3LicenseInfo, 4, 0, 1, 1))</f>
        <v/>
      </c>
      <c r="C971" s="195" t="str">
        <f ca="1">IF(OFFSET('IWP21'!Std3LicenseInfo, 4, 3, 1, 1) = 0, "", OFFSET('IWP21'!Std3LicenseInfo, 4, 3, 1, 1))</f>
        <v/>
      </c>
      <c r="D971" s="195" t="str">
        <f ca="1">IF(OFFSET('IWP21'!Std3LicenseInfo, 4, 6, 1, 1) = 0, "", OFFSET('IWP21'!Std3LicenseInfo, 4, 6, 1, 1))</f>
        <v/>
      </c>
      <c r="E971" s="172">
        <f ca="1">IF(OFFSET('IWP21'!Std3LicenseInfo, 4, 9, 1, 1)=DATE(1900,1,0), DATE(1900,1,1), OFFSET('IWP21'!Std3LicenseInfo, 4, 9, 1, 1))</f>
        <v>1</v>
      </c>
      <c r="F971" s="172">
        <f ca="1">IF(OFFSET('IWP21'!Std3LicenseInfo, 4, 10, 1, 1)=DATE(1900,1,0), DATE(1900,1,1), OFFSET('IWP21'!Std3LicenseInfo, 4, 10, 1, 1))</f>
        <v>1</v>
      </c>
      <c r="G971" s="194" t="str">
        <f ca="1">IF(OFFSET('IWP21'!Std3LicenseInfo, 4, 11, 1, 1) = 0, "", OFFSET('IWP21'!Std3LicenseInfo, 4, 11, 1, 1))</f>
        <v/>
      </c>
    </row>
    <row r="972" spans="1:7" s="146" customFormat="1">
      <c r="A972" s="183" t="s">
        <v>519</v>
      </c>
      <c r="B972" s="195" t="str">
        <f ca="1">IF(OFFSET('IWP21'!Std3LicenseInfo, 5, 0, 1, 1) = 0, "", OFFSET('IWP21'!Std3LicenseInfo, 5, 0, 1, 1))</f>
        <v/>
      </c>
      <c r="C972" s="195" t="str">
        <f ca="1">IF(OFFSET('IWP21'!Std3LicenseInfo, 5, 3, 1, 1) = 0, "", OFFSET('IWP21'!Std3LicenseInfo, 5, 3, 1, 1))</f>
        <v/>
      </c>
      <c r="D972" s="195" t="str">
        <f ca="1">IF(OFFSET('IWP21'!Std3LicenseInfo, 5, 6, 1, 1) = 0, "", OFFSET('IWP21'!Std3LicenseInfo, 5, 6, 1, 1))</f>
        <v/>
      </c>
      <c r="E972" s="172">
        <f ca="1">IF(OFFSET('IWP21'!Std3LicenseInfo, 5, 9, 1, 1)=DATE(1900,1,0), DATE(1900,1,1), OFFSET('IWP21'!Std3LicenseInfo, 5, 9, 1, 1))</f>
        <v>1</v>
      </c>
      <c r="F972" s="172">
        <f ca="1">IF(OFFSET('IWP21'!Std3LicenseInfo, 5, 10, 1, 1)=DATE(1900,1,0), DATE(1900,1,1), OFFSET('IWP21'!Std3LicenseInfo, 5, 10, 1, 1))</f>
        <v>1</v>
      </c>
      <c r="G972" s="194" t="str">
        <f ca="1">IF(OFFSET('IWP21'!Std3LicenseInfo, 5, 11, 1, 1) = 0, "", OFFSET('IWP21'!Std3LicenseInfo, 5, 11, 1, 1))</f>
        <v/>
      </c>
    </row>
    <row r="973" spans="1:7" s="146" customFormat="1">
      <c r="A973" s="183" t="s">
        <v>519</v>
      </c>
      <c r="B973" s="195" t="str">
        <f ca="1">IF(OFFSET('IWP21'!Std3LicenseInfo, 6, 0, 1, 1) = 0, "", OFFSET('IWP21'!Std3LicenseInfo, 6, 0, 1, 1))</f>
        <v/>
      </c>
      <c r="C973" s="195" t="str">
        <f ca="1">IF(OFFSET('IWP21'!Std3LicenseInfo, 6, 3, 1, 1) = 0, "", OFFSET('IWP21'!Std3LicenseInfo, 6, 3, 1, 1))</f>
        <v/>
      </c>
      <c r="D973" s="195" t="str">
        <f ca="1">IF(OFFSET('IWP21'!Std3LicenseInfo, 6, 6, 1, 1) = 0, "", OFFSET('IWP21'!Std3LicenseInfo, 6, 6, 1, 1))</f>
        <v/>
      </c>
      <c r="E973" s="172">
        <f ca="1">IF(OFFSET('IWP21'!Std3LicenseInfo, 6, 9, 1, 1)=DATE(1900,1,0), DATE(1900,1,1), OFFSET('IWP21'!Std3LicenseInfo, 6, 9, 1, 1))</f>
        <v>1</v>
      </c>
      <c r="F973" s="172">
        <f ca="1">IF(OFFSET('IWP21'!Std3LicenseInfo, 6, 10, 1, 1)=DATE(1900,1,0), DATE(1900,1,1), OFFSET('IWP21'!Std3LicenseInfo, 6, 10, 1, 1))</f>
        <v>1</v>
      </c>
      <c r="G973" s="194" t="str">
        <f ca="1">IF(OFFSET('IWP21'!Std3LicenseInfo, 6, 11, 1, 1) = 0, "", OFFSET('IWP21'!Std3LicenseInfo, 6, 11, 1, 1))</f>
        <v/>
      </c>
    </row>
    <row r="974" spans="1:7" s="146" customFormat="1">
      <c r="A974" s="183" t="s">
        <v>519</v>
      </c>
      <c r="B974" s="195" t="str">
        <f ca="1">IF(OFFSET('IWP21'!Std3LicenseInfo, 7, 0, 1, 1) = 0, "", OFFSET('IWP21'!Std3LicenseInfo, 7, 0, 1, 1))</f>
        <v/>
      </c>
      <c r="C974" s="195" t="str">
        <f ca="1">IF(OFFSET('IWP21'!Std3LicenseInfo, 7, 3, 1, 1) = 0, "", OFFSET('IWP21'!Std3LicenseInfo, 7, 3, 1, 1))</f>
        <v/>
      </c>
      <c r="D974" s="195" t="str">
        <f ca="1">IF(OFFSET('IWP21'!Std3LicenseInfo, 7, 6, 1, 1) = 0, "", OFFSET('IWP21'!Std3LicenseInfo, 7, 6, 1, 1))</f>
        <v/>
      </c>
      <c r="E974" s="172">
        <f ca="1">IF(OFFSET('IWP21'!Std3LicenseInfo, 7, 9, 1, 1)=DATE(1900,1,0), DATE(1900,1,1), OFFSET('IWP21'!Std3LicenseInfo, 7, 9, 1, 1))</f>
        <v>1</v>
      </c>
      <c r="F974" s="172">
        <f ca="1">IF(OFFSET('IWP21'!Std3LicenseInfo, 7, 10, 1, 1)=DATE(1900,1,0), DATE(1900,1,1), OFFSET('IWP21'!Std3LicenseInfo, 7, 10, 1, 1))</f>
        <v>1</v>
      </c>
      <c r="G974" s="194" t="str">
        <f ca="1">IF(OFFSET('IWP21'!Std3LicenseInfo, 7, 11, 1, 1) = 0, "", OFFSET('IWP21'!Std3LicenseInfo, 7, 11, 1, 1))</f>
        <v/>
      </c>
    </row>
    <row r="975" spans="1:7" s="146" customFormat="1">
      <c r="A975" s="183" t="s">
        <v>519</v>
      </c>
      <c r="B975" s="195" t="str">
        <f ca="1">IF(OFFSET('IWP21'!Std3LicenseInfo, 8, 0, 1, 1) = 0, "", OFFSET('IWP21'!Std3LicenseInfo, 8, 0, 1, 1))</f>
        <v/>
      </c>
      <c r="C975" s="195" t="str">
        <f ca="1">IF(OFFSET('IWP21'!Std3LicenseInfo, 8, 3, 1, 1) = 0, "", OFFSET('IWP21'!Std3LicenseInfo, 8, 3, 1, 1))</f>
        <v/>
      </c>
      <c r="D975" s="195" t="str">
        <f ca="1">IF(OFFSET('IWP21'!Std3LicenseInfo, 8, 6, 1, 1) = 0, "", OFFSET('IWP21'!Std3LicenseInfo, 8, 6, 1, 1))</f>
        <v/>
      </c>
      <c r="E975" s="172">
        <f ca="1">IF(OFFSET('IWP21'!Std3LicenseInfo, 8, 9, 1, 1)=DATE(1900,1,0), DATE(1900,1,1), OFFSET('IWP21'!Std3LicenseInfo, 8, 9, 1, 1))</f>
        <v>1</v>
      </c>
      <c r="F975" s="172">
        <f ca="1">IF(OFFSET('IWP21'!Std3LicenseInfo, 8, 10, 1, 1)=DATE(1900,1,0), DATE(1900,1,1), OFFSET('IWP21'!Std3LicenseInfo, 8, 10, 1, 1))</f>
        <v>1</v>
      </c>
      <c r="G975" s="194" t="str">
        <f ca="1">IF(OFFSET('IWP21'!Std3LicenseInfo, 8, 11, 1, 1) = 0, "", OFFSET('IWP21'!Std3LicenseInfo, 8, 11, 1, 1))</f>
        <v/>
      </c>
    </row>
    <row r="976" spans="1:7" s="146" customFormat="1">
      <c r="A976" s="183" t="s">
        <v>519</v>
      </c>
      <c r="B976" s="195" t="str">
        <f ca="1">IF(OFFSET('IWP21'!Std3LicenseInfo, 9, 0, 1, 1) = 0, "", OFFSET('IWP21'!Std3LicenseInfo, 9, 0, 1, 1))</f>
        <v/>
      </c>
      <c r="C976" s="195" t="str">
        <f ca="1">IF(OFFSET('IWP21'!Std3LicenseInfo, 9, 3, 1, 1) = 0, "", OFFSET('IWP21'!Std3LicenseInfo, 9, 3, 1, 1))</f>
        <v/>
      </c>
      <c r="D976" s="195" t="str">
        <f ca="1">IF(OFFSET('IWP21'!Std3LicenseInfo, 9, 6, 1, 1) = 0, "", OFFSET('IWP21'!Std3LicenseInfo, 9, 6, 1, 1))</f>
        <v/>
      </c>
      <c r="E976" s="172">
        <f ca="1">IF(OFFSET('IWP21'!Std3LicenseInfo, 9, 9, 1, 1)=DATE(1900,1,0), DATE(1900,1,1), OFFSET('IWP21'!Std3LicenseInfo, 9, 9, 1, 1))</f>
        <v>1</v>
      </c>
      <c r="F976" s="172">
        <f ca="1">IF(OFFSET('IWP21'!Std3LicenseInfo, 9, 10, 1, 1)=DATE(1900,1,0), DATE(1900,1,1), OFFSET('IWP21'!Std3LicenseInfo, 9, 10, 1, 1))</f>
        <v>1</v>
      </c>
      <c r="G976" s="194" t="str">
        <f ca="1">IF(OFFSET('IWP21'!Std3LicenseInfo, 9, 11, 1, 1) = 0, "", OFFSET('IWP21'!Std3LicenseInfo, 9, 11, 1, 1))</f>
        <v/>
      </c>
    </row>
    <row r="977" spans="1:7" s="146" customFormat="1">
      <c r="A977" s="183" t="s">
        <v>519</v>
      </c>
      <c r="B977" s="195" t="str">
        <f ca="1">IF(OFFSET('IWP21'!Std3LicenseInfo, 10, 0, 1, 1) = 0, "", OFFSET('IWP21'!Std3LicenseInfo, 10, 0, 1, 1))</f>
        <v/>
      </c>
      <c r="C977" s="195" t="str">
        <f ca="1">IF(OFFSET('IWP21'!Std3LicenseInfo, 10, 3, 1, 1) = 0, "", OFFSET('IWP21'!Std3LicenseInfo, 10, 3, 1, 1))</f>
        <v/>
      </c>
      <c r="D977" s="195" t="str">
        <f ca="1">IF(OFFSET('IWP21'!Std3LicenseInfo, 10, 6, 1, 1) = 0, "", OFFSET('IWP21'!Std3LicenseInfo, 10, 6, 1, 1))</f>
        <v/>
      </c>
      <c r="E977" s="172">
        <f ca="1">IF(OFFSET('IWP21'!Std3LicenseInfo, 10, 9, 1, 1)=DATE(1900,1,0), DATE(1900,1,1), OFFSET('IWP21'!Std3LicenseInfo, 10, 9, 1, 1))</f>
        <v>1</v>
      </c>
      <c r="F977" s="172">
        <f ca="1">IF(OFFSET('IWP21'!Std3LicenseInfo, 10, 10, 1, 1)=DATE(1900,1,0), DATE(1900,1,1), OFFSET('IWP21'!Std3LicenseInfo, 10, 10, 1, 1))</f>
        <v>1</v>
      </c>
      <c r="G977" s="194" t="str">
        <f ca="1">IF(OFFSET('IWP21'!Std3LicenseInfo, 10, 11, 1, 1) = 0, "", OFFSET('IWP21'!Std3LicenseInfo, 10, 11, 1, 1))</f>
        <v/>
      </c>
    </row>
    <row r="978" spans="1:7" s="146" customFormat="1">
      <c r="A978" s="183" t="s">
        <v>519</v>
      </c>
      <c r="B978" s="195" t="str">
        <f ca="1">IF(OFFSET('IWP21'!Std3LicenseInfo, 11, 0, 1, 1) = 0, "", OFFSET('IWP21'!Std3LicenseInfo, 11, 0, 1, 1))</f>
        <v/>
      </c>
      <c r="C978" s="195" t="str">
        <f ca="1">IF(OFFSET('IWP21'!Std3LicenseInfo, 11, 3, 1, 1) = 0, "", OFFSET('IWP21'!Std3LicenseInfo, 11, 3, 1, 1))</f>
        <v/>
      </c>
      <c r="D978" s="195" t="str">
        <f ca="1">IF(OFFSET('IWP21'!Std3LicenseInfo, 11, 6, 1, 1) = 0, "", OFFSET('IWP21'!Std3LicenseInfo, 11, 6, 1, 1))</f>
        <v/>
      </c>
      <c r="E978" s="172">
        <f ca="1">IF(OFFSET('IWP21'!Std3LicenseInfo, 11, 9, 1, 1)=DATE(1900,1,0), DATE(1900,1,1), OFFSET('IWP21'!Std3LicenseInfo, 11, 9, 1, 1))</f>
        <v>1</v>
      </c>
      <c r="F978" s="172">
        <f ca="1">IF(OFFSET('IWP21'!Std3LicenseInfo, 11, 10, 1, 1)=DATE(1900,1,0), DATE(1900,1,1), OFFSET('IWP21'!Std3LicenseInfo, 11, 10, 1, 1))</f>
        <v>1</v>
      </c>
      <c r="G978" s="194" t="str">
        <f ca="1">IF(OFFSET('IWP21'!Std3LicenseInfo, 11, 11, 1, 1) = 0, "", OFFSET('IWP21'!Std3LicenseInfo, 11, 11, 1, 1))</f>
        <v/>
      </c>
    </row>
    <row r="979" spans="1:7" s="146" customFormat="1">
      <c r="A979" s="183" t="s">
        <v>519</v>
      </c>
      <c r="B979" s="195" t="str">
        <f ca="1">IF(OFFSET('IWP21'!Std3LicenseInfo, 12, 0, 1, 1) = 0, "", OFFSET('IWP21'!Std3LicenseInfo, 12, 0, 1, 1))</f>
        <v/>
      </c>
      <c r="C979" s="195" t="str">
        <f ca="1">IF(OFFSET('IWP21'!Std3LicenseInfo, 12, 3, 1, 1) = 0, "", OFFSET('IWP21'!Std3LicenseInfo, 12, 3, 1, 1))</f>
        <v/>
      </c>
      <c r="D979" s="195" t="str">
        <f ca="1">IF(OFFSET('IWP21'!Std3LicenseInfo, 12, 6, 1, 1) = 0, "", OFFSET('IWP21'!Std3LicenseInfo, 12, 6, 1, 1))</f>
        <v/>
      </c>
      <c r="E979" s="172">
        <f ca="1">IF(OFFSET('IWP21'!Std3LicenseInfo, 12, 9, 1, 1)=DATE(1900,1,0), DATE(1900,1,1), OFFSET('IWP21'!Std3LicenseInfo, 12, 9, 1, 1))</f>
        <v>1</v>
      </c>
      <c r="F979" s="172">
        <f ca="1">IF(OFFSET('IWP21'!Std3LicenseInfo, 12, 10, 1, 1)=DATE(1900,1,0), DATE(1900,1,1), OFFSET('IWP21'!Std3LicenseInfo, 12, 10, 1, 1))</f>
        <v>1</v>
      </c>
      <c r="G979" s="194" t="str">
        <f ca="1">IF(OFFSET('IWP21'!Std3LicenseInfo, 12, 11, 1, 1) = 0, "", OFFSET('IWP21'!Std3LicenseInfo, 12, 11, 1, 1))</f>
        <v/>
      </c>
    </row>
    <row r="980" spans="1:7" s="146" customFormat="1">
      <c r="A980" s="183" t="s">
        <v>519</v>
      </c>
      <c r="B980" s="195" t="str">
        <f ca="1">IF(OFFSET('IWP21'!Std3LicenseInfo, 13, 0, 1, 1) = 0, "", OFFSET('IWP21'!Std3LicenseInfo, 13, 0, 1, 1))</f>
        <v/>
      </c>
      <c r="C980" s="195" t="str">
        <f ca="1">IF(OFFSET('IWP21'!Std3LicenseInfo, 13, 3, 1, 1) = 0, "", OFFSET('IWP21'!Std3LicenseInfo, 13, 3, 1, 1))</f>
        <v/>
      </c>
      <c r="D980" s="195" t="str">
        <f ca="1">IF(OFFSET('IWP21'!Std3LicenseInfo, 13, 6, 1, 1) = 0, "", OFFSET('IWP21'!Std3LicenseInfo, 13, 6, 1, 1))</f>
        <v/>
      </c>
      <c r="E980" s="172">
        <f ca="1">IF(OFFSET('IWP21'!Std3LicenseInfo, 13, 9, 1, 1)=DATE(1900,1,0), DATE(1900,1,1), OFFSET('IWP21'!Std3LicenseInfo, 13, 9, 1, 1))</f>
        <v>1</v>
      </c>
      <c r="F980" s="172">
        <f ca="1">IF(OFFSET('IWP21'!Std3LicenseInfo, 13, 10, 1, 1)=DATE(1900,1,0), DATE(1900,1,1), OFFSET('IWP21'!Std3LicenseInfo, 13, 10, 1, 1))</f>
        <v>1</v>
      </c>
      <c r="G980" s="194" t="str">
        <f ca="1">IF(OFFSET('IWP21'!Std3LicenseInfo, 13, 11, 1, 1) = 0, "", OFFSET('IWP21'!Std3LicenseInfo, 13, 11, 1, 1))</f>
        <v/>
      </c>
    </row>
    <row r="981" spans="1:7" s="146" customFormat="1">
      <c r="A981" s="183" t="s">
        <v>520</v>
      </c>
      <c r="B981" s="195" t="str">
        <f ca="1">IF(OFFSET('IWP22'!Std3LicenseInfo, 0, 0, 1, 1) = 0, "", OFFSET('IWP22'!Std3LicenseInfo, 0, 0, 1, 1))</f>
        <v/>
      </c>
      <c r="C981" s="195" t="str">
        <f ca="1">IF(OFFSET('IWP22'!Std3LicenseInfo, 0, 3, 1, 1) = 0, "", OFFSET('IWP22'!Std3LicenseInfo, 0, 3, 1, 1))</f>
        <v/>
      </c>
      <c r="D981" s="195" t="str">
        <f ca="1">IF(OFFSET('IWP22'!Std3LicenseInfo, 0, 6, 1, 1) = 0, "", OFFSET('IWP22'!Std3LicenseInfo, 0, 6, 1, 1))</f>
        <v/>
      </c>
      <c r="E981" s="172">
        <f ca="1">IF(OFFSET('IWP22'!Std3LicenseInfo, 0, 9, 1, 1)=DATE(1900,1,0), DATE(1900,1,1), OFFSET('IWP22'!Std3LicenseInfo, 0, 9, 1, 1))</f>
        <v>1</v>
      </c>
      <c r="F981" s="172">
        <f ca="1">IF(OFFSET('IWP22'!Std3LicenseInfo, 0, 10, 1, 1)=DATE(1900,1,0), DATE(1900,1,1), OFFSET('IWP22'!Std3LicenseInfo, 0, 10, 1, 1))</f>
        <v>1</v>
      </c>
      <c r="G981" s="194" t="str">
        <f ca="1">IF(OFFSET('IWP22'!Std3LicenseInfo, 0, 11, 1, 1) = 0, "", OFFSET('IWP22'!Std3LicenseInfo, 0, 11, 1, 1))</f>
        <v/>
      </c>
    </row>
    <row r="982" spans="1:7" s="146" customFormat="1">
      <c r="A982" s="183" t="s">
        <v>520</v>
      </c>
      <c r="B982" s="195" t="str">
        <f ca="1">IF(OFFSET('IWP22'!Std3LicenseInfo, 1, 0, 1, 1) = 0, "", OFFSET('IWP22'!Std3LicenseInfo, 1, 0, 1, 1))</f>
        <v/>
      </c>
      <c r="C982" s="195" t="str">
        <f ca="1">IF(OFFSET('IWP22'!Std3LicenseInfo, 1, 3, 1, 1) = 0, "", OFFSET('IWP22'!Std3LicenseInfo, 1, 3, 1, 1))</f>
        <v/>
      </c>
      <c r="D982" s="195" t="str">
        <f ca="1">IF(OFFSET('IWP22'!Std3LicenseInfo, 1, 6, 1, 1) = 0, "", OFFSET('IWP22'!Std3LicenseInfo, 1, 6, 1, 1))</f>
        <v/>
      </c>
      <c r="E982" s="172">
        <f ca="1">IF(OFFSET('IWP22'!Std3LicenseInfo, 1, 9, 1, 1)=DATE(1900,1,0), DATE(1900,1,1), OFFSET('IWP22'!Std3LicenseInfo, 1, 9, 1, 1))</f>
        <v>1</v>
      </c>
      <c r="F982" s="172">
        <f ca="1">IF(OFFSET('IWP22'!Std3LicenseInfo, 1, 10, 1, 1)=DATE(1900,1,0), DATE(1900,1,1), OFFSET('IWP22'!Std3LicenseInfo, 1, 10, 1, 1))</f>
        <v>1</v>
      </c>
      <c r="G982" s="194" t="str">
        <f ca="1">IF(OFFSET('IWP22'!Std3LicenseInfo, 1, 11, 1, 1) = 0, "", OFFSET('IWP22'!Std3LicenseInfo, 1, 11, 1, 1))</f>
        <v/>
      </c>
    </row>
    <row r="983" spans="1:7" s="146" customFormat="1">
      <c r="A983" s="183" t="s">
        <v>520</v>
      </c>
      <c r="B983" s="195" t="str">
        <f ca="1">IF(OFFSET('IWP22'!Std3LicenseInfo, 2, 0, 1, 1) = 0, "", OFFSET('IWP22'!Std3LicenseInfo, 2, 0, 1, 1))</f>
        <v/>
      </c>
      <c r="C983" s="195" t="str">
        <f ca="1">IF(OFFSET('IWP22'!Std3LicenseInfo, 2, 3, 1, 1) = 0, "", OFFSET('IWP22'!Std3LicenseInfo, 2, 3, 1, 1))</f>
        <v/>
      </c>
      <c r="D983" s="195" t="str">
        <f ca="1">IF(OFFSET('IWP22'!Std3LicenseInfo, 2, 6, 1, 1) = 0, "", OFFSET('IWP22'!Std3LicenseInfo, 2, 6, 1, 1))</f>
        <v/>
      </c>
      <c r="E983" s="172">
        <f ca="1">IF(OFFSET('IWP22'!Std3LicenseInfo, 2, 9, 1, 1)=DATE(1900,1,0), DATE(1900,1,1), OFFSET('IWP22'!Std3LicenseInfo, 2, 9, 1, 1))</f>
        <v>1</v>
      </c>
      <c r="F983" s="172">
        <f ca="1">IF(OFFSET('IWP22'!Std3LicenseInfo, 2, 10, 1, 1)=DATE(1900,1,0), DATE(1900,1,1), OFFSET('IWP22'!Std3LicenseInfo, 2, 10, 1, 1))</f>
        <v>1</v>
      </c>
      <c r="G983" s="194" t="str">
        <f ca="1">IF(OFFSET('IWP22'!Std3LicenseInfo, 2, 11, 1, 1) = 0, "", OFFSET('IWP22'!Std3LicenseInfo, 2, 11, 1, 1))</f>
        <v/>
      </c>
    </row>
    <row r="984" spans="1:7" s="146" customFormat="1">
      <c r="A984" s="183" t="s">
        <v>520</v>
      </c>
      <c r="B984" s="195" t="str">
        <f ca="1">IF(OFFSET('IWP22'!Std3LicenseInfo, 3, 0, 1, 1) = 0, "", OFFSET('IWP22'!Std3LicenseInfo, 3, 0, 1, 1))</f>
        <v/>
      </c>
      <c r="C984" s="195" t="str">
        <f ca="1">IF(OFFSET('IWP22'!Std3LicenseInfo, 3, 3, 1, 1) = 0, "", OFFSET('IWP22'!Std3LicenseInfo, 3, 3, 1, 1))</f>
        <v/>
      </c>
      <c r="D984" s="195" t="str">
        <f ca="1">IF(OFFSET('IWP22'!Std3LicenseInfo, 3, 6, 1, 1) = 0, "", OFFSET('IWP22'!Std3LicenseInfo, 3, 6, 1, 1))</f>
        <v/>
      </c>
      <c r="E984" s="172">
        <f ca="1">IF(OFFSET('IWP22'!Std3LicenseInfo, 3, 9, 1, 1)=DATE(1900,1,0), DATE(1900,1,1), OFFSET('IWP22'!Std3LicenseInfo, 3, 9, 1, 1))</f>
        <v>1</v>
      </c>
      <c r="F984" s="172">
        <f ca="1">IF(OFFSET('IWP22'!Std3LicenseInfo, 3, 10, 1, 1)=DATE(1900,1,0), DATE(1900,1,1), OFFSET('IWP22'!Std3LicenseInfo, 3, 10, 1, 1))</f>
        <v>1</v>
      </c>
      <c r="G984" s="194" t="str">
        <f ca="1">IF(OFFSET('IWP22'!Std3LicenseInfo, 3, 11, 1, 1) = 0, "", OFFSET('IWP22'!Std3LicenseInfo, 3, 11, 1, 1))</f>
        <v/>
      </c>
    </row>
    <row r="985" spans="1:7" s="146" customFormat="1">
      <c r="A985" s="183" t="s">
        <v>520</v>
      </c>
      <c r="B985" s="195" t="str">
        <f ca="1">IF(OFFSET('IWP22'!Std3LicenseInfo, 4, 0, 1, 1) = 0, "", OFFSET('IWP22'!Std3LicenseInfo, 4, 0, 1, 1))</f>
        <v/>
      </c>
      <c r="C985" s="195" t="str">
        <f ca="1">IF(OFFSET('IWP22'!Std3LicenseInfo, 4, 3, 1, 1) = 0, "", OFFSET('IWP22'!Std3LicenseInfo, 4, 3, 1, 1))</f>
        <v/>
      </c>
      <c r="D985" s="195" t="str">
        <f ca="1">IF(OFFSET('IWP22'!Std3LicenseInfo, 4, 6, 1, 1) = 0, "", OFFSET('IWP22'!Std3LicenseInfo, 4, 6, 1, 1))</f>
        <v/>
      </c>
      <c r="E985" s="172">
        <f ca="1">IF(OFFSET('IWP22'!Std3LicenseInfo, 4, 9, 1, 1)=DATE(1900,1,0), DATE(1900,1,1), OFFSET('IWP22'!Std3LicenseInfo, 4, 9, 1, 1))</f>
        <v>1</v>
      </c>
      <c r="F985" s="172">
        <f ca="1">IF(OFFSET('IWP22'!Std3LicenseInfo, 4, 10, 1, 1)=DATE(1900,1,0), DATE(1900,1,1), OFFSET('IWP22'!Std3LicenseInfo, 4, 10, 1, 1))</f>
        <v>1</v>
      </c>
      <c r="G985" s="194" t="str">
        <f ca="1">IF(OFFSET('IWP22'!Std3LicenseInfo, 4, 11, 1, 1) = 0, "", OFFSET('IWP22'!Std3LicenseInfo, 4, 11, 1, 1))</f>
        <v/>
      </c>
    </row>
    <row r="986" spans="1:7" s="146" customFormat="1">
      <c r="A986" s="183" t="s">
        <v>520</v>
      </c>
      <c r="B986" s="195" t="str">
        <f ca="1">IF(OFFSET('IWP22'!Std3LicenseInfo, 5, 0, 1, 1) = 0, "", OFFSET('IWP22'!Std3LicenseInfo, 5, 0, 1, 1))</f>
        <v/>
      </c>
      <c r="C986" s="195" t="str">
        <f ca="1">IF(OFFSET('IWP22'!Std3LicenseInfo, 5, 3, 1, 1) = 0, "", OFFSET('IWP22'!Std3LicenseInfo, 5, 3, 1, 1))</f>
        <v/>
      </c>
      <c r="D986" s="195" t="str">
        <f ca="1">IF(OFFSET('IWP22'!Std3LicenseInfo, 5, 6, 1, 1) = 0, "", OFFSET('IWP22'!Std3LicenseInfo, 5, 6, 1, 1))</f>
        <v/>
      </c>
      <c r="E986" s="172">
        <f ca="1">IF(OFFSET('IWP22'!Std3LicenseInfo, 5, 9, 1, 1)=DATE(1900,1,0), DATE(1900,1,1), OFFSET('IWP22'!Std3LicenseInfo, 5, 9, 1, 1))</f>
        <v>1</v>
      </c>
      <c r="F986" s="172">
        <f ca="1">IF(OFFSET('IWP22'!Std3LicenseInfo, 5, 10, 1, 1)=DATE(1900,1,0), DATE(1900,1,1), OFFSET('IWP22'!Std3LicenseInfo, 5, 10, 1, 1))</f>
        <v>1</v>
      </c>
      <c r="G986" s="194" t="str">
        <f ca="1">IF(OFFSET('IWP22'!Std3LicenseInfo, 5, 11, 1, 1) = 0, "", OFFSET('IWP22'!Std3LicenseInfo, 5, 11, 1, 1))</f>
        <v/>
      </c>
    </row>
    <row r="987" spans="1:7" s="146" customFormat="1">
      <c r="A987" s="183" t="s">
        <v>520</v>
      </c>
      <c r="B987" s="195" t="str">
        <f ca="1">IF(OFFSET('IWP22'!Std3LicenseInfo, 6, 0, 1, 1) = 0, "", OFFSET('IWP22'!Std3LicenseInfo, 6, 0, 1, 1))</f>
        <v/>
      </c>
      <c r="C987" s="195" t="str">
        <f ca="1">IF(OFFSET('IWP22'!Std3LicenseInfo, 6, 3, 1, 1) = 0, "", OFFSET('IWP22'!Std3LicenseInfo, 6, 3, 1, 1))</f>
        <v/>
      </c>
      <c r="D987" s="195" t="str">
        <f ca="1">IF(OFFSET('IWP22'!Std3LicenseInfo, 6, 6, 1, 1) = 0, "", OFFSET('IWP22'!Std3LicenseInfo, 6, 6, 1, 1))</f>
        <v/>
      </c>
      <c r="E987" s="172">
        <f ca="1">IF(OFFSET('IWP22'!Std3LicenseInfo, 6, 9, 1, 1)=DATE(1900,1,0), DATE(1900,1,1), OFFSET('IWP22'!Std3LicenseInfo, 6, 9, 1, 1))</f>
        <v>1</v>
      </c>
      <c r="F987" s="172">
        <f ca="1">IF(OFFSET('IWP22'!Std3LicenseInfo, 6, 10, 1, 1)=DATE(1900,1,0), DATE(1900,1,1), OFFSET('IWP22'!Std3LicenseInfo, 6, 10, 1, 1))</f>
        <v>1</v>
      </c>
      <c r="G987" s="194" t="str">
        <f ca="1">IF(OFFSET('IWP22'!Std3LicenseInfo, 6, 11, 1, 1) = 0, "", OFFSET('IWP22'!Std3LicenseInfo, 6, 11, 1, 1))</f>
        <v/>
      </c>
    </row>
    <row r="988" spans="1:7" s="146" customFormat="1">
      <c r="A988" s="183" t="s">
        <v>520</v>
      </c>
      <c r="B988" s="195" t="str">
        <f ca="1">IF(OFFSET('IWP22'!Std3LicenseInfo, 7, 0, 1, 1) = 0, "", OFFSET('IWP22'!Std3LicenseInfo, 7, 0, 1, 1))</f>
        <v/>
      </c>
      <c r="C988" s="195" t="str">
        <f ca="1">IF(OFFSET('IWP22'!Std3LicenseInfo, 7, 3, 1, 1) = 0, "", OFFSET('IWP22'!Std3LicenseInfo, 7, 3, 1, 1))</f>
        <v/>
      </c>
      <c r="D988" s="195" t="str">
        <f ca="1">IF(OFFSET('IWP22'!Std3LicenseInfo, 7, 6, 1, 1) = 0, "", OFFSET('IWP22'!Std3LicenseInfo, 7, 6, 1, 1))</f>
        <v/>
      </c>
      <c r="E988" s="172">
        <f ca="1">IF(OFFSET('IWP22'!Std3LicenseInfo, 7, 9, 1, 1)=DATE(1900,1,0), DATE(1900,1,1), OFFSET('IWP22'!Std3LicenseInfo, 7, 9, 1, 1))</f>
        <v>1</v>
      </c>
      <c r="F988" s="172">
        <f ca="1">IF(OFFSET('IWP22'!Std3LicenseInfo, 7, 10, 1, 1)=DATE(1900,1,0), DATE(1900,1,1), OFFSET('IWP22'!Std3LicenseInfo, 7, 10, 1, 1))</f>
        <v>1</v>
      </c>
      <c r="G988" s="194" t="str">
        <f ca="1">IF(OFFSET('IWP22'!Std3LicenseInfo, 7, 11, 1, 1) = 0, "", OFFSET('IWP22'!Std3LicenseInfo, 7, 11, 1, 1))</f>
        <v/>
      </c>
    </row>
    <row r="989" spans="1:7" s="146" customFormat="1">
      <c r="A989" s="183" t="s">
        <v>520</v>
      </c>
      <c r="B989" s="195" t="str">
        <f ca="1">IF(OFFSET('IWP22'!Std3LicenseInfo, 8, 0, 1, 1) = 0, "", OFFSET('IWP22'!Std3LicenseInfo, 8, 0, 1, 1))</f>
        <v/>
      </c>
      <c r="C989" s="195" t="str">
        <f ca="1">IF(OFFSET('IWP22'!Std3LicenseInfo, 8, 3, 1, 1) = 0, "", OFFSET('IWP22'!Std3LicenseInfo, 8, 3, 1, 1))</f>
        <v/>
      </c>
      <c r="D989" s="195" t="str">
        <f ca="1">IF(OFFSET('IWP22'!Std3LicenseInfo, 8, 6, 1, 1) = 0, "", OFFSET('IWP22'!Std3LicenseInfo, 8, 6, 1, 1))</f>
        <v/>
      </c>
      <c r="E989" s="172">
        <f ca="1">IF(OFFSET('IWP22'!Std3LicenseInfo, 8, 9, 1, 1)=DATE(1900,1,0), DATE(1900,1,1), OFFSET('IWP22'!Std3LicenseInfo, 8, 9, 1, 1))</f>
        <v>1</v>
      </c>
      <c r="F989" s="172">
        <f ca="1">IF(OFFSET('IWP22'!Std3LicenseInfo, 8, 10, 1, 1)=DATE(1900,1,0), DATE(1900,1,1), OFFSET('IWP22'!Std3LicenseInfo, 8, 10, 1, 1))</f>
        <v>1</v>
      </c>
      <c r="G989" s="194" t="str">
        <f ca="1">IF(OFFSET('IWP22'!Std3LicenseInfo, 8, 11, 1, 1) = 0, "", OFFSET('IWP22'!Std3LicenseInfo, 8, 11, 1, 1))</f>
        <v/>
      </c>
    </row>
    <row r="990" spans="1:7" s="146" customFormat="1">
      <c r="A990" s="183" t="s">
        <v>520</v>
      </c>
      <c r="B990" s="195" t="str">
        <f ca="1">IF(OFFSET('IWP22'!Std3LicenseInfo, 9, 0, 1, 1) = 0, "", OFFSET('IWP22'!Std3LicenseInfo, 9, 0, 1, 1))</f>
        <v/>
      </c>
      <c r="C990" s="195" t="str">
        <f ca="1">IF(OFFSET('IWP22'!Std3LicenseInfo, 9, 3, 1, 1) = 0, "", OFFSET('IWP22'!Std3LicenseInfo, 9, 3, 1, 1))</f>
        <v/>
      </c>
      <c r="D990" s="195" t="str">
        <f ca="1">IF(OFFSET('IWP22'!Std3LicenseInfo, 9, 6, 1, 1) = 0, "", OFFSET('IWP22'!Std3LicenseInfo, 9, 6, 1, 1))</f>
        <v/>
      </c>
      <c r="E990" s="172">
        <f ca="1">IF(OFFSET('IWP22'!Std3LicenseInfo, 9, 9, 1, 1)=DATE(1900,1,0), DATE(1900,1,1), OFFSET('IWP22'!Std3LicenseInfo, 9, 9, 1, 1))</f>
        <v>1</v>
      </c>
      <c r="F990" s="172">
        <f ca="1">IF(OFFSET('IWP22'!Std3LicenseInfo, 9, 10, 1, 1)=DATE(1900,1,0), DATE(1900,1,1), OFFSET('IWP22'!Std3LicenseInfo, 9, 10, 1, 1))</f>
        <v>1</v>
      </c>
      <c r="G990" s="194" t="str">
        <f ca="1">IF(OFFSET('IWP22'!Std3LicenseInfo, 9, 11, 1, 1) = 0, "", OFFSET('IWP22'!Std3LicenseInfo, 9, 11, 1, 1))</f>
        <v/>
      </c>
    </row>
    <row r="991" spans="1:7" s="146" customFormat="1">
      <c r="A991" s="183" t="s">
        <v>520</v>
      </c>
      <c r="B991" s="195" t="str">
        <f ca="1">IF(OFFSET('IWP22'!Std3LicenseInfo, 10, 0, 1, 1) = 0, "", OFFSET('IWP22'!Std3LicenseInfo, 10, 0, 1, 1))</f>
        <v/>
      </c>
      <c r="C991" s="195" t="str">
        <f ca="1">IF(OFFSET('IWP22'!Std3LicenseInfo, 10, 3, 1, 1) = 0, "", OFFSET('IWP22'!Std3LicenseInfo, 10, 3, 1, 1))</f>
        <v/>
      </c>
      <c r="D991" s="195" t="str">
        <f ca="1">IF(OFFSET('IWP22'!Std3LicenseInfo, 10, 6, 1, 1) = 0, "", OFFSET('IWP22'!Std3LicenseInfo, 10, 6, 1, 1))</f>
        <v/>
      </c>
      <c r="E991" s="172">
        <f ca="1">IF(OFFSET('IWP22'!Std3LicenseInfo, 10, 9, 1, 1)=DATE(1900,1,0), DATE(1900,1,1), OFFSET('IWP22'!Std3LicenseInfo, 10, 9, 1, 1))</f>
        <v>1</v>
      </c>
      <c r="F991" s="172">
        <f ca="1">IF(OFFSET('IWP22'!Std3LicenseInfo, 10, 10, 1, 1)=DATE(1900,1,0), DATE(1900,1,1), OFFSET('IWP22'!Std3LicenseInfo, 10, 10, 1, 1))</f>
        <v>1</v>
      </c>
      <c r="G991" s="194" t="str">
        <f ca="1">IF(OFFSET('IWP22'!Std3LicenseInfo, 10, 11, 1, 1) = 0, "", OFFSET('IWP22'!Std3LicenseInfo, 10, 11, 1, 1))</f>
        <v/>
      </c>
    </row>
    <row r="992" spans="1:7" s="146" customFormat="1">
      <c r="A992" s="183" t="s">
        <v>520</v>
      </c>
      <c r="B992" s="195" t="str">
        <f ca="1">IF(OFFSET('IWP22'!Std3LicenseInfo, 11, 0, 1, 1) = 0, "", OFFSET('IWP22'!Std3LicenseInfo, 11, 0, 1, 1))</f>
        <v/>
      </c>
      <c r="C992" s="195" t="str">
        <f ca="1">IF(OFFSET('IWP22'!Std3LicenseInfo, 11, 3, 1, 1) = 0, "", OFFSET('IWP22'!Std3LicenseInfo, 11, 3, 1, 1))</f>
        <v/>
      </c>
      <c r="D992" s="195" t="str">
        <f ca="1">IF(OFFSET('IWP22'!Std3LicenseInfo, 11, 6, 1, 1) = 0, "", OFFSET('IWP22'!Std3LicenseInfo, 11, 6, 1, 1))</f>
        <v/>
      </c>
      <c r="E992" s="172">
        <f ca="1">IF(OFFSET('IWP22'!Std3LicenseInfo, 11, 9, 1, 1)=DATE(1900,1,0), DATE(1900,1,1), OFFSET('IWP22'!Std3LicenseInfo, 11, 9, 1, 1))</f>
        <v>1</v>
      </c>
      <c r="F992" s="172">
        <f ca="1">IF(OFFSET('IWP22'!Std3LicenseInfo, 11, 10, 1, 1)=DATE(1900,1,0), DATE(1900,1,1), OFFSET('IWP22'!Std3LicenseInfo, 11, 10, 1, 1))</f>
        <v>1</v>
      </c>
      <c r="G992" s="194" t="str">
        <f ca="1">IF(OFFSET('IWP22'!Std3LicenseInfo, 11, 11, 1, 1) = 0, "", OFFSET('IWP22'!Std3LicenseInfo, 11, 11, 1, 1))</f>
        <v/>
      </c>
    </row>
    <row r="993" spans="1:7" s="146" customFormat="1">
      <c r="A993" s="183" t="s">
        <v>520</v>
      </c>
      <c r="B993" s="195" t="str">
        <f ca="1">IF(OFFSET('IWP22'!Std3LicenseInfo, 12, 0, 1, 1) = 0, "", OFFSET('IWP22'!Std3LicenseInfo, 12, 0, 1, 1))</f>
        <v/>
      </c>
      <c r="C993" s="195" t="str">
        <f ca="1">IF(OFFSET('IWP22'!Std3LicenseInfo, 12, 3, 1, 1) = 0, "", OFFSET('IWP22'!Std3LicenseInfo, 12, 3, 1, 1))</f>
        <v/>
      </c>
      <c r="D993" s="195" t="str">
        <f ca="1">IF(OFFSET('IWP22'!Std3LicenseInfo, 12, 6, 1, 1) = 0, "", OFFSET('IWP22'!Std3LicenseInfo, 12, 6, 1, 1))</f>
        <v/>
      </c>
      <c r="E993" s="172">
        <f ca="1">IF(OFFSET('IWP22'!Std3LicenseInfo, 12, 9, 1, 1)=DATE(1900,1,0), DATE(1900,1,1), OFFSET('IWP22'!Std3LicenseInfo, 12, 9, 1, 1))</f>
        <v>1</v>
      </c>
      <c r="F993" s="172">
        <f ca="1">IF(OFFSET('IWP22'!Std3LicenseInfo, 12, 10, 1, 1)=DATE(1900,1,0), DATE(1900,1,1), OFFSET('IWP22'!Std3LicenseInfo, 12, 10, 1, 1))</f>
        <v>1</v>
      </c>
      <c r="G993" s="194" t="str">
        <f ca="1">IF(OFFSET('IWP22'!Std3LicenseInfo, 12, 11, 1, 1) = 0, "", OFFSET('IWP22'!Std3LicenseInfo, 12, 11, 1, 1))</f>
        <v/>
      </c>
    </row>
    <row r="994" spans="1:7" s="146" customFormat="1">
      <c r="A994" s="183" t="s">
        <v>520</v>
      </c>
      <c r="B994" s="195" t="str">
        <f ca="1">IF(OFFSET('IWP22'!Std3LicenseInfo, 13, 0, 1, 1) = 0, "", OFFSET('IWP22'!Std3LicenseInfo, 13, 0, 1, 1))</f>
        <v/>
      </c>
      <c r="C994" s="195" t="str">
        <f ca="1">IF(OFFSET('IWP22'!Std3LicenseInfo, 13, 3, 1, 1) = 0, "", OFFSET('IWP22'!Std3LicenseInfo, 13, 3, 1, 1))</f>
        <v/>
      </c>
      <c r="D994" s="195" t="str">
        <f ca="1">IF(OFFSET('IWP22'!Std3LicenseInfo, 13, 6, 1, 1) = 0, "", OFFSET('IWP22'!Std3LicenseInfo, 13, 6, 1, 1))</f>
        <v/>
      </c>
      <c r="E994" s="172">
        <f ca="1">IF(OFFSET('IWP22'!Std3LicenseInfo, 13, 9, 1, 1)=DATE(1900,1,0), DATE(1900,1,1), OFFSET('IWP22'!Std3LicenseInfo, 13, 9, 1, 1))</f>
        <v>1</v>
      </c>
      <c r="F994" s="172">
        <f ca="1">IF(OFFSET('IWP22'!Std3LicenseInfo, 13, 10, 1, 1)=DATE(1900,1,0), DATE(1900,1,1), OFFSET('IWP22'!Std3LicenseInfo, 13, 10, 1, 1))</f>
        <v>1</v>
      </c>
      <c r="G994" s="194" t="str">
        <f ca="1">IF(OFFSET('IWP22'!Std3LicenseInfo, 13, 11, 1, 1) = 0, "", OFFSET('IWP22'!Std3LicenseInfo, 13, 11, 1, 1))</f>
        <v/>
      </c>
    </row>
    <row r="995" spans="1:7" s="146" customFormat="1">
      <c r="A995" s="183" t="s">
        <v>521</v>
      </c>
      <c r="B995" s="195" t="str">
        <f ca="1">IF(OFFSET('IWP23'!Std3LicenseInfo, 0, 0, 1, 1) = 0, "", OFFSET('IWP23'!Std3LicenseInfo, 0, 0, 1, 1))</f>
        <v/>
      </c>
      <c r="C995" s="195" t="str">
        <f ca="1">IF(OFFSET('IWP23'!Std3LicenseInfo, 0, 3, 1, 1) = 0, "", OFFSET('IWP23'!Std3LicenseInfo, 0, 3, 1, 1))</f>
        <v/>
      </c>
      <c r="D995" s="195" t="str">
        <f ca="1">IF(OFFSET('IWP23'!Std3LicenseInfo, 0, 6, 1, 1) = 0, "", OFFSET('IWP23'!Std3LicenseInfo, 0, 6, 1, 1))</f>
        <v/>
      </c>
      <c r="E995" s="172">
        <f ca="1">IF(OFFSET('IWP23'!Std3LicenseInfo, 0, 9, 1, 1)=DATE(1900,1,0), DATE(1900,1,1), OFFSET('IWP23'!Std3LicenseInfo, 0, 9, 1, 1))</f>
        <v>1</v>
      </c>
      <c r="F995" s="172">
        <f ca="1">IF(OFFSET('IWP23'!Std3LicenseInfo, 0, 10, 1, 1)=DATE(1900,1,0), DATE(1900,1,1), OFFSET('IWP23'!Std3LicenseInfo, 0, 10, 1, 1))</f>
        <v>1</v>
      </c>
      <c r="G995" s="194" t="str">
        <f ca="1">IF(OFFSET('IWP23'!Std3LicenseInfo, 0, 11, 1, 1) = 0, "", OFFSET('IWP23'!Std3LicenseInfo, 0, 11, 1, 1))</f>
        <v/>
      </c>
    </row>
    <row r="996" spans="1:7" s="146" customFormat="1">
      <c r="A996" s="183" t="s">
        <v>521</v>
      </c>
      <c r="B996" s="195" t="str">
        <f ca="1">IF(OFFSET('IWP23'!Std3LicenseInfo, 1, 0, 1, 1) = 0, "", OFFSET('IWP23'!Std3LicenseInfo, 1, 0, 1, 1))</f>
        <v/>
      </c>
      <c r="C996" s="195" t="str">
        <f ca="1">IF(OFFSET('IWP23'!Std3LicenseInfo, 1, 3, 1, 1) = 0, "", OFFSET('IWP23'!Std3LicenseInfo, 1, 3, 1, 1))</f>
        <v/>
      </c>
      <c r="D996" s="195" t="str">
        <f ca="1">IF(OFFSET('IWP23'!Std3LicenseInfo, 1, 6, 1, 1) = 0, "", OFFSET('IWP23'!Std3LicenseInfo, 1, 6, 1, 1))</f>
        <v/>
      </c>
      <c r="E996" s="172">
        <f ca="1">IF(OFFSET('IWP23'!Std3LicenseInfo, 1, 9, 1, 1)=DATE(1900,1,0), DATE(1900,1,1), OFFSET('IWP23'!Std3LicenseInfo, 1, 9, 1, 1))</f>
        <v>1</v>
      </c>
      <c r="F996" s="172">
        <f ca="1">IF(OFFSET('IWP23'!Std3LicenseInfo, 1, 10, 1, 1)=DATE(1900,1,0), DATE(1900,1,1), OFFSET('IWP23'!Std3LicenseInfo, 1, 10, 1, 1))</f>
        <v>1</v>
      </c>
      <c r="G996" s="194" t="str">
        <f ca="1">IF(OFFSET('IWP23'!Std3LicenseInfo, 1, 11, 1, 1) = 0, "", OFFSET('IWP23'!Std3LicenseInfo, 1, 11, 1, 1))</f>
        <v/>
      </c>
    </row>
    <row r="997" spans="1:7" s="146" customFormat="1">
      <c r="A997" s="183" t="s">
        <v>521</v>
      </c>
      <c r="B997" s="195" t="str">
        <f ca="1">IF(OFFSET('IWP23'!Std3LicenseInfo, 2, 0, 1, 1) = 0, "", OFFSET('IWP23'!Std3LicenseInfo, 2, 0, 1, 1))</f>
        <v/>
      </c>
      <c r="C997" s="195" t="str">
        <f ca="1">IF(OFFSET('IWP23'!Std3LicenseInfo, 2, 3, 1, 1) = 0, "", OFFSET('IWP23'!Std3LicenseInfo, 2, 3, 1, 1))</f>
        <v/>
      </c>
      <c r="D997" s="195" t="str">
        <f ca="1">IF(OFFSET('IWP23'!Std3LicenseInfo, 2, 6, 1, 1) = 0, "", OFFSET('IWP23'!Std3LicenseInfo, 2, 6, 1, 1))</f>
        <v/>
      </c>
      <c r="E997" s="172">
        <f ca="1">IF(OFFSET('IWP23'!Std3LicenseInfo, 2, 9, 1, 1)=DATE(1900,1,0), DATE(1900,1,1), OFFSET('IWP23'!Std3LicenseInfo, 2, 9, 1, 1))</f>
        <v>1</v>
      </c>
      <c r="F997" s="172">
        <f ca="1">IF(OFFSET('IWP23'!Std3LicenseInfo, 2, 10, 1, 1)=DATE(1900,1,0), DATE(1900,1,1), OFFSET('IWP23'!Std3LicenseInfo, 2, 10, 1, 1))</f>
        <v>1</v>
      </c>
      <c r="G997" s="194" t="str">
        <f ca="1">IF(OFFSET('IWP23'!Std3LicenseInfo, 2, 11, 1, 1) = 0, "", OFFSET('IWP23'!Std3LicenseInfo, 2, 11, 1, 1))</f>
        <v/>
      </c>
    </row>
    <row r="998" spans="1:7" s="146" customFormat="1">
      <c r="A998" s="183" t="s">
        <v>521</v>
      </c>
      <c r="B998" s="195" t="str">
        <f ca="1">IF(OFFSET('IWP23'!Std3LicenseInfo, 3, 0, 1, 1) = 0, "", OFFSET('IWP23'!Std3LicenseInfo, 3, 0, 1, 1))</f>
        <v/>
      </c>
      <c r="C998" s="195" t="str">
        <f ca="1">IF(OFFSET('IWP23'!Std3LicenseInfo, 3, 3, 1, 1) = 0, "", OFFSET('IWP23'!Std3LicenseInfo, 3, 3, 1, 1))</f>
        <v/>
      </c>
      <c r="D998" s="195" t="str">
        <f ca="1">IF(OFFSET('IWP23'!Std3LicenseInfo, 3, 6, 1, 1) = 0, "", OFFSET('IWP23'!Std3LicenseInfo, 3, 6, 1, 1))</f>
        <v/>
      </c>
      <c r="E998" s="172">
        <f ca="1">IF(OFFSET('IWP23'!Std3LicenseInfo, 3, 9, 1, 1)=DATE(1900,1,0), DATE(1900,1,1), OFFSET('IWP23'!Std3LicenseInfo, 3, 9, 1, 1))</f>
        <v>1</v>
      </c>
      <c r="F998" s="172">
        <f ca="1">IF(OFFSET('IWP23'!Std3LicenseInfo, 3, 10, 1, 1)=DATE(1900,1,0), DATE(1900,1,1), OFFSET('IWP23'!Std3LicenseInfo, 3, 10, 1, 1))</f>
        <v>1</v>
      </c>
      <c r="G998" s="194" t="str">
        <f ca="1">IF(OFFSET('IWP23'!Std3LicenseInfo, 3, 11, 1, 1) = 0, "", OFFSET('IWP23'!Std3LicenseInfo, 3, 11, 1, 1))</f>
        <v/>
      </c>
    </row>
    <row r="999" spans="1:7" s="146" customFormat="1">
      <c r="A999" s="183" t="s">
        <v>521</v>
      </c>
      <c r="B999" s="195" t="str">
        <f ca="1">IF(OFFSET('IWP23'!Std3LicenseInfo, 4, 0, 1, 1) = 0, "", OFFSET('IWP23'!Std3LicenseInfo, 4, 0, 1, 1))</f>
        <v/>
      </c>
      <c r="C999" s="195" t="str">
        <f ca="1">IF(OFFSET('IWP23'!Std3LicenseInfo, 4, 3, 1, 1) = 0, "", OFFSET('IWP23'!Std3LicenseInfo, 4, 3, 1, 1))</f>
        <v/>
      </c>
      <c r="D999" s="195" t="str">
        <f ca="1">IF(OFFSET('IWP23'!Std3LicenseInfo, 4, 6, 1, 1) = 0, "", OFFSET('IWP23'!Std3LicenseInfo, 4, 6, 1, 1))</f>
        <v/>
      </c>
      <c r="E999" s="172">
        <f ca="1">IF(OFFSET('IWP23'!Std3LicenseInfo, 4, 9, 1, 1)=DATE(1900,1,0), DATE(1900,1,1), OFFSET('IWP23'!Std3LicenseInfo, 4, 9, 1, 1))</f>
        <v>1</v>
      </c>
      <c r="F999" s="172">
        <f ca="1">IF(OFFSET('IWP23'!Std3LicenseInfo, 4, 10, 1, 1)=DATE(1900,1,0), DATE(1900,1,1), OFFSET('IWP23'!Std3LicenseInfo, 4, 10, 1, 1))</f>
        <v>1</v>
      </c>
      <c r="G999" s="194" t="str">
        <f ca="1">IF(OFFSET('IWP23'!Std3LicenseInfo, 4, 11, 1, 1) = 0, "", OFFSET('IWP23'!Std3LicenseInfo, 4, 11, 1, 1))</f>
        <v/>
      </c>
    </row>
    <row r="1000" spans="1:7" s="146" customFormat="1">
      <c r="A1000" s="183" t="s">
        <v>521</v>
      </c>
      <c r="B1000" s="195" t="str">
        <f ca="1">IF(OFFSET('IWP23'!Std3LicenseInfo, 5, 0, 1, 1) = 0, "", OFFSET('IWP23'!Std3LicenseInfo, 5, 0, 1, 1))</f>
        <v/>
      </c>
      <c r="C1000" s="195" t="str">
        <f ca="1">IF(OFFSET('IWP23'!Std3LicenseInfo, 5, 3, 1, 1) = 0, "", OFFSET('IWP23'!Std3LicenseInfo, 5, 3, 1, 1))</f>
        <v/>
      </c>
      <c r="D1000" s="195" t="str">
        <f ca="1">IF(OFFSET('IWP23'!Std3LicenseInfo, 5, 6, 1, 1) = 0, "", OFFSET('IWP23'!Std3LicenseInfo, 5, 6, 1, 1))</f>
        <v/>
      </c>
      <c r="E1000" s="172">
        <f ca="1">IF(OFFSET('IWP23'!Std3LicenseInfo, 5, 9, 1, 1)=DATE(1900,1,0), DATE(1900,1,1), OFFSET('IWP23'!Std3LicenseInfo, 5, 9, 1, 1))</f>
        <v>1</v>
      </c>
      <c r="F1000" s="172">
        <f ca="1">IF(OFFSET('IWP23'!Std3LicenseInfo, 5, 10, 1, 1)=DATE(1900,1,0), DATE(1900,1,1), OFFSET('IWP23'!Std3LicenseInfo, 5, 10, 1, 1))</f>
        <v>1</v>
      </c>
      <c r="G1000" s="194" t="str">
        <f ca="1">IF(OFFSET('IWP23'!Std3LicenseInfo, 5, 11, 1, 1) = 0, "", OFFSET('IWP23'!Std3LicenseInfo, 5, 11, 1, 1))</f>
        <v/>
      </c>
    </row>
    <row r="1001" spans="1:7" s="146" customFormat="1">
      <c r="A1001" s="183" t="s">
        <v>521</v>
      </c>
      <c r="B1001" s="195" t="str">
        <f ca="1">IF(OFFSET('IWP23'!Std3LicenseInfo, 6, 0, 1, 1) = 0, "", OFFSET('IWP23'!Std3LicenseInfo, 6, 0, 1, 1))</f>
        <v/>
      </c>
      <c r="C1001" s="195" t="str">
        <f ca="1">IF(OFFSET('IWP23'!Std3LicenseInfo, 6, 3, 1, 1) = 0, "", OFFSET('IWP23'!Std3LicenseInfo, 6, 3, 1, 1))</f>
        <v/>
      </c>
      <c r="D1001" s="195" t="str">
        <f ca="1">IF(OFFSET('IWP23'!Std3LicenseInfo, 6, 6, 1, 1) = 0, "", OFFSET('IWP23'!Std3LicenseInfo, 6, 6, 1, 1))</f>
        <v/>
      </c>
      <c r="E1001" s="172">
        <f ca="1">IF(OFFSET('IWP23'!Std3LicenseInfo, 6, 9, 1, 1)=DATE(1900,1,0), DATE(1900,1,1), OFFSET('IWP23'!Std3LicenseInfo, 6, 9, 1, 1))</f>
        <v>1</v>
      </c>
      <c r="F1001" s="172">
        <f ca="1">IF(OFFSET('IWP23'!Std3LicenseInfo, 6, 10, 1, 1)=DATE(1900,1,0), DATE(1900,1,1), OFFSET('IWP23'!Std3LicenseInfo, 6, 10, 1, 1))</f>
        <v>1</v>
      </c>
      <c r="G1001" s="194" t="str">
        <f ca="1">IF(OFFSET('IWP23'!Std3LicenseInfo, 6, 11, 1, 1) = 0, "", OFFSET('IWP23'!Std3LicenseInfo, 6, 11, 1, 1))</f>
        <v/>
      </c>
    </row>
    <row r="1002" spans="1:7" s="146" customFormat="1">
      <c r="A1002" s="183" t="s">
        <v>521</v>
      </c>
      <c r="B1002" s="195" t="str">
        <f ca="1">IF(OFFSET('IWP23'!Std3LicenseInfo, 7, 0, 1, 1) = 0, "", OFFSET('IWP23'!Std3LicenseInfo, 7, 0, 1, 1))</f>
        <v/>
      </c>
      <c r="C1002" s="195" t="str">
        <f ca="1">IF(OFFSET('IWP23'!Std3LicenseInfo, 7, 3, 1, 1) = 0, "", OFFSET('IWP23'!Std3LicenseInfo, 7, 3, 1, 1))</f>
        <v/>
      </c>
      <c r="D1002" s="195" t="str">
        <f ca="1">IF(OFFSET('IWP23'!Std3LicenseInfo, 7, 6, 1, 1) = 0, "", OFFSET('IWP23'!Std3LicenseInfo, 7, 6, 1, 1))</f>
        <v/>
      </c>
      <c r="E1002" s="172">
        <f ca="1">IF(OFFSET('IWP23'!Std3LicenseInfo, 7, 9, 1, 1)=DATE(1900,1,0), DATE(1900,1,1), OFFSET('IWP23'!Std3LicenseInfo, 7, 9, 1, 1))</f>
        <v>1</v>
      </c>
      <c r="F1002" s="172">
        <f ca="1">IF(OFFSET('IWP23'!Std3LicenseInfo, 7, 10, 1, 1)=DATE(1900,1,0), DATE(1900,1,1), OFFSET('IWP23'!Std3LicenseInfo, 7, 10, 1, 1))</f>
        <v>1</v>
      </c>
      <c r="G1002" s="194" t="str">
        <f ca="1">IF(OFFSET('IWP23'!Std3LicenseInfo, 7, 11, 1, 1) = 0, "", OFFSET('IWP23'!Std3LicenseInfo, 7, 11, 1, 1))</f>
        <v/>
      </c>
    </row>
    <row r="1003" spans="1:7" s="146" customFormat="1">
      <c r="A1003" s="183" t="s">
        <v>521</v>
      </c>
      <c r="B1003" s="195" t="str">
        <f ca="1">IF(OFFSET('IWP23'!Std3LicenseInfo, 8, 0, 1, 1) = 0, "", OFFSET('IWP23'!Std3LicenseInfo, 8, 0, 1, 1))</f>
        <v/>
      </c>
      <c r="C1003" s="195" t="str">
        <f ca="1">IF(OFFSET('IWP23'!Std3LicenseInfo, 8, 3, 1, 1) = 0, "", OFFSET('IWP23'!Std3LicenseInfo, 8, 3, 1, 1))</f>
        <v/>
      </c>
      <c r="D1003" s="195" t="str">
        <f ca="1">IF(OFFSET('IWP23'!Std3LicenseInfo, 8, 6, 1, 1) = 0, "", OFFSET('IWP23'!Std3LicenseInfo, 8, 6, 1, 1))</f>
        <v/>
      </c>
      <c r="E1003" s="172">
        <f ca="1">IF(OFFSET('IWP23'!Std3LicenseInfo, 8, 9, 1, 1)=DATE(1900,1,0), DATE(1900,1,1), OFFSET('IWP23'!Std3LicenseInfo, 8, 9, 1, 1))</f>
        <v>1</v>
      </c>
      <c r="F1003" s="172">
        <f ca="1">IF(OFFSET('IWP23'!Std3LicenseInfo, 8, 10, 1, 1)=DATE(1900,1,0), DATE(1900,1,1), OFFSET('IWP23'!Std3LicenseInfo, 8, 10, 1, 1))</f>
        <v>1</v>
      </c>
      <c r="G1003" s="194" t="str">
        <f ca="1">IF(OFFSET('IWP23'!Std3LicenseInfo, 8, 11, 1, 1) = 0, "", OFFSET('IWP23'!Std3LicenseInfo, 8, 11, 1, 1))</f>
        <v/>
      </c>
    </row>
    <row r="1004" spans="1:7" s="146" customFormat="1">
      <c r="A1004" s="183" t="s">
        <v>521</v>
      </c>
      <c r="B1004" s="195" t="str">
        <f ca="1">IF(OFFSET('IWP23'!Std3LicenseInfo, 9, 0, 1, 1) = 0, "", OFFSET('IWP23'!Std3LicenseInfo, 9, 0, 1, 1))</f>
        <v/>
      </c>
      <c r="C1004" s="195" t="str">
        <f ca="1">IF(OFFSET('IWP23'!Std3LicenseInfo, 9, 3, 1, 1) = 0, "", OFFSET('IWP23'!Std3LicenseInfo, 9, 3, 1, 1))</f>
        <v/>
      </c>
      <c r="D1004" s="195" t="str">
        <f ca="1">IF(OFFSET('IWP23'!Std3LicenseInfo, 9, 6, 1, 1) = 0, "", OFFSET('IWP23'!Std3LicenseInfo, 9, 6, 1, 1))</f>
        <v/>
      </c>
      <c r="E1004" s="172">
        <f ca="1">IF(OFFSET('IWP23'!Std3LicenseInfo, 9, 9, 1, 1)=DATE(1900,1,0), DATE(1900,1,1), OFFSET('IWP23'!Std3LicenseInfo, 9, 9, 1, 1))</f>
        <v>1</v>
      </c>
      <c r="F1004" s="172">
        <f ca="1">IF(OFFSET('IWP23'!Std3LicenseInfo, 9, 10, 1, 1)=DATE(1900,1,0), DATE(1900,1,1), OFFSET('IWP23'!Std3LicenseInfo, 9, 10, 1, 1))</f>
        <v>1</v>
      </c>
      <c r="G1004" s="194" t="str">
        <f ca="1">IF(OFFSET('IWP23'!Std3LicenseInfo, 9, 11, 1, 1) = 0, "", OFFSET('IWP23'!Std3LicenseInfo, 9, 11, 1, 1))</f>
        <v/>
      </c>
    </row>
    <row r="1005" spans="1:7" s="146" customFormat="1">
      <c r="A1005" s="183" t="s">
        <v>521</v>
      </c>
      <c r="B1005" s="195" t="str">
        <f ca="1">IF(OFFSET('IWP23'!Std3LicenseInfo, 10, 0, 1, 1) = 0, "", OFFSET('IWP23'!Std3LicenseInfo, 10, 0, 1, 1))</f>
        <v/>
      </c>
      <c r="C1005" s="195" t="str">
        <f ca="1">IF(OFFSET('IWP23'!Std3LicenseInfo, 10, 3, 1, 1) = 0, "", OFFSET('IWP23'!Std3LicenseInfo, 10, 3, 1, 1))</f>
        <v/>
      </c>
      <c r="D1005" s="195" t="str">
        <f ca="1">IF(OFFSET('IWP23'!Std3LicenseInfo, 10, 6, 1, 1) = 0, "", OFFSET('IWP23'!Std3LicenseInfo, 10, 6, 1, 1))</f>
        <v/>
      </c>
      <c r="E1005" s="172">
        <f ca="1">IF(OFFSET('IWP23'!Std3LicenseInfo, 10, 9, 1, 1)=DATE(1900,1,0), DATE(1900,1,1), OFFSET('IWP23'!Std3LicenseInfo, 10, 9, 1, 1))</f>
        <v>1</v>
      </c>
      <c r="F1005" s="172">
        <f ca="1">IF(OFFSET('IWP23'!Std3LicenseInfo, 10, 10, 1, 1)=DATE(1900,1,0), DATE(1900,1,1), OFFSET('IWP23'!Std3LicenseInfo, 10, 10, 1, 1))</f>
        <v>1</v>
      </c>
      <c r="G1005" s="194" t="str">
        <f ca="1">IF(OFFSET('IWP23'!Std3LicenseInfo, 10, 11, 1, 1) = 0, "", OFFSET('IWP23'!Std3LicenseInfo, 10, 11, 1, 1))</f>
        <v/>
      </c>
    </row>
    <row r="1006" spans="1:7" s="146" customFormat="1">
      <c r="A1006" s="183" t="s">
        <v>521</v>
      </c>
      <c r="B1006" s="195" t="str">
        <f ca="1">IF(OFFSET('IWP23'!Std3LicenseInfo, 11, 0, 1, 1) = 0, "", OFFSET('IWP23'!Std3LicenseInfo, 11, 0, 1, 1))</f>
        <v/>
      </c>
      <c r="C1006" s="195" t="str">
        <f ca="1">IF(OFFSET('IWP23'!Std3LicenseInfo, 11, 3, 1, 1) = 0, "", OFFSET('IWP23'!Std3LicenseInfo, 11, 3, 1, 1))</f>
        <v/>
      </c>
      <c r="D1006" s="195" t="str">
        <f ca="1">IF(OFFSET('IWP23'!Std3LicenseInfo, 11, 6, 1, 1) = 0, "", OFFSET('IWP23'!Std3LicenseInfo, 11, 6, 1, 1))</f>
        <v/>
      </c>
      <c r="E1006" s="172">
        <f ca="1">IF(OFFSET('IWP23'!Std3LicenseInfo, 11, 9, 1, 1)=DATE(1900,1,0), DATE(1900,1,1), OFFSET('IWP23'!Std3LicenseInfo, 11, 9, 1, 1))</f>
        <v>1</v>
      </c>
      <c r="F1006" s="172">
        <f ca="1">IF(OFFSET('IWP23'!Std3LicenseInfo, 11, 10, 1, 1)=DATE(1900,1,0), DATE(1900,1,1), OFFSET('IWP23'!Std3LicenseInfo, 11, 10, 1, 1))</f>
        <v>1</v>
      </c>
      <c r="G1006" s="194" t="str">
        <f ca="1">IF(OFFSET('IWP23'!Std3LicenseInfo, 11, 11, 1, 1) = 0, "", OFFSET('IWP23'!Std3LicenseInfo, 11, 11, 1, 1))</f>
        <v/>
      </c>
    </row>
    <row r="1007" spans="1:7" s="146" customFormat="1">
      <c r="A1007" s="183" t="s">
        <v>521</v>
      </c>
      <c r="B1007" s="195" t="str">
        <f ca="1">IF(OFFSET('IWP23'!Std3LicenseInfo, 12, 0, 1, 1) = 0, "", OFFSET('IWP23'!Std3LicenseInfo, 12, 0, 1, 1))</f>
        <v/>
      </c>
      <c r="C1007" s="195" t="str">
        <f ca="1">IF(OFFSET('IWP23'!Std3LicenseInfo, 12, 3, 1, 1) = 0, "", OFFSET('IWP23'!Std3LicenseInfo, 12, 3, 1, 1))</f>
        <v/>
      </c>
      <c r="D1007" s="195" t="str">
        <f ca="1">IF(OFFSET('IWP23'!Std3LicenseInfo, 12, 6, 1, 1) = 0, "", OFFSET('IWP23'!Std3LicenseInfo, 12, 6, 1, 1))</f>
        <v/>
      </c>
      <c r="E1007" s="172">
        <f ca="1">IF(OFFSET('IWP23'!Std3LicenseInfo, 12, 9, 1, 1)=DATE(1900,1,0), DATE(1900,1,1), OFFSET('IWP23'!Std3LicenseInfo, 12, 9, 1, 1))</f>
        <v>1</v>
      </c>
      <c r="F1007" s="172">
        <f ca="1">IF(OFFSET('IWP23'!Std3LicenseInfo, 12, 10, 1, 1)=DATE(1900,1,0), DATE(1900,1,1), OFFSET('IWP23'!Std3LicenseInfo, 12, 10, 1, 1))</f>
        <v>1</v>
      </c>
      <c r="G1007" s="194" t="str">
        <f ca="1">IF(OFFSET('IWP23'!Std3LicenseInfo, 12, 11, 1, 1) = 0, "", OFFSET('IWP23'!Std3LicenseInfo, 12, 11, 1, 1))</f>
        <v/>
      </c>
    </row>
    <row r="1008" spans="1:7" s="146" customFormat="1">
      <c r="A1008" s="183" t="s">
        <v>521</v>
      </c>
      <c r="B1008" s="195" t="str">
        <f ca="1">IF(OFFSET('IWP23'!Std3LicenseInfo, 13, 0, 1, 1) = 0, "", OFFSET('IWP23'!Std3LicenseInfo, 13, 0, 1, 1))</f>
        <v/>
      </c>
      <c r="C1008" s="195" t="str">
        <f ca="1">IF(OFFSET('IWP23'!Std3LicenseInfo, 13, 3, 1, 1) = 0, "", OFFSET('IWP23'!Std3LicenseInfo, 13, 3, 1, 1))</f>
        <v/>
      </c>
      <c r="D1008" s="195" t="str">
        <f ca="1">IF(OFFSET('IWP23'!Std3LicenseInfo, 13, 6, 1, 1) = 0, "", OFFSET('IWP23'!Std3LicenseInfo, 13, 6, 1, 1))</f>
        <v/>
      </c>
      <c r="E1008" s="172">
        <f ca="1">IF(OFFSET('IWP23'!Std3LicenseInfo, 13, 9, 1, 1)=DATE(1900,1,0), DATE(1900,1,1), OFFSET('IWP23'!Std3LicenseInfo, 13, 9, 1, 1))</f>
        <v>1</v>
      </c>
      <c r="F1008" s="172">
        <f ca="1">IF(OFFSET('IWP23'!Std3LicenseInfo, 13, 10, 1, 1)=DATE(1900,1,0), DATE(1900,1,1), OFFSET('IWP23'!Std3LicenseInfo, 13, 10, 1, 1))</f>
        <v>1</v>
      </c>
      <c r="G1008" s="194" t="str">
        <f ca="1">IF(OFFSET('IWP23'!Std3LicenseInfo, 13, 11, 1, 1) = 0, "", OFFSET('IWP23'!Std3LicenseInfo, 13, 11, 1, 1))</f>
        <v/>
      </c>
    </row>
    <row r="1009" spans="1:7" s="146" customFormat="1">
      <c r="A1009" s="183" t="s">
        <v>522</v>
      </c>
      <c r="B1009" s="195" t="str">
        <f ca="1">IF(OFFSET('IWP24'!Std3LicenseInfo, 0, 0, 1, 1) = 0, "", OFFSET('IWP24'!Std3LicenseInfo, 0, 0, 1, 1))</f>
        <v/>
      </c>
      <c r="C1009" s="195" t="str">
        <f ca="1">IF(OFFSET('IWP24'!Std3LicenseInfo, 0, 3, 1, 1) = 0, "", OFFSET('IWP24'!Std3LicenseInfo, 0, 3, 1, 1))</f>
        <v/>
      </c>
      <c r="D1009" s="195" t="str">
        <f ca="1">IF(OFFSET('IWP24'!Std3LicenseInfo, 0, 6, 1, 1) = 0, "", OFFSET('IWP24'!Std3LicenseInfo, 0, 6, 1, 1))</f>
        <v/>
      </c>
      <c r="E1009" s="172">
        <f ca="1">IF(OFFSET('IWP24'!Std3LicenseInfo, 0, 9, 1, 1)=DATE(1900,1,0), DATE(1900,1,1), OFFSET('IWP24'!Std3LicenseInfo, 0, 9, 1, 1))</f>
        <v>1</v>
      </c>
      <c r="F1009" s="172">
        <f ca="1">IF(OFFSET('IWP24'!Std3LicenseInfo, 0, 10, 1, 1)=DATE(1900,1,0), DATE(1900,1,1), OFFSET('IWP24'!Std3LicenseInfo, 0, 10, 1, 1))</f>
        <v>1</v>
      </c>
      <c r="G1009" s="194" t="str">
        <f ca="1">IF(OFFSET('IWP24'!Std3LicenseInfo, 0, 11, 1, 1) = 0, "", OFFSET('IWP24'!Std3LicenseInfo, 0, 11, 1, 1))</f>
        <v/>
      </c>
    </row>
    <row r="1010" spans="1:7" s="146" customFormat="1">
      <c r="A1010" s="183" t="s">
        <v>522</v>
      </c>
      <c r="B1010" s="195" t="str">
        <f ca="1">IF(OFFSET('IWP24'!Std3LicenseInfo, 1, 0, 1, 1) = 0, "", OFFSET('IWP24'!Std3LicenseInfo, 1, 0, 1, 1))</f>
        <v/>
      </c>
      <c r="C1010" s="195" t="str">
        <f ca="1">IF(OFFSET('IWP24'!Std3LicenseInfo, 1, 3, 1, 1) = 0, "", OFFSET('IWP24'!Std3LicenseInfo, 1, 3, 1, 1))</f>
        <v/>
      </c>
      <c r="D1010" s="195" t="str">
        <f ca="1">IF(OFFSET('IWP24'!Std3LicenseInfo, 1, 6, 1, 1) = 0, "", OFFSET('IWP24'!Std3LicenseInfo, 1, 6, 1, 1))</f>
        <v/>
      </c>
      <c r="E1010" s="172">
        <f ca="1">IF(OFFSET('IWP24'!Std3LicenseInfo, 1, 9, 1, 1)=DATE(1900,1,0), DATE(1900,1,1), OFFSET('IWP24'!Std3LicenseInfo, 1, 9, 1, 1))</f>
        <v>1</v>
      </c>
      <c r="F1010" s="172">
        <f ca="1">IF(OFFSET('IWP24'!Std3LicenseInfo, 1, 10, 1, 1)=DATE(1900,1,0), DATE(1900,1,1), OFFSET('IWP24'!Std3LicenseInfo, 1, 10, 1, 1))</f>
        <v>1</v>
      </c>
      <c r="G1010" s="194" t="str">
        <f ca="1">IF(OFFSET('IWP24'!Std3LicenseInfo, 1, 11, 1, 1) = 0, "", OFFSET('IWP24'!Std3LicenseInfo, 1, 11, 1, 1))</f>
        <v/>
      </c>
    </row>
    <row r="1011" spans="1:7" s="146" customFormat="1">
      <c r="A1011" s="183" t="s">
        <v>522</v>
      </c>
      <c r="B1011" s="195" t="str">
        <f ca="1">IF(OFFSET('IWP24'!Std3LicenseInfo, 2, 0, 1, 1) = 0, "", OFFSET('IWP24'!Std3LicenseInfo, 2, 0, 1, 1))</f>
        <v/>
      </c>
      <c r="C1011" s="195" t="str">
        <f ca="1">IF(OFFSET('IWP24'!Std3LicenseInfo, 2, 3, 1, 1) = 0, "", OFFSET('IWP24'!Std3LicenseInfo, 2, 3, 1, 1))</f>
        <v/>
      </c>
      <c r="D1011" s="195" t="str">
        <f ca="1">IF(OFFSET('IWP24'!Std3LicenseInfo, 2, 6, 1, 1) = 0, "", OFFSET('IWP24'!Std3LicenseInfo, 2, 6, 1, 1))</f>
        <v/>
      </c>
      <c r="E1011" s="172">
        <f ca="1">IF(OFFSET('IWP24'!Std3LicenseInfo, 2, 9, 1, 1)=DATE(1900,1,0), DATE(1900,1,1), OFFSET('IWP24'!Std3LicenseInfo, 2, 9, 1, 1))</f>
        <v>1</v>
      </c>
      <c r="F1011" s="172">
        <f ca="1">IF(OFFSET('IWP24'!Std3LicenseInfo, 2, 10, 1, 1)=DATE(1900,1,0), DATE(1900,1,1), OFFSET('IWP24'!Std3LicenseInfo, 2, 10, 1, 1))</f>
        <v>1</v>
      </c>
      <c r="G1011" s="194" t="str">
        <f ca="1">IF(OFFSET('IWP24'!Std3LicenseInfo, 2, 11, 1, 1) = 0, "", OFFSET('IWP24'!Std3LicenseInfo, 2, 11, 1, 1))</f>
        <v/>
      </c>
    </row>
    <row r="1012" spans="1:7" s="146" customFormat="1">
      <c r="A1012" s="183" t="s">
        <v>522</v>
      </c>
      <c r="B1012" s="195" t="str">
        <f ca="1">IF(OFFSET('IWP24'!Std3LicenseInfo, 3, 0, 1, 1) = 0, "", OFFSET('IWP24'!Std3LicenseInfo, 3, 0, 1, 1))</f>
        <v/>
      </c>
      <c r="C1012" s="195" t="str">
        <f ca="1">IF(OFFSET('IWP24'!Std3LicenseInfo, 3, 3, 1, 1) = 0, "", OFFSET('IWP24'!Std3LicenseInfo, 3, 3, 1, 1))</f>
        <v/>
      </c>
      <c r="D1012" s="195" t="str">
        <f ca="1">IF(OFFSET('IWP24'!Std3LicenseInfo, 3, 6, 1, 1) = 0, "", OFFSET('IWP24'!Std3LicenseInfo, 3, 6, 1, 1))</f>
        <v/>
      </c>
      <c r="E1012" s="172">
        <f ca="1">IF(OFFSET('IWP24'!Std3LicenseInfo, 3, 9, 1, 1)=DATE(1900,1,0), DATE(1900,1,1), OFFSET('IWP24'!Std3LicenseInfo, 3, 9, 1, 1))</f>
        <v>1</v>
      </c>
      <c r="F1012" s="172">
        <f ca="1">IF(OFFSET('IWP24'!Std3LicenseInfo, 3, 10, 1, 1)=DATE(1900,1,0), DATE(1900,1,1), OFFSET('IWP24'!Std3LicenseInfo, 3, 10, 1, 1))</f>
        <v>1</v>
      </c>
      <c r="G1012" s="194" t="str">
        <f ca="1">IF(OFFSET('IWP24'!Std3LicenseInfo, 3, 11, 1, 1) = 0, "", OFFSET('IWP24'!Std3LicenseInfo, 3, 11, 1, 1))</f>
        <v/>
      </c>
    </row>
    <row r="1013" spans="1:7" s="146" customFormat="1">
      <c r="A1013" s="183" t="s">
        <v>522</v>
      </c>
      <c r="B1013" s="195" t="str">
        <f ca="1">IF(OFFSET('IWP24'!Std3LicenseInfo, 4, 0, 1, 1) = 0, "", OFFSET('IWP24'!Std3LicenseInfo, 4, 0, 1, 1))</f>
        <v/>
      </c>
      <c r="C1013" s="195" t="str">
        <f ca="1">IF(OFFSET('IWP24'!Std3LicenseInfo, 4, 3, 1, 1) = 0, "", OFFSET('IWP24'!Std3LicenseInfo, 4, 3, 1, 1))</f>
        <v/>
      </c>
      <c r="D1013" s="195" t="str">
        <f ca="1">IF(OFFSET('IWP24'!Std3LicenseInfo, 4, 6, 1, 1) = 0, "", OFFSET('IWP24'!Std3LicenseInfo, 4, 6, 1, 1))</f>
        <v/>
      </c>
      <c r="E1013" s="172">
        <f ca="1">IF(OFFSET('IWP24'!Std3LicenseInfo, 4, 9, 1, 1)=DATE(1900,1,0), DATE(1900,1,1), OFFSET('IWP24'!Std3LicenseInfo, 4, 9, 1, 1))</f>
        <v>1</v>
      </c>
      <c r="F1013" s="172">
        <f ca="1">IF(OFFSET('IWP24'!Std3LicenseInfo, 4, 10, 1, 1)=DATE(1900,1,0), DATE(1900,1,1), OFFSET('IWP24'!Std3LicenseInfo, 4, 10, 1, 1))</f>
        <v>1</v>
      </c>
      <c r="G1013" s="194" t="str">
        <f ca="1">IF(OFFSET('IWP24'!Std3LicenseInfo, 4, 11, 1, 1) = 0, "", OFFSET('IWP24'!Std3LicenseInfo, 4, 11, 1, 1))</f>
        <v/>
      </c>
    </row>
    <row r="1014" spans="1:7" s="146" customFormat="1">
      <c r="A1014" s="183" t="s">
        <v>522</v>
      </c>
      <c r="B1014" s="195" t="str">
        <f ca="1">IF(OFFSET('IWP24'!Std3LicenseInfo, 5, 0, 1, 1) = 0, "", OFFSET('IWP24'!Std3LicenseInfo, 5, 0, 1, 1))</f>
        <v/>
      </c>
      <c r="C1014" s="195" t="str">
        <f ca="1">IF(OFFSET('IWP24'!Std3LicenseInfo, 5, 3, 1, 1) = 0, "", OFFSET('IWP24'!Std3LicenseInfo, 5, 3, 1, 1))</f>
        <v/>
      </c>
      <c r="D1014" s="195" t="str">
        <f ca="1">IF(OFFSET('IWP24'!Std3LicenseInfo, 5, 6, 1, 1) = 0, "", OFFSET('IWP24'!Std3LicenseInfo, 5, 6, 1, 1))</f>
        <v/>
      </c>
      <c r="E1014" s="172">
        <f ca="1">IF(OFFSET('IWP24'!Std3LicenseInfo, 5, 9, 1, 1)=DATE(1900,1,0), DATE(1900,1,1), OFFSET('IWP24'!Std3LicenseInfo, 5, 9, 1, 1))</f>
        <v>1</v>
      </c>
      <c r="F1014" s="172">
        <f ca="1">IF(OFFSET('IWP24'!Std3LicenseInfo, 5, 10, 1, 1)=DATE(1900,1,0), DATE(1900,1,1), OFFSET('IWP24'!Std3LicenseInfo, 5, 10, 1, 1))</f>
        <v>1</v>
      </c>
      <c r="G1014" s="194" t="str">
        <f ca="1">IF(OFFSET('IWP24'!Std3LicenseInfo, 5, 11, 1, 1) = 0, "", OFFSET('IWP24'!Std3LicenseInfo, 5, 11, 1, 1))</f>
        <v/>
      </c>
    </row>
    <row r="1015" spans="1:7" s="146" customFormat="1">
      <c r="A1015" s="183" t="s">
        <v>522</v>
      </c>
      <c r="B1015" s="195" t="str">
        <f ca="1">IF(OFFSET('IWP24'!Std3LicenseInfo, 6, 0, 1, 1) = 0, "", OFFSET('IWP24'!Std3LicenseInfo, 6, 0, 1, 1))</f>
        <v/>
      </c>
      <c r="C1015" s="195" t="str">
        <f ca="1">IF(OFFSET('IWP24'!Std3LicenseInfo, 6, 3, 1, 1) = 0, "", OFFSET('IWP24'!Std3LicenseInfo, 6, 3, 1, 1))</f>
        <v/>
      </c>
      <c r="D1015" s="195" t="str">
        <f ca="1">IF(OFFSET('IWP24'!Std3LicenseInfo, 6, 6, 1, 1) = 0, "", OFFSET('IWP24'!Std3LicenseInfo, 6, 6, 1, 1))</f>
        <v/>
      </c>
      <c r="E1015" s="172">
        <f ca="1">IF(OFFSET('IWP24'!Std3LicenseInfo, 6, 9, 1, 1)=DATE(1900,1,0), DATE(1900,1,1), OFFSET('IWP24'!Std3LicenseInfo, 6, 9, 1, 1))</f>
        <v>1</v>
      </c>
      <c r="F1015" s="172">
        <f ca="1">IF(OFFSET('IWP24'!Std3LicenseInfo, 6, 10, 1, 1)=DATE(1900,1,0), DATE(1900,1,1), OFFSET('IWP24'!Std3LicenseInfo, 6, 10, 1, 1))</f>
        <v>1</v>
      </c>
      <c r="G1015" s="194" t="str">
        <f ca="1">IF(OFFSET('IWP24'!Std3LicenseInfo, 6, 11, 1, 1) = 0, "", OFFSET('IWP24'!Std3LicenseInfo, 6, 11, 1, 1))</f>
        <v/>
      </c>
    </row>
    <row r="1016" spans="1:7" s="146" customFormat="1">
      <c r="A1016" s="183" t="s">
        <v>522</v>
      </c>
      <c r="B1016" s="195" t="str">
        <f ca="1">IF(OFFSET('IWP24'!Std3LicenseInfo, 7, 0, 1, 1) = 0, "", OFFSET('IWP24'!Std3LicenseInfo, 7, 0, 1, 1))</f>
        <v/>
      </c>
      <c r="C1016" s="195" t="str">
        <f ca="1">IF(OFFSET('IWP24'!Std3LicenseInfo, 7, 3, 1, 1) = 0, "", OFFSET('IWP24'!Std3LicenseInfo, 7, 3, 1, 1))</f>
        <v/>
      </c>
      <c r="D1016" s="195" t="str">
        <f ca="1">IF(OFFSET('IWP24'!Std3LicenseInfo, 7, 6, 1, 1) = 0, "", OFFSET('IWP24'!Std3LicenseInfo, 7, 6, 1, 1))</f>
        <v/>
      </c>
      <c r="E1016" s="172">
        <f ca="1">IF(OFFSET('IWP24'!Std3LicenseInfo, 7, 9, 1, 1)=DATE(1900,1,0), DATE(1900,1,1), OFFSET('IWP24'!Std3LicenseInfo, 7, 9, 1, 1))</f>
        <v>1</v>
      </c>
      <c r="F1016" s="172">
        <f ca="1">IF(OFFSET('IWP24'!Std3LicenseInfo, 7, 10, 1, 1)=DATE(1900,1,0), DATE(1900,1,1), OFFSET('IWP24'!Std3LicenseInfo, 7, 10, 1, 1))</f>
        <v>1</v>
      </c>
      <c r="G1016" s="194" t="str">
        <f ca="1">IF(OFFSET('IWP24'!Std3LicenseInfo, 7, 11, 1, 1) = 0, "", OFFSET('IWP24'!Std3LicenseInfo, 7, 11, 1, 1))</f>
        <v/>
      </c>
    </row>
    <row r="1017" spans="1:7" s="146" customFormat="1">
      <c r="A1017" s="183" t="s">
        <v>522</v>
      </c>
      <c r="B1017" s="195" t="str">
        <f ca="1">IF(OFFSET('IWP24'!Std3LicenseInfo, 8, 0, 1, 1) = 0, "", OFFSET('IWP24'!Std3LicenseInfo, 8, 0, 1, 1))</f>
        <v/>
      </c>
      <c r="C1017" s="195" t="str">
        <f ca="1">IF(OFFSET('IWP24'!Std3LicenseInfo, 8, 3, 1, 1) = 0, "", OFFSET('IWP24'!Std3LicenseInfo, 8, 3, 1, 1))</f>
        <v/>
      </c>
      <c r="D1017" s="195" t="str">
        <f ca="1">IF(OFFSET('IWP24'!Std3LicenseInfo, 8, 6, 1, 1) = 0, "", OFFSET('IWP24'!Std3LicenseInfo, 8, 6, 1, 1))</f>
        <v/>
      </c>
      <c r="E1017" s="172">
        <f ca="1">IF(OFFSET('IWP24'!Std3LicenseInfo, 8, 9, 1, 1)=DATE(1900,1,0), DATE(1900,1,1), OFFSET('IWP24'!Std3LicenseInfo, 8, 9, 1, 1))</f>
        <v>1</v>
      </c>
      <c r="F1017" s="172">
        <f ca="1">IF(OFFSET('IWP24'!Std3LicenseInfo, 8, 10, 1, 1)=DATE(1900,1,0), DATE(1900,1,1), OFFSET('IWP24'!Std3LicenseInfo, 8, 10, 1, 1))</f>
        <v>1</v>
      </c>
      <c r="G1017" s="194" t="str">
        <f ca="1">IF(OFFSET('IWP24'!Std3LicenseInfo, 8, 11, 1, 1) = 0, "", OFFSET('IWP24'!Std3LicenseInfo, 8, 11, 1, 1))</f>
        <v/>
      </c>
    </row>
    <row r="1018" spans="1:7" s="146" customFormat="1">
      <c r="A1018" s="183" t="s">
        <v>522</v>
      </c>
      <c r="B1018" s="195" t="str">
        <f ca="1">IF(OFFSET('IWP24'!Std3LicenseInfo, 9, 0, 1, 1) = 0, "", OFFSET('IWP24'!Std3LicenseInfo, 9, 0, 1, 1))</f>
        <v/>
      </c>
      <c r="C1018" s="195" t="str">
        <f ca="1">IF(OFFSET('IWP24'!Std3LicenseInfo, 9, 3, 1, 1) = 0, "", OFFSET('IWP24'!Std3LicenseInfo, 9, 3, 1, 1))</f>
        <v/>
      </c>
      <c r="D1018" s="195" t="str">
        <f ca="1">IF(OFFSET('IWP24'!Std3LicenseInfo, 9, 6, 1, 1) = 0, "", OFFSET('IWP24'!Std3LicenseInfo, 9, 6, 1, 1))</f>
        <v/>
      </c>
      <c r="E1018" s="172">
        <f ca="1">IF(OFFSET('IWP24'!Std3LicenseInfo, 9, 9, 1, 1)=DATE(1900,1,0), DATE(1900,1,1), OFFSET('IWP24'!Std3LicenseInfo, 9, 9, 1, 1))</f>
        <v>1</v>
      </c>
      <c r="F1018" s="172">
        <f ca="1">IF(OFFSET('IWP24'!Std3LicenseInfo, 9, 10, 1, 1)=DATE(1900,1,0), DATE(1900,1,1), OFFSET('IWP24'!Std3LicenseInfo, 9, 10, 1, 1))</f>
        <v>1</v>
      </c>
      <c r="G1018" s="194" t="str">
        <f ca="1">IF(OFFSET('IWP24'!Std3LicenseInfo, 9, 11, 1, 1) = 0, "", OFFSET('IWP24'!Std3LicenseInfo, 9, 11, 1, 1))</f>
        <v/>
      </c>
    </row>
    <row r="1019" spans="1:7" s="146" customFormat="1">
      <c r="A1019" s="183" t="s">
        <v>522</v>
      </c>
      <c r="B1019" s="195" t="str">
        <f ca="1">IF(OFFSET('IWP24'!Std3LicenseInfo, 10, 0, 1, 1) = 0, "", OFFSET('IWP24'!Std3LicenseInfo, 10, 0, 1, 1))</f>
        <v/>
      </c>
      <c r="C1019" s="195" t="str">
        <f ca="1">IF(OFFSET('IWP24'!Std3LicenseInfo, 10, 3, 1, 1) = 0, "", OFFSET('IWP24'!Std3LicenseInfo, 10, 3, 1, 1))</f>
        <v/>
      </c>
      <c r="D1019" s="195" t="str">
        <f ca="1">IF(OFFSET('IWP24'!Std3LicenseInfo, 10, 6, 1, 1) = 0, "", OFFSET('IWP24'!Std3LicenseInfo, 10, 6, 1, 1))</f>
        <v/>
      </c>
      <c r="E1019" s="172">
        <f ca="1">IF(OFFSET('IWP24'!Std3LicenseInfo, 10, 9, 1, 1)=DATE(1900,1,0), DATE(1900,1,1), OFFSET('IWP24'!Std3LicenseInfo, 10, 9, 1, 1))</f>
        <v>1</v>
      </c>
      <c r="F1019" s="172">
        <f ca="1">IF(OFFSET('IWP24'!Std3LicenseInfo, 10, 10, 1, 1)=DATE(1900,1,0), DATE(1900,1,1), OFFSET('IWP24'!Std3LicenseInfo, 10, 10, 1, 1))</f>
        <v>1</v>
      </c>
      <c r="G1019" s="194" t="str">
        <f ca="1">IF(OFFSET('IWP24'!Std3LicenseInfo, 10, 11, 1, 1) = 0, "", OFFSET('IWP24'!Std3LicenseInfo, 10, 11, 1, 1))</f>
        <v/>
      </c>
    </row>
    <row r="1020" spans="1:7" s="146" customFormat="1">
      <c r="A1020" s="183" t="s">
        <v>522</v>
      </c>
      <c r="B1020" s="195" t="str">
        <f ca="1">IF(OFFSET('IWP24'!Std3LicenseInfo, 11, 0, 1, 1) = 0, "", OFFSET('IWP24'!Std3LicenseInfo, 11, 0, 1, 1))</f>
        <v/>
      </c>
      <c r="C1020" s="195" t="str">
        <f ca="1">IF(OFFSET('IWP24'!Std3LicenseInfo, 11, 3, 1, 1) = 0, "", OFFSET('IWP24'!Std3LicenseInfo, 11, 3, 1, 1))</f>
        <v/>
      </c>
      <c r="D1020" s="195" t="str">
        <f ca="1">IF(OFFSET('IWP24'!Std3LicenseInfo, 11, 6, 1, 1) = 0, "", OFFSET('IWP24'!Std3LicenseInfo, 11, 6, 1, 1))</f>
        <v/>
      </c>
      <c r="E1020" s="172">
        <f ca="1">IF(OFFSET('IWP24'!Std3LicenseInfo, 11, 9, 1, 1)=DATE(1900,1,0), DATE(1900,1,1), OFFSET('IWP24'!Std3LicenseInfo, 11, 9, 1, 1))</f>
        <v>1</v>
      </c>
      <c r="F1020" s="172">
        <f ca="1">IF(OFFSET('IWP24'!Std3LicenseInfo, 11, 10, 1, 1)=DATE(1900,1,0), DATE(1900,1,1), OFFSET('IWP24'!Std3LicenseInfo, 11, 10, 1, 1))</f>
        <v>1</v>
      </c>
      <c r="G1020" s="194" t="str">
        <f ca="1">IF(OFFSET('IWP24'!Std3LicenseInfo, 11, 11, 1, 1) = 0, "", OFFSET('IWP24'!Std3LicenseInfo, 11, 11, 1, 1))</f>
        <v/>
      </c>
    </row>
    <row r="1021" spans="1:7" s="146" customFormat="1">
      <c r="A1021" s="183" t="s">
        <v>522</v>
      </c>
      <c r="B1021" s="195" t="str">
        <f ca="1">IF(OFFSET('IWP24'!Std3LicenseInfo, 12, 0, 1, 1) = 0, "", OFFSET('IWP24'!Std3LicenseInfo, 12, 0, 1, 1))</f>
        <v/>
      </c>
      <c r="C1021" s="195" t="str">
        <f ca="1">IF(OFFSET('IWP24'!Std3LicenseInfo, 12, 3, 1, 1) = 0, "", OFFSET('IWP24'!Std3LicenseInfo, 12, 3, 1, 1))</f>
        <v/>
      </c>
      <c r="D1021" s="195" t="str">
        <f ca="1">IF(OFFSET('IWP24'!Std3LicenseInfo, 12, 6, 1, 1) = 0, "", OFFSET('IWP24'!Std3LicenseInfo, 12, 6, 1, 1))</f>
        <v/>
      </c>
      <c r="E1021" s="172">
        <f ca="1">IF(OFFSET('IWP24'!Std3LicenseInfo, 12, 9, 1, 1)=DATE(1900,1,0), DATE(1900,1,1), OFFSET('IWP24'!Std3LicenseInfo, 12, 9, 1, 1))</f>
        <v>1</v>
      </c>
      <c r="F1021" s="172">
        <f ca="1">IF(OFFSET('IWP24'!Std3LicenseInfo, 12, 10, 1, 1)=DATE(1900,1,0), DATE(1900,1,1), OFFSET('IWP24'!Std3LicenseInfo, 12, 10, 1, 1))</f>
        <v>1</v>
      </c>
      <c r="G1021" s="194" t="str">
        <f ca="1">IF(OFFSET('IWP24'!Std3LicenseInfo, 12, 11, 1, 1) = 0, "", OFFSET('IWP24'!Std3LicenseInfo, 12, 11, 1, 1))</f>
        <v/>
      </c>
    </row>
    <row r="1022" spans="1:7" s="146" customFormat="1">
      <c r="A1022" s="183" t="s">
        <v>522</v>
      </c>
      <c r="B1022" s="195" t="str">
        <f ca="1">IF(OFFSET('IWP24'!Std3LicenseInfo, 13, 0, 1, 1) = 0, "", OFFSET('IWP24'!Std3LicenseInfo, 13, 0, 1, 1))</f>
        <v/>
      </c>
      <c r="C1022" s="195" t="str">
        <f ca="1">IF(OFFSET('IWP24'!Std3LicenseInfo, 13, 3, 1, 1) = 0, "", OFFSET('IWP24'!Std3LicenseInfo, 13, 3, 1, 1))</f>
        <v/>
      </c>
      <c r="D1022" s="195" t="str">
        <f ca="1">IF(OFFSET('IWP24'!Std3LicenseInfo, 13, 6, 1, 1) = 0, "", OFFSET('IWP24'!Std3LicenseInfo, 13, 6, 1, 1))</f>
        <v/>
      </c>
      <c r="E1022" s="172">
        <f ca="1">IF(OFFSET('IWP24'!Std3LicenseInfo, 13, 9, 1, 1)=DATE(1900,1,0), DATE(1900,1,1), OFFSET('IWP24'!Std3LicenseInfo, 13, 9, 1, 1))</f>
        <v>1</v>
      </c>
      <c r="F1022" s="172">
        <f ca="1">IF(OFFSET('IWP24'!Std3LicenseInfo, 13, 10, 1, 1)=DATE(1900,1,0), DATE(1900,1,1), OFFSET('IWP24'!Std3LicenseInfo, 13, 10, 1, 1))</f>
        <v>1</v>
      </c>
      <c r="G1022" s="194" t="str">
        <f ca="1">IF(OFFSET('IWP24'!Std3LicenseInfo, 13, 11, 1, 1) = 0, "", OFFSET('IWP24'!Std3LicenseInfo, 13, 11, 1, 1))</f>
        <v/>
      </c>
    </row>
    <row r="1023" spans="1:7" s="146" customFormat="1">
      <c r="A1023" s="183" t="s">
        <v>523</v>
      </c>
      <c r="B1023" s="195" t="str">
        <f ca="1">IF(OFFSET('IWP25'!Std3LicenseInfo, 0, 0, 1, 1) = 0, "", OFFSET('IWP25'!Std3LicenseInfo, 0, 0, 1, 1))</f>
        <v/>
      </c>
      <c r="C1023" s="195" t="str">
        <f ca="1">IF(OFFSET('IWP25'!Std3LicenseInfo, 0, 3, 1, 1) = 0, "", OFFSET('IWP25'!Std3LicenseInfo, 0, 3, 1, 1))</f>
        <v/>
      </c>
      <c r="D1023" s="195" t="str">
        <f ca="1">IF(OFFSET('IWP25'!Std3LicenseInfo, 0, 6, 1, 1) = 0, "", OFFSET('IWP25'!Std3LicenseInfo, 0, 6, 1, 1))</f>
        <v/>
      </c>
      <c r="E1023" s="172">
        <f ca="1">IF(OFFSET('IWP25'!Std3LicenseInfo, 0, 9, 1, 1)=DATE(1900,1,0), DATE(1900,1,1), OFFSET('IWP25'!Std3LicenseInfo, 0, 9, 1, 1))</f>
        <v>1</v>
      </c>
      <c r="F1023" s="172">
        <f ca="1">IF(OFFSET('IWP25'!Std3LicenseInfo, 0, 10, 1, 1)=DATE(1900,1,0), DATE(1900,1,1), OFFSET('IWP25'!Std3LicenseInfo, 0, 10, 1, 1))</f>
        <v>1</v>
      </c>
      <c r="G1023" s="194" t="str">
        <f ca="1">IF(OFFSET('IWP25'!Std3LicenseInfo, 0, 11, 1, 1) = 0, "", OFFSET('IWP25'!Std3LicenseInfo, 0, 11, 1, 1))</f>
        <v/>
      </c>
    </row>
    <row r="1024" spans="1:7" s="146" customFormat="1">
      <c r="A1024" s="183" t="s">
        <v>523</v>
      </c>
      <c r="B1024" s="195" t="str">
        <f ca="1">IF(OFFSET('IWP25'!Std3LicenseInfo, 1, 0, 1, 1) = 0, "", OFFSET('IWP25'!Std3LicenseInfo, 1, 0, 1, 1))</f>
        <v/>
      </c>
      <c r="C1024" s="195" t="str">
        <f ca="1">IF(OFFSET('IWP25'!Std3LicenseInfo, 1, 3, 1, 1) = 0, "", OFFSET('IWP25'!Std3LicenseInfo, 1, 3, 1, 1))</f>
        <v/>
      </c>
      <c r="D1024" s="195" t="str">
        <f ca="1">IF(OFFSET('IWP25'!Std3LicenseInfo, 1, 6, 1, 1) = 0, "", OFFSET('IWP25'!Std3LicenseInfo, 1, 6, 1, 1))</f>
        <v/>
      </c>
      <c r="E1024" s="172">
        <f ca="1">IF(OFFSET('IWP25'!Std3LicenseInfo, 1, 9, 1, 1)=DATE(1900,1,0), DATE(1900,1,1), OFFSET('IWP25'!Std3LicenseInfo, 1, 9, 1, 1))</f>
        <v>1</v>
      </c>
      <c r="F1024" s="172">
        <f ca="1">IF(OFFSET('IWP25'!Std3LicenseInfo, 1, 10, 1, 1)=DATE(1900,1,0), DATE(1900,1,1), OFFSET('IWP25'!Std3LicenseInfo, 1, 10, 1, 1))</f>
        <v>1</v>
      </c>
      <c r="G1024" s="194" t="str">
        <f ca="1">IF(OFFSET('IWP25'!Std3LicenseInfo, 1, 11, 1, 1) = 0, "", OFFSET('IWP25'!Std3LicenseInfo, 1, 11, 1, 1))</f>
        <v/>
      </c>
    </row>
    <row r="1025" spans="1:7" s="146" customFormat="1">
      <c r="A1025" s="183" t="s">
        <v>523</v>
      </c>
      <c r="B1025" s="195" t="str">
        <f ca="1">IF(OFFSET('IWP25'!Std3LicenseInfo, 2, 0, 1, 1) = 0, "", OFFSET('IWP25'!Std3LicenseInfo, 2, 0, 1, 1))</f>
        <v/>
      </c>
      <c r="C1025" s="195" t="str">
        <f ca="1">IF(OFFSET('IWP25'!Std3LicenseInfo, 2, 3, 1, 1) = 0, "", OFFSET('IWP25'!Std3LicenseInfo, 2, 3, 1, 1))</f>
        <v/>
      </c>
      <c r="D1025" s="195" t="str">
        <f ca="1">IF(OFFSET('IWP25'!Std3LicenseInfo, 2, 6, 1, 1) = 0, "", OFFSET('IWP25'!Std3LicenseInfo, 2, 6, 1, 1))</f>
        <v/>
      </c>
      <c r="E1025" s="172">
        <f ca="1">IF(OFFSET('IWP25'!Std3LicenseInfo, 2, 9, 1, 1)=DATE(1900,1,0), DATE(1900,1,1), OFFSET('IWP25'!Std3LicenseInfo, 2, 9, 1, 1))</f>
        <v>1</v>
      </c>
      <c r="F1025" s="172">
        <f ca="1">IF(OFFSET('IWP25'!Std3LicenseInfo, 2, 10, 1, 1)=DATE(1900,1,0), DATE(1900,1,1), OFFSET('IWP25'!Std3LicenseInfo, 2, 10, 1, 1))</f>
        <v>1</v>
      </c>
      <c r="G1025" s="194" t="str">
        <f ca="1">IF(OFFSET('IWP25'!Std3LicenseInfo, 2, 11, 1, 1) = 0, "", OFFSET('IWP25'!Std3LicenseInfo, 2, 11, 1, 1))</f>
        <v/>
      </c>
    </row>
    <row r="1026" spans="1:7" s="146" customFormat="1">
      <c r="A1026" s="183" t="s">
        <v>523</v>
      </c>
      <c r="B1026" s="195" t="str">
        <f ca="1">IF(OFFSET('IWP25'!Std3LicenseInfo, 3, 0, 1, 1) = 0, "", OFFSET('IWP25'!Std3LicenseInfo, 3, 0, 1, 1))</f>
        <v/>
      </c>
      <c r="C1026" s="195" t="str">
        <f ca="1">IF(OFFSET('IWP25'!Std3LicenseInfo, 3, 3, 1, 1) = 0, "", OFFSET('IWP25'!Std3LicenseInfo, 3, 3, 1, 1))</f>
        <v/>
      </c>
      <c r="D1026" s="195" t="str">
        <f ca="1">IF(OFFSET('IWP25'!Std3LicenseInfo, 3, 6, 1, 1) = 0, "", OFFSET('IWP25'!Std3LicenseInfo, 3, 6, 1, 1))</f>
        <v/>
      </c>
      <c r="E1026" s="172">
        <f ca="1">IF(OFFSET('IWP25'!Std3LicenseInfo, 3, 9, 1, 1)=DATE(1900,1,0), DATE(1900,1,1), OFFSET('IWP25'!Std3LicenseInfo, 3, 9, 1, 1))</f>
        <v>1</v>
      </c>
      <c r="F1026" s="172">
        <f ca="1">IF(OFFSET('IWP25'!Std3LicenseInfo, 3, 10, 1, 1)=DATE(1900,1,0), DATE(1900,1,1), OFFSET('IWP25'!Std3LicenseInfo, 3, 10, 1, 1))</f>
        <v>1</v>
      </c>
      <c r="G1026" s="194" t="str">
        <f ca="1">IF(OFFSET('IWP25'!Std3LicenseInfo, 3, 11, 1, 1) = 0, "", OFFSET('IWP25'!Std3LicenseInfo, 3, 11, 1, 1))</f>
        <v/>
      </c>
    </row>
    <row r="1027" spans="1:7" s="146" customFormat="1">
      <c r="A1027" s="183" t="s">
        <v>523</v>
      </c>
      <c r="B1027" s="195" t="str">
        <f ca="1">IF(OFFSET('IWP25'!Std3LicenseInfo, 4, 0, 1, 1) = 0, "", OFFSET('IWP25'!Std3LicenseInfo, 4, 0, 1, 1))</f>
        <v/>
      </c>
      <c r="C1027" s="195" t="str">
        <f ca="1">IF(OFFSET('IWP25'!Std3LicenseInfo, 4, 3, 1, 1) = 0, "", OFFSET('IWP25'!Std3LicenseInfo, 4, 3, 1, 1))</f>
        <v/>
      </c>
      <c r="D1027" s="195" t="str">
        <f ca="1">IF(OFFSET('IWP25'!Std3LicenseInfo, 4, 6, 1, 1) = 0, "", OFFSET('IWP25'!Std3LicenseInfo, 4, 6, 1, 1))</f>
        <v/>
      </c>
      <c r="E1027" s="172">
        <f ca="1">IF(OFFSET('IWP25'!Std3LicenseInfo, 4, 9, 1, 1)=DATE(1900,1,0), DATE(1900,1,1), OFFSET('IWP25'!Std3LicenseInfo, 4, 9, 1, 1))</f>
        <v>1</v>
      </c>
      <c r="F1027" s="172">
        <f ca="1">IF(OFFSET('IWP25'!Std3LicenseInfo, 4, 10, 1, 1)=DATE(1900,1,0), DATE(1900,1,1), OFFSET('IWP25'!Std3LicenseInfo, 4, 10, 1, 1))</f>
        <v>1</v>
      </c>
      <c r="G1027" s="194" t="str">
        <f ca="1">IF(OFFSET('IWP25'!Std3LicenseInfo, 4, 11, 1, 1) = 0, "", OFFSET('IWP25'!Std3LicenseInfo, 4, 11, 1, 1))</f>
        <v/>
      </c>
    </row>
    <row r="1028" spans="1:7" s="146" customFormat="1">
      <c r="A1028" s="183" t="s">
        <v>523</v>
      </c>
      <c r="B1028" s="195" t="str">
        <f ca="1">IF(OFFSET('IWP25'!Std3LicenseInfo, 5, 0, 1, 1) = 0, "", OFFSET('IWP25'!Std3LicenseInfo, 5, 0, 1, 1))</f>
        <v/>
      </c>
      <c r="C1028" s="195" t="str">
        <f ca="1">IF(OFFSET('IWP25'!Std3LicenseInfo, 5, 3, 1, 1) = 0, "", OFFSET('IWP25'!Std3LicenseInfo, 5, 3, 1, 1))</f>
        <v/>
      </c>
      <c r="D1028" s="195" t="str">
        <f ca="1">IF(OFFSET('IWP25'!Std3LicenseInfo, 5, 6, 1, 1) = 0, "", OFFSET('IWP25'!Std3LicenseInfo, 5, 6, 1, 1))</f>
        <v/>
      </c>
      <c r="E1028" s="172">
        <f ca="1">IF(OFFSET('IWP25'!Std3LicenseInfo, 5, 9, 1, 1)=DATE(1900,1,0), DATE(1900,1,1), OFFSET('IWP25'!Std3LicenseInfo, 5, 9, 1, 1))</f>
        <v>1</v>
      </c>
      <c r="F1028" s="172">
        <f ca="1">IF(OFFSET('IWP25'!Std3LicenseInfo, 5, 10, 1, 1)=DATE(1900,1,0), DATE(1900,1,1), OFFSET('IWP25'!Std3LicenseInfo, 5, 10, 1, 1))</f>
        <v>1</v>
      </c>
      <c r="G1028" s="194" t="str">
        <f ca="1">IF(OFFSET('IWP25'!Std3LicenseInfo, 5, 11, 1, 1) = 0, "", OFFSET('IWP25'!Std3LicenseInfo, 5, 11, 1, 1))</f>
        <v/>
      </c>
    </row>
    <row r="1029" spans="1:7" s="146" customFormat="1">
      <c r="A1029" s="183" t="s">
        <v>523</v>
      </c>
      <c r="B1029" s="195" t="str">
        <f ca="1">IF(OFFSET('IWP25'!Std3LicenseInfo, 6, 0, 1, 1) = 0, "", OFFSET('IWP25'!Std3LicenseInfo, 6, 0, 1, 1))</f>
        <v/>
      </c>
      <c r="C1029" s="195" t="str">
        <f ca="1">IF(OFFSET('IWP25'!Std3LicenseInfo, 6, 3, 1, 1) = 0, "", OFFSET('IWP25'!Std3LicenseInfo, 6, 3, 1, 1))</f>
        <v/>
      </c>
      <c r="D1029" s="195" t="str">
        <f ca="1">IF(OFFSET('IWP25'!Std3LicenseInfo, 6, 6, 1, 1) = 0, "", OFFSET('IWP25'!Std3LicenseInfo, 6, 6, 1, 1))</f>
        <v/>
      </c>
      <c r="E1029" s="172">
        <f ca="1">IF(OFFSET('IWP25'!Std3LicenseInfo, 6, 9, 1, 1)=DATE(1900,1,0), DATE(1900,1,1), OFFSET('IWP25'!Std3LicenseInfo, 6, 9, 1, 1))</f>
        <v>1</v>
      </c>
      <c r="F1029" s="172">
        <f ca="1">IF(OFFSET('IWP25'!Std3LicenseInfo, 6, 10, 1, 1)=DATE(1900,1,0), DATE(1900,1,1), OFFSET('IWP25'!Std3LicenseInfo, 6, 10, 1, 1))</f>
        <v>1</v>
      </c>
      <c r="G1029" s="194" t="str">
        <f ca="1">IF(OFFSET('IWP25'!Std3LicenseInfo, 6, 11, 1, 1) = 0, "", OFFSET('IWP25'!Std3LicenseInfo, 6, 11, 1, 1))</f>
        <v/>
      </c>
    </row>
    <row r="1030" spans="1:7" s="146" customFormat="1">
      <c r="A1030" s="183" t="s">
        <v>523</v>
      </c>
      <c r="B1030" s="195" t="str">
        <f ca="1">IF(OFFSET('IWP25'!Std3LicenseInfo, 7, 0, 1, 1) = 0, "", OFFSET('IWP25'!Std3LicenseInfo, 7, 0, 1, 1))</f>
        <v/>
      </c>
      <c r="C1030" s="195" t="str">
        <f ca="1">IF(OFFSET('IWP25'!Std3LicenseInfo, 7, 3, 1, 1) = 0, "", OFFSET('IWP25'!Std3LicenseInfo, 7, 3, 1, 1))</f>
        <v/>
      </c>
      <c r="D1030" s="195" t="str">
        <f ca="1">IF(OFFSET('IWP25'!Std3LicenseInfo, 7, 6, 1, 1) = 0, "", OFFSET('IWP25'!Std3LicenseInfo, 7, 6, 1, 1))</f>
        <v/>
      </c>
      <c r="E1030" s="172">
        <f ca="1">IF(OFFSET('IWP25'!Std3LicenseInfo, 7, 9, 1, 1)=DATE(1900,1,0), DATE(1900,1,1), OFFSET('IWP25'!Std3LicenseInfo, 7, 9, 1, 1))</f>
        <v>1</v>
      </c>
      <c r="F1030" s="172">
        <f ca="1">IF(OFFSET('IWP25'!Std3LicenseInfo, 7, 10, 1, 1)=DATE(1900,1,0), DATE(1900,1,1), OFFSET('IWP25'!Std3LicenseInfo, 7, 10, 1, 1))</f>
        <v>1</v>
      </c>
      <c r="G1030" s="194" t="str">
        <f ca="1">IF(OFFSET('IWP25'!Std3LicenseInfo, 7, 11, 1, 1) = 0, "", OFFSET('IWP25'!Std3LicenseInfo, 7, 11, 1, 1))</f>
        <v/>
      </c>
    </row>
    <row r="1031" spans="1:7" s="146" customFormat="1">
      <c r="A1031" s="183" t="s">
        <v>523</v>
      </c>
      <c r="B1031" s="195" t="str">
        <f ca="1">IF(OFFSET('IWP25'!Std3LicenseInfo, 8, 0, 1, 1) = 0, "", OFFSET('IWP25'!Std3LicenseInfo, 8, 0, 1, 1))</f>
        <v/>
      </c>
      <c r="C1031" s="195" t="str">
        <f ca="1">IF(OFFSET('IWP25'!Std3LicenseInfo, 8, 3, 1, 1) = 0, "", OFFSET('IWP25'!Std3LicenseInfo, 8, 3, 1, 1))</f>
        <v/>
      </c>
      <c r="D1031" s="195" t="str">
        <f ca="1">IF(OFFSET('IWP25'!Std3LicenseInfo, 8, 6, 1, 1) = 0, "", OFFSET('IWP25'!Std3LicenseInfo, 8, 6, 1, 1))</f>
        <v/>
      </c>
      <c r="E1031" s="172">
        <f ca="1">IF(OFFSET('IWP25'!Std3LicenseInfo, 8, 9, 1, 1)=DATE(1900,1,0), DATE(1900,1,1), OFFSET('IWP25'!Std3LicenseInfo, 8, 9, 1, 1))</f>
        <v>1</v>
      </c>
      <c r="F1031" s="172">
        <f ca="1">IF(OFFSET('IWP25'!Std3LicenseInfo, 8, 10, 1, 1)=DATE(1900,1,0), DATE(1900,1,1), OFFSET('IWP25'!Std3LicenseInfo, 8, 10, 1, 1))</f>
        <v>1</v>
      </c>
      <c r="G1031" s="194" t="str">
        <f ca="1">IF(OFFSET('IWP25'!Std3LicenseInfo, 8, 11, 1, 1) = 0, "", OFFSET('IWP25'!Std3LicenseInfo, 8, 11, 1, 1))</f>
        <v/>
      </c>
    </row>
    <row r="1032" spans="1:7" s="146" customFormat="1">
      <c r="A1032" s="183" t="s">
        <v>523</v>
      </c>
      <c r="B1032" s="195" t="str">
        <f ca="1">IF(OFFSET('IWP25'!Std3LicenseInfo, 9, 0, 1, 1) = 0, "", OFFSET('IWP25'!Std3LicenseInfo, 9, 0, 1, 1))</f>
        <v/>
      </c>
      <c r="C1032" s="195" t="str">
        <f ca="1">IF(OFFSET('IWP25'!Std3LicenseInfo, 9, 3, 1, 1) = 0, "", OFFSET('IWP25'!Std3LicenseInfo, 9, 3, 1, 1))</f>
        <v/>
      </c>
      <c r="D1032" s="195" t="str">
        <f ca="1">IF(OFFSET('IWP25'!Std3LicenseInfo, 9, 6, 1, 1) = 0, "", OFFSET('IWP25'!Std3LicenseInfo, 9, 6, 1, 1))</f>
        <v/>
      </c>
      <c r="E1032" s="172">
        <f ca="1">IF(OFFSET('IWP25'!Std3LicenseInfo, 9, 9, 1, 1)=DATE(1900,1,0), DATE(1900,1,1), OFFSET('IWP25'!Std3LicenseInfo, 9, 9, 1, 1))</f>
        <v>1</v>
      </c>
      <c r="F1032" s="172">
        <f ca="1">IF(OFFSET('IWP25'!Std3LicenseInfo, 9, 10, 1, 1)=DATE(1900,1,0), DATE(1900,1,1), OFFSET('IWP25'!Std3LicenseInfo, 9, 10, 1, 1))</f>
        <v>1</v>
      </c>
      <c r="G1032" s="194" t="str">
        <f ca="1">IF(OFFSET('IWP25'!Std3LicenseInfo, 9, 11, 1, 1) = 0, "", OFFSET('IWP25'!Std3LicenseInfo, 9, 11, 1, 1))</f>
        <v/>
      </c>
    </row>
    <row r="1033" spans="1:7" s="146" customFormat="1">
      <c r="A1033" s="183" t="s">
        <v>523</v>
      </c>
      <c r="B1033" s="195" t="str">
        <f ca="1">IF(OFFSET('IWP25'!Std3LicenseInfo, 10, 0, 1, 1) = 0, "", OFFSET('IWP25'!Std3LicenseInfo, 10, 0, 1, 1))</f>
        <v/>
      </c>
      <c r="C1033" s="195" t="str">
        <f ca="1">IF(OFFSET('IWP25'!Std3LicenseInfo, 10, 3, 1, 1) = 0, "", OFFSET('IWP25'!Std3LicenseInfo, 10, 3, 1, 1))</f>
        <v/>
      </c>
      <c r="D1033" s="195" t="str">
        <f ca="1">IF(OFFSET('IWP25'!Std3LicenseInfo, 10, 6, 1, 1) = 0, "", OFFSET('IWP25'!Std3LicenseInfo, 10, 6, 1, 1))</f>
        <v/>
      </c>
      <c r="E1033" s="172">
        <f ca="1">IF(OFFSET('IWP25'!Std3LicenseInfo, 10, 9, 1, 1)=DATE(1900,1,0), DATE(1900,1,1), OFFSET('IWP25'!Std3LicenseInfo, 10, 9, 1, 1))</f>
        <v>1</v>
      </c>
      <c r="F1033" s="172">
        <f ca="1">IF(OFFSET('IWP25'!Std3LicenseInfo, 10, 10, 1, 1)=DATE(1900,1,0), DATE(1900,1,1), OFFSET('IWP25'!Std3LicenseInfo, 10, 10, 1, 1))</f>
        <v>1</v>
      </c>
      <c r="G1033" s="194" t="str">
        <f ca="1">IF(OFFSET('IWP25'!Std3LicenseInfo, 10, 11, 1, 1) = 0, "", OFFSET('IWP25'!Std3LicenseInfo, 10, 11, 1, 1))</f>
        <v/>
      </c>
    </row>
    <row r="1034" spans="1:7" s="146" customFormat="1">
      <c r="A1034" s="183" t="s">
        <v>523</v>
      </c>
      <c r="B1034" s="195" t="str">
        <f ca="1">IF(OFFSET('IWP25'!Std3LicenseInfo, 11, 0, 1, 1) = 0, "", OFFSET('IWP25'!Std3LicenseInfo, 11, 0, 1, 1))</f>
        <v/>
      </c>
      <c r="C1034" s="195" t="str">
        <f ca="1">IF(OFFSET('IWP25'!Std3LicenseInfo, 11, 3, 1, 1) = 0, "", OFFSET('IWP25'!Std3LicenseInfo, 11, 3, 1, 1))</f>
        <v/>
      </c>
      <c r="D1034" s="195" t="str">
        <f ca="1">IF(OFFSET('IWP25'!Std3LicenseInfo, 11, 6, 1, 1) = 0, "", OFFSET('IWP25'!Std3LicenseInfo, 11, 6, 1, 1))</f>
        <v/>
      </c>
      <c r="E1034" s="172">
        <f ca="1">IF(OFFSET('IWP25'!Std3LicenseInfo, 11, 9, 1, 1)=DATE(1900,1,0), DATE(1900,1,1), OFFSET('IWP25'!Std3LicenseInfo, 11, 9, 1, 1))</f>
        <v>1</v>
      </c>
      <c r="F1034" s="172">
        <f ca="1">IF(OFFSET('IWP25'!Std3LicenseInfo, 11, 10, 1, 1)=DATE(1900,1,0), DATE(1900,1,1), OFFSET('IWP25'!Std3LicenseInfo, 11, 10, 1, 1))</f>
        <v>1</v>
      </c>
      <c r="G1034" s="194" t="str">
        <f ca="1">IF(OFFSET('IWP25'!Std3LicenseInfo, 11, 11, 1, 1) = 0, "", OFFSET('IWP25'!Std3LicenseInfo, 11, 11, 1, 1))</f>
        <v/>
      </c>
    </row>
    <row r="1035" spans="1:7" s="146" customFormat="1">
      <c r="A1035" s="183" t="s">
        <v>523</v>
      </c>
      <c r="B1035" s="195" t="str">
        <f ca="1">IF(OFFSET('IWP25'!Std3LicenseInfo, 12, 0, 1, 1) = 0, "", OFFSET('IWP25'!Std3LicenseInfo, 12, 0, 1, 1))</f>
        <v/>
      </c>
      <c r="C1035" s="195" t="str">
        <f ca="1">IF(OFFSET('IWP25'!Std3LicenseInfo, 12, 3, 1, 1) = 0, "", OFFSET('IWP25'!Std3LicenseInfo, 12, 3, 1, 1))</f>
        <v/>
      </c>
      <c r="D1035" s="195" t="str">
        <f ca="1">IF(OFFSET('IWP25'!Std3LicenseInfo, 12, 6, 1, 1) = 0, "", OFFSET('IWP25'!Std3LicenseInfo, 12, 6, 1, 1))</f>
        <v/>
      </c>
      <c r="E1035" s="172">
        <f ca="1">IF(OFFSET('IWP25'!Std3LicenseInfo, 12, 9, 1, 1)=DATE(1900,1,0), DATE(1900,1,1), OFFSET('IWP25'!Std3LicenseInfo, 12, 9, 1, 1))</f>
        <v>1</v>
      </c>
      <c r="F1035" s="172">
        <f ca="1">IF(OFFSET('IWP25'!Std3LicenseInfo, 12, 10, 1, 1)=DATE(1900,1,0), DATE(1900,1,1), OFFSET('IWP25'!Std3LicenseInfo, 12, 10, 1, 1))</f>
        <v>1</v>
      </c>
      <c r="G1035" s="194" t="str">
        <f ca="1">IF(OFFSET('IWP25'!Std3LicenseInfo, 12, 11, 1, 1) = 0, "", OFFSET('IWP25'!Std3LicenseInfo, 12, 11, 1, 1))</f>
        <v/>
      </c>
    </row>
    <row r="1036" spans="1:7" s="146" customFormat="1">
      <c r="A1036" s="183" t="s">
        <v>523</v>
      </c>
      <c r="B1036" s="195" t="str">
        <f ca="1">IF(OFFSET('IWP25'!Std3LicenseInfo, 13, 0, 1, 1) = 0, "", OFFSET('IWP25'!Std3LicenseInfo, 13, 0, 1, 1))</f>
        <v/>
      </c>
      <c r="C1036" s="195" t="str">
        <f ca="1">IF(OFFSET('IWP25'!Std3LicenseInfo, 13, 3, 1, 1) = 0, "", OFFSET('IWP25'!Std3LicenseInfo, 13, 3, 1, 1))</f>
        <v/>
      </c>
      <c r="D1036" s="195" t="str">
        <f ca="1">IF(OFFSET('IWP25'!Std3LicenseInfo, 13, 6, 1, 1) = 0, "", OFFSET('IWP25'!Std3LicenseInfo, 13, 6, 1, 1))</f>
        <v/>
      </c>
      <c r="E1036" s="172">
        <f ca="1">IF(OFFSET('IWP25'!Std3LicenseInfo, 13, 9, 1, 1)=DATE(1900,1,0), DATE(1900,1,1), OFFSET('IWP25'!Std3LicenseInfo, 13, 9, 1, 1))</f>
        <v>1</v>
      </c>
      <c r="F1036" s="172">
        <f ca="1">IF(OFFSET('IWP25'!Std3LicenseInfo, 13, 10, 1, 1)=DATE(1900,1,0), DATE(1900,1,1), OFFSET('IWP25'!Std3LicenseInfo, 13, 10, 1, 1))</f>
        <v>1</v>
      </c>
      <c r="G1036" s="194" t="str">
        <f ca="1">IF(OFFSET('IWP25'!Std3LicenseInfo, 13, 11, 1, 1) = 0, "", OFFSET('IWP25'!Std3LicenseInfo, 13, 11, 1, 1))</f>
        <v/>
      </c>
    </row>
    <row r="1037" spans="1:7" s="146" customFormat="1">
      <c r="A1037" s="183" t="s">
        <v>524</v>
      </c>
      <c r="B1037" s="195" t="str">
        <f ca="1">IF(OFFSET('IWP26'!Std3LicenseInfo, 0, 0, 1, 1) = 0, "", OFFSET('IWP26'!Std3LicenseInfo, 0, 0, 1, 1))</f>
        <v/>
      </c>
      <c r="C1037" s="195" t="str">
        <f ca="1">IF(OFFSET('IWP26'!Std3LicenseInfo, 0, 3, 1, 1) = 0, "", OFFSET('IWP26'!Std3LicenseInfo, 0, 3, 1, 1))</f>
        <v/>
      </c>
      <c r="D1037" s="195" t="str">
        <f ca="1">IF(OFFSET('IWP26'!Std3LicenseInfo, 0, 6, 1, 1) = 0, "", OFFSET('IWP26'!Std3LicenseInfo, 0, 6, 1, 1))</f>
        <v/>
      </c>
      <c r="E1037" s="172">
        <f ca="1">IF(OFFSET('IWP26'!Std3LicenseInfo, 0, 9, 1, 1)=DATE(1900,1,0), DATE(1900,1,1), OFFSET('IWP26'!Std3LicenseInfo, 0, 9, 1, 1))</f>
        <v>1</v>
      </c>
      <c r="F1037" s="172">
        <f ca="1">IF(OFFSET('IWP26'!Std3LicenseInfo, 0, 10, 1, 1)=DATE(1900,1,0), DATE(1900,1,1), OFFSET('IWP26'!Std3LicenseInfo, 0, 10, 1, 1))</f>
        <v>1</v>
      </c>
      <c r="G1037" s="194" t="str">
        <f ca="1">IF(OFFSET('IWP26'!Std3LicenseInfo, 0, 11, 1, 1) = 0, "", OFFSET('IWP26'!Std3LicenseInfo, 0, 11, 1, 1))</f>
        <v/>
      </c>
    </row>
    <row r="1038" spans="1:7" s="146" customFormat="1">
      <c r="A1038" s="183" t="s">
        <v>524</v>
      </c>
      <c r="B1038" s="195" t="str">
        <f ca="1">IF(OFFSET('IWP26'!Std3LicenseInfo, 1, 0, 1, 1) = 0, "", OFFSET('IWP26'!Std3LicenseInfo, 1, 0, 1, 1))</f>
        <v/>
      </c>
      <c r="C1038" s="195" t="str">
        <f ca="1">IF(OFFSET('IWP26'!Std3LicenseInfo, 1, 3, 1, 1) = 0, "", OFFSET('IWP26'!Std3LicenseInfo, 1, 3, 1, 1))</f>
        <v/>
      </c>
      <c r="D1038" s="195" t="str">
        <f ca="1">IF(OFFSET('IWP26'!Std3LicenseInfo, 1, 6, 1, 1) = 0, "", OFFSET('IWP26'!Std3LicenseInfo, 1, 6, 1, 1))</f>
        <v/>
      </c>
      <c r="E1038" s="172">
        <f ca="1">IF(OFFSET('IWP26'!Std3LicenseInfo, 1, 9, 1, 1)=DATE(1900,1,0), DATE(1900,1,1), OFFSET('IWP26'!Std3LicenseInfo, 1, 9, 1, 1))</f>
        <v>1</v>
      </c>
      <c r="F1038" s="172">
        <f ca="1">IF(OFFSET('IWP26'!Std3LicenseInfo, 1, 10, 1, 1)=DATE(1900,1,0), DATE(1900,1,1), OFFSET('IWP26'!Std3LicenseInfo, 1, 10, 1, 1))</f>
        <v>1</v>
      </c>
      <c r="G1038" s="194" t="str">
        <f ca="1">IF(OFFSET('IWP26'!Std3LicenseInfo, 1, 11, 1, 1) = 0, "", OFFSET('IWP26'!Std3LicenseInfo, 1, 11, 1, 1))</f>
        <v/>
      </c>
    </row>
    <row r="1039" spans="1:7" s="146" customFormat="1">
      <c r="A1039" s="183" t="s">
        <v>524</v>
      </c>
      <c r="B1039" s="195" t="str">
        <f ca="1">IF(OFFSET('IWP26'!Std3LicenseInfo, 2, 0, 1, 1) = 0, "", OFFSET('IWP26'!Std3LicenseInfo, 2, 0, 1, 1))</f>
        <v/>
      </c>
      <c r="C1039" s="195" t="str">
        <f ca="1">IF(OFFSET('IWP26'!Std3LicenseInfo, 2, 3, 1, 1) = 0, "", OFFSET('IWP26'!Std3LicenseInfo, 2, 3, 1, 1))</f>
        <v/>
      </c>
      <c r="D1039" s="195" t="str">
        <f ca="1">IF(OFFSET('IWP26'!Std3LicenseInfo, 2, 6, 1, 1) = 0, "", OFFSET('IWP26'!Std3LicenseInfo, 2, 6, 1, 1))</f>
        <v/>
      </c>
      <c r="E1039" s="172">
        <f ca="1">IF(OFFSET('IWP26'!Std3LicenseInfo, 2, 9, 1, 1)=DATE(1900,1,0), DATE(1900,1,1), OFFSET('IWP26'!Std3LicenseInfo, 2, 9, 1, 1))</f>
        <v>1</v>
      </c>
      <c r="F1039" s="172">
        <f ca="1">IF(OFFSET('IWP26'!Std3LicenseInfo, 2, 10, 1, 1)=DATE(1900,1,0), DATE(1900,1,1), OFFSET('IWP26'!Std3LicenseInfo, 2, 10, 1, 1))</f>
        <v>1</v>
      </c>
      <c r="G1039" s="194" t="str">
        <f ca="1">IF(OFFSET('IWP26'!Std3LicenseInfo, 2, 11, 1, 1) = 0, "", OFFSET('IWP26'!Std3LicenseInfo, 2, 11, 1, 1))</f>
        <v/>
      </c>
    </row>
    <row r="1040" spans="1:7" s="146" customFormat="1">
      <c r="A1040" s="183" t="s">
        <v>524</v>
      </c>
      <c r="B1040" s="195" t="str">
        <f ca="1">IF(OFFSET('IWP26'!Std3LicenseInfo, 3, 0, 1, 1) = 0, "", OFFSET('IWP26'!Std3LicenseInfo, 3, 0, 1, 1))</f>
        <v/>
      </c>
      <c r="C1040" s="195" t="str">
        <f ca="1">IF(OFFSET('IWP26'!Std3LicenseInfo, 3, 3, 1, 1) = 0, "", OFFSET('IWP26'!Std3LicenseInfo, 3, 3, 1, 1))</f>
        <v/>
      </c>
      <c r="D1040" s="195" t="str">
        <f ca="1">IF(OFFSET('IWP26'!Std3LicenseInfo, 3, 6, 1, 1) = 0, "", OFFSET('IWP26'!Std3LicenseInfo, 3, 6, 1, 1))</f>
        <v/>
      </c>
      <c r="E1040" s="172">
        <f ca="1">IF(OFFSET('IWP26'!Std3LicenseInfo, 3, 9, 1, 1)=DATE(1900,1,0), DATE(1900,1,1), OFFSET('IWP26'!Std3LicenseInfo, 3, 9, 1, 1))</f>
        <v>1</v>
      </c>
      <c r="F1040" s="172">
        <f ca="1">IF(OFFSET('IWP26'!Std3LicenseInfo, 3, 10, 1, 1)=DATE(1900,1,0), DATE(1900,1,1), OFFSET('IWP26'!Std3LicenseInfo, 3, 10, 1, 1))</f>
        <v>1</v>
      </c>
      <c r="G1040" s="194" t="str">
        <f ca="1">IF(OFFSET('IWP26'!Std3LicenseInfo, 3, 11, 1, 1) = 0, "", OFFSET('IWP26'!Std3LicenseInfo, 3, 11, 1, 1))</f>
        <v/>
      </c>
    </row>
    <row r="1041" spans="1:7" s="146" customFormat="1">
      <c r="A1041" s="183" t="s">
        <v>524</v>
      </c>
      <c r="B1041" s="195" t="str">
        <f ca="1">IF(OFFSET('IWP26'!Std3LicenseInfo, 4, 0, 1, 1) = 0, "", OFFSET('IWP26'!Std3LicenseInfo, 4, 0, 1, 1))</f>
        <v/>
      </c>
      <c r="C1041" s="195" t="str">
        <f ca="1">IF(OFFSET('IWP26'!Std3LicenseInfo, 4, 3, 1, 1) = 0, "", OFFSET('IWP26'!Std3LicenseInfo, 4, 3, 1, 1))</f>
        <v/>
      </c>
      <c r="D1041" s="195" t="str">
        <f ca="1">IF(OFFSET('IWP26'!Std3LicenseInfo, 4, 6, 1, 1) = 0, "", OFFSET('IWP26'!Std3LicenseInfo, 4, 6, 1, 1))</f>
        <v/>
      </c>
      <c r="E1041" s="172">
        <f ca="1">IF(OFFSET('IWP26'!Std3LicenseInfo, 4, 9, 1, 1)=DATE(1900,1,0), DATE(1900,1,1), OFFSET('IWP26'!Std3LicenseInfo, 4, 9, 1, 1))</f>
        <v>1</v>
      </c>
      <c r="F1041" s="172">
        <f ca="1">IF(OFFSET('IWP26'!Std3LicenseInfo, 4, 10, 1, 1)=DATE(1900,1,0), DATE(1900,1,1), OFFSET('IWP26'!Std3LicenseInfo, 4, 10, 1, 1))</f>
        <v>1</v>
      </c>
      <c r="G1041" s="194" t="str">
        <f ca="1">IF(OFFSET('IWP26'!Std3LicenseInfo, 4, 11, 1, 1) = 0, "", OFFSET('IWP26'!Std3LicenseInfo, 4, 11, 1, 1))</f>
        <v/>
      </c>
    </row>
    <row r="1042" spans="1:7" s="146" customFormat="1">
      <c r="A1042" s="183" t="s">
        <v>524</v>
      </c>
      <c r="B1042" s="195" t="str">
        <f ca="1">IF(OFFSET('IWP26'!Std3LicenseInfo, 5, 0, 1, 1) = 0, "", OFFSET('IWP26'!Std3LicenseInfo, 5, 0, 1, 1))</f>
        <v/>
      </c>
      <c r="C1042" s="195" t="str">
        <f ca="1">IF(OFFSET('IWP26'!Std3LicenseInfo, 5, 3, 1, 1) = 0, "", OFFSET('IWP26'!Std3LicenseInfo, 5, 3, 1, 1))</f>
        <v/>
      </c>
      <c r="D1042" s="195" t="str">
        <f ca="1">IF(OFFSET('IWP26'!Std3LicenseInfo, 5, 6, 1, 1) = 0, "", OFFSET('IWP26'!Std3LicenseInfo, 5, 6, 1, 1))</f>
        <v/>
      </c>
      <c r="E1042" s="172">
        <f ca="1">IF(OFFSET('IWP26'!Std3LicenseInfo, 5, 9, 1, 1)=DATE(1900,1,0), DATE(1900,1,1), OFFSET('IWP26'!Std3LicenseInfo, 5, 9, 1, 1))</f>
        <v>1</v>
      </c>
      <c r="F1042" s="172">
        <f ca="1">IF(OFFSET('IWP26'!Std3LicenseInfo, 5, 10, 1, 1)=DATE(1900,1,0), DATE(1900,1,1), OFFSET('IWP26'!Std3LicenseInfo, 5, 10, 1, 1))</f>
        <v>1</v>
      </c>
      <c r="G1042" s="194" t="str">
        <f ca="1">IF(OFFSET('IWP26'!Std3LicenseInfo, 5, 11, 1, 1) = 0, "", OFFSET('IWP26'!Std3LicenseInfo, 5, 11, 1, 1))</f>
        <v/>
      </c>
    </row>
    <row r="1043" spans="1:7" s="146" customFormat="1">
      <c r="A1043" s="183" t="s">
        <v>524</v>
      </c>
      <c r="B1043" s="195" t="str">
        <f ca="1">IF(OFFSET('IWP26'!Std3LicenseInfo, 6, 0, 1, 1) = 0, "", OFFSET('IWP26'!Std3LicenseInfo, 6, 0, 1, 1))</f>
        <v/>
      </c>
      <c r="C1043" s="195" t="str">
        <f ca="1">IF(OFFSET('IWP26'!Std3LicenseInfo, 6, 3, 1, 1) = 0, "", OFFSET('IWP26'!Std3LicenseInfo, 6, 3, 1, 1))</f>
        <v/>
      </c>
      <c r="D1043" s="195" t="str">
        <f ca="1">IF(OFFSET('IWP26'!Std3LicenseInfo, 6, 6, 1, 1) = 0, "", OFFSET('IWP26'!Std3LicenseInfo, 6, 6, 1, 1))</f>
        <v/>
      </c>
      <c r="E1043" s="172">
        <f ca="1">IF(OFFSET('IWP26'!Std3LicenseInfo, 6, 9, 1, 1)=DATE(1900,1,0), DATE(1900,1,1), OFFSET('IWP26'!Std3LicenseInfo, 6, 9, 1, 1))</f>
        <v>1</v>
      </c>
      <c r="F1043" s="172">
        <f ca="1">IF(OFFSET('IWP26'!Std3LicenseInfo, 6, 10, 1, 1)=DATE(1900,1,0), DATE(1900,1,1), OFFSET('IWP26'!Std3LicenseInfo, 6, 10, 1, 1))</f>
        <v>1</v>
      </c>
      <c r="G1043" s="194" t="str">
        <f ca="1">IF(OFFSET('IWP26'!Std3LicenseInfo, 6, 11, 1, 1) = 0, "", OFFSET('IWP26'!Std3LicenseInfo, 6, 11, 1, 1))</f>
        <v/>
      </c>
    </row>
    <row r="1044" spans="1:7" s="146" customFormat="1">
      <c r="A1044" s="183" t="s">
        <v>524</v>
      </c>
      <c r="B1044" s="195" t="str">
        <f ca="1">IF(OFFSET('IWP26'!Std3LicenseInfo, 7, 0, 1, 1) = 0, "", OFFSET('IWP26'!Std3LicenseInfo, 7, 0, 1, 1))</f>
        <v/>
      </c>
      <c r="C1044" s="195" t="str">
        <f ca="1">IF(OFFSET('IWP26'!Std3LicenseInfo, 7, 3, 1, 1) = 0, "", OFFSET('IWP26'!Std3LicenseInfo, 7, 3, 1, 1))</f>
        <v/>
      </c>
      <c r="D1044" s="195" t="str">
        <f ca="1">IF(OFFSET('IWP26'!Std3LicenseInfo, 7, 6, 1, 1) = 0, "", OFFSET('IWP26'!Std3LicenseInfo, 7, 6, 1, 1))</f>
        <v/>
      </c>
      <c r="E1044" s="172">
        <f ca="1">IF(OFFSET('IWP26'!Std3LicenseInfo, 7, 9, 1, 1)=DATE(1900,1,0), DATE(1900,1,1), OFFSET('IWP26'!Std3LicenseInfo, 7, 9, 1, 1))</f>
        <v>1</v>
      </c>
      <c r="F1044" s="172">
        <f ca="1">IF(OFFSET('IWP26'!Std3LicenseInfo, 7, 10, 1, 1)=DATE(1900,1,0), DATE(1900,1,1), OFFSET('IWP26'!Std3LicenseInfo, 7, 10, 1, 1))</f>
        <v>1</v>
      </c>
      <c r="G1044" s="194" t="str">
        <f ca="1">IF(OFFSET('IWP26'!Std3LicenseInfo, 7, 11, 1, 1) = 0, "", OFFSET('IWP26'!Std3LicenseInfo, 7, 11, 1, 1))</f>
        <v/>
      </c>
    </row>
    <row r="1045" spans="1:7" s="146" customFormat="1">
      <c r="A1045" s="183" t="s">
        <v>524</v>
      </c>
      <c r="B1045" s="195" t="str">
        <f ca="1">IF(OFFSET('IWP26'!Std3LicenseInfo, 8, 0, 1, 1) = 0, "", OFFSET('IWP26'!Std3LicenseInfo, 8, 0, 1, 1))</f>
        <v/>
      </c>
      <c r="C1045" s="195" t="str">
        <f ca="1">IF(OFFSET('IWP26'!Std3LicenseInfo, 8, 3, 1, 1) = 0, "", OFFSET('IWP26'!Std3LicenseInfo, 8, 3, 1, 1))</f>
        <v/>
      </c>
      <c r="D1045" s="195" t="str">
        <f ca="1">IF(OFFSET('IWP26'!Std3LicenseInfo, 8, 6, 1, 1) = 0, "", OFFSET('IWP26'!Std3LicenseInfo, 8, 6, 1, 1))</f>
        <v/>
      </c>
      <c r="E1045" s="172">
        <f ca="1">IF(OFFSET('IWP26'!Std3LicenseInfo, 8, 9, 1, 1)=DATE(1900,1,0), DATE(1900,1,1), OFFSET('IWP26'!Std3LicenseInfo, 8, 9, 1, 1))</f>
        <v>1</v>
      </c>
      <c r="F1045" s="172">
        <f ca="1">IF(OFFSET('IWP26'!Std3LicenseInfo, 8, 10, 1, 1)=DATE(1900,1,0), DATE(1900,1,1), OFFSET('IWP26'!Std3LicenseInfo, 8, 10, 1, 1))</f>
        <v>1</v>
      </c>
      <c r="G1045" s="194" t="str">
        <f ca="1">IF(OFFSET('IWP26'!Std3LicenseInfo, 8, 11, 1, 1) = 0, "", OFFSET('IWP26'!Std3LicenseInfo, 8, 11, 1, 1))</f>
        <v/>
      </c>
    </row>
    <row r="1046" spans="1:7" s="146" customFormat="1">
      <c r="A1046" s="183" t="s">
        <v>524</v>
      </c>
      <c r="B1046" s="195" t="str">
        <f ca="1">IF(OFFSET('IWP26'!Std3LicenseInfo, 9, 0, 1, 1) = 0, "", OFFSET('IWP26'!Std3LicenseInfo, 9, 0, 1, 1))</f>
        <v/>
      </c>
      <c r="C1046" s="195" t="str">
        <f ca="1">IF(OFFSET('IWP26'!Std3LicenseInfo, 9, 3, 1, 1) = 0, "", OFFSET('IWP26'!Std3LicenseInfo, 9, 3, 1, 1))</f>
        <v/>
      </c>
      <c r="D1046" s="195" t="str">
        <f ca="1">IF(OFFSET('IWP26'!Std3LicenseInfo, 9, 6, 1, 1) = 0, "", OFFSET('IWP26'!Std3LicenseInfo, 9, 6, 1, 1))</f>
        <v/>
      </c>
      <c r="E1046" s="172">
        <f ca="1">IF(OFFSET('IWP26'!Std3LicenseInfo, 9, 9, 1, 1)=DATE(1900,1,0), DATE(1900,1,1), OFFSET('IWP26'!Std3LicenseInfo, 9, 9, 1, 1))</f>
        <v>1</v>
      </c>
      <c r="F1046" s="172">
        <f ca="1">IF(OFFSET('IWP26'!Std3LicenseInfo, 9, 10, 1, 1)=DATE(1900,1,0), DATE(1900,1,1), OFFSET('IWP26'!Std3LicenseInfo, 9, 10, 1, 1))</f>
        <v>1</v>
      </c>
      <c r="G1046" s="194" t="str">
        <f ca="1">IF(OFFSET('IWP26'!Std3LicenseInfo, 9, 11, 1, 1) = 0, "", OFFSET('IWP26'!Std3LicenseInfo, 9, 11, 1, 1))</f>
        <v/>
      </c>
    </row>
    <row r="1047" spans="1:7" s="146" customFormat="1">
      <c r="A1047" s="183" t="s">
        <v>524</v>
      </c>
      <c r="B1047" s="195" t="str">
        <f ca="1">IF(OFFSET('IWP26'!Std3LicenseInfo, 10, 0, 1, 1) = 0, "", OFFSET('IWP26'!Std3LicenseInfo, 10, 0, 1, 1))</f>
        <v/>
      </c>
      <c r="C1047" s="195" t="str">
        <f ca="1">IF(OFFSET('IWP26'!Std3LicenseInfo, 10, 3, 1, 1) = 0, "", OFFSET('IWP26'!Std3LicenseInfo, 10, 3, 1, 1))</f>
        <v/>
      </c>
      <c r="D1047" s="195" t="str">
        <f ca="1">IF(OFFSET('IWP26'!Std3LicenseInfo, 10, 6, 1, 1) = 0, "", OFFSET('IWP26'!Std3LicenseInfo, 10, 6, 1, 1))</f>
        <v/>
      </c>
      <c r="E1047" s="172">
        <f ca="1">IF(OFFSET('IWP26'!Std3LicenseInfo, 10, 9, 1, 1)=DATE(1900,1,0), DATE(1900,1,1), OFFSET('IWP26'!Std3LicenseInfo, 10, 9, 1, 1))</f>
        <v>1</v>
      </c>
      <c r="F1047" s="172">
        <f ca="1">IF(OFFSET('IWP26'!Std3LicenseInfo, 10, 10, 1, 1)=DATE(1900,1,0), DATE(1900,1,1), OFFSET('IWP26'!Std3LicenseInfo, 10, 10, 1, 1))</f>
        <v>1</v>
      </c>
      <c r="G1047" s="194" t="str">
        <f ca="1">IF(OFFSET('IWP26'!Std3LicenseInfo, 10, 11, 1, 1) = 0, "", OFFSET('IWP26'!Std3LicenseInfo, 10, 11, 1, 1))</f>
        <v/>
      </c>
    </row>
    <row r="1048" spans="1:7" s="146" customFormat="1">
      <c r="A1048" s="183" t="s">
        <v>524</v>
      </c>
      <c r="B1048" s="195" t="str">
        <f ca="1">IF(OFFSET('IWP26'!Std3LicenseInfo, 11, 0, 1, 1) = 0, "", OFFSET('IWP26'!Std3LicenseInfo, 11, 0, 1, 1))</f>
        <v/>
      </c>
      <c r="C1048" s="195" t="str">
        <f ca="1">IF(OFFSET('IWP26'!Std3LicenseInfo, 11, 3, 1, 1) = 0, "", OFFSET('IWP26'!Std3LicenseInfo, 11, 3, 1, 1))</f>
        <v/>
      </c>
      <c r="D1048" s="195" t="str">
        <f ca="1">IF(OFFSET('IWP26'!Std3LicenseInfo, 11, 6, 1, 1) = 0, "", OFFSET('IWP26'!Std3LicenseInfo, 11, 6, 1, 1))</f>
        <v/>
      </c>
      <c r="E1048" s="172">
        <f ca="1">IF(OFFSET('IWP26'!Std3LicenseInfo, 11, 9, 1, 1)=DATE(1900,1,0), DATE(1900,1,1), OFFSET('IWP26'!Std3LicenseInfo, 11, 9, 1, 1))</f>
        <v>1</v>
      </c>
      <c r="F1048" s="172">
        <f ca="1">IF(OFFSET('IWP26'!Std3LicenseInfo, 11, 10, 1, 1)=DATE(1900,1,0), DATE(1900,1,1), OFFSET('IWP26'!Std3LicenseInfo, 11, 10, 1, 1))</f>
        <v>1</v>
      </c>
      <c r="G1048" s="194" t="str">
        <f ca="1">IF(OFFSET('IWP26'!Std3LicenseInfo, 11, 11, 1, 1) = 0, "", OFFSET('IWP26'!Std3LicenseInfo, 11, 11, 1, 1))</f>
        <v/>
      </c>
    </row>
    <row r="1049" spans="1:7" s="146" customFormat="1">
      <c r="A1049" s="183" t="s">
        <v>524</v>
      </c>
      <c r="B1049" s="195" t="str">
        <f ca="1">IF(OFFSET('IWP26'!Std3LicenseInfo, 12, 0, 1, 1) = 0, "", OFFSET('IWP26'!Std3LicenseInfo, 12, 0, 1, 1))</f>
        <v/>
      </c>
      <c r="C1049" s="195" t="str">
        <f ca="1">IF(OFFSET('IWP26'!Std3LicenseInfo, 12, 3, 1, 1) = 0, "", OFFSET('IWP26'!Std3LicenseInfo, 12, 3, 1, 1))</f>
        <v/>
      </c>
      <c r="D1049" s="195" t="str">
        <f ca="1">IF(OFFSET('IWP26'!Std3LicenseInfo, 12, 6, 1, 1) = 0, "", OFFSET('IWP26'!Std3LicenseInfo, 12, 6, 1, 1))</f>
        <v/>
      </c>
      <c r="E1049" s="172">
        <f ca="1">IF(OFFSET('IWP26'!Std3LicenseInfo, 12, 9, 1, 1)=DATE(1900,1,0), DATE(1900,1,1), OFFSET('IWP26'!Std3LicenseInfo, 12, 9, 1, 1))</f>
        <v>1</v>
      </c>
      <c r="F1049" s="172">
        <f ca="1">IF(OFFSET('IWP26'!Std3LicenseInfo, 12, 10, 1, 1)=DATE(1900,1,0), DATE(1900,1,1), OFFSET('IWP26'!Std3LicenseInfo, 12, 10, 1, 1))</f>
        <v>1</v>
      </c>
      <c r="G1049" s="194" t="str">
        <f ca="1">IF(OFFSET('IWP26'!Std3LicenseInfo, 12, 11, 1, 1) = 0, "", OFFSET('IWP26'!Std3LicenseInfo, 12, 11, 1, 1))</f>
        <v/>
      </c>
    </row>
    <row r="1050" spans="1:7" s="146" customFormat="1">
      <c r="A1050" s="183" t="s">
        <v>524</v>
      </c>
      <c r="B1050" s="195" t="str">
        <f ca="1">IF(OFFSET('IWP26'!Std3LicenseInfo, 13, 0, 1, 1) = 0, "", OFFSET('IWP26'!Std3LicenseInfo, 13, 0, 1, 1))</f>
        <v/>
      </c>
      <c r="C1050" s="195" t="str">
        <f ca="1">IF(OFFSET('IWP26'!Std3LicenseInfo, 13, 3, 1, 1) = 0, "", OFFSET('IWP26'!Std3LicenseInfo, 13, 3, 1, 1))</f>
        <v/>
      </c>
      <c r="D1050" s="195" t="str">
        <f ca="1">IF(OFFSET('IWP26'!Std3LicenseInfo, 13, 6, 1, 1) = 0, "", OFFSET('IWP26'!Std3LicenseInfo, 13, 6, 1, 1))</f>
        <v/>
      </c>
      <c r="E1050" s="172">
        <f ca="1">IF(OFFSET('IWP26'!Std3LicenseInfo, 13, 9, 1, 1)=DATE(1900,1,0), DATE(1900,1,1), OFFSET('IWP26'!Std3LicenseInfo, 13, 9, 1, 1))</f>
        <v>1</v>
      </c>
      <c r="F1050" s="172">
        <f ca="1">IF(OFFSET('IWP26'!Std3LicenseInfo, 13, 10, 1, 1)=DATE(1900,1,0), DATE(1900,1,1), OFFSET('IWP26'!Std3LicenseInfo, 13, 10, 1, 1))</f>
        <v>1</v>
      </c>
      <c r="G1050" s="194" t="str">
        <f ca="1">IF(OFFSET('IWP26'!Std3LicenseInfo, 13, 11, 1, 1) = 0, "", OFFSET('IWP26'!Std3LicenseInfo, 13, 11, 1, 1))</f>
        <v/>
      </c>
    </row>
    <row r="1051" spans="1:7" s="146" customFormat="1">
      <c r="A1051" s="183" t="s">
        <v>525</v>
      </c>
      <c r="B1051" s="195" t="str">
        <f ca="1">IF(OFFSET('IWP27'!Std3LicenseInfo, 0, 0, 1, 1) = 0, "", OFFSET('IWP27'!Std3LicenseInfo, 0, 0, 1, 1))</f>
        <v/>
      </c>
      <c r="C1051" s="195" t="str">
        <f ca="1">IF(OFFSET('IWP27'!Std3LicenseInfo, 0, 3, 1, 1) = 0, "", OFFSET('IWP27'!Std3LicenseInfo, 0, 3, 1, 1))</f>
        <v/>
      </c>
      <c r="D1051" s="195" t="str">
        <f ca="1">IF(OFFSET('IWP27'!Std3LicenseInfo, 0, 6, 1, 1) = 0, "", OFFSET('IWP27'!Std3LicenseInfo, 0, 6, 1, 1))</f>
        <v/>
      </c>
      <c r="E1051" s="172">
        <f ca="1">IF(OFFSET('IWP27'!Std3LicenseInfo, 0, 9, 1, 1)=DATE(1900,1,0), DATE(1900,1,1), OFFSET('IWP27'!Std3LicenseInfo, 0, 9, 1, 1))</f>
        <v>1</v>
      </c>
      <c r="F1051" s="172">
        <f ca="1">IF(OFFSET('IWP27'!Std3LicenseInfo, 0, 10, 1, 1)=DATE(1900,1,0), DATE(1900,1,1), OFFSET('IWP27'!Std3LicenseInfo, 0, 10, 1, 1))</f>
        <v>1</v>
      </c>
      <c r="G1051" s="194" t="str">
        <f ca="1">IF(OFFSET('IWP27'!Std3LicenseInfo, 0, 11, 1, 1) = 0, "", OFFSET('IWP27'!Std3LicenseInfo, 0, 11, 1, 1))</f>
        <v/>
      </c>
    </row>
    <row r="1052" spans="1:7" s="146" customFormat="1">
      <c r="A1052" s="183" t="s">
        <v>525</v>
      </c>
      <c r="B1052" s="195" t="str">
        <f ca="1">IF(OFFSET('IWP27'!Std3LicenseInfo, 1, 0, 1, 1) = 0, "", OFFSET('IWP27'!Std3LicenseInfo, 1, 0, 1, 1))</f>
        <v/>
      </c>
      <c r="C1052" s="195" t="str">
        <f ca="1">IF(OFFSET('IWP27'!Std3LicenseInfo, 1, 3, 1, 1) = 0, "", OFFSET('IWP27'!Std3LicenseInfo, 1, 3, 1, 1))</f>
        <v/>
      </c>
      <c r="D1052" s="195" t="str">
        <f ca="1">IF(OFFSET('IWP27'!Std3LicenseInfo, 1, 6, 1, 1) = 0, "", OFFSET('IWP27'!Std3LicenseInfo, 1, 6, 1, 1))</f>
        <v/>
      </c>
      <c r="E1052" s="172">
        <f ca="1">IF(OFFSET('IWP27'!Std3LicenseInfo, 1, 9, 1, 1)=DATE(1900,1,0), DATE(1900,1,1), OFFSET('IWP27'!Std3LicenseInfo, 1, 9, 1, 1))</f>
        <v>1</v>
      </c>
      <c r="F1052" s="172">
        <f ca="1">IF(OFFSET('IWP27'!Std3LicenseInfo, 1, 10, 1, 1)=DATE(1900,1,0), DATE(1900,1,1), OFFSET('IWP27'!Std3LicenseInfo, 1, 10, 1, 1))</f>
        <v>1</v>
      </c>
      <c r="G1052" s="194" t="str">
        <f ca="1">IF(OFFSET('IWP27'!Std3LicenseInfo, 1, 11, 1, 1) = 0, "", OFFSET('IWP27'!Std3LicenseInfo, 1, 11, 1, 1))</f>
        <v/>
      </c>
    </row>
    <row r="1053" spans="1:7" s="146" customFormat="1">
      <c r="A1053" s="183" t="s">
        <v>525</v>
      </c>
      <c r="B1053" s="195" t="str">
        <f ca="1">IF(OFFSET('IWP27'!Std3LicenseInfo, 2, 0, 1, 1) = 0, "", OFFSET('IWP27'!Std3LicenseInfo, 2, 0, 1, 1))</f>
        <v/>
      </c>
      <c r="C1053" s="195" t="str">
        <f ca="1">IF(OFFSET('IWP27'!Std3LicenseInfo, 2, 3, 1, 1) = 0, "", OFFSET('IWP27'!Std3LicenseInfo, 2, 3, 1, 1))</f>
        <v/>
      </c>
      <c r="D1053" s="195" t="str">
        <f ca="1">IF(OFFSET('IWP27'!Std3LicenseInfo, 2, 6, 1, 1) = 0, "", OFFSET('IWP27'!Std3LicenseInfo, 2, 6, 1, 1))</f>
        <v/>
      </c>
      <c r="E1053" s="172">
        <f ca="1">IF(OFFSET('IWP27'!Std3LicenseInfo, 2, 9, 1, 1)=DATE(1900,1,0), DATE(1900,1,1), OFFSET('IWP27'!Std3LicenseInfo, 2, 9, 1, 1))</f>
        <v>1</v>
      </c>
      <c r="F1053" s="172">
        <f ca="1">IF(OFFSET('IWP27'!Std3LicenseInfo, 2, 10, 1, 1)=DATE(1900,1,0), DATE(1900,1,1), OFFSET('IWP27'!Std3LicenseInfo, 2, 10, 1, 1))</f>
        <v>1</v>
      </c>
      <c r="G1053" s="194" t="str">
        <f ca="1">IF(OFFSET('IWP27'!Std3LicenseInfo, 2, 11, 1, 1) = 0, "", OFFSET('IWP27'!Std3LicenseInfo, 2, 11, 1, 1))</f>
        <v/>
      </c>
    </row>
    <row r="1054" spans="1:7" s="146" customFormat="1">
      <c r="A1054" s="183" t="s">
        <v>525</v>
      </c>
      <c r="B1054" s="195" t="str">
        <f ca="1">IF(OFFSET('IWP27'!Std3LicenseInfo, 3, 0, 1, 1) = 0, "", OFFSET('IWP27'!Std3LicenseInfo, 3, 0, 1, 1))</f>
        <v/>
      </c>
      <c r="C1054" s="195" t="str">
        <f ca="1">IF(OFFSET('IWP27'!Std3LicenseInfo, 3, 3, 1, 1) = 0, "", OFFSET('IWP27'!Std3LicenseInfo, 3, 3, 1, 1))</f>
        <v/>
      </c>
      <c r="D1054" s="195" t="str">
        <f ca="1">IF(OFFSET('IWP27'!Std3LicenseInfo, 3, 6, 1, 1) = 0, "", OFFSET('IWP27'!Std3LicenseInfo, 3, 6, 1, 1))</f>
        <v/>
      </c>
      <c r="E1054" s="172">
        <f ca="1">IF(OFFSET('IWP27'!Std3LicenseInfo, 3, 9, 1, 1)=DATE(1900,1,0), DATE(1900,1,1), OFFSET('IWP27'!Std3LicenseInfo, 3, 9, 1, 1))</f>
        <v>1</v>
      </c>
      <c r="F1054" s="172">
        <f ca="1">IF(OFFSET('IWP27'!Std3LicenseInfo, 3, 10, 1, 1)=DATE(1900,1,0), DATE(1900,1,1), OFFSET('IWP27'!Std3LicenseInfo, 3, 10, 1, 1))</f>
        <v>1</v>
      </c>
      <c r="G1054" s="194" t="str">
        <f ca="1">IF(OFFSET('IWP27'!Std3LicenseInfo, 3, 11, 1, 1) = 0, "", OFFSET('IWP27'!Std3LicenseInfo, 3, 11, 1, 1))</f>
        <v/>
      </c>
    </row>
    <row r="1055" spans="1:7" s="146" customFormat="1">
      <c r="A1055" s="183" t="s">
        <v>525</v>
      </c>
      <c r="B1055" s="195" t="str">
        <f ca="1">IF(OFFSET('IWP27'!Std3LicenseInfo, 4, 0, 1, 1) = 0, "", OFFSET('IWP27'!Std3LicenseInfo, 4, 0, 1, 1))</f>
        <v/>
      </c>
      <c r="C1055" s="195" t="str">
        <f ca="1">IF(OFFSET('IWP27'!Std3LicenseInfo, 4, 3, 1, 1) = 0, "", OFFSET('IWP27'!Std3LicenseInfo, 4, 3, 1, 1))</f>
        <v/>
      </c>
      <c r="D1055" s="195" t="str">
        <f ca="1">IF(OFFSET('IWP27'!Std3LicenseInfo, 4, 6, 1, 1) = 0, "", OFFSET('IWP27'!Std3LicenseInfo, 4, 6, 1, 1))</f>
        <v/>
      </c>
      <c r="E1055" s="172">
        <f ca="1">IF(OFFSET('IWP27'!Std3LicenseInfo, 4, 9, 1, 1)=DATE(1900,1,0), DATE(1900,1,1), OFFSET('IWP27'!Std3LicenseInfo, 4, 9, 1, 1))</f>
        <v>1</v>
      </c>
      <c r="F1055" s="172">
        <f ca="1">IF(OFFSET('IWP27'!Std3LicenseInfo, 4, 10, 1, 1)=DATE(1900,1,0), DATE(1900,1,1), OFFSET('IWP27'!Std3LicenseInfo, 4, 10, 1, 1))</f>
        <v>1</v>
      </c>
      <c r="G1055" s="194" t="str">
        <f ca="1">IF(OFFSET('IWP27'!Std3LicenseInfo, 4, 11, 1, 1) = 0, "", OFFSET('IWP27'!Std3LicenseInfo, 4, 11, 1, 1))</f>
        <v/>
      </c>
    </row>
    <row r="1056" spans="1:7" s="146" customFormat="1">
      <c r="A1056" s="183" t="s">
        <v>525</v>
      </c>
      <c r="B1056" s="195" t="str">
        <f ca="1">IF(OFFSET('IWP27'!Std3LicenseInfo, 5, 0, 1, 1) = 0, "", OFFSET('IWP27'!Std3LicenseInfo, 5, 0, 1, 1))</f>
        <v/>
      </c>
      <c r="C1056" s="195" t="str">
        <f ca="1">IF(OFFSET('IWP27'!Std3LicenseInfo, 5, 3, 1, 1) = 0, "", OFFSET('IWP27'!Std3LicenseInfo, 5, 3, 1, 1))</f>
        <v/>
      </c>
      <c r="D1056" s="195" t="str">
        <f ca="1">IF(OFFSET('IWP27'!Std3LicenseInfo, 5, 6, 1, 1) = 0, "", OFFSET('IWP27'!Std3LicenseInfo, 5, 6, 1, 1))</f>
        <v/>
      </c>
      <c r="E1056" s="172">
        <f ca="1">IF(OFFSET('IWP27'!Std3LicenseInfo, 5, 9, 1, 1)=DATE(1900,1,0), DATE(1900,1,1), OFFSET('IWP27'!Std3LicenseInfo, 5, 9, 1, 1))</f>
        <v>1</v>
      </c>
      <c r="F1056" s="172">
        <f ca="1">IF(OFFSET('IWP27'!Std3LicenseInfo, 5, 10, 1, 1)=DATE(1900,1,0), DATE(1900,1,1), OFFSET('IWP27'!Std3LicenseInfo, 5, 10, 1, 1))</f>
        <v>1</v>
      </c>
      <c r="G1056" s="194" t="str">
        <f ca="1">IF(OFFSET('IWP27'!Std3LicenseInfo, 5, 11, 1, 1) = 0, "", OFFSET('IWP27'!Std3LicenseInfo, 5, 11, 1, 1))</f>
        <v/>
      </c>
    </row>
    <row r="1057" spans="1:7" s="146" customFormat="1">
      <c r="A1057" s="183" t="s">
        <v>525</v>
      </c>
      <c r="B1057" s="195" t="str">
        <f ca="1">IF(OFFSET('IWP27'!Std3LicenseInfo, 6, 0, 1, 1) = 0, "", OFFSET('IWP27'!Std3LicenseInfo, 6, 0, 1, 1))</f>
        <v/>
      </c>
      <c r="C1057" s="195" t="str">
        <f ca="1">IF(OFFSET('IWP27'!Std3LicenseInfo, 6, 3, 1, 1) = 0, "", OFFSET('IWP27'!Std3LicenseInfo, 6, 3, 1, 1))</f>
        <v/>
      </c>
      <c r="D1057" s="195" t="str">
        <f ca="1">IF(OFFSET('IWP27'!Std3LicenseInfo, 6, 6, 1, 1) = 0, "", OFFSET('IWP27'!Std3LicenseInfo, 6, 6, 1, 1))</f>
        <v/>
      </c>
      <c r="E1057" s="172">
        <f ca="1">IF(OFFSET('IWP27'!Std3LicenseInfo, 6, 9, 1, 1)=DATE(1900,1,0), DATE(1900,1,1), OFFSET('IWP27'!Std3LicenseInfo, 6, 9, 1, 1))</f>
        <v>1</v>
      </c>
      <c r="F1057" s="172">
        <f ca="1">IF(OFFSET('IWP27'!Std3LicenseInfo, 6, 10, 1, 1)=DATE(1900,1,0), DATE(1900,1,1), OFFSET('IWP27'!Std3LicenseInfo, 6, 10, 1, 1))</f>
        <v>1</v>
      </c>
      <c r="G1057" s="194" t="str">
        <f ca="1">IF(OFFSET('IWP27'!Std3LicenseInfo, 6, 11, 1, 1) = 0, "", OFFSET('IWP27'!Std3LicenseInfo, 6, 11, 1, 1))</f>
        <v/>
      </c>
    </row>
    <row r="1058" spans="1:7" s="146" customFormat="1">
      <c r="A1058" s="183" t="s">
        <v>525</v>
      </c>
      <c r="B1058" s="195" t="str">
        <f ca="1">IF(OFFSET('IWP27'!Std3LicenseInfo, 7, 0, 1, 1) = 0, "", OFFSET('IWP27'!Std3LicenseInfo, 7, 0, 1, 1))</f>
        <v/>
      </c>
      <c r="C1058" s="195" t="str">
        <f ca="1">IF(OFFSET('IWP27'!Std3LicenseInfo, 7, 3, 1, 1) = 0, "", OFFSET('IWP27'!Std3LicenseInfo, 7, 3, 1, 1))</f>
        <v/>
      </c>
      <c r="D1058" s="195" t="str">
        <f ca="1">IF(OFFSET('IWP27'!Std3LicenseInfo, 7, 6, 1, 1) = 0, "", OFFSET('IWP27'!Std3LicenseInfo, 7, 6, 1, 1))</f>
        <v/>
      </c>
      <c r="E1058" s="172">
        <f ca="1">IF(OFFSET('IWP27'!Std3LicenseInfo, 7, 9, 1, 1)=DATE(1900,1,0), DATE(1900,1,1), OFFSET('IWP27'!Std3LicenseInfo, 7, 9, 1, 1))</f>
        <v>1</v>
      </c>
      <c r="F1058" s="172">
        <f ca="1">IF(OFFSET('IWP27'!Std3LicenseInfo, 7, 10, 1, 1)=DATE(1900,1,0), DATE(1900,1,1), OFFSET('IWP27'!Std3LicenseInfo, 7, 10, 1, 1))</f>
        <v>1</v>
      </c>
      <c r="G1058" s="194" t="str">
        <f ca="1">IF(OFFSET('IWP27'!Std3LicenseInfo, 7, 11, 1, 1) = 0, "", OFFSET('IWP27'!Std3LicenseInfo, 7, 11, 1, 1))</f>
        <v/>
      </c>
    </row>
    <row r="1059" spans="1:7" s="146" customFormat="1">
      <c r="A1059" s="183" t="s">
        <v>525</v>
      </c>
      <c r="B1059" s="195" t="str">
        <f ca="1">IF(OFFSET('IWP27'!Std3LicenseInfo, 8, 0, 1, 1) = 0, "", OFFSET('IWP27'!Std3LicenseInfo, 8, 0, 1, 1))</f>
        <v/>
      </c>
      <c r="C1059" s="195" t="str">
        <f ca="1">IF(OFFSET('IWP27'!Std3LicenseInfo, 8, 3, 1, 1) = 0, "", OFFSET('IWP27'!Std3LicenseInfo, 8, 3, 1, 1))</f>
        <v/>
      </c>
      <c r="D1059" s="195" t="str">
        <f ca="1">IF(OFFSET('IWP27'!Std3LicenseInfo, 8, 6, 1, 1) = 0, "", OFFSET('IWP27'!Std3LicenseInfo, 8, 6, 1, 1))</f>
        <v/>
      </c>
      <c r="E1059" s="172">
        <f ca="1">IF(OFFSET('IWP27'!Std3LicenseInfo, 8, 9, 1, 1)=DATE(1900,1,0), DATE(1900,1,1), OFFSET('IWP27'!Std3LicenseInfo, 8, 9, 1, 1))</f>
        <v>1</v>
      </c>
      <c r="F1059" s="172">
        <f ca="1">IF(OFFSET('IWP27'!Std3LicenseInfo, 8, 10, 1, 1)=DATE(1900,1,0), DATE(1900,1,1), OFFSET('IWP27'!Std3LicenseInfo, 8, 10, 1, 1))</f>
        <v>1</v>
      </c>
      <c r="G1059" s="194" t="str">
        <f ca="1">IF(OFFSET('IWP27'!Std3LicenseInfo, 8, 11, 1, 1) = 0, "", OFFSET('IWP27'!Std3LicenseInfo, 8, 11, 1, 1))</f>
        <v/>
      </c>
    </row>
    <row r="1060" spans="1:7" s="146" customFormat="1">
      <c r="A1060" s="183" t="s">
        <v>525</v>
      </c>
      <c r="B1060" s="195" t="str">
        <f ca="1">IF(OFFSET('IWP27'!Std3LicenseInfo, 9, 0, 1, 1) = 0, "", OFFSET('IWP27'!Std3LicenseInfo, 9, 0, 1, 1))</f>
        <v/>
      </c>
      <c r="C1060" s="195" t="str">
        <f ca="1">IF(OFFSET('IWP27'!Std3LicenseInfo, 9, 3, 1, 1) = 0, "", OFFSET('IWP27'!Std3LicenseInfo, 9, 3, 1, 1))</f>
        <v/>
      </c>
      <c r="D1060" s="195" t="str">
        <f ca="1">IF(OFFSET('IWP27'!Std3LicenseInfo, 9, 6, 1, 1) = 0, "", OFFSET('IWP27'!Std3LicenseInfo, 9, 6, 1, 1))</f>
        <v/>
      </c>
      <c r="E1060" s="172">
        <f ca="1">IF(OFFSET('IWP27'!Std3LicenseInfo, 9, 9, 1, 1)=DATE(1900,1,0), DATE(1900,1,1), OFFSET('IWP27'!Std3LicenseInfo, 9, 9, 1, 1))</f>
        <v>1</v>
      </c>
      <c r="F1060" s="172">
        <f ca="1">IF(OFFSET('IWP27'!Std3LicenseInfo, 9, 10, 1, 1)=DATE(1900,1,0), DATE(1900,1,1), OFFSET('IWP27'!Std3LicenseInfo, 9, 10, 1, 1))</f>
        <v>1</v>
      </c>
      <c r="G1060" s="194" t="str">
        <f ca="1">IF(OFFSET('IWP27'!Std3LicenseInfo, 9, 11, 1, 1) = 0, "", OFFSET('IWP27'!Std3LicenseInfo, 9, 11, 1, 1))</f>
        <v/>
      </c>
    </row>
    <row r="1061" spans="1:7" s="146" customFormat="1">
      <c r="A1061" s="183" t="s">
        <v>525</v>
      </c>
      <c r="B1061" s="195" t="str">
        <f ca="1">IF(OFFSET('IWP27'!Std3LicenseInfo, 10, 0, 1, 1) = 0, "", OFFSET('IWP27'!Std3LicenseInfo, 10, 0, 1, 1))</f>
        <v/>
      </c>
      <c r="C1061" s="195" t="str">
        <f ca="1">IF(OFFSET('IWP27'!Std3LicenseInfo, 10, 3, 1, 1) = 0, "", OFFSET('IWP27'!Std3LicenseInfo, 10, 3, 1, 1))</f>
        <v/>
      </c>
      <c r="D1061" s="195" t="str">
        <f ca="1">IF(OFFSET('IWP27'!Std3LicenseInfo, 10, 6, 1, 1) = 0, "", OFFSET('IWP27'!Std3LicenseInfo, 10, 6, 1, 1))</f>
        <v/>
      </c>
      <c r="E1061" s="172">
        <f ca="1">IF(OFFSET('IWP27'!Std3LicenseInfo, 10, 9, 1, 1)=DATE(1900,1,0), DATE(1900,1,1), OFFSET('IWP27'!Std3LicenseInfo, 10, 9, 1, 1))</f>
        <v>1</v>
      </c>
      <c r="F1061" s="172">
        <f ca="1">IF(OFFSET('IWP27'!Std3LicenseInfo, 10, 10, 1, 1)=DATE(1900,1,0), DATE(1900,1,1), OFFSET('IWP27'!Std3LicenseInfo, 10, 10, 1, 1))</f>
        <v>1</v>
      </c>
      <c r="G1061" s="194" t="str">
        <f ca="1">IF(OFFSET('IWP27'!Std3LicenseInfo, 10, 11, 1, 1) = 0, "", OFFSET('IWP27'!Std3LicenseInfo, 10, 11, 1, 1))</f>
        <v/>
      </c>
    </row>
    <row r="1062" spans="1:7" s="146" customFormat="1">
      <c r="A1062" s="183" t="s">
        <v>525</v>
      </c>
      <c r="B1062" s="195" t="str">
        <f ca="1">IF(OFFSET('IWP27'!Std3LicenseInfo, 11, 0, 1, 1) = 0, "", OFFSET('IWP27'!Std3LicenseInfo, 11, 0, 1, 1))</f>
        <v/>
      </c>
      <c r="C1062" s="195" t="str">
        <f ca="1">IF(OFFSET('IWP27'!Std3LicenseInfo, 11, 3, 1, 1) = 0, "", OFFSET('IWP27'!Std3LicenseInfo, 11, 3, 1, 1))</f>
        <v/>
      </c>
      <c r="D1062" s="195" t="str">
        <f ca="1">IF(OFFSET('IWP27'!Std3LicenseInfo, 11, 6, 1, 1) = 0, "", OFFSET('IWP27'!Std3LicenseInfo, 11, 6, 1, 1))</f>
        <v/>
      </c>
      <c r="E1062" s="172">
        <f ca="1">IF(OFFSET('IWP27'!Std3LicenseInfo, 11, 9, 1, 1)=DATE(1900,1,0), DATE(1900,1,1), OFFSET('IWP27'!Std3LicenseInfo, 11, 9, 1, 1))</f>
        <v>1</v>
      </c>
      <c r="F1062" s="172">
        <f ca="1">IF(OFFSET('IWP27'!Std3LicenseInfo, 11, 10, 1, 1)=DATE(1900,1,0), DATE(1900,1,1), OFFSET('IWP27'!Std3LicenseInfo, 11, 10, 1, 1))</f>
        <v>1</v>
      </c>
      <c r="G1062" s="194" t="str">
        <f ca="1">IF(OFFSET('IWP27'!Std3LicenseInfo, 11, 11, 1, 1) = 0, "", OFFSET('IWP27'!Std3LicenseInfo, 11, 11, 1, 1))</f>
        <v/>
      </c>
    </row>
    <row r="1063" spans="1:7" s="146" customFormat="1">
      <c r="A1063" s="183" t="s">
        <v>525</v>
      </c>
      <c r="B1063" s="195" t="str">
        <f ca="1">IF(OFFSET('IWP27'!Std3LicenseInfo, 12, 0, 1, 1) = 0, "", OFFSET('IWP27'!Std3LicenseInfo, 12, 0, 1, 1))</f>
        <v/>
      </c>
      <c r="C1063" s="195" t="str">
        <f ca="1">IF(OFFSET('IWP27'!Std3LicenseInfo, 12, 3, 1, 1) = 0, "", OFFSET('IWP27'!Std3LicenseInfo, 12, 3, 1, 1))</f>
        <v/>
      </c>
      <c r="D1063" s="195" t="str">
        <f ca="1">IF(OFFSET('IWP27'!Std3LicenseInfo, 12, 6, 1, 1) = 0, "", OFFSET('IWP27'!Std3LicenseInfo, 12, 6, 1, 1))</f>
        <v/>
      </c>
      <c r="E1063" s="172">
        <f ca="1">IF(OFFSET('IWP27'!Std3LicenseInfo, 12, 9, 1, 1)=DATE(1900,1,0), DATE(1900,1,1), OFFSET('IWP27'!Std3LicenseInfo, 12, 9, 1, 1))</f>
        <v>1</v>
      </c>
      <c r="F1063" s="172">
        <f ca="1">IF(OFFSET('IWP27'!Std3LicenseInfo, 12, 10, 1, 1)=DATE(1900,1,0), DATE(1900,1,1), OFFSET('IWP27'!Std3LicenseInfo, 12, 10, 1, 1))</f>
        <v>1</v>
      </c>
      <c r="G1063" s="194" t="str">
        <f ca="1">IF(OFFSET('IWP27'!Std3LicenseInfo, 12, 11, 1, 1) = 0, "", OFFSET('IWP27'!Std3LicenseInfo, 12, 11, 1, 1))</f>
        <v/>
      </c>
    </row>
    <row r="1064" spans="1:7" s="146" customFormat="1">
      <c r="A1064" s="183" t="s">
        <v>525</v>
      </c>
      <c r="B1064" s="195" t="str">
        <f ca="1">IF(OFFSET('IWP27'!Std3LicenseInfo, 13, 0, 1, 1) = 0, "", OFFSET('IWP27'!Std3LicenseInfo, 13, 0, 1, 1))</f>
        <v/>
      </c>
      <c r="C1064" s="195" t="str">
        <f ca="1">IF(OFFSET('IWP27'!Std3LicenseInfo, 13, 3, 1, 1) = 0, "", OFFSET('IWP27'!Std3LicenseInfo, 13, 3, 1, 1))</f>
        <v/>
      </c>
      <c r="D1064" s="195" t="str">
        <f ca="1">IF(OFFSET('IWP27'!Std3LicenseInfo, 13, 6, 1, 1) = 0, "", OFFSET('IWP27'!Std3LicenseInfo, 13, 6, 1, 1))</f>
        <v/>
      </c>
      <c r="E1064" s="172">
        <f ca="1">IF(OFFSET('IWP27'!Std3LicenseInfo, 13, 9, 1, 1)=DATE(1900,1,0), DATE(1900,1,1), OFFSET('IWP27'!Std3LicenseInfo, 13, 9, 1, 1))</f>
        <v>1</v>
      </c>
      <c r="F1064" s="172">
        <f ca="1">IF(OFFSET('IWP27'!Std3LicenseInfo, 13, 10, 1, 1)=DATE(1900,1,0), DATE(1900,1,1), OFFSET('IWP27'!Std3LicenseInfo, 13, 10, 1, 1))</f>
        <v>1</v>
      </c>
      <c r="G1064" s="194" t="str">
        <f ca="1">IF(OFFSET('IWP27'!Std3LicenseInfo, 13, 11, 1, 1) = 0, "", OFFSET('IWP27'!Std3LicenseInfo, 13, 11, 1, 1))</f>
        <v/>
      </c>
    </row>
    <row r="1065" spans="1:7" s="146" customFormat="1">
      <c r="A1065" s="183" t="s">
        <v>526</v>
      </c>
      <c r="B1065" s="195" t="str">
        <f ca="1">IF(OFFSET('IWP28'!Std3LicenseInfo, 0, 0, 1, 1) = 0, "", OFFSET('IWP28'!Std3LicenseInfo, 0, 0, 1, 1))</f>
        <v/>
      </c>
      <c r="C1065" s="195" t="str">
        <f ca="1">IF(OFFSET('IWP28'!Std3LicenseInfo, 0, 3, 1, 1) = 0, "", OFFSET('IWP28'!Std3LicenseInfo, 0, 3, 1, 1))</f>
        <v/>
      </c>
      <c r="D1065" s="195" t="str">
        <f ca="1">IF(OFFSET('IWP28'!Std3LicenseInfo, 0, 6, 1, 1) = 0, "", OFFSET('IWP28'!Std3LicenseInfo, 0, 6, 1, 1))</f>
        <v/>
      </c>
      <c r="E1065" s="172">
        <f ca="1">IF(OFFSET('IWP28'!Std3LicenseInfo, 0, 9, 1, 1)=DATE(1900,1,0), DATE(1900,1,1), OFFSET('IWP28'!Std3LicenseInfo, 0, 9, 1, 1))</f>
        <v>1</v>
      </c>
      <c r="F1065" s="172">
        <f ca="1">IF(OFFSET('IWP28'!Std3LicenseInfo, 0, 10, 1, 1)=DATE(1900,1,0), DATE(1900,1,1), OFFSET('IWP28'!Std3LicenseInfo, 0, 10, 1, 1))</f>
        <v>1</v>
      </c>
      <c r="G1065" s="194" t="str">
        <f ca="1">IF(OFFSET('IWP28'!Std3LicenseInfo, 0, 11, 1, 1) = 0, "", OFFSET('IWP28'!Std3LicenseInfo, 0, 11, 1, 1))</f>
        <v/>
      </c>
    </row>
    <row r="1066" spans="1:7" s="146" customFormat="1">
      <c r="A1066" s="183" t="s">
        <v>526</v>
      </c>
      <c r="B1066" s="195" t="str">
        <f ca="1">IF(OFFSET('IWP28'!Std3LicenseInfo, 1, 0, 1, 1) = 0, "", OFFSET('IWP28'!Std3LicenseInfo, 1, 0, 1, 1))</f>
        <v/>
      </c>
      <c r="C1066" s="195" t="str">
        <f ca="1">IF(OFFSET('IWP28'!Std3LicenseInfo, 1, 3, 1, 1) = 0, "", OFFSET('IWP28'!Std3LicenseInfo, 1, 3, 1, 1))</f>
        <v/>
      </c>
      <c r="D1066" s="195" t="str">
        <f ca="1">IF(OFFSET('IWP28'!Std3LicenseInfo, 1, 6, 1, 1) = 0, "", OFFSET('IWP28'!Std3LicenseInfo, 1, 6, 1, 1))</f>
        <v/>
      </c>
      <c r="E1066" s="172">
        <f ca="1">IF(OFFSET('IWP28'!Std3LicenseInfo, 1, 9, 1, 1)=DATE(1900,1,0), DATE(1900,1,1), OFFSET('IWP28'!Std3LicenseInfo, 1, 9, 1, 1))</f>
        <v>1</v>
      </c>
      <c r="F1066" s="172">
        <f ca="1">IF(OFFSET('IWP28'!Std3LicenseInfo, 1, 10, 1, 1)=DATE(1900,1,0), DATE(1900,1,1), OFFSET('IWP28'!Std3LicenseInfo, 1, 10, 1, 1))</f>
        <v>1</v>
      </c>
      <c r="G1066" s="194" t="str">
        <f ca="1">IF(OFFSET('IWP28'!Std3LicenseInfo, 1, 11, 1, 1) = 0, "", OFFSET('IWP28'!Std3LicenseInfo, 1, 11, 1, 1))</f>
        <v/>
      </c>
    </row>
    <row r="1067" spans="1:7" s="146" customFormat="1">
      <c r="A1067" s="183" t="s">
        <v>526</v>
      </c>
      <c r="B1067" s="195" t="str">
        <f ca="1">IF(OFFSET('IWP28'!Std3LicenseInfo, 2, 0, 1, 1) = 0, "", OFFSET('IWP28'!Std3LicenseInfo, 2, 0, 1, 1))</f>
        <v/>
      </c>
      <c r="C1067" s="195" t="str">
        <f ca="1">IF(OFFSET('IWP28'!Std3LicenseInfo, 2, 3, 1, 1) = 0, "", OFFSET('IWP28'!Std3LicenseInfo, 2, 3, 1, 1))</f>
        <v/>
      </c>
      <c r="D1067" s="195" t="str">
        <f ca="1">IF(OFFSET('IWP28'!Std3LicenseInfo, 2, 6, 1, 1) = 0, "", OFFSET('IWP28'!Std3LicenseInfo, 2, 6, 1, 1))</f>
        <v/>
      </c>
      <c r="E1067" s="172">
        <f ca="1">IF(OFFSET('IWP28'!Std3LicenseInfo, 2, 9, 1, 1)=DATE(1900,1,0), DATE(1900,1,1), OFFSET('IWP28'!Std3LicenseInfo, 2, 9, 1, 1))</f>
        <v>1</v>
      </c>
      <c r="F1067" s="172">
        <f ca="1">IF(OFFSET('IWP28'!Std3LicenseInfo, 2, 10, 1, 1)=DATE(1900,1,0), DATE(1900,1,1), OFFSET('IWP28'!Std3LicenseInfo, 2, 10, 1, 1))</f>
        <v>1</v>
      </c>
      <c r="G1067" s="194" t="str">
        <f ca="1">IF(OFFSET('IWP28'!Std3LicenseInfo, 2, 11, 1, 1) = 0, "", OFFSET('IWP28'!Std3LicenseInfo, 2, 11, 1, 1))</f>
        <v/>
      </c>
    </row>
    <row r="1068" spans="1:7" s="146" customFormat="1">
      <c r="A1068" s="183" t="s">
        <v>526</v>
      </c>
      <c r="B1068" s="195" t="str">
        <f ca="1">IF(OFFSET('IWP28'!Std3LicenseInfo, 3, 0, 1, 1) = 0, "", OFFSET('IWP28'!Std3LicenseInfo, 3, 0, 1, 1))</f>
        <v/>
      </c>
      <c r="C1068" s="195" t="str">
        <f ca="1">IF(OFFSET('IWP28'!Std3LicenseInfo, 3, 3, 1, 1) = 0, "", OFFSET('IWP28'!Std3LicenseInfo, 3, 3, 1, 1))</f>
        <v/>
      </c>
      <c r="D1068" s="195" t="str">
        <f ca="1">IF(OFFSET('IWP28'!Std3LicenseInfo, 3, 6, 1, 1) = 0, "", OFFSET('IWP28'!Std3LicenseInfo, 3, 6, 1, 1))</f>
        <v/>
      </c>
      <c r="E1068" s="172">
        <f ca="1">IF(OFFSET('IWP28'!Std3LicenseInfo, 3, 9, 1, 1)=DATE(1900,1,0), DATE(1900,1,1), OFFSET('IWP28'!Std3LicenseInfo, 3, 9, 1, 1))</f>
        <v>1</v>
      </c>
      <c r="F1068" s="172">
        <f ca="1">IF(OFFSET('IWP28'!Std3LicenseInfo, 3, 10, 1, 1)=DATE(1900,1,0), DATE(1900,1,1), OFFSET('IWP28'!Std3LicenseInfo, 3, 10, 1, 1))</f>
        <v>1</v>
      </c>
      <c r="G1068" s="194" t="str">
        <f ca="1">IF(OFFSET('IWP28'!Std3LicenseInfo, 3, 11, 1, 1) = 0, "", OFFSET('IWP28'!Std3LicenseInfo, 3, 11, 1, 1))</f>
        <v/>
      </c>
    </row>
    <row r="1069" spans="1:7" s="146" customFormat="1">
      <c r="A1069" s="183" t="s">
        <v>526</v>
      </c>
      <c r="B1069" s="195" t="str">
        <f ca="1">IF(OFFSET('IWP28'!Std3LicenseInfo, 4, 0, 1, 1) = 0, "", OFFSET('IWP28'!Std3LicenseInfo, 4, 0, 1, 1))</f>
        <v/>
      </c>
      <c r="C1069" s="195" t="str">
        <f ca="1">IF(OFFSET('IWP28'!Std3LicenseInfo, 4, 3, 1, 1) = 0, "", OFFSET('IWP28'!Std3LicenseInfo, 4, 3, 1, 1))</f>
        <v/>
      </c>
      <c r="D1069" s="195" t="str">
        <f ca="1">IF(OFFSET('IWP28'!Std3LicenseInfo, 4, 6, 1, 1) = 0, "", OFFSET('IWP28'!Std3LicenseInfo, 4, 6, 1, 1))</f>
        <v/>
      </c>
      <c r="E1069" s="172">
        <f ca="1">IF(OFFSET('IWP28'!Std3LicenseInfo, 4, 9, 1, 1)=DATE(1900,1,0), DATE(1900,1,1), OFFSET('IWP28'!Std3LicenseInfo, 4, 9, 1, 1))</f>
        <v>1</v>
      </c>
      <c r="F1069" s="172">
        <f ca="1">IF(OFFSET('IWP28'!Std3LicenseInfo, 4, 10, 1, 1)=DATE(1900,1,0), DATE(1900,1,1), OFFSET('IWP28'!Std3LicenseInfo, 4, 10, 1, 1))</f>
        <v>1</v>
      </c>
      <c r="G1069" s="194" t="str">
        <f ca="1">IF(OFFSET('IWP28'!Std3LicenseInfo, 4, 11, 1, 1) = 0, "", OFFSET('IWP28'!Std3LicenseInfo, 4, 11, 1, 1))</f>
        <v/>
      </c>
    </row>
    <row r="1070" spans="1:7" s="146" customFormat="1">
      <c r="A1070" s="183" t="s">
        <v>526</v>
      </c>
      <c r="B1070" s="195" t="str">
        <f ca="1">IF(OFFSET('IWP28'!Std3LicenseInfo, 5, 0, 1, 1) = 0, "", OFFSET('IWP28'!Std3LicenseInfo, 5, 0, 1, 1))</f>
        <v/>
      </c>
      <c r="C1070" s="195" t="str">
        <f ca="1">IF(OFFSET('IWP28'!Std3LicenseInfo, 5, 3, 1, 1) = 0, "", OFFSET('IWP28'!Std3LicenseInfo, 5, 3, 1, 1))</f>
        <v/>
      </c>
      <c r="D1070" s="195" t="str">
        <f ca="1">IF(OFFSET('IWP28'!Std3LicenseInfo, 5, 6, 1, 1) = 0, "", OFFSET('IWP28'!Std3LicenseInfo, 5, 6, 1, 1))</f>
        <v/>
      </c>
      <c r="E1070" s="172">
        <f ca="1">IF(OFFSET('IWP28'!Std3LicenseInfo, 5, 9, 1, 1)=DATE(1900,1,0), DATE(1900,1,1), OFFSET('IWP28'!Std3LicenseInfo, 5, 9, 1, 1))</f>
        <v>1</v>
      </c>
      <c r="F1070" s="172">
        <f ca="1">IF(OFFSET('IWP28'!Std3LicenseInfo, 5, 10, 1, 1)=DATE(1900,1,0), DATE(1900,1,1), OFFSET('IWP28'!Std3LicenseInfo, 5, 10, 1, 1))</f>
        <v>1</v>
      </c>
      <c r="G1070" s="194" t="str">
        <f ca="1">IF(OFFSET('IWP28'!Std3LicenseInfo, 5, 11, 1, 1) = 0, "", OFFSET('IWP28'!Std3LicenseInfo, 5, 11, 1, 1))</f>
        <v/>
      </c>
    </row>
    <row r="1071" spans="1:7" s="146" customFormat="1">
      <c r="A1071" s="183" t="s">
        <v>526</v>
      </c>
      <c r="B1071" s="195" t="str">
        <f ca="1">IF(OFFSET('IWP28'!Std3LicenseInfo, 6, 0, 1, 1) = 0, "", OFFSET('IWP28'!Std3LicenseInfo, 6, 0, 1, 1))</f>
        <v/>
      </c>
      <c r="C1071" s="195" t="str">
        <f ca="1">IF(OFFSET('IWP28'!Std3LicenseInfo, 6, 3, 1, 1) = 0, "", OFFSET('IWP28'!Std3LicenseInfo, 6, 3, 1, 1))</f>
        <v/>
      </c>
      <c r="D1071" s="195" t="str">
        <f ca="1">IF(OFFSET('IWP28'!Std3LicenseInfo, 6, 6, 1, 1) = 0, "", OFFSET('IWP28'!Std3LicenseInfo, 6, 6, 1, 1))</f>
        <v/>
      </c>
      <c r="E1071" s="172">
        <f ca="1">IF(OFFSET('IWP28'!Std3LicenseInfo, 6, 9, 1, 1)=DATE(1900,1,0), DATE(1900,1,1), OFFSET('IWP28'!Std3LicenseInfo, 6, 9, 1, 1))</f>
        <v>1</v>
      </c>
      <c r="F1071" s="172">
        <f ca="1">IF(OFFSET('IWP28'!Std3LicenseInfo, 6, 10, 1, 1)=DATE(1900,1,0), DATE(1900,1,1), OFFSET('IWP28'!Std3LicenseInfo, 6, 10, 1, 1))</f>
        <v>1</v>
      </c>
      <c r="G1071" s="194" t="str">
        <f ca="1">IF(OFFSET('IWP28'!Std3LicenseInfo, 6, 11, 1, 1) = 0, "", OFFSET('IWP28'!Std3LicenseInfo, 6, 11, 1, 1))</f>
        <v/>
      </c>
    </row>
    <row r="1072" spans="1:7" s="146" customFormat="1">
      <c r="A1072" s="183" t="s">
        <v>526</v>
      </c>
      <c r="B1072" s="195" t="str">
        <f ca="1">IF(OFFSET('IWP28'!Std3LicenseInfo, 7, 0, 1, 1) = 0, "", OFFSET('IWP28'!Std3LicenseInfo, 7, 0, 1, 1))</f>
        <v/>
      </c>
      <c r="C1072" s="195" t="str">
        <f ca="1">IF(OFFSET('IWP28'!Std3LicenseInfo, 7, 3, 1, 1) = 0, "", OFFSET('IWP28'!Std3LicenseInfo, 7, 3, 1, 1))</f>
        <v/>
      </c>
      <c r="D1072" s="195" t="str">
        <f ca="1">IF(OFFSET('IWP28'!Std3LicenseInfo, 7, 6, 1, 1) = 0, "", OFFSET('IWP28'!Std3LicenseInfo, 7, 6, 1, 1))</f>
        <v/>
      </c>
      <c r="E1072" s="172">
        <f ca="1">IF(OFFSET('IWP28'!Std3LicenseInfo, 7, 9, 1, 1)=DATE(1900,1,0), DATE(1900,1,1), OFFSET('IWP28'!Std3LicenseInfo, 7, 9, 1, 1))</f>
        <v>1</v>
      </c>
      <c r="F1072" s="172">
        <f ca="1">IF(OFFSET('IWP28'!Std3LicenseInfo, 7, 10, 1, 1)=DATE(1900,1,0), DATE(1900,1,1), OFFSET('IWP28'!Std3LicenseInfo, 7, 10, 1, 1))</f>
        <v>1</v>
      </c>
      <c r="G1072" s="194" t="str">
        <f ca="1">IF(OFFSET('IWP28'!Std3LicenseInfo, 7, 11, 1, 1) = 0, "", OFFSET('IWP28'!Std3LicenseInfo, 7, 11, 1, 1))</f>
        <v/>
      </c>
    </row>
    <row r="1073" spans="1:7" s="146" customFormat="1">
      <c r="A1073" s="183" t="s">
        <v>526</v>
      </c>
      <c r="B1073" s="195" t="str">
        <f ca="1">IF(OFFSET('IWP28'!Std3LicenseInfo, 8, 0, 1, 1) = 0, "", OFFSET('IWP28'!Std3LicenseInfo, 8, 0, 1, 1))</f>
        <v/>
      </c>
      <c r="C1073" s="195" t="str">
        <f ca="1">IF(OFFSET('IWP28'!Std3LicenseInfo, 8, 3, 1, 1) = 0, "", OFFSET('IWP28'!Std3LicenseInfo, 8, 3, 1, 1))</f>
        <v/>
      </c>
      <c r="D1073" s="195" t="str">
        <f ca="1">IF(OFFSET('IWP28'!Std3LicenseInfo, 8, 6, 1, 1) = 0, "", OFFSET('IWP28'!Std3LicenseInfo, 8, 6, 1, 1))</f>
        <v/>
      </c>
      <c r="E1073" s="172">
        <f ca="1">IF(OFFSET('IWP28'!Std3LicenseInfo, 8, 9, 1, 1)=DATE(1900,1,0), DATE(1900,1,1), OFFSET('IWP28'!Std3LicenseInfo, 8, 9, 1, 1))</f>
        <v>1</v>
      </c>
      <c r="F1073" s="172">
        <f ca="1">IF(OFFSET('IWP28'!Std3LicenseInfo, 8, 10, 1, 1)=DATE(1900,1,0), DATE(1900,1,1), OFFSET('IWP28'!Std3LicenseInfo, 8, 10, 1, 1))</f>
        <v>1</v>
      </c>
      <c r="G1073" s="194" t="str">
        <f ca="1">IF(OFFSET('IWP28'!Std3LicenseInfo, 8, 11, 1, 1) = 0, "", OFFSET('IWP28'!Std3LicenseInfo, 8, 11, 1, 1))</f>
        <v/>
      </c>
    </row>
    <row r="1074" spans="1:7" s="146" customFormat="1">
      <c r="A1074" s="183" t="s">
        <v>526</v>
      </c>
      <c r="B1074" s="195" t="str">
        <f ca="1">IF(OFFSET('IWP28'!Std3LicenseInfo, 9, 0, 1, 1) = 0, "", OFFSET('IWP28'!Std3LicenseInfo, 9, 0, 1, 1))</f>
        <v/>
      </c>
      <c r="C1074" s="195" t="str">
        <f ca="1">IF(OFFSET('IWP28'!Std3LicenseInfo, 9, 3, 1, 1) = 0, "", OFFSET('IWP28'!Std3LicenseInfo, 9, 3, 1, 1))</f>
        <v/>
      </c>
      <c r="D1074" s="195" t="str">
        <f ca="1">IF(OFFSET('IWP28'!Std3LicenseInfo, 9, 6, 1, 1) = 0, "", OFFSET('IWP28'!Std3LicenseInfo, 9, 6, 1, 1))</f>
        <v/>
      </c>
      <c r="E1074" s="172">
        <f ca="1">IF(OFFSET('IWP28'!Std3LicenseInfo, 9, 9, 1, 1)=DATE(1900,1,0), DATE(1900,1,1), OFFSET('IWP28'!Std3LicenseInfo, 9, 9, 1, 1))</f>
        <v>1</v>
      </c>
      <c r="F1074" s="172">
        <f ca="1">IF(OFFSET('IWP28'!Std3LicenseInfo, 9, 10, 1, 1)=DATE(1900,1,0), DATE(1900,1,1), OFFSET('IWP28'!Std3LicenseInfo, 9, 10, 1, 1))</f>
        <v>1</v>
      </c>
      <c r="G1074" s="194" t="str">
        <f ca="1">IF(OFFSET('IWP28'!Std3LicenseInfo, 9, 11, 1, 1) = 0, "", OFFSET('IWP28'!Std3LicenseInfo, 9, 11, 1, 1))</f>
        <v/>
      </c>
    </row>
    <row r="1075" spans="1:7" s="146" customFormat="1">
      <c r="A1075" s="183" t="s">
        <v>526</v>
      </c>
      <c r="B1075" s="195" t="str">
        <f ca="1">IF(OFFSET('IWP28'!Std3LicenseInfo, 10, 0, 1, 1) = 0, "", OFFSET('IWP28'!Std3LicenseInfo, 10, 0, 1, 1))</f>
        <v/>
      </c>
      <c r="C1075" s="195" t="str">
        <f ca="1">IF(OFFSET('IWP28'!Std3LicenseInfo, 10, 3, 1, 1) = 0, "", OFFSET('IWP28'!Std3LicenseInfo, 10, 3, 1, 1))</f>
        <v/>
      </c>
      <c r="D1075" s="195" t="str">
        <f ca="1">IF(OFFSET('IWP28'!Std3LicenseInfo, 10, 6, 1, 1) = 0, "", OFFSET('IWP28'!Std3LicenseInfo, 10, 6, 1, 1))</f>
        <v/>
      </c>
      <c r="E1075" s="172">
        <f ca="1">IF(OFFSET('IWP28'!Std3LicenseInfo, 10, 9, 1, 1)=DATE(1900,1,0), DATE(1900,1,1), OFFSET('IWP28'!Std3LicenseInfo, 10, 9, 1, 1))</f>
        <v>1</v>
      </c>
      <c r="F1075" s="172">
        <f ca="1">IF(OFFSET('IWP28'!Std3LicenseInfo, 10, 10, 1, 1)=DATE(1900,1,0), DATE(1900,1,1), OFFSET('IWP28'!Std3LicenseInfo, 10, 10, 1, 1))</f>
        <v>1</v>
      </c>
      <c r="G1075" s="194" t="str">
        <f ca="1">IF(OFFSET('IWP28'!Std3LicenseInfo, 10, 11, 1, 1) = 0, "", OFFSET('IWP28'!Std3LicenseInfo, 10, 11, 1, 1))</f>
        <v/>
      </c>
    </row>
    <row r="1076" spans="1:7" s="146" customFormat="1">
      <c r="A1076" s="183" t="s">
        <v>526</v>
      </c>
      <c r="B1076" s="195" t="str">
        <f ca="1">IF(OFFSET('IWP28'!Std3LicenseInfo, 11, 0, 1, 1) = 0, "", OFFSET('IWP28'!Std3LicenseInfo, 11, 0, 1, 1))</f>
        <v/>
      </c>
      <c r="C1076" s="195" t="str">
        <f ca="1">IF(OFFSET('IWP28'!Std3LicenseInfo, 11, 3, 1, 1) = 0, "", OFFSET('IWP28'!Std3LicenseInfo, 11, 3, 1, 1))</f>
        <v/>
      </c>
      <c r="D1076" s="195" t="str">
        <f ca="1">IF(OFFSET('IWP28'!Std3LicenseInfo, 11, 6, 1, 1) = 0, "", OFFSET('IWP28'!Std3LicenseInfo, 11, 6, 1, 1))</f>
        <v/>
      </c>
      <c r="E1076" s="172">
        <f ca="1">IF(OFFSET('IWP28'!Std3LicenseInfo, 11, 9, 1, 1)=DATE(1900,1,0), DATE(1900,1,1), OFFSET('IWP28'!Std3LicenseInfo, 11, 9, 1, 1))</f>
        <v>1</v>
      </c>
      <c r="F1076" s="172">
        <f ca="1">IF(OFFSET('IWP28'!Std3LicenseInfo, 11, 10, 1, 1)=DATE(1900,1,0), DATE(1900,1,1), OFFSET('IWP28'!Std3LicenseInfo, 11, 10, 1, 1))</f>
        <v>1</v>
      </c>
      <c r="G1076" s="194" t="str">
        <f ca="1">IF(OFFSET('IWP28'!Std3LicenseInfo, 11, 11, 1, 1) = 0, "", OFFSET('IWP28'!Std3LicenseInfo, 11, 11, 1, 1))</f>
        <v/>
      </c>
    </row>
    <row r="1077" spans="1:7" s="146" customFormat="1">
      <c r="A1077" s="183" t="s">
        <v>526</v>
      </c>
      <c r="B1077" s="195" t="str">
        <f ca="1">IF(OFFSET('IWP28'!Std3LicenseInfo, 12, 0, 1, 1) = 0, "", OFFSET('IWP28'!Std3LicenseInfo, 12, 0, 1, 1))</f>
        <v/>
      </c>
      <c r="C1077" s="195" t="str">
        <f ca="1">IF(OFFSET('IWP28'!Std3LicenseInfo, 12, 3, 1, 1) = 0, "", OFFSET('IWP28'!Std3LicenseInfo, 12, 3, 1, 1))</f>
        <v/>
      </c>
      <c r="D1077" s="195" t="str">
        <f ca="1">IF(OFFSET('IWP28'!Std3LicenseInfo, 12, 6, 1, 1) = 0, "", OFFSET('IWP28'!Std3LicenseInfo, 12, 6, 1, 1))</f>
        <v/>
      </c>
      <c r="E1077" s="172">
        <f ca="1">IF(OFFSET('IWP28'!Std3LicenseInfo, 12, 9, 1, 1)=DATE(1900,1,0), DATE(1900,1,1), OFFSET('IWP28'!Std3LicenseInfo, 12, 9, 1, 1))</f>
        <v>1</v>
      </c>
      <c r="F1077" s="172">
        <f ca="1">IF(OFFSET('IWP28'!Std3LicenseInfo, 12, 10, 1, 1)=DATE(1900,1,0), DATE(1900,1,1), OFFSET('IWP28'!Std3LicenseInfo, 12, 10, 1, 1))</f>
        <v>1</v>
      </c>
      <c r="G1077" s="194" t="str">
        <f ca="1">IF(OFFSET('IWP28'!Std3LicenseInfo, 12, 11, 1, 1) = 0, "", OFFSET('IWP28'!Std3LicenseInfo, 12, 11, 1, 1))</f>
        <v/>
      </c>
    </row>
    <row r="1078" spans="1:7" s="146" customFormat="1">
      <c r="A1078" s="183" t="s">
        <v>526</v>
      </c>
      <c r="B1078" s="195" t="str">
        <f ca="1">IF(OFFSET('IWP28'!Std3LicenseInfo, 13, 0, 1, 1) = 0, "", OFFSET('IWP28'!Std3LicenseInfo, 13, 0, 1, 1))</f>
        <v/>
      </c>
      <c r="C1078" s="195" t="str">
        <f ca="1">IF(OFFSET('IWP28'!Std3LicenseInfo, 13, 3, 1, 1) = 0, "", OFFSET('IWP28'!Std3LicenseInfo, 13, 3, 1, 1))</f>
        <v/>
      </c>
      <c r="D1078" s="195" t="str">
        <f ca="1">IF(OFFSET('IWP28'!Std3LicenseInfo, 13, 6, 1, 1) = 0, "", OFFSET('IWP28'!Std3LicenseInfo, 13, 6, 1, 1))</f>
        <v/>
      </c>
      <c r="E1078" s="172">
        <f ca="1">IF(OFFSET('IWP28'!Std3LicenseInfo, 13, 9, 1, 1)=DATE(1900,1,0), DATE(1900,1,1), OFFSET('IWP28'!Std3LicenseInfo, 13, 9, 1, 1))</f>
        <v>1</v>
      </c>
      <c r="F1078" s="172">
        <f ca="1">IF(OFFSET('IWP28'!Std3LicenseInfo, 13, 10, 1, 1)=DATE(1900,1,0), DATE(1900,1,1), OFFSET('IWP28'!Std3LicenseInfo, 13, 10, 1, 1))</f>
        <v>1</v>
      </c>
      <c r="G1078" s="194" t="str">
        <f ca="1">IF(OFFSET('IWP28'!Std3LicenseInfo, 13, 11, 1, 1) = 0, "", OFFSET('IWP28'!Std3LicenseInfo, 13, 11, 1, 1))</f>
        <v/>
      </c>
    </row>
    <row r="1079" spans="1:7" s="146" customFormat="1">
      <c r="A1079" s="183" t="s">
        <v>527</v>
      </c>
      <c r="B1079" s="195" t="str">
        <f ca="1">IF(OFFSET('IWP29'!Std3LicenseInfo, 0, 0, 1, 1) = 0, "", OFFSET('IWP29'!Std3LicenseInfo, 0, 0, 1, 1))</f>
        <v/>
      </c>
      <c r="C1079" s="195" t="str">
        <f ca="1">IF(OFFSET('IWP29'!Std3LicenseInfo, 0, 3, 1, 1) = 0, "", OFFSET('IWP29'!Std3LicenseInfo, 0, 3, 1, 1))</f>
        <v/>
      </c>
      <c r="D1079" s="195" t="str">
        <f ca="1">IF(OFFSET('IWP29'!Std3LicenseInfo, 0, 6, 1, 1) = 0, "", OFFSET('IWP29'!Std3LicenseInfo, 0, 6, 1, 1))</f>
        <v/>
      </c>
      <c r="E1079" s="172">
        <f ca="1">IF(OFFSET('IWP29'!Std3LicenseInfo, 0, 9, 1, 1)=DATE(1900,1,0), DATE(1900,1,1), OFFSET('IWP29'!Std3LicenseInfo, 0, 9, 1, 1))</f>
        <v>1</v>
      </c>
      <c r="F1079" s="172">
        <f ca="1">IF(OFFSET('IWP29'!Std3LicenseInfo, 0, 10, 1, 1)=DATE(1900,1,0), DATE(1900,1,1), OFFSET('IWP29'!Std3LicenseInfo, 0, 10, 1, 1))</f>
        <v>1</v>
      </c>
      <c r="G1079" s="194" t="str">
        <f ca="1">IF(OFFSET('IWP29'!Std3LicenseInfo, 0, 11, 1, 1) = 0, "", OFFSET('IWP29'!Std3LicenseInfo, 0, 11, 1, 1))</f>
        <v/>
      </c>
    </row>
    <row r="1080" spans="1:7" s="146" customFormat="1">
      <c r="A1080" s="183" t="s">
        <v>527</v>
      </c>
      <c r="B1080" s="195" t="str">
        <f ca="1">IF(OFFSET('IWP29'!Std3LicenseInfo, 1, 0, 1, 1) = 0, "", OFFSET('IWP29'!Std3LicenseInfo, 1, 0, 1, 1))</f>
        <v/>
      </c>
      <c r="C1080" s="195" t="str">
        <f ca="1">IF(OFFSET('IWP29'!Std3LicenseInfo, 1, 3, 1, 1) = 0, "", OFFSET('IWP29'!Std3LicenseInfo, 1, 3, 1, 1))</f>
        <v/>
      </c>
      <c r="D1080" s="195" t="str">
        <f ca="1">IF(OFFSET('IWP29'!Std3LicenseInfo, 1, 6, 1, 1) = 0, "", OFFSET('IWP29'!Std3LicenseInfo, 1, 6, 1, 1))</f>
        <v/>
      </c>
      <c r="E1080" s="172">
        <f ca="1">IF(OFFSET('IWP29'!Std3LicenseInfo, 1, 9, 1, 1)=DATE(1900,1,0), DATE(1900,1,1), OFFSET('IWP29'!Std3LicenseInfo, 1, 9, 1, 1))</f>
        <v>1</v>
      </c>
      <c r="F1080" s="172">
        <f ca="1">IF(OFFSET('IWP29'!Std3LicenseInfo, 1, 10, 1, 1)=DATE(1900,1,0), DATE(1900,1,1), OFFSET('IWP29'!Std3LicenseInfo, 1, 10, 1, 1))</f>
        <v>1</v>
      </c>
      <c r="G1080" s="194" t="str">
        <f ca="1">IF(OFFSET('IWP29'!Std3LicenseInfo, 1, 11, 1, 1) = 0, "", OFFSET('IWP29'!Std3LicenseInfo, 1, 11, 1, 1))</f>
        <v/>
      </c>
    </row>
    <row r="1081" spans="1:7" s="146" customFormat="1">
      <c r="A1081" s="183" t="s">
        <v>527</v>
      </c>
      <c r="B1081" s="195" t="str">
        <f ca="1">IF(OFFSET('IWP29'!Std3LicenseInfo, 2, 0, 1, 1) = 0, "", OFFSET('IWP29'!Std3LicenseInfo, 2, 0, 1, 1))</f>
        <v/>
      </c>
      <c r="C1081" s="195" t="str">
        <f ca="1">IF(OFFSET('IWP29'!Std3LicenseInfo, 2, 3, 1, 1) = 0, "", OFFSET('IWP29'!Std3LicenseInfo, 2, 3, 1, 1))</f>
        <v/>
      </c>
      <c r="D1081" s="195" t="str">
        <f ca="1">IF(OFFSET('IWP29'!Std3LicenseInfo, 2, 6, 1, 1) = 0, "", OFFSET('IWP29'!Std3LicenseInfo, 2, 6, 1, 1))</f>
        <v/>
      </c>
      <c r="E1081" s="172">
        <f ca="1">IF(OFFSET('IWP29'!Std3LicenseInfo, 2, 9, 1, 1)=DATE(1900,1,0), DATE(1900,1,1), OFFSET('IWP29'!Std3LicenseInfo, 2, 9, 1, 1))</f>
        <v>1</v>
      </c>
      <c r="F1081" s="172">
        <f ca="1">IF(OFFSET('IWP29'!Std3LicenseInfo, 2, 10, 1, 1)=DATE(1900,1,0), DATE(1900,1,1), OFFSET('IWP29'!Std3LicenseInfo, 2, 10, 1, 1))</f>
        <v>1</v>
      </c>
      <c r="G1081" s="194" t="str">
        <f ca="1">IF(OFFSET('IWP29'!Std3LicenseInfo, 2, 11, 1, 1) = 0, "", OFFSET('IWP29'!Std3LicenseInfo, 2, 11, 1, 1))</f>
        <v/>
      </c>
    </row>
    <row r="1082" spans="1:7" s="146" customFormat="1">
      <c r="A1082" s="183" t="s">
        <v>527</v>
      </c>
      <c r="B1082" s="195" t="str">
        <f ca="1">IF(OFFSET('IWP29'!Std3LicenseInfo, 3, 0, 1, 1) = 0, "", OFFSET('IWP29'!Std3LicenseInfo, 3, 0, 1, 1))</f>
        <v/>
      </c>
      <c r="C1082" s="195" t="str">
        <f ca="1">IF(OFFSET('IWP29'!Std3LicenseInfo, 3, 3, 1, 1) = 0, "", OFFSET('IWP29'!Std3LicenseInfo, 3, 3, 1, 1))</f>
        <v/>
      </c>
      <c r="D1082" s="195" t="str">
        <f ca="1">IF(OFFSET('IWP29'!Std3LicenseInfo, 3, 6, 1, 1) = 0, "", OFFSET('IWP29'!Std3LicenseInfo, 3, 6, 1, 1))</f>
        <v/>
      </c>
      <c r="E1082" s="172">
        <f ca="1">IF(OFFSET('IWP29'!Std3LicenseInfo, 3, 9, 1, 1)=DATE(1900,1,0), DATE(1900,1,1), OFFSET('IWP29'!Std3LicenseInfo, 3, 9, 1, 1))</f>
        <v>1</v>
      </c>
      <c r="F1082" s="172">
        <f ca="1">IF(OFFSET('IWP29'!Std3LicenseInfo, 3, 10, 1, 1)=DATE(1900,1,0), DATE(1900,1,1), OFFSET('IWP29'!Std3LicenseInfo, 3, 10, 1, 1))</f>
        <v>1</v>
      </c>
      <c r="G1082" s="194" t="str">
        <f ca="1">IF(OFFSET('IWP29'!Std3LicenseInfo, 3, 11, 1, 1) = 0, "", OFFSET('IWP29'!Std3LicenseInfo, 3, 11, 1, 1))</f>
        <v/>
      </c>
    </row>
    <row r="1083" spans="1:7" s="146" customFormat="1">
      <c r="A1083" s="183" t="s">
        <v>527</v>
      </c>
      <c r="B1083" s="195" t="str">
        <f ca="1">IF(OFFSET('IWP29'!Std3LicenseInfo, 4, 0, 1, 1) = 0, "", OFFSET('IWP29'!Std3LicenseInfo, 4, 0, 1, 1))</f>
        <v/>
      </c>
      <c r="C1083" s="195" t="str">
        <f ca="1">IF(OFFSET('IWP29'!Std3LicenseInfo, 4, 3, 1, 1) = 0, "", OFFSET('IWP29'!Std3LicenseInfo, 4, 3, 1, 1))</f>
        <v/>
      </c>
      <c r="D1083" s="195" t="str">
        <f ca="1">IF(OFFSET('IWP29'!Std3LicenseInfo, 4, 6, 1, 1) = 0, "", OFFSET('IWP29'!Std3LicenseInfo, 4, 6, 1, 1))</f>
        <v/>
      </c>
      <c r="E1083" s="172">
        <f ca="1">IF(OFFSET('IWP29'!Std3LicenseInfo, 4, 9, 1, 1)=DATE(1900,1,0), DATE(1900,1,1), OFFSET('IWP29'!Std3LicenseInfo, 4, 9, 1, 1))</f>
        <v>1</v>
      </c>
      <c r="F1083" s="172">
        <f ca="1">IF(OFFSET('IWP29'!Std3LicenseInfo, 4, 10, 1, 1)=DATE(1900,1,0), DATE(1900,1,1), OFFSET('IWP29'!Std3LicenseInfo, 4, 10, 1, 1))</f>
        <v>1</v>
      </c>
      <c r="G1083" s="194" t="str">
        <f ca="1">IF(OFFSET('IWP29'!Std3LicenseInfo, 4, 11, 1, 1) = 0, "", OFFSET('IWP29'!Std3LicenseInfo, 4, 11, 1, 1))</f>
        <v/>
      </c>
    </row>
    <row r="1084" spans="1:7" s="146" customFormat="1">
      <c r="A1084" s="183" t="s">
        <v>527</v>
      </c>
      <c r="B1084" s="195" t="str">
        <f ca="1">IF(OFFSET('IWP29'!Std3LicenseInfo, 5, 0, 1, 1) = 0, "", OFFSET('IWP29'!Std3LicenseInfo, 5, 0, 1, 1))</f>
        <v/>
      </c>
      <c r="C1084" s="195" t="str">
        <f ca="1">IF(OFFSET('IWP29'!Std3LicenseInfo, 5, 3, 1, 1) = 0, "", OFFSET('IWP29'!Std3LicenseInfo, 5, 3, 1, 1))</f>
        <v/>
      </c>
      <c r="D1084" s="195" t="str">
        <f ca="1">IF(OFFSET('IWP29'!Std3LicenseInfo, 5, 6, 1, 1) = 0, "", OFFSET('IWP29'!Std3LicenseInfo, 5, 6, 1, 1))</f>
        <v/>
      </c>
      <c r="E1084" s="172">
        <f ca="1">IF(OFFSET('IWP29'!Std3LicenseInfo, 5, 9, 1, 1)=DATE(1900,1,0), DATE(1900,1,1), OFFSET('IWP29'!Std3LicenseInfo, 5, 9, 1, 1))</f>
        <v>1</v>
      </c>
      <c r="F1084" s="172">
        <f ca="1">IF(OFFSET('IWP29'!Std3LicenseInfo, 5, 10, 1, 1)=DATE(1900,1,0), DATE(1900,1,1), OFFSET('IWP29'!Std3LicenseInfo, 5, 10, 1, 1))</f>
        <v>1</v>
      </c>
      <c r="G1084" s="194" t="str">
        <f ca="1">IF(OFFSET('IWP29'!Std3LicenseInfo, 5, 11, 1, 1) = 0, "", OFFSET('IWP29'!Std3LicenseInfo, 5, 11, 1, 1))</f>
        <v/>
      </c>
    </row>
    <row r="1085" spans="1:7" s="146" customFormat="1">
      <c r="A1085" s="183" t="s">
        <v>527</v>
      </c>
      <c r="B1085" s="195" t="str">
        <f ca="1">IF(OFFSET('IWP29'!Std3LicenseInfo, 6, 0, 1, 1) = 0, "", OFFSET('IWP29'!Std3LicenseInfo, 6, 0, 1, 1))</f>
        <v/>
      </c>
      <c r="C1085" s="195" t="str">
        <f ca="1">IF(OFFSET('IWP29'!Std3LicenseInfo, 6, 3, 1, 1) = 0, "", OFFSET('IWP29'!Std3LicenseInfo, 6, 3, 1, 1))</f>
        <v/>
      </c>
      <c r="D1085" s="195" t="str">
        <f ca="1">IF(OFFSET('IWP29'!Std3LicenseInfo, 6, 6, 1, 1) = 0, "", OFFSET('IWP29'!Std3LicenseInfo, 6, 6, 1, 1))</f>
        <v/>
      </c>
      <c r="E1085" s="172">
        <f ca="1">IF(OFFSET('IWP29'!Std3LicenseInfo, 6, 9, 1, 1)=DATE(1900,1,0), DATE(1900,1,1), OFFSET('IWP29'!Std3LicenseInfo, 6, 9, 1, 1))</f>
        <v>1</v>
      </c>
      <c r="F1085" s="172">
        <f ca="1">IF(OFFSET('IWP29'!Std3LicenseInfo, 6, 10, 1, 1)=DATE(1900,1,0), DATE(1900,1,1), OFFSET('IWP29'!Std3LicenseInfo, 6, 10, 1, 1))</f>
        <v>1</v>
      </c>
      <c r="G1085" s="194" t="str">
        <f ca="1">IF(OFFSET('IWP29'!Std3LicenseInfo, 6, 11, 1, 1) = 0, "", OFFSET('IWP29'!Std3LicenseInfo, 6, 11, 1, 1))</f>
        <v/>
      </c>
    </row>
    <row r="1086" spans="1:7" s="146" customFormat="1">
      <c r="A1086" s="183" t="s">
        <v>527</v>
      </c>
      <c r="B1086" s="195" t="str">
        <f ca="1">IF(OFFSET('IWP29'!Std3LicenseInfo, 7, 0, 1, 1) = 0, "", OFFSET('IWP29'!Std3LicenseInfo, 7, 0, 1, 1))</f>
        <v/>
      </c>
      <c r="C1086" s="195" t="str">
        <f ca="1">IF(OFFSET('IWP29'!Std3LicenseInfo, 7, 3, 1, 1) = 0, "", OFFSET('IWP29'!Std3LicenseInfo, 7, 3, 1, 1))</f>
        <v/>
      </c>
      <c r="D1086" s="195" t="str">
        <f ca="1">IF(OFFSET('IWP29'!Std3LicenseInfo, 7, 6, 1, 1) = 0, "", OFFSET('IWP29'!Std3LicenseInfo, 7, 6, 1, 1))</f>
        <v/>
      </c>
      <c r="E1086" s="172">
        <f ca="1">IF(OFFSET('IWP29'!Std3LicenseInfo, 7, 9, 1, 1)=DATE(1900,1,0), DATE(1900,1,1), OFFSET('IWP29'!Std3LicenseInfo, 7, 9, 1, 1))</f>
        <v>1</v>
      </c>
      <c r="F1086" s="172">
        <f ca="1">IF(OFFSET('IWP29'!Std3LicenseInfo, 7, 10, 1, 1)=DATE(1900,1,0), DATE(1900,1,1), OFFSET('IWP29'!Std3LicenseInfo, 7, 10, 1, 1))</f>
        <v>1</v>
      </c>
      <c r="G1086" s="194" t="str">
        <f ca="1">IF(OFFSET('IWP29'!Std3LicenseInfo, 7, 11, 1, 1) = 0, "", OFFSET('IWP29'!Std3LicenseInfo, 7, 11, 1, 1))</f>
        <v/>
      </c>
    </row>
    <row r="1087" spans="1:7" s="146" customFormat="1">
      <c r="A1087" s="183" t="s">
        <v>527</v>
      </c>
      <c r="B1087" s="195" t="str">
        <f ca="1">IF(OFFSET('IWP29'!Std3LicenseInfo, 8, 0, 1, 1) = 0, "", OFFSET('IWP29'!Std3LicenseInfo, 8, 0, 1, 1))</f>
        <v/>
      </c>
      <c r="C1087" s="195" t="str">
        <f ca="1">IF(OFFSET('IWP29'!Std3LicenseInfo, 8, 3, 1, 1) = 0, "", OFFSET('IWP29'!Std3LicenseInfo, 8, 3, 1, 1))</f>
        <v/>
      </c>
      <c r="D1087" s="195" t="str">
        <f ca="1">IF(OFFSET('IWP29'!Std3LicenseInfo, 8, 6, 1, 1) = 0, "", OFFSET('IWP29'!Std3LicenseInfo, 8, 6, 1, 1))</f>
        <v/>
      </c>
      <c r="E1087" s="172">
        <f ca="1">IF(OFFSET('IWP29'!Std3LicenseInfo, 8, 9, 1, 1)=DATE(1900,1,0), DATE(1900,1,1), OFFSET('IWP29'!Std3LicenseInfo, 8, 9, 1, 1))</f>
        <v>1</v>
      </c>
      <c r="F1087" s="172">
        <f ca="1">IF(OFFSET('IWP29'!Std3LicenseInfo, 8, 10, 1, 1)=DATE(1900,1,0), DATE(1900,1,1), OFFSET('IWP29'!Std3LicenseInfo, 8, 10, 1, 1))</f>
        <v>1</v>
      </c>
      <c r="G1087" s="194" t="str">
        <f ca="1">IF(OFFSET('IWP29'!Std3LicenseInfo, 8, 11, 1, 1) = 0, "", OFFSET('IWP29'!Std3LicenseInfo, 8, 11, 1, 1))</f>
        <v/>
      </c>
    </row>
    <row r="1088" spans="1:7" s="146" customFormat="1">
      <c r="A1088" s="183" t="s">
        <v>527</v>
      </c>
      <c r="B1088" s="195" t="str">
        <f ca="1">IF(OFFSET('IWP29'!Std3LicenseInfo, 9, 0, 1, 1) = 0, "", OFFSET('IWP29'!Std3LicenseInfo, 9, 0, 1, 1))</f>
        <v/>
      </c>
      <c r="C1088" s="195" t="str">
        <f ca="1">IF(OFFSET('IWP29'!Std3LicenseInfo, 9, 3, 1, 1) = 0, "", OFFSET('IWP29'!Std3LicenseInfo, 9, 3, 1, 1))</f>
        <v/>
      </c>
      <c r="D1088" s="195" t="str">
        <f ca="1">IF(OFFSET('IWP29'!Std3LicenseInfo, 9, 6, 1, 1) = 0, "", OFFSET('IWP29'!Std3LicenseInfo, 9, 6, 1, 1))</f>
        <v/>
      </c>
      <c r="E1088" s="172">
        <f ca="1">IF(OFFSET('IWP29'!Std3LicenseInfo, 9, 9, 1, 1)=DATE(1900,1,0), DATE(1900,1,1), OFFSET('IWP29'!Std3LicenseInfo, 9, 9, 1, 1))</f>
        <v>1</v>
      </c>
      <c r="F1088" s="172">
        <f ca="1">IF(OFFSET('IWP29'!Std3LicenseInfo, 9, 10, 1, 1)=DATE(1900,1,0), DATE(1900,1,1), OFFSET('IWP29'!Std3LicenseInfo, 9, 10, 1, 1))</f>
        <v>1</v>
      </c>
      <c r="G1088" s="194" t="str">
        <f ca="1">IF(OFFSET('IWP29'!Std3LicenseInfo, 9, 11, 1, 1) = 0, "", OFFSET('IWP29'!Std3LicenseInfo, 9, 11, 1, 1))</f>
        <v/>
      </c>
    </row>
    <row r="1089" spans="1:7" s="146" customFormat="1">
      <c r="A1089" s="183" t="s">
        <v>527</v>
      </c>
      <c r="B1089" s="195" t="str">
        <f ca="1">IF(OFFSET('IWP29'!Std3LicenseInfo, 10, 0, 1, 1) = 0, "", OFFSET('IWP29'!Std3LicenseInfo, 10, 0, 1, 1))</f>
        <v/>
      </c>
      <c r="C1089" s="195" t="str">
        <f ca="1">IF(OFFSET('IWP29'!Std3LicenseInfo, 10, 3, 1, 1) = 0, "", OFFSET('IWP29'!Std3LicenseInfo, 10, 3, 1, 1))</f>
        <v/>
      </c>
      <c r="D1089" s="195" t="str">
        <f ca="1">IF(OFFSET('IWP29'!Std3LicenseInfo, 10, 6, 1, 1) = 0, "", OFFSET('IWP29'!Std3LicenseInfo, 10, 6, 1, 1))</f>
        <v/>
      </c>
      <c r="E1089" s="172">
        <f ca="1">IF(OFFSET('IWP29'!Std3LicenseInfo, 10, 9, 1, 1)=DATE(1900,1,0), DATE(1900,1,1), OFFSET('IWP29'!Std3LicenseInfo, 10, 9, 1, 1))</f>
        <v>1</v>
      </c>
      <c r="F1089" s="172">
        <f ca="1">IF(OFFSET('IWP29'!Std3LicenseInfo, 10, 10, 1, 1)=DATE(1900,1,0), DATE(1900,1,1), OFFSET('IWP29'!Std3LicenseInfo, 10, 10, 1, 1))</f>
        <v>1</v>
      </c>
      <c r="G1089" s="194" t="str">
        <f ca="1">IF(OFFSET('IWP29'!Std3LicenseInfo, 10, 11, 1, 1) = 0, "", OFFSET('IWP29'!Std3LicenseInfo, 10, 11, 1, 1))</f>
        <v/>
      </c>
    </row>
    <row r="1090" spans="1:7" s="146" customFormat="1">
      <c r="A1090" s="183" t="s">
        <v>527</v>
      </c>
      <c r="B1090" s="195" t="str">
        <f ca="1">IF(OFFSET('IWP29'!Std3LicenseInfo, 11, 0, 1, 1) = 0, "", OFFSET('IWP29'!Std3LicenseInfo, 11, 0, 1, 1))</f>
        <v/>
      </c>
      <c r="C1090" s="195" t="str">
        <f ca="1">IF(OFFSET('IWP29'!Std3LicenseInfo, 11, 3, 1, 1) = 0, "", OFFSET('IWP29'!Std3LicenseInfo, 11, 3, 1, 1))</f>
        <v/>
      </c>
      <c r="D1090" s="195" t="str">
        <f ca="1">IF(OFFSET('IWP29'!Std3LicenseInfo, 11, 6, 1, 1) = 0, "", OFFSET('IWP29'!Std3LicenseInfo, 11, 6, 1, 1))</f>
        <v/>
      </c>
      <c r="E1090" s="172">
        <f ca="1">IF(OFFSET('IWP29'!Std3LicenseInfo, 11, 9, 1, 1)=DATE(1900,1,0), DATE(1900,1,1), OFFSET('IWP29'!Std3LicenseInfo, 11, 9, 1, 1))</f>
        <v>1</v>
      </c>
      <c r="F1090" s="172">
        <f ca="1">IF(OFFSET('IWP29'!Std3LicenseInfo, 11, 10, 1, 1)=DATE(1900,1,0), DATE(1900,1,1), OFFSET('IWP29'!Std3LicenseInfo, 11, 10, 1, 1))</f>
        <v>1</v>
      </c>
      <c r="G1090" s="194" t="str">
        <f ca="1">IF(OFFSET('IWP29'!Std3LicenseInfo, 11, 11, 1, 1) = 0, "", OFFSET('IWP29'!Std3LicenseInfo, 11, 11, 1, 1))</f>
        <v/>
      </c>
    </row>
    <row r="1091" spans="1:7" s="146" customFormat="1">
      <c r="A1091" s="183" t="s">
        <v>527</v>
      </c>
      <c r="B1091" s="195" t="str">
        <f ca="1">IF(OFFSET('IWP29'!Std3LicenseInfo, 12, 0, 1, 1) = 0, "", OFFSET('IWP29'!Std3LicenseInfo, 12, 0, 1, 1))</f>
        <v/>
      </c>
      <c r="C1091" s="195" t="str">
        <f ca="1">IF(OFFSET('IWP29'!Std3LicenseInfo, 12, 3, 1, 1) = 0, "", OFFSET('IWP29'!Std3LicenseInfo, 12, 3, 1, 1))</f>
        <v/>
      </c>
      <c r="D1091" s="195" t="str">
        <f ca="1">IF(OFFSET('IWP29'!Std3LicenseInfo, 12, 6, 1, 1) = 0, "", OFFSET('IWP29'!Std3LicenseInfo, 12, 6, 1, 1))</f>
        <v/>
      </c>
      <c r="E1091" s="172">
        <f ca="1">IF(OFFSET('IWP29'!Std3LicenseInfo, 12, 9, 1, 1)=DATE(1900,1,0), DATE(1900,1,1), OFFSET('IWP29'!Std3LicenseInfo, 12, 9, 1, 1))</f>
        <v>1</v>
      </c>
      <c r="F1091" s="172">
        <f ca="1">IF(OFFSET('IWP29'!Std3LicenseInfo, 12, 10, 1, 1)=DATE(1900,1,0), DATE(1900,1,1), OFFSET('IWP29'!Std3LicenseInfo, 12, 10, 1, 1))</f>
        <v>1</v>
      </c>
      <c r="G1091" s="194" t="str">
        <f ca="1">IF(OFFSET('IWP29'!Std3LicenseInfo, 12, 11, 1, 1) = 0, "", OFFSET('IWP29'!Std3LicenseInfo, 12, 11, 1, 1))</f>
        <v/>
      </c>
    </row>
    <row r="1092" spans="1:7" s="146" customFormat="1">
      <c r="A1092" s="183" t="s">
        <v>527</v>
      </c>
      <c r="B1092" s="195" t="str">
        <f ca="1">IF(OFFSET('IWP29'!Std3LicenseInfo, 13, 0, 1, 1) = 0, "", OFFSET('IWP29'!Std3LicenseInfo, 13, 0, 1, 1))</f>
        <v/>
      </c>
      <c r="C1092" s="195" t="str">
        <f ca="1">IF(OFFSET('IWP29'!Std3LicenseInfo, 13, 3, 1, 1) = 0, "", OFFSET('IWP29'!Std3LicenseInfo, 13, 3, 1, 1))</f>
        <v/>
      </c>
      <c r="D1092" s="195" t="str">
        <f ca="1">IF(OFFSET('IWP29'!Std3LicenseInfo, 13, 6, 1, 1) = 0, "", OFFSET('IWP29'!Std3LicenseInfo, 13, 6, 1, 1))</f>
        <v/>
      </c>
      <c r="E1092" s="172">
        <f ca="1">IF(OFFSET('IWP29'!Std3LicenseInfo, 13, 9, 1, 1)=DATE(1900,1,0), DATE(1900,1,1), OFFSET('IWP29'!Std3LicenseInfo, 13, 9, 1, 1))</f>
        <v>1</v>
      </c>
      <c r="F1092" s="172">
        <f ca="1">IF(OFFSET('IWP29'!Std3LicenseInfo, 13, 10, 1, 1)=DATE(1900,1,0), DATE(1900,1,1), OFFSET('IWP29'!Std3LicenseInfo, 13, 10, 1, 1))</f>
        <v>1</v>
      </c>
      <c r="G1092" s="194" t="str">
        <f ca="1">IF(OFFSET('IWP29'!Std3LicenseInfo, 13, 11, 1, 1) = 0, "", OFFSET('IWP29'!Std3LicenseInfo, 13, 11, 1, 1))</f>
        <v/>
      </c>
    </row>
    <row r="1093" spans="1:7" s="146" customFormat="1">
      <c r="A1093" s="183" t="s">
        <v>528</v>
      </c>
      <c r="B1093" s="195" t="str">
        <f ca="1">IF(OFFSET('IWP30'!Std3LicenseInfo, 0, 0, 1, 1) = 0, "", OFFSET('IWP30'!Std3LicenseInfo, 0, 0, 1, 1))</f>
        <v/>
      </c>
      <c r="C1093" s="195" t="str">
        <f ca="1">IF(OFFSET('IWP30'!Std3LicenseInfo, 0, 3, 1, 1) = 0, "", OFFSET('IWP30'!Std3LicenseInfo, 0, 3, 1, 1))</f>
        <v/>
      </c>
      <c r="D1093" s="195" t="str">
        <f ca="1">IF(OFFSET('IWP30'!Std3LicenseInfo, 0, 6, 1, 1) = 0, "", OFFSET('IWP30'!Std3LicenseInfo, 0, 6, 1, 1))</f>
        <v/>
      </c>
      <c r="E1093" s="172">
        <f ca="1">IF(OFFSET('IWP30'!Std3LicenseInfo, 0, 9, 1, 1)=DATE(1900,1,0), DATE(1900,1,1), OFFSET('IWP30'!Std3LicenseInfo, 0, 9, 1, 1))</f>
        <v>1</v>
      </c>
      <c r="F1093" s="172">
        <f ca="1">IF(OFFSET('IWP30'!Std3LicenseInfo, 0, 10, 1, 1)=DATE(1900,1,0), DATE(1900,1,1), OFFSET('IWP30'!Std3LicenseInfo, 0, 10, 1, 1))</f>
        <v>1</v>
      </c>
      <c r="G1093" s="194" t="str">
        <f ca="1">IF(OFFSET('IWP30'!Std3LicenseInfo, 0, 11, 1, 1) = 0, "", OFFSET('IWP30'!Std3LicenseInfo, 0, 11, 1, 1))</f>
        <v/>
      </c>
    </row>
    <row r="1094" spans="1:7" s="146" customFormat="1">
      <c r="A1094" s="183" t="s">
        <v>528</v>
      </c>
      <c r="B1094" s="195" t="str">
        <f ca="1">IF(OFFSET('IWP30'!Std3LicenseInfo, 1, 0, 1, 1) = 0, "", OFFSET('IWP30'!Std3LicenseInfo, 1, 0, 1, 1))</f>
        <v/>
      </c>
      <c r="C1094" s="195" t="str">
        <f ca="1">IF(OFFSET('IWP30'!Std3LicenseInfo, 1, 3, 1, 1) = 0, "", OFFSET('IWP30'!Std3LicenseInfo, 1, 3, 1, 1))</f>
        <v/>
      </c>
      <c r="D1094" s="195" t="str">
        <f ca="1">IF(OFFSET('IWP30'!Std3LicenseInfo, 1, 6, 1, 1) = 0, "", OFFSET('IWP30'!Std3LicenseInfo, 1, 6, 1, 1))</f>
        <v/>
      </c>
      <c r="E1094" s="172">
        <f ca="1">IF(OFFSET('IWP30'!Std3LicenseInfo, 1, 9, 1, 1)=DATE(1900,1,0), DATE(1900,1,1), OFFSET('IWP30'!Std3LicenseInfo, 1, 9, 1, 1))</f>
        <v>1</v>
      </c>
      <c r="F1094" s="172">
        <f ca="1">IF(OFFSET('IWP30'!Std3LicenseInfo, 1, 10, 1, 1)=DATE(1900,1,0), DATE(1900,1,1), OFFSET('IWP30'!Std3LicenseInfo, 1, 10, 1, 1))</f>
        <v>1</v>
      </c>
      <c r="G1094" s="194" t="str">
        <f ca="1">IF(OFFSET('IWP30'!Std3LicenseInfo, 1, 11, 1, 1) = 0, "", OFFSET('IWP30'!Std3LicenseInfo, 1, 11, 1, 1))</f>
        <v/>
      </c>
    </row>
    <row r="1095" spans="1:7" s="146" customFormat="1">
      <c r="A1095" s="183" t="s">
        <v>528</v>
      </c>
      <c r="B1095" s="195" t="str">
        <f ca="1">IF(OFFSET('IWP30'!Std3LicenseInfo, 2, 0, 1, 1) = 0, "", OFFSET('IWP30'!Std3LicenseInfo, 2, 0, 1, 1))</f>
        <v/>
      </c>
      <c r="C1095" s="195" t="str">
        <f ca="1">IF(OFFSET('IWP30'!Std3LicenseInfo, 2, 3, 1, 1) = 0, "", OFFSET('IWP30'!Std3LicenseInfo, 2, 3, 1, 1))</f>
        <v/>
      </c>
      <c r="D1095" s="195" t="str">
        <f ca="1">IF(OFFSET('IWP30'!Std3LicenseInfo, 2, 6, 1, 1) = 0, "", OFFSET('IWP30'!Std3LicenseInfo, 2, 6, 1, 1))</f>
        <v/>
      </c>
      <c r="E1095" s="172">
        <f ca="1">IF(OFFSET('IWP30'!Std3LicenseInfo, 2, 9, 1, 1)=DATE(1900,1,0), DATE(1900,1,1), OFFSET('IWP30'!Std3LicenseInfo, 2, 9, 1, 1))</f>
        <v>1</v>
      </c>
      <c r="F1095" s="172">
        <f ca="1">IF(OFFSET('IWP30'!Std3LicenseInfo, 2, 10, 1, 1)=DATE(1900,1,0), DATE(1900,1,1), OFFSET('IWP30'!Std3LicenseInfo, 2, 10, 1, 1))</f>
        <v>1</v>
      </c>
      <c r="G1095" s="194" t="str">
        <f ca="1">IF(OFFSET('IWP30'!Std3LicenseInfo, 2, 11, 1, 1) = 0, "", OFFSET('IWP30'!Std3LicenseInfo, 2, 11, 1, 1))</f>
        <v/>
      </c>
    </row>
    <row r="1096" spans="1:7" s="146" customFormat="1">
      <c r="A1096" s="183" t="s">
        <v>528</v>
      </c>
      <c r="B1096" s="195" t="str">
        <f ca="1">IF(OFFSET('IWP30'!Std3LicenseInfo, 3, 0, 1, 1) = 0, "", OFFSET('IWP30'!Std3LicenseInfo, 3, 0, 1, 1))</f>
        <v/>
      </c>
      <c r="C1096" s="195" t="str">
        <f ca="1">IF(OFFSET('IWP30'!Std3LicenseInfo, 3, 3, 1, 1) = 0, "", OFFSET('IWP30'!Std3LicenseInfo, 3, 3, 1, 1))</f>
        <v/>
      </c>
      <c r="D1096" s="195" t="str">
        <f ca="1">IF(OFFSET('IWP30'!Std3LicenseInfo, 3, 6, 1, 1) = 0, "", OFFSET('IWP30'!Std3LicenseInfo, 3, 6, 1, 1))</f>
        <v/>
      </c>
      <c r="E1096" s="172">
        <f ca="1">IF(OFFSET('IWP30'!Std3LicenseInfo, 3, 9, 1, 1)=DATE(1900,1,0), DATE(1900,1,1), OFFSET('IWP30'!Std3LicenseInfo, 3, 9, 1, 1))</f>
        <v>1</v>
      </c>
      <c r="F1096" s="172">
        <f ca="1">IF(OFFSET('IWP30'!Std3LicenseInfo, 3, 10, 1, 1)=DATE(1900,1,0), DATE(1900,1,1), OFFSET('IWP30'!Std3LicenseInfo, 3, 10, 1, 1))</f>
        <v>1</v>
      </c>
      <c r="G1096" s="194" t="str">
        <f ca="1">IF(OFFSET('IWP30'!Std3LicenseInfo, 3, 11, 1, 1) = 0, "", OFFSET('IWP30'!Std3LicenseInfo, 3, 11, 1, 1))</f>
        <v/>
      </c>
    </row>
    <row r="1097" spans="1:7" s="146" customFormat="1">
      <c r="A1097" s="183" t="s">
        <v>528</v>
      </c>
      <c r="B1097" s="195" t="str">
        <f ca="1">IF(OFFSET('IWP30'!Std3LicenseInfo, 4, 0, 1, 1) = 0, "", OFFSET('IWP30'!Std3LicenseInfo, 4, 0, 1, 1))</f>
        <v/>
      </c>
      <c r="C1097" s="195" t="str">
        <f ca="1">IF(OFFSET('IWP30'!Std3LicenseInfo, 4, 3, 1, 1) = 0, "", OFFSET('IWP30'!Std3LicenseInfo, 4, 3, 1, 1))</f>
        <v/>
      </c>
      <c r="D1097" s="195" t="str">
        <f ca="1">IF(OFFSET('IWP30'!Std3LicenseInfo, 4, 6, 1, 1) = 0, "", OFFSET('IWP30'!Std3LicenseInfo, 4, 6, 1, 1))</f>
        <v/>
      </c>
      <c r="E1097" s="172">
        <f ca="1">IF(OFFSET('IWP30'!Std3LicenseInfo, 4, 9, 1, 1)=DATE(1900,1,0), DATE(1900,1,1), OFFSET('IWP30'!Std3LicenseInfo, 4, 9, 1, 1))</f>
        <v>1</v>
      </c>
      <c r="F1097" s="172">
        <f ca="1">IF(OFFSET('IWP30'!Std3LicenseInfo, 4, 10, 1, 1)=DATE(1900,1,0), DATE(1900,1,1), OFFSET('IWP30'!Std3LicenseInfo, 4, 10, 1, 1))</f>
        <v>1</v>
      </c>
      <c r="G1097" s="194" t="str">
        <f ca="1">IF(OFFSET('IWP30'!Std3LicenseInfo, 4, 11, 1, 1) = 0, "", OFFSET('IWP30'!Std3LicenseInfo, 4, 11, 1, 1))</f>
        <v/>
      </c>
    </row>
    <row r="1098" spans="1:7" s="146" customFormat="1">
      <c r="A1098" s="183" t="s">
        <v>528</v>
      </c>
      <c r="B1098" s="195" t="str">
        <f ca="1">IF(OFFSET('IWP30'!Std3LicenseInfo, 5, 0, 1, 1) = 0, "", OFFSET('IWP30'!Std3LicenseInfo, 5, 0, 1, 1))</f>
        <v/>
      </c>
      <c r="C1098" s="195" t="str">
        <f ca="1">IF(OFFSET('IWP30'!Std3LicenseInfo, 5, 3, 1, 1) = 0, "", OFFSET('IWP30'!Std3LicenseInfo, 5, 3, 1, 1))</f>
        <v/>
      </c>
      <c r="D1098" s="195" t="str">
        <f ca="1">IF(OFFSET('IWP30'!Std3LicenseInfo, 5, 6, 1, 1) = 0, "", OFFSET('IWP30'!Std3LicenseInfo, 5, 6, 1, 1))</f>
        <v/>
      </c>
      <c r="E1098" s="172">
        <f ca="1">IF(OFFSET('IWP30'!Std3LicenseInfo, 5, 9, 1, 1)=DATE(1900,1,0), DATE(1900,1,1), OFFSET('IWP30'!Std3LicenseInfo, 5, 9, 1, 1))</f>
        <v>1</v>
      </c>
      <c r="F1098" s="172">
        <f ca="1">IF(OFFSET('IWP30'!Std3LicenseInfo, 5, 10, 1, 1)=DATE(1900,1,0), DATE(1900,1,1), OFFSET('IWP30'!Std3LicenseInfo, 5, 10, 1, 1))</f>
        <v>1</v>
      </c>
      <c r="G1098" s="194" t="str">
        <f ca="1">IF(OFFSET('IWP30'!Std3LicenseInfo, 5, 11, 1, 1) = 0, "", OFFSET('IWP30'!Std3LicenseInfo, 5, 11, 1, 1))</f>
        <v/>
      </c>
    </row>
    <row r="1099" spans="1:7" s="146" customFormat="1">
      <c r="A1099" s="183" t="s">
        <v>528</v>
      </c>
      <c r="B1099" s="195" t="str">
        <f ca="1">IF(OFFSET('IWP30'!Std3LicenseInfo, 6, 0, 1, 1) = 0, "", OFFSET('IWP30'!Std3LicenseInfo, 6, 0, 1, 1))</f>
        <v/>
      </c>
      <c r="C1099" s="195" t="str">
        <f ca="1">IF(OFFSET('IWP30'!Std3LicenseInfo, 6, 3, 1, 1) = 0, "", OFFSET('IWP30'!Std3LicenseInfo, 6, 3, 1, 1))</f>
        <v/>
      </c>
      <c r="D1099" s="195" t="str">
        <f ca="1">IF(OFFSET('IWP30'!Std3LicenseInfo, 6, 6, 1, 1) = 0, "", OFFSET('IWP30'!Std3LicenseInfo, 6, 6, 1, 1))</f>
        <v/>
      </c>
      <c r="E1099" s="172">
        <f ca="1">IF(OFFSET('IWP30'!Std3LicenseInfo, 6, 9, 1, 1)=DATE(1900,1,0), DATE(1900,1,1), OFFSET('IWP30'!Std3LicenseInfo, 6, 9, 1, 1))</f>
        <v>1</v>
      </c>
      <c r="F1099" s="172">
        <f ca="1">IF(OFFSET('IWP30'!Std3LicenseInfo, 6, 10, 1, 1)=DATE(1900,1,0), DATE(1900,1,1), OFFSET('IWP30'!Std3LicenseInfo, 6, 10, 1, 1))</f>
        <v>1</v>
      </c>
      <c r="G1099" s="194" t="str">
        <f ca="1">IF(OFFSET('IWP30'!Std3LicenseInfo, 6, 11, 1, 1) = 0, "", OFFSET('IWP30'!Std3LicenseInfo, 6, 11, 1, 1))</f>
        <v/>
      </c>
    </row>
    <row r="1100" spans="1:7" s="146" customFormat="1">
      <c r="A1100" s="183" t="s">
        <v>528</v>
      </c>
      <c r="B1100" s="195" t="str">
        <f ca="1">IF(OFFSET('IWP30'!Std3LicenseInfo, 7, 0, 1, 1) = 0, "", OFFSET('IWP30'!Std3LicenseInfo, 7, 0, 1, 1))</f>
        <v/>
      </c>
      <c r="C1100" s="195" t="str">
        <f ca="1">IF(OFFSET('IWP30'!Std3LicenseInfo, 7, 3, 1, 1) = 0, "", OFFSET('IWP30'!Std3LicenseInfo, 7, 3, 1, 1))</f>
        <v/>
      </c>
      <c r="D1100" s="195" t="str">
        <f ca="1">IF(OFFSET('IWP30'!Std3LicenseInfo, 7, 6, 1, 1) = 0, "", OFFSET('IWP30'!Std3LicenseInfo, 7, 6, 1, 1))</f>
        <v/>
      </c>
      <c r="E1100" s="172">
        <f ca="1">IF(OFFSET('IWP30'!Std3LicenseInfo, 7, 9, 1, 1)=DATE(1900,1,0), DATE(1900,1,1), OFFSET('IWP30'!Std3LicenseInfo, 7, 9, 1, 1))</f>
        <v>1</v>
      </c>
      <c r="F1100" s="172">
        <f ca="1">IF(OFFSET('IWP30'!Std3LicenseInfo, 7, 10, 1, 1)=DATE(1900,1,0), DATE(1900,1,1), OFFSET('IWP30'!Std3LicenseInfo, 7, 10, 1, 1))</f>
        <v>1</v>
      </c>
      <c r="G1100" s="194" t="str">
        <f ca="1">IF(OFFSET('IWP30'!Std3LicenseInfo, 7, 11, 1, 1) = 0, "", OFFSET('IWP30'!Std3LicenseInfo, 7, 11, 1, 1))</f>
        <v/>
      </c>
    </row>
    <row r="1101" spans="1:7" s="146" customFormat="1">
      <c r="A1101" s="183" t="s">
        <v>528</v>
      </c>
      <c r="B1101" s="195" t="str">
        <f ca="1">IF(OFFSET('IWP30'!Std3LicenseInfo, 8, 0, 1, 1) = 0, "", OFFSET('IWP30'!Std3LicenseInfo, 8, 0, 1, 1))</f>
        <v/>
      </c>
      <c r="C1101" s="195" t="str">
        <f ca="1">IF(OFFSET('IWP30'!Std3LicenseInfo, 8, 3, 1, 1) = 0, "", OFFSET('IWP30'!Std3LicenseInfo, 8, 3, 1, 1))</f>
        <v/>
      </c>
      <c r="D1101" s="195" t="str">
        <f ca="1">IF(OFFSET('IWP30'!Std3LicenseInfo, 8, 6, 1, 1) = 0, "", OFFSET('IWP30'!Std3LicenseInfo, 8, 6, 1, 1))</f>
        <v/>
      </c>
      <c r="E1101" s="172">
        <f ca="1">IF(OFFSET('IWP30'!Std3LicenseInfo, 8, 9, 1, 1)=DATE(1900,1,0), DATE(1900,1,1), OFFSET('IWP30'!Std3LicenseInfo, 8, 9, 1, 1))</f>
        <v>1</v>
      </c>
      <c r="F1101" s="172">
        <f ca="1">IF(OFFSET('IWP30'!Std3LicenseInfo, 8, 10, 1, 1)=DATE(1900,1,0), DATE(1900,1,1), OFFSET('IWP30'!Std3LicenseInfo, 8, 10, 1, 1))</f>
        <v>1</v>
      </c>
      <c r="G1101" s="194" t="str">
        <f ca="1">IF(OFFSET('IWP30'!Std3LicenseInfo, 8, 11, 1, 1) = 0, "", OFFSET('IWP30'!Std3LicenseInfo, 8, 11, 1, 1))</f>
        <v/>
      </c>
    </row>
    <row r="1102" spans="1:7" s="146" customFormat="1">
      <c r="A1102" s="183" t="s">
        <v>528</v>
      </c>
      <c r="B1102" s="195" t="str">
        <f ca="1">IF(OFFSET('IWP30'!Std3LicenseInfo, 9, 0, 1, 1) = 0, "", OFFSET('IWP30'!Std3LicenseInfo, 9, 0, 1, 1))</f>
        <v/>
      </c>
      <c r="C1102" s="195" t="str">
        <f ca="1">IF(OFFSET('IWP30'!Std3LicenseInfo, 9, 3, 1, 1) = 0, "", OFFSET('IWP30'!Std3LicenseInfo, 9, 3, 1, 1))</f>
        <v/>
      </c>
      <c r="D1102" s="195" t="str">
        <f ca="1">IF(OFFSET('IWP30'!Std3LicenseInfo, 9, 6, 1, 1) = 0, "", OFFSET('IWP30'!Std3LicenseInfo, 9, 6, 1, 1))</f>
        <v/>
      </c>
      <c r="E1102" s="172">
        <f ca="1">IF(OFFSET('IWP30'!Std3LicenseInfo, 9, 9, 1, 1)=DATE(1900,1,0), DATE(1900,1,1), OFFSET('IWP30'!Std3LicenseInfo, 9, 9, 1, 1))</f>
        <v>1</v>
      </c>
      <c r="F1102" s="172">
        <f ca="1">IF(OFFSET('IWP30'!Std3LicenseInfo, 9, 10, 1, 1)=DATE(1900,1,0), DATE(1900,1,1), OFFSET('IWP30'!Std3LicenseInfo, 9, 10, 1, 1))</f>
        <v>1</v>
      </c>
      <c r="G1102" s="194" t="str">
        <f ca="1">IF(OFFSET('IWP30'!Std3LicenseInfo, 9, 11, 1, 1) = 0, "", OFFSET('IWP30'!Std3LicenseInfo, 9, 11, 1, 1))</f>
        <v/>
      </c>
    </row>
    <row r="1103" spans="1:7" s="146" customFormat="1">
      <c r="A1103" s="183" t="s">
        <v>528</v>
      </c>
      <c r="B1103" s="195" t="str">
        <f ca="1">IF(OFFSET('IWP30'!Std3LicenseInfo, 10, 0, 1, 1) = 0, "", OFFSET('IWP30'!Std3LicenseInfo, 10, 0, 1, 1))</f>
        <v/>
      </c>
      <c r="C1103" s="195" t="str">
        <f ca="1">IF(OFFSET('IWP30'!Std3LicenseInfo, 10, 3, 1, 1) = 0, "", OFFSET('IWP30'!Std3LicenseInfo, 10, 3, 1, 1))</f>
        <v/>
      </c>
      <c r="D1103" s="195" t="str">
        <f ca="1">IF(OFFSET('IWP30'!Std3LicenseInfo, 10, 6, 1, 1) = 0, "", OFFSET('IWP30'!Std3LicenseInfo, 10, 6, 1, 1))</f>
        <v/>
      </c>
      <c r="E1103" s="172">
        <f ca="1">IF(OFFSET('IWP30'!Std3LicenseInfo, 10, 9, 1, 1)=DATE(1900,1,0), DATE(1900,1,1), OFFSET('IWP30'!Std3LicenseInfo, 10, 9, 1, 1))</f>
        <v>1</v>
      </c>
      <c r="F1103" s="172">
        <f ca="1">IF(OFFSET('IWP30'!Std3LicenseInfo, 10, 10, 1, 1)=DATE(1900,1,0), DATE(1900,1,1), OFFSET('IWP30'!Std3LicenseInfo, 10, 10, 1, 1))</f>
        <v>1</v>
      </c>
      <c r="G1103" s="194" t="str">
        <f ca="1">IF(OFFSET('IWP30'!Std3LicenseInfo, 10, 11, 1, 1) = 0, "", OFFSET('IWP30'!Std3LicenseInfo, 10, 11, 1, 1))</f>
        <v/>
      </c>
    </row>
    <row r="1104" spans="1:7" s="146" customFormat="1">
      <c r="A1104" s="183" t="s">
        <v>528</v>
      </c>
      <c r="B1104" s="195" t="str">
        <f ca="1">IF(OFFSET('IWP30'!Std3LicenseInfo, 11, 0, 1, 1) = 0, "", OFFSET('IWP30'!Std3LicenseInfo, 11, 0, 1, 1))</f>
        <v/>
      </c>
      <c r="C1104" s="195" t="str">
        <f ca="1">IF(OFFSET('IWP30'!Std3LicenseInfo, 11, 3, 1, 1) = 0, "", OFFSET('IWP30'!Std3LicenseInfo, 11, 3, 1, 1))</f>
        <v/>
      </c>
      <c r="D1104" s="195" t="str">
        <f ca="1">IF(OFFSET('IWP30'!Std3LicenseInfo, 11, 6, 1, 1) = 0, "", OFFSET('IWP30'!Std3LicenseInfo, 11, 6, 1, 1))</f>
        <v/>
      </c>
      <c r="E1104" s="172">
        <f ca="1">IF(OFFSET('IWP30'!Std3LicenseInfo, 11, 9, 1, 1)=DATE(1900,1,0), DATE(1900,1,1), OFFSET('IWP30'!Std3LicenseInfo, 11, 9, 1, 1))</f>
        <v>1</v>
      </c>
      <c r="F1104" s="172">
        <f ca="1">IF(OFFSET('IWP30'!Std3LicenseInfo, 11, 10, 1, 1)=DATE(1900,1,0), DATE(1900,1,1), OFFSET('IWP30'!Std3LicenseInfo, 11, 10, 1, 1))</f>
        <v>1</v>
      </c>
      <c r="G1104" s="194" t="str">
        <f ca="1">IF(OFFSET('IWP30'!Std3LicenseInfo, 11, 11, 1, 1) = 0, "", OFFSET('IWP30'!Std3LicenseInfo, 11, 11, 1, 1))</f>
        <v/>
      </c>
    </row>
    <row r="1105" spans="1:13" s="146" customFormat="1">
      <c r="A1105" s="183" t="s">
        <v>528</v>
      </c>
      <c r="B1105" s="195" t="str">
        <f ca="1">IF(OFFSET('IWP30'!Std3LicenseInfo, 12, 0, 1, 1) = 0, "", OFFSET('IWP30'!Std3LicenseInfo, 12, 0, 1, 1))</f>
        <v/>
      </c>
      <c r="C1105" s="195" t="str">
        <f ca="1">IF(OFFSET('IWP30'!Std3LicenseInfo, 12, 3, 1, 1) = 0, "", OFFSET('IWP30'!Std3LicenseInfo, 12, 3, 1, 1))</f>
        <v/>
      </c>
      <c r="D1105" s="195" t="str">
        <f ca="1">IF(OFFSET('IWP30'!Std3LicenseInfo, 12, 6, 1, 1) = 0, "", OFFSET('IWP30'!Std3LicenseInfo, 12, 6, 1, 1))</f>
        <v/>
      </c>
      <c r="E1105" s="172">
        <f ca="1">IF(OFFSET('IWP30'!Std3LicenseInfo, 12, 9, 1, 1)=DATE(1900,1,0), DATE(1900,1,1), OFFSET('IWP30'!Std3LicenseInfo, 12, 9, 1, 1))</f>
        <v>1</v>
      </c>
      <c r="F1105" s="172">
        <f ca="1">IF(OFFSET('IWP30'!Std3LicenseInfo, 12, 10, 1, 1)=DATE(1900,1,0), DATE(1900,1,1), OFFSET('IWP30'!Std3LicenseInfo, 12, 10, 1, 1))</f>
        <v>1</v>
      </c>
      <c r="G1105" s="194" t="str">
        <f ca="1">IF(OFFSET('IWP30'!Std3LicenseInfo, 12, 11, 1, 1) = 0, "", OFFSET('IWP30'!Std3LicenseInfo, 12, 11, 1, 1))</f>
        <v/>
      </c>
    </row>
    <row r="1106" spans="1:13" s="146" customFormat="1" ht="15.75" thickBot="1">
      <c r="A1106" s="184" t="s">
        <v>528</v>
      </c>
      <c r="B1106" s="182" t="str">
        <f ca="1">IF(OFFSET('IWP30'!Std3LicenseInfo, 13, 0, 1, 1) = 0, "", OFFSET('IWP30'!Std3LicenseInfo, 13, 0, 1, 1))</f>
        <v/>
      </c>
      <c r="C1106" s="182" t="str">
        <f ca="1">IF(OFFSET('IWP30'!Std3LicenseInfo, 13, 3, 1, 1) = 0, "", OFFSET('IWP30'!Std3LicenseInfo, 13, 3, 1, 1))</f>
        <v/>
      </c>
      <c r="D1106" s="182" t="str">
        <f ca="1">IF(OFFSET('IWP30'!Std3LicenseInfo, 13, 6, 1, 1) = 0, "", OFFSET('IWP30'!Std3LicenseInfo, 13, 6, 1, 1))</f>
        <v/>
      </c>
      <c r="E1106" s="178">
        <f ca="1">IF(OFFSET('IWP30'!Std3LicenseInfo, 13, 9, 1, 1)=DATE(1900,1,0), DATE(1900,1,1), OFFSET('IWP30'!Std3LicenseInfo, 13, 9, 1, 1))</f>
        <v>1</v>
      </c>
      <c r="F1106" s="178">
        <f ca="1">IF(OFFSET('IWP30'!Std3LicenseInfo, 13, 10, 1, 1)=DATE(1900,1,0), DATE(1900,1,1), OFFSET('IWP30'!Std3LicenseInfo, 13, 10, 1, 1))</f>
        <v>1</v>
      </c>
      <c r="G1106" s="186" t="str">
        <f ca="1">IF(OFFSET('IWP30'!Std3LicenseInfo, 13, 11, 1, 1) = 0, "", OFFSET('IWP30'!Std3LicenseInfo, 13, 11, 1, 1))</f>
        <v/>
      </c>
    </row>
    <row r="1108" spans="1:13" ht="15.75" thickBot="1">
      <c r="A1108" s="168" t="s">
        <v>554</v>
      </c>
    </row>
    <row r="1109" spans="1:13" s="107" customFormat="1" ht="30">
      <c r="A1109" s="170" t="s">
        <v>443</v>
      </c>
      <c r="B1109" s="171" t="s">
        <v>548</v>
      </c>
      <c r="C1109" s="171" t="s">
        <v>549</v>
      </c>
      <c r="D1109" s="171" t="s">
        <v>550</v>
      </c>
      <c r="E1109" s="171" t="s">
        <v>551</v>
      </c>
      <c r="F1109" s="171" t="s">
        <v>456</v>
      </c>
      <c r="G1109" s="171" t="s">
        <v>457</v>
      </c>
      <c r="H1109" s="171" t="s">
        <v>458</v>
      </c>
      <c r="I1109" s="171" t="s">
        <v>459</v>
      </c>
      <c r="J1109" s="171" t="s">
        <v>460</v>
      </c>
      <c r="K1109" s="171" t="s">
        <v>461</v>
      </c>
      <c r="L1109" s="171" t="s">
        <v>552</v>
      </c>
      <c r="M1109" s="173" t="s">
        <v>553</v>
      </c>
    </row>
    <row r="1110" spans="1:13">
      <c r="A1110" s="183" t="s">
        <v>499</v>
      </c>
      <c r="B1110" s="196">
        <v>1</v>
      </c>
      <c r="C1110" s="172">
        <f ca="1">IF(OFFSET('IWP01'!Std4BudgetInfo, 0, 0, 1, 1)=DATE(1900,1,0), DATE(1900,1,1), OFFSET('IWP01'!Std4BudgetInfo, 0, 0, 1, 1))</f>
        <v>1</v>
      </c>
      <c r="D1110" s="172">
        <f ca="1">IF(OFFSET('IWP01'!Std4BudgetInfo, 0, 1, 1, 1)=DATE(1900,1,0), DATE(1900,1,1), OFFSET('IWP01'!Std4BudgetInfo, 0, 1, 1, 1))</f>
        <v>1</v>
      </c>
      <c r="E1110" s="172">
        <f ca="1">IF(OFFSET('IWP01'!Std4BudgetInfo, 2, 0, 1, 1)=DATE(1900,1,0), DATE(1900,1,1), OFFSET('IWP01'!Std4BudgetInfo, 2, 0, 1, 1))</f>
        <v>1</v>
      </c>
      <c r="F1110" s="195" t="str">
        <f ca="1">IF(OFFSET('IWP01'!Std4BudgetInfo, 3, 0, 1, 1) = 0, "", OFFSET('IWP01'!Std4BudgetInfo, 3, 0, 1, 1))</f>
        <v/>
      </c>
      <c r="G1110" s="195" t="str">
        <f ca="1">IF(OFFSET('IWP01'!Std4BudgetInfo, 4, 0, 1, 1) = 0, "", OFFSET('IWP01'!Std4BudgetInfo, 4, 0, 1, 1))</f>
        <v/>
      </c>
      <c r="H1110" s="195" t="str">
        <f ca="1">IF(OFFSET('IWP01'!Std4BudgetInfo, 5, 0, 1, 1) = 0, "", OFFSET('IWP01'!Std4BudgetInfo, 5, 0, 1, 1))</f>
        <v/>
      </c>
      <c r="I1110" s="195" t="str">
        <f ca="1">IF(OFFSET('IWP01'!Std4BudgetInfo, 6, 0, 1, 1) = 0, "", OFFSET('IWP01'!Std4BudgetInfo, 6, 0, 1, 1))</f>
        <v/>
      </c>
      <c r="J1110" s="195" t="str">
        <f ca="1">IF(OFFSET('IWP01'!Std4BudgetInfo, 7, 0, 1, 1) = 0, "", OFFSET('IWP01'!Std4BudgetInfo, 7, 0, 1, 1))</f>
        <v/>
      </c>
      <c r="K1110" s="195" t="str">
        <f ca="1">IF(OFFSET('IWP01'!Std4BudgetInfo, 8, 0, 1, 1) = 0, "", OFFSET('IWP01'!Std4BudgetInfo, 8, 0, 1, 1))</f>
        <v/>
      </c>
      <c r="L1110" s="195" t="str">
        <f ca="1">IF(OFFSET('IWP01'!Std4BudgetInfo, 9, 0, 1, 1) = 0, "", OFFSET('IWP01'!Std4BudgetInfo, 9, 0, 1, 1))</f>
        <v/>
      </c>
      <c r="M1110" s="194" t="str">
        <f ca="1">IF(OFFSET('IWP01'!Std4BudgetInfo, 10, 0, 1, 1) = 0, "", OFFSET('IWP01'!Std4BudgetInfo, 10, 0, 1, 1))</f>
        <v/>
      </c>
    </row>
    <row r="1111" spans="1:13">
      <c r="A1111" s="183" t="s">
        <v>499</v>
      </c>
      <c r="B1111" s="196">
        <v>2</v>
      </c>
      <c r="C1111" s="172">
        <f ca="1">IF(OFFSET('IWP01'!Std4BudgetInfo, 0, 2, 1, 1)=DATE(1900,1,0), DATE(1900,1,1), OFFSET('IWP01'!Std4BudgetInfo, 0, 2, 1, 1))</f>
        <v>1</v>
      </c>
      <c r="D1111" s="172">
        <f ca="1">IF(OFFSET('IWP01'!Std4BudgetInfo, 0, 3, 1, 1)=DATE(1900,1,0), DATE(1900,1,1), OFFSET('IWP01'!Std4BudgetInfo, 0, 3, 1, 1))</f>
        <v>1</v>
      </c>
      <c r="E1111" s="172">
        <f ca="1">IF(OFFSET('IWP01'!Std4BudgetInfo, 2, 2, 1, 1)=DATE(1900,1,0), DATE(1900,1,1), OFFSET('IWP01'!Std4BudgetInfo, 2, 2, 1, 1))</f>
        <v>1</v>
      </c>
      <c r="F1111" s="195" t="str">
        <f ca="1">IF(OFFSET('IWP01'!Std4BudgetInfo, 3, 2, 1, 1) = 0, "", OFFSET('IWP01'!Std4BudgetInfo, 3, 2, 1, 1))</f>
        <v/>
      </c>
      <c r="G1111" s="195" t="str">
        <f ca="1">IF(OFFSET('IWP01'!Std4BudgetInfo, 4, 2, 1, 1) = 0, "", OFFSET('IWP01'!Std4BudgetInfo, 4, 2, 1, 1))</f>
        <v/>
      </c>
      <c r="H1111" s="195" t="str">
        <f ca="1">IF(OFFSET('IWP01'!Std4BudgetInfo, 5, 2, 1, 1) = 0, "", OFFSET('IWP01'!Std4BudgetInfo, 5, 2, 1, 1))</f>
        <v/>
      </c>
      <c r="I1111" s="195" t="str">
        <f ca="1">IF(OFFSET('IWP01'!Std4BudgetInfo, 6, 2, 1, 1) = 0, "", OFFSET('IWP01'!Std4BudgetInfo, 6, 2, 1, 1))</f>
        <v/>
      </c>
      <c r="J1111" s="195" t="str">
        <f ca="1">IF(OFFSET('IWP01'!Std4BudgetInfo, 7, 2, 1, 1) = 0, "", OFFSET('IWP01'!Std4BudgetInfo, 7, 2, 1, 1))</f>
        <v/>
      </c>
      <c r="K1111" s="195" t="str">
        <f ca="1">IF(OFFSET('IWP01'!Std4BudgetInfo, 8, 2, 1, 1) = 0, "", OFFSET('IWP01'!Std4BudgetInfo, 8, 2, 1, 1))</f>
        <v/>
      </c>
      <c r="L1111" s="195" t="str">
        <f ca="1">IF(OFFSET('IWP01'!Std4BudgetInfo, 9, 2, 1, 1) = 0, "", OFFSET('IWP01'!Std4BudgetInfo, 9, 2, 1, 1))</f>
        <v/>
      </c>
      <c r="M1111" s="194" t="str">
        <f ca="1">IF(OFFSET('IWP01'!Std4BudgetInfo, 10, 2, 1, 1) = 0, "", OFFSET('IWP01'!Std4BudgetInfo, 10, 2, 1, 1))</f>
        <v/>
      </c>
    </row>
    <row r="1112" spans="1:13">
      <c r="A1112" s="183" t="s">
        <v>499</v>
      </c>
      <c r="B1112" s="196">
        <v>3</v>
      </c>
      <c r="C1112" s="172">
        <f ca="1">IF(OFFSET('IWP01'!Std4BudgetInfo, 0, 4, 1, 1)=DATE(1900,1,0), DATE(1900,1,1), OFFSET('IWP01'!Std4BudgetInfo, 0, 4, 1, 1))</f>
        <v>1</v>
      </c>
      <c r="D1112" s="172">
        <f ca="1">IF(OFFSET('IWP01'!Std4BudgetInfo, 0, 5, 1, 1)=DATE(1900,1,0), DATE(1900,1,1), OFFSET('IWP01'!Std4BudgetInfo, 0, 5, 1, 1))</f>
        <v>1</v>
      </c>
      <c r="E1112" s="172">
        <f ca="1">IF(OFFSET('IWP01'!Std4BudgetInfo, 2, 4, 1, 1)=DATE(1900,1,0), DATE(1900,1,1), OFFSET('IWP01'!Std4BudgetInfo, 2, 4, 1, 1))</f>
        <v>1</v>
      </c>
      <c r="F1112" s="195" t="str">
        <f ca="1">IF(OFFSET('IWP01'!Std4BudgetInfo, 3, 4, 1, 1) = 0, "", OFFSET('IWP01'!Std4BudgetInfo, 3, 4, 1, 1))</f>
        <v/>
      </c>
      <c r="G1112" s="195" t="str">
        <f ca="1">IF(OFFSET('IWP01'!Std4BudgetInfo, 4, 4, 1, 1) = 0, "", OFFSET('IWP01'!Std4BudgetInfo, 4, 4, 1, 1))</f>
        <v/>
      </c>
      <c r="H1112" s="195" t="str">
        <f ca="1">IF(OFFSET('IWP01'!Std4BudgetInfo, 5, 4, 1, 1) = 0, "", OFFSET('IWP01'!Std4BudgetInfo, 5, 4, 1, 1))</f>
        <v/>
      </c>
      <c r="I1112" s="195" t="str">
        <f ca="1">IF(OFFSET('IWP01'!Std4BudgetInfo, 6, 4, 1, 1) = 0, "", OFFSET('IWP01'!Std4BudgetInfo, 6, 4, 1, 1))</f>
        <v/>
      </c>
      <c r="J1112" s="195" t="str">
        <f ca="1">IF(OFFSET('IWP01'!Std4BudgetInfo, 7, 4, 1, 1) = 0, "", OFFSET('IWP01'!Std4BudgetInfo, 7, 4, 1, 1))</f>
        <v/>
      </c>
      <c r="K1112" s="195" t="str">
        <f ca="1">IF(OFFSET('IWP01'!Std4BudgetInfo, 8, 4, 1, 1) = 0, "", OFFSET('IWP01'!Std4BudgetInfo, 8, 4, 1, 1))</f>
        <v/>
      </c>
      <c r="L1112" s="195" t="str">
        <f ca="1">IF(OFFSET('IWP01'!Std4BudgetInfo, 9, 4, 1, 1) = 0, "", OFFSET('IWP01'!Std4BudgetInfo, 9, 4, 1, 1))</f>
        <v/>
      </c>
      <c r="M1112" s="194" t="str">
        <f ca="1">IF(OFFSET('IWP01'!Std4BudgetInfo, 10, 4, 1, 1) = 0, "", OFFSET('IWP01'!Std4BudgetInfo, 10, 4, 1, 1))</f>
        <v/>
      </c>
    </row>
    <row r="1113" spans="1:13">
      <c r="A1113" s="183" t="s">
        <v>499</v>
      </c>
      <c r="B1113" s="196">
        <v>4</v>
      </c>
      <c r="C1113" s="172">
        <f ca="1">IF(OFFSET('IWP01'!Std4BudgetInfo, 0, 6, 1, 1)=DATE(1900,1,0), DATE(1900,1,1), OFFSET('IWP01'!Std4BudgetInfo, 0, 6, 1, 1))</f>
        <v>1</v>
      </c>
      <c r="D1113" s="172">
        <f ca="1">IF(OFFSET('IWP01'!Std4BudgetInfo, 0, 7, 1, 1)=DATE(1900,1,0), DATE(1900,1,1), OFFSET('IWP01'!Std4BudgetInfo, 0, 7, 1, 1))</f>
        <v>1</v>
      </c>
      <c r="E1113" s="172">
        <f ca="1">IF(OFFSET('IWP01'!Std4BudgetInfo, 2, 6, 1, 1)=DATE(1900,1,0), DATE(1900,1,1), OFFSET('IWP01'!Std4BudgetInfo, 2, 6, 1, 1))</f>
        <v>1</v>
      </c>
      <c r="F1113" s="195" t="str">
        <f ca="1">IF(OFFSET('IWP01'!Std4BudgetInfo, 3, 6, 1, 1) = 0, "", OFFSET('IWP01'!Std4BudgetInfo, 3, 6, 1, 1))</f>
        <v/>
      </c>
      <c r="G1113" s="195" t="str">
        <f ca="1">IF(OFFSET('IWP01'!Std4BudgetInfo, 4, 6, 1, 1) = 0, "", OFFSET('IWP01'!Std4BudgetInfo, 4, 6, 1, 1))</f>
        <v/>
      </c>
      <c r="H1113" s="195" t="str">
        <f ca="1">IF(OFFSET('IWP01'!Std4BudgetInfo, 5, 6, 1, 1) = 0, "", OFFSET('IWP01'!Std4BudgetInfo, 5, 6, 1, 1))</f>
        <v/>
      </c>
      <c r="I1113" s="195" t="str">
        <f ca="1">IF(OFFSET('IWP01'!Std4BudgetInfo, 6, 6, 1, 1) = 0, "", OFFSET('IWP01'!Std4BudgetInfo, 6, 6, 1, 1))</f>
        <v/>
      </c>
      <c r="J1113" s="195" t="str">
        <f ca="1">IF(OFFSET('IWP01'!Std4BudgetInfo, 7, 6, 1, 1) = 0, "", OFFSET('IWP01'!Std4BudgetInfo, 7, 6, 1, 1))</f>
        <v/>
      </c>
      <c r="K1113" s="195" t="str">
        <f ca="1">IF(OFFSET('IWP01'!Std4BudgetInfo, 8, 6, 1, 1) = 0, "", OFFSET('IWP01'!Std4BudgetInfo, 8, 6, 1, 1))</f>
        <v/>
      </c>
      <c r="L1113" s="195" t="str">
        <f ca="1">IF(OFFSET('IWP01'!Std4BudgetInfo, 9, 6, 1, 1) = 0, "", OFFSET('IWP01'!Std4BudgetInfo, 9, 6, 1, 1))</f>
        <v/>
      </c>
      <c r="M1113" s="194" t="str">
        <f ca="1">IF(OFFSET('IWP01'!Std4BudgetInfo, 10, 6, 1, 1) = 0, "", OFFSET('IWP01'!Std4BudgetInfo, 10, 6, 1, 1))</f>
        <v/>
      </c>
    </row>
    <row r="1114" spans="1:13" s="105" customFormat="1">
      <c r="A1114" s="183" t="s">
        <v>500</v>
      </c>
      <c r="B1114" s="196">
        <v>1</v>
      </c>
      <c r="C1114" s="172">
        <f ca="1">IF(OFFSET('IWP02'!Std4BudgetInfo, 0, 0, 1, 1)=DATE(1900,1,0), DATE(1900,1,1), OFFSET('IWP02'!Std4BudgetInfo, 0, 0, 1, 1))</f>
        <v>1</v>
      </c>
      <c r="D1114" s="172">
        <f ca="1">IF(OFFSET('IWP02'!Std4BudgetInfo, 0, 1, 1, 1)=DATE(1900,1,0), DATE(1900,1,1), OFFSET('IWP02'!Std4BudgetInfo, 0, 1, 1, 1))</f>
        <v>1</v>
      </c>
      <c r="E1114" s="172">
        <f ca="1">IF(OFFSET('IWP02'!Std4BudgetInfo, 2, 0, 1, 1)=DATE(1900,1,0), DATE(1900,1,1), OFFSET('IWP02'!Std4BudgetInfo, 2, 0, 1, 1))</f>
        <v>1</v>
      </c>
      <c r="F1114" s="195" t="str">
        <f ca="1">IF(OFFSET('IWP02'!Std4BudgetInfo, 3, 0, 1, 1) = 0, "", OFFSET('IWP02'!Std4BudgetInfo, 3, 0, 1, 1))</f>
        <v/>
      </c>
      <c r="G1114" s="195" t="str">
        <f ca="1">IF(OFFSET('IWP02'!Std4BudgetInfo, 4, 0, 1, 1) = 0, "", OFFSET('IWP02'!Std4BudgetInfo, 4, 0, 1, 1))</f>
        <v/>
      </c>
      <c r="H1114" s="195" t="str">
        <f ca="1">IF(OFFSET('IWP02'!Std4BudgetInfo, 5, 0, 1, 1) = 0, "", OFFSET('IWP02'!Std4BudgetInfo, 5, 0, 1, 1))</f>
        <v/>
      </c>
      <c r="I1114" s="195" t="str">
        <f ca="1">IF(OFFSET('IWP02'!Std4BudgetInfo, 6, 0, 1, 1) = 0, "", OFFSET('IWP02'!Std4BudgetInfo, 6, 0, 1, 1))</f>
        <v/>
      </c>
      <c r="J1114" s="195" t="str">
        <f ca="1">IF(OFFSET('IWP02'!Std4BudgetInfo, 7, 0, 1, 1) = 0, "", OFFSET('IWP02'!Std4BudgetInfo, 7, 0, 1, 1))</f>
        <v/>
      </c>
      <c r="K1114" s="195" t="str">
        <f ca="1">IF(OFFSET('IWP02'!Std4BudgetInfo, 8, 0, 1, 1) = 0, "", OFFSET('IWP02'!Std4BudgetInfo, 8, 0, 1, 1))</f>
        <v/>
      </c>
      <c r="L1114" s="195" t="str">
        <f ca="1">IF(OFFSET('IWP02'!Std4BudgetInfo, 9, 0, 1, 1) = 0, "", OFFSET('IWP02'!Std4BudgetInfo, 9, 0, 1, 1))</f>
        <v/>
      </c>
      <c r="M1114" s="194" t="str">
        <f ca="1">IF(OFFSET('IWP02'!Std4BudgetInfo, 10, 0, 1, 1) = 0, "", OFFSET('IWP02'!Std4BudgetInfo, 10, 0, 1, 1))</f>
        <v/>
      </c>
    </row>
    <row r="1115" spans="1:13" s="105" customFormat="1">
      <c r="A1115" s="183" t="s">
        <v>500</v>
      </c>
      <c r="B1115" s="196">
        <v>2</v>
      </c>
      <c r="C1115" s="172">
        <f ca="1">IF(OFFSET('IWP02'!Std4BudgetInfo, 0, 2, 1, 1)=DATE(1900,1,0), DATE(1900,1,1), OFFSET('IWP02'!Std4BudgetInfo, 0, 2, 1, 1))</f>
        <v>1</v>
      </c>
      <c r="D1115" s="172">
        <f ca="1">IF(OFFSET('IWP02'!Std4BudgetInfo, 0, 3, 1, 1)=DATE(1900,1,0), DATE(1900,1,1), OFFSET('IWP02'!Std4BudgetInfo, 0, 3, 1, 1))</f>
        <v>1</v>
      </c>
      <c r="E1115" s="172">
        <f ca="1">IF(OFFSET('IWP02'!Std4BudgetInfo, 2, 2, 1, 1)=DATE(1900,1,0), DATE(1900,1,1), OFFSET('IWP02'!Std4BudgetInfo, 2, 2, 1, 1))</f>
        <v>1</v>
      </c>
      <c r="F1115" s="195" t="str">
        <f ca="1">IF(OFFSET('IWP02'!Std4BudgetInfo, 3, 2, 1, 1) = 0, "", OFFSET('IWP02'!Std4BudgetInfo, 3, 2, 1, 1))</f>
        <v/>
      </c>
      <c r="G1115" s="195" t="str">
        <f ca="1">IF(OFFSET('IWP02'!Std4BudgetInfo, 4, 2, 1, 1) = 0, "", OFFSET('IWP02'!Std4BudgetInfo, 4, 2, 1, 1))</f>
        <v/>
      </c>
      <c r="H1115" s="195" t="str">
        <f ca="1">IF(OFFSET('IWP02'!Std4BudgetInfo, 5, 2, 1, 1) = 0, "", OFFSET('IWP02'!Std4BudgetInfo, 5, 2, 1, 1))</f>
        <v/>
      </c>
      <c r="I1115" s="195" t="str">
        <f ca="1">IF(OFFSET('IWP02'!Std4BudgetInfo, 6, 2, 1, 1) = 0, "", OFFSET('IWP02'!Std4BudgetInfo, 6, 2, 1, 1))</f>
        <v/>
      </c>
      <c r="J1115" s="195" t="str">
        <f ca="1">IF(OFFSET('IWP02'!Std4BudgetInfo, 7, 2, 1, 1) = 0, "", OFFSET('IWP02'!Std4BudgetInfo, 7, 2, 1, 1))</f>
        <v/>
      </c>
      <c r="K1115" s="195" t="str">
        <f ca="1">IF(OFFSET('IWP02'!Std4BudgetInfo, 8, 2, 1, 1) = 0, "", OFFSET('IWP02'!Std4BudgetInfo, 8, 2, 1, 1))</f>
        <v/>
      </c>
      <c r="L1115" s="195" t="str">
        <f ca="1">IF(OFFSET('IWP02'!Std4BudgetInfo, 9, 2, 1, 1) = 0, "", OFFSET('IWP02'!Std4BudgetInfo, 9, 2, 1, 1))</f>
        <v/>
      </c>
      <c r="M1115" s="194" t="str">
        <f ca="1">IF(OFFSET('IWP02'!Std4BudgetInfo, 10, 2, 1, 1) = 0, "", OFFSET('IWP02'!Std4BudgetInfo, 10, 2, 1, 1))</f>
        <v/>
      </c>
    </row>
    <row r="1116" spans="1:13" s="105" customFormat="1">
      <c r="A1116" s="183" t="s">
        <v>500</v>
      </c>
      <c r="B1116" s="196">
        <v>3</v>
      </c>
      <c r="C1116" s="172">
        <f ca="1">IF(OFFSET('IWP02'!Std4BudgetInfo, 0, 4, 1, 1)=DATE(1900,1,0), DATE(1900,1,1), OFFSET('IWP02'!Std4BudgetInfo, 0, 4, 1, 1))</f>
        <v>1</v>
      </c>
      <c r="D1116" s="172">
        <f ca="1">IF(OFFSET('IWP02'!Std4BudgetInfo, 0, 5, 1, 1)=DATE(1900,1,0), DATE(1900,1,1), OFFSET('IWP02'!Std4BudgetInfo, 0, 5, 1, 1))</f>
        <v>1</v>
      </c>
      <c r="E1116" s="172">
        <f ca="1">IF(OFFSET('IWP02'!Std4BudgetInfo, 2, 4, 1, 1)=DATE(1900,1,0), DATE(1900,1,1), OFFSET('IWP02'!Std4BudgetInfo, 2, 4, 1, 1))</f>
        <v>1</v>
      </c>
      <c r="F1116" s="195" t="str">
        <f ca="1">IF(OFFSET('IWP02'!Std4BudgetInfo, 3, 4, 1, 1) = 0, "", OFFSET('IWP02'!Std4BudgetInfo, 3, 4, 1, 1))</f>
        <v/>
      </c>
      <c r="G1116" s="195" t="str">
        <f ca="1">IF(OFFSET('IWP02'!Std4BudgetInfo, 4, 4, 1, 1) = 0, "", OFFSET('IWP02'!Std4BudgetInfo, 4, 4, 1, 1))</f>
        <v/>
      </c>
      <c r="H1116" s="195" t="str">
        <f ca="1">IF(OFFSET('IWP02'!Std4BudgetInfo, 5, 4, 1, 1) = 0, "", OFFSET('IWP02'!Std4BudgetInfo, 5, 4, 1, 1))</f>
        <v/>
      </c>
      <c r="I1116" s="195" t="str">
        <f ca="1">IF(OFFSET('IWP02'!Std4BudgetInfo, 6, 4, 1, 1) = 0, "", OFFSET('IWP02'!Std4BudgetInfo, 6, 4, 1, 1))</f>
        <v/>
      </c>
      <c r="J1116" s="195" t="str">
        <f ca="1">IF(OFFSET('IWP02'!Std4BudgetInfo, 7, 4, 1, 1) = 0, "", OFFSET('IWP02'!Std4BudgetInfo, 7, 4, 1, 1))</f>
        <v/>
      </c>
      <c r="K1116" s="195" t="str">
        <f ca="1">IF(OFFSET('IWP02'!Std4BudgetInfo, 8, 4, 1, 1) = 0, "", OFFSET('IWP02'!Std4BudgetInfo, 8, 4, 1, 1))</f>
        <v/>
      </c>
      <c r="L1116" s="195" t="str">
        <f ca="1">IF(OFFSET('IWP02'!Std4BudgetInfo, 9, 4, 1, 1) = 0, "", OFFSET('IWP02'!Std4BudgetInfo, 9, 4, 1, 1))</f>
        <v/>
      </c>
      <c r="M1116" s="194" t="str">
        <f ca="1">IF(OFFSET('IWP02'!Std4BudgetInfo, 10, 4, 1, 1) = 0, "", OFFSET('IWP02'!Std4BudgetInfo, 10, 4, 1, 1))</f>
        <v/>
      </c>
    </row>
    <row r="1117" spans="1:13" s="105" customFormat="1">
      <c r="A1117" s="183" t="s">
        <v>500</v>
      </c>
      <c r="B1117" s="196">
        <v>4</v>
      </c>
      <c r="C1117" s="172">
        <f ca="1">IF(OFFSET('IWP02'!Std4BudgetInfo, 0, 6, 1, 1)=DATE(1900,1,0), DATE(1900,1,1), OFFSET('IWP02'!Std4BudgetInfo, 0, 6, 1, 1))</f>
        <v>1</v>
      </c>
      <c r="D1117" s="172">
        <f ca="1">IF(OFFSET('IWP02'!Std4BudgetInfo, 0, 7, 1, 1)=DATE(1900,1,0), DATE(1900,1,1), OFFSET('IWP02'!Std4BudgetInfo, 0, 7, 1, 1))</f>
        <v>1</v>
      </c>
      <c r="E1117" s="172">
        <f ca="1">IF(OFFSET('IWP02'!Std4BudgetInfo, 2, 6, 1, 1)=DATE(1900,1,0), DATE(1900,1,1), OFFSET('IWP02'!Std4BudgetInfo, 2, 6, 1, 1))</f>
        <v>1</v>
      </c>
      <c r="F1117" s="195" t="str">
        <f ca="1">IF(OFFSET('IWP02'!Std4BudgetInfo, 3, 6, 1, 1) = 0, "", OFFSET('IWP02'!Std4BudgetInfo, 3, 6, 1, 1))</f>
        <v/>
      </c>
      <c r="G1117" s="195" t="str">
        <f ca="1">IF(OFFSET('IWP02'!Std4BudgetInfo, 4, 6, 1, 1) = 0, "", OFFSET('IWP02'!Std4BudgetInfo, 4, 6, 1, 1))</f>
        <v/>
      </c>
      <c r="H1117" s="195" t="str">
        <f ca="1">IF(OFFSET('IWP02'!Std4BudgetInfo, 5, 6, 1, 1) = 0, "", OFFSET('IWP02'!Std4BudgetInfo, 5, 6, 1, 1))</f>
        <v/>
      </c>
      <c r="I1117" s="195" t="str">
        <f ca="1">IF(OFFSET('IWP02'!Std4BudgetInfo, 6, 6, 1, 1) = 0, "", OFFSET('IWP02'!Std4BudgetInfo, 6, 6, 1, 1))</f>
        <v/>
      </c>
      <c r="J1117" s="195" t="str">
        <f ca="1">IF(OFFSET('IWP02'!Std4BudgetInfo, 7, 6, 1, 1) = 0, "", OFFSET('IWP02'!Std4BudgetInfo, 7, 6, 1, 1))</f>
        <v/>
      </c>
      <c r="K1117" s="195" t="str">
        <f ca="1">IF(OFFSET('IWP02'!Std4BudgetInfo, 8, 6, 1, 1) = 0, "", OFFSET('IWP02'!Std4BudgetInfo, 8, 6, 1, 1))</f>
        <v/>
      </c>
      <c r="L1117" s="195" t="str">
        <f ca="1">IF(OFFSET('IWP02'!Std4BudgetInfo, 9, 6, 1, 1) = 0, "", OFFSET('IWP02'!Std4BudgetInfo, 9, 6, 1, 1))</f>
        <v/>
      </c>
      <c r="M1117" s="194" t="str">
        <f ca="1">IF(OFFSET('IWP02'!Std4BudgetInfo, 10, 6, 1, 1) = 0, "", OFFSET('IWP02'!Std4BudgetInfo, 10, 6, 1, 1))</f>
        <v/>
      </c>
    </row>
    <row r="1118" spans="1:13" s="105" customFormat="1">
      <c r="A1118" s="183" t="s">
        <v>501</v>
      </c>
      <c r="B1118" s="196">
        <v>1</v>
      </c>
      <c r="C1118" s="172">
        <f ca="1">IF(OFFSET('IWP03'!Std4BudgetInfo, 0, 0, 1, 1)=DATE(1900,1,0), DATE(1900,1,1), OFFSET('IWP03'!Std4BudgetInfo, 0, 0, 1, 1))</f>
        <v>1</v>
      </c>
      <c r="D1118" s="172">
        <f ca="1">IF(OFFSET('IWP03'!Std4BudgetInfo, 0, 1, 1, 1)=DATE(1900,1,0), DATE(1900,1,1), OFFSET('IWP03'!Std4BudgetInfo, 0, 1, 1, 1))</f>
        <v>1</v>
      </c>
      <c r="E1118" s="172">
        <f ca="1">IF(OFFSET('IWP03'!Std4BudgetInfo, 2, 0, 1, 1)=DATE(1900,1,0), DATE(1900,1,1), OFFSET('IWP03'!Std4BudgetInfo, 2, 0, 1, 1))</f>
        <v>1</v>
      </c>
      <c r="F1118" s="195" t="str">
        <f ca="1">IF(OFFSET('IWP03'!Std4BudgetInfo, 3, 0, 1, 1) = 0, "", OFFSET('IWP03'!Std4BudgetInfo, 3, 0, 1, 1))</f>
        <v/>
      </c>
      <c r="G1118" s="195" t="str">
        <f ca="1">IF(OFFSET('IWP03'!Std4BudgetInfo, 4, 0, 1, 1) = 0, "", OFFSET('IWP03'!Std4BudgetInfo, 4, 0, 1, 1))</f>
        <v/>
      </c>
      <c r="H1118" s="195" t="str">
        <f ca="1">IF(OFFSET('IWP03'!Std4BudgetInfo, 5, 0, 1, 1) = 0, "", OFFSET('IWP03'!Std4BudgetInfo, 5, 0, 1, 1))</f>
        <v/>
      </c>
      <c r="I1118" s="195" t="str">
        <f ca="1">IF(OFFSET('IWP03'!Std4BudgetInfo, 6, 0, 1, 1) = 0, "", OFFSET('IWP03'!Std4BudgetInfo, 6, 0, 1, 1))</f>
        <v/>
      </c>
      <c r="J1118" s="195" t="str">
        <f ca="1">IF(OFFSET('IWP03'!Std4BudgetInfo, 7, 0, 1, 1) = 0, "", OFFSET('IWP03'!Std4BudgetInfo, 7, 0, 1, 1))</f>
        <v/>
      </c>
      <c r="K1118" s="195" t="str">
        <f ca="1">IF(OFFSET('IWP03'!Std4BudgetInfo, 8, 0, 1, 1) = 0, "", OFFSET('IWP03'!Std4BudgetInfo, 8, 0, 1, 1))</f>
        <v/>
      </c>
      <c r="L1118" s="195" t="str">
        <f ca="1">IF(OFFSET('IWP03'!Std4BudgetInfo, 9, 0, 1, 1) = 0, "", OFFSET('IWP03'!Std4BudgetInfo, 9, 0, 1, 1))</f>
        <v/>
      </c>
      <c r="M1118" s="194" t="str">
        <f ca="1">IF(OFFSET('IWP03'!Std4BudgetInfo, 10, 0, 1, 1) = 0, "", OFFSET('IWP03'!Std4BudgetInfo, 10, 0, 1, 1))</f>
        <v/>
      </c>
    </row>
    <row r="1119" spans="1:13" s="105" customFormat="1">
      <c r="A1119" s="183" t="s">
        <v>501</v>
      </c>
      <c r="B1119" s="196">
        <v>2</v>
      </c>
      <c r="C1119" s="172">
        <f ca="1">IF(OFFSET('IWP03'!Std4BudgetInfo, 0, 2, 1, 1)=DATE(1900,1,0), DATE(1900,1,1), OFFSET('IWP03'!Std4BudgetInfo, 0, 2, 1, 1))</f>
        <v>1</v>
      </c>
      <c r="D1119" s="172">
        <f ca="1">IF(OFFSET('IWP03'!Std4BudgetInfo, 0, 3, 1, 1)=DATE(1900,1,0), DATE(1900,1,1), OFFSET('IWP03'!Std4BudgetInfo, 0, 3, 1, 1))</f>
        <v>1</v>
      </c>
      <c r="E1119" s="172">
        <f ca="1">IF(OFFSET('IWP03'!Std4BudgetInfo, 2, 2, 1, 1)=DATE(1900,1,0), DATE(1900,1,1), OFFSET('IWP03'!Std4BudgetInfo, 2, 2, 1, 1))</f>
        <v>1</v>
      </c>
      <c r="F1119" s="195" t="str">
        <f ca="1">IF(OFFSET('IWP03'!Std4BudgetInfo, 3, 2, 1, 1) = 0, "", OFFSET('IWP03'!Std4BudgetInfo, 3, 2, 1, 1))</f>
        <v/>
      </c>
      <c r="G1119" s="195" t="str">
        <f ca="1">IF(OFFSET('IWP03'!Std4BudgetInfo, 4, 2, 1, 1) = 0, "", OFFSET('IWP03'!Std4BudgetInfo, 4, 2, 1, 1))</f>
        <v/>
      </c>
      <c r="H1119" s="195" t="str">
        <f ca="1">IF(OFFSET('IWP03'!Std4BudgetInfo, 5, 2, 1, 1) = 0, "", OFFSET('IWP03'!Std4BudgetInfo, 5, 2, 1, 1))</f>
        <v/>
      </c>
      <c r="I1119" s="195" t="str">
        <f ca="1">IF(OFFSET('IWP03'!Std4BudgetInfo, 6, 2, 1, 1) = 0, "", OFFSET('IWP03'!Std4BudgetInfo, 6, 2, 1, 1))</f>
        <v/>
      </c>
      <c r="J1119" s="195" t="str">
        <f ca="1">IF(OFFSET('IWP03'!Std4BudgetInfo, 7, 2, 1, 1) = 0, "", OFFSET('IWP03'!Std4BudgetInfo, 7, 2, 1, 1))</f>
        <v/>
      </c>
      <c r="K1119" s="195" t="str">
        <f ca="1">IF(OFFSET('IWP03'!Std4BudgetInfo, 8, 2, 1, 1) = 0, "", OFFSET('IWP03'!Std4BudgetInfo, 8, 2, 1, 1))</f>
        <v/>
      </c>
      <c r="L1119" s="195" t="str">
        <f ca="1">IF(OFFSET('IWP03'!Std4BudgetInfo, 9, 2, 1, 1) = 0, "", OFFSET('IWP03'!Std4BudgetInfo, 9, 2, 1, 1))</f>
        <v/>
      </c>
      <c r="M1119" s="194" t="str">
        <f ca="1">IF(OFFSET('IWP03'!Std4BudgetInfo, 10, 2, 1, 1) = 0, "", OFFSET('IWP03'!Std4BudgetInfo, 10, 2, 1, 1))</f>
        <v/>
      </c>
    </row>
    <row r="1120" spans="1:13" s="105" customFormat="1">
      <c r="A1120" s="183" t="s">
        <v>501</v>
      </c>
      <c r="B1120" s="196">
        <v>3</v>
      </c>
      <c r="C1120" s="172">
        <f ca="1">IF(OFFSET('IWP03'!Std4BudgetInfo, 0, 4, 1, 1)=DATE(1900,1,0), DATE(1900,1,1), OFFSET('IWP03'!Std4BudgetInfo, 0, 4, 1, 1))</f>
        <v>1</v>
      </c>
      <c r="D1120" s="172">
        <f ca="1">IF(OFFSET('IWP03'!Std4BudgetInfo, 0, 5, 1, 1)=DATE(1900,1,0), DATE(1900,1,1), OFFSET('IWP03'!Std4BudgetInfo, 0, 5, 1, 1))</f>
        <v>1</v>
      </c>
      <c r="E1120" s="172">
        <f ca="1">IF(OFFSET('IWP03'!Std4BudgetInfo, 2, 4, 1, 1)=DATE(1900,1,0), DATE(1900,1,1), OFFSET('IWP03'!Std4BudgetInfo, 2, 4, 1, 1))</f>
        <v>1</v>
      </c>
      <c r="F1120" s="195" t="str">
        <f ca="1">IF(OFFSET('IWP03'!Std4BudgetInfo, 3, 4, 1, 1) = 0, "", OFFSET('IWP03'!Std4BudgetInfo, 3, 4, 1, 1))</f>
        <v/>
      </c>
      <c r="G1120" s="195" t="str">
        <f ca="1">IF(OFFSET('IWP03'!Std4BudgetInfo, 4, 4, 1, 1) = 0, "", OFFSET('IWP03'!Std4BudgetInfo, 4, 4, 1, 1))</f>
        <v/>
      </c>
      <c r="H1120" s="195" t="str">
        <f ca="1">IF(OFFSET('IWP03'!Std4BudgetInfo, 5, 4, 1, 1) = 0, "", OFFSET('IWP03'!Std4BudgetInfo, 5, 4, 1, 1))</f>
        <v/>
      </c>
      <c r="I1120" s="195" t="str">
        <f ca="1">IF(OFFSET('IWP03'!Std4BudgetInfo, 6, 4, 1, 1) = 0, "", OFFSET('IWP03'!Std4BudgetInfo, 6, 4, 1, 1))</f>
        <v/>
      </c>
      <c r="J1120" s="195" t="str">
        <f ca="1">IF(OFFSET('IWP03'!Std4BudgetInfo, 7, 4, 1, 1) = 0, "", OFFSET('IWP03'!Std4BudgetInfo, 7, 4, 1, 1))</f>
        <v/>
      </c>
      <c r="K1120" s="195" t="str">
        <f ca="1">IF(OFFSET('IWP03'!Std4BudgetInfo, 8, 4, 1, 1) = 0, "", OFFSET('IWP03'!Std4BudgetInfo, 8, 4, 1, 1))</f>
        <v/>
      </c>
      <c r="L1120" s="195" t="str">
        <f ca="1">IF(OFFSET('IWP03'!Std4BudgetInfo, 9, 4, 1, 1) = 0, "", OFFSET('IWP03'!Std4BudgetInfo, 9, 4, 1, 1))</f>
        <v/>
      </c>
      <c r="M1120" s="194" t="str">
        <f ca="1">IF(OFFSET('IWP03'!Std4BudgetInfo, 10, 4, 1, 1) = 0, "", OFFSET('IWP03'!Std4BudgetInfo, 10, 4, 1, 1))</f>
        <v/>
      </c>
    </row>
    <row r="1121" spans="1:13" s="105" customFormat="1">
      <c r="A1121" s="183" t="s">
        <v>501</v>
      </c>
      <c r="B1121" s="196">
        <v>4</v>
      </c>
      <c r="C1121" s="172">
        <f ca="1">IF(OFFSET('IWP03'!Std4BudgetInfo, 0, 6, 1, 1)=DATE(1900,1,0), DATE(1900,1,1), OFFSET('IWP03'!Std4BudgetInfo, 0, 6, 1, 1))</f>
        <v>1</v>
      </c>
      <c r="D1121" s="172">
        <f ca="1">IF(OFFSET('IWP03'!Std4BudgetInfo, 0, 7, 1, 1)=DATE(1900,1,0), DATE(1900,1,1), OFFSET('IWP03'!Std4BudgetInfo, 0, 7, 1, 1))</f>
        <v>1</v>
      </c>
      <c r="E1121" s="172">
        <f ca="1">IF(OFFSET('IWP03'!Std4BudgetInfo, 2, 6, 1, 1)=DATE(1900,1,0), DATE(1900,1,1), OFFSET('IWP03'!Std4BudgetInfo, 2, 6, 1, 1))</f>
        <v>1</v>
      </c>
      <c r="F1121" s="195" t="str">
        <f ca="1">IF(OFFSET('IWP03'!Std4BudgetInfo, 3, 6, 1, 1) = 0, "", OFFSET('IWP03'!Std4BudgetInfo, 3, 6, 1, 1))</f>
        <v/>
      </c>
      <c r="G1121" s="195" t="str">
        <f ca="1">IF(OFFSET('IWP03'!Std4BudgetInfo, 4, 6, 1, 1) = 0, "", OFFSET('IWP03'!Std4BudgetInfo, 4, 6, 1, 1))</f>
        <v/>
      </c>
      <c r="H1121" s="195" t="str">
        <f ca="1">IF(OFFSET('IWP03'!Std4BudgetInfo, 5, 6, 1, 1) = 0, "", OFFSET('IWP03'!Std4BudgetInfo, 5, 6, 1, 1))</f>
        <v/>
      </c>
      <c r="I1121" s="195" t="str">
        <f ca="1">IF(OFFSET('IWP03'!Std4BudgetInfo, 6, 6, 1, 1) = 0, "", OFFSET('IWP03'!Std4BudgetInfo, 6, 6, 1, 1))</f>
        <v/>
      </c>
      <c r="J1121" s="195" t="str">
        <f ca="1">IF(OFFSET('IWP03'!Std4BudgetInfo, 7, 6, 1, 1) = 0, "", OFFSET('IWP03'!Std4BudgetInfo, 7, 6, 1, 1))</f>
        <v/>
      </c>
      <c r="K1121" s="195" t="str">
        <f ca="1">IF(OFFSET('IWP03'!Std4BudgetInfo, 8, 6, 1, 1) = 0, "", OFFSET('IWP03'!Std4BudgetInfo, 8, 6, 1, 1))</f>
        <v/>
      </c>
      <c r="L1121" s="195" t="str">
        <f ca="1">IF(OFFSET('IWP03'!Std4BudgetInfo, 9, 6, 1, 1) = 0, "", OFFSET('IWP03'!Std4BudgetInfo, 9, 6, 1, 1))</f>
        <v/>
      </c>
      <c r="M1121" s="194" t="str">
        <f ca="1">IF(OFFSET('IWP03'!Std4BudgetInfo, 10, 6, 1, 1) = 0, "", OFFSET('IWP03'!Std4BudgetInfo, 10, 6, 1, 1))</f>
        <v/>
      </c>
    </row>
    <row r="1122" spans="1:13" s="146" customFormat="1">
      <c r="A1122" s="183" t="s">
        <v>502</v>
      </c>
      <c r="B1122" s="196">
        <v>1</v>
      </c>
      <c r="C1122" s="172">
        <f ca="1">IF(OFFSET('IWP04'!Std4BudgetInfo, 0, 0, 1, 1)=DATE(1900,1,0), DATE(1900,1,1), OFFSET('IWP04'!Std4BudgetInfo, 0, 0, 1, 1))</f>
        <v>1</v>
      </c>
      <c r="D1122" s="172">
        <f ca="1">IF(OFFSET('IWP04'!Std4BudgetInfo, 0, 1, 1, 1)=DATE(1900,1,0), DATE(1900,1,1), OFFSET('IWP04'!Std4BudgetInfo, 0, 1, 1, 1))</f>
        <v>1</v>
      </c>
      <c r="E1122" s="172">
        <f ca="1">IF(OFFSET('IWP04'!Std4BudgetInfo, 2, 0, 1, 1)=DATE(1900,1,0), DATE(1900,1,1), OFFSET('IWP04'!Std4BudgetInfo, 2, 0, 1, 1))</f>
        <v>1</v>
      </c>
      <c r="F1122" s="195" t="str">
        <f ca="1">IF(OFFSET('IWP04'!Std4BudgetInfo, 3, 0, 1, 1) = 0, "", OFFSET('IWP04'!Std4BudgetInfo, 3, 0, 1, 1))</f>
        <v/>
      </c>
      <c r="G1122" s="195" t="str">
        <f ca="1">IF(OFFSET('IWP04'!Std4BudgetInfo, 4, 0, 1, 1) = 0, "", OFFSET('IWP04'!Std4BudgetInfo, 4, 0, 1, 1))</f>
        <v/>
      </c>
      <c r="H1122" s="195" t="str">
        <f ca="1">IF(OFFSET('IWP04'!Std4BudgetInfo, 5, 0, 1, 1) = 0, "", OFFSET('IWP04'!Std4BudgetInfo, 5, 0, 1, 1))</f>
        <v/>
      </c>
      <c r="I1122" s="195" t="str">
        <f ca="1">IF(OFFSET('IWP04'!Std4BudgetInfo, 6, 0, 1, 1) = 0, "", OFFSET('IWP04'!Std4BudgetInfo, 6, 0, 1, 1))</f>
        <v/>
      </c>
      <c r="J1122" s="195" t="str">
        <f ca="1">IF(OFFSET('IWP04'!Std4BudgetInfo, 7, 0, 1, 1) = 0, "", OFFSET('IWP04'!Std4BudgetInfo, 7, 0, 1, 1))</f>
        <v/>
      </c>
      <c r="K1122" s="195" t="str">
        <f ca="1">IF(OFFSET('IWP04'!Std4BudgetInfo, 8, 0, 1, 1) = 0, "", OFFSET('IWP04'!Std4BudgetInfo, 8, 0, 1, 1))</f>
        <v/>
      </c>
      <c r="L1122" s="195" t="str">
        <f ca="1">IF(OFFSET('IWP04'!Std4BudgetInfo, 9, 0, 1, 1) = 0, "", OFFSET('IWP04'!Std4BudgetInfo, 9, 0, 1, 1))</f>
        <v/>
      </c>
      <c r="M1122" s="194" t="str">
        <f ca="1">IF(OFFSET('IWP04'!Std4BudgetInfo, 10, 0, 1, 1) = 0, "", OFFSET('IWP04'!Std4BudgetInfo, 10, 0, 1, 1))</f>
        <v/>
      </c>
    </row>
    <row r="1123" spans="1:13" s="146" customFormat="1">
      <c r="A1123" s="183" t="s">
        <v>502</v>
      </c>
      <c r="B1123" s="196">
        <v>2</v>
      </c>
      <c r="C1123" s="172">
        <f ca="1">IF(OFFSET('IWP04'!Std4BudgetInfo, 0, 2, 1, 1)=DATE(1900,1,0), DATE(1900,1,1), OFFSET('IWP04'!Std4BudgetInfo, 0, 2, 1, 1))</f>
        <v>1</v>
      </c>
      <c r="D1123" s="172">
        <f ca="1">IF(OFFSET('IWP04'!Std4BudgetInfo, 0, 3, 1, 1)=DATE(1900,1,0), DATE(1900,1,1), OFFSET('IWP04'!Std4BudgetInfo, 0, 3, 1, 1))</f>
        <v>1</v>
      </c>
      <c r="E1123" s="172">
        <f ca="1">IF(OFFSET('IWP04'!Std4BudgetInfo, 2, 2, 1, 1)=DATE(1900,1,0), DATE(1900,1,1), OFFSET('IWP04'!Std4BudgetInfo, 2, 2, 1, 1))</f>
        <v>1</v>
      </c>
      <c r="F1123" s="195" t="str">
        <f ca="1">IF(OFFSET('IWP04'!Std4BudgetInfo, 3, 2, 1, 1) = 0, "", OFFSET('IWP04'!Std4BudgetInfo, 3, 2, 1, 1))</f>
        <v/>
      </c>
      <c r="G1123" s="195" t="str">
        <f ca="1">IF(OFFSET('IWP04'!Std4BudgetInfo, 4, 2, 1, 1) = 0, "", OFFSET('IWP04'!Std4BudgetInfo, 4, 2, 1, 1))</f>
        <v/>
      </c>
      <c r="H1123" s="195" t="str">
        <f ca="1">IF(OFFSET('IWP04'!Std4BudgetInfo, 5, 2, 1, 1) = 0, "", OFFSET('IWP04'!Std4BudgetInfo, 5, 2, 1, 1))</f>
        <v/>
      </c>
      <c r="I1123" s="195" t="str">
        <f ca="1">IF(OFFSET('IWP04'!Std4BudgetInfo, 6, 2, 1, 1) = 0, "", OFFSET('IWP04'!Std4BudgetInfo, 6, 2, 1, 1))</f>
        <v/>
      </c>
      <c r="J1123" s="195" t="str">
        <f ca="1">IF(OFFSET('IWP04'!Std4BudgetInfo, 7, 2, 1, 1) = 0, "", OFFSET('IWP04'!Std4BudgetInfo, 7, 2, 1, 1))</f>
        <v/>
      </c>
      <c r="K1123" s="195" t="str">
        <f ca="1">IF(OFFSET('IWP04'!Std4BudgetInfo, 8, 2, 1, 1) = 0, "", OFFSET('IWP04'!Std4BudgetInfo, 8, 2, 1, 1))</f>
        <v/>
      </c>
      <c r="L1123" s="195" t="str">
        <f ca="1">IF(OFFSET('IWP04'!Std4BudgetInfo, 9, 2, 1, 1) = 0, "", OFFSET('IWP04'!Std4BudgetInfo, 9, 2, 1, 1))</f>
        <v/>
      </c>
      <c r="M1123" s="194" t="str">
        <f ca="1">IF(OFFSET('IWP04'!Std4BudgetInfo, 10, 2, 1, 1) = 0, "", OFFSET('IWP04'!Std4BudgetInfo, 10, 2, 1, 1))</f>
        <v/>
      </c>
    </row>
    <row r="1124" spans="1:13" s="146" customFormat="1">
      <c r="A1124" s="183" t="s">
        <v>502</v>
      </c>
      <c r="B1124" s="196">
        <v>3</v>
      </c>
      <c r="C1124" s="172">
        <f ca="1">IF(OFFSET('IWP04'!Std4BudgetInfo, 0, 4, 1, 1)=DATE(1900,1,0), DATE(1900,1,1), OFFSET('IWP04'!Std4BudgetInfo, 0, 4, 1, 1))</f>
        <v>1</v>
      </c>
      <c r="D1124" s="172">
        <f ca="1">IF(OFFSET('IWP04'!Std4BudgetInfo, 0, 5, 1, 1)=DATE(1900,1,0), DATE(1900,1,1), OFFSET('IWP04'!Std4BudgetInfo, 0, 5, 1, 1))</f>
        <v>1</v>
      </c>
      <c r="E1124" s="172">
        <f ca="1">IF(OFFSET('IWP04'!Std4BudgetInfo, 2, 4, 1, 1)=DATE(1900,1,0), DATE(1900,1,1), OFFSET('IWP04'!Std4BudgetInfo, 2, 4, 1, 1))</f>
        <v>1</v>
      </c>
      <c r="F1124" s="195" t="str">
        <f ca="1">IF(OFFSET('IWP04'!Std4BudgetInfo, 3, 4, 1, 1) = 0, "", OFFSET('IWP04'!Std4BudgetInfo, 3, 4, 1, 1))</f>
        <v/>
      </c>
      <c r="G1124" s="195" t="str">
        <f ca="1">IF(OFFSET('IWP04'!Std4BudgetInfo, 4, 4, 1, 1) = 0, "", OFFSET('IWP04'!Std4BudgetInfo, 4, 4, 1, 1))</f>
        <v/>
      </c>
      <c r="H1124" s="195" t="str">
        <f ca="1">IF(OFFSET('IWP04'!Std4BudgetInfo, 5, 4, 1, 1) = 0, "", OFFSET('IWP04'!Std4BudgetInfo, 5, 4, 1, 1))</f>
        <v/>
      </c>
      <c r="I1124" s="195" t="str">
        <f ca="1">IF(OFFSET('IWP04'!Std4BudgetInfo, 6, 4, 1, 1) = 0, "", OFFSET('IWP04'!Std4BudgetInfo, 6, 4, 1, 1))</f>
        <v/>
      </c>
      <c r="J1124" s="195" t="str">
        <f ca="1">IF(OFFSET('IWP04'!Std4BudgetInfo, 7, 4, 1, 1) = 0, "", OFFSET('IWP04'!Std4BudgetInfo, 7, 4, 1, 1))</f>
        <v/>
      </c>
      <c r="K1124" s="195" t="str">
        <f ca="1">IF(OFFSET('IWP04'!Std4BudgetInfo, 8, 4, 1, 1) = 0, "", OFFSET('IWP04'!Std4BudgetInfo, 8, 4, 1, 1))</f>
        <v/>
      </c>
      <c r="L1124" s="195" t="str">
        <f ca="1">IF(OFFSET('IWP04'!Std4BudgetInfo, 9, 4, 1, 1) = 0, "", OFFSET('IWP04'!Std4BudgetInfo, 9, 4, 1, 1))</f>
        <v/>
      </c>
      <c r="M1124" s="194" t="str">
        <f ca="1">IF(OFFSET('IWP04'!Std4BudgetInfo, 10, 4, 1, 1) = 0, "", OFFSET('IWP04'!Std4BudgetInfo, 10, 4, 1, 1))</f>
        <v/>
      </c>
    </row>
    <row r="1125" spans="1:13" s="146" customFormat="1">
      <c r="A1125" s="183" t="s">
        <v>502</v>
      </c>
      <c r="B1125" s="196">
        <v>4</v>
      </c>
      <c r="C1125" s="172">
        <f ca="1">IF(OFFSET('IWP04'!Std4BudgetInfo, 0, 6, 1, 1)=DATE(1900,1,0), DATE(1900,1,1), OFFSET('IWP04'!Std4BudgetInfo, 0, 6, 1, 1))</f>
        <v>1</v>
      </c>
      <c r="D1125" s="172">
        <f ca="1">IF(OFFSET('IWP04'!Std4BudgetInfo, 0, 7, 1, 1)=DATE(1900,1,0), DATE(1900,1,1), OFFSET('IWP04'!Std4BudgetInfo, 0, 7, 1, 1))</f>
        <v>1</v>
      </c>
      <c r="E1125" s="172">
        <f ca="1">IF(OFFSET('IWP04'!Std4BudgetInfo, 2, 6, 1, 1)=DATE(1900,1,0), DATE(1900,1,1), OFFSET('IWP04'!Std4BudgetInfo, 2, 6, 1, 1))</f>
        <v>1</v>
      </c>
      <c r="F1125" s="195" t="str">
        <f ca="1">IF(OFFSET('IWP04'!Std4BudgetInfo, 3, 6, 1, 1) = 0, "", OFFSET('IWP04'!Std4BudgetInfo, 3, 6, 1, 1))</f>
        <v/>
      </c>
      <c r="G1125" s="195" t="str">
        <f ca="1">IF(OFFSET('IWP04'!Std4BudgetInfo, 4, 6, 1, 1) = 0, "", OFFSET('IWP04'!Std4BudgetInfo, 4, 6, 1, 1))</f>
        <v/>
      </c>
      <c r="H1125" s="195" t="str">
        <f ca="1">IF(OFFSET('IWP04'!Std4BudgetInfo, 5, 6, 1, 1) = 0, "", OFFSET('IWP04'!Std4BudgetInfo, 5, 6, 1, 1))</f>
        <v/>
      </c>
      <c r="I1125" s="195" t="str">
        <f ca="1">IF(OFFSET('IWP04'!Std4BudgetInfo, 6, 6, 1, 1) = 0, "", OFFSET('IWP04'!Std4BudgetInfo, 6, 6, 1, 1))</f>
        <v/>
      </c>
      <c r="J1125" s="195" t="str">
        <f ca="1">IF(OFFSET('IWP04'!Std4BudgetInfo, 7, 6, 1, 1) = 0, "", OFFSET('IWP04'!Std4BudgetInfo, 7, 6, 1, 1))</f>
        <v/>
      </c>
      <c r="K1125" s="195" t="str">
        <f ca="1">IF(OFFSET('IWP04'!Std4BudgetInfo, 8, 6, 1, 1) = 0, "", OFFSET('IWP04'!Std4BudgetInfo, 8, 6, 1, 1))</f>
        <v/>
      </c>
      <c r="L1125" s="195" t="str">
        <f ca="1">IF(OFFSET('IWP04'!Std4BudgetInfo, 9, 6, 1, 1) = 0, "", OFFSET('IWP04'!Std4BudgetInfo, 9, 6, 1, 1))</f>
        <v/>
      </c>
      <c r="M1125" s="194" t="str">
        <f ca="1">IF(OFFSET('IWP04'!Std4BudgetInfo, 10, 6, 1, 1) = 0, "", OFFSET('IWP04'!Std4BudgetInfo, 10, 6, 1, 1))</f>
        <v/>
      </c>
    </row>
    <row r="1126" spans="1:13" s="146" customFormat="1">
      <c r="A1126" s="183" t="s">
        <v>503</v>
      </c>
      <c r="B1126" s="196">
        <v>1</v>
      </c>
      <c r="C1126" s="172">
        <f ca="1">IF(OFFSET('IWP05'!Std4BudgetInfo, 0, 0, 1, 1)=DATE(1900,1,0), DATE(1900,1,1), OFFSET('IWP05'!Std4BudgetInfo, 0, 0, 1, 1))</f>
        <v>1</v>
      </c>
      <c r="D1126" s="172">
        <f ca="1">IF(OFFSET('IWP05'!Std4BudgetInfo, 0, 1, 1, 1)=DATE(1900,1,0), DATE(1900,1,1), OFFSET('IWP05'!Std4BudgetInfo, 0, 1, 1, 1))</f>
        <v>1</v>
      </c>
      <c r="E1126" s="172">
        <f ca="1">IF(OFFSET('IWP05'!Std4BudgetInfo, 2, 0, 1, 1)=DATE(1900,1,0), DATE(1900,1,1), OFFSET('IWP05'!Std4BudgetInfo, 2, 0, 1, 1))</f>
        <v>1</v>
      </c>
      <c r="F1126" s="195" t="str">
        <f ca="1">IF(OFFSET('IWP05'!Std4BudgetInfo, 3, 0, 1, 1) = 0, "", OFFSET('IWP05'!Std4BudgetInfo, 3, 0, 1, 1))</f>
        <v/>
      </c>
      <c r="G1126" s="195" t="str">
        <f ca="1">IF(OFFSET('IWP05'!Std4BudgetInfo, 4, 0, 1, 1) = 0, "", OFFSET('IWP05'!Std4BudgetInfo, 4, 0, 1, 1))</f>
        <v/>
      </c>
      <c r="H1126" s="195" t="str">
        <f ca="1">IF(OFFSET('IWP05'!Std4BudgetInfo, 5, 0, 1, 1) = 0, "", OFFSET('IWP05'!Std4BudgetInfo, 5, 0, 1, 1))</f>
        <v/>
      </c>
      <c r="I1126" s="195" t="str">
        <f ca="1">IF(OFFSET('IWP05'!Std4BudgetInfo, 6, 0, 1, 1) = 0, "", OFFSET('IWP05'!Std4BudgetInfo, 6, 0, 1, 1))</f>
        <v/>
      </c>
      <c r="J1126" s="195" t="str">
        <f ca="1">IF(OFFSET('IWP05'!Std4BudgetInfo, 7, 0, 1, 1) = 0, "", OFFSET('IWP05'!Std4BudgetInfo, 7, 0, 1, 1))</f>
        <v/>
      </c>
      <c r="K1126" s="195" t="str">
        <f ca="1">IF(OFFSET('IWP05'!Std4BudgetInfo, 8, 0, 1, 1) = 0, "", OFFSET('IWP05'!Std4BudgetInfo, 8, 0, 1, 1))</f>
        <v/>
      </c>
      <c r="L1126" s="195" t="str">
        <f ca="1">IF(OFFSET('IWP05'!Std4BudgetInfo, 9, 0, 1, 1) = 0, "", OFFSET('IWP05'!Std4BudgetInfo, 9, 0, 1, 1))</f>
        <v/>
      </c>
      <c r="M1126" s="194" t="str">
        <f ca="1">IF(OFFSET('IWP05'!Std4BudgetInfo, 10, 0, 1, 1) = 0, "", OFFSET('IWP05'!Std4BudgetInfo, 10, 0, 1, 1))</f>
        <v/>
      </c>
    </row>
    <row r="1127" spans="1:13" s="146" customFormat="1">
      <c r="A1127" s="183" t="s">
        <v>503</v>
      </c>
      <c r="B1127" s="196">
        <v>2</v>
      </c>
      <c r="C1127" s="172">
        <f ca="1">IF(OFFSET('IWP05'!Std4BudgetInfo, 0, 2, 1, 1)=DATE(1900,1,0), DATE(1900,1,1), OFFSET('IWP05'!Std4BudgetInfo, 0, 2, 1, 1))</f>
        <v>1</v>
      </c>
      <c r="D1127" s="172">
        <f ca="1">IF(OFFSET('IWP05'!Std4BudgetInfo, 0, 3, 1, 1)=DATE(1900,1,0), DATE(1900,1,1), OFFSET('IWP05'!Std4BudgetInfo, 0, 3, 1, 1))</f>
        <v>1</v>
      </c>
      <c r="E1127" s="172">
        <f ca="1">IF(OFFSET('IWP05'!Std4BudgetInfo, 2, 2, 1, 1)=DATE(1900,1,0), DATE(1900,1,1), OFFSET('IWP05'!Std4BudgetInfo, 2, 2, 1, 1))</f>
        <v>1</v>
      </c>
      <c r="F1127" s="195" t="str">
        <f ca="1">IF(OFFSET('IWP05'!Std4BudgetInfo, 3, 2, 1, 1) = 0, "", OFFSET('IWP05'!Std4BudgetInfo, 3, 2, 1, 1))</f>
        <v/>
      </c>
      <c r="G1127" s="195" t="str">
        <f ca="1">IF(OFFSET('IWP05'!Std4BudgetInfo, 4, 2, 1, 1) = 0, "", OFFSET('IWP05'!Std4BudgetInfo, 4, 2, 1, 1))</f>
        <v/>
      </c>
      <c r="H1127" s="195" t="str">
        <f ca="1">IF(OFFSET('IWP05'!Std4BudgetInfo, 5, 2, 1, 1) = 0, "", OFFSET('IWP05'!Std4BudgetInfo, 5, 2, 1, 1))</f>
        <v/>
      </c>
      <c r="I1127" s="195" t="str">
        <f ca="1">IF(OFFSET('IWP05'!Std4BudgetInfo, 6, 2, 1, 1) = 0, "", OFFSET('IWP05'!Std4BudgetInfo, 6, 2, 1, 1))</f>
        <v/>
      </c>
      <c r="J1127" s="195" t="str">
        <f ca="1">IF(OFFSET('IWP05'!Std4BudgetInfo, 7, 2, 1, 1) = 0, "", OFFSET('IWP05'!Std4BudgetInfo, 7, 2, 1, 1))</f>
        <v/>
      </c>
      <c r="K1127" s="195" t="str">
        <f ca="1">IF(OFFSET('IWP05'!Std4BudgetInfo, 8, 2, 1, 1) = 0, "", OFFSET('IWP05'!Std4BudgetInfo, 8, 2, 1, 1))</f>
        <v/>
      </c>
      <c r="L1127" s="195" t="str">
        <f ca="1">IF(OFFSET('IWP05'!Std4BudgetInfo, 9, 2, 1, 1) = 0, "", OFFSET('IWP05'!Std4BudgetInfo, 9, 2, 1, 1))</f>
        <v/>
      </c>
      <c r="M1127" s="194" t="str">
        <f ca="1">IF(OFFSET('IWP05'!Std4BudgetInfo, 10, 2, 1, 1) = 0, "", OFFSET('IWP05'!Std4BudgetInfo, 10, 2, 1, 1))</f>
        <v/>
      </c>
    </row>
    <row r="1128" spans="1:13" s="146" customFormat="1">
      <c r="A1128" s="183" t="s">
        <v>503</v>
      </c>
      <c r="B1128" s="196">
        <v>3</v>
      </c>
      <c r="C1128" s="172">
        <f ca="1">IF(OFFSET('IWP05'!Std4BudgetInfo, 0, 4, 1, 1)=DATE(1900,1,0), DATE(1900,1,1), OFFSET('IWP05'!Std4BudgetInfo, 0, 4, 1, 1))</f>
        <v>1</v>
      </c>
      <c r="D1128" s="172">
        <f ca="1">IF(OFFSET('IWP05'!Std4BudgetInfo, 0, 5, 1, 1)=DATE(1900,1,0), DATE(1900,1,1), OFFSET('IWP05'!Std4BudgetInfo, 0, 5, 1, 1))</f>
        <v>1</v>
      </c>
      <c r="E1128" s="172">
        <f ca="1">IF(OFFSET('IWP05'!Std4BudgetInfo, 2, 4, 1, 1)=DATE(1900,1,0), DATE(1900,1,1), OFFSET('IWP05'!Std4BudgetInfo, 2, 4, 1, 1))</f>
        <v>1</v>
      </c>
      <c r="F1128" s="195" t="str">
        <f ca="1">IF(OFFSET('IWP05'!Std4BudgetInfo, 3, 4, 1, 1) = 0, "", OFFSET('IWP05'!Std4BudgetInfo, 3, 4, 1, 1))</f>
        <v/>
      </c>
      <c r="G1128" s="195" t="str">
        <f ca="1">IF(OFFSET('IWP05'!Std4BudgetInfo, 4, 4, 1, 1) = 0, "", OFFSET('IWP05'!Std4BudgetInfo, 4, 4, 1, 1))</f>
        <v/>
      </c>
      <c r="H1128" s="195" t="str">
        <f ca="1">IF(OFFSET('IWP05'!Std4BudgetInfo, 5, 4, 1, 1) = 0, "", OFFSET('IWP05'!Std4BudgetInfo, 5, 4, 1, 1))</f>
        <v/>
      </c>
      <c r="I1128" s="195" t="str">
        <f ca="1">IF(OFFSET('IWP05'!Std4BudgetInfo, 6, 4, 1, 1) = 0, "", OFFSET('IWP05'!Std4BudgetInfo, 6, 4, 1, 1))</f>
        <v/>
      </c>
      <c r="J1128" s="195" t="str">
        <f ca="1">IF(OFFSET('IWP05'!Std4BudgetInfo, 7, 4, 1, 1) = 0, "", OFFSET('IWP05'!Std4BudgetInfo, 7, 4, 1, 1))</f>
        <v/>
      </c>
      <c r="K1128" s="195" t="str">
        <f ca="1">IF(OFFSET('IWP05'!Std4BudgetInfo, 8, 4, 1, 1) = 0, "", OFFSET('IWP05'!Std4BudgetInfo, 8, 4, 1, 1))</f>
        <v/>
      </c>
      <c r="L1128" s="195" t="str">
        <f ca="1">IF(OFFSET('IWP05'!Std4BudgetInfo, 9, 4, 1, 1) = 0, "", OFFSET('IWP05'!Std4BudgetInfo, 9, 4, 1, 1))</f>
        <v/>
      </c>
      <c r="M1128" s="194" t="str">
        <f ca="1">IF(OFFSET('IWP05'!Std4BudgetInfo, 10, 4, 1, 1) = 0, "", OFFSET('IWP05'!Std4BudgetInfo, 10, 4, 1, 1))</f>
        <v/>
      </c>
    </row>
    <row r="1129" spans="1:13" s="146" customFormat="1">
      <c r="A1129" s="183" t="s">
        <v>503</v>
      </c>
      <c r="B1129" s="196">
        <v>4</v>
      </c>
      <c r="C1129" s="172">
        <f ca="1">IF(OFFSET('IWP05'!Std4BudgetInfo, 0, 6, 1, 1)=DATE(1900,1,0), DATE(1900,1,1), OFFSET('IWP05'!Std4BudgetInfo, 0, 6, 1, 1))</f>
        <v>1</v>
      </c>
      <c r="D1129" s="172">
        <f ca="1">IF(OFFSET('IWP05'!Std4BudgetInfo, 0, 7, 1, 1)=DATE(1900,1,0), DATE(1900,1,1), OFFSET('IWP05'!Std4BudgetInfo, 0, 7, 1, 1))</f>
        <v>1</v>
      </c>
      <c r="E1129" s="172">
        <f ca="1">IF(OFFSET('IWP05'!Std4BudgetInfo, 2, 6, 1, 1)=DATE(1900,1,0), DATE(1900,1,1), OFFSET('IWP05'!Std4BudgetInfo, 2, 6, 1, 1))</f>
        <v>1</v>
      </c>
      <c r="F1129" s="195" t="str">
        <f ca="1">IF(OFFSET('IWP05'!Std4BudgetInfo, 3, 6, 1, 1) = 0, "", OFFSET('IWP05'!Std4BudgetInfo, 3, 6, 1, 1))</f>
        <v/>
      </c>
      <c r="G1129" s="195" t="str">
        <f ca="1">IF(OFFSET('IWP05'!Std4BudgetInfo, 4, 6, 1, 1) = 0, "", OFFSET('IWP05'!Std4BudgetInfo, 4, 6, 1, 1))</f>
        <v/>
      </c>
      <c r="H1129" s="195" t="str">
        <f ca="1">IF(OFFSET('IWP05'!Std4BudgetInfo, 5, 6, 1, 1) = 0, "", OFFSET('IWP05'!Std4BudgetInfo, 5, 6, 1, 1))</f>
        <v/>
      </c>
      <c r="I1129" s="195" t="str">
        <f ca="1">IF(OFFSET('IWP05'!Std4BudgetInfo, 6, 6, 1, 1) = 0, "", OFFSET('IWP05'!Std4BudgetInfo, 6, 6, 1, 1))</f>
        <v/>
      </c>
      <c r="J1129" s="195" t="str">
        <f ca="1">IF(OFFSET('IWP05'!Std4BudgetInfo, 7, 6, 1, 1) = 0, "", OFFSET('IWP05'!Std4BudgetInfo, 7, 6, 1, 1))</f>
        <v/>
      </c>
      <c r="K1129" s="195" t="str">
        <f ca="1">IF(OFFSET('IWP05'!Std4BudgetInfo, 8, 6, 1, 1) = 0, "", OFFSET('IWP05'!Std4BudgetInfo, 8, 6, 1, 1))</f>
        <v/>
      </c>
      <c r="L1129" s="195" t="str">
        <f ca="1">IF(OFFSET('IWP05'!Std4BudgetInfo, 9, 6, 1, 1) = 0, "", OFFSET('IWP05'!Std4BudgetInfo, 9, 6, 1, 1))</f>
        <v/>
      </c>
      <c r="M1129" s="194" t="str">
        <f ca="1">IF(OFFSET('IWP05'!Std4BudgetInfo, 10, 6, 1, 1) = 0, "", OFFSET('IWP05'!Std4BudgetInfo, 10, 6, 1, 1))</f>
        <v/>
      </c>
    </row>
    <row r="1130" spans="1:13" s="146" customFormat="1">
      <c r="A1130" s="183" t="s">
        <v>504</v>
      </c>
      <c r="B1130" s="196">
        <v>1</v>
      </c>
      <c r="C1130" s="172">
        <f ca="1">IF(OFFSET('IWP06'!Std4BudgetInfo, 0, 0, 1, 1)=DATE(1900,1,0), DATE(1900,1,1), OFFSET('IWP06'!Std4BudgetInfo, 0, 0, 1, 1))</f>
        <v>1</v>
      </c>
      <c r="D1130" s="172">
        <f ca="1">IF(OFFSET('IWP06'!Std4BudgetInfo, 0, 1, 1, 1)=DATE(1900,1,0), DATE(1900,1,1), OFFSET('IWP06'!Std4BudgetInfo, 0, 1, 1, 1))</f>
        <v>1</v>
      </c>
      <c r="E1130" s="172">
        <f ca="1">IF(OFFSET('IWP06'!Std4BudgetInfo, 2, 0, 1, 1)=DATE(1900,1,0), DATE(1900,1,1), OFFSET('IWP06'!Std4BudgetInfo, 2, 0, 1, 1))</f>
        <v>1</v>
      </c>
      <c r="F1130" s="195" t="str">
        <f ca="1">IF(OFFSET('IWP06'!Std4BudgetInfo, 3, 0, 1, 1) = 0, "", OFFSET('IWP06'!Std4BudgetInfo, 3, 0, 1, 1))</f>
        <v/>
      </c>
      <c r="G1130" s="195" t="str">
        <f ca="1">IF(OFFSET('IWP06'!Std4BudgetInfo, 4, 0, 1, 1) = 0, "", OFFSET('IWP06'!Std4BudgetInfo, 4, 0, 1, 1))</f>
        <v/>
      </c>
      <c r="H1130" s="195" t="str">
        <f ca="1">IF(OFFSET('IWP06'!Std4BudgetInfo, 5, 0, 1, 1) = 0, "", OFFSET('IWP06'!Std4BudgetInfo, 5, 0, 1, 1))</f>
        <v/>
      </c>
      <c r="I1130" s="195" t="str">
        <f ca="1">IF(OFFSET('IWP06'!Std4BudgetInfo, 6, 0, 1, 1) = 0, "", OFFSET('IWP06'!Std4BudgetInfo, 6, 0, 1, 1))</f>
        <v/>
      </c>
      <c r="J1130" s="195" t="str">
        <f ca="1">IF(OFFSET('IWP06'!Std4BudgetInfo, 7, 0, 1, 1) = 0, "", OFFSET('IWP06'!Std4BudgetInfo, 7, 0, 1, 1))</f>
        <v/>
      </c>
      <c r="K1130" s="195" t="str">
        <f ca="1">IF(OFFSET('IWP06'!Std4BudgetInfo, 8, 0, 1, 1) = 0, "", OFFSET('IWP06'!Std4BudgetInfo, 8, 0, 1, 1))</f>
        <v/>
      </c>
      <c r="L1130" s="195" t="str">
        <f ca="1">IF(OFFSET('IWP06'!Std4BudgetInfo, 9, 0, 1, 1) = 0, "", OFFSET('IWP06'!Std4BudgetInfo, 9, 0, 1, 1))</f>
        <v/>
      </c>
      <c r="M1130" s="194" t="str">
        <f ca="1">IF(OFFSET('IWP06'!Std4BudgetInfo, 10, 0, 1, 1) = 0, "", OFFSET('IWP06'!Std4BudgetInfo, 10, 0, 1, 1))</f>
        <v/>
      </c>
    </row>
    <row r="1131" spans="1:13" s="146" customFormat="1">
      <c r="A1131" s="183" t="s">
        <v>504</v>
      </c>
      <c r="B1131" s="196">
        <v>2</v>
      </c>
      <c r="C1131" s="172">
        <f ca="1">IF(OFFSET('IWP06'!Std4BudgetInfo, 0, 2, 1, 1)=DATE(1900,1,0), DATE(1900,1,1), OFFSET('IWP06'!Std4BudgetInfo, 0, 2, 1, 1))</f>
        <v>1</v>
      </c>
      <c r="D1131" s="172">
        <f ca="1">IF(OFFSET('IWP06'!Std4BudgetInfo, 0, 3, 1, 1)=DATE(1900,1,0), DATE(1900,1,1), OFFSET('IWP06'!Std4BudgetInfo, 0, 3, 1, 1))</f>
        <v>1</v>
      </c>
      <c r="E1131" s="172">
        <f ca="1">IF(OFFSET('IWP06'!Std4BudgetInfo, 2, 2, 1, 1)=DATE(1900,1,0), DATE(1900,1,1), OFFSET('IWP06'!Std4BudgetInfo, 2, 2, 1, 1))</f>
        <v>1</v>
      </c>
      <c r="F1131" s="195" t="str">
        <f ca="1">IF(OFFSET('IWP06'!Std4BudgetInfo, 3, 2, 1, 1) = 0, "", OFFSET('IWP06'!Std4BudgetInfo, 3, 2, 1, 1))</f>
        <v/>
      </c>
      <c r="G1131" s="195" t="str">
        <f ca="1">IF(OFFSET('IWP06'!Std4BudgetInfo, 4, 2, 1, 1) = 0, "", OFFSET('IWP06'!Std4BudgetInfo, 4, 2, 1, 1))</f>
        <v/>
      </c>
      <c r="H1131" s="195" t="str">
        <f ca="1">IF(OFFSET('IWP06'!Std4BudgetInfo, 5, 2, 1, 1) = 0, "", OFFSET('IWP06'!Std4BudgetInfo, 5, 2, 1, 1))</f>
        <v/>
      </c>
      <c r="I1131" s="195" t="str">
        <f ca="1">IF(OFFSET('IWP06'!Std4BudgetInfo, 6, 2, 1, 1) = 0, "", OFFSET('IWP06'!Std4BudgetInfo, 6, 2, 1, 1))</f>
        <v/>
      </c>
      <c r="J1131" s="195" t="str">
        <f ca="1">IF(OFFSET('IWP06'!Std4BudgetInfo, 7, 2, 1, 1) = 0, "", OFFSET('IWP06'!Std4BudgetInfo, 7, 2, 1, 1))</f>
        <v/>
      </c>
      <c r="K1131" s="195" t="str">
        <f ca="1">IF(OFFSET('IWP06'!Std4BudgetInfo, 8, 2, 1, 1) = 0, "", OFFSET('IWP06'!Std4BudgetInfo, 8, 2, 1, 1))</f>
        <v/>
      </c>
      <c r="L1131" s="195" t="str">
        <f ca="1">IF(OFFSET('IWP06'!Std4BudgetInfo, 9, 2, 1, 1) = 0, "", OFFSET('IWP06'!Std4BudgetInfo, 9, 2, 1, 1))</f>
        <v/>
      </c>
      <c r="M1131" s="194" t="str">
        <f ca="1">IF(OFFSET('IWP06'!Std4BudgetInfo, 10, 2, 1, 1) = 0, "", OFFSET('IWP06'!Std4BudgetInfo, 10, 2, 1, 1))</f>
        <v/>
      </c>
    </row>
    <row r="1132" spans="1:13" s="146" customFormat="1">
      <c r="A1132" s="183" t="s">
        <v>504</v>
      </c>
      <c r="B1132" s="196">
        <v>3</v>
      </c>
      <c r="C1132" s="172">
        <f ca="1">IF(OFFSET('IWP06'!Std4BudgetInfo, 0, 4, 1, 1)=DATE(1900,1,0), DATE(1900,1,1), OFFSET('IWP06'!Std4BudgetInfo, 0, 4, 1, 1))</f>
        <v>1</v>
      </c>
      <c r="D1132" s="172">
        <f ca="1">IF(OFFSET('IWP06'!Std4BudgetInfo, 0, 5, 1, 1)=DATE(1900,1,0), DATE(1900,1,1), OFFSET('IWP06'!Std4BudgetInfo, 0, 5, 1, 1))</f>
        <v>1</v>
      </c>
      <c r="E1132" s="172">
        <f ca="1">IF(OFFSET('IWP06'!Std4BudgetInfo, 2, 4, 1, 1)=DATE(1900,1,0), DATE(1900,1,1), OFFSET('IWP06'!Std4BudgetInfo, 2, 4, 1, 1))</f>
        <v>1</v>
      </c>
      <c r="F1132" s="195" t="str">
        <f ca="1">IF(OFFSET('IWP06'!Std4BudgetInfo, 3, 4, 1, 1) = 0, "", OFFSET('IWP06'!Std4BudgetInfo, 3, 4, 1, 1))</f>
        <v/>
      </c>
      <c r="G1132" s="195" t="str">
        <f ca="1">IF(OFFSET('IWP06'!Std4BudgetInfo, 4, 4, 1, 1) = 0, "", OFFSET('IWP06'!Std4BudgetInfo, 4, 4, 1, 1))</f>
        <v/>
      </c>
      <c r="H1132" s="195" t="str">
        <f ca="1">IF(OFFSET('IWP06'!Std4BudgetInfo, 5, 4, 1, 1) = 0, "", OFFSET('IWP06'!Std4BudgetInfo, 5, 4, 1, 1))</f>
        <v/>
      </c>
      <c r="I1132" s="195" t="str">
        <f ca="1">IF(OFFSET('IWP06'!Std4BudgetInfo, 6, 4, 1, 1) = 0, "", OFFSET('IWP06'!Std4BudgetInfo, 6, 4, 1, 1))</f>
        <v/>
      </c>
      <c r="J1132" s="195" t="str">
        <f ca="1">IF(OFFSET('IWP06'!Std4BudgetInfo, 7, 4, 1, 1) = 0, "", OFFSET('IWP06'!Std4BudgetInfo, 7, 4, 1, 1))</f>
        <v/>
      </c>
      <c r="K1132" s="195" t="str">
        <f ca="1">IF(OFFSET('IWP06'!Std4BudgetInfo, 8, 4, 1, 1) = 0, "", OFFSET('IWP06'!Std4BudgetInfo, 8, 4, 1, 1))</f>
        <v/>
      </c>
      <c r="L1132" s="195" t="str">
        <f ca="1">IF(OFFSET('IWP06'!Std4BudgetInfo, 9, 4, 1, 1) = 0, "", OFFSET('IWP06'!Std4BudgetInfo, 9, 4, 1, 1))</f>
        <v/>
      </c>
      <c r="M1132" s="194" t="str">
        <f ca="1">IF(OFFSET('IWP06'!Std4BudgetInfo, 10, 4, 1, 1) = 0, "", OFFSET('IWP06'!Std4BudgetInfo, 10, 4, 1, 1))</f>
        <v/>
      </c>
    </row>
    <row r="1133" spans="1:13" s="146" customFormat="1">
      <c r="A1133" s="183" t="s">
        <v>504</v>
      </c>
      <c r="B1133" s="196">
        <v>4</v>
      </c>
      <c r="C1133" s="172">
        <f ca="1">IF(OFFSET('IWP06'!Std4BudgetInfo, 0, 6, 1, 1)=DATE(1900,1,0), DATE(1900,1,1), OFFSET('IWP06'!Std4BudgetInfo, 0, 6, 1, 1))</f>
        <v>1</v>
      </c>
      <c r="D1133" s="172">
        <f ca="1">IF(OFFSET('IWP06'!Std4BudgetInfo, 0, 7, 1, 1)=DATE(1900,1,0), DATE(1900,1,1), OFFSET('IWP06'!Std4BudgetInfo, 0, 7, 1, 1))</f>
        <v>1</v>
      </c>
      <c r="E1133" s="172">
        <f ca="1">IF(OFFSET('IWP06'!Std4BudgetInfo, 2, 6, 1, 1)=DATE(1900,1,0), DATE(1900,1,1), OFFSET('IWP06'!Std4BudgetInfo, 2, 6, 1, 1))</f>
        <v>1</v>
      </c>
      <c r="F1133" s="195" t="str">
        <f ca="1">IF(OFFSET('IWP06'!Std4BudgetInfo, 3, 6, 1, 1) = 0, "", OFFSET('IWP06'!Std4BudgetInfo, 3, 6, 1, 1))</f>
        <v/>
      </c>
      <c r="G1133" s="195" t="str">
        <f ca="1">IF(OFFSET('IWP06'!Std4BudgetInfo, 4, 6, 1, 1) = 0, "", OFFSET('IWP06'!Std4BudgetInfo, 4, 6, 1, 1))</f>
        <v/>
      </c>
      <c r="H1133" s="195" t="str">
        <f ca="1">IF(OFFSET('IWP06'!Std4BudgetInfo, 5, 6, 1, 1) = 0, "", OFFSET('IWP06'!Std4BudgetInfo, 5, 6, 1, 1))</f>
        <v/>
      </c>
      <c r="I1133" s="195" t="str">
        <f ca="1">IF(OFFSET('IWP06'!Std4BudgetInfo, 6, 6, 1, 1) = 0, "", OFFSET('IWP06'!Std4BudgetInfo, 6, 6, 1, 1))</f>
        <v/>
      </c>
      <c r="J1133" s="195" t="str">
        <f ca="1">IF(OFFSET('IWP06'!Std4BudgetInfo, 7, 6, 1, 1) = 0, "", OFFSET('IWP06'!Std4BudgetInfo, 7, 6, 1, 1))</f>
        <v/>
      </c>
      <c r="K1133" s="195" t="str">
        <f ca="1">IF(OFFSET('IWP06'!Std4BudgetInfo, 8, 6, 1, 1) = 0, "", OFFSET('IWP06'!Std4BudgetInfo, 8, 6, 1, 1))</f>
        <v/>
      </c>
      <c r="L1133" s="195" t="str">
        <f ca="1">IF(OFFSET('IWP06'!Std4BudgetInfo, 9, 6, 1, 1) = 0, "", OFFSET('IWP06'!Std4BudgetInfo, 9, 6, 1, 1))</f>
        <v/>
      </c>
      <c r="M1133" s="194" t="str">
        <f ca="1">IF(OFFSET('IWP06'!Std4BudgetInfo, 10, 6, 1, 1) = 0, "", OFFSET('IWP06'!Std4BudgetInfo, 10, 6, 1, 1))</f>
        <v/>
      </c>
    </row>
    <row r="1134" spans="1:13" s="146" customFormat="1">
      <c r="A1134" s="183" t="s">
        <v>505</v>
      </c>
      <c r="B1134" s="196">
        <v>1</v>
      </c>
      <c r="C1134" s="172">
        <f ca="1">IF(OFFSET('IWP07'!Std4BudgetInfo, 0, 0, 1, 1)=DATE(1900,1,0), DATE(1900,1,1), OFFSET('IWP07'!Std4BudgetInfo, 0, 0, 1, 1))</f>
        <v>1</v>
      </c>
      <c r="D1134" s="172">
        <f ca="1">IF(OFFSET('IWP07'!Std4BudgetInfo, 0, 1, 1, 1)=DATE(1900,1,0), DATE(1900,1,1), OFFSET('IWP07'!Std4BudgetInfo, 0, 1, 1, 1))</f>
        <v>1</v>
      </c>
      <c r="E1134" s="172">
        <f ca="1">IF(OFFSET('IWP07'!Std4BudgetInfo, 2, 0, 1, 1)=DATE(1900,1,0), DATE(1900,1,1), OFFSET('IWP07'!Std4BudgetInfo, 2, 0, 1, 1))</f>
        <v>1</v>
      </c>
      <c r="F1134" s="195" t="str">
        <f ca="1">IF(OFFSET('IWP07'!Std4BudgetInfo, 3, 0, 1, 1) = 0, "", OFFSET('IWP07'!Std4BudgetInfo, 3, 0, 1, 1))</f>
        <v/>
      </c>
      <c r="G1134" s="195" t="str">
        <f ca="1">IF(OFFSET('IWP07'!Std4BudgetInfo, 4, 0, 1, 1) = 0, "", OFFSET('IWP07'!Std4BudgetInfo, 4, 0, 1, 1))</f>
        <v/>
      </c>
      <c r="H1134" s="195" t="str">
        <f ca="1">IF(OFFSET('IWP07'!Std4BudgetInfo, 5, 0, 1, 1) = 0, "", OFFSET('IWP07'!Std4BudgetInfo, 5, 0, 1, 1))</f>
        <v/>
      </c>
      <c r="I1134" s="195" t="str">
        <f ca="1">IF(OFFSET('IWP07'!Std4BudgetInfo, 6, 0, 1, 1) = 0, "", OFFSET('IWP07'!Std4BudgetInfo, 6, 0, 1, 1))</f>
        <v/>
      </c>
      <c r="J1134" s="195" t="str">
        <f ca="1">IF(OFFSET('IWP07'!Std4BudgetInfo, 7, 0, 1, 1) = 0, "", OFFSET('IWP07'!Std4BudgetInfo, 7, 0, 1, 1))</f>
        <v/>
      </c>
      <c r="K1134" s="195" t="str">
        <f ca="1">IF(OFFSET('IWP07'!Std4BudgetInfo, 8, 0, 1, 1) = 0, "", OFFSET('IWP07'!Std4BudgetInfo, 8, 0, 1, 1))</f>
        <v/>
      </c>
      <c r="L1134" s="195" t="str">
        <f ca="1">IF(OFFSET('IWP07'!Std4BudgetInfo, 9, 0, 1, 1) = 0, "", OFFSET('IWP07'!Std4BudgetInfo, 9, 0, 1, 1))</f>
        <v/>
      </c>
      <c r="M1134" s="194" t="str">
        <f ca="1">IF(OFFSET('IWP07'!Std4BudgetInfo, 10, 0, 1, 1) = 0, "", OFFSET('IWP07'!Std4BudgetInfo, 10, 0, 1, 1))</f>
        <v/>
      </c>
    </row>
    <row r="1135" spans="1:13" s="146" customFormat="1">
      <c r="A1135" s="183" t="s">
        <v>505</v>
      </c>
      <c r="B1135" s="196">
        <v>2</v>
      </c>
      <c r="C1135" s="172">
        <f ca="1">IF(OFFSET('IWP07'!Std4BudgetInfo, 0, 2, 1, 1)=DATE(1900,1,0), DATE(1900,1,1), OFFSET('IWP07'!Std4BudgetInfo, 0, 2, 1, 1))</f>
        <v>1</v>
      </c>
      <c r="D1135" s="172">
        <f ca="1">IF(OFFSET('IWP07'!Std4BudgetInfo, 0, 3, 1, 1)=DATE(1900,1,0), DATE(1900,1,1), OFFSET('IWP07'!Std4BudgetInfo, 0, 3, 1, 1))</f>
        <v>1</v>
      </c>
      <c r="E1135" s="172">
        <f ca="1">IF(OFFSET('IWP07'!Std4BudgetInfo, 2, 2, 1, 1)=DATE(1900,1,0), DATE(1900,1,1), OFFSET('IWP07'!Std4BudgetInfo, 2, 2, 1, 1))</f>
        <v>1</v>
      </c>
      <c r="F1135" s="195" t="str">
        <f ca="1">IF(OFFSET('IWP07'!Std4BudgetInfo, 3, 2, 1, 1) = 0, "", OFFSET('IWP07'!Std4BudgetInfo, 3, 2, 1, 1))</f>
        <v/>
      </c>
      <c r="G1135" s="195" t="str">
        <f ca="1">IF(OFFSET('IWP07'!Std4BudgetInfo, 4, 2, 1, 1) = 0, "", OFFSET('IWP07'!Std4BudgetInfo, 4, 2, 1, 1))</f>
        <v/>
      </c>
      <c r="H1135" s="195" t="str">
        <f ca="1">IF(OFFSET('IWP07'!Std4BudgetInfo, 5, 2, 1, 1) = 0, "", OFFSET('IWP07'!Std4BudgetInfo, 5, 2, 1, 1))</f>
        <v/>
      </c>
      <c r="I1135" s="195" t="str">
        <f ca="1">IF(OFFSET('IWP07'!Std4BudgetInfo, 6, 2, 1, 1) = 0, "", OFFSET('IWP07'!Std4BudgetInfo, 6, 2, 1, 1))</f>
        <v/>
      </c>
      <c r="J1135" s="195" t="str">
        <f ca="1">IF(OFFSET('IWP07'!Std4BudgetInfo, 7, 2, 1, 1) = 0, "", OFFSET('IWP07'!Std4BudgetInfo, 7, 2, 1, 1))</f>
        <v/>
      </c>
      <c r="K1135" s="195" t="str">
        <f ca="1">IF(OFFSET('IWP07'!Std4BudgetInfo, 8, 2, 1, 1) = 0, "", OFFSET('IWP07'!Std4BudgetInfo, 8, 2, 1, 1))</f>
        <v/>
      </c>
      <c r="L1135" s="195" t="str">
        <f ca="1">IF(OFFSET('IWP07'!Std4BudgetInfo, 9, 2, 1, 1) = 0, "", OFFSET('IWP07'!Std4BudgetInfo, 9, 2, 1, 1))</f>
        <v/>
      </c>
      <c r="M1135" s="194" t="str">
        <f ca="1">IF(OFFSET('IWP07'!Std4BudgetInfo, 10, 2, 1, 1) = 0, "", OFFSET('IWP07'!Std4BudgetInfo, 10, 2, 1, 1))</f>
        <v/>
      </c>
    </row>
    <row r="1136" spans="1:13" s="146" customFormat="1">
      <c r="A1136" s="183" t="s">
        <v>505</v>
      </c>
      <c r="B1136" s="196">
        <v>3</v>
      </c>
      <c r="C1136" s="172">
        <f ca="1">IF(OFFSET('IWP07'!Std4BudgetInfo, 0, 4, 1, 1)=DATE(1900,1,0), DATE(1900,1,1), OFFSET('IWP07'!Std4BudgetInfo, 0, 4, 1, 1))</f>
        <v>1</v>
      </c>
      <c r="D1136" s="172">
        <f ca="1">IF(OFFSET('IWP07'!Std4BudgetInfo, 0, 5, 1, 1)=DATE(1900,1,0), DATE(1900,1,1), OFFSET('IWP07'!Std4BudgetInfo, 0, 5, 1, 1))</f>
        <v>1</v>
      </c>
      <c r="E1136" s="172">
        <f ca="1">IF(OFFSET('IWP07'!Std4BudgetInfo, 2, 4, 1, 1)=DATE(1900,1,0), DATE(1900,1,1), OFFSET('IWP07'!Std4BudgetInfo, 2, 4, 1, 1))</f>
        <v>1</v>
      </c>
      <c r="F1136" s="195" t="str">
        <f ca="1">IF(OFFSET('IWP07'!Std4BudgetInfo, 3, 4, 1, 1) = 0, "", OFFSET('IWP07'!Std4BudgetInfo, 3, 4, 1, 1))</f>
        <v/>
      </c>
      <c r="G1136" s="195" t="str">
        <f ca="1">IF(OFFSET('IWP07'!Std4BudgetInfo, 4, 4, 1, 1) = 0, "", OFFSET('IWP07'!Std4BudgetInfo, 4, 4, 1, 1))</f>
        <v/>
      </c>
      <c r="H1136" s="195" t="str">
        <f ca="1">IF(OFFSET('IWP07'!Std4BudgetInfo, 5, 4, 1, 1) = 0, "", OFFSET('IWP07'!Std4BudgetInfo, 5, 4, 1, 1))</f>
        <v/>
      </c>
      <c r="I1136" s="195" t="str">
        <f ca="1">IF(OFFSET('IWP07'!Std4BudgetInfo, 6, 4, 1, 1) = 0, "", OFFSET('IWP07'!Std4BudgetInfo, 6, 4, 1, 1))</f>
        <v/>
      </c>
      <c r="J1136" s="195" t="str">
        <f ca="1">IF(OFFSET('IWP07'!Std4BudgetInfo, 7, 4, 1, 1) = 0, "", OFFSET('IWP07'!Std4BudgetInfo, 7, 4, 1, 1))</f>
        <v/>
      </c>
      <c r="K1136" s="195" t="str">
        <f ca="1">IF(OFFSET('IWP07'!Std4BudgetInfo, 8, 4, 1, 1) = 0, "", OFFSET('IWP07'!Std4BudgetInfo, 8, 4, 1, 1))</f>
        <v/>
      </c>
      <c r="L1136" s="195" t="str">
        <f ca="1">IF(OFFSET('IWP07'!Std4BudgetInfo, 9, 4, 1, 1) = 0, "", OFFSET('IWP07'!Std4BudgetInfo, 9, 4, 1, 1))</f>
        <v/>
      </c>
      <c r="M1136" s="194" t="str">
        <f ca="1">IF(OFFSET('IWP07'!Std4BudgetInfo, 10, 4, 1, 1) = 0, "", OFFSET('IWP07'!Std4BudgetInfo, 10, 4, 1, 1))</f>
        <v/>
      </c>
    </row>
    <row r="1137" spans="1:13" s="146" customFormat="1">
      <c r="A1137" s="183" t="s">
        <v>505</v>
      </c>
      <c r="B1137" s="196">
        <v>4</v>
      </c>
      <c r="C1137" s="172">
        <f ca="1">IF(OFFSET('IWP07'!Std4BudgetInfo, 0, 6, 1, 1)=DATE(1900,1,0), DATE(1900,1,1), OFFSET('IWP07'!Std4BudgetInfo, 0, 6, 1, 1))</f>
        <v>1</v>
      </c>
      <c r="D1137" s="172">
        <f ca="1">IF(OFFSET('IWP07'!Std4BudgetInfo, 0, 7, 1, 1)=DATE(1900,1,0), DATE(1900,1,1), OFFSET('IWP07'!Std4BudgetInfo, 0, 7, 1, 1))</f>
        <v>1</v>
      </c>
      <c r="E1137" s="172">
        <f ca="1">IF(OFFSET('IWP07'!Std4BudgetInfo, 2, 6, 1, 1)=DATE(1900,1,0), DATE(1900,1,1), OFFSET('IWP07'!Std4BudgetInfo, 2, 6, 1, 1))</f>
        <v>1</v>
      </c>
      <c r="F1137" s="195" t="str">
        <f ca="1">IF(OFFSET('IWP07'!Std4BudgetInfo, 3, 6, 1, 1) = 0, "", OFFSET('IWP07'!Std4BudgetInfo, 3, 6, 1, 1))</f>
        <v/>
      </c>
      <c r="G1137" s="195" t="str">
        <f ca="1">IF(OFFSET('IWP07'!Std4BudgetInfo, 4, 6, 1, 1) = 0, "", OFFSET('IWP07'!Std4BudgetInfo, 4, 6, 1, 1))</f>
        <v/>
      </c>
      <c r="H1137" s="195" t="str">
        <f ca="1">IF(OFFSET('IWP07'!Std4BudgetInfo, 5, 6, 1, 1) = 0, "", OFFSET('IWP07'!Std4BudgetInfo, 5, 6, 1, 1))</f>
        <v/>
      </c>
      <c r="I1137" s="195" t="str">
        <f ca="1">IF(OFFSET('IWP07'!Std4BudgetInfo, 6, 6, 1, 1) = 0, "", OFFSET('IWP07'!Std4BudgetInfo, 6, 6, 1, 1))</f>
        <v/>
      </c>
      <c r="J1137" s="195" t="str">
        <f ca="1">IF(OFFSET('IWP07'!Std4BudgetInfo, 7, 6, 1, 1) = 0, "", OFFSET('IWP07'!Std4BudgetInfo, 7, 6, 1, 1))</f>
        <v/>
      </c>
      <c r="K1137" s="195" t="str">
        <f ca="1">IF(OFFSET('IWP07'!Std4BudgetInfo, 8, 6, 1, 1) = 0, "", OFFSET('IWP07'!Std4BudgetInfo, 8, 6, 1, 1))</f>
        <v/>
      </c>
      <c r="L1137" s="195" t="str">
        <f ca="1">IF(OFFSET('IWP07'!Std4BudgetInfo, 9, 6, 1, 1) = 0, "", OFFSET('IWP07'!Std4BudgetInfo, 9, 6, 1, 1))</f>
        <v/>
      </c>
      <c r="M1137" s="194" t="str">
        <f ca="1">IF(OFFSET('IWP07'!Std4BudgetInfo, 10, 6, 1, 1) = 0, "", OFFSET('IWP07'!Std4BudgetInfo, 10, 6, 1, 1))</f>
        <v/>
      </c>
    </row>
    <row r="1138" spans="1:13" s="146" customFormat="1">
      <c r="A1138" s="183" t="s">
        <v>506</v>
      </c>
      <c r="B1138" s="196">
        <v>1</v>
      </c>
      <c r="C1138" s="172">
        <f ca="1">IF(OFFSET('IWP08'!Std4BudgetInfo, 0, 0, 1, 1)=DATE(1900,1,0), DATE(1900,1,1), OFFSET('IWP08'!Std4BudgetInfo, 0, 0, 1, 1))</f>
        <v>1</v>
      </c>
      <c r="D1138" s="172">
        <f ca="1">IF(OFFSET('IWP08'!Std4BudgetInfo, 0, 1, 1, 1)=DATE(1900,1,0), DATE(1900,1,1), OFFSET('IWP08'!Std4BudgetInfo, 0, 1, 1, 1))</f>
        <v>1</v>
      </c>
      <c r="E1138" s="172">
        <f ca="1">IF(OFFSET('IWP08'!Std4BudgetInfo, 2, 0, 1, 1)=DATE(1900,1,0), DATE(1900,1,1), OFFSET('IWP08'!Std4BudgetInfo, 2, 0, 1, 1))</f>
        <v>1</v>
      </c>
      <c r="F1138" s="195" t="str">
        <f ca="1">IF(OFFSET('IWP08'!Std4BudgetInfo, 3, 0, 1, 1) = 0, "", OFFSET('IWP08'!Std4BudgetInfo, 3, 0, 1, 1))</f>
        <v/>
      </c>
      <c r="G1138" s="195" t="str">
        <f ca="1">IF(OFFSET('IWP08'!Std4BudgetInfo, 4, 0, 1, 1) = 0, "", OFFSET('IWP08'!Std4BudgetInfo, 4, 0, 1, 1))</f>
        <v/>
      </c>
      <c r="H1138" s="195" t="str">
        <f ca="1">IF(OFFSET('IWP08'!Std4BudgetInfo, 5, 0, 1, 1) = 0, "", OFFSET('IWP08'!Std4BudgetInfo, 5, 0, 1, 1))</f>
        <v/>
      </c>
      <c r="I1138" s="195" t="str">
        <f ca="1">IF(OFFSET('IWP08'!Std4BudgetInfo, 6, 0, 1, 1) = 0, "", OFFSET('IWP08'!Std4BudgetInfo, 6, 0, 1, 1))</f>
        <v/>
      </c>
      <c r="J1138" s="195" t="str">
        <f ca="1">IF(OFFSET('IWP08'!Std4BudgetInfo, 7, 0, 1, 1) = 0, "", OFFSET('IWP08'!Std4BudgetInfo, 7, 0, 1, 1))</f>
        <v/>
      </c>
      <c r="K1138" s="195" t="str">
        <f ca="1">IF(OFFSET('IWP08'!Std4BudgetInfo, 8, 0, 1, 1) = 0, "", OFFSET('IWP08'!Std4BudgetInfo, 8, 0, 1, 1))</f>
        <v/>
      </c>
      <c r="L1138" s="195" t="str">
        <f ca="1">IF(OFFSET('IWP08'!Std4BudgetInfo, 9, 0, 1, 1) = 0, "", OFFSET('IWP08'!Std4BudgetInfo, 9, 0, 1, 1))</f>
        <v/>
      </c>
      <c r="M1138" s="194" t="str">
        <f ca="1">IF(OFFSET('IWP08'!Std4BudgetInfo, 10, 0, 1, 1) = 0, "", OFFSET('IWP08'!Std4BudgetInfo, 10, 0, 1, 1))</f>
        <v/>
      </c>
    </row>
    <row r="1139" spans="1:13" s="146" customFormat="1">
      <c r="A1139" s="183" t="s">
        <v>506</v>
      </c>
      <c r="B1139" s="196">
        <v>2</v>
      </c>
      <c r="C1139" s="172">
        <f ca="1">IF(OFFSET('IWP08'!Std4BudgetInfo, 0, 2, 1, 1)=DATE(1900,1,0), DATE(1900,1,1), OFFSET('IWP08'!Std4BudgetInfo, 0, 2, 1, 1))</f>
        <v>1</v>
      </c>
      <c r="D1139" s="172">
        <f ca="1">IF(OFFSET('IWP08'!Std4BudgetInfo, 0, 3, 1, 1)=DATE(1900,1,0), DATE(1900,1,1), OFFSET('IWP08'!Std4BudgetInfo, 0, 3, 1, 1))</f>
        <v>1</v>
      </c>
      <c r="E1139" s="172">
        <f ca="1">IF(OFFSET('IWP08'!Std4BudgetInfo, 2, 2, 1, 1)=DATE(1900,1,0), DATE(1900,1,1), OFFSET('IWP08'!Std4BudgetInfo, 2, 2, 1, 1))</f>
        <v>1</v>
      </c>
      <c r="F1139" s="195" t="str">
        <f ca="1">IF(OFFSET('IWP08'!Std4BudgetInfo, 3, 2, 1, 1) = 0, "", OFFSET('IWP08'!Std4BudgetInfo, 3, 2, 1, 1))</f>
        <v/>
      </c>
      <c r="G1139" s="195" t="str">
        <f ca="1">IF(OFFSET('IWP08'!Std4BudgetInfo, 4, 2, 1, 1) = 0, "", OFFSET('IWP08'!Std4BudgetInfo, 4, 2, 1, 1))</f>
        <v/>
      </c>
      <c r="H1139" s="195" t="str">
        <f ca="1">IF(OFFSET('IWP08'!Std4BudgetInfo, 5, 2, 1, 1) = 0, "", OFFSET('IWP08'!Std4BudgetInfo, 5, 2, 1, 1))</f>
        <v/>
      </c>
      <c r="I1139" s="195" t="str">
        <f ca="1">IF(OFFSET('IWP08'!Std4BudgetInfo, 6, 2, 1, 1) = 0, "", OFFSET('IWP08'!Std4BudgetInfo, 6, 2, 1, 1))</f>
        <v/>
      </c>
      <c r="J1139" s="195" t="str">
        <f ca="1">IF(OFFSET('IWP08'!Std4BudgetInfo, 7, 2, 1, 1) = 0, "", OFFSET('IWP08'!Std4BudgetInfo, 7, 2, 1, 1))</f>
        <v/>
      </c>
      <c r="K1139" s="195" t="str">
        <f ca="1">IF(OFFSET('IWP08'!Std4BudgetInfo, 8, 2, 1, 1) = 0, "", OFFSET('IWP08'!Std4BudgetInfo, 8, 2, 1, 1))</f>
        <v/>
      </c>
      <c r="L1139" s="195" t="str">
        <f ca="1">IF(OFFSET('IWP08'!Std4BudgetInfo, 9, 2, 1, 1) = 0, "", OFFSET('IWP08'!Std4BudgetInfo, 9, 2, 1, 1))</f>
        <v/>
      </c>
      <c r="M1139" s="194" t="str">
        <f ca="1">IF(OFFSET('IWP08'!Std4BudgetInfo, 10, 2, 1, 1) = 0, "", OFFSET('IWP08'!Std4BudgetInfo, 10, 2, 1, 1))</f>
        <v/>
      </c>
    </row>
    <row r="1140" spans="1:13" s="146" customFormat="1">
      <c r="A1140" s="183" t="s">
        <v>506</v>
      </c>
      <c r="B1140" s="196">
        <v>3</v>
      </c>
      <c r="C1140" s="172">
        <f ca="1">IF(OFFSET('IWP08'!Std4BudgetInfo, 0, 4, 1, 1)=DATE(1900,1,0), DATE(1900,1,1), OFFSET('IWP08'!Std4BudgetInfo, 0, 4, 1, 1))</f>
        <v>1</v>
      </c>
      <c r="D1140" s="172">
        <f ca="1">IF(OFFSET('IWP08'!Std4BudgetInfo, 0, 5, 1, 1)=DATE(1900,1,0), DATE(1900,1,1), OFFSET('IWP08'!Std4BudgetInfo, 0, 5, 1, 1))</f>
        <v>1</v>
      </c>
      <c r="E1140" s="172">
        <f ca="1">IF(OFFSET('IWP08'!Std4BudgetInfo, 2, 4, 1, 1)=DATE(1900,1,0), DATE(1900,1,1), OFFSET('IWP08'!Std4BudgetInfo, 2, 4, 1, 1))</f>
        <v>1</v>
      </c>
      <c r="F1140" s="195" t="str">
        <f ca="1">IF(OFFSET('IWP08'!Std4BudgetInfo, 3, 4, 1, 1) = 0, "", OFFSET('IWP08'!Std4BudgetInfo, 3, 4, 1, 1))</f>
        <v/>
      </c>
      <c r="G1140" s="195" t="str">
        <f ca="1">IF(OFFSET('IWP08'!Std4BudgetInfo, 4, 4, 1, 1) = 0, "", OFFSET('IWP08'!Std4BudgetInfo, 4, 4, 1, 1))</f>
        <v/>
      </c>
      <c r="H1140" s="195" t="str">
        <f ca="1">IF(OFFSET('IWP08'!Std4BudgetInfo, 5, 4, 1, 1) = 0, "", OFFSET('IWP08'!Std4BudgetInfo, 5, 4, 1, 1))</f>
        <v/>
      </c>
      <c r="I1140" s="195" t="str">
        <f ca="1">IF(OFFSET('IWP08'!Std4BudgetInfo, 6, 4, 1, 1) = 0, "", OFFSET('IWP08'!Std4BudgetInfo, 6, 4, 1, 1))</f>
        <v/>
      </c>
      <c r="J1140" s="195" t="str">
        <f ca="1">IF(OFFSET('IWP08'!Std4BudgetInfo, 7, 4, 1, 1) = 0, "", OFFSET('IWP08'!Std4BudgetInfo, 7, 4, 1, 1))</f>
        <v/>
      </c>
      <c r="K1140" s="195" t="str">
        <f ca="1">IF(OFFSET('IWP08'!Std4BudgetInfo, 8, 4, 1, 1) = 0, "", OFFSET('IWP08'!Std4BudgetInfo, 8, 4, 1, 1))</f>
        <v/>
      </c>
      <c r="L1140" s="195" t="str">
        <f ca="1">IF(OFFSET('IWP08'!Std4BudgetInfo, 9, 4, 1, 1) = 0, "", OFFSET('IWP08'!Std4BudgetInfo, 9, 4, 1, 1))</f>
        <v/>
      </c>
      <c r="M1140" s="194" t="str">
        <f ca="1">IF(OFFSET('IWP08'!Std4BudgetInfo, 10, 4, 1, 1) = 0, "", OFFSET('IWP08'!Std4BudgetInfo, 10, 4, 1, 1))</f>
        <v/>
      </c>
    </row>
    <row r="1141" spans="1:13" s="146" customFormat="1">
      <c r="A1141" s="183" t="s">
        <v>506</v>
      </c>
      <c r="B1141" s="196">
        <v>4</v>
      </c>
      <c r="C1141" s="172">
        <f ca="1">IF(OFFSET('IWP08'!Std4BudgetInfo, 0, 6, 1, 1)=DATE(1900,1,0), DATE(1900,1,1), OFFSET('IWP08'!Std4BudgetInfo, 0, 6, 1, 1))</f>
        <v>1</v>
      </c>
      <c r="D1141" s="172">
        <f ca="1">IF(OFFSET('IWP08'!Std4BudgetInfo, 0, 7, 1, 1)=DATE(1900,1,0), DATE(1900,1,1), OFFSET('IWP08'!Std4BudgetInfo, 0, 7, 1, 1))</f>
        <v>1</v>
      </c>
      <c r="E1141" s="172">
        <f ca="1">IF(OFFSET('IWP08'!Std4BudgetInfo, 2, 6, 1, 1)=DATE(1900,1,0), DATE(1900,1,1), OFFSET('IWP08'!Std4BudgetInfo, 2, 6, 1, 1))</f>
        <v>1</v>
      </c>
      <c r="F1141" s="195" t="str">
        <f ca="1">IF(OFFSET('IWP08'!Std4BudgetInfo, 3, 6, 1, 1) = 0, "", OFFSET('IWP08'!Std4BudgetInfo, 3, 6, 1, 1))</f>
        <v/>
      </c>
      <c r="G1141" s="195" t="str">
        <f ca="1">IF(OFFSET('IWP08'!Std4BudgetInfo, 4, 6, 1, 1) = 0, "", OFFSET('IWP08'!Std4BudgetInfo, 4, 6, 1, 1))</f>
        <v/>
      </c>
      <c r="H1141" s="195" t="str">
        <f ca="1">IF(OFFSET('IWP08'!Std4BudgetInfo, 5, 6, 1, 1) = 0, "", OFFSET('IWP08'!Std4BudgetInfo, 5, 6, 1, 1))</f>
        <v/>
      </c>
      <c r="I1141" s="195" t="str">
        <f ca="1">IF(OFFSET('IWP08'!Std4BudgetInfo, 6, 6, 1, 1) = 0, "", OFFSET('IWP08'!Std4BudgetInfo, 6, 6, 1, 1))</f>
        <v/>
      </c>
      <c r="J1141" s="195" t="str">
        <f ca="1">IF(OFFSET('IWP08'!Std4BudgetInfo, 7, 6, 1, 1) = 0, "", OFFSET('IWP08'!Std4BudgetInfo, 7, 6, 1, 1))</f>
        <v/>
      </c>
      <c r="K1141" s="195" t="str">
        <f ca="1">IF(OFFSET('IWP08'!Std4BudgetInfo, 8, 6, 1, 1) = 0, "", OFFSET('IWP08'!Std4BudgetInfo, 8, 6, 1, 1))</f>
        <v/>
      </c>
      <c r="L1141" s="195" t="str">
        <f ca="1">IF(OFFSET('IWP08'!Std4BudgetInfo, 9, 6, 1, 1) = 0, "", OFFSET('IWP08'!Std4BudgetInfo, 9, 6, 1, 1))</f>
        <v/>
      </c>
      <c r="M1141" s="194" t="str">
        <f ca="1">IF(OFFSET('IWP08'!Std4BudgetInfo, 10, 6, 1, 1) = 0, "", OFFSET('IWP08'!Std4BudgetInfo, 10, 6, 1, 1))</f>
        <v/>
      </c>
    </row>
    <row r="1142" spans="1:13" s="146" customFormat="1">
      <c r="A1142" s="183" t="s">
        <v>507</v>
      </c>
      <c r="B1142" s="196">
        <v>1</v>
      </c>
      <c r="C1142" s="172">
        <f ca="1">IF(OFFSET('IWP09'!Std4BudgetInfo, 0, 0, 1, 1)=DATE(1900,1,0), DATE(1900,1,1), OFFSET('IWP09'!Std4BudgetInfo, 0, 0, 1, 1))</f>
        <v>1</v>
      </c>
      <c r="D1142" s="172">
        <f ca="1">IF(OFFSET('IWP09'!Std4BudgetInfo, 0, 1, 1, 1)=DATE(1900,1,0), DATE(1900,1,1), OFFSET('IWP09'!Std4BudgetInfo, 0, 1, 1, 1))</f>
        <v>1</v>
      </c>
      <c r="E1142" s="172">
        <f ca="1">IF(OFFSET('IWP09'!Std4BudgetInfo, 2, 0, 1, 1)=DATE(1900,1,0), DATE(1900,1,1), OFFSET('IWP09'!Std4BudgetInfo, 2, 0, 1, 1))</f>
        <v>1</v>
      </c>
      <c r="F1142" s="195" t="str">
        <f ca="1">IF(OFFSET('IWP09'!Std4BudgetInfo, 3, 0, 1, 1) = 0, "", OFFSET('IWP09'!Std4BudgetInfo, 3, 0, 1, 1))</f>
        <v/>
      </c>
      <c r="G1142" s="195" t="str">
        <f ca="1">IF(OFFSET('IWP09'!Std4BudgetInfo, 4, 0, 1, 1) = 0, "", OFFSET('IWP09'!Std4BudgetInfo, 4, 0, 1, 1))</f>
        <v/>
      </c>
      <c r="H1142" s="195" t="str">
        <f ca="1">IF(OFFSET('IWP09'!Std4BudgetInfo, 5, 0, 1, 1) = 0, "", OFFSET('IWP09'!Std4BudgetInfo, 5, 0, 1, 1))</f>
        <v/>
      </c>
      <c r="I1142" s="195" t="str">
        <f ca="1">IF(OFFSET('IWP09'!Std4BudgetInfo, 6, 0, 1, 1) = 0, "", OFFSET('IWP09'!Std4BudgetInfo, 6, 0, 1, 1))</f>
        <v/>
      </c>
      <c r="J1142" s="195" t="str">
        <f ca="1">IF(OFFSET('IWP09'!Std4BudgetInfo, 7, 0, 1, 1) = 0, "", OFFSET('IWP09'!Std4BudgetInfo, 7, 0, 1, 1))</f>
        <v/>
      </c>
      <c r="K1142" s="195" t="str">
        <f ca="1">IF(OFFSET('IWP09'!Std4BudgetInfo, 8, 0, 1, 1) = 0, "", OFFSET('IWP09'!Std4BudgetInfo, 8, 0, 1, 1))</f>
        <v/>
      </c>
      <c r="L1142" s="195" t="str">
        <f ca="1">IF(OFFSET('IWP09'!Std4BudgetInfo, 9, 0, 1, 1) = 0, "", OFFSET('IWP09'!Std4BudgetInfo, 9, 0, 1, 1))</f>
        <v/>
      </c>
      <c r="M1142" s="194" t="str">
        <f ca="1">IF(OFFSET('IWP09'!Std4BudgetInfo, 10, 0, 1, 1) = 0, "", OFFSET('IWP09'!Std4BudgetInfo, 10, 0, 1, 1))</f>
        <v/>
      </c>
    </row>
    <row r="1143" spans="1:13" s="146" customFormat="1">
      <c r="A1143" s="183" t="s">
        <v>507</v>
      </c>
      <c r="B1143" s="196">
        <v>2</v>
      </c>
      <c r="C1143" s="172">
        <f ca="1">IF(OFFSET('IWP09'!Std4BudgetInfo, 0, 2, 1, 1)=DATE(1900,1,0), DATE(1900,1,1), OFFSET('IWP09'!Std4BudgetInfo, 0, 2, 1, 1))</f>
        <v>1</v>
      </c>
      <c r="D1143" s="172">
        <f ca="1">IF(OFFSET('IWP09'!Std4BudgetInfo, 0, 3, 1, 1)=DATE(1900,1,0), DATE(1900,1,1), OFFSET('IWP09'!Std4BudgetInfo, 0, 3, 1, 1))</f>
        <v>1</v>
      </c>
      <c r="E1143" s="172">
        <f ca="1">IF(OFFSET('IWP09'!Std4BudgetInfo, 2, 2, 1, 1)=DATE(1900,1,0), DATE(1900,1,1), OFFSET('IWP09'!Std4BudgetInfo, 2, 2, 1, 1))</f>
        <v>1</v>
      </c>
      <c r="F1143" s="195" t="str">
        <f ca="1">IF(OFFSET('IWP09'!Std4BudgetInfo, 3, 2, 1, 1) = 0, "", OFFSET('IWP09'!Std4BudgetInfo, 3, 2, 1, 1))</f>
        <v/>
      </c>
      <c r="G1143" s="195" t="str">
        <f ca="1">IF(OFFSET('IWP09'!Std4BudgetInfo, 4, 2, 1, 1) = 0, "", OFFSET('IWP09'!Std4BudgetInfo, 4, 2, 1, 1))</f>
        <v/>
      </c>
      <c r="H1143" s="195" t="str">
        <f ca="1">IF(OFFSET('IWP09'!Std4BudgetInfo, 5, 2, 1, 1) = 0, "", OFFSET('IWP09'!Std4BudgetInfo, 5, 2, 1, 1))</f>
        <v/>
      </c>
      <c r="I1143" s="195" t="str">
        <f ca="1">IF(OFFSET('IWP09'!Std4BudgetInfo, 6, 2, 1, 1) = 0, "", OFFSET('IWP09'!Std4BudgetInfo, 6, 2, 1, 1))</f>
        <v/>
      </c>
      <c r="J1143" s="195" t="str">
        <f ca="1">IF(OFFSET('IWP09'!Std4BudgetInfo, 7, 2, 1, 1) = 0, "", OFFSET('IWP09'!Std4BudgetInfo, 7, 2, 1, 1))</f>
        <v/>
      </c>
      <c r="K1143" s="195" t="str">
        <f ca="1">IF(OFFSET('IWP09'!Std4BudgetInfo, 8, 2, 1, 1) = 0, "", OFFSET('IWP09'!Std4BudgetInfo, 8, 2, 1, 1))</f>
        <v/>
      </c>
      <c r="L1143" s="195" t="str">
        <f ca="1">IF(OFFSET('IWP09'!Std4BudgetInfo, 9, 2, 1, 1) = 0, "", OFFSET('IWP09'!Std4BudgetInfo, 9, 2, 1, 1))</f>
        <v/>
      </c>
      <c r="M1143" s="194" t="str">
        <f ca="1">IF(OFFSET('IWP09'!Std4BudgetInfo, 10, 2, 1, 1) = 0, "", OFFSET('IWP09'!Std4BudgetInfo, 10, 2, 1, 1))</f>
        <v/>
      </c>
    </row>
    <row r="1144" spans="1:13" s="146" customFormat="1">
      <c r="A1144" s="183" t="s">
        <v>507</v>
      </c>
      <c r="B1144" s="196">
        <v>3</v>
      </c>
      <c r="C1144" s="172">
        <f ca="1">IF(OFFSET('IWP09'!Std4BudgetInfo, 0, 4, 1, 1)=DATE(1900,1,0), DATE(1900,1,1), OFFSET('IWP09'!Std4BudgetInfo, 0, 4, 1, 1))</f>
        <v>1</v>
      </c>
      <c r="D1144" s="172">
        <f ca="1">IF(OFFSET('IWP09'!Std4BudgetInfo, 0, 5, 1, 1)=DATE(1900,1,0), DATE(1900,1,1), OFFSET('IWP09'!Std4BudgetInfo, 0, 5, 1, 1))</f>
        <v>1</v>
      </c>
      <c r="E1144" s="172">
        <f ca="1">IF(OFFSET('IWP09'!Std4BudgetInfo, 2, 4, 1, 1)=DATE(1900,1,0), DATE(1900,1,1), OFFSET('IWP09'!Std4BudgetInfo, 2, 4, 1, 1))</f>
        <v>1</v>
      </c>
      <c r="F1144" s="195" t="str">
        <f ca="1">IF(OFFSET('IWP09'!Std4BudgetInfo, 3, 4, 1, 1) = 0, "", OFFSET('IWP09'!Std4BudgetInfo, 3, 4, 1, 1))</f>
        <v/>
      </c>
      <c r="G1144" s="195" t="str">
        <f ca="1">IF(OFFSET('IWP09'!Std4BudgetInfo, 4, 4, 1, 1) = 0, "", OFFSET('IWP09'!Std4BudgetInfo, 4, 4, 1, 1))</f>
        <v/>
      </c>
      <c r="H1144" s="195" t="str">
        <f ca="1">IF(OFFSET('IWP09'!Std4BudgetInfo, 5, 4, 1, 1) = 0, "", OFFSET('IWP09'!Std4BudgetInfo, 5, 4, 1, 1))</f>
        <v/>
      </c>
      <c r="I1144" s="195" t="str">
        <f ca="1">IF(OFFSET('IWP09'!Std4BudgetInfo, 6, 4, 1, 1) = 0, "", OFFSET('IWP09'!Std4BudgetInfo, 6, 4, 1, 1))</f>
        <v/>
      </c>
      <c r="J1144" s="195" t="str">
        <f ca="1">IF(OFFSET('IWP09'!Std4BudgetInfo, 7, 4, 1, 1) = 0, "", OFFSET('IWP09'!Std4BudgetInfo, 7, 4, 1, 1))</f>
        <v/>
      </c>
      <c r="K1144" s="195" t="str">
        <f ca="1">IF(OFFSET('IWP09'!Std4BudgetInfo, 8, 4, 1, 1) = 0, "", OFFSET('IWP09'!Std4BudgetInfo, 8, 4, 1, 1))</f>
        <v/>
      </c>
      <c r="L1144" s="195" t="str">
        <f ca="1">IF(OFFSET('IWP09'!Std4BudgetInfo, 9, 4, 1, 1) = 0, "", OFFSET('IWP09'!Std4BudgetInfo, 9, 4, 1, 1))</f>
        <v/>
      </c>
      <c r="M1144" s="194" t="str">
        <f ca="1">IF(OFFSET('IWP09'!Std4BudgetInfo, 10, 4, 1, 1) = 0, "", OFFSET('IWP09'!Std4BudgetInfo, 10, 4, 1, 1))</f>
        <v/>
      </c>
    </row>
    <row r="1145" spans="1:13" s="146" customFormat="1">
      <c r="A1145" s="183" t="s">
        <v>507</v>
      </c>
      <c r="B1145" s="196">
        <v>4</v>
      </c>
      <c r="C1145" s="172">
        <f ca="1">IF(OFFSET('IWP09'!Std4BudgetInfo, 0, 6, 1, 1)=DATE(1900,1,0), DATE(1900,1,1), OFFSET('IWP09'!Std4BudgetInfo, 0, 6, 1, 1))</f>
        <v>1</v>
      </c>
      <c r="D1145" s="172">
        <f ca="1">IF(OFFSET('IWP09'!Std4BudgetInfo, 0, 7, 1, 1)=DATE(1900,1,0), DATE(1900,1,1), OFFSET('IWP09'!Std4BudgetInfo, 0, 7, 1, 1))</f>
        <v>1</v>
      </c>
      <c r="E1145" s="172">
        <f ca="1">IF(OFFSET('IWP09'!Std4BudgetInfo, 2, 6, 1, 1)=DATE(1900,1,0), DATE(1900,1,1), OFFSET('IWP09'!Std4BudgetInfo, 2, 6, 1, 1))</f>
        <v>1</v>
      </c>
      <c r="F1145" s="195" t="str">
        <f ca="1">IF(OFFSET('IWP09'!Std4BudgetInfo, 3, 6, 1, 1) = 0, "", OFFSET('IWP09'!Std4BudgetInfo, 3, 6, 1, 1))</f>
        <v/>
      </c>
      <c r="G1145" s="195" t="str">
        <f ca="1">IF(OFFSET('IWP09'!Std4BudgetInfo, 4, 6, 1, 1) = 0, "", OFFSET('IWP09'!Std4BudgetInfo, 4, 6, 1, 1))</f>
        <v/>
      </c>
      <c r="H1145" s="195" t="str">
        <f ca="1">IF(OFFSET('IWP09'!Std4BudgetInfo, 5, 6, 1, 1) = 0, "", OFFSET('IWP09'!Std4BudgetInfo, 5, 6, 1, 1))</f>
        <v/>
      </c>
      <c r="I1145" s="195" t="str">
        <f ca="1">IF(OFFSET('IWP09'!Std4BudgetInfo, 6, 6, 1, 1) = 0, "", OFFSET('IWP09'!Std4BudgetInfo, 6, 6, 1, 1))</f>
        <v/>
      </c>
      <c r="J1145" s="195" t="str">
        <f ca="1">IF(OFFSET('IWP09'!Std4BudgetInfo, 7, 6, 1, 1) = 0, "", OFFSET('IWP09'!Std4BudgetInfo, 7, 6, 1, 1))</f>
        <v/>
      </c>
      <c r="K1145" s="195" t="str">
        <f ca="1">IF(OFFSET('IWP09'!Std4BudgetInfo, 8, 6, 1, 1) = 0, "", OFFSET('IWP09'!Std4BudgetInfo, 8, 6, 1, 1))</f>
        <v/>
      </c>
      <c r="L1145" s="195" t="str">
        <f ca="1">IF(OFFSET('IWP09'!Std4BudgetInfo, 9, 6, 1, 1) = 0, "", OFFSET('IWP09'!Std4BudgetInfo, 9, 6, 1, 1))</f>
        <v/>
      </c>
      <c r="M1145" s="194" t="str">
        <f ca="1">IF(OFFSET('IWP09'!Std4BudgetInfo, 10, 6, 1, 1) = 0, "", OFFSET('IWP09'!Std4BudgetInfo, 10, 6, 1, 1))</f>
        <v/>
      </c>
    </row>
    <row r="1146" spans="1:13" s="146" customFormat="1">
      <c r="A1146" s="183" t="s">
        <v>508</v>
      </c>
      <c r="B1146" s="196">
        <v>1</v>
      </c>
      <c r="C1146" s="172">
        <f ca="1">IF(OFFSET('IWP10'!Std4BudgetInfo, 0, 0, 1, 1)=DATE(1900,1,0), DATE(1900,1,1), OFFSET('IWP10'!Std4BudgetInfo, 0, 0, 1, 1))</f>
        <v>1</v>
      </c>
      <c r="D1146" s="172">
        <f ca="1">IF(OFFSET('IWP10'!Std4BudgetInfo, 0, 1, 1, 1)=DATE(1900,1,0), DATE(1900,1,1), OFFSET('IWP10'!Std4BudgetInfo, 0, 1, 1, 1))</f>
        <v>1</v>
      </c>
      <c r="E1146" s="172">
        <f ca="1">IF(OFFSET('IWP10'!Std4BudgetInfo, 2, 0, 1, 1)=DATE(1900,1,0), DATE(1900,1,1), OFFSET('IWP10'!Std4BudgetInfo, 2, 0, 1, 1))</f>
        <v>1</v>
      </c>
      <c r="F1146" s="195" t="str">
        <f ca="1">IF(OFFSET('IWP10'!Std4BudgetInfo, 3, 0, 1, 1) = 0, "", OFFSET('IWP10'!Std4BudgetInfo, 3, 0, 1, 1))</f>
        <v/>
      </c>
      <c r="G1146" s="195" t="str">
        <f ca="1">IF(OFFSET('IWP10'!Std4BudgetInfo, 4, 0, 1, 1) = 0, "", OFFSET('IWP10'!Std4BudgetInfo, 4, 0, 1, 1))</f>
        <v/>
      </c>
      <c r="H1146" s="195" t="str">
        <f ca="1">IF(OFFSET('IWP10'!Std4BudgetInfo, 5, 0, 1, 1) = 0, "", OFFSET('IWP10'!Std4BudgetInfo, 5, 0, 1, 1))</f>
        <v/>
      </c>
      <c r="I1146" s="195" t="str">
        <f ca="1">IF(OFFSET('IWP10'!Std4BudgetInfo, 6, 0, 1, 1) = 0, "", OFFSET('IWP10'!Std4BudgetInfo, 6, 0, 1, 1))</f>
        <v/>
      </c>
      <c r="J1146" s="195" t="str">
        <f ca="1">IF(OFFSET('IWP10'!Std4BudgetInfo, 7, 0, 1, 1) = 0, "", OFFSET('IWP10'!Std4BudgetInfo, 7, 0, 1, 1))</f>
        <v/>
      </c>
      <c r="K1146" s="195" t="str">
        <f ca="1">IF(OFFSET('IWP10'!Std4BudgetInfo, 8, 0, 1, 1) = 0, "", OFFSET('IWP10'!Std4BudgetInfo, 8, 0, 1, 1))</f>
        <v/>
      </c>
      <c r="L1146" s="195" t="str">
        <f ca="1">IF(OFFSET('IWP10'!Std4BudgetInfo, 9, 0, 1, 1) = 0, "", OFFSET('IWP10'!Std4BudgetInfo, 9, 0, 1, 1))</f>
        <v/>
      </c>
      <c r="M1146" s="194" t="str">
        <f ca="1">IF(OFFSET('IWP10'!Std4BudgetInfo, 10, 0, 1, 1) = 0, "", OFFSET('IWP10'!Std4BudgetInfo, 10, 0, 1, 1))</f>
        <v/>
      </c>
    </row>
    <row r="1147" spans="1:13" s="146" customFormat="1">
      <c r="A1147" s="183" t="s">
        <v>508</v>
      </c>
      <c r="B1147" s="196">
        <v>2</v>
      </c>
      <c r="C1147" s="172">
        <f ca="1">IF(OFFSET('IWP10'!Std4BudgetInfo, 0, 2, 1, 1)=DATE(1900,1,0), DATE(1900,1,1), OFFSET('IWP10'!Std4BudgetInfo, 0, 2, 1, 1))</f>
        <v>1</v>
      </c>
      <c r="D1147" s="172">
        <f ca="1">IF(OFFSET('IWP10'!Std4BudgetInfo, 0, 3, 1, 1)=DATE(1900,1,0), DATE(1900,1,1), OFFSET('IWP10'!Std4BudgetInfo, 0, 3, 1, 1))</f>
        <v>1</v>
      </c>
      <c r="E1147" s="172">
        <f ca="1">IF(OFFSET('IWP10'!Std4BudgetInfo, 2, 2, 1, 1)=DATE(1900,1,0), DATE(1900,1,1), OFFSET('IWP10'!Std4BudgetInfo, 2, 2, 1, 1))</f>
        <v>1</v>
      </c>
      <c r="F1147" s="195" t="str">
        <f ca="1">IF(OFFSET('IWP10'!Std4BudgetInfo, 3, 2, 1, 1) = 0, "", OFFSET('IWP10'!Std4BudgetInfo, 3, 2, 1, 1))</f>
        <v/>
      </c>
      <c r="G1147" s="195" t="str">
        <f ca="1">IF(OFFSET('IWP10'!Std4BudgetInfo, 4, 2, 1, 1) = 0, "", OFFSET('IWP10'!Std4BudgetInfo, 4, 2, 1, 1))</f>
        <v/>
      </c>
      <c r="H1147" s="195" t="str">
        <f ca="1">IF(OFFSET('IWP10'!Std4BudgetInfo, 5, 2, 1, 1) = 0, "", OFFSET('IWP10'!Std4BudgetInfo, 5, 2, 1, 1))</f>
        <v/>
      </c>
      <c r="I1147" s="195" t="str">
        <f ca="1">IF(OFFSET('IWP10'!Std4BudgetInfo, 6, 2, 1, 1) = 0, "", OFFSET('IWP10'!Std4BudgetInfo, 6, 2, 1, 1))</f>
        <v/>
      </c>
      <c r="J1147" s="195" t="str">
        <f ca="1">IF(OFFSET('IWP10'!Std4BudgetInfo, 7, 2, 1, 1) = 0, "", OFFSET('IWP10'!Std4BudgetInfo, 7, 2, 1, 1))</f>
        <v/>
      </c>
      <c r="K1147" s="195" t="str">
        <f ca="1">IF(OFFSET('IWP10'!Std4BudgetInfo, 8, 2, 1, 1) = 0, "", OFFSET('IWP10'!Std4BudgetInfo, 8, 2, 1, 1))</f>
        <v/>
      </c>
      <c r="L1147" s="195" t="str">
        <f ca="1">IF(OFFSET('IWP10'!Std4BudgetInfo, 9, 2, 1, 1) = 0, "", OFFSET('IWP10'!Std4BudgetInfo, 9, 2, 1, 1))</f>
        <v/>
      </c>
      <c r="M1147" s="194" t="str">
        <f ca="1">IF(OFFSET('IWP10'!Std4BudgetInfo, 10, 2, 1, 1) = 0, "", OFFSET('IWP10'!Std4BudgetInfo, 10, 2, 1, 1))</f>
        <v/>
      </c>
    </row>
    <row r="1148" spans="1:13" s="146" customFormat="1">
      <c r="A1148" s="183" t="s">
        <v>508</v>
      </c>
      <c r="B1148" s="196">
        <v>3</v>
      </c>
      <c r="C1148" s="172">
        <f ca="1">IF(OFFSET('IWP10'!Std4BudgetInfo, 0, 4, 1, 1)=DATE(1900,1,0), DATE(1900,1,1), OFFSET('IWP10'!Std4BudgetInfo, 0, 4, 1, 1))</f>
        <v>1</v>
      </c>
      <c r="D1148" s="172">
        <f ca="1">IF(OFFSET('IWP10'!Std4BudgetInfo, 0, 5, 1, 1)=DATE(1900,1,0), DATE(1900,1,1), OFFSET('IWP10'!Std4BudgetInfo, 0, 5, 1, 1))</f>
        <v>1</v>
      </c>
      <c r="E1148" s="172">
        <f ca="1">IF(OFFSET('IWP10'!Std4BudgetInfo, 2, 4, 1, 1)=DATE(1900,1,0), DATE(1900,1,1), OFFSET('IWP10'!Std4BudgetInfo, 2, 4, 1, 1))</f>
        <v>1</v>
      </c>
      <c r="F1148" s="195" t="str">
        <f ca="1">IF(OFFSET('IWP10'!Std4BudgetInfo, 3, 4, 1, 1) = 0, "", OFFSET('IWP10'!Std4BudgetInfo, 3, 4, 1, 1))</f>
        <v/>
      </c>
      <c r="G1148" s="195" t="str">
        <f ca="1">IF(OFFSET('IWP10'!Std4BudgetInfo, 4, 4, 1, 1) = 0, "", OFFSET('IWP10'!Std4BudgetInfo, 4, 4, 1, 1))</f>
        <v/>
      </c>
      <c r="H1148" s="195" t="str">
        <f ca="1">IF(OFFSET('IWP10'!Std4BudgetInfo, 5, 4, 1, 1) = 0, "", OFFSET('IWP10'!Std4BudgetInfo, 5, 4, 1, 1))</f>
        <v/>
      </c>
      <c r="I1148" s="195" t="str">
        <f ca="1">IF(OFFSET('IWP10'!Std4BudgetInfo, 6, 4, 1, 1) = 0, "", OFFSET('IWP10'!Std4BudgetInfo, 6, 4, 1, 1))</f>
        <v/>
      </c>
      <c r="J1148" s="195" t="str">
        <f ca="1">IF(OFFSET('IWP10'!Std4BudgetInfo, 7, 4, 1, 1) = 0, "", OFFSET('IWP10'!Std4BudgetInfo, 7, 4, 1, 1))</f>
        <v/>
      </c>
      <c r="K1148" s="195" t="str">
        <f ca="1">IF(OFFSET('IWP10'!Std4BudgetInfo, 8, 4, 1, 1) = 0, "", OFFSET('IWP10'!Std4BudgetInfo, 8, 4, 1, 1))</f>
        <v/>
      </c>
      <c r="L1148" s="195" t="str">
        <f ca="1">IF(OFFSET('IWP10'!Std4BudgetInfo, 9, 4, 1, 1) = 0, "", OFFSET('IWP10'!Std4BudgetInfo, 9, 4, 1, 1))</f>
        <v/>
      </c>
      <c r="M1148" s="194" t="str">
        <f ca="1">IF(OFFSET('IWP10'!Std4BudgetInfo, 10, 4, 1, 1) = 0, "", OFFSET('IWP10'!Std4BudgetInfo, 10, 4, 1, 1))</f>
        <v/>
      </c>
    </row>
    <row r="1149" spans="1:13" s="146" customFormat="1">
      <c r="A1149" s="183" t="s">
        <v>508</v>
      </c>
      <c r="B1149" s="196">
        <v>4</v>
      </c>
      <c r="C1149" s="172">
        <f ca="1">IF(OFFSET('IWP10'!Std4BudgetInfo, 0, 6, 1, 1)=DATE(1900,1,0), DATE(1900,1,1), OFFSET('IWP10'!Std4BudgetInfo, 0, 6, 1, 1))</f>
        <v>1</v>
      </c>
      <c r="D1149" s="172">
        <f ca="1">IF(OFFSET('IWP10'!Std4BudgetInfo, 0, 7, 1, 1)=DATE(1900,1,0), DATE(1900,1,1), OFFSET('IWP10'!Std4BudgetInfo, 0, 7, 1, 1))</f>
        <v>1</v>
      </c>
      <c r="E1149" s="172">
        <f ca="1">IF(OFFSET('IWP10'!Std4BudgetInfo, 2, 6, 1, 1)=DATE(1900,1,0), DATE(1900,1,1), OFFSET('IWP10'!Std4BudgetInfo, 2, 6, 1, 1))</f>
        <v>1</v>
      </c>
      <c r="F1149" s="195" t="str">
        <f ca="1">IF(OFFSET('IWP10'!Std4BudgetInfo, 3, 6, 1, 1) = 0, "", OFFSET('IWP10'!Std4BudgetInfo, 3, 6, 1, 1))</f>
        <v/>
      </c>
      <c r="G1149" s="195" t="str">
        <f ca="1">IF(OFFSET('IWP10'!Std4BudgetInfo, 4, 6, 1, 1) = 0, "", OFFSET('IWP10'!Std4BudgetInfo, 4, 6, 1, 1))</f>
        <v/>
      </c>
      <c r="H1149" s="195" t="str">
        <f ca="1">IF(OFFSET('IWP10'!Std4BudgetInfo, 5, 6, 1, 1) = 0, "", OFFSET('IWP10'!Std4BudgetInfo, 5, 6, 1, 1))</f>
        <v/>
      </c>
      <c r="I1149" s="195" t="str">
        <f ca="1">IF(OFFSET('IWP10'!Std4BudgetInfo, 6, 6, 1, 1) = 0, "", OFFSET('IWP10'!Std4BudgetInfo, 6, 6, 1, 1))</f>
        <v/>
      </c>
      <c r="J1149" s="195" t="str">
        <f ca="1">IF(OFFSET('IWP10'!Std4BudgetInfo, 7, 6, 1, 1) = 0, "", OFFSET('IWP10'!Std4BudgetInfo, 7, 6, 1, 1))</f>
        <v/>
      </c>
      <c r="K1149" s="195" t="str">
        <f ca="1">IF(OFFSET('IWP10'!Std4BudgetInfo, 8, 6, 1, 1) = 0, "", OFFSET('IWP10'!Std4BudgetInfo, 8, 6, 1, 1))</f>
        <v/>
      </c>
      <c r="L1149" s="195" t="str">
        <f ca="1">IF(OFFSET('IWP10'!Std4BudgetInfo, 9, 6, 1, 1) = 0, "", OFFSET('IWP10'!Std4BudgetInfo, 9, 6, 1, 1))</f>
        <v/>
      </c>
      <c r="M1149" s="194" t="str">
        <f ca="1">IF(OFFSET('IWP10'!Std4BudgetInfo, 10, 6, 1, 1) = 0, "", OFFSET('IWP10'!Std4BudgetInfo, 10, 6, 1, 1))</f>
        <v/>
      </c>
    </row>
    <row r="1150" spans="1:13" s="146" customFormat="1">
      <c r="A1150" s="183" t="s">
        <v>509</v>
      </c>
      <c r="B1150" s="196">
        <v>1</v>
      </c>
      <c r="C1150" s="172">
        <f ca="1">IF(OFFSET('IWP11'!Std4BudgetInfo, 0, 0, 1, 1)=DATE(1900,1,0), DATE(1900,1,1), OFFSET('IWP11'!Std4BudgetInfo, 0, 0, 1, 1))</f>
        <v>1</v>
      </c>
      <c r="D1150" s="172">
        <f ca="1">IF(OFFSET('IWP11'!Std4BudgetInfo, 0, 1, 1, 1)=DATE(1900,1,0), DATE(1900,1,1), OFFSET('IWP11'!Std4BudgetInfo, 0, 1, 1, 1))</f>
        <v>1</v>
      </c>
      <c r="E1150" s="172">
        <f ca="1">IF(OFFSET('IWP11'!Std4BudgetInfo, 2, 0, 1, 1)=DATE(1900,1,0), DATE(1900,1,1), OFFSET('IWP11'!Std4BudgetInfo, 2, 0, 1, 1))</f>
        <v>1</v>
      </c>
      <c r="F1150" s="195" t="str">
        <f ca="1">IF(OFFSET('IWP11'!Std4BudgetInfo, 3, 0, 1, 1) = 0, "", OFFSET('IWP11'!Std4BudgetInfo, 3, 0, 1, 1))</f>
        <v/>
      </c>
      <c r="G1150" s="195" t="str">
        <f ca="1">IF(OFFSET('IWP11'!Std4BudgetInfo, 4, 0, 1, 1) = 0, "", OFFSET('IWP11'!Std4BudgetInfo, 4, 0, 1, 1))</f>
        <v/>
      </c>
      <c r="H1150" s="195" t="str">
        <f ca="1">IF(OFFSET('IWP11'!Std4BudgetInfo, 5, 0, 1, 1) = 0, "", OFFSET('IWP11'!Std4BudgetInfo, 5, 0, 1, 1))</f>
        <v/>
      </c>
      <c r="I1150" s="195" t="str">
        <f ca="1">IF(OFFSET('IWP11'!Std4BudgetInfo, 6, 0, 1, 1) = 0, "", OFFSET('IWP11'!Std4BudgetInfo, 6, 0, 1, 1))</f>
        <v/>
      </c>
      <c r="J1150" s="195" t="str">
        <f ca="1">IF(OFFSET('IWP11'!Std4BudgetInfo, 7, 0, 1, 1) = 0, "", OFFSET('IWP11'!Std4BudgetInfo, 7, 0, 1, 1))</f>
        <v/>
      </c>
      <c r="K1150" s="195" t="str">
        <f ca="1">IF(OFFSET('IWP11'!Std4BudgetInfo, 8, 0, 1, 1) = 0, "", OFFSET('IWP11'!Std4BudgetInfo, 8, 0, 1, 1))</f>
        <v/>
      </c>
      <c r="L1150" s="195" t="str">
        <f ca="1">IF(OFFSET('IWP11'!Std4BudgetInfo, 9, 0, 1, 1) = 0, "", OFFSET('IWP11'!Std4BudgetInfo, 9, 0, 1, 1))</f>
        <v/>
      </c>
      <c r="M1150" s="194" t="str">
        <f ca="1">IF(OFFSET('IWP11'!Std4BudgetInfo, 10, 0, 1, 1) = 0, "", OFFSET('IWP11'!Std4BudgetInfo, 10, 0, 1, 1))</f>
        <v/>
      </c>
    </row>
    <row r="1151" spans="1:13" s="146" customFormat="1">
      <c r="A1151" s="183" t="s">
        <v>509</v>
      </c>
      <c r="B1151" s="196">
        <v>2</v>
      </c>
      <c r="C1151" s="172">
        <f ca="1">IF(OFFSET('IWP11'!Std4BudgetInfo, 0, 2, 1, 1)=DATE(1900,1,0), DATE(1900,1,1), OFFSET('IWP11'!Std4BudgetInfo, 0, 2, 1, 1))</f>
        <v>1</v>
      </c>
      <c r="D1151" s="172">
        <f ca="1">IF(OFFSET('IWP11'!Std4BudgetInfo, 0, 3, 1, 1)=DATE(1900,1,0), DATE(1900,1,1), OFFSET('IWP11'!Std4BudgetInfo, 0, 3, 1, 1))</f>
        <v>1</v>
      </c>
      <c r="E1151" s="172">
        <f ca="1">IF(OFFSET('IWP11'!Std4BudgetInfo, 2, 2, 1, 1)=DATE(1900,1,0), DATE(1900,1,1), OFFSET('IWP11'!Std4BudgetInfo, 2, 2, 1, 1))</f>
        <v>1</v>
      </c>
      <c r="F1151" s="195" t="str">
        <f ca="1">IF(OFFSET('IWP11'!Std4BudgetInfo, 3, 2, 1, 1) = 0, "", OFFSET('IWP11'!Std4BudgetInfo, 3, 2, 1, 1))</f>
        <v/>
      </c>
      <c r="G1151" s="195" t="str">
        <f ca="1">IF(OFFSET('IWP11'!Std4BudgetInfo, 4, 2, 1, 1) = 0, "", OFFSET('IWP11'!Std4BudgetInfo, 4, 2, 1, 1))</f>
        <v/>
      </c>
      <c r="H1151" s="195" t="str">
        <f ca="1">IF(OFFSET('IWP11'!Std4BudgetInfo, 5, 2, 1, 1) = 0, "", OFFSET('IWP11'!Std4BudgetInfo, 5, 2, 1, 1))</f>
        <v/>
      </c>
      <c r="I1151" s="195" t="str">
        <f ca="1">IF(OFFSET('IWP11'!Std4BudgetInfo, 6, 2, 1, 1) = 0, "", OFFSET('IWP11'!Std4BudgetInfo, 6, 2, 1, 1))</f>
        <v/>
      </c>
      <c r="J1151" s="195" t="str">
        <f ca="1">IF(OFFSET('IWP11'!Std4BudgetInfo, 7, 2, 1, 1) = 0, "", OFFSET('IWP11'!Std4BudgetInfo, 7, 2, 1, 1))</f>
        <v/>
      </c>
      <c r="K1151" s="195" t="str">
        <f ca="1">IF(OFFSET('IWP11'!Std4BudgetInfo, 8, 2, 1, 1) = 0, "", OFFSET('IWP11'!Std4BudgetInfo, 8, 2, 1, 1))</f>
        <v/>
      </c>
      <c r="L1151" s="195" t="str">
        <f ca="1">IF(OFFSET('IWP11'!Std4BudgetInfo, 9, 2, 1, 1) = 0, "", OFFSET('IWP11'!Std4BudgetInfo, 9, 2, 1, 1))</f>
        <v/>
      </c>
      <c r="M1151" s="194" t="str">
        <f ca="1">IF(OFFSET('IWP11'!Std4BudgetInfo, 10, 2, 1, 1) = 0, "", OFFSET('IWP11'!Std4BudgetInfo, 10, 2, 1, 1))</f>
        <v/>
      </c>
    </row>
    <row r="1152" spans="1:13" s="146" customFormat="1">
      <c r="A1152" s="183" t="s">
        <v>509</v>
      </c>
      <c r="B1152" s="196">
        <v>3</v>
      </c>
      <c r="C1152" s="172">
        <f ca="1">IF(OFFSET('IWP11'!Std4BudgetInfo, 0, 4, 1, 1)=DATE(1900,1,0), DATE(1900,1,1), OFFSET('IWP11'!Std4BudgetInfo, 0, 4, 1, 1))</f>
        <v>1</v>
      </c>
      <c r="D1152" s="172">
        <f ca="1">IF(OFFSET('IWP11'!Std4BudgetInfo, 0, 5, 1, 1)=DATE(1900,1,0), DATE(1900,1,1), OFFSET('IWP11'!Std4BudgetInfo, 0, 5, 1, 1))</f>
        <v>1</v>
      </c>
      <c r="E1152" s="172">
        <f ca="1">IF(OFFSET('IWP11'!Std4BudgetInfo, 2, 4, 1, 1)=DATE(1900,1,0), DATE(1900,1,1), OFFSET('IWP11'!Std4BudgetInfo, 2, 4, 1, 1))</f>
        <v>1</v>
      </c>
      <c r="F1152" s="195" t="str">
        <f ca="1">IF(OFFSET('IWP11'!Std4BudgetInfo, 3, 4, 1, 1) = 0, "", OFFSET('IWP11'!Std4BudgetInfo, 3, 4, 1, 1))</f>
        <v/>
      </c>
      <c r="G1152" s="195" t="str">
        <f ca="1">IF(OFFSET('IWP11'!Std4BudgetInfo, 4, 4, 1, 1) = 0, "", OFFSET('IWP11'!Std4BudgetInfo, 4, 4, 1, 1))</f>
        <v/>
      </c>
      <c r="H1152" s="195" t="str">
        <f ca="1">IF(OFFSET('IWP11'!Std4BudgetInfo, 5, 4, 1, 1) = 0, "", OFFSET('IWP11'!Std4BudgetInfo, 5, 4, 1, 1))</f>
        <v/>
      </c>
      <c r="I1152" s="195" t="str">
        <f ca="1">IF(OFFSET('IWP11'!Std4BudgetInfo, 6, 4, 1, 1) = 0, "", OFFSET('IWP11'!Std4BudgetInfo, 6, 4, 1, 1))</f>
        <v/>
      </c>
      <c r="J1152" s="195" t="str">
        <f ca="1">IF(OFFSET('IWP11'!Std4BudgetInfo, 7, 4, 1, 1) = 0, "", OFFSET('IWP11'!Std4BudgetInfo, 7, 4, 1, 1))</f>
        <v/>
      </c>
      <c r="K1152" s="195" t="str">
        <f ca="1">IF(OFFSET('IWP11'!Std4BudgetInfo, 8, 4, 1, 1) = 0, "", OFFSET('IWP11'!Std4BudgetInfo, 8, 4, 1, 1))</f>
        <v/>
      </c>
      <c r="L1152" s="195" t="str">
        <f ca="1">IF(OFFSET('IWP11'!Std4BudgetInfo, 9, 4, 1, 1) = 0, "", OFFSET('IWP11'!Std4BudgetInfo, 9, 4, 1, 1))</f>
        <v/>
      </c>
      <c r="M1152" s="194" t="str">
        <f ca="1">IF(OFFSET('IWP11'!Std4BudgetInfo, 10, 4, 1, 1) = 0, "", OFFSET('IWP11'!Std4BudgetInfo, 10, 4, 1, 1))</f>
        <v/>
      </c>
    </row>
    <row r="1153" spans="1:13" s="146" customFormat="1">
      <c r="A1153" s="183" t="s">
        <v>509</v>
      </c>
      <c r="B1153" s="196">
        <v>4</v>
      </c>
      <c r="C1153" s="172">
        <f ca="1">IF(OFFSET('IWP11'!Std4BudgetInfo, 0, 6, 1, 1)=DATE(1900,1,0), DATE(1900,1,1), OFFSET('IWP11'!Std4BudgetInfo, 0, 6, 1, 1))</f>
        <v>1</v>
      </c>
      <c r="D1153" s="172">
        <f ca="1">IF(OFFSET('IWP11'!Std4BudgetInfo, 0, 7, 1, 1)=DATE(1900,1,0), DATE(1900,1,1), OFFSET('IWP11'!Std4BudgetInfo, 0, 7, 1, 1))</f>
        <v>1</v>
      </c>
      <c r="E1153" s="172">
        <f ca="1">IF(OFFSET('IWP11'!Std4BudgetInfo, 2, 6, 1, 1)=DATE(1900,1,0), DATE(1900,1,1), OFFSET('IWP11'!Std4BudgetInfo, 2, 6, 1, 1))</f>
        <v>1</v>
      </c>
      <c r="F1153" s="195" t="str">
        <f ca="1">IF(OFFSET('IWP11'!Std4BudgetInfo, 3, 6, 1, 1) = 0, "", OFFSET('IWP11'!Std4BudgetInfo, 3, 6, 1, 1))</f>
        <v/>
      </c>
      <c r="G1153" s="195" t="str">
        <f ca="1">IF(OFFSET('IWP11'!Std4BudgetInfo, 4, 6, 1, 1) = 0, "", OFFSET('IWP11'!Std4BudgetInfo, 4, 6, 1, 1))</f>
        <v/>
      </c>
      <c r="H1153" s="195" t="str">
        <f ca="1">IF(OFFSET('IWP11'!Std4BudgetInfo, 5, 6, 1, 1) = 0, "", OFFSET('IWP11'!Std4BudgetInfo, 5, 6, 1, 1))</f>
        <v/>
      </c>
      <c r="I1153" s="195" t="str">
        <f ca="1">IF(OFFSET('IWP11'!Std4BudgetInfo, 6, 6, 1, 1) = 0, "", OFFSET('IWP11'!Std4BudgetInfo, 6, 6, 1, 1))</f>
        <v/>
      </c>
      <c r="J1153" s="195" t="str">
        <f ca="1">IF(OFFSET('IWP11'!Std4BudgetInfo, 7, 6, 1, 1) = 0, "", OFFSET('IWP11'!Std4BudgetInfo, 7, 6, 1, 1))</f>
        <v/>
      </c>
      <c r="K1153" s="195" t="str">
        <f ca="1">IF(OFFSET('IWP11'!Std4BudgetInfo, 8, 6, 1, 1) = 0, "", OFFSET('IWP11'!Std4BudgetInfo, 8, 6, 1, 1))</f>
        <v/>
      </c>
      <c r="L1153" s="195" t="str">
        <f ca="1">IF(OFFSET('IWP11'!Std4BudgetInfo, 9, 6, 1, 1) = 0, "", OFFSET('IWP11'!Std4BudgetInfo, 9, 6, 1, 1))</f>
        <v/>
      </c>
      <c r="M1153" s="194" t="str">
        <f ca="1">IF(OFFSET('IWP11'!Std4BudgetInfo, 10, 6, 1, 1) = 0, "", OFFSET('IWP11'!Std4BudgetInfo, 10, 6, 1, 1))</f>
        <v/>
      </c>
    </row>
    <row r="1154" spans="1:13" s="146" customFormat="1">
      <c r="A1154" s="183" t="s">
        <v>510</v>
      </c>
      <c r="B1154" s="196">
        <v>1</v>
      </c>
      <c r="C1154" s="172">
        <f ca="1">IF(OFFSET('IWP12'!Std4BudgetInfo, 0, 0, 1, 1)=DATE(1900,1,0), DATE(1900,1,1), OFFSET('IWP12'!Std4BudgetInfo, 0, 0, 1, 1))</f>
        <v>1</v>
      </c>
      <c r="D1154" s="172">
        <f ca="1">IF(OFFSET('IWP12'!Std4BudgetInfo, 0, 1, 1, 1)=DATE(1900,1,0), DATE(1900,1,1), OFFSET('IWP12'!Std4BudgetInfo, 0, 1, 1, 1))</f>
        <v>1</v>
      </c>
      <c r="E1154" s="172">
        <f ca="1">IF(OFFSET('IWP12'!Std4BudgetInfo, 2, 0, 1, 1)=DATE(1900,1,0), DATE(1900,1,1), OFFSET('IWP12'!Std4BudgetInfo, 2, 0, 1, 1))</f>
        <v>1</v>
      </c>
      <c r="F1154" s="195" t="str">
        <f ca="1">IF(OFFSET('IWP12'!Std4BudgetInfo, 3, 0, 1, 1) = 0, "", OFFSET('IWP12'!Std4BudgetInfo, 3, 0, 1, 1))</f>
        <v/>
      </c>
      <c r="G1154" s="195" t="str">
        <f ca="1">IF(OFFSET('IWP12'!Std4BudgetInfo, 4, 0, 1, 1) = 0, "", OFFSET('IWP12'!Std4BudgetInfo, 4, 0, 1, 1))</f>
        <v/>
      </c>
      <c r="H1154" s="195" t="str">
        <f ca="1">IF(OFFSET('IWP12'!Std4BudgetInfo, 5, 0, 1, 1) = 0, "", OFFSET('IWP12'!Std4BudgetInfo, 5, 0, 1, 1))</f>
        <v/>
      </c>
      <c r="I1154" s="195" t="str">
        <f ca="1">IF(OFFSET('IWP12'!Std4BudgetInfo, 6, 0, 1, 1) = 0, "", OFFSET('IWP12'!Std4BudgetInfo, 6, 0, 1, 1))</f>
        <v/>
      </c>
      <c r="J1154" s="195" t="str">
        <f ca="1">IF(OFFSET('IWP12'!Std4BudgetInfo, 7, 0, 1, 1) = 0, "", OFFSET('IWP12'!Std4BudgetInfo, 7, 0, 1, 1))</f>
        <v/>
      </c>
      <c r="K1154" s="195" t="str">
        <f ca="1">IF(OFFSET('IWP12'!Std4BudgetInfo, 8, 0, 1, 1) = 0, "", OFFSET('IWP12'!Std4BudgetInfo, 8, 0, 1, 1))</f>
        <v/>
      </c>
      <c r="L1154" s="195" t="str">
        <f ca="1">IF(OFFSET('IWP12'!Std4BudgetInfo, 9, 0, 1, 1) = 0, "", OFFSET('IWP12'!Std4BudgetInfo, 9, 0, 1, 1))</f>
        <v/>
      </c>
      <c r="M1154" s="194" t="str">
        <f ca="1">IF(OFFSET('IWP12'!Std4BudgetInfo, 10, 0, 1, 1) = 0, "", OFFSET('IWP12'!Std4BudgetInfo, 10, 0, 1, 1))</f>
        <v/>
      </c>
    </row>
    <row r="1155" spans="1:13" s="146" customFormat="1">
      <c r="A1155" s="183" t="s">
        <v>510</v>
      </c>
      <c r="B1155" s="196">
        <v>2</v>
      </c>
      <c r="C1155" s="172">
        <f ca="1">IF(OFFSET('IWP12'!Std4BudgetInfo, 0, 2, 1, 1)=DATE(1900,1,0), DATE(1900,1,1), OFFSET('IWP12'!Std4BudgetInfo, 0, 2, 1, 1))</f>
        <v>1</v>
      </c>
      <c r="D1155" s="172">
        <f ca="1">IF(OFFSET('IWP12'!Std4BudgetInfo, 0, 3, 1, 1)=DATE(1900,1,0), DATE(1900,1,1), OFFSET('IWP12'!Std4BudgetInfo, 0, 3, 1, 1))</f>
        <v>1</v>
      </c>
      <c r="E1155" s="172">
        <f ca="1">IF(OFFSET('IWP12'!Std4BudgetInfo, 2, 2, 1, 1)=DATE(1900,1,0), DATE(1900,1,1), OFFSET('IWP12'!Std4BudgetInfo, 2, 2, 1, 1))</f>
        <v>1</v>
      </c>
      <c r="F1155" s="195" t="str">
        <f ca="1">IF(OFFSET('IWP12'!Std4BudgetInfo, 3, 2, 1, 1) = 0, "", OFFSET('IWP12'!Std4BudgetInfo, 3, 2, 1, 1))</f>
        <v/>
      </c>
      <c r="G1155" s="195" t="str">
        <f ca="1">IF(OFFSET('IWP12'!Std4BudgetInfo, 4, 2, 1, 1) = 0, "", OFFSET('IWP12'!Std4BudgetInfo, 4, 2, 1, 1))</f>
        <v/>
      </c>
      <c r="H1155" s="195" t="str">
        <f ca="1">IF(OFFSET('IWP12'!Std4BudgetInfo, 5, 2, 1, 1) = 0, "", OFFSET('IWP12'!Std4BudgetInfo, 5, 2, 1, 1))</f>
        <v/>
      </c>
      <c r="I1155" s="195" t="str">
        <f ca="1">IF(OFFSET('IWP12'!Std4BudgetInfo, 6, 2, 1, 1) = 0, "", OFFSET('IWP12'!Std4BudgetInfo, 6, 2, 1, 1))</f>
        <v/>
      </c>
      <c r="J1155" s="195" t="str">
        <f ca="1">IF(OFFSET('IWP12'!Std4BudgetInfo, 7, 2, 1, 1) = 0, "", OFFSET('IWP12'!Std4BudgetInfo, 7, 2, 1, 1))</f>
        <v/>
      </c>
      <c r="K1155" s="195" t="str">
        <f ca="1">IF(OFFSET('IWP12'!Std4BudgetInfo, 8, 2, 1, 1) = 0, "", OFFSET('IWP12'!Std4BudgetInfo, 8, 2, 1, 1))</f>
        <v/>
      </c>
      <c r="L1155" s="195" t="str">
        <f ca="1">IF(OFFSET('IWP12'!Std4BudgetInfo, 9, 2, 1, 1) = 0, "", OFFSET('IWP12'!Std4BudgetInfo, 9, 2, 1, 1))</f>
        <v/>
      </c>
      <c r="M1155" s="194" t="str">
        <f ca="1">IF(OFFSET('IWP12'!Std4BudgetInfo, 10, 2, 1, 1) = 0, "", OFFSET('IWP12'!Std4BudgetInfo, 10, 2, 1, 1))</f>
        <v/>
      </c>
    </row>
    <row r="1156" spans="1:13" s="146" customFormat="1">
      <c r="A1156" s="183" t="s">
        <v>510</v>
      </c>
      <c r="B1156" s="196">
        <v>3</v>
      </c>
      <c r="C1156" s="172">
        <f ca="1">IF(OFFSET('IWP12'!Std4BudgetInfo, 0, 4, 1, 1)=DATE(1900,1,0), DATE(1900,1,1), OFFSET('IWP12'!Std4BudgetInfo, 0, 4, 1, 1))</f>
        <v>1</v>
      </c>
      <c r="D1156" s="172">
        <f ca="1">IF(OFFSET('IWP12'!Std4BudgetInfo, 0, 5, 1, 1)=DATE(1900,1,0), DATE(1900,1,1), OFFSET('IWP12'!Std4BudgetInfo, 0, 5, 1, 1))</f>
        <v>1</v>
      </c>
      <c r="E1156" s="172">
        <f ca="1">IF(OFFSET('IWP12'!Std4BudgetInfo, 2, 4, 1, 1)=DATE(1900,1,0), DATE(1900,1,1), OFFSET('IWP12'!Std4BudgetInfo, 2, 4, 1, 1))</f>
        <v>1</v>
      </c>
      <c r="F1156" s="195" t="str">
        <f ca="1">IF(OFFSET('IWP12'!Std4BudgetInfo, 3, 4, 1, 1) = 0, "", OFFSET('IWP12'!Std4BudgetInfo, 3, 4, 1, 1))</f>
        <v/>
      </c>
      <c r="G1156" s="195" t="str">
        <f ca="1">IF(OFFSET('IWP12'!Std4BudgetInfo, 4, 4, 1, 1) = 0, "", OFFSET('IWP12'!Std4BudgetInfo, 4, 4, 1, 1))</f>
        <v/>
      </c>
      <c r="H1156" s="195" t="str">
        <f ca="1">IF(OFFSET('IWP12'!Std4BudgetInfo, 5, 4, 1, 1) = 0, "", OFFSET('IWP12'!Std4BudgetInfo, 5, 4, 1, 1))</f>
        <v/>
      </c>
      <c r="I1156" s="195" t="str">
        <f ca="1">IF(OFFSET('IWP12'!Std4BudgetInfo, 6, 4, 1, 1) = 0, "", OFFSET('IWP12'!Std4BudgetInfo, 6, 4, 1, 1))</f>
        <v/>
      </c>
      <c r="J1156" s="195" t="str">
        <f ca="1">IF(OFFSET('IWP12'!Std4BudgetInfo, 7, 4, 1, 1) = 0, "", OFFSET('IWP12'!Std4BudgetInfo, 7, 4, 1, 1))</f>
        <v/>
      </c>
      <c r="K1156" s="195" t="str">
        <f ca="1">IF(OFFSET('IWP12'!Std4BudgetInfo, 8, 4, 1, 1) = 0, "", OFFSET('IWP12'!Std4BudgetInfo, 8, 4, 1, 1))</f>
        <v/>
      </c>
      <c r="L1156" s="195" t="str">
        <f ca="1">IF(OFFSET('IWP12'!Std4BudgetInfo, 9, 4, 1, 1) = 0, "", OFFSET('IWP12'!Std4BudgetInfo, 9, 4, 1, 1))</f>
        <v/>
      </c>
      <c r="M1156" s="194" t="str">
        <f ca="1">IF(OFFSET('IWP12'!Std4BudgetInfo, 10, 4, 1, 1) = 0, "", OFFSET('IWP12'!Std4BudgetInfo, 10, 4, 1, 1))</f>
        <v/>
      </c>
    </row>
    <row r="1157" spans="1:13" s="146" customFormat="1">
      <c r="A1157" s="183" t="s">
        <v>510</v>
      </c>
      <c r="B1157" s="196">
        <v>4</v>
      </c>
      <c r="C1157" s="172">
        <f ca="1">IF(OFFSET('IWP12'!Std4BudgetInfo, 0, 6, 1, 1)=DATE(1900,1,0), DATE(1900,1,1), OFFSET('IWP12'!Std4BudgetInfo, 0, 6, 1, 1))</f>
        <v>1</v>
      </c>
      <c r="D1157" s="172">
        <f ca="1">IF(OFFSET('IWP12'!Std4BudgetInfo, 0, 7, 1, 1)=DATE(1900,1,0), DATE(1900,1,1), OFFSET('IWP12'!Std4BudgetInfo, 0, 7, 1, 1))</f>
        <v>1</v>
      </c>
      <c r="E1157" s="172">
        <f ca="1">IF(OFFSET('IWP12'!Std4BudgetInfo, 2, 6, 1, 1)=DATE(1900,1,0), DATE(1900,1,1), OFFSET('IWP12'!Std4BudgetInfo, 2, 6, 1, 1))</f>
        <v>1</v>
      </c>
      <c r="F1157" s="195" t="str">
        <f ca="1">IF(OFFSET('IWP12'!Std4BudgetInfo, 3, 6, 1, 1) = 0, "", OFFSET('IWP12'!Std4BudgetInfo, 3, 6, 1, 1))</f>
        <v/>
      </c>
      <c r="G1157" s="195" t="str">
        <f ca="1">IF(OFFSET('IWP12'!Std4BudgetInfo, 4, 6, 1, 1) = 0, "", OFFSET('IWP12'!Std4BudgetInfo, 4, 6, 1, 1))</f>
        <v/>
      </c>
      <c r="H1157" s="195" t="str">
        <f ca="1">IF(OFFSET('IWP12'!Std4BudgetInfo, 5, 6, 1, 1) = 0, "", OFFSET('IWP12'!Std4BudgetInfo, 5, 6, 1, 1))</f>
        <v/>
      </c>
      <c r="I1157" s="195" t="str">
        <f ca="1">IF(OFFSET('IWP12'!Std4BudgetInfo, 6, 6, 1, 1) = 0, "", OFFSET('IWP12'!Std4BudgetInfo, 6, 6, 1, 1))</f>
        <v/>
      </c>
      <c r="J1157" s="195" t="str">
        <f ca="1">IF(OFFSET('IWP12'!Std4BudgetInfo, 7, 6, 1, 1) = 0, "", OFFSET('IWP12'!Std4BudgetInfo, 7, 6, 1, 1))</f>
        <v/>
      </c>
      <c r="K1157" s="195" t="str">
        <f ca="1">IF(OFFSET('IWP12'!Std4BudgetInfo, 8, 6, 1, 1) = 0, "", OFFSET('IWP12'!Std4BudgetInfo, 8, 6, 1, 1))</f>
        <v/>
      </c>
      <c r="L1157" s="195" t="str">
        <f ca="1">IF(OFFSET('IWP12'!Std4BudgetInfo, 9, 6, 1, 1) = 0, "", OFFSET('IWP12'!Std4BudgetInfo, 9, 6, 1, 1))</f>
        <v/>
      </c>
      <c r="M1157" s="194" t="str">
        <f ca="1">IF(OFFSET('IWP12'!Std4BudgetInfo, 10, 6, 1, 1) = 0, "", OFFSET('IWP12'!Std4BudgetInfo, 10, 6, 1, 1))</f>
        <v/>
      </c>
    </row>
    <row r="1158" spans="1:13" s="146" customFormat="1">
      <c r="A1158" s="183" t="s">
        <v>511</v>
      </c>
      <c r="B1158" s="196">
        <v>1</v>
      </c>
      <c r="C1158" s="172">
        <f ca="1">IF(OFFSET('IWP13'!Std4BudgetInfo, 0, 0, 1, 1)=DATE(1900,1,0), DATE(1900,1,1), OFFSET('IWP13'!Std4BudgetInfo, 0, 0, 1, 1))</f>
        <v>1</v>
      </c>
      <c r="D1158" s="172">
        <f ca="1">IF(OFFSET('IWP13'!Std4BudgetInfo, 0, 1, 1, 1)=DATE(1900,1,0), DATE(1900,1,1), OFFSET('IWP13'!Std4BudgetInfo, 0, 1, 1, 1))</f>
        <v>1</v>
      </c>
      <c r="E1158" s="172">
        <f ca="1">IF(OFFSET('IWP13'!Std4BudgetInfo, 2, 0, 1, 1)=DATE(1900,1,0), DATE(1900,1,1), OFFSET('IWP13'!Std4BudgetInfo, 2, 0, 1, 1))</f>
        <v>1</v>
      </c>
      <c r="F1158" s="195" t="str">
        <f ca="1">IF(OFFSET('IWP13'!Std4BudgetInfo, 3, 0, 1, 1) = 0, "", OFFSET('IWP13'!Std4BudgetInfo, 3, 0, 1, 1))</f>
        <v/>
      </c>
      <c r="G1158" s="195" t="str">
        <f ca="1">IF(OFFSET('IWP13'!Std4BudgetInfo, 4, 0, 1, 1) = 0, "", OFFSET('IWP13'!Std4BudgetInfo, 4, 0, 1, 1))</f>
        <v/>
      </c>
      <c r="H1158" s="195" t="str">
        <f ca="1">IF(OFFSET('IWP13'!Std4BudgetInfo, 5, 0, 1, 1) = 0, "", OFFSET('IWP13'!Std4BudgetInfo, 5, 0, 1, 1))</f>
        <v/>
      </c>
      <c r="I1158" s="195" t="str">
        <f ca="1">IF(OFFSET('IWP13'!Std4BudgetInfo, 6, 0, 1, 1) = 0, "", OFFSET('IWP13'!Std4BudgetInfo, 6, 0, 1, 1))</f>
        <v/>
      </c>
      <c r="J1158" s="195" t="str">
        <f ca="1">IF(OFFSET('IWP13'!Std4BudgetInfo, 7, 0, 1, 1) = 0, "", OFFSET('IWP13'!Std4BudgetInfo, 7, 0, 1, 1))</f>
        <v/>
      </c>
      <c r="K1158" s="195" t="str">
        <f ca="1">IF(OFFSET('IWP13'!Std4BudgetInfo, 8, 0, 1, 1) = 0, "", OFFSET('IWP13'!Std4BudgetInfo, 8, 0, 1, 1))</f>
        <v/>
      </c>
      <c r="L1158" s="195" t="str">
        <f ca="1">IF(OFFSET('IWP13'!Std4BudgetInfo, 9, 0, 1, 1) = 0, "", OFFSET('IWP13'!Std4BudgetInfo, 9, 0, 1, 1))</f>
        <v/>
      </c>
      <c r="M1158" s="194" t="str">
        <f ca="1">IF(OFFSET('IWP13'!Std4BudgetInfo, 10, 0, 1, 1) = 0, "", OFFSET('IWP13'!Std4BudgetInfo, 10, 0, 1, 1))</f>
        <v/>
      </c>
    </row>
    <row r="1159" spans="1:13" s="146" customFormat="1">
      <c r="A1159" s="183" t="s">
        <v>511</v>
      </c>
      <c r="B1159" s="196">
        <v>2</v>
      </c>
      <c r="C1159" s="172">
        <f ca="1">IF(OFFSET('IWP13'!Std4BudgetInfo, 0, 2, 1, 1)=DATE(1900,1,0), DATE(1900,1,1), OFFSET('IWP13'!Std4BudgetInfo, 0, 2, 1, 1))</f>
        <v>1</v>
      </c>
      <c r="D1159" s="172">
        <f ca="1">IF(OFFSET('IWP13'!Std4BudgetInfo, 0, 3, 1, 1)=DATE(1900,1,0), DATE(1900,1,1), OFFSET('IWP13'!Std4BudgetInfo, 0, 3, 1, 1))</f>
        <v>1</v>
      </c>
      <c r="E1159" s="172">
        <f ca="1">IF(OFFSET('IWP13'!Std4BudgetInfo, 2, 2, 1, 1)=DATE(1900,1,0), DATE(1900,1,1), OFFSET('IWP13'!Std4BudgetInfo, 2, 2, 1, 1))</f>
        <v>1</v>
      </c>
      <c r="F1159" s="195" t="str">
        <f ca="1">IF(OFFSET('IWP13'!Std4BudgetInfo, 3, 2, 1, 1) = 0, "", OFFSET('IWP13'!Std4BudgetInfo, 3, 2, 1, 1))</f>
        <v/>
      </c>
      <c r="G1159" s="195" t="str">
        <f ca="1">IF(OFFSET('IWP13'!Std4BudgetInfo, 4, 2, 1, 1) = 0, "", OFFSET('IWP13'!Std4BudgetInfo, 4, 2, 1, 1))</f>
        <v/>
      </c>
      <c r="H1159" s="195" t="str">
        <f ca="1">IF(OFFSET('IWP13'!Std4BudgetInfo, 5, 2, 1, 1) = 0, "", OFFSET('IWP13'!Std4BudgetInfo, 5, 2, 1, 1))</f>
        <v/>
      </c>
      <c r="I1159" s="195" t="str">
        <f ca="1">IF(OFFSET('IWP13'!Std4BudgetInfo, 6, 2, 1, 1) = 0, "", OFFSET('IWP13'!Std4BudgetInfo, 6, 2, 1, 1))</f>
        <v/>
      </c>
      <c r="J1159" s="195" t="str">
        <f ca="1">IF(OFFSET('IWP13'!Std4BudgetInfo, 7, 2, 1, 1) = 0, "", OFFSET('IWP13'!Std4BudgetInfo, 7, 2, 1, 1))</f>
        <v/>
      </c>
      <c r="K1159" s="195" t="str">
        <f ca="1">IF(OFFSET('IWP13'!Std4BudgetInfo, 8, 2, 1, 1) = 0, "", OFFSET('IWP13'!Std4BudgetInfo, 8, 2, 1, 1))</f>
        <v/>
      </c>
      <c r="L1159" s="195" t="str">
        <f ca="1">IF(OFFSET('IWP13'!Std4BudgetInfo, 9, 2, 1, 1) = 0, "", OFFSET('IWP13'!Std4BudgetInfo, 9, 2, 1, 1))</f>
        <v/>
      </c>
      <c r="M1159" s="194" t="str">
        <f ca="1">IF(OFFSET('IWP13'!Std4BudgetInfo, 10, 2, 1, 1) = 0, "", OFFSET('IWP13'!Std4BudgetInfo, 10, 2, 1, 1))</f>
        <v/>
      </c>
    </row>
    <row r="1160" spans="1:13" s="146" customFormat="1">
      <c r="A1160" s="183" t="s">
        <v>511</v>
      </c>
      <c r="B1160" s="196">
        <v>3</v>
      </c>
      <c r="C1160" s="172">
        <f ca="1">IF(OFFSET('IWP13'!Std4BudgetInfo, 0, 4, 1, 1)=DATE(1900,1,0), DATE(1900,1,1), OFFSET('IWP13'!Std4BudgetInfo, 0, 4, 1, 1))</f>
        <v>1</v>
      </c>
      <c r="D1160" s="172">
        <f ca="1">IF(OFFSET('IWP13'!Std4BudgetInfo, 0, 5, 1, 1)=DATE(1900,1,0), DATE(1900,1,1), OFFSET('IWP13'!Std4BudgetInfo, 0, 5, 1, 1))</f>
        <v>1</v>
      </c>
      <c r="E1160" s="172">
        <f ca="1">IF(OFFSET('IWP13'!Std4BudgetInfo, 2, 4, 1, 1)=DATE(1900,1,0), DATE(1900,1,1), OFFSET('IWP13'!Std4BudgetInfo, 2, 4, 1, 1))</f>
        <v>1</v>
      </c>
      <c r="F1160" s="195" t="str">
        <f ca="1">IF(OFFSET('IWP13'!Std4BudgetInfo, 3, 4, 1, 1) = 0, "", OFFSET('IWP13'!Std4BudgetInfo, 3, 4, 1, 1))</f>
        <v/>
      </c>
      <c r="G1160" s="195" t="str">
        <f ca="1">IF(OFFSET('IWP13'!Std4BudgetInfo, 4, 4, 1, 1) = 0, "", OFFSET('IWP13'!Std4BudgetInfo, 4, 4, 1, 1))</f>
        <v/>
      </c>
      <c r="H1160" s="195" t="str">
        <f ca="1">IF(OFFSET('IWP13'!Std4BudgetInfo, 5, 4, 1, 1) = 0, "", OFFSET('IWP13'!Std4BudgetInfo, 5, 4, 1, 1))</f>
        <v/>
      </c>
      <c r="I1160" s="195" t="str">
        <f ca="1">IF(OFFSET('IWP13'!Std4BudgetInfo, 6, 4, 1, 1) = 0, "", OFFSET('IWP13'!Std4BudgetInfo, 6, 4, 1, 1))</f>
        <v/>
      </c>
      <c r="J1160" s="195" t="str">
        <f ca="1">IF(OFFSET('IWP13'!Std4BudgetInfo, 7, 4, 1, 1) = 0, "", OFFSET('IWP13'!Std4BudgetInfo, 7, 4, 1, 1))</f>
        <v/>
      </c>
      <c r="K1160" s="195" t="str">
        <f ca="1">IF(OFFSET('IWP13'!Std4BudgetInfo, 8, 4, 1, 1) = 0, "", OFFSET('IWP13'!Std4BudgetInfo, 8, 4, 1, 1))</f>
        <v/>
      </c>
      <c r="L1160" s="195" t="str">
        <f ca="1">IF(OFFSET('IWP13'!Std4BudgetInfo, 9, 4, 1, 1) = 0, "", OFFSET('IWP13'!Std4BudgetInfo, 9, 4, 1, 1))</f>
        <v/>
      </c>
      <c r="M1160" s="194" t="str">
        <f ca="1">IF(OFFSET('IWP13'!Std4BudgetInfo, 10, 4, 1, 1) = 0, "", OFFSET('IWP13'!Std4BudgetInfo, 10, 4, 1, 1))</f>
        <v/>
      </c>
    </row>
    <row r="1161" spans="1:13" s="146" customFormat="1">
      <c r="A1161" s="183" t="s">
        <v>511</v>
      </c>
      <c r="B1161" s="196">
        <v>4</v>
      </c>
      <c r="C1161" s="172">
        <f ca="1">IF(OFFSET('IWP13'!Std4BudgetInfo, 0, 6, 1, 1)=DATE(1900,1,0), DATE(1900,1,1), OFFSET('IWP13'!Std4BudgetInfo, 0, 6, 1, 1))</f>
        <v>1</v>
      </c>
      <c r="D1161" s="172">
        <f ca="1">IF(OFFSET('IWP13'!Std4BudgetInfo, 0, 7, 1, 1)=DATE(1900,1,0), DATE(1900,1,1), OFFSET('IWP13'!Std4BudgetInfo, 0, 7, 1, 1))</f>
        <v>1</v>
      </c>
      <c r="E1161" s="172">
        <f ca="1">IF(OFFSET('IWP13'!Std4BudgetInfo, 2, 6, 1, 1)=DATE(1900,1,0), DATE(1900,1,1), OFFSET('IWP13'!Std4BudgetInfo, 2, 6, 1, 1))</f>
        <v>1</v>
      </c>
      <c r="F1161" s="195" t="str">
        <f ca="1">IF(OFFSET('IWP13'!Std4BudgetInfo, 3, 6, 1, 1) = 0, "", OFFSET('IWP13'!Std4BudgetInfo, 3, 6, 1, 1))</f>
        <v/>
      </c>
      <c r="G1161" s="195" t="str">
        <f ca="1">IF(OFFSET('IWP13'!Std4BudgetInfo, 4, 6, 1, 1) = 0, "", OFFSET('IWP13'!Std4BudgetInfo, 4, 6, 1, 1))</f>
        <v/>
      </c>
      <c r="H1161" s="195" t="str">
        <f ca="1">IF(OFFSET('IWP13'!Std4BudgetInfo, 5, 6, 1, 1) = 0, "", OFFSET('IWP13'!Std4BudgetInfo, 5, 6, 1, 1))</f>
        <v/>
      </c>
      <c r="I1161" s="195" t="str">
        <f ca="1">IF(OFFSET('IWP13'!Std4BudgetInfo, 6, 6, 1, 1) = 0, "", OFFSET('IWP13'!Std4BudgetInfo, 6, 6, 1, 1))</f>
        <v/>
      </c>
      <c r="J1161" s="195" t="str">
        <f ca="1">IF(OFFSET('IWP13'!Std4BudgetInfo, 7, 6, 1, 1) = 0, "", OFFSET('IWP13'!Std4BudgetInfo, 7, 6, 1, 1))</f>
        <v/>
      </c>
      <c r="K1161" s="195" t="str">
        <f ca="1">IF(OFFSET('IWP13'!Std4BudgetInfo, 8, 6, 1, 1) = 0, "", OFFSET('IWP13'!Std4BudgetInfo, 8, 6, 1, 1))</f>
        <v/>
      </c>
      <c r="L1161" s="195" t="str">
        <f ca="1">IF(OFFSET('IWP13'!Std4BudgetInfo, 9, 6, 1, 1) = 0, "", OFFSET('IWP13'!Std4BudgetInfo, 9, 6, 1, 1))</f>
        <v/>
      </c>
      <c r="M1161" s="194" t="str">
        <f ca="1">IF(OFFSET('IWP13'!Std4BudgetInfo, 10, 6, 1, 1) = 0, "", OFFSET('IWP13'!Std4BudgetInfo, 10, 6, 1, 1))</f>
        <v/>
      </c>
    </row>
    <row r="1162" spans="1:13" s="146" customFormat="1">
      <c r="A1162" s="183" t="s">
        <v>512</v>
      </c>
      <c r="B1162" s="196">
        <v>1</v>
      </c>
      <c r="C1162" s="172">
        <f ca="1">IF(OFFSET('IWP14'!Std4BudgetInfo, 0, 0, 1, 1)=DATE(1900,1,0), DATE(1900,1,1), OFFSET('IWP14'!Std4BudgetInfo, 0, 0, 1, 1))</f>
        <v>1</v>
      </c>
      <c r="D1162" s="172">
        <f ca="1">IF(OFFSET('IWP14'!Std4BudgetInfo, 0, 1, 1, 1)=DATE(1900,1,0), DATE(1900,1,1), OFFSET('IWP14'!Std4BudgetInfo, 0, 1, 1, 1))</f>
        <v>1</v>
      </c>
      <c r="E1162" s="172">
        <f ca="1">IF(OFFSET('IWP14'!Std4BudgetInfo, 2, 0, 1, 1)=DATE(1900,1,0), DATE(1900,1,1), OFFSET('IWP14'!Std4BudgetInfo, 2, 0, 1, 1))</f>
        <v>1</v>
      </c>
      <c r="F1162" s="195" t="str">
        <f ca="1">IF(OFFSET('IWP14'!Std4BudgetInfo, 3, 0, 1, 1) = 0, "", OFFSET('IWP14'!Std4BudgetInfo, 3, 0, 1, 1))</f>
        <v/>
      </c>
      <c r="G1162" s="195" t="str">
        <f ca="1">IF(OFFSET('IWP14'!Std4BudgetInfo, 4, 0, 1, 1) = 0, "", OFFSET('IWP14'!Std4BudgetInfo, 4, 0, 1, 1))</f>
        <v/>
      </c>
      <c r="H1162" s="195" t="str">
        <f ca="1">IF(OFFSET('IWP14'!Std4BudgetInfo, 5, 0, 1, 1) = 0, "", OFFSET('IWP14'!Std4BudgetInfo, 5, 0, 1, 1))</f>
        <v/>
      </c>
      <c r="I1162" s="195" t="str">
        <f ca="1">IF(OFFSET('IWP14'!Std4BudgetInfo, 6, 0, 1, 1) = 0, "", OFFSET('IWP14'!Std4BudgetInfo, 6, 0, 1, 1))</f>
        <v/>
      </c>
      <c r="J1162" s="195" t="str">
        <f ca="1">IF(OFFSET('IWP14'!Std4BudgetInfo, 7, 0, 1, 1) = 0, "", OFFSET('IWP14'!Std4BudgetInfo, 7, 0, 1, 1))</f>
        <v/>
      </c>
      <c r="K1162" s="195" t="str">
        <f ca="1">IF(OFFSET('IWP14'!Std4BudgetInfo, 8, 0, 1, 1) = 0, "", OFFSET('IWP14'!Std4BudgetInfo, 8, 0, 1, 1))</f>
        <v/>
      </c>
      <c r="L1162" s="195" t="str">
        <f ca="1">IF(OFFSET('IWP14'!Std4BudgetInfo, 9, 0, 1, 1) = 0, "", OFFSET('IWP14'!Std4BudgetInfo, 9, 0, 1, 1))</f>
        <v/>
      </c>
      <c r="M1162" s="194" t="str">
        <f ca="1">IF(OFFSET('IWP14'!Std4BudgetInfo, 10, 0, 1, 1) = 0, "", OFFSET('IWP14'!Std4BudgetInfo, 10, 0, 1, 1))</f>
        <v/>
      </c>
    </row>
    <row r="1163" spans="1:13" s="146" customFormat="1">
      <c r="A1163" s="183" t="s">
        <v>512</v>
      </c>
      <c r="B1163" s="196">
        <v>2</v>
      </c>
      <c r="C1163" s="172">
        <f ca="1">IF(OFFSET('IWP14'!Std4BudgetInfo, 0, 2, 1, 1)=DATE(1900,1,0), DATE(1900,1,1), OFFSET('IWP14'!Std4BudgetInfo, 0, 2, 1, 1))</f>
        <v>1</v>
      </c>
      <c r="D1163" s="172">
        <f ca="1">IF(OFFSET('IWP14'!Std4BudgetInfo, 0, 3, 1, 1)=DATE(1900,1,0), DATE(1900,1,1), OFFSET('IWP14'!Std4BudgetInfo, 0, 3, 1, 1))</f>
        <v>1</v>
      </c>
      <c r="E1163" s="172">
        <f ca="1">IF(OFFSET('IWP14'!Std4BudgetInfo, 2, 2, 1, 1)=DATE(1900,1,0), DATE(1900,1,1), OFFSET('IWP14'!Std4BudgetInfo, 2, 2, 1, 1))</f>
        <v>1</v>
      </c>
      <c r="F1163" s="195" t="str">
        <f ca="1">IF(OFFSET('IWP14'!Std4BudgetInfo, 3, 2, 1, 1) = 0, "", OFFSET('IWP14'!Std4BudgetInfo, 3, 2, 1, 1))</f>
        <v/>
      </c>
      <c r="G1163" s="195" t="str">
        <f ca="1">IF(OFFSET('IWP14'!Std4BudgetInfo, 4, 2, 1, 1) = 0, "", OFFSET('IWP14'!Std4BudgetInfo, 4, 2, 1, 1))</f>
        <v/>
      </c>
      <c r="H1163" s="195" t="str">
        <f ca="1">IF(OFFSET('IWP14'!Std4BudgetInfo, 5, 2, 1, 1) = 0, "", OFFSET('IWP14'!Std4BudgetInfo, 5, 2, 1, 1))</f>
        <v/>
      </c>
      <c r="I1163" s="195" t="str">
        <f ca="1">IF(OFFSET('IWP14'!Std4BudgetInfo, 6, 2, 1, 1) = 0, "", OFFSET('IWP14'!Std4BudgetInfo, 6, 2, 1, 1))</f>
        <v/>
      </c>
      <c r="J1163" s="195" t="str">
        <f ca="1">IF(OFFSET('IWP14'!Std4BudgetInfo, 7, 2, 1, 1) = 0, "", OFFSET('IWP14'!Std4BudgetInfo, 7, 2, 1, 1))</f>
        <v/>
      </c>
      <c r="K1163" s="195" t="str">
        <f ca="1">IF(OFFSET('IWP14'!Std4BudgetInfo, 8, 2, 1, 1) = 0, "", OFFSET('IWP14'!Std4BudgetInfo, 8, 2, 1, 1))</f>
        <v/>
      </c>
      <c r="L1163" s="195" t="str">
        <f ca="1">IF(OFFSET('IWP14'!Std4BudgetInfo, 9, 2, 1, 1) = 0, "", OFFSET('IWP14'!Std4BudgetInfo, 9, 2, 1, 1))</f>
        <v/>
      </c>
      <c r="M1163" s="194" t="str">
        <f ca="1">IF(OFFSET('IWP14'!Std4BudgetInfo, 10, 2, 1, 1) = 0, "", OFFSET('IWP14'!Std4BudgetInfo, 10, 2, 1, 1))</f>
        <v/>
      </c>
    </row>
    <row r="1164" spans="1:13" s="146" customFormat="1">
      <c r="A1164" s="183" t="s">
        <v>512</v>
      </c>
      <c r="B1164" s="196">
        <v>3</v>
      </c>
      <c r="C1164" s="172">
        <f ca="1">IF(OFFSET('IWP14'!Std4BudgetInfo, 0, 4, 1, 1)=DATE(1900,1,0), DATE(1900,1,1), OFFSET('IWP14'!Std4BudgetInfo, 0, 4, 1, 1))</f>
        <v>1</v>
      </c>
      <c r="D1164" s="172">
        <f ca="1">IF(OFFSET('IWP14'!Std4BudgetInfo, 0, 5, 1, 1)=DATE(1900,1,0), DATE(1900,1,1), OFFSET('IWP14'!Std4BudgetInfo, 0, 5, 1, 1))</f>
        <v>1</v>
      </c>
      <c r="E1164" s="172">
        <f ca="1">IF(OFFSET('IWP14'!Std4BudgetInfo, 2, 4, 1, 1)=DATE(1900,1,0), DATE(1900,1,1), OFFSET('IWP14'!Std4BudgetInfo, 2, 4, 1, 1))</f>
        <v>1</v>
      </c>
      <c r="F1164" s="195" t="str">
        <f ca="1">IF(OFFSET('IWP14'!Std4BudgetInfo, 3, 4, 1, 1) = 0, "", OFFSET('IWP14'!Std4BudgetInfo, 3, 4, 1, 1))</f>
        <v/>
      </c>
      <c r="G1164" s="195" t="str">
        <f ca="1">IF(OFFSET('IWP14'!Std4BudgetInfo, 4, 4, 1, 1) = 0, "", OFFSET('IWP14'!Std4BudgetInfo, 4, 4, 1, 1))</f>
        <v/>
      </c>
      <c r="H1164" s="195" t="str">
        <f ca="1">IF(OFFSET('IWP14'!Std4BudgetInfo, 5, 4, 1, 1) = 0, "", OFFSET('IWP14'!Std4BudgetInfo, 5, 4, 1, 1))</f>
        <v/>
      </c>
      <c r="I1164" s="195" t="str">
        <f ca="1">IF(OFFSET('IWP14'!Std4BudgetInfo, 6, 4, 1, 1) = 0, "", OFFSET('IWP14'!Std4BudgetInfo, 6, 4, 1, 1))</f>
        <v/>
      </c>
      <c r="J1164" s="195" t="str">
        <f ca="1">IF(OFFSET('IWP14'!Std4BudgetInfo, 7, 4, 1, 1) = 0, "", OFFSET('IWP14'!Std4BudgetInfo, 7, 4, 1, 1))</f>
        <v/>
      </c>
      <c r="K1164" s="195" t="str">
        <f ca="1">IF(OFFSET('IWP14'!Std4BudgetInfo, 8, 4, 1, 1) = 0, "", OFFSET('IWP14'!Std4BudgetInfo, 8, 4, 1, 1))</f>
        <v/>
      </c>
      <c r="L1164" s="195" t="str">
        <f ca="1">IF(OFFSET('IWP14'!Std4BudgetInfo, 9, 4, 1, 1) = 0, "", OFFSET('IWP14'!Std4BudgetInfo, 9, 4, 1, 1))</f>
        <v/>
      </c>
      <c r="M1164" s="194" t="str">
        <f ca="1">IF(OFFSET('IWP14'!Std4BudgetInfo, 10, 4, 1, 1) = 0, "", OFFSET('IWP14'!Std4BudgetInfo, 10, 4, 1, 1))</f>
        <v/>
      </c>
    </row>
    <row r="1165" spans="1:13" s="146" customFormat="1">
      <c r="A1165" s="183" t="s">
        <v>512</v>
      </c>
      <c r="B1165" s="196">
        <v>4</v>
      </c>
      <c r="C1165" s="172">
        <f ca="1">IF(OFFSET('IWP14'!Std4BudgetInfo, 0, 6, 1, 1)=DATE(1900,1,0), DATE(1900,1,1), OFFSET('IWP14'!Std4BudgetInfo, 0, 6, 1, 1))</f>
        <v>1</v>
      </c>
      <c r="D1165" s="172">
        <f ca="1">IF(OFFSET('IWP14'!Std4BudgetInfo, 0, 7, 1, 1)=DATE(1900,1,0), DATE(1900,1,1), OFFSET('IWP14'!Std4BudgetInfo, 0, 7, 1, 1))</f>
        <v>1</v>
      </c>
      <c r="E1165" s="172">
        <f ca="1">IF(OFFSET('IWP14'!Std4BudgetInfo, 2, 6, 1, 1)=DATE(1900,1,0), DATE(1900,1,1), OFFSET('IWP14'!Std4BudgetInfo, 2, 6, 1, 1))</f>
        <v>1</v>
      </c>
      <c r="F1165" s="195" t="str">
        <f ca="1">IF(OFFSET('IWP14'!Std4BudgetInfo, 3, 6, 1, 1) = 0, "", OFFSET('IWP14'!Std4BudgetInfo, 3, 6, 1, 1))</f>
        <v/>
      </c>
      <c r="G1165" s="195" t="str">
        <f ca="1">IF(OFFSET('IWP14'!Std4BudgetInfo, 4, 6, 1, 1) = 0, "", OFFSET('IWP14'!Std4BudgetInfo, 4, 6, 1, 1))</f>
        <v/>
      </c>
      <c r="H1165" s="195" t="str">
        <f ca="1">IF(OFFSET('IWP14'!Std4BudgetInfo, 5, 6, 1, 1) = 0, "", OFFSET('IWP14'!Std4BudgetInfo, 5, 6, 1, 1))</f>
        <v/>
      </c>
      <c r="I1165" s="195" t="str">
        <f ca="1">IF(OFFSET('IWP14'!Std4BudgetInfo, 6, 6, 1, 1) = 0, "", OFFSET('IWP14'!Std4BudgetInfo, 6, 6, 1, 1))</f>
        <v/>
      </c>
      <c r="J1165" s="195" t="str">
        <f ca="1">IF(OFFSET('IWP14'!Std4BudgetInfo, 7, 6, 1, 1) = 0, "", OFFSET('IWP14'!Std4BudgetInfo, 7, 6, 1, 1))</f>
        <v/>
      </c>
      <c r="K1165" s="195" t="str">
        <f ca="1">IF(OFFSET('IWP14'!Std4BudgetInfo, 8, 6, 1, 1) = 0, "", OFFSET('IWP14'!Std4BudgetInfo, 8, 6, 1, 1))</f>
        <v/>
      </c>
      <c r="L1165" s="195" t="str">
        <f ca="1">IF(OFFSET('IWP14'!Std4BudgetInfo, 9, 6, 1, 1) = 0, "", OFFSET('IWP14'!Std4BudgetInfo, 9, 6, 1, 1))</f>
        <v/>
      </c>
      <c r="M1165" s="194" t="str">
        <f ca="1">IF(OFFSET('IWP14'!Std4BudgetInfo, 10, 6, 1, 1) = 0, "", OFFSET('IWP14'!Std4BudgetInfo, 10, 6, 1, 1))</f>
        <v/>
      </c>
    </row>
    <row r="1166" spans="1:13" s="146" customFormat="1">
      <c r="A1166" s="183" t="s">
        <v>513</v>
      </c>
      <c r="B1166" s="196">
        <v>1</v>
      </c>
      <c r="C1166" s="172">
        <f ca="1">IF(OFFSET('IWP15'!Std4BudgetInfo, 0, 0, 1, 1)=DATE(1900,1,0), DATE(1900,1,1), OFFSET('IWP15'!Std4BudgetInfo, 0, 0, 1, 1))</f>
        <v>1</v>
      </c>
      <c r="D1166" s="172">
        <f ca="1">IF(OFFSET('IWP15'!Std4BudgetInfo, 0, 1, 1, 1)=DATE(1900,1,0), DATE(1900,1,1), OFFSET('IWP15'!Std4BudgetInfo, 0, 1, 1, 1))</f>
        <v>1</v>
      </c>
      <c r="E1166" s="172">
        <f ca="1">IF(OFFSET('IWP15'!Std4BudgetInfo, 2, 0, 1, 1)=DATE(1900,1,0), DATE(1900,1,1), OFFSET('IWP15'!Std4BudgetInfo, 2, 0, 1, 1))</f>
        <v>1</v>
      </c>
      <c r="F1166" s="195" t="str">
        <f ca="1">IF(OFFSET('IWP15'!Std4BudgetInfo, 3, 0, 1, 1) = 0, "", OFFSET('IWP15'!Std4BudgetInfo, 3, 0, 1, 1))</f>
        <v/>
      </c>
      <c r="G1166" s="195" t="str">
        <f ca="1">IF(OFFSET('IWP15'!Std4BudgetInfo, 4, 0, 1, 1) = 0, "", OFFSET('IWP15'!Std4BudgetInfo, 4, 0, 1, 1))</f>
        <v/>
      </c>
      <c r="H1166" s="195" t="str">
        <f ca="1">IF(OFFSET('IWP15'!Std4BudgetInfo, 5, 0, 1, 1) = 0, "", OFFSET('IWP15'!Std4BudgetInfo, 5, 0, 1, 1))</f>
        <v/>
      </c>
      <c r="I1166" s="195" t="str">
        <f ca="1">IF(OFFSET('IWP15'!Std4BudgetInfo, 6, 0, 1, 1) = 0, "", OFFSET('IWP15'!Std4BudgetInfo, 6, 0, 1, 1))</f>
        <v/>
      </c>
      <c r="J1166" s="195" t="str">
        <f ca="1">IF(OFFSET('IWP15'!Std4BudgetInfo, 7, 0, 1, 1) = 0, "", OFFSET('IWP15'!Std4BudgetInfo, 7, 0, 1, 1))</f>
        <v/>
      </c>
      <c r="K1166" s="195" t="str">
        <f ca="1">IF(OFFSET('IWP15'!Std4BudgetInfo, 8, 0, 1, 1) = 0, "", OFFSET('IWP15'!Std4BudgetInfo, 8, 0, 1, 1))</f>
        <v/>
      </c>
      <c r="L1166" s="195" t="str">
        <f ca="1">IF(OFFSET('IWP15'!Std4BudgetInfo, 9, 0, 1, 1) = 0, "", OFFSET('IWP15'!Std4BudgetInfo, 9, 0, 1, 1))</f>
        <v/>
      </c>
      <c r="M1166" s="194" t="str">
        <f ca="1">IF(OFFSET('IWP15'!Std4BudgetInfo, 10, 0, 1, 1) = 0, "", OFFSET('IWP15'!Std4BudgetInfo, 10, 0, 1, 1))</f>
        <v/>
      </c>
    </row>
    <row r="1167" spans="1:13" s="146" customFormat="1">
      <c r="A1167" s="183" t="s">
        <v>513</v>
      </c>
      <c r="B1167" s="196">
        <v>2</v>
      </c>
      <c r="C1167" s="172">
        <f ca="1">IF(OFFSET('IWP15'!Std4BudgetInfo, 0, 2, 1, 1)=DATE(1900,1,0), DATE(1900,1,1), OFFSET('IWP15'!Std4BudgetInfo, 0, 2, 1, 1))</f>
        <v>1</v>
      </c>
      <c r="D1167" s="172">
        <f ca="1">IF(OFFSET('IWP15'!Std4BudgetInfo, 0, 3, 1, 1)=DATE(1900,1,0), DATE(1900,1,1), OFFSET('IWP15'!Std4BudgetInfo, 0, 3, 1, 1))</f>
        <v>1</v>
      </c>
      <c r="E1167" s="172">
        <f ca="1">IF(OFFSET('IWP15'!Std4BudgetInfo, 2, 2, 1, 1)=DATE(1900,1,0), DATE(1900,1,1), OFFSET('IWP15'!Std4BudgetInfo, 2, 2, 1, 1))</f>
        <v>1</v>
      </c>
      <c r="F1167" s="195" t="str">
        <f ca="1">IF(OFFSET('IWP15'!Std4BudgetInfo, 3, 2, 1, 1) = 0, "", OFFSET('IWP15'!Std4BudgetInfo, 3, 2, 1, 1))</f>
        <v/>
      </c>
      <c r="G1167" s="195" t="str">
        <f ca="1">IF(OFFSET('IWP15'!Std4BudgetInfo, 4, 2, 1, 1) = 0, "", OFFSET('IWP15'!Std4BudgetInfo, 4, 2, 1, 1))</f>
        <v/>
      </c>
      <c r="H1167" s="195" t="str">
        <f ca="1">IF(OFFSET('IWP15'!Std4BudgetInfo, 5, 2, 1, 1) = 0, "", OFFSET('IWP15'!Std4BudgetInfo, 5, 2, 1, 1))</f>
        <v/>
      </c>
      <c r="I1167" s="195" t="str">
        <f ca="1">IF(OFFSET('IWP15'!Std4BudgetInfo, 6, 2, 1, 1) = 0, "", OFFSET('IWP15'!Std4BudgetInfo, 6, 2, 1, 1))</f>
        <v/>
      </c>
      <c r="J1167" s="195" t="str">
        <f ca="1">IF(OFFSET('IWP15'!Std4BudgetInfo, 7, 2, 1, 1) = 0, "", OFFSET('IWP15'!Std4BudgetInfo, 7, 2, 1, 1))</f>
        <v/>
      </c>
      <c r="K1167" s="195" t="str">
        <f ca="1">IF(OFFSET('IWP15'!Std4BudgetInfo, 8, 2, 1, 1) = 0, "", OFFSET('IWP15'!Std4BudgetInfo, 8, 2, 1, 1))</f>
        <v/>
      </c>
      <c r="L1167" s="195" t="str">
        <f ca="1">IF(OFFSET('IWP15'!Std4BudgetInfo, 9, 2, 1, 1) = 0, "", OFFSET('IWP15'!Std4BudgetInfo, 9, 2, 1, 1))</f>
        <v/>
      </c>
      <c r="M1167" s="194" t="str">
        <f ca="1">IF(OFFSET('IWP15'!Std4BudgetInfo, 10, 2, 1, 1) = 0, "", OFFSET('IWP15'!Std4BudgetInfo, 10, 2, 1, 1))</f>
        <v/>
      </c>
    </row>
    <row r="1168" spans="1:13" s="146" customFormat="1">
      <c r="A1168" s="183" t="s">
        <v>513</v>
      </c>
      <c r="B1168" s="196">
        <v>3</v>
      </c>
      <c r="C1168" s="172">
        <f ca="1">IF(OFFSET('IWP15'!Std4BudgetInfo, 0, 4, 1, 1)=DATE(1900,1,0), DATE(1900,1,1), OFFSET('IWP15'!Std4BudgetInfo, 0, 4, 1, 1))</f>
        <v>1</v>
      </c>
      <c r="D1168" s="172">
        <f ca="1">IF(OFFSET('IWP15'!Std4BudgetInfo, 0, 5, 1, 1)=DATE(1900,1,0), DATE(1900,1,1), OFFSET('IWP15'!Std4BudgetInfo, 0, 5, 1, 1))</f>
        <v>1</v>
      </c>
      <c r="E1168" s="172">
        <f ca="1">IF(OFFSET('IWP15'!Std4BudgetInfo, 2, 4, 1, 1)=DATE(1900,1,0), DATE(1900,1,1), OFFSET('IWP15'!Std4BudgetInfo, 2, 4, 1, 1))</f>
        <v>1</v>
      </c>
      <c r="F1168" s="195" t="str">
        <f ca="1">IF(OFFSET('IWP15'!Std4BudgetInfo, 3, 4, 1, 1) = 0, "", OFFSET('IWP15'!Std4BudgetInfo, 3, 4, 1, 1))</f>
        <v/>
      </c>
      <c r="G1168" s="195" t="str">
        <f ca="1">IF(OFFSET('IWP15'!Std4BudgetInfo, 4, 4, 1, 1) = 0, "", OFFSET('IWP15'!Std4BudgetInfo, 4, 4, 1, 1))</f>
        <v/>
      </c>
      <c r="H1168" s="195" t="str">
        <f ca="1">IF(OFFSET('IWP15'!Std4BudgetInfo, 5, 4, 1, 1) = 0, "", OFFSET('IWP15'!Std4BudgetInfo, 5, 4, 1, 1))</f>
        <v/>
      </c>
      <c r="I1168" s="195" t="str">
        <f ca="1">IF(OFFSET('IWP15'!Std4BudgetInfo, 6, 4, 1, 1) = 0, "", OFFSET('IWP15'!Std4BudgetInfo, 6, 4, 1, 1))</f>
        <v/>
      </c>
      <c r="J1168" s="195" t="str">
        <f ca="1">IF(OFFSET('IWP15'!Std4BudgetInfo, 7, 4, 1, 1) = 0, "", OFFSET('IWP15'!Std4BudgetInfo, 7, 4, 1, 1))</f>
        <v/>
      </c>
      <c r="K1168" s="195" t="str">
        <f ca="1">IF(OFFSET('IWP15'!Std4BudgetInfo, 8, 4, 1, 1) = 0, "", OFFSET('IWP15'!Std4BudgetInfo, 8, 4, 1, 1))</f>
        <v/>
      </c>
      <c r="L1168" s="195" t="str">
        <f ca="1">IF(OFFSET('IWP15'!Std4BudgetInfo, 9, 4, 1, 1) = 0, "", OFFSET('IWP15'!Std4BudgetInfo, 9, 4, 1, 1))</f>
        <v/>
      </c>
      <c r="M1168" s="194" t="str">
        <f ca="1">IF(OFFSET('IWP15'!Std4BudgetInfo, 10, 4, 1, 1) = 0, "", OFFSET('IWP15'!Std4BudgetInfo, 10, 4, 1, 1))</f>
        <v/>
      </c>
    </row>
    <row r="1169" spans="1:13" s="146" customFormat="1">
      <c r="A1169" s="183" t="s">
        <v>513</v>
      </c>
      <c r="B1169" s="196">
        <v>4</v>
      </c>
      <c r="C1169" s="172">
        <f ca="1">IF(OFFSET('IWP15'!Std4BudgetInfo, 0, 6, 1, 1)=DATE(1900,1,0), DATE(1900,1,1), OFFSET('IWP15'!Std4BudgetInfo, 0, 6, 1, 1))</f>
        <v>1</v>
      </c>
      <c r="D1169" s="172">
        <f ca="1">IF(OFFSET('IWP15'!Std4BudgetInfo, 0, 7, 1, 1)=DATE(1900,1,0), DATE(1900,1,1), OFFSET('IWP15'!Std4BudgetInfo, 0, 7, 1, 1))</f>
        <v>1</v>
      </c>
      <c r="E1169" s="172">
        <f ca="1">IF(OFFSET('IWP15'!Std4BudgetInfo, 2, 6, 1, 1)=DATE(1900,1,0), DATE(1900,1,1), OFFSET('IWP15'!Std4BudgetInfo, 2, 6, 1, 1))</f>
        <v>1</v>
      </c>
      <c r="F1169" s="195" t="str">
        <f ca="1">IF(OFFSET('IWP15'!Std4BudgetInfo, 3, 6, 1, 1) = 0, "", OFFSET('IWP15'!Std4BudgetInfo, 3, 6, 1, 1))</f>
        <v/>
      </c>
      <c r="G1169" s="195" t="str">
        <f ca="1">IF(OFFSET('IWP15'!Std4BudgetInfo, 4, 6, 1, 1) = 0, "", OFFSET('IWP15'!Std4BudgetInfo, 4, 6, 1, 1))</f>
        <v/>
      </c>
      <c r="H1169" s="195" t="str">
        <f ca="1">IF(OFFSET('IWP15'!Std4BudgetInfo, 5, 6, 1, 1) = 0, "", OFFSET('IWP15'!Std4BudgetInfo, 5, 6, 1, 1))</f>
        <v/>
      </c>
      <c r="I1169" s="195" t="str">
        <f ca="1">IF(OFFSET('IWP15'!Std4BudgetInfo, 6, 6, 1, 1) = 0, "", OFFSET('IWP15'!Std4BudgetInfo, 6, 6, 1, 1))</f>
        <v/>
      </c>
      <c r="J1169" s="195" t="str">
        <f ca="1">IF(OFFSET('IWP15'!Std4BudgetInfo, 7, 6, 1, 1) = 0, "", OFFSET('IWP15'!Std4BudgetInfo, 7, 6, 1, 1))</f>
        <v/>
      </c>
      <c r="K1169" s="195" t="str">
        <f ca="1">IF(OFFSET('IWP15'!Std4BudgetInfo, 8, 6, 1, 1) = 0, "", OFFSET('IWP15'!Std4BudgetInfo, 8, 6, 1, 1))</f>
        <v/>
      </c>
      <c r="L1169" s="195" t="str">
        <f ca="1">IF(OFFSET('IWP15'!Std4BudgetInfo, 9, 6, 1, 1) = 0, "", OFFSET('IWP15'!Std4BudgetInfo, 9, 6, 1, 1))</f>
        <v/>
      </c>
      <c r="M1169" s="194" t="str">
        <f ca="1">IF(OFFSET('IWP15'!Std4BudgetInfo, 10, 6, 1, 1) = 0, "", OFFSET('IWP15'!Std4BudgetInfo, 10, 6, 1, 1))</f>
        <v/>
      </c>
    </row>
    <row r="1170" spans="1:13" s="146" customFormat="1">
      <c r="A1170" s="183" t="s">
        <v>514</v>
      </c>
      <c r="B1170" s="196">
        <v>1</v>
      </c>
      <c r="C1170" s="172">
        <f ca="1">IF(OFFSET('IWP16'!Std4BudgetInfo, 0, 0, 1, 1)=DATE(1900,1,0), DATE(1900,1,1), OFFSET('IWP16'!Std4BudgetInfo, 0, 0, 1, 1))</f>
        <v>1</v>
      </c>
      <c r="D1170" s="172">
        <f ca="1">IF(OFFSET('IWP16'!Std4BudgetInfo, 0, 1, 1, 1)=DATE(1900,1,0), DATE(1900,1,1), OFFSET('IWP16'!Std4BudgetInfo, 0, 1, 1, 1))</f>
        <v>1</v>
      </c>
      <c r="E1170" s="172">
        <f ca="1">IF(OFFSET('IWP16'!Std4BudgetInfo, 2, 0, 1, 1)=DATE(1900,1,0), DATE(1900,1,1), OFFSET('IWP16'!Std4BudgetInfo, 2, 0, 1, 1))</f>
        <v>1</v>
      </c>
      <c r="F1170" s="195" t="str">
        <f ca="1">IF(OFFSET('IWP16'!Std4BudgetInfo, 3, 0, 1, 1) = 0, "", OFFSET('IWP16'!Std4BudgetInfo, 3, 0, 1, 1))</f>
        <v/>
      </c>
      <c r="G1170" s="195" t="str">
        <f ca="1">IF(OFFSET('IWP16'!Std4BudgetInfo, 4, 0, 1, 1) = 0, "", OFFSET('IWP16'!Std4BudgetInfo, 4, 0, 1, 1))</f>
        <v/>
      </c>
      <c r="H1170" s="195" t="str">
        <f ca="1">IF(OFFSET('IWP16'!Std4BudgetInfo, 5, 0, 1, 1) = 0, "", OFFSET('IWP16'!Std4BudgetInfo, 5, 0, 1, 1))</f>
        <v/>
      </c>
      <c r="I1170" s="195" t="str">
        <f ca="1">IF(OFFSET('IWP16'!Std4BudgetInfo, 6, 0, 1, 1) = 0, "", OFFSET('IWP16'!Std4BudgetInfo, 6, 0, 1, 1))</f>
        <v/>
      </c>
      <c r="J1170" s="195" t="str">
        <f ca="1">IF(OFFSET('IWP16'!Std4BudgetInfo, 7, 0, 1, 1) = 0, "", OFFSET('IWP16'!Std4BudgetInfo, 7, 0, 1, 1))</f>
        <v/>
      </c>
      <c r="K1170" s="195" t="str">
        <f ca="1">IF(OFFSET('IWP16'!Std4BudgetInfo, 8, 0, 1, 1) = 0, "", OFFSET('IWP16'!Std4BudgetInfo, 8, 0, 1, 1))</f>
        <v/>
      </c>
      <c r="L1170" s="195" t="str">
        <f ca="1">IF(OFFSET('IWP16'!Std4BudgetInfo, 9, 0, 1, 1) = 0, "", OFFSET('IWP16'!Std4BudgetInfo, 9, 0, 1, 1))</f>
        <v/>
      </c>
      <c r="M1170" s="194" t="str">
        <f ca="1">IF(OFFSET('IWP16'!Std4BudgetInfo, 10, 0, 1, 1) = 0, "", OFFSET('IWP16'!Std4BudgetInfo, 10, 0, 1, 1))</f>
        <v/>
      </c>
    </row>
    <row r="1171" spans="1:13" s="146" customFormat="1">
      <c r="A1171" s="183" t="s">
        <v>514</v>
      </c>
      <c r="B1171" s="196">
        <v>2</v>
      </c>
      <c r="C1171" s="172">
        <f ca="1">IF(OFFSET('IWP16'!Std4BudgetInfo, 0, 2, 1, 1)=DATE(1900,1,0), DATE(1900,1,1), OFFSET('IWP16'!Std4BudgetInfo, 0, 2, 1, 1))</f>
        <v>1</v>
      </c>
      <c r="D1171" s="172">
        <f ca="1">IF(OFFSET('IWP16'!Std4BudgetInfo, 0, 3, 1, 1)=DATE(1900,1,0), DATE(1900,1,1), OFFSET('IWP16'!Std4BudgetInfo, 0, 3, 1, 1))</f>
        <v>1</v>
      </c>
      <c r="E1171" s="172">
        <f ca="1">IF(OFFSET('IWP16'!Std4BudgetInfo, 2, 2, 1, 1)=DATE(1900,1,0), DATE(1900,1,1), OFFSET('IWP16'!Std4BudgetInfo, 2, 2, 1, 1))</f>
        <v>1</v>
      </c>
      <c r="F1171" s="195" t="str">
        <f ca="1">IF(OFFSET('IWP16'!Std4BudgetInfo, 3, 2, 1, 1) = 0, "", OFFSET('IWP16'!Std4BudgetInfo, 3, 2, 1, 1))</f>
        <v/>
      </c>
      <c r="G1171" s="195" t="str">
        <f ca="1">IF(OFFSET('IWP16'!Std4BudgetInfo, 4, 2, 1, 1) = 0, "", OFFSET('IWP16'!Std4BudgetInfo, 4, 2, 1, 1))</f>
        <v/>
      </c>
      <c r="H1171" s="195" t="str">
        <f ca="1">IF(OFFSET('IWP16'!Std4BudgetInfo, 5, 2, 1, 1) = 0, "", OFFSET('IWP16'!Std4BudgetInfo, 5, 2, 1, 1))</f>
        <v/>
      </c>
      <c r="I1171" s="195" t="str">
        <f ca="1">IF(OFFSET('IWP16'!Std4BudgetInfo, 6, 2, 1, 1) = 0, "", OFFSET('IWP16'!Std4BudgetInfo, 6, 2, 1, 1))</f>
        <v/>
      </c>
      <c r="J1171" s="195" t="str">
        <f ca="1">IF(OFFSET('IWP16'!Std4BudgetInfo, 7, 2, 1, 1) = 0, "", OFFSET('IWP16'!Std4BudgetInfo, 7, 2, 1, 1))</f>
        <v/>
      </c>
      <c r="K1171" s="195" t="str">
        <f ca="1">IF(OFFSET('IWP16'!Std4BudgetInfo, 8, 2, 1, 1) = 0, "", OFFSET('IWP16'!Std4BudgetInfo, 8, 2, 1, 1))</f>
        <v/>
      </c>
      <c r="L1171" s="195" t="str">
        <f ca="1">IF(OFFSET('IWP16'!Std4BudgetInfo, 9, 2, 1, 1) = 0, "", OFFSET('IWP16'!Std4BudgetInfo, 9, 2, 1, 1))</f>
        <v/>
      </c>
      <c r="M1171" s="194" t="str">
        <f ca="1">IF(OFFSET('IWP16'!Std4BudgetInfo, 10, 2, 1, 1) = 0, "", OFFSET('IWP16'!Std4BudgetInfo, 10, 2, 1, 1))</f>
        <v/>
      </c>
    </row>
    <row r="1172" spans="1:13" s="146" customFormat="1">
      <c r="A1172" s="183" t="s">
        <v>514</v>
      </c>
      <c r="B1172" s="196">
        <v>3</v>
      </c>
      <c r="C1172" s="172">
        <f ca="1">IF(OFFSET('IWP16'!Std4BudgetInfo, 0, 4, 1, 1)=DATE(1900,1,0), DATE(1900,1,1), OFFSET('IWP16'!Std4BudgetInfo, 0, 4, 1, 1))</f>
        <v>1</v>
      </c>
      <c r="D1172" s="172">
        <f ca="1">IF(OFFSET('IWP16'!Std4BudgetInfo, 0, 5, 1, 1)=DATE(1900,1,0), DATE(1900,1,1), OFFSET('IWP16'!Std4BudgetInfo, 0, 5, 1, 1))</f>
        <v>1</v>
      </c>
      <c r="E1172" s="172">
        <f ca="1">IF(OFFSET('IWP16'!Std4BudgetInfo, 2, 4, 1, 1)=DATE(1900,1,0), DATE(1900,1,1), OFFSET('IWP16'!Std4BudgetInfo, 2, 4, 1, 1))</f>
        <v>1</v>
      </c>
      <c r="F1172" s="195" t="str">
        <f ca="1">IF(OFFSET('IWP16'!Std4BudgetInfo, 3, 4, 1, 1) = 0, "", OFFSET('IWP16'!Std4BudgetInfo, 3, 4, 1, 1))</f>
        <v/>
      </c>
      <c r="G1172" s="195" t="str">
        <f ca="1">IF(OFFSET('IWP16'!Std4BudgetInfo, 4, 4, 1, 1) = 0, "", OFFSET('IWP16'!Std4BudgetInfo, 4, 4, 1, 1))</f>
        <v/>
      </c>
      <c r="H1172" s="195" t="str">
        <f ca="1">IF(OFFSET('IWP16'!Std4BudgetInfo, 5, 4, 1, 1) = 0, "", OFFSET('IWP16'!Std4BudgetInfo, 5, 4, 1, 1))</f>
        <v/>
      </c>
      <c r="I1172" s="195" t="str">
        <f ca="1">IF(OFFSET('IWP16'!Std4BudgetInfo, 6, 4, 1, 1) = 0, "", OFFSET('IWP16'!Std4BudgetInfo, 6, 4, 1, 1))</f>
        <v/>
      </c>
      <c r="J1172" s="195" t="str">
        <f ca="1">IF(OFFSET('IWP16'!Std4BudgetInfo, 7, 4, 1, 1) = 0, "", OFFSET('IWP16'!Std4BudgetInfo, 7, 4, 1, 1))</f>
        <v/>
      </c>
      <c r="K1172" s="195" t="str">
        <f ca="1">IF(OFFSET('IWP16'!Std4BudgetInfo, 8, 4, 1, 1) = 0, "", OFFSET('IWP16'!Std4BudgetInfo, 8, 4, 1, 1))</f>
        <v/>
      </c>
      <c r="L1172" s="195" t="str">
        <f ca="1">IF(OFFSET('IWP16'!Std4BudgetInfo, 9, 4, 1, 1) = 0, "", OFFSET('IWP16'!Std4BudgetInfo, 9, 4, 1, 1))</f>
        <v/>
      </c>
      <c r="M1172" s="194" t="str">
        <f ca="1">IF(OFFSET('IWP16'!Std4BudgetInfo, 10, 4, 1, 1) = 0, "", OFFSET('IWP16'!Std4BudgetInfo, 10, 4, 1, 1))</f>
        <v/>
      </c>
    </row>
    <row r="1173" spans="1:13" s="146" customFormat="1">
      <c r="A1173" s="183" t="s">
        <v>514</v>
      </c>
      <c r="B1173" s="196">
        <v>4</v>
      </c>
      <c r="C1173" s="172">
        <f ca="1">IF(OFFSET('IWP16'!Std4BudgetInfo, 0, 6, 1, 1)=DATE(1900,1,0), DATE(1900,1,1), OFFSET('IWP16'!Std4BudgetInfo, 0, 6, 1, 1))</f>
        <v>1</v>
      </c>
      <c r="D1173" s="172">
        <f ca="1">IF(OFFSET('IWP16'!Std4BudgetInfo, 0, 7, 1, 1)=DATE(1900,1,0), DATE(1900,1,1), OFFSET('IWP16'!Std4BudgetInfo, 0, 7, 1, 1))</f>
        <v>1</v>
      </c>
      <c r="E1173" s="172">
        <f ca="1">IF(OFFSET('IWP16'!Std4BudgetInfo, 2, 6, 1, 1)=DATE(1900,1,0), DATE(1900,1,1), OFFSET('IWP16'!Std4BudgetInfo, 2, 6, 1, 1))</f>
        <v>1</v>
      </c>
      <c r="F1173" s="195" t="str">
        <f ca="1">IF(OFFSET('IWP16'!Std4BudgetInfo, 3, 6, 1, 1) = 0, "", OFFSET('IWP16'!Std4BudgetInfo, 3, 6, 1, 1))</f>
        <v/>
      </c>
      <c r="G1173" s="195" t="str">
        <f ca="1">IF(OFFSET('IWP16'!Std4BudgetInfo, 4, 6, 1, 1) = 0, "", OFFSET('IWP16'!Std4BudgetInfo, 4, 6, 1, 1))</f>
        <v/>
      </c>
      <c r="H1173" s="195" t="str">
        <f ca="1">IF(OFFSET('IWP16'!Std4BudgetInfo, 5, 6, 1, 1) = 0, "", OFFSET('IWP16'!Std4BudgetInfo, 5, 6, 1, 1))</f>
        <v/>
      </c>
      <c r="I1173" s="195" t="str">
        <f ca="1">IF(OFFSET('IWP16'!Std4BudgetInfo, 6, 6, 1, 1) = 0, "", OFFSET('IWP16'!Std4BudgetInfo, 6, 6, 1, 1))</f>
        <v/>
      </c>
      <c r="J1173" s="195" t="str">
        <f ca="1">IF(OFFSET('IWP16'!Std4BudgetInfo, 7, 6, 1, 1) = 0, "", OFFSET('IWP16'!Std4BudgetInfo, 7, 6, 1, 1))</f>
        <v/>
      </c>
      <c r="K1173" s="195" t="str">
        <f ca="1">IF(OFFSET('IWP16'!Std4BudgetInfo, 8, 6, 1, 1) = 0, "", OFFSET('IWP16'!Std4BudgetInfo, 8, 6, 1, 1))</f>
        <v/>
      </c>
      <c r="L1173" s="195" t="str">
        <f ca="1">IF(OFFSET('IWP16'!Std4BudgetInfo, 9, 6, 1, 1) = 0, "", OFFSET('IWP16'!Std4BudgetInfo, 9, 6, 1, 1))</f>
        <v/>
      </c>
      <c r="M1173" s="194" t="str">
        <f ca="1">IF(OFFSET('IWP16'!Std4BudgetInfo, 10, 6, 1, 1) = 0, "", OFFSET('IWP16'!Std4BudgetInfo, 10, 6, 1, 1))</f>
        <v/>
      </c>
    </row>
    <row r="1174" spans="1:13" s="146" customFormat="1">
      <c r="A1174" s="183" t="s">
        <v>515</v>
      </c>
      <c r="B1174" s="196">
        <v>1</v>
      </c>
      <c r="C1174" s="172">
        <f ca="1">IF(OFFSET('IWP17'!Std4BudgetInfo, 0, 0, 1, 1)=DATE(1900,1,0), DATE(1900,1,1), OFFSET('IWP17'!Std4BudgetInfo, 0, 0, 1, 1))</f>
        <v>1</v>
      </c>
      <c r="D1174" s="172">
        <f ca="1">IF(OFFSET('IWP17'!Std4BudgetInfo, 0, 1, 1, 1)=DATE(1900,1,0), DATE(1900,1,1), OFFSET('IWP17'!Std4BudgetInfo, 0, 1, 1, 1))</f>
        <v>1</v>
      </c>
      <c r="E1174" s="172">
        <f ca="1">IF(OFFSET('IWP17'!Std4BudgetInfo, 2, 0, 1, 1)=DATE(1900,1,0), DATE(1900,1,1), OFFSET('IWP17'!Std4BudgetInfo, 2, 0, 1, 1))</f>
        <v>1</v>
      </c>
      <c r="F1174" s="195" t="str">
        <f ca="1">IF(OFFSET('IWP17'!Std4BudgetInfo, 3, 0, 1, 1) = 0, "", OFFSET('IWP17'!Std4BudgetInfo, 3, 0, 1, 1))</f>
        <v/>
      </c>
      <c r="G1174" s="195" t="str">
        <f ca="1">IF(OFFSET('IWP17'!Std4BudgetInfo, 4, 0, 1, 1) = 0, "", OFFSET('IWP17'!Std4BudgetInfo, 4, 0, 1, 1))</f>
        <v/>
      </c>
      <c r="H1174" s="195" t="str">
        <f ca="1">IF(OFFSET('IWP17'!Std4BudgetInfo, 5, 0, 1, 1) = 0, "", OFFSET('IWP17'!Std4BudgetInfo, 5, 0, 1, 1))</f>
        <v/>
      </c>
      <c r="I1174" s="195" t="str">
        <f ca="1">IF(OFFSET('IWP17'!Std4BudgetInfo, 6, 0, 1, 1) = 0, "", OFFSET('IWP17'!Std4BudgetInfo, 6, 0, 1, 1))</f>
        <v/>
      </c>
      <c r="J1174" s="195" t="str">
        <f ca="1">IF(OFFSET('IWP17'!Std4BudgetInfo, 7, 0, 1, 1) = 0, "", OFFSET('IWP17'!Std4BudgetInfo, 7, 0, 1, 1))</f>
        <v/>
      </c>
      <c r="K1174" s="195" t="str">
        <f ca="1">IF(OFFSET('IWP17'!Std4BudgetInfo, 8, 0, 1, 1) = 0, "", OFFSET('IWP17'!Std4BudgetInfo, 8, 0, 1, 1))</f>
        <v/>
      </c>
      <c r="L1174" s="195" t="str">
        <f ca="1">IF(OFFSET('IWP17'!Std4BudgetInfo, 9, 0, 1, 1) = 0, "", OFFSET('IWP17'!Std4BudgetInfo, 9, 0, 1, 1))</f>
        <v/>
      </c>
      <c r="M1174" s="194" t="str">
        <f ca="1">IF(OFFSET('IWP17'!Std4BudgetInfo, 10, 0, 1, 1) = 0, "", OFFSET('IWP17'!Std4BudgetInfo, 10, 0, 1, 1))</f>
        <v/>
      </c>
    </row>
    <row r="1175" spans="1:13" s="146" customFormat="1">
      <c r="A1175" s="183" t="s">
        <v>515</v>
      </c>
      <c r="B1175" s="196">
        <v>2</v>
      </c>
      <c r="C1175" s="172">
        <f ca="1">IF(OFFSET('IWP17'!Std4BudgetInfo, 0, 2, 1, 1)=DATE(1900,1,0), DATE(1900,1,1), OFFSET('IWP17'!Std4BudgetInfo, 0, 2, 1, 1))</f>
        <v>1</v>
      </c>
      <c r="D1175" s="172">
        <f ca="1">IF(OFFSET('IWP17'!Std4BudgetInfo, 0, 3, 1, 1)=DATE(1900,1,0), DATE(1900,1,1), OFFSET('IWP17'!Std4BudgetInfo, 0, 3, 1, 1))</f>
        <v>1</v>
      </c>
      <c r="E1175" s="172">
        <f ca="1">IF(OFFSET('IWP17'!Std4BudgetInfo, 2, 2, 1, 1)=DATE(1900,1,0), DATE(1900,1,1), OFFSET('IWP17'!Std4BudgetInfo, 2, 2, 1, 1))</f>
        <v>1</v>
      </c>
      <c r="F1175" s="195" t="str">
        <f ca="1">IF(OFFSET('IWP17'!Std4BudgetInfo, 3, 2, 1, 1) = 0, "", OFFSET('IWP17'!Std4BudgetInfo, 3, 2, 1, 1))</f>
        <v/>
      </c>
      <c r="G1175" s="195" t="str">
        <f ca="1">IF(OFFSET('IWP17'!Std4BudgetInfo, 4, 2, 1, 1) = 0, "", OFFSET('IWP17'!Std4BudgetInfo, 4, 2, 1, 1))</f>
        <v/>
      </c>
      <c r="H1175" s="195" t="str">
        <f ca="1">IF(OFFSET('IWP17'!Std4BudgetInfo, 5, 2, 1, 1) = 0, "", OFFSET('IWP17'!Std4BudgetInfo, 5, 2, 1, 1))</f>
        <v/>
      </c>
      <c r="I1175" s="195" t="str">
        <f ca="1">IF(OFFSET('IWP17'!Std4BudgetInfo, 6, 2, 1, 1) = 0, "", OFFSET('IWP17'!Std4BudgetInfo, 6, 2, 1, 1))</f>
        <v/>
      </c>
      <c r="J1175" s="195" t="str">
        <f ca="1">IF(OFFSET('IWP17'!Std4BudgetInfo, 7, 2, 1, 1) = 0, "", OFFSET('IWP17'!Std4BudgetInfo, 7, 2, 1, 1))</f>
        <v/>
      </c>
      <c r="K1175" s="195" t="str">
        <f ca="1">IF(OFFSET('IWP17'!Std4BudgetInfo, 8, 2, 1, 1) = 0, "", OFFSET('IWP17'!Std4BudgetInfo, 8, 2, 1, 1))</f>
        <v/>
      </c>
      <c r="L1175" s="195" t="str">
        <f ca="1">IF(OFFSET('IWP17'!Std4BudgetInfo, 9, 2, 1, 1) = 0, "", OFFSET('IWP17'!Std4BudgetInfo, 9, 2, 1, 1))</f>
        <v/>
      </c>
      <c r="M1175" s="194" t="str">
        <f ca="1">IF(OFFSET('IWP17'!Std4BudgetInfo, 10, 2, 1, 1) = 0, "", OFFSET('IWP17'!Std4BudgetInfo, 10, 2, 1, 1))</f>
        <v/>
      </c>
    </row>
    <row r="1176" spans="1:13" s="146" customFormat="1">
      <c r="A1176" s="183" t="s">
        <v>515</v>
      </c>
      <c r="B1176" s="196">
        <v>3</v>
      </c>
      <c r="C1176" s="172">
        <f ca="1">IF(OFFSET('IWP17'!Std4BudgetInfo, 0, 4, 1, 1)=DATE(1900,1,0), DATE(1900,1,1), OFFSET('IWP17'!Std4BudgetInfo, 0, 4, 1, 1))</f>
        <v>1</v>
      </c>
      <c r="D1176" s="172">
        <f ca="1">IF(OFFSET('IWP17'!Std4BudgetInfo, 0, 5, 1, 1)=DATE(1900,1,0), DATE(1900,1,1), OFFSET('IWP17'!Std4BudgetInfo, 0, 5, 1, 1))</f>
        <v>1</v>
      </c>
      <c r="E1176" s="172">
        <f ca="1">IF(OFFSET('IWP17'!Std4BudgetInfo, 2, 4, 1, 1)=DATE(1900,1,0), DATE(1900,1,1), OFFSET('IWP17'!Std4BudgetInfo, 2, 4, 1, 1))</f>
        <v>1</v>
      </c>
      <c r="F1176" s="195" t="str">
        <f ca="1">IF(OFFSET('IWP17'!Std4BudgetInfo, 3, 4, 1, 1) = 0, "", OFFSET('IWP17'!Std4BudgetInfo, 3, 4, 1, 1))</f>
        <v/>
      </c>
      <c r="G1176" s="195" t="str">
        <f ca="1">IF(OFFSET('IWP17'!Std4BudgetInfo, 4, 4, 1, 1) = 0, "", OFFSET('IWP17'!Std4BudgetInfo, 4, 4, 1, 1))</f>
        <v/>
      </c>
      <c r="H1176" s="195" t="str">
        <f ca="1">IF(OFFSET('IWP17'!Std4BudgetInfo, 5, 4, 1, 1) = 0, "", OFFSET('IWP17'!Std4BudgetInfo, 5, 4, 1, 1))</f>
        <v/>
      </c>
      <c r="I1176" s="195" t="str">
        <f ca="1">IF(OFFSET('IWP17'!Std4BudgetInfo, 6, 4, 1, 1) = 0, "", OFFSET('IWP17'!Std4BudgetInfo, 6, 4, 1, 1))</f>
        <v/>
      </c>
      <c r="J1176" s="195" t="str">
        <f ca="1">IF(OFFSET('IWP17'!Std4BudgetInfo, 7, 4, 1, 1) = 0, "", OFFSET('IWP17'!Std4BudgetInfo, 7, 4, 1, 1))</f>
        <v/>
      </c>
      <c r="K1176" s="195" t="str">
        <f ca="1">IF(OFFSET('IWP17'!Std4BudgetInfo, 8, 4, 1, 1) = 0, "", OFFSET('IWP17'!Std4BudgetInfo, 8, 4, 1, 1))</f>
        <v/>
      </c>
      <c r="L1176" s="195" t="str">
        <f ca="1">IF(OFFSET('IWP17'!Std4BudgetInfo, 9, 4, 1, 1) = 0, "", OFFSET('IWP17'!Std4BudgetInfo, 9, 4, 1, 1))</f>
        <v/>
      </c>
      <c r="M1176" s="194" t="str">
        <f ca="1">IF(OFFSET('IWP17'!Std4BudgetInfo, 10, 4, 1, 1) = 0, "", OFFSET('IWP17'!Std4BudgetInfo, 10, 4, 1, 1))</f>
        <v/>
      </c>
    </row>
    <row r="1177" spans="1:13" s="146" customFormat="1">
      <c r="A1177" s="183" t="s">
        <v>515</v>
      </c>
      <c r="B1177" s="196">
        <v>4</v>
      </c>
      <c r="C1177" s="172">
        <f ca="1">IF(OFFSET('IWP17'!Std4BudgetInfo, 0, 6, 1, 1)=DATE(1900,1,0), DATE(1900,1,1), OFFSET('IWP17'!Std4BudgetInfo, 0, 6, 1, 1))</f>
        <v>1</v>
      </c>
      <c r="D1177" s="172">
        <f ca="1">IF(OFFSET('IWP17'!Std4BudgetInfo, 0, 7, 1, 1)=DATE(1900,1,0), DATE(1900,1,1), OFFSET('IWP17'!Std4BudgetInfo, 0, 7, 1, 1))</f>
        <v>1</v>
      </c>
      <c r="E1177" s="172">
        <f ca="1">IF(OFFSET('IWP17'!Std4BudgetInfo, 2, 6, 1, 1)=DATE(1900,1,0), DATE(1900,1,1), OFFSET('IWP17'!Std4BudgetInfo, 2, 6, 1, 1))</f>
        <v>1</v>
      </c>
      <c r="F1177" s="195" t="str">
        <f ca="1">IF(OFFSET('IWP17'!Std4BudgetInfo, 3, 6, 1, 1) = 0, "", OFFSET('IWP17'!Std4BudgetInfo, 3, 6, 1, 1))</f>
        <v/>
      </c>
      <c r="G1177" s="195" t="str">
        <f ca="1">IF(OFFSET('IWP17'!Std4BudgetInfo, 4, 6, 1, 1) = 0, "", OFFSET('IWP17'!Std4BudgetInfo, 4, 6, 1, 1))</f>
        <v/>
      </c>
      <c r="H1177" s="195" t="str">
        <f ca="1">IF(OFFSET('IWP17'!Std4BudgetInfo, 5, 6, 1, 1) = 0, "", OFFSET('IWP17'!Std4BudgetInfo, 5, 6, 1, 1))</f>
        <v/>
      </c>
      <c r="I1177" s="195" t="str">
        <f ca="1">IF(OFFSET('IWP17'!Std4BudgetInfo, 6, 6, 1, 1) = 0, "", OFFSET('IWP17'!Std4BudgetInfo, 6, 6, 1, 1))</f>
        <v/>
      </c>
      <c r="J1177" s="195" t="str">
        <f ca="1">IF(OFFSET('IWP17'!Std4BudgetInfo, 7, 6, 1, 1) = 0, "", OFFSET('IWP17'!Std4BudgetInfo, 7, 6, 1, 1))</f>
        <v/>
      </c>
      <c r="K1177" s="195" t="str">
        <f ca="1">IF(OFFSET('IWP17'!Std4BudgetInfo, 8, 6, 1, 1) = 0, "", OFFSET('IWP17'!Std4BudgetInfo, 8, 6, 1, 1))</f>
        <v/>
      </c>
      <c r="L1177" s="195" t="str">
        <f ca="1">IF(OFFSET('IWP17'!Std4BudgetInfo, 9, 6, 1, 1) = 0, "", OFFSET('IWP17'!Std4BudgetInfo, 9, 6, 1, 1))</f>
        <v/>
      </c>
      <c r="M1177" s="194" t="str">
        <f ca="1">IF(OFFSET('IWP17'!Std4BudgetInfo, 10, 6, 1, 1) = 0, "", OFFSET('IWP17'!Std4BudgetInfo, 10, 6, 1, 1))</f>
        <v/>
      </c>
    </row>
    <row r="1178" spans="1:13" s="146" customFormat="1">
      <c r="A1178" s="183" t="s">
        <v>516</v>
      </c>
      <c r="B1178" s="196">
        <v>1</v>
      </c>
      <c r="C1178" s="172">
        <f ca="1">IF(OFFSET('IWP18'!Std4BudgetInfo, 0, 0, 1, 1)=DATE(1900,1,0), DATE(1900,1,1), OFFSET('IWP18'!Std4BudgetInfo, 0, 0, 1, 1))</f>
        <v>1</v>
      </c>
      <c r="D1178" s="172">
        <f ca="1">IF(OFFSET('IWP18'!Std4BudgetInfo, 0, 1, 1, 1)=DATE(1900,1,0), DATE(1900,1,1), OFFSET('IWP18'!Std4BudgetInfo, 0, 1, 1, 1))</f>
        <v>1</v>
      </c>
      <c r="E1178" s="172">
        <f ca="1">IF(OFFSET('IWP18'!Std4BudgetInfo, 2, 0, 1, 1)=DATE(1900,1,0), DATE(1900,1,1), OFFSET('IWP18'!Std4BudgetInfo, 2, 0, 1, 1))</f>
        <v>1</v>
      </c>
      <c r="F1178" s="195" t="str">
        <f ca="1">IF(OFFSET('IWP18'!Std4BudgetInfo, 3, 0, 1, 1) = 0, "", OFFSET('IWP18'!Std4BudgetInfo, 3, 0, 1, 1))</f>
        <v/>
      </c>
      <c r="G1178" s="195" t="str">
        <f ca="1">IF(OFFSET('IWP18'!Std4BudgetInfo, 4, 0, 1, 1) = 0, "", OFFSET('IWP18'!Std4BudgetInfo, 4, 0, 1, 1))</f>
        <v/>
      </c>
      <c r="H1178" s="195" t="str">
        <f ca="1">IF(OFFSET('IWP18'!Std4BudgetInfo, 5, 0, 1, 1) = 0, "", OFFSET('IWP18'!Std4BudgetInfo, 5, 0, 1, 1))</f>
        <v/>
      </c>
      <c r="I1178" s="195" t="str">
        <f ca="1">IF(OFFSET('IWP18'!Std4BudgetInfo, 6, 0, 1, 1) = 0, "", OFFSET('IWP18'!Std4BudgetInfo, 6, 0, 1, 1))</f>
        <v/>
      </c>
      <c r="J1178" s="195" t="str">
        <f ca="1">IF(OFFSET('IWP18'!Std4BudgetInfo, 7, 0, 1, 1) = 0, "", OFFSET('IWP18'!Std4BudgetInfo, 7, 0, 1, 1))</f>
        <v/>
      </c>
      <c r="K1178" s="195" t="str">
        <f ca="1">IF(OFFSET('IWP18'!Std4BudgetInfo, 8, 0, 1, 1) = 0, "", OFFSET('IWP18'!Std4BudgetInfo, 8, 0, 1, 1))</f>
        <v/>
      </c>
      <c r="L1178" s="195" t="str">
        <f ca="1">IF(OFFSET('IWP18'!Std4BudgetInfo, 9, 0, 1, 1) = 0, "", OFFSET('IWP18'!Std4BudgetInfo, 9, 0, 1, 1))</f>
        <v/>
      </c>
      <c r="M1178" s="194" t="str">
        <f ca="1">IF(OFFSET('IWP18'!Std4BudgetInfo, 10, 0, 1, 1) = 0, "", OFFSET('IWP18'!Std4BudgetInfo, 10, 0, 1, 1))</f>
        <v/>
      </c>
    </row>
    <row r="1179" spans="1:13" s="146" customFormat="1">
      <c r="A1179" s="183" t="s">
        <v>516</v>
      </c>
      <c r="B1179" s="196">
        <v>2</v>
      </c>
      <c r="C1179" s="172">
        <f ca="1">IF(OFFSET('IWP18'!Std4BudgetInfo, 0, 2, 1, 1)=DATE(1900,1,0), DATE(1900,1,1), OFFSET('IWP18'!Std4BudgetInfo, 0, 2, 1, 1))</f>
        <v>1</v>
      </c>
      <c r="D1179" s="172">
        <f ca="1">IF(OFFSET('IWP18'!Std4BudgetInfo, 0, 3, 1, 1)=DATE(1900,1,0), DATE(1900,1,1), OFFSET('IWP18'!Std4BudgetInfo, 0, 3, 1, 1))</f>
        <v>1</v>
      </c>
      <c r="E1179" s="172">
        <f ca="1">IF(OFFSET('IWP18'!Std4BudgetInfo, 2, 2, 1, 1)=DATE(1900,1,0), DATE(1900,1,1), OFFSET('IWP18'!Std4BudgetInfo, 2, 2, 1, 1))</f>
        <v>1</v>
      </c>
      <c r="F1179" s="195" t="str">
        <f ca="1">IF(OFFSET('IWP18'!Std4BudgetInfo, 3, 2, 1, 1) = 0, "", OFFSET('IWP18'!Std4BudgetInfo, 3, 2, 1, 1))</f>
        <v/>
      </c>
      <c r="G1179" s="195" t="str">
        <f ca="1">IF(OFFSET('IWP18'!Std4BudgetInfo, 4, 2, 1, 1) = 0, "", OFFSET('IWP18'!Std4BudgetInfo, 4, 2, 1, 1))</f>
        <v/>
      </c>
      <c r="H1179" s="195" t="str">
        <f ca="1">IF(OFFSET('IWP18'!Std4BudgetInfo, 5, 2, 1, 1) = 0, "", OFFSET('IWP18'!Std4BudgetInfo, 5, 2, 1, 1))</f>
        <v/>
      </c>
      <c r="I1179" s="195" t="str">
        <f ca="1">IF(OFFSET('IWP18'!Std4BudgetInfo, 6, 2, 1, 1) = 0, "", OFFSET('IWP18'!Std4BudgetInfo, 6, 2, 1, 1))</f>
        <v/>
      </c>
      <c r="J1179" s="195" t="str">
        <f ca="1">IF(OFFSET('IWP18'!Std4BudgetInfo, 7, 2, 1, 1) = 0, "", OFFSET('IWP18'!Std4BudgetInfo, 7, 2, 1, 1))</f>
        <v/>
      </c>
      <c r="K1179" s="195" t="str">
        <f ca="1">IF(OFFSET('IWP18'!Std4BudgetInfo, 8, 2, 1, 1) = 0, "", OFFSET('IWP18'!Std4BudgetInfo, 8, 2, 1, 1))</f>
        <v/>
      </c>
      <c r="L1179" s="195" t="str">
        <f ca="1">IF(OFFSET('IWP18'!Std4BudgetInfo, 9, 2, 1, 1) = 0, "", OFFSET('IWP18'!Std4BudgetInfo, 9, 2, 1, 1))</f>
        <v/>
      </c>
      <c r="M1179" s="194" t="str">
        <f ca="1">IF(OFFSET('IWP18'!Std4BudgetInfo, 10, 2, 1, 1) = 0, "", OFFSET('IWP18'!Std4BudgetInfo, 10, 2, 1, 1))</f>
        <v/>
      </c>
    </row>
    <row r="1180" spans="1:13" s="146" customFormat="1">
      <c r="A1180" s="183" t="s">
        <v>516</v>
      </c>
      <c r="B1180" s="196">
        <v>3</v>
      </c>
      <c r="C1180" s="172">
        <f ca="1">IF(OFFSET('IWP18'!Std4BudgetInfo, 0, 4, 1, 1)=DATE(1900,1,0), DATE(1900,1,1), OFFSET('IWP18'!Std4BudgetInfo, 0, 4, 1, 1))</f>
        <v>1</v>
      </c>
      <c r="D1180" s="172">
        <f ca="1">IF(OFFSET('IWP18'!Std4BudgetInfo, 0, 5, 1, 1)=DATE(1900,1,0), DATE(1900,1,1), OFFSET('IWP18'!Std4BudgetInfo, 0, 5, 1, 1))</f>
        <v>1</v>
      </c>
      <c r="E1180" s="172">
        <f ca="1">IF(OFFSET('IWP18'!Std4BudgetInfo, 2, 4, 1, 1)=DATE(1900,1,0), DATE(1900,1,1), OFFSET('IWP18'!Std4BudgetInfo, 2, 4, 1, 1))</f>
        <v>1</v>
      </c>
      <c r="F1180" s="195" t="str">
        <f ca="1">IF(OFFSET('IWP18'!Std4BudgetInfo, 3, 4, 1, 1) = 0, "", OFFSET('IWP18'!Std4BudgetInfo, 3, 4, 1, 1))</f>
        <v/>
      </c>
      <c r="G1180" s="195" t="str">
        <f ca="1">IF(OFFSET('IWP18'!Std4BudgetInfo, 4, 4, 1, 1) = 0, "", OFFSET('IWP18'!Std4BudgetInfo, 4, 4, 1, 1))</f>
        <v/>
      </c>
      <c r="H1180" s="195" t="str">
        <f ca="1">IF(OFFSET('IWP18'!Std4BudgetInfo, 5, 4, 1, 1) = 0, "", OFFSET('IWP18'!Std4BudgetInfo, 5, 4, 1, 1))</f>
        <v/>
      </c>
      <c r="I1180" s="195" t="str">
        <f ca="1">IF(OFFSET('IWP18'!Std4BudgetInfo, 6, 4, 1, 1) = 0, "", OFFSET('IWP18'!Std4BudgetInfo, 6, 4, 1, 1))</f>
        <v/>
      </c>
      <c r="J1180" s="195" t="str">
        <f ca="1">IF(OFFSET('IWP18'!Std4BudgetInfo, 7, 4, 1, 1) = 0, "", OFFSET('IWP18'!Std4BudgetInfo, 7, 4, 1, 1))</f>
        <v/>
      </c>
      <c r="K1180" s="195" t="str">
        <f ca="1">IF(OFFSET('IWP18'!Std4BudgetInfo, 8, 4, 1, 1) = 0, "", OFFSET('IWP18'!Std4BudgetInfo, 8, 4, 1, 1))</f>
        <v/>
      </c>
      <c r="L1180" s="195" t="str">
        <f ca="1">IF(OFFSET('IWP18'!Std4BudgetInfo, 9, 4, 1, 1) = 0, "", OFFSET('IWP18'!Std4BudgetInfo, 9, 4, 1, 1))</f>
        <v/>
      </c>
      <c r="M1180" s="194" t="str">
        <f ca="1">IF(OFFSET('IWP18'!Std4BudgetInfo, 10, 4, 1, 1) = 0, "", OFFSET('IWP18'!Std4BudgetInfo, 10, 4, 1, 1))</f>
        <v/>
      </c>
    </row>
    <row r="1181" spans="1:13" s="146" customFormat="1">
      <c r="A1181" s="183" t="s">
        <v>516</v>
      </c>
      <c r="B1181" s="196">
        <v>4</v>
      </c>
      <c r="C1181" s="172">
        <f ca="1">IF(OFFSET('IWP18'!Std4BudgetInfo, 0, 6, 1, 1)=DATE(1900,1,0), DATE(1900,1,1), OFFSET('IWP18'!Std4BudgetInfo, 0, 6, 1, 1))</f>
        <v>1</v>
      </c>
      <c r="D1181" s="172">
        <f ca="1">IF(OFFSET('IWP18'!Std4BudgetInfo, 0, 7, 1, 1)=DATE(1900,1,0), DATE(1900,1,1), OFFSET('IWP18'!Std4BudgetInfo, 0, 7, 1, 1))</f>
        <v>1</v>
      </c>
      <c r="E1181" s="172">
        <f ca="1">IF(OFFSET('IWP18'!Std4BudgetInfo, 2, 6, 1, 1)=DATE(1900,1,0), DATE(1900,1,1), OFFSET('IWP18'!Std4BudgetInfo, 2, 6, 1, 1))</f>
        <v>1</v>
      </c>
      <c r="F1181" s="195" t="str">
        <f ca="1">IF(OFFSET('IWP18'!Std4BudgetInfo, 3, 6, 1, 1) = 0, "", OFFSET('IWP18'!Std4BudgetInfo, 3, 6, 1, 1))</f>
        <v/>
      </c>
      <c r="G1181" s="195" t="str">
        <f ca="1">IF(OFFSET('IWP18'!Std4BudgetInfo, 4, 6, 1, 1) = 0, "", OFFSET('IWP18'!Std4BudgetInfo, 4, 6, 1, 1))</f>
        <v/>
      </c>
      <c r="H1181" s="195" t="str">
        <f ca="1">IF(OFFSET('IWP18'!Std4BudgetInfo, 5, 6, 1, 1) = 0, "", OFFSET('IWP18'!Std4BudgetInfo, 5, 6, 1, 1))</f>
        <v/>
      </c>
      <c r="I1181" s="195" t="str">
        <f ca="1">IF(OFFSET('IWP18'!Std4BudgetInfo, 6, 6, 1, 1) = 0, "", OFFSET('IWP18'!Std4BudgetInfo, 6, 6, 1, 1))</f>
        <v/>
      </c>
      <c r="J1181" s="195" t="str">
        <f ca="1">IF(OFFSET('IWP18'!Std4BudgetInfo, 7, 6, 1, 1) = 0, "", OFFSET('IWP18'!Std4BudgetInfo, 7, 6, 1, 1))</f>
        <v/>
      </c>
      <c r="K1181" s="195" t="str">
        <f ca="1">IF(OFFSET('IWP18'!Std4BudgetInfo, 8, 6, 1, 1) = 0, "", OFFSET('IWP18'!Std4BudgetInfo, 8, 6, 1, 1))</f>
        <v/>
      </c>
      <c r="L1181" s="195" t="str">
        <f ca="1">IF(OFFSET('IWP18'!Std4BudgetInfo, 9, 6, 1, 1) = 0, "", OFFSET('IWP18'!Std4BudgetInfo, 9, 6, 1, 1))</f>
        <v/>
      </c>
      <c r="M1181" s="194" t="str">
        <f ca="1">IF(OFFSET('IWP18'!Std4BudgetInfo, 10, 6, 1, 1) = 0, "", OFFSET('IWP18'!Std4BudgetInfo, 10, 6, 1, 1))</f>
        <v/>
      </c>
    </row>
    <row r="1182" spans="1:13" s="146" customFormat="1">
      <c r="A1182" s="183" t="s">
        <v>517</v>
      </c>
      <c r="B1182" s="196">
        <v>1</v>
      </c>
      <c r="C1182" s="172">
        <f ca="1">IF(OFFSET('IWP19'!Std4BudgetInfo, 0, 0, 1, 1)=DATE(1900,1,0), DATE(1900,1,1), OFFSET('IWP19'!Std4BudgetInfo, 0, 0, 1, 1))</f>
        <v>1</v>
      </c>
      <c r="D1182" s="172">
        <f ca="1">IF(OFFSET('IWP19'!Std4BudgetInfo, 0, 1, 1, 1)=DATE(1900,1,0), DATE(1900,1,1), OFFSET('IWP19'!Std4BudgetInfo, 0, 1, 1, 1))</f>
        <v>1</v>
      </c>
      <c r="E1182" s="172">
        <f ca="1">IF(OFFSET('IWP19'!Std4BudgetInfo, 2, 0, 1, 1)=DATE(1900,1,0), DATE(1900,1,1), OFFSET('IWP19'!Std4BudgetInfo, 2, 0, 1, 1))</f>
        <v>1</v>
      </c>
      <c r="F1182" s="195" t="str">
        <f ca="1">IF(OFFSET('IWP19'!Std4BudgetInfo, 3, 0, 1, 1) = 0, "", OFFSET('IWP19'!Std4BudgetInfo, 3, 0, 1, 1))</f>
        <v/>
      </c>
      <c r="G1182" s="195" t="str">
        <f ca="1">IF(OFFSET('IWP19'!Std4BudgetInfo, 4, 0, 1, 1) = 0, "", OFFSET('IWP19'!Std4BudgetInfo, 4, 0, 1, 1))</f>
        <v/>
      </c>
      <c r="H1182" s="195" t="str">
        <f ca="1">IF(OFFSET('IWP19'!Std4BudgetInfo, 5, 0, 1, 1) = 0, "", OFFSET('IWP19'!Std4BudgetInfo, 5, 0, 1, 1))</f>
        <v/>
      </c>
      <c r="I1182" s="195" t="str">
        <f ca="1">IF(OFFSET('IWP19'!Std4BudgetInfo, 6, 0, 1, 1) = 0, "", OFFSET('IWP19'!Std4BudgetInfo, 6, 0, 1, 1))</f>
        <v/>
      </c>
      <c r="J1182" s="195" t="str">
        <f ca="1">IF(OFFSET('IWP19'!Std4BudgetInfo, 7, 0, 1, 1) = 0, "", OFFSET('IWP19'!Std4BudgetInfo, 7, 0, 1, 1))</f>
        <v/>
      </c>
      <c r="K1182" s="195" t="str">
        <f ca="1">IF(OFFSET('IWP19'!Std4BudgetInfo, 8, 0, 1, 1) = 0, "", OFFSET('IWP19'!Std4BudgetInfo, 8, 0, 1, 1))</f>
        <v/>
      </c>
      <c r="L1182" s="195" t="str">
        <f ca="1">IF(OFFSET('IWP19'!Std4BudgetInfo, 9, 0, 1, 1) = 0, "", OFFSET('IWP19'!Std4BudgetInfo, 9, 0, 1, 1))</f>
        <v/>
      </c>
      <c r="M1182" s="194" t="str">
        <f ca="1">IF(OFFSET('IWP19'!Std4BudgetInfo, 10, 0, 1, 1) = 0, "", OFFSET('IWP19'!Std4BudgetInfo, 10, 0, 1, 1))</f>
        <v/>
      </c>
    </row>
    <row r="1183" spans="1:13" s="146" customFormat="1">
      <c r="A1183" s="183" t="s">
        <v>517</v>
      </c>
      <c r="B1183" s="196">
        <v>2</v>
      </c>
      <c r="C1183" s="172">
        <f ca="1">IF(OFFSET('IWP19'!Std4BudgetInfo, 0, 2, 1, 1)=DATE(1900,1,0), DATE(1900,1,1), OFFSET('IWP19'!Std4BudgetInfo, 0, 2, 1, 1))</f>
        <v>1</v>
      </c>
      <c r="D1183" s="172">
        <f ca="1">IF(OFFSET('IWP19'!Std4BudgetInfo, 0, 3, 1, 1)=DATE(1900,1,0), DATE(1900,1,1), OFFSET('IWP19'!Std4BudgetInfo, 0, 3, 1, 1))</f>
        <v>1</v>
      </c>
      <c r="E1183" s="172">
        <f ca="1">IF(OFFSET('IWP19'!Std4BudgetInfo, 2, 2, 1, 1)=DATE(1900,1,0), DATE(1900,1,1), OFFSET('IWP19'!Std4BudgetInfo, 2, 2, 1, 1))</f>
        <v>1</v>
      </c>
      <c r="F1183" s="195" t="str">
        <f ca="1">IF(OFFSET('IWP19'!Std4BudgetInfo, 3, 2, 1, 1) = 0, "", OFFSET('IWP19'!Std4BudgetInfo, 3, 2, 1, 1))</f>
        <v/>
      </c>
      <c r="G1183" s="195" t="str">
        <f ca="1">IF(OFFSET('IWP19'!Std4BudgetInfo, 4, 2, 1, 1) = 0, "", OFFSET('IWP19'!Std4BudgetInfo, 4, 2, 1, 1))</f>
        <v/>
      </c>
      <c r="H1183" s="195" t="str">
        <f ca="1">IF(OFFSET('IWP19'!Std4BudgetInfo, 5, 2, 1, 1) = 0, "", OFFSET('IWP19'!Std4BudgetInfo, 5, 2, 1, 1))</f>
        <v/>
      </c>
      <c r="I1183" s="195" t="str">
        <f ca="1">IF(OFFSET('IWP19'!Std4BudgetInfo, 6, 2, 1, 1) = 0, "", OFFSET('IWP19'!Std4BudgetInfo, 6, 2, 1, 1))</f>
        <v/>
      </c>
      <c r="J1183" s="195" t="str">
        <f ca="1">IF(OFFSET('IWP19'!Std4BudgetInfo, 7, 2, 1, 1) = 0, "", OFFSET('IWP19'!Std4BudgetInfo, 7, 2, 1, 1))</f>
        <v/>
      </c>
      <c r="K1183" s="195" t="str">
        <f ca="1">IF(OFFSET('IWP19'!Std4BudgetInfo, 8, 2, 1, 1) = 0, "", OFFSET('IWP19'!Std4BudgetInfo, 8, 2, 1, 1))</f>
        <v/>
      </c>
      <c r="L1183" s="195" t="str">
        <f ca="1">IF(OFFSET('IWP19'!Std4BudgetInfo, 9, 2, 1, 1) = 0, "", OFFSET('IWP19'!Std4BudgetInfo, 9, 2, 1, 1))</f>
        <v/>
      </c>
      <c r="M1183" s="194" t="str">
        <f ca="1">IF(OFFSET('IWP19'!Std4BudgetInfo, 10, 2, 1, 1) = 0, "", OFFSET('IWP19'!Std4BudgetInfo, 10, 2, 1, 1))</f>
        <v/>
      </c>
    </row>
    <row r="1184" spans="1:13" s="146" customFormat="1">
      <c r="A1184" s="183" t="s">
        <v>517</v>
      </c>
      <c r="B1184" s="196">
        <v>3</v>
      </c>
      <c r="C1184" s="172">
        <f ca="1">IF(OFFSET('IWP19'!Std4BudgetInfo, 0, 4, 1, 1)=DATE(1900,1,0), DATE(1900,1,1), OFFSET('IWP19'!Std4BudgetInfo, 0, 4, 1, 1))</f>
        <v>1</v>
      </c>
      <c r="D1184" s="172">
        <f ca="1">IF(OFFSET('IWP19'!Std4BudgetInfo, 0, 5, 1, 1)=DATE(1900,1,0), DATE(1900,1,1), OFFSET('IWP19'!Std4BudgetInfo, 0, 5, 1, 1))</f>
        <v>1</v>
      </c>
      <c r="E1184" s="172">
        <f ca="1">IF(OFFSET('IWP19'!Std4BudgetInfo, 2, 4, 1, 1)=DATE(1900,1,0), DATE(1900,1,1), OFFSET('IWP19'!Std4BudgetInfo, 2, 4, 1, 1))</f>
        <v>1</v>
      </c>
      <c r="F1184" s="195" t="str">
        <f ca="1">IF(OFFSET('IWP19'!Std4BudgetInfo, 3, 4, 1, 1) = 0, "", OFFSET('IWP19'!Std4BudgetInfo, 3, 4, 1, 1))</f>
        <v/>
      </c>
      <c r="G1184" s="195" t="str">
        <f ca="1">IF(OFFSET('IWP19'!Std4BudgetInfo, 4, 4, 1, 1) = 0, "", OFFSET('IWP19'!Std4BudgetInfo, 4, 4, 1, 1))</f>
        <v/>
      </c>
      <c r="H1184" s="195" t="str">
        <f ca="1">IF(OFFSET('IWP19'!Std4BudgetInfo, 5, 4, 1, 1) = 0, "", OFFSET('IWP19'!Std4BudgetInfo, 5, 4, 1, 1))</f>
        <v/>
      </c>
      <c r="I1184" s="195" t="str">
        <f ca="1">IF(OFFSET('IWP19'!Std4BudgetInfo, 6, 4, 1, 1) = 0, "", OFFSET('IWP19'!Std4BudgetInfo, 6, 4, 1, 1))</f>
        <v/>
      </c>
      <c r="J1184" s="195" t="str">
        <f ca="1">IF(OFFSET('IWP19'!Std4BudgetInfo, 7, 4, 1, 1) = 0, "", OFFSET('IWP19'!Std4BudgetInfo, 7, 4, 1, 1))</f>
        <v/>
      </c>
      <c r="K1184" s="195" t="str">
        <f ca="1">IF(OFFSET('IWP19'!Std4BudgetInfo, 8, 4, 1, 1) = 0, "", OFFSET('IWP19'!Std4BudgetInfo, 8, 4, 1, 1))</f>
        <v/>
      </c>
      <c r="L1184" s="195" t="str">
        <f ca="1">IF(OFFSET('IWP19'!Std4BudgetInfo, 9, 4, 1, 1) = 0, "", OFFSET('IWP19'!Std4BudgetInfo, 9, 4, 1, 1))</f>
        <v/>
      </c>
      <c r="M1184" s="194" t="str">
        <f ca="1">IF(OFFSET('IWP19'!Std4BudgetInfo, 10, 4, 1, 1) = 0, "", OFFSET('IWP19'!Std4BudgetInfo, 10, 4, 1, 1))</f>
        <v/>
      </c>
    </row>
    <row r="1185" spans="1:13" s="146" customFormat="1">
      <c r="A1185" s="183" t="s">
        <v>517</v>
      </c>
      <c r="B1185" s="196">
        <v>4</v>
      </c>
      <c r="C1185" s="172">
        <f ca="1">IF(OFFSET('IWP19'!Std4BudgetInfo, 0, 6, 1, 1)=DATE(1900,1,0), DATE(1900,1,1), OFFSET('IWP19'!Std4BudgetInfo, 0, 6, 1, 1))</f>
        <v>1</v>
      </c>
      <c r="D1185" s="172">
        <f ca="1">IF(OFFSET('IWP19'!Std4BudgetInfo, 0, 7, 1, 1)=DATE(1900,1,0), DATE(1900,1,1), OFFSET('IWP19'!Std4BudgetInfo, 0, 7, 1, 1))</f>
        <v>1</v>
      </c>
      <c r="E1185" s="172">
        <f ca="1">IF(OFFSET('IWP19'!Std4BudgetInfo, 2, 6, 1, 1)=DATE(1900,1,0), DATE(1900,1,1), OFFSET('IWP19'!Std4BudgetInfo, 2, 6, 1, 1))</f>
        <v>1</v>
      </c>
      <c r="F1185" s="195" t="str">
        <f ca="1">IF(OFFSET('IWP19'!Std4BudgetInfo, 3, 6, 1, 1) = 0, "", OFFSET('IWP19'!Std4BudgetInfo, 3, 6, 1, 1))</f>
        <v/>
      </c>
      <c r="G1185" s="195" t="str">
        <f ca="1">IF(OFFSET('IWP19'!Std4BudgetInfo, 4, 6, 1, 1) = 0, "", OFFSET('IWP19'!Std4BudgetInfo, 4, 6, 1, 1))</f>
        <v/>
      </c>
      <c r="H1185" s="195" t="str">
        <f ca="1">IF(OFFSET('IWP19'!Std4BudgetInfo, 5, 6, 1, 1) = 0, "", OFFSET('IWP19'!Std4BudgetInfo, 5, 6, 1, 1))</f>
        <v/>
      </c>
      <c r="I1185" s="195" t="str">
        <f ca="1">IF(OFFSET('IWP19'!Std4BudgetInfo, 6, 6, 1, 1) = 0, "", OFFSET('IWP19'!Std4BudgetInfo, 6, 6, 1, 1))</f>
        <v/>
      </c>
      <c r="J1185" s="195" t="str">
        <f ca="1">IF(OFFSET('IWP19'!Std4BudgetInfo, 7, 6, 1, 1) = 0, "", OFFSET('IWP19'!Std4BudgetInfo, 7, 6, 1, 1))</f>
        <v/>
      </c>
      <c r="K1185" s="195" t="str">
        <f ca="1">IF(OFFSET('IWP19'!Std4BudgetInfo, 8, 6, 1, 1) = 0, "", OFFSET('IWP19'!Std4BudgetInfo, 8, 6, 1, 1))</f>
        <v/>
      </c>
      <c r="L1185" s="195" t="str">
        <f ca="1">IF(OFFSET('IWP19'!Std4BudgetInfo, 9, 6, 1, 1) = 0, "", OFFSET('IWP19'!Std4BudgetInfo, 9, 6, 1, 1))</f>
        <v/>
      </c>
      <c r="M1185" s="194" t="str">
        <f ca="1">IF(OFFSET('IWP19'!Std4BudgetInfo, 10, 6, 1, 1) = 0, "", OFFSET('IWP19'!Std4BudgetInfo, 10, 6, 1, 1))</f>
        <v/>
      </c>
    </row>
    <row r="1186" spans="1:13" s="146" customFormat="1">
      <c r="A1186" s="183" t="s">
        <v>518</v>
      </c>
      <c r="B1186" s="196">
        <v>1</v>
      </c>
      <c r="C1186" s="172">
        <f ca="1">IF(OFFSET('IWP20'!Std4BudgetInfo, 0, 0, 1, 1)=DATE(1900,1,0), DATE(1900,1,1), OFFSET('IWP20'!Std4BudgetInfo, 0, 0, 1, 1))</f>
        <v>1</v>
      </c>
      <c r="D1186" s="172">
        <f ca="1">IF(OFFSET('IWP20'!Std4BudgetInfo, 0, 1, 1, 1)=DATE(1900,1,0), DATE(1900,1,1), OFFSET('IWP20'!Std4BudgetInfo, 0, 1, 1, 1))</f>
        <v>1</v>
      </c>
      <c r="E1186" s="172">
        <f ca="1">IF(OFFSET('IWP20'!Std4BudgetInfo, 2, 0, 1, 1)=DATE(1900,1,0), DATE(1900,1,1), OFFSET('IWP20'!Std4BudgetInfo, 2, 0, 1, 1))</f>
        <v>1</v>
      </c>
      <c r="F1186" s="195" t="str">
        <f ca="1">IF(OFFSET('IWP20'!Std4BudgetInfo, 3, 0, 1, 1) = 0, "", OFFSET('IWP20'!Std4BudgetInfo, 3, 0, 1, 1))</f>
        <v/>
      </c>
      <c r="G1186" s="195" t="str">
        <f ca="1">IF(OFFSET('IWP20'!Std4BudgetInfo, 4, 0, 1, 1) = 0, "", OFFSET('IWP20'!Std4BudgetInfo, 4, 0, 1, 1))</f>
        <v/>
      </c>
      <c r="H1186" s="195" t="str">
        <f ca="1">IF(OFFSET('IWP20'!Std4BudgetInfo, 5, 0, 1, 1) = 0, "", OFFSET('IWP20'!Std4BudgetInfo, 5, 0, 1, 1))</f>
        <v/>
      </c>
      <c r="I1186" s="195" t="str">
        <f ca="1">IF(OFFSET('IWP20'!Std4BudgetInfo, 6, 0, 1, 1) = 0, "", OFFSET('IWP20'!Std4BudgetInfo, 6, 0, 1, 1))</f>
        <v/>
      </c>
      <c r="J1186" s="195" t="str">
        <f ca="1">IF(OFFSET('IWP20'!Std4BudgetInfo, 7, 0, 1, 1) = 0, "", OFFSET('IWP20'!Std4BudgetInfo, 7, 0, 1, 1))</f>
        <v/>
      </c>
      <c r="K1186" s="195" t="str">
        <f ca="1">IF(OFFSET('IWP20'!Std4BudgetInfo, 8, 0, 1, 1) = 0, "", OFFSET('IWP20'!Std4BudgetInfo, 8, 0, 1, 1))</f>
        <v/>
      </c>
      <c r="L1186" s="195" t="str">
        <f ca="1">IF(OFFSET('IWP20'!Std4BudgetInfo, 9, 0, 1, 1) = 0, "", OFFSET('IWP20'!Std4BudgetInfo, 9, 0, 1, 1))</f>
        <v/>
      </c>
      <c r="M1186" s="194" t="str">
        <f ca="1">IF(OFFSET('IWP20'!Std4BudgetInfo, 10, 0, 1, 1) = 0, "", OFFSET('IWP20'!Std4BudgetInfo, 10, 0, 1, 1))</f>
        <v/>
      </c>
    </row>
    <row r="1187" spans="1:13" s="146" customFormat="1">
      <c r="A1187" s="183" t="s">
        <v>518</v>
      </c>
      <c r="B1187" s="196">
        <v>2</v>
      </c>
      <c r="C1187" s="172">
        <f ca="1">IF(OFFSET('IWP20'!Std4BudgetInfo, 0, 2, 1, 1)=DATE(1900,1,0), DATE(1900,1,1), OFFSET('IWP20'!Std4BudgetInfo, 0, 2, 1, 1))</f>
        <v>1</v>
      </c>
      <c r="D1187" s="172">
        <f ca="1">IF(OFFSET('IWP20'!Std4BudgetInfo, 0, 3, 1, 1)=DATE(1900,1,0), DATE(1900,1,1), OFFSET('IWP20'!Std4BudgetInfo, 0, 3, 1, 1))</f>
        <v>1</v>
      </c>
      <c r="E1187" s="172">
        <f ca="1">IF(OFFSET('IWP20'!Std4BudgetInfo, 2, 2, 1, 1)=DATE(1900,1,0), DATE(1900,1,1), OFFSET('IWP20'!Std4BudgetInfo, 2, 2, 1, 1))</f>
        <v>1</v>
      </c>
      <c r="F1187" s="195" t="str">
        <f ca="1">IF(OFFSET('IWP20'!Std4BudgetInfo, 3, 2, 1, 1) = 0, "", OFFSET('IWP20'!Std4BudgetInfo, 3, 2, 1, 1))</f>
        <v/>
      </c>
      <c r="G1187" s="195" t="str">
        <f ca="1">IF(OFFSET('IWP20'!Std4BudgetInfo, 4, 2, 1, 1) = 0, "", OFFSET('IWP20'!Std4BudgetInfo, 4, 2, 1, 1))</f>
        <v/>
      </c>
      <c r="H1187" s="195" t="str">
        <f ca="1">IF(OFFSET('IWP20'!Std4BudgetInfo, 5, 2, 1, 1) = 0, "", OFFSET('IWP20'!Std4BudgetInfo, 5, 2, 1, 1))</f>
        <v/>
      </c>
      <c r="I1187" s="195" t="str">
        <f ca="1">IF(OFFSET('IWP20'!Std4BudgetInfo, 6, 2, 1, 1) = 0, "", OFFSET('IWP20'!Std4BudgetInfo, 6, 2, 1, 1))</f>
        <v/>
      </c>
      <c r="J1187" s="195" t="str">
        <f ca="1">IF(OFFSET('IWP20'!Std4BudgetInfo, 7, 2, 1, 1) = 0, "", OFFSET('IWP20'!Std4BudgetInfo, 7, 2, 1, 1))</f>
        <v/>
      </c>
      <c r="K1187" s="195" t="str">
        <f ca="1">IF(OFFSET('IWP20'!Std4BudgetInfo, 8, 2, 1, 1) = 0, "", OFFSET('IWP20'!Std4BudgetInfo, 8, 2, 1, 1))</f>
        <v/>
      </c>
      <c r="L1187" s="195" t="str">
        <f ca="1">IF(OFFSET('IWP20'!Std4BudgetInfo, 9, 2, 1, 1) = 0, "", OFFSET('IWP20'!Std4BudgetInfo, 9, 2, 1, 1))</f>
        <v/>
      </c>
      <c r="M1187" s="194" t="str">
        <f ca="1">IF(OFFSET('IWP20'!Std4BudgetInfo, 10, 2, 1, 1) = 0, "", OFFSET('IWP20'!Std4BudgetInfo, 10, 2, 1, 1))</f>
        <v/>
      </c>
    </row>
    <row r="1188" spans="1:13" s="146" customFormat="1">
      <c r="A1188" s="183" t="s">
        <v>518</v>
      </c>
      <c r="B1188" s="196">
        <v>3</v>
      </c>
      <c r="C1188" s="172">
        <f ca="1">IF(OFFSET('IWP20'!Std4BudgetInfo, 0, 4, 1, 1)=DATE(1900,1,0), DATE(1900,1,1), OFFSET('IWP20'!Std4BudgetInfo, 0, 4, 1, 1))</f>
        <v>1</v>
      </c>
      <c r="D1188" s="172">
        <f ca="1">IF(OFFSET('IWP20'!Std4BudgetInfo, 0, 5, 1, 1)=DATE(1900,1,0), DATE(1900,1,1), OFFSET('IWP20'!Std4BudgetInfo, 0, 5, 1, 1))</f>
        <v>1</v>
      </c>
      <c r="E1188" s="172">
        <f ca="1">IF(OFFSET('IWP20'!Std4BudgetInfo, 2, 4, 1, 1)=DATE(1900,1,0), DATE(1900,1,1), OFFSET('IWP20'!Std4BudgetInfo, 2, 4, 1, 1))</f>
        <v>1</v>
      </c>
      <c r="F1188" s="195" t="str">
        <f ca="1">IF(OFFSET('IWP20'!Std4BudgetInfo, 3, 4, 1, 1) = 0, "", OFFSET('IWP20'!Std4BudgetInfo, 3, 4, 1, 1))</f>
        <v/>
      </c>
      <c r="G1188" s="195" t="str">
        <f ca="1">IF(OFFSET('IWP20'!Std4BudgetInfo, 4, 4, 1, 1) = 0, "", OFFSET('IWP20'!Std4BudgetInfo, 4, 4, 1, 1))</f>
        <v/>
      </c>
      <c r="H1188" s="195" t="str">
        <f ca="1">IF(OFFSET('IWP20'!Std4BudgetInfo, 5, 4, 1, 1) = 0, "", OFFSET('IWP20'!Std4BudgetInfo, 5, 4, 1, 1))</f>
        <v/>
      </c>
      <c r="I1188" s="195" t="str">
        <f ca="1">IF(OFFSET('IWP20'!Std4BudgetInfo, 6, 4, 1, 1) = 0, "", OFFSET('IWP20'!Std4BudgetInfo, 6, 4, 1, 1))</f>
        <v/>
      </c>
      <c r="J1188" s="195" t="str">
        <f ca="1">IF(OFFSET('IWP20'!Std4BudgetInfo, 7, 4, 1, 1) = 0, "", OFFSET('IWP20'!Std4BudgetInfo, 7, 4, 1, 1))</f>
        <v/>
      </c>
      <c r="K1188" s="195" t="str">
        <f ca="1">IF(OFFSET('IWP20'!Std4BudgetInfo, 8, 4, 1, 1) = 0, "", OFFSET('IWP20'!Std4BudgetInfo, 8, 4, 1, 1))</f>
        <v/>
      </c>
      <c r="L1188" s="195" t="str">
        <f ca="1">IF(OFFSET('IWP20'!Std4BudgetInfo, 9, 4, 1, 1) = 0, "", OFFSET('IWP20'!Std4BudgetInfo, 9, 4, 1, 1))</f>
        <v/>
      </c>
      <c r="M1188" s="194" t="str">
        <f ca="1">IF(OFFSET('IWP20'!Std4BudgetInfo, 10, 4, 1, 1) = 0, "", OFFSET('IWP20'!Std4BudgetInfo, 10, 4, 1, 1))</f>
        <v/>
      </c>
    </row>
    <row r="1189" spans="1:13" s="146" customFormat="1">
      <c r="A1189" s="183" t="s">
        <v>518</v>
      </c>
      <c r="B1189" s="196">
        <v>4</v>
      </c>
      <c r="C1189" s="172">
        <f ca="1">IF(OFFSET('IWP20'!Std4BudgetInfo, 0, 6, 1, 1)=DATE(1900,1,0), DATE(1900,1,1), OFFSET('IWP20'!Std4BudgetInfo, 0, 6, 1, 1))</f>
        <v>1</v>
      </c>
      <c r="D1189" s="172">
        <f ca="1">IF(OFFSET('IWP20'!Std4BudgetInfo, 0, 7, 1, 1)=DATE(1900,1,0), DATE(1900,1,1), OFFSET('IWP20'!Std4BudgetInfo, 0, 7, 1, 1))</f>
        <v>1</v>
      </c>
      <c r="E1189" s="172">
        <f ca="1">IF(OFFSET('IWP20'!Std4BudgetInfo, 2, 6, 1, 1)=DATE(1900,1,0), DATE(1900,1,1), OFFSET('IWP20'!Std4BudgetInfo, 2, 6, 1, 1))</f>
        <v>1</v>
      </c>
      <c r="F1189" s="195" t="str">
        <f ca="1">IF(OFFSET('IWP20'!Std4BudgetInfo, 3, 6, 1, 1) = 0, "", OFFSET('IWP20'!Std4BudgetInfo, 3, 6, 1, 1))</f>
        <v/>
      </c>
      <c r="G1189" s="195" t="str">
        <f ca="1">IF(OFFSET('IWP20'!Std4BudgetInfo, 4, 6, 1, 1) = 0, "", OFFSET('IWP20'!Std4BudgetInfo, 4, 6, 1, 1))</f>
        <v/>
      </c>
      <c r="H1189" s="195" t="str">
        <f ca="1">IF(OFFSET('IWP20'!Std4BudgetInfo, 5, 6, 1, 1) = 0, "", OFFSET('IWP20'!Std4BudgetInfo, 5, 6, 1, 1))</f>
        <v/>
      </c>
      <c r="I1189" s="195" t="str">
        <f ca="1">IF(OFFSET('IWP20'!Std4BudgetInfo, 6, 6, 1, 1) = 0, "", OFFSET('IWP20'!Std4BudgetInfo, 6, 6, 1, 1))</f>
        <v/>
      </c>
      <c r="J1189" s="195" t="str">
        <f ca="1">IF(OFFSET('IWP20'!Std4BudgetInfo, 7, 6, 1, 1) = 0, "", OFFSET('IWP20'!Std4BudgetInfo, 7, 6, 1, 1))</f>
        <v/>
      </c>
      <c r="K1189" s="195" t="str">
        <f ca="1">IF(OFFSET('IWP20'!Std4BudgetInfo, 8, 6, 1, 1) = 0, "", OFFSET('IWP20'!Std4BudgetInfo, 8, 6, 1, 1))</f>
        <v/>
      </c>
      <c r="L1189" s="195" t="str">
        <f ca="1">IF(OFFSET('IWP20'!Std4BudgetInfo, 9, 6, 1, 1) = 0, "", OFFSET('IWP20'!Std4BudgetInfo, 9, 6, 1, 1))</f>
        <v/>
      </c>
      <c r="M1189" s="194" t="str">
        <f ca="1">IF(OFFSET('IWP20'!Std4BudgetInfo, 10, 6, 1, 1) = 0, "", OFFSET('IWP20'!Std4BudgetInfo, 10, 6, 1, 1))</f>
        <v/>
      </c>
    </row>
    <row r="1190" spans="1:13" s="146" customFormat="1">
      <c r="A1190" s="183" t="s">
        <v>519</v>
      </c>
      <c r="B1190" s="196">
        <v>1</v>
      </c>
      <c r="C1190" s="172">
        <f ca="1">IF(OFFSET('IWP21'!Std4BudgetInfo, 0, 0, 1, 1)=DATE(1900,1,0), DATE(1900,1,1), OFFSET('IWP21'!Std4BudgetInfo, 0, 0, 1, 1))</f>
        <v>1</v>
      </c>
      <c r="D1190" s="172">
        <f ca="1">IF(OFFSET('IWP21'!Std4BudgetInfo, 0, 1, 1, 1)=DATE(1900,1,0), DATE(1900,1,1), OFFSET('IWP21'!Std4BudgetInfo, 0, 1, 1, 1))</f>
        <v>1</v>
      </c>
      <c r="E1190" s="172">
        <f ca="1">IF(OFFSET('IWP21'!Std4BudgetInfo, 2, 0, 1, 1)=DATE(1900,1,0), DATE(1900,1,1), OFFSET('IWP21'!Std4BudgetInfo, 2, 0, 1, 1))</f>
        <v>1</v>
      </c>
      <c r="F1190" s="195" t="str">
        <f ca="1">IF(OFFSET('IWP21'!Std4BudgetInfo, 3, 0, 1, 1) = 0, "", OFFSET('IWP21'!Std4BudgetInfo, 3, 0, 1, 1))</f>
        <v/>
      </c>
      <c r="G1190" s="195" t="str">
        <f ca="1">IF(OFFSET('IWP21'!Std4BudgetInfo, 4, 0, 1, 1) = 0, "", OFFSET('IWP21'!Std4BudgetInfo, 4, 0, 1, 1))</f>
        <v/>
      </c>
      <c r="H1190" s="195" t="str">
        <f ca="1">IF(OFFSET('IWP21'!Std4BudgetInfo, 5, 0, 1, 1) = 0, "", OFFSET('IWP21'!Std4BudgetInfo, 5, 0, 1, 1))</f>
        <v/>
      </c>
      <c r="I1190" s="195" t="str">
        <f ca="1">IF(OFFSET('IWP21'!Std4BudgetInfo, 6, 0, 1, 1) = 0, "", OFFSET('IWP21'!Std4BudgetInfo, 6, 0, 1, 1))</f>
        <v/>
      </c>
      <c r="J1190" s="195" t="str">
        <f ca="1">IF(OFFSET('IWP21'!Std4BudgetInfo, 7, 0, 1, 1) = 0, "", OFFSET('IWP21'!Std4BudgetInfo, 7, 0, 1, 1))</f>
        <v/>
      </c>
      <c r="K1190" s="195" t="str">
        <f ca="1">IF(OFFSET('IWP21'!Std4BudgetInfo, 8, 0, 1, 1) = 0, "", OFFSET('IWP21'!Std4BudgetInfo, 8, 0, 1, 1))</f>
        <v/>
      </c>
      <c r="L1190" s="195" t="str">
        <f ca="1">IF(OFFSET('IWP21'!Std4BudgetInfo, 9, 0, 1, 1) = 0, "", OFFSET('IWP21'!Std4BudgetInfo, 9, 0, 1, 1))</f>
        <v/>
      </c>
      <c r="M1190" s="194" t="str">
        <f ca="1">IF(OFFSET('IWP21'!Std4BudgetInfo, 10, 0, 1, 1) = 0, "", OFFSET('IWP21'!Std4BudgetInfo, 10, 0, 1, 1))</f>
        <v/>
      </c>
    </row>
    <row r="1191" spans="1:13" s="146" customFormat="1">
      <c r="A1191" s="183" t="s">
        <v>519</v>
      </c>
      <c r="B1191" s="196">
        <v>2</v>
      </c>
      <c r="C1191" s="172">
        <f ca="1">IF(OFFSET('IWP21'!Std4BudgetInfo, 0, 2, 1, 1)=DATE(1900,1,0), DATE(1900,1,1), OFFSET('IWP21'!Std4BudgetInfo, 0, 2, 1, 1))</f>
        <v>1</v>
      </c>
      <c r="D1191" s="172">
        <f ca="1">IF(OFFSET('IWP21'!Std4BudgetInfo, 0, 3, 1, 1)=DATE(1900,1,0), DATE(1900,1,1), OFFSET('IWP21'!Std4BudgetInfo, 0, 3, 1, 1))</f>
        <v>1</v>
      </c>
      <c r="E1191" s="172">
        <f ca="1">IF(OFFSET('IWP21'!Std4BudgetInfo, 2, 2, 1, 1)=DATE(1900,1,0), DATE(1900,1,1), OFFSET('IWP21'!Std4BudgetInfo, 2, 2, 1, 1))</f>
        <v>1</v>
      </c>
      <c r="F1191" s="195" t="str">
        <f ca="1">IF(OFFSET('IWP21'!Std4BudgetInfo, 3, 2, 1, 1) = 0, "", OFFSET('IWP21'!Std4BudgetInfo, 3, 2, 1, 1))</f>
        <v/>
      </c>
      <c r="G1191" s="195" t="str">
        <f ca="1">IF(OFFSET('IWP21'!Std4BudgetInfo, 4, 2, 1, 1) = 0, "", OFFSET('IWP21'!Std4BudgetInfo, 4, 2, 1, 1))</f>
        <v/>
      </c>
      <c r="H1191" s="195" t="str">
        <f ca="1">IF(OFFSET('IWP21'!Std4BudgetInfo, 5, 2, 1, 1) = 0, "", OFFSET('IWP21'!Std4BudgetInfo, 5, 2, 1, 1))</f>
        <v/>
      </c>
      <c r="I1191" s="195" t="str">
        <f ca="1">IF(OFFSET('IWP21'!Std4BudgetInfo, 6, 2, 1, 1) = 0, "", OFFSET('IWP21'!Std4BudgetInfo, 6, 2, 1, 1))</f>
        <v/>
      </c>
      <c r="J1191" s="195" t="str">
        <f ca="1">IF(OFFSET('IWP21'!Std4BudgetInfo, 7, 2, 1, 1) = 0, "", OFFSET('IWP21'!Std4BudgetInfo, 7, 2, 1, 1))</f>
        <v/>
      </c>
      <c r="K1191" s="195" t="str">
        <f ca="1">IF(OFFSET('IWP21'!Std4BudgetInfo, 8, 2, 1, 1) = 0, "", OFFSET('IWP21'!Std4BudgetInfo, 8, 2, 1, 1))</f>
        <v/>
      </c>
      <c r="L1191" s="195" t="str">
        <f ca="1">IF(OFFSET('IWP21'!Std4BudgetInfo, 9, 2, 1, 1) = 0, "", OFFSET('IWP21'!Std4BudgetInfo, 9, 2, 1, 1))</f>
        <v/>
      </c>
      <c r="M1191" s="194" t="str">
        <f ca="1">IF(OFFSET('IWP21'!Std4BudgetInfo, 10, 2, 1, 1) = 0, "", OFFSET('IWP21'!Std4BudgetInfo, 10, 2, 1, 1))</f>
        <v/>
      </c>
    </row>
    <row r="1192" spans="1:13" s="146" customFormat="1">
      <c r="A1192" s="183" t="s">
        <v>519</v>
      </c>
      <c r="B1192" s="196">
        <v>3</v>
      </c>
      <c r="C1192" s="172">
        <f ca="1">IF(OFFSET('IWP21'!Std4BudgetInfo, 0, 4, 1, 1)=DATE(1900,1,0), DATE(1900,1,1), OFFSET('IWP21'!Std4BudgetInfo, 0, 4, 1, 1))</f>
        <v>1</v>
      </c>
      <c r="D1192" s="172">
        <f ca="1">IF(OFFSET('IWP21'!Std4BudgetInfo, 0, 5, 1, 1)=DATE(1900,1,0), DATE(1900,1,1), OFFSET('IWP21'!Std4BudgetInfo, 0, 5, 1, 1))</f>
        <v>1</v>
      </c>
      <c r="E1192" s="172">
        <f ca="1">IF(OFFSET('IWP21'!Std4BudgetInfo, 2, 4, 1, 1)=DATE(1900,1,0), DATE(1900,1,1), OFFSET('IWP21'!Std4BudgetInfo, 2, 4, 1, 1))</f>
        <v>1</v>
      </c>
      <c r="F1192" s="195" t="str">
        <f ca="1">IF(OFFSET('IWP21'!Std4BudgetInfo, 3, 4, 1, 1) = 0, "", OFFSET('IWP21'!Std4BudgetInfo, 3, 4, 1, 1))</f>
        <v/>
      </c>
      <c r="G1192" s="195" t="str">
        <f ca="1">IF(OFFSET('IWP21'!Std4BudgetInfo, 4, 4, 1, 1) = 0, "", OFFSET('IWP21'!Std4BudgetInfo, 4, 4, 1, 1))</f>
        <v/>
      </c>
      <c r="H1192" s="195" t="str">
        <f ca="1">IF(OFFSET('IWP21'!Std4BudgetInfo, 5, 4, 1, 1) = 0, "", OFFSET('IWP21'!Std4BudgetInfo, 5, 4, 1, 1))</f>
        <v/>
      </c>
      <c r="I1192" s="195" t="str">
        <f ca="1">IF(OFFSET('IWP21'!Std4BudgetInfo, 6, 4, 1, 1) = 0, "", OFFSET('IWP21'!Std4BudgetInfo, 6, 4, 1, 1))</f>
        <v/>
      </c>
      <c r="J1192" s="195" t="str">
        <f ca="1">IF(OFFSET('IWP21'!Std4BudgetInfo, 7, 4, 1, 1) = 0, "", OFFSET('IWP21'!Std4BudgetInfo, 7, 4, 1, 1))</f>
        <v/>
      </c>
      <c r="K1192" s="195" t="str">
        <f ca="1">IF(OFFSET('IWP21'!Std4BudgetInfo, 8, 4, 1, 1) = 0, "", OFFSET('IWP21'!Std4BudgetInfo, 8, 4, 1, 1))</f>
        <v/>
      </c>
      <c r="L1192" s="195" t="str">
        <f ca="1">IF(OFFSET('IWP21'!Std4BudgetInfo, 9, 4, 1, 1) = 0, "", OFFSET('IWP21'!Std4BudgetInfo, 9, 4, 1, 1))</f>
        <v/>
      </c>
      <c r="M1192" s="194" t="str">
        <f ca="1">IF(OFFSET('IWP21'!Std4BudgetInfo, 10, 4, 1, 1) = 0, "", OFFSET('IWP21'!Std4BudgetInfo, 10, 4, 1, 1))</f>
        <v/>
      </c>
    </row>
    <row r="1193" spans="1:13" s="146" customFormat="1">
      <c r="A1193" s="183" t="s">
        <v>519</v>
      </c>
      <c r="B1193" s="196">
        <v>4</v>
      </c>
      <c r="C1193" s="172">
        <f ca="1">IF(OFFSET('IWP21'!Std4BudgetInfo, 0, 6, 1, 1)=DATE(1900,1,0), DATE(1900,1,1), OFFSET('IWP21'!Std4BudgetInfo, 0, 6, 1, 1))</f>
        <v>1</v>
      </c>
      <c r="D1193" s="172">
        <f ca="1">IF(OFFSET('IWP21'!Std4BudgetInfo, 0, 7, 1, 1)=DATE(1900,1,0), DATE(1900,1,1), OFFSET('IWP21'!Std4BudgetInfo, 0, 7, 1, 1))</f>
        <v>1</v>
      </c>
      <c r="E1193" s="172">
        <f ca="1">IF(OFFSET('IWP21'!Std4BudgetInfo, 2, 6, 1, 1)=DATE(1900,1,0), DATE(1900,1,1), OFFSET('IWP21'!Std4BudgetInfo, 2, 6, 1, 1))</f>
        <v>1</v>
      </c>
      <c r="F1193" s="195" t="str">
        <f ca="1">IF(OFFSET('IWP21'!Std4BudgetInfo, 3, 6, 1, 1) = 0, "", OFFSET('IWP21'!Std4BudgetInfo, 3, 6, 1, 1))</f>
        <v/>
      </c>
      <c r="G1193" s="195" t="str">
        <f ca="1">IF(OFFSET('IWP21'!Std4BudgetInfo, 4, 6, 1, 1) = 0, "", OFFSET('IWP21'!Std4BudgetInfo, 4, 6, 1, 1))</f>
        <v/>
      </c>
      <c r="H1193" s="195" t="str">
        <f ca="1">IF(OFFSET('IWP21'!Std4BudgetInfo, 5, 6, 1, 1) = 0, "", OFFSET('IWP21'!Std4BudgetInfo, 5, 6, 1, 1))</f>
        <v/>
      </c>
      <c r="I1193" s="195" t="str">
        <f ca="1">IF(OFFSET('IWP21'!Std4BudgetInfo, 6, 6, 1, 1) = 0, "", OFFSET('IWP21'!Std4BudgetInfo, 6, 6, 1, 1))</f>
        <v/>
      </c>
      <c r="J1193" s="195" t="str">
        <f ca="1">IF(OFFSET('IWP21'!Std4BudgetInfo, 7, 6, 1, 1) = 0, "", OFFSET('IWP21'!Std4BudgetInfo, 7, 6, 1, 1))</f>
        <v/>
      </c>
      <c r="K1193" s="195" t="str">
        <f ca="1">IF(OFFSET('IWP21'!Std4BudgetInfo, 8, 6, 1, 1) = 0, "", OFFSET('IWP21'!Std4BudgetInfo, 8, 6, 1, 1))</f>
        <v/>
      </c>
      <c r="L1193" s="195" t="str">
        <f ca="1">IF(OFFSET('IWP21'!Std4BudgetInfo, 9, 6, 1, 1) = 0, "", OFFSET('IWP21'!Std4BudgetInfo, 9, 6, 1, 1))</f>
        <v/>
      </c>
      <c r="M1193" s="194" t="str">
        <f ca="1">IF(OFFSET('IWP21'!Std4BudgetInfo, 10, 6, 1, 1) = 0, "", OFFSET('IWP21'!Std4BudgetInfo, 10, 6, 1, 1))</f>
        <v/>
      </c>
    </row>
    <row r="1194" spans="1:13" s="146" customFormat="1">
      <c r="A1194" s="183" t="s">
        <v>520</v>
      </c>
      <c r="B1194" s="196">
        <v>1</v>
      </c>
      <c r="C1194" s="172">
        <f ca="1">IF(OFFSET('IWP22'!Std4BudgetInfo, 0, 0, 1, 1)=DATE(1900,1,0), DATE(1900,1,1), OFFSET('IWP22'!Std4BudgetInfo, 0, 0, 1, 1))</f>
        <v>1</v>
      </c>
      <c r="D1194" s="172">
        <f ca="1">IF(OFFSET('IWP22'!Std4BudgetInfo, 0, 1, 1, 1)=DATE(1900,1,0), DATE(1900,1,1), OFFSET('IWP22'!Std4BudgetInfo, 0, 1, 1, 1))</f>
        <v>1</v>
      </c>
      <c r="E1194" s="172">
        <f ca="1">IF(OFFSET('IWP22'!Std4BudgetInfo, 2, 0, 1, 1)=DATE(1900,1,0), DATE(1900,1,1), OFFSET('IWP22'!Std4BudgetInfo, 2, 0, 1, 1))</f>
        <v>1</v>
      </c>
      <c r="F1194" s="195" t="str">
        <f ca="1">IF(OFFSET('IWP22'!Std4BudgetInfo, 3, 0, 1, 1) = 0, "", OFFSET('IWP22'!Std4BudgetInfo, 3, 0, 1, 1))</f>
        <v/>
      </c>
      <c r="G1194" s="195" t="str">
        <f ca="1">IF(OFFSET('IWP22'!Std4BudgetInfo, 4, 0, 1, 1) = 0, "", OFFSET('IWP22'!Std4BudgetInfo, 4, 0, 1, 1))</f>
        <v/>
      </c>
      <c r="H1194" s="195" t="str">
        <f ca="1">IF(OFFSET('IWP22'!Std4BudgetInfo, 5, 0, 1, 1) = 0, "", OFFSET('IWP22'!Std4BudgetInfo, 5, 0, 1, 1))</f>
        <v/>
      </c>
      <c r="I1194" s="195" t="str">
        <f ca="1">IF(OFFSET('IWP22'!Std4BudgetInfo, 6, 0, 1, 1) = 0, "", OFFSET('IWP22'!Std4BudgetInfo, 6, 0, 1, 1))</f>
        <v/>
      </c>
      <c r="J1194" s="195" t="str">
        <f ca="1">IF(OFFSET('IWP22'!Std4BudgetInfo, 7, 0, 1, 1) = 0, "", OFFSET('IWP22'!Std4BudgetInfo, 7, 0, 1, 1))</f>
        <v/>
      </c>
      <c r="K1194" s="195" t="str">
        <f ca="1">IF(OFFSET('IWP22'!Std4BudgetInfo, 8, 0, 1, 1) = 0, "", OFFSET('IWP22'!Std4BudgetInfo, 8, 0, 1, 1))</f>
        <v/>
      </c>
      <c r="L1194" s="195" t="str">
        <f ca="1">IF(OFFSET('IWP22'!Std4BudgetInfo, 9, 0, 1, 1) = 0, "", OFFSET('IWP22'!Std4BudgetInfo, 9, 0, 1, 1))</f>
        <v/>
      </c>
      <c r="M1194" s="194" t="str">
        <f ca="1">IF(OFFSET('IWP22'!Std4BudgetInfo, 10, 0, 1, 1) = 0, "", OFFSET('IWP22'!Std4BudgetInfo, 10, 0, 1, 1))</f>
        <v/>
      </c>
    </row>
    <row r="1195" spans="1:13" s="146" customFormat="1">
      <c r="A1195" s="183" t="s">
        <v>520</v>
      </c>
      <c r="B1195" s="196">
        <v>2</v>
      </c>
      <c r="C1195" s="172">
        <f ca="1">IF(OFFSET('IWP22'!Std4BudgetInfo, 0, 2, 1, 1)=DATE(1900,1,0), DATE(1900,1,1), OFFSET('IWP22'!Std4BudgetInfo, 0, 2, 1, 1))</f>
        <v>1</v>
      </c>
      <c r="D1195" s="172">
        <f ca="1">IF(OFFSET('IWP22'!Std4BudgetInfo, 0, 3, 1, 1)=DATE(1900,1,0), DATE(1900,1,1), OFFSET('IWP22'!Std4BudgetInfo, 0, 3, 1, 1))</f>
        <v>1</v>
      </c>
      <c r="E1195" s="172">
        <f ca="1">IF(OFFSET('IWP22'!Std4BudgetInfo, 2, 2, 1, 1)=DATE(1900,1,0), DATE(1900,1,1), OFFSET('IWP22'!Std4BudgetInfo, 2, 2, 1, 1))</f>
        <v>1</v>
      </c>
      <c r="F1195" s="195" t="str">
        <f ca="1">IF(OFFSET('IWP22'!Std4BudgetInfo, 3, 2, 1, 1) = 0, "", OFFSET('IWP22'!Std4BudgetInfo, 3, 2, 1, 1))</f>
        <v/>
      </c>
      <c r="G1195" s="195" t="str">
        <f ca="1">IF(OFFSET('IWP22'!Std4BudgetInfo, 4, 2, 1, 1) = 0, "", OFFSET('IWP22'!Std4BudgetInfo, 4, 2, 1, 1))</f>
        <v/>
      </c>
      <c r="H1195" s="195" t="str">
        <f ca="1">IF(OFFSET('IWP22'!Std4BudgetInfo, 5, 2, 1, 1) = 0, "", OFFSET('IWP22'!Std4BudgetInfo, 5, 2, 1, 1))</f>
        <v/>
      </c>
      <c r="I1195" s="195" t="str">
        <f ca="1">IF(OFFSET('IWP22'!Std4BudgetInfo, 6, 2, 1, 1) = 0, "", OFFSET('IWP22'!Std4BudgetInfo, 6, 2, 1, 1))</f>
        <v/>
      </c>
      <c r="J1195" s="195" t="str">
        <f ca="1">IF(OFFSET('IWP22'!Std4BudgetInfo, 7, 2, 1, 1) = 0, "", OFFSET('IWP22'!Std4BudgetInfo, 7, 2, 1, 1))</f>
        <v/>
      </c>
      <c r="K1195" s="195" t="str">
        <f ca="1">IF(OFFSET('IWP22'!Std4BudgetInfo, 8, 2, 1, 1) = 0, "", OFFSET('IWP22'!Std4BudgetInfo, 8, 2, 1, 1))</f>
        <v/>
      </c>
      <c r="L1195" s="195" t="str">
        <f ca="1">IF(OFFSET('IWP22'!Std4BudgetInfo, 9, 2, 1, 1) = 0, "", OFFSET('IWP22'!Std4BudgetInfo, 9, 2, 1, 1))</f>
        <v/>
      </c>
      <c r="M1195" s="194" t="str">
        <f ca="1">IF(OFFSET('IWP22'!Std4BudgetInfo, 10, 2, 1, 1) = 0, "", OFFSET('IWP22'!Std4BudgetInfo, 10, 2, 1, 1))</f>
        <v/>
      </c>
    </row>
    <row r="1196" spans="1:13" s="146" customFormat="1">
      <c r="A1196" s="183" t="s">
        <v>520</v>
      </c>
      <c r="B1196" s="196">
        <v>3</v>
      </c>
      <c r="C1196" s="172">
        <f ca="1">IF(OFFSET('IWP22'!Std4BudgetInfo, 0, 4, 1, 1)=DATE(1900,1,0), DATE(1900,1,1), OFFSET('IWP22'!Std4BudgetInfo, 0, 4, 1, 1))</f>
        <v>1</v>
      </c>
      <c r="D1196" s="172">
        <f ca="1">IF(OFFSET('IWP22'!Std4BudgetInfo, 0, 5, 1, 1)=DATE(1900,1,0), DATE(1900,1,1), OFFSET('IWP22'!Std4BudgetInfo, 0, 5, 1, 1))</f>
        <v>1</v>
      </c>
      <c r="E1196" s="172">
        <f ca="1">IF(OFFSET('IWP22'!Std4BudgetInfo, 2, 4, 1, 1)=DATE(1900,1,0), DATE(1900,1,1), OFFSET('IWP22'!Std4BudgetInfo, 2, 4, 1, 1))</f>
        <v>1</v>
      </c>
      <c r="F1196" s="195" t="str">
        <f ca="1">IF(OFFSET('IWP22'!Std4BudgetInfo, 3, 4, 1, 1) = 0, "", OFFSET('IWP22'!Std4BudgetInfo, 3, 4, 1, 1))</f>
        <v/>
      </c>
      <c r="G1196" s="195" t="str">
        <f ca="1">IF(OFFSET('IWP22'!Std4BudgetInfo, 4, 4, 1, 1) = 0, "", OFFSET('IWP22'!Std4BudgetInfo, 4, 4, 1, 1))</f>
        <v/>
      </c>
      <c r="H1196" s="195" t="str">
        <f ca="1">IF(OFFSET('IWP22'!Std4BudgetInfo, 5, 4, 1, 1) = 0, "", OFFSET('IWP22'!Std4BudgetInfo, 5, 4, 1, 1))</f>
        <v/>
      </c>
      <c r="I1196" s="195" t="str">
        <f ca="1">IF(OFFSET('IWP22'!Std4BudgetInfo, 6, 4, 1, 1) = 0, "", OFFSET('IWP22'!Std4BudgetInfo, 6, 4, 1, 1))</f>
        <v/>
      </c>
      <c r="J1196" s="195" t="str">
        <f ca="1">IF(OFFSET('IWP22'!Std4BudgetInfo, 7, 4, 1, 1) = 0, "", OFFSET('IWP22'!Std4BudgetInfo, 7, 4, 1, 1))</f>
        <v/>
      </c>
      <c r="K1196" s="195" t="str">
        <f ca="1">IF(OFFSET('IWP22'!Std4BudgetInfo, 8, 4, 1, 1) = 0, "", OFFSET('IWP22'!Std4BudgetInfo, 8, 4, 1, 1))</f>
        <v/>
      </c>
      <c r="L1196" s="195" t="str">
        <f ca="1">IF(OFFSET('IWP22'!Std4BudgetInfo, 9, 4, 1, 1) = 0, "", OFFSET('IWP22'!Std4BudgetInfo, 9, 4, 1, 1))</f>
        <v/>
      </c>
      <c r="M1196" s="194" t="str">
        <f ca="1">IF(OFFSET('IWP22'!Std4BudgetInfo, 10, 4, 1, 1) = 0, "", OFFSET('IWP22'!Std4BudgetInfo, 10, 4, 1, 1))</f>
        <v/>
      </c>
    </row>
    <row r="1197" spans="1:13" s="146" customFormat="1">
      <c r="A1197" s="183" t="s">
        <v>520</v>
      </c>
      <c r="B1197" s="196">
        <v>4</v>
      </c>
      <c r="C1197" s="172">
        <f ca="1">IF(OFFSET('IWP22'!Std4BudgetInfo, 0, 6, 1, 1)=DATE(1900,1,0), DATE(1900,1,1), OFFSET('IWP22'!Std4BudgetInfo, 0, 6, 1, 1))</f>
        <v>1</v>
      </c>
      <c r="D1197" s="172">
        <f ca="1">IF(OFFSET('IWP22'!Std4BudgetInfo, 0, 7, 1, 1)=DATE(1900,1,0), DATE(1900,1,1), OFFSET('IWP22'!Std4BudgetInfo, 0, 7, 1, 1))</f>
        <v>1</v>
      </c>
      <c r="E1197" s="172">
        <f ca="1">IF(OFFSET('IWP22'!Std4BudgetInfo, 2, 6, 1, 1)=DATE(1900,1,0), DATE(1900,1,1), OFFSET('IWP22'!Std4BudgetInfo, 2, 6, 1, 1))</f>
        <v>1</v>
      </c>
      <c r="F1197" s="195" t="str">
        <f ca="1">IF(OFFSET('IWP22'!Std4BudgetInfo, 3, 6, 1, 1) = 0, "", OFFSET('IWP22'!Std4BudgetInfo, 3, 6, 1, 1))</f>
        <v/>
      </c>
      <c r="G1197" s="195" t="str">
        <f ca="1">IF(OFFSET('IWP22'!Std4BudgetInfo, 4, 6, 1, 1) = 0, "", OFFSET('IWP22'!Std4BudgetInfo, 4, 6, 1, 1))</f>
        <v/>
      </c>
      <c r="H1197" s="195" t="str">
        <f ca="1">IF(OFFSET('IWP22'!Std4BudgetInfo, 5, 6, 1, 1) = 0, "", OFFSET('IWP22'!Std4BudgetInfo, 5, 6, 1, 1))</f>
        <v/>
      </c>
      <c r="I1197" s="195" t="str">
        <f ca="1">IF(OFFSET('IWP22'!Std4BudgetInfo, 6, 6, 1, 1) = 0, "", OFFSET('IWP22'!Std4BudgetInfo, 6, 6, 1, 1))</f>
        <v/>
      </c>
      <c r="J1197" s="195" t="str">
        <f ca="1">IF(OFFSET('IWP22'!Std4BudgetInfo, 7, 6, 1, 1) = 0, "", OFFSET('IWP22'!Std4BudgetInfo, 7, 6, 1, 1))</f>
        <v/>
      </c>
      <c r="K1197" s="195" t="str">
        <f ca="1">IF(OFFSET('IWP22'!Std4BudgetInfo, 8, 6, 1, 1) = 0, "", OFFSET('IWP22'!Std4BudgetInfo, 8, 6, 1, 1))</f>
        <v/>
      </c>
      <c r="L1197" s="195" t="str">
        <f ca="1">IF(OFFSET('IWP22'!Std4BudgetInfo, 9, 6, 1, 1) = 0, "", OFFSET('IWP22'!Std4BudgetInfo, 9, 6, 1, 1))</f>
        <v/>
      </c>
      <c r="M1197" s="194" t="str">
        <f ca="1">IF(OFFSET('IWP22'!Std4BudgetInfo, 10, 6, 1, 1) = 0, "", OFFSET('IWP22'!Std4BudgetInfo, 10, 6, 1, 1))</f>
        <v/>
      </c>
    </row>
    <row r="1198" spans="1:13" s="146" customFormat="1">
      <c r="A1198" s="183" t="s">
        <v>521</v>
      </c>
      <c r="B1198" s="196">
        <v>1</v>
      </c>
      <c r="C1198" s="172">
        <f ca="1">IF(OFFSET('IWP23'!Std4BudgetInfo, 0, 0, 1, 1)=DATE(1900,1,0), DATE(1900,1,1), OFFSET('IWP23'!Std4BudgetInfo, 0, 0, 1, 1))</f>
        <v>1</v>
      </c>
      <c r="D1198" s="172">
        <f ca="1">IF(OFFSET('IWP23'!Std4BudgetInfo, 0, 1, 1, 1)=DATE(1900,1,0), DATE(1900,1,1), OFFSET('IWP23'!Std4BudgetInfo, 0, 1, 1, 1))</f>
        <v>1</v>
      </c>
      <c r="E1198" s="172">
        <f ca="1">IF(OFFSET('IWP23'!Std4BudgetInfo, 2, 0, 1, 1)=DATE(1900,1,0), DATE(1900,1,1), OFFSET('IWP23'!Std4BudgetInfo, 2, 0, 1, 1))</f>
        <v>1</v>
      </c>
      <c r="F1198" s="195" t="str">
        <f ca="1">IF(OFFSET('IWP23'!Std4BudgetInfo, 3, 0, 1, 1) = 0, "", OFFSET('IWP23'!Std4BudgetInfo, 3, 0, 1, 1))</f>
        <v/>
      </c>
      <c r="G1198" s="195" t="str">
        <f ca="1">IF(OFFSET('IWP23'!Std4BudgetInfo, 4, 0, 1, 1) = 0, "", OFFSET('IWP23'!Std4BudgetInfo, 4, 0, 1, 1))</f>
        <v/>
      </c>
      <c r="H1198" s="195" t="str">
        <f ca="1">IF(OFFSET('IWP23'!Std4BudgetInfo, 5, 0, 1, 1) = 0, "", OFFSET('IWP23'!Std4BudgetInfo, 5, 0, 1, 1))</f>
        <v/>
      </c>
      <c r="I1198" s="195" t="str">
        <f ca="1">IF(OFFSET('IWP23'!Std4BudgetInfo, 6, 0, 1, 1) = 0, "", OFFSET('IWP23'!Std4BudgetInfo, 6, 0, 1, 1))</f>
        <v/>
      </c>
      <c r="J1198" s="195" t="str">
        <f ca="1">IF(OFFSET('IWP23'!Std4BudgetInfo, 7, 0, 1, 1) = 0, "", OFFSET('IWP23'!Std4BudgetInfo, 7, 0, 1, 1))</f>
        <v/>
      </c>
      <c r="K1198" s="195" t="str">
        <f ca="1">IF(OFFSET('IWP23'!Std4BudgetInfo, 8, 0, 1, 1) = 0, "", OFFSET('IWP23'!Std4BudgetInfo, 8, 0, 1, 1))</f>
        <v/>
      </c>
      <c r="L1198" s="195" t="str">
        <f ca="1">IF(OFFSET('IWP23'!Std4BudgetInfo, 9, 0, 1, 1) = 0, "", OFFSET('IWP23'!Std4BudgetInfo, 9, 0, 1, 1))</f>
        <v/>
      </c>
      <c r="M1198" s="194" t="str">
        <f ca="1">IF(OFFSET('IWP23'!Std4BudgetInfo, 10, 0, 1, 1) = 0, "", OFFSET('IWP23'!Std4BudgetInfo, 10, 0, 1, 1))</f>
        <v/>
      </c>
    </row>
    <row r="1199" spans="1:13" s="146" customFormat="1">
      <c r="A1199" s="183" t="s">
        <v>521</v>
      </c>
      <c r="B1199" s="196">
        <v>2</v>
      </c>
      <c r="C1199" s="172">
        <f ca="1">IF(OFFSET('IWP23'!Std4BudgetInfo, 0, 2, 1, 1)=DATE(1900,1,0), DATE(1900,1,1), OFFSET('IWP23'!Std4BudgetInfo, 0, 2, 1, 1))</f>
        <v>1</v>
      </c>
      <c r="D1199" s="172">
        <f ca="1">IF(OFFSET('IWP23'!Std4BudgetInfo, 0, 3, 1, 1)=DATE(1900,1,0), DATE(1900,1,1), OFFSET('IWP23'!Std4BudgetInfo, 0, 3, 1, 1))</f>
        <v>1</v>
      </c>
      <c r="E1199" s="172">
        <f ca="1">IF(OFFSET('IWP23'!Std4BudgetInfo, 2, 2, 1, 1)=DATE(1900,1,0), DATE(1900,1,1), OFFSET('IWP23'!Std4BudgetInfo, 2, 2, 1, 1))</f>
        <v>1</v>
      </c>
      <c r="F1199" s="195" t="str">
        <f ca="1">IF(OFFSET('IWP23'!Std4BudgetInfo, 3, 2, 1, 1) = 0, "", OFFSET('IWP23'!Std4BudgetInfo, 3, 2, 1, 1))</f>
        <v/>
      </c>
      <c r="G1199" s="195" t="str">
        <f ca="1">IF(OFFSET('IWP23'!Std4BudgetInfo, 4, 2, 1, 1) = 0, "", OFFSET('IWP23'!Std4BudgetInfo, 4, 2, 1, 1))</f>
        <v/>
      </c>
      <c r="H1199" s="195" t="str">
        <f ca="1">IF(OFFSET('IWP23'!Std4BudgetInfo, 5, 2, 1, 1) = 0, "", OFFSET('IWP23'!Std4BudgetInfo, 5, 2, 1, 1))</f>
        <v/>
      </c>
      <c r="I1199" s="195" t="str">
        <f ca="1">IF(OFFSET('IWP23'!Std4BudgetInfo, 6, 2, 1, 1) = 0, "", OFFSET('IWP23'!Std4BudgetInfo, 6, 2, 1, 1))</f>
        <v/>
      </c>
      <c r="J1199" s="195" t="str">
        <f ca="1">IF(OFFSET('IWP23'!Std4BudgetInfo, 7, 2, 1, 1) = 0, "", OFFSET('IWP23'!Std4BudgetInfo, 7, 2, 1, 1))</f>
        <v/>
      </c>
      <c r="K1199" s="195" t="str">
        <f ca="1">IF(OFFSET('IWP23'!Std4BudgetInfo, 8, 2, 1, 1) = 0, "", OFFSET('IWP23'!Std4BudgetInfo, 8, 2, 1, 1))</f>
        <v/>
      </c>
      <c r="L1199" s="195" t="str">
        <f ca="1">IF(OFFSET('IWP23'!Std4BudgetInfo, 9, 2, 1, 1) = 0, "", OFFSET('IWP23'!Std4BudgetInfo, 9, 2, 1, 1))</f>
        <v/>
      </c>
      <c r="M1199" s="194" t="str">
        <f ca="1">IF(OFFSET('IWP23'!Std4BudgetInfo, 10, 2, 1, 1) = 0, "", OFFSET('IWP23'!Std4BudgetInfo, 10, 2, 1, 1))</f>
        <v/>
      </c>
    </row>
    <row r="1200" spans="1:13" s="146" customFormat="1">
      <c r="A1200" s="183" t="s">
        <v>521</v>
      </c>
      <c r="B1200" s="196">
        <v>3</v>
      </c>
      <c r="C1200" s="172">
        <f ca="1">IF(OFFSET('IWP23'!Std4BudgetInfo, 0, 4, 1, 1)=DATE(1900,1,0), DATE(1900,1,1), OFFSET('IWP23'!Std4BudgetInfo, 0, 4, 1, 1))</f>
        <v>1</v>
      </c>
      <c r="D1200" s="172">
        <f ca="1">IF(OFFSET('IWP23'!Std4BudgetInfo, 0, 5, 1, 1)=DATE(1900,1,0), DATE(1900,1,1), OFFSET('IWP23'!Std4BudgetInfo, 0, 5, 1, 1))</f>
        <v>1</v>
      </c>
      <c r="E1200" s="172">
        <f ca="1">IF(OFFSET('IWP23'!Std4BudgetInfo, 2, 4, 1, 1)=DATE(1900,1,0), DATE(1900,1,1), OFFSET('IWP23'!Std4BudgetInfo, 2, 4, 1, 1))</f>
        <v>1</v>
      </c>
      <c r="F1200" s="195" t="str">
        <f ca="1">IF(OFFSET('IWP23'!Std4BudgetInfo, 3, 4, 1, 1) = 0, "", OFFSET('IWP23'!Std4BudgetInfo, 3, 4, 1, 1))</f>
        <v/>
      </c>
      <c r="G1200" s="195" t="str">
        <f ca="1">IF(OFFSET('IWP23'!Std4BudgetInfo, 4, 4, 1, 1) = 0, "", OFFSET('IWP23'!Std4BudgetInfo, 4, 4, 1, 1))</f>
        <v/>
      </c>
      <c r="H1200" s="195" t="str">
        <f ca="1">IF(OFFSET('IWP23'!Std4BudgetInfo, 5, 4, 1, 1) = 0, "", OFFSET('IWP23'!Std4BudgetInfo, 5, 4, 1, 1))</f>
        <v/>
      </c>
      <c r="I1200" s="195" t="str">
        <f ca="1">IF(OFFSET('IWP23'!Std4BudgetInfo, 6, 4, 1, 1) = 0, "", OFFSET('IWP23'!Std4BudgetInfo, 6, 4, 1, 1))</f>
        <v/>
      </c>
      <c r="J1200" s="195" t="str">
        <f ca="1">IF(OFFSET('IWP23'!Std4BudgetInfo, 7, 4, 1, 1) = 0, "", OFFSET('IWP23'!Std4BudgetInfo, 7, 4, 1, 1))</f>
        <v/>
      </c>
      <c r="K1200" s="195" t="str">
        <f ca="1">IF(OFFSET('IWP23'!Std4BudgetInfo, 8, 4, 1, 1) = 0, "", OFFSET('IWP23'!Std4BudgetInfo, 8, 4, 1, 1))</f>
        <v/>
      </c>
      <c r="L1200" s="195" t="str">
        <f ca="1">IF(OFFSET('IWP23'!Std4BudgetInfo, 9, 4, 1, 1) = 0, "", OFFSET('IWP23'!Std4BudgetInfo, 9, 4, 1, 1))</f>
        <v/>
      </c>
      <c r="M1200" s="194" t="str">
        <f ca="1">IF(OFFSET('IWP23'!Std4BudgetInfo, 10, 4, 1, 1) = 0, "", OFFSET('IWP23'!Std4BudgetInfo, 10, 4, 1, 1))</f>
        <v/>
      </c>
    </row>
    <row r="1201" spans="1:13" s="146" customFormat="1">
      <c r="A1201" s="183" t="s">
        <v>521</v>
      </c>
      <c r="B1201" s="196">
        <v>4</v>
      </c>
      <c r="C1201" s="172">
        <f ca="1">IF(OFFSET('IWP23'!Std4BudgetInfo, 0, 6, 1, 1)=DATE(1900,1,0), DATE(1900,1,1), OFFSET('IWP23'!Std4BudgetInfo, 0, 6, 1, 1))</f>
        <v>1</v>
      </c>
      <c r="D1201" s="172">
        <f ca="1">IF(OFFSET('IWP23'!Std4BudgetInfo, 0, 7, 1, 1)=DATE(1900,1,0), DATE(1900,1,1), OFFSET('IWP23'!Std4BudgetInfo, 0, 7, 1, 1))</f>
        <v>1</v>
      </c>
      <c r="E1201" s="172">
        <f ca="1">IF(OFFSET('IWP23'!Std4BudgetInfo, 2, 6, 1, 1)=DATE(1900,1,0), DATE(1900,1,1), OFFSET('IWP23'!Std4BudgetInfo, 2, 6, 1, 1))</f>
        <v>1</v>
      </c>
      <c r="F1201" s="195" t="str">
        <f ca="1">IF(OFFSET('IWP23'!Std4BudgetInfo, 3, 6, 1, 1) = 0, "", OFFSET('IWP23'!Std4BudgetInfo, 3, 6, 1, 1))</f>
        <v/>
      </c>
      <c r="G1201" s="195" t="str">
        <f ca="1">IF(OFFSET('IWP23'!Std4BudgetInfo, 4, 6, 1, 1) = 0, "", OFFSET('IWP23'!Std4BudgetInfo, 4, 6, 1, 1))</f>
        <v/>
      </c>
      <c r="H1201" s="195" t="str">
        <f ca="1">IF(OFFSET('IWP23'!Std4BudgetInfo, 5, 6, 1, 1) = 0, "", OFFSET('IWP23'!Std4BudgetInfo, 5, 6, 1, 1))</f>
        <v/>
      </c>
      <c r="I1201" s="195" t="str">
        <f ca="1">IF(OFFSET('IWP23'!Std4BudgetInfo, 6, 6, 1, 1) = 0, "", OFFSET('IWP23'!Std4BudgetInfo, 6, 6, 1, 1))</f>
        <v/>
      </c>
      <c r="J1201" s="195" t="str">
        <f ca="1">IF(OFFSET('IWP23'!Std4BudgetInfo, 7, 6, 1, 1) = 0, "", OFFSET('IWP23'!Std4BudgetInfo, 7, 6, 1, 1))</f>
        <v/>
      </c>
      <c r="K1201" s="195" t="str">
        <f ca="1">IF(OFFSET('IWP23'!Std4BudgetInfo, 8, 6, 1, 1) = 0, "", OFFSET('IWP23'!Std4BudgetInfo, 8, 6, 1, 1))</f>
        <v/>
      </c>
      <c r="L1201" s="195" t="str">
        <f ca="1">IF(OFFSET('IWP23'!Std4BudgetInfo, 9, 6, 1, 1) = 0, "", OFFSET('IWP23'!Std4BudgetInfo, 9, 6, 1, 1))</f>
        <v/>
      </c>
      <c r="M1201" s="194" t="str">
        <f ca="1">IF(OFFSET('IWP23'!Std4BudgetInfo, 10, 6, 1, 1) = 0, "", OFFSET('IWP23'!Std4BudgetInfo, 10, 6, 1, 1))</f>
        <v/>
      </c>
    </row>
    <row r="1202" spans="1:13" s="146" customFormat="1">
      <c r="A1202" s="183" t="s">
        <v>522</v>
      </c>
      <c r="B1202" s="196">
        <v>1</v>
      </c>
      <c r="C1202" s="172">
        <f ca="1">IF(OFFSET('IWP24'!Std4BudgetInfo, 0, 0, 1, 1)=DATE(1900,1,0), DATE(1900,1,1), OFFSET('IWP24'!Std4BudgetInfo, 0, 0, 1, 1))</f>
        <v>1</v>
      </c>
      <c r="D1202" s="172">
        <f ca="1">IF(OFFSET('IWP24'!Std4BudgetInfo, 0, 1, 1, 1)=DATE(1900,1,0), DATE(1900,1,1), OFFSET('IWP24'!Std4BudgetInfo, 0, 1, 1, 1))</f>
        <v>1</v>
      </c>
      <c r="E1202" s="172">
        <f ca="1">IF(OFFSET('IWP24'!Std4BudgetInfo, 2, 0, 1, 1)=DATE(1900,1,0), DATE(1900,1,1), OFFSET('IWP24'!Std4BudgetInfo, 2, 0, 1, 1))</f>
        <v>1</v>
      </c>
      <c r="F1202" s="195" t="str">
        <f ca="1">IF(OFFSET('IWP24'!Std4BudgetInfo, 3, 0, 1, 1) = 0, "", OFFSET('IWP24'!Std4BudgetInfo, 3, 0, 1, 1))</f>
        <v/>
      </c>
      <c r="G1202" s="195" t="str">
        <f ca="1">IF(OFFSET('IWP24'!Std4BudgetInfo, 4, 0, 1, 1) = 0, "", OFFSET('IWP24'!Std4BudgetInfo, 4, 0, 1, 1))</f>
        <v/>
      </c>
      <c r="H1202" s="195" t="str">
        <f ca="1">IF(OFFSET('IWP24'!Std4BudgetInfo, 5, 0, 1, 1) = 0, "", OFFSET('IWP24'!Std4BudgetInfo, 5, 0, 1, 1))</f>
        <v/>
      </c>
      <c r="I1202" s="195" t="str">
        <f ca="1">IF(OFFSET('IWP24'!Std4BudgetInfo, 6, 0, 1, 1) = 0, "", OFFSET('IWP24'!Std4BudgetInfo, 6, 0, 1, 1))</f>
        <v/>
      </c>
      <c r="J1202" s="195" t="str">
        <f ca="1">IF(OFFSET('IWP24'!Std4BudgetInfo, 7, 0, 1, 1) = 0, "", OFFSET('IWP24'!Std4BudgetInfo, 7, 0, 1, 1))</f>
        <v/>
      </c>
      <c r="K1202" s="195" t="str">
        <f ca="1">IF(OFFSET('IWP24'!Std4BudgetInfo, 8, 0, 1, 1) = 0, "", OFFSET('IWP24'!Std4BudgetInfo, 8, 0, 1, 1))</f>
        <v/>
      </c>
      <c r="L1202" s="195" t="str">
        <f ca="1">IF(OFFSET('IWP24'!Std4BudgetInfo, 9, 0, 1, 1) = 0, "", OFFSET('IWP24'!Std4BudgetInfo, 9, 0, 1, 1))</f>
        <v/>
      </c>
      <c r="M1202" s="194" t="str">
        <f ca="1">IF(OFFSET('IWP24'!Std4BudgetInfo, 10, 0, 1, 1) = 0, "", OFFSET('IWP24'!Std4BudgetInfo, 10, 0, 1, 1))</f>
        <v/>
      </c>
    </row>
    <row r="1203" spans="1:13" s="146" customFormat="1">
      <c r="A1203" s="183" t="s">
        <v>522</v>
      </c>
      <c r="B1203" s="196">
        <v>2</v>
      </c>
      <c r="C1203" s="172">
        <f ca="1">IF(OFFSET('IWP24'!Std4BudgetInfo, 0, 2, 1, 1)=DATE(1900,1,0), DATE(1900,1,1), OFFSET('IWP24'!Std4BudgetInfo, 0, 2, 1, 1))</f>
        <v>1</v>
      </c>
      <c r="D1203" s="172">
        <f ca="1">IF(OFFSET('IWP24'!Std4BudgetInfo, 0, 3, 1, 1)=DATE(1900,1,0), DATE(1900,1,1), OFFSET('IWP24'!Std4BudgetInfo, 0, 3, 1, 1))</f>
        <v>1</v>
      </c>
      <c r="E1203" s="172">
        <f ca="1">IF(OFFSET('IWP24'!Std4BudgetInfo, 2, 2, 1, 1)=DATE(1900,1,0), DATE(1900,1,1), OFFSET('IWP24'!Std4BudgetInfo, 2, 2, 1, 1))</f>
        <v>1</v>
      </c>
      <c r="F1203" s="195" t="str">
        <f ca="1">IF(OFFSET('IWP24'!Std4BudgetInfo, 3, 2, 1, 1) = 0, "", OFFSET('IWP24'!Std4BudgetInfo, 3, 2, 1, 1))</f>
        <v/>
      </c>
      <c r="G1203" s="195" t="str">
        <f ca="1">IF(OFFSET('IWP24'!Std4BudgetInfo, 4, 2, 1, 1) = 0, "", OFFSET('IWP24'!Std4BudgetInfo, 4, 2, 1, 1))</f>
        <v/>
      </c>
      <c r="H1203" s="195" t="str">
        <f ca="1">IF(OFFSET('IWP24'!Std4BudgetInfo, 5, 2, 1, 1) = 0, "", OFFSET('IWP24'!Std4BudgetInfo, 5, 2, 1, 1))</f>
        <v/>
      </c>
      <c r="I1203" s="195" t="str">
        <f ca="1">IF(OFFSET('IWP24'!Std4BudgetInfo, 6, 2, 1, 1) = 0, "", OFFSET('IWP24'!Std4BudgetInfo, 6, 2, 1, 1))</f>
        <v/>
      </c>
      <c r="J1203" s="195" t="str">
        <f ca="1">IF(OFFSET('IWP24'!Std4BudgetInfo, 7, 2, 1, 1) = 0, "", OFFSET('IWP24'!Std4BudgetInfo, 7, 2, 1, 1))</f>
        <v/>
      </c>
      <c r="K1203" s="195" t="str">
        <f ca="1">IF(OFFSET('IWP24'!Std4BudgetInfo, 8, 2, 1, 1) = 0, "", OFFSET('IWP24'!Std4BudgetInfo, 8, 2, 1, 1))</f>
        <v/>
      </c>
      <c r="L1203" s="195" t="str">
        <f ca="1">IF(OFFSET('IWP24'!Std4BudgetInfo, 9, 2, 1, 1) = 0, "", OFFSET('IWP24'!Std4BudgetInfo, 9, 2, 1, 1))</f>
        <v/>
      </c>
      <c r="M1203" s="194" t="str">
        <f ca="1">IF(OFFSET('IWP24'!Std4BudgetInfo, 10, 2, 1, 1) = 0, "", OFFSET('IWP24'!Std4BudgetInfo, 10, 2, 1, 1))</f>
        <v/>
      </c>
    </row>
    <row r="1204" spans="1:13" s="146" customFormat="1">
      <c r="A1204" s="183" t="s">
        <v>522</v>
      </c>
      <c r="B1204" s="196">
        <v>3</v>
      </c>
      <c r="C1204" s="172">
        <f ca="1">IF(OFFSET('IWP24'!Std4BudgetInfo, 0, 4, 1, 1)=DATE(1900,1,0), DATE(1900,1,1), OFFSET('IWP24'!Std4BudgetInfo, 0, 4, 1, 1))</f>
        <v>1</v>
      </c>
      <c r="D1204" s="172">
        <f ca="1">IF(OFFSET('IWP24'!Std4BudgetInfo, 0, 5, 1, 1)=DATE(1900,1,0), DATE(1900,1,1), OFFSET('IWP24'!Std4BudgetInfo, 0, 5, 1, 1))</f>
        <v>1</v>
      </c>
      <c r="E1204" s="172">
        <f ca="1">IF(OFFSET('IWP24'!Std4BudgetInfo, 2, 4, 1, 1)=DATE(1900,1,0), DATE(1900,1,1), OFFSET('IWP24'!Std4BudgetInfo, 2, 4, 1, 1))</f>
        <v>1</v>
      </c>
      <c r="F1204" s="195" t="str">
        <f ca="1">IF(OFFSET('IWP24'!Std4BudgetInfo, 3, 4, 1, 1) = 0, "", OFFSET('IWP24'!Std4BudgetInfo, 3, 4, 1, 1))</f>
        <v/>
      </c>
      <c r="G1204" s="195" t="str">
        <f ca="1">IF(OFFSET('IWP24'!Std4BudgetInfo, 4, 4, 1, 1) = 0, "", OFFSET('IWP24'!Std4BudgetInfo, 4, 4, 1, 1))</f>
        <v/>
      </c>
      <c r="H1204" s="195" t="str">
        <f ca="1">IF(OFFSET('IWP24'!Std4BudgetInfo, 5, 4, 1, 1) = 0, "", OFFSET('IWP24'!Std4BudgetInfo, 5, 4, 1, 1))</f>
        <v/>
      </c>
      <c r="I1204" s="195" t="str">
        <f ca="1">IF(OFFSET('IWP24'!Std4BudgetInfo, 6, 4, 1, 1) = 0, "", OFFSET('IWP24'!Std4BudgetInfo, 6, 4, 1, 1))</f>
        <v/>
      </c>
      <c r="J1204" s="195" t="str">
        <f ca="1">IF(OFFSET('IWP24'!Std4BudgetInfo, 7, 4, 1, 1) = 0, "", OFFSET('IWP24'!Std4BudgetInfo, 7, 4, 1, 1))</f>
        <v/>
      </c>
      <c r="K1204" s="195" t="str">
        <f ca="1">IF(OFFSET('IWP24'!Std4BudgetInfo, 8, 4, 1, 1) = 0, "", OFFSET('IWP24'!Std4BudgetInfo, 8, 4, 1, 1))</f>
        <v/>
      </c>
      <c r="L1204" s="195" t="str">
        <f ca="1">IF(OFFSET('IWP24'!Std4BudgetInfo, 9, 4, 1, 1) = 0, "", OFFSET('IWP24'!Std4BudgetInfo, 9, 4, 1, 1))</f>
        <v/>
      </c>
      <c r="M1204" s="194" t="str">
        <f ca="1">IF(OFFSET('IWP24'!Std4BudgetInfo, 10, 4, 1, 1) = 0, "", OFFSET('IWP24'!Std4BudgetInfo, 10, 4, 1, 1))</f>
        <v/>
      </c>
    </row>
    <row r="1205" spans="1:13" s="146" customFormat="1">
      <c r="A1205" s="183" t="s">
        <v>522</v>
      </c>
      <c r="B1205" s="196">
        <v>4</v>
      </c>
      <c r="C1205" s="172">
        <f ca="1">IF(OFFSET('IWP24'!Std4BudgetInfo, 0, 6, 1, 1)=DATE(1900,1,0), DATE(1900,1,1), OFFSET('IWP24'!Std4BudgetInfo, 0, 6, 1, 1))</f>
        <v>1</v>
      </c>
      <c r="D1205" s="172">
        <f ca="1">IF(OFFSET('IWP24'!Std4BudgetInfo, 0, 7, 1, 1)=DATE(1900,1,0), DATE(1900,1,1), OFFSET('IWP24'!Std4BudgetInfo, 0, 7, 1, 1))</f>
        <v>1</v>
      </c>
      <c r="E1205" s="172">
        <f ca="1">IF(OFFSET('IWP24'!Std4BudgetInfo, 2, 6, 1, 1)=DATE(1900,1,0), DATE(1900,1,1), OFFSET('IWP24'!Std4BudgetInfo, 2, 6, 1, 1))</f>
        <v>1</v>
      </c>
      <c r="F1205" s="195" t="str">
        <f ca="1">IF(OFFSET('IWP24'!Std4BudgetInfo, 3, 6, 1, 1) = 0, "", OFFSET('IWP24'!Std4BudgetInfo, 3, 6, 1, 1))</f>
        <v/>
      </c>
      <c r="G1205" s="195" t="str">
        <f ca="1">IF(OFFSET('IWP24'!Std4BudgetInfo, 4, 6, 1, 1) = 0, "", OFFSET('IWP24'!Std4BudgetInfo, 4, 6, 1, 1))</f>
        <v/>
      </c>
      <c r="H1205" s="195" t="str">
        <f ca="1">IF(OFFSET('IWP24'!Std4BudgetInfo, 5, 6, 1, 1) = 0, "", OFFSET('IWP24'!Std4BudgetInfo, 5, 6, 1, 1))</f>
        <v/>
      </c>
      <c r="I1205" s="195" t="str">
        <f ca="1">IF(OFFSET('IWP24'!Std4BudgetInfo, 6, 6, 1, 1) = 0, "", OFFSET('IWP24'!Std4BudgetInfo, 6, 6, 1, 1))</f>
        <v/>
      </c>
      <c r="J1205" s="195" t="str">
        <f ca="1">IF(OFFSET('IWP24'!Std4BudgetInfo, 7, 6, 1, 1) = 0, "", OFFSET('IWP24'!Std4BudgetInfo, 7, 6, 1, 1))</f>
        <v/>
      </c>
      <c r="K1205" s="195" t="str">
        <f ca="1">IF(OFFSET('IWP24'!Std4BudgetInfo, 8, 6, 1, 1) = 0, "", OFFSET('IWP24'!Std4BudgetInfo, 8, 6, 1, 1))</f>
        <v/>
      </c>
      <c r="L1205" s="195" t="str">
        <f ca="1">IF(OFFSET('IWP24'!Std4BudgetInfo, 9, 6, 1, 1) = 0, "", OFFSET('IWP24'!Std4BudgetInfo, 9, 6, 1, 1))</f>
        <v/>
      </c>
      <c r="M1205" s="194" t="str">
        <f ca="1">IF(OFFSET('IWP24'!Std4BudgetInfo, 10, 6, 1, 1) = 0, "", OFFSET('IWP24'!Std4BudgetInfo, 10, 6, 1, 1))</f>
        <v/>
      </c>
    </row>
    <row r="1206" spans="1:13" s="146" customFormat="1">
      <c r="A1206" s="183" t="s">
        <v>523</v>
      </c>
      <c r="B1206" s="196">
        <v>1</v>
      </c>
      <c r="C1206" s="172">
        <f ca="1">IF(OFFSET('IWP25'!Std4BudgetInfo, 0, 0, 1, 1)=DATE(1900,1,0), DATE(1900,1,1), OFFSET('IWP25'!Std4BudgetInfo, 0, 0, 1, 1))</f>
        <v>1</v>
      </c>
      <c r="D1206" s="172">
        <f ca="1">IF(OFFSET('IWP25'!Std4BudgetInfo, 0, 1, 1, 1)=DATE(1900,1,0), DATE(1900,1,1), OFFSET('IWP25'!Std4BudgetInfo, 0, 1, 1, 1))</f>
        <v>1</v>
      </c>
      <c r="E1206" s="172">
        <f ca="1">IF(OFFSET('IWP25'!Std4BudgetInfo, 2, 0, 1, 1)=DATE(1900,1,0), DATE(1900,1,1), OFFSET('IWP25'!Std4BudgetInfo, 2, 0, 1, 1))</f>
        <v>1</v>
      </c>
      <c r="F1206" s="195" t="str">
        <f ca="1">IF(OFFSET('IWP25'!Std4BudgetInfo, 3, 0, 1, 1) = 0, "", OFFSET('IWP25'!Std4BudgetInfo, 3, 0, 1, 1))</f>
        <v/>
      </c>
      <c r="G1206" s="195" t="str">
        <f ca="1">IF(OFFSET('IWP25'!Std4BudgetInfo, 4, 0, 1, 1) = 0, "", OFFSET('IWP25'!Std4BudgetInfo, 4, 0, 1, 1))</f>
        <v/>
      </c>
      <c r="H1206" s="195" t="str">
        <f ca="1">IF(OFFSET('IWP25'!Std4BudgetInfo, 5, 0, 1, 1) = 0, "", OFFSET('IWP25'!Std4BudgetInfo, 5, 0, 1, 1))</f>
        <v/>
      </c>
      <c r="I1206" s="195" t="str">
        <f ca="1">IF(OFFSET('IWP25'!Std4BudgetInfo, 6, 0, 1, 1) = 0, "", OFFSET('IWP25'!Std4BudgetInfo, 6, 0, 1, 1))</f>
        <v/>
      </c>
      <c r="J1206" s="195" t="str">
        <f ca="1">IF(OFFSET('IWP25'!Std4BudgetInfo, 7, 0, 1, 1) = 0, "", OFFSET('IWP25'!Std4BudgetInfo, 7, 0, 1, 1))</f>
        <v/>
      </c>
      <c r="K1206" s="195" t="str">
        <f ca="1">IF(OFFSET('IWP25'!Std4BudgetInfo, 8, 0, 1, 1) = 0, "", OFFSET('IWP25'!Std4BudgetInfo, 8, 0, 1, 1))</f>
        <v/>
      </c>
      <c r="L1206" s="195" t="str">
        <f ca="1">IF(OFFSET('IWP25'!Std4BudgetInfo, 9, 0, 1, 1) = 0, "", OFFSET('IWP25'!Std4BudgetInfo, 9, 0, 1, 1))</f>
        <v/>
      </c>
      <c r="M1206" s="194" t="str">
        <f ca="1">IF(OFFSET('IWP25'!Std4BudgetInfo, 10, 0, 1, 1) = 0, "", OFFSET('IWP25'!Std4BudgetInfo, 10, 0, 1, 1))</f>
        <v/>
      </c>
    </row>
    <row r="1207" spans="1:13" s="146" customFormat="1">
      <c r="A1207" s="183" t="s">
        <v>523</v>
      </c>
      <c r="B1207" s="196">
        <v>2</v>
      </c>
      <c r="C1207" s="172">
        <f ca="1">IF(OFFSET('IWP25'!Std4BudgetInfo, 0, 2, 1, 1)=DATE(1900,1,0), DATE(1900,1,1), OFFSET('IWP25'!Std4BudgetInfo, 0, 2, 1, 1))</f>
        <v>1</v>
      </c>
      <c r="D1207" s="172">
        <f ca="1">IF(OFFSET('IWP25'!Std4BudgetInfo, 0, 3, 1, 1)=DATE(1900,1,0), DATE(1900,1,1), OFFSET('IWP25'!Std4BudgetInfo, 0, 3, 1, 1))</f>
        <v>1</v>
      </c>
      <c r="E1207" s="172">
        <f ca="1">IF(OFFSET('IWP25'!Std4BudgetInfo, 2, 2, 1, 1)=DATE(1900,1,0), DATE(1900,1,1), OFFSET('IWP25'!Std4BudgetInfo, 2, 2, 1, 1))</f>
        <v>1</v>
      </c>
      <c r="F1207" s="195" t="str">
        <f ca="1">IF(OFFSET('IWP25'!Std4BudgetInfo, 3, 2, 1, 1) = 0, "", OFFSET('IWP25'!Std4BudgetInfo, 3, 2, 1, 1))</f>
        <v/>
      </c>
      <c r="G1207" s="195" t="str">
        <f ca="1">IF(OFFSET('IWP25'!Std4BudgetInfo, 4, 2, 1, 1) = 0, "", OFFSET('IWP25'!Std4BudgetInfo, 4, 2, 1, 1))</f>
        <v/>
      </c>
      <c r="H1207" s="195" t="str">
        <f ca="1">IF(OFFSET('IWP25'!Std4BudgetInfo, 5, 2, 1, 1) = 0, "", OFFSET('IWP25'!Std4BudgetInfo, 5, 2, 1, 1))</f>
        <v/>
      </c>
      <c r="I1207" s="195" t="str">
        <f ca="1">IF(OFFSET('IWP25'!Std4BudgetInfo, 6, 2, 1, 1) = 0, "", OFFSET('IWP25'!Std4BudgetInfo, 6, 2, 1, 1))</f>
        <v/>
      </c>
      <c r="J1207" s="195" t="str">
        <f ca="1">IF(OFFSET('IWP25'!Std4BudgetInfo, 7, 2, 1, 1) = 0, "", OFFSET('IWP25'!Std4BudgetInfo, 7, 2, 1, 1))</f>
        <v/>
      </c>
      <c r="K1207" s="195" t="str">
        <f ca="1">IF(OFFSET('IWP25'!Std4BudgetInfo, 8, 2, 1, 1) = 0, "", OFFSET('IWP25'!Std4BudgetInfo, 8, 2, 1, 1))</f>
        <v/>
      </c>
      <c r="L1207" s="195" t="str">
        <f ca="1">IF(OFFSET('IWP25'!Std4BudgetInfo, 9, 2, 1, 1) = 0, "", OFFSET('IWP25'!Std4BudgetInfo, 9, 2, 1, 1))</f>
        <v/>
      </c>
      <c r="M1207" s="194" t="str">
        <f ca="1">IF(OFFSET('IWP25'!Std4BudgetInfo, 10, 2, 1, 1) = 0, "", OFFSET('IWP25'!Std4BudgetInfo, 10, 2, 1, 1))</f>
        <v/>
      </c>
    </row>
    <row r="1208" spans="1:13" s="146" customFormat="1">
      <c r="A1208" s="183" t="s">
        <v>523</v>
      </c>
      <c r="B1208" s="196">
        <v>3</v>
      </c>
      <c r="C1208" s="172">
        <f ca="1">IF(OFFSET('IWP25'!Std4BudgetInfo, 0, 4, 1, 1)=DATE(1900,1,0), DATE(1900,1,1), OFFSET('IWP25'!Std4BudgetInfo, 0, 4, 1, 1))</f>
        <v>1</v>
      </c>
      <c r="D1208" s="172">
        <f ca="1">IF(OFFSET('IWP25'!Std4BudgetInfo, 0, 5, 1, 1)=DATE(1900,1,0), DATE(1900,1,1), OFFSET('IWP25'!Std4BudgetInfo, 0, 5, 1, 1))</f>
        <v>1</v>
      </c>
      <c r="E1208" s="172">
        <f ca="1">IF(OFFSET('IWP25'!Std4BudgetInfo, 2, 4, 1, 1)=DATE(1900,1,0), DATE(1900,1,1), OFFSET('IWP25'!Std4BudgetInfo, 2, 4, 1, 1))</f>
        <v>1</v>
      </c>
      <c r="F1208" s="195" t="str">
        <f ca="1">IF(OFFSET('IWP25'!Std4BudgetInfo, 3, 4, 1, 1) = 0, "", OFFSET('IWP25'!Std4BudgetInfo, 3, 4, 1, 1))</f>
        <v/>
      </c>
      <c r="G1208" s="195" t="str">
        <f ca="1">IF(OFFSET('IWP25'!Std4BudgetInfo, 4, 4, 1, 1) = 0, "", OFFSET('IWP25'!Std4BudgetInfo, 4, 4, 1, 1))</f>
        <v/>
      </c>
      <c r="H1208" s="195" t="str">
        <f ca="1">IF(OFFSET('IWP25'!Std4BudgetInfo, 5, 4, 1, 1) = 0, "", OFFSET('IWP25'!Std4BudgetInfo, 5, 4, 1, 1))</f>
        <v/>
      </c>
      <c r="I1208" s="195" t="str">
        <f ca="1">IF(OFFSET('IWP25'!Std4BudgetInfo, 6, 4, 1, 1) = 0, "", OFFSET('IWP25'!Std4BudgetInfo, 6, 4, 1, 1))</f>
        <v/>
      </c>
      <c r="J1208" s="195" t="str">
        <f ca="1">IF(OFFSET('IWP25'!Std4BudgetInfo, 7, 4, 1, 1) = 0, "", OFFSET('IWP25'!Std4BudgetInfo, 7, 4, 1, 1))</f>
        <v/>
      </c>
      <c r="K1208" s="195" t="str">
        <f ca="1">IF(OFFSET('IWP25'!Std4BudgetInfo, 8, 4, 1, 1) = 0, "", OFFSET('IWP25'!Std4BudgetInfo, 8, 4, 1, 1))</f>
        <v/>
      </c>
      <c r="L1208" s="195" t="str">
        <f ca="1">IF(OFFSET('IWP25'!Std4BudgetInfo, 9, 4, 1, 1) = 0, "", OFFSET('IWP25'!Std4BudgetInfo, 9, 4, 1, 1))</f>
        <v/>
      </c>
      <c r="M1208" s="194" t="str">
        <f ca="1">IF(OFFSET('IWP25'!Std4BudgetInfo, 10, 4, 1, 1) = 0, "", OFFSET('IWP25'!Std4BudgetInfo, 10, 4, 1, 1))</f>
        <v/>
      </c>
    </row>
    <row r="1209" spans="1:13" s="146" customFormat="1">
      <c r="A1209" s="183" t="s">
        <v>523</v>
      </c>
      <c r="B1209" s="196">
        <v>4</v>
      </c>
      <c r="C1209" s="172">
        <f ca="1">IF(OFFSET('IWP25'!Std4BudgetInfo, 0, 6, 1, 1)=DATE(1900,1,0), DATE(1900,1,1), OFFSET('IWP25'!Std4BudgetInfo, 0, 6, 1, 1))</f>
        <v>1</v>
      </c>
      <c r="D1209" s="172">
        <f ca="1">IF(OFFSET('IWP25'!Std4BudgetInfo, 0, 7, 1, 1)=DATE(1900,1,0), DATE(1900,1,1), OFFSET('IWP25'!Std4BudgetInfo, 0, 7, 1, 1))</f>
        <v>1</v>
      </c>
      <c r="E1209" s="172">
        <f ca="1">IF(OFFSET('IWP25'!Std4BudgetInfo, 2, 6, 1, 1)=DATE(1900,1,0), DATE(1900,1,1), OFFSET('IWP25'!Std4BudgetInfo, 2, 6, 1, 1))</f>
        <v>1</v>
      </c>
      <c r="F1209" s="195" t="str">
        <f ca="1">IF(OFFSET('IWP25'!Std4BudgetInfo, 3, 6, 1, 1) = 0, "", OFFSET('IWP25'!Std4BudgetInfo, 3, 6, 1, 1))</f>
        <v/>
      </c>
      <c r="G1209" s="195" t="str">
        <f ca="1">IF(OFFSET('IWP25'!Std4BudgetInfo, 4, 6, 1, 1) = 0, "", OFFSET('IWP25'!Std4BudgetInfo, 4, 6, 1, 1))</f>
        <v/>
      </c>
      <c r="H1209" s="195" t="str">
        <f ca="1">IF(OFFSET('IWP25'!Std4BudgetInfo, 5, 6, 1, 1) = 0, "", OFFSET('IWP25'!Std4BudgetInfo, 5, 6, 1, 1))</f>
        <v/>
      </c>
      <c r="I1209" s="195" t="str">
        <f ca="1">IF(OFFSET('IWP25'!Std4BudgetInfo, 6, 6, 1, 1) = 0, "", OFFSET('IWP25'!Std4BudgetInfo, 6, 6, 1, 1))</f>
        <v/>
      </c>
      <c r="J1209" s="195" t="str">
        <f ca="1">IF(OFFSET('IWP25'!Std4BudgetInfo, 7, 6, 1, 1) = 0, "", OFFSET('IWP25'!Std4BudgetInfo, 7, 6, 1, 1))</f>
        <v/>
      </c>
      <c r="K1209" s="195" t="str">
        <f ca="1">IF(OFFSET('IWP25'!Std4BudgetInfo, 8, 6, 1, 1) = 0, "", OFFSET('IWP25'!Std4BudgetInfo, 8, 6, 1, 1))</f>
        <v/>
      </c>
      <c r="L1209" s="195" t="str">
        <f ca="1">IF(OFFSET('IWP25'!Std4BudgetInfo, 9, 6, 1, 1) = 0, "", OFFSET('IWP25'!Std4BudgetInfo, 9, 6, 1, 1))</f>
        <v/>
      </c>
      <c r="M1209" s="194" t="str">
        <f ca="1">IF(OFFSET('IWP25'!Std4BudgetInfo, 10, 6, 1, 1) = 0, "", OFFSET('IWP25'!Std4BudgetInfo, 10, 6, 1, 1))</f>
        <v/>
      </c>
    </row>
    <row r="1210" spans="1:13" s="146" customFormat="1">
      <c r="A1210" s="183" t="s">
        <v>524</v>
      </c>
      <c r="B1210" s="196">
        <v>1</v>
      </c>
      <c r="C1210" s="172">
        <f ca="1">IF(OFFSET('IWP26'!Std4BudgetInfo, 0, 0, 1, 1)=DATE(1900,1,0), DATE(1900,1,1), OFFSET('IWP26'!Std4BudgetInfo, 0, 0, 1, 1))</f>
        <v>1</v>
      </c>
      <c r="D1210" s="172">
        <f ca="1">IF(OFFSET('IWP26'!Std4BudgetInfo, 0, 1, 1, 1)=DATE(1900,1,0), DATE(1900,1,1), OFFSET('IWP26'!Std4BudgetInfo, 0, 1, 1, 1))</f>
        <v>1</v>
      </c>
      <c r="E1210" s="172">
        <f ca="1">IF(OFFSET('IWP26'!Std4BudgetInfo, 2, 0, 1, 1)=DATE(1900,1,0), DATE(1900,1,1), OFFSET('IWP26'!Std4BudgetInfo, 2, 0, 1, 1))</f>
        <v>1</v>
      </c>
      <c r="F1210" s="195" t="str">
        <f ca="1">IF(OFFSET('IWP26'!Std4BudgetInfo, 3, 0, 1, 1) = 0, "", OFFSET('IWP26'!Std4BudgetInfo, 3, 0, 1, 1))</f>
        <v/>
      </c>
      <c r="G1210" s="195" t="str">
        <f ca="1">IF(OFFSET('IWP26'!Std4BudgetInfo, 4, 0, 1, 1) = 0, "", OFFSET('IWP26'!Std4BudgetInfo, 4, 0, 1, 1))</f>
        <v/>
      </c>
      <c r="H1210" s="195" t="str">
        <f ca="1">IF(OFFSET('IWP26'!Std4BudgetInfo, 5, 0, 1, 1) = 0, "", OFFSET('IWP26'!Std4BudgetInfo, 5, 0, 1, 1))</f>
        <v/>
      </c>
      <c r="I1210" s="195" t="str">
        <f ca="1">IF(OFFSET('IWP26'!Std4BudgetInfo, 6, 0, 1, 1) = 0, "", OFFSET('IWP26'!Std4BudgetInfo, 6, 0, 1, 1))</f>
        <v/>
      </c>
      <c r="J1210" s="195" t="str">
        <f ca="1">IF(OFFSET('IWP26'!Std4BudgetInfo, 7, 0, 1, 1) = 0, "", OFFSET('IWP26'!Std4BudgetInfo, 7, 0, 1, 1))</f>
        <v/>
      </c>
      <c r="K1210" s="195" t="str">
        <f ca="1">IF(OFFSET('IWP26'!Std4BudgetInfo, 8, 0, 1, 1) = 0, "", OFFSET('IWP26'!Std4BudgetInfo, 8, 0, 1, 1))</f>
        <v/>
      </c>
      <c r="L1210" s="195" t="str">
        <f ca="1">IF(OFFSET('IWP26'!Std4BudgetInfo, 9, 0, 1, 1) = 0, "", OFFSET('IWP26'!Std4BudgetInfo, 9, 0, 1, 1))</f>
        <v/>
      </c>
      <c r="M1210" s="194" t="str">
        <f ca="1">IF(OFFSET('IWP26'!Std4BudgetInfo, 10, 0, 1, 1) = 0, "", OFFSET('IWP26'!Std4BudgetInfo, 10, 0, 1, 1))</f>
        <v/>
      </c>
    </row>
    <row r="1211" spans="1:13" s="146" customFormat="1">
      <c r="A1211" s="183" t="s">
        <v>524</v>
      </c>
      <c r="B1211" s="196">
        <v>2</v>
      </c>
      <c r="C1211" s="172">
        <f ca="1">IF(OFFSET('IWP26'!Std4BudgetInfo, 0, 2, 1, 1)=DATE(1900,1,0), DATE(1900,1,1), OFFSET('IWP26'!Std4BudgetInfo, 0, 2, 1, 1))</f>
        <v>1</v>
      </c>
      <c r="D1211" s="172">
        <f ca="1">IF(OFFSET('IWP26'!Std4BudgetInfo, 0, 3, 1, 1)=DATE(1900,1,0), DATE(1900,1,1), OFFSET('IWP26'!Std4BudgetInfo, 0, 3, 1, 1))</f>
        <v>1</v>
      </c>
      <c r="E1211" s="172">
        <f ca="1">IF(OFFSET('IWP26'!Std4BudgetInfo, 2, 2, 1, 1)=DATE(1900,1,0), DATE(1900,1,1), OFFSET('IWP26'!Std4BudgetInfo, 2, 2, 1, 1))</f>
        <v>1</v>
      </c>
      <c r="F1211" s="195" t="str">
        <f ca="1">IF(OFFSET('IWP26'!Std4BudgetInfo, 3, 2, 1, 1) = 0, "", OFFSET('IWP26'!Std4BudgetInfo, 3, 2, 1, 1))</f>
        <v/>
      </c>
      <c r="G1211" s="195" t="str">
        <f ca="1">IF(OFFSET('IWP26'!Std4BudgetInfo, 4, 2, 1, 1) = 0, "", OFFSET('IWP26'!Std4BudgetInfo, 4, 2, 1, 1))</f>
        <v/>
      </c>
      <c r="H1211" s="195" t="str">
        <f ca="1">IF(OFFSET('IWP26'!Std4BudgetInfo, 5, 2, 1, 1) = 0, "", OFFSET('IWP26'!Std4BudgetInfo, 5, 2, 1, 1))</f>
        <v/>
      </c>
      <c r="I1211" s="195" t="str">
        <f ca="1">IF(OFFSET('IWP26'!Std4BudgetInfo, 6, 2, 1, 1) = 0, "", OFFSET('IWP26'!Std4BudgetInfo, 6, 2, 1, 1))</f>
        <v/>
      </c>
      <c r="J1211" s="195" t="str">
        <f ca="1">IF(OFFSET('IWP26'!Std4BudgetInfo, 7, 2, 1, 1) = 0, "", OFFSET('IWP26'!Std4BudgetInfo, 7, 2, 1, 1))</f>
        <v/>
      </c>
      <c r="K1211" s="195" t="str">
        <f ca="1">IF(OFFSET('IWP26'!Std4BudgetInfo, 8, 2, 1, 1) = 0, "", OFFSET('IWP26'!Std4BudgetInfo, 8, 2, 1, 1))</f>
        <v/>
      </c>
      <c r="L1211" s="195" t="str">
        <f ca="1">IF(OFFSET('IWP26'!Std4BudgetInfo, 9, 2, 1, 1) = 0, "", OFFSET('IWP26'!Std4BudgetInfo, 9, 2, 1, 1))</f>
        <v/>
      </c>
      <c r="M1211" s="194" t="str">
        <f ca="1">IF(OFFSET('IWP26'!Std4BudgetInfo, 10, 2, 1, 1) = 0, "", OFFSET('IWP26'!Std4BudgetInfo, 10, 2, 1, 1))</f>
        <v/>
      </c>
    </row>
    <row r="1212" spans="1:13" s="146" customFormat="1">
      <c r="A1212" s="183" t="s">
        <v>524</v>
      </c>
      <c r="B1212" s="196">
        <v>3</v>
      </c>
      <c r="C1212" s="172">
        <f ca="1">IF(OFFSET('IWP26'!Std4BudgetInfo, 0, 4, 1, 1)=DATE(1900,1,0), DATE(1900,1,1), OFFSET('IWP26'!Std4BudgetInfo, 0, 4, 1, 1))</f>
        <v>1</v>
      </c>
      <c r="D1212" s="172">
        <f ca="1">IF(OFFSET('IWP26'!Std4BudgetInfo, 0, 5, 1, 1)=DATE(1900,1,0), DATE(1900,1,1), OFFSET('IWP26'!Std4BudgetInfo, 0, 5, 1, 1))</f>
        <v>1</v>
      </c>
      <c r="E1212" s="172">
        <f ca="1">IF(OFFSET('IWP26'!Std4BudgetInfo, 2, 4, 1, 1)=DATE(1900,1,0), DATE(1900,1,1), OFFSET('IWP26'!Std4BudgetInfo, 2, 4, 1, 1))</f>
        <v>1</v>
      </c>
      <c r="F1212" s="195" t="str">
        <f ca="1">IF(OFFSET('IWP26'!Std4BudgetInfo, 3, 4, 1, 1) = 0, "", OFFSET('IWP26'!Std4BudgetInfo, 3, 4, 1, 1))</f>
        <v/>
      </c>
      <c r="G1212" s="195" t="str">
        <f ca="1">IF(OFFSET('IWP26'!Std4BudgetInfo, 4, 4, 1, 1) = 0, "", OFFSET('IWP26'!Std4BudgetInfo, 4, 4, 1, 1))</f>
        <v/>
      </c>
      <c r="H1212" s="195" t="str">
        <f ca="1">IF(OFFSET('IWP26'!Std4BudgetInfo, 5, 4, 1, 1) = 0, "", OFFSET('IWP26'!Std4BudgetInfo, 5, 4, 1, 1))</f>
        <v/>
      </c>
      <c r="I1212" s="195" t="str">
        <f ca="1">IF(OFFSET('IWP26'!Std4BudgetInfo, 6, 4, 1, 1) = 0, "", OFFSET('IWP26'!Std4BudgetInfo, 6, 4, 1, 1))</f>
        <v/>
      </c>
      <c r="J1212" s="195" t="str">
        <f ca="1">IF(OFFSET('IWP26'!Std4BudgetInfo, 7, 4, 1, 1) = 0, "", OFFSET('IWP26'!Std4BudgetInfo, 7, 4, 1, 1))</f>
        <v/>
      </c>
      <c r="K1212" s="195" t="str">
        <f ca="1">IF(OFFSET('IWP26'!Std4BudgetInfo, 8, 4, 1, 1) = 0, "", OFFSET('IWP26'!Std4BudgetInfo, 8, 4, 1, 1))</f>
        <v/>
      </c>
      <c r="L1212" s="195" t="str">
        <f ca="1">IF(OFFSET('IWP26'!Std4BudgetInfo, 9, 4, 1, 1) = 0, "", OFFSET('IWP26'!Std4BudgetInfo, 9, 4, 1, 1))</f>
        <v/>
      </c>
      <c r="M1212" s="194" t="str">
        <f ca="1">IF(OFFSET('IWP26'!Std4BudgetInfo, 10, 4, 1, 1) = 0, "", OFFSET('IWP26'!Std4BudgetInfo, 10, 4, 1, 1))</f>
        <v/>
      </c>
    </row>
    <row r="1213" spans="1:13" s="146" customFormat="1">
      <c r="A1213" s="183" t="s">
        <v>524</v>
      </c>
      <c r="B1213" s="196">
        <v>4</v>
      </c>
      <c r="C1213" s="172">
        <f ca="1">IF(OFFSET('IWP26'!Std4BudgetInfo, 0, 6, 1, 1)=DATE(1900,1,0), DATE(1900,1,1), OFFSET('IWP26'!Std4BudgetInfo, 0, 6, 1, 1))</f>
        <v>1</v>
      </c>
      <c r="D1213" s="172">
        <f ca="1">IF(OFFSET('IWP26'!Std4BudgetInfo, 0, 7, 1, 1)=DATE(1900,1,0), DATE(1900,1,1), OFFSET('IWP26'!Std4BudgetInfo, 0, 7, 1, 1))</f>
        <v>1</v>
      </c>
      <c r="E1213" s="172">
        <f ca="1">IF(OFFSET('IWP26'!Std4BudgetInfo, 2, 6, 1, 1)=DATE(1900,1,0), DATE(1900,1,1), OFFSET('IWP26'!Std4BudgetInfo, 2, 6, 1, 1))</f>
        <v>1</v>
      </c>
      <c r="F1213" s="195" t="str">
        <f ca="1">IF(OFFSET('IWP26'!Std4BudgetInfo, 3, 6, 1, 1) = 0, "", OFFSET('IWP26'!Std4BudgetInfo, 3, 6, 1, 1))</f>
        <v/>
      </c>
      <c r="G1213" s="195" t="str">
        <f ca="1">IF(OFFSET('IWP26'!Std4BudgetInfo, 4, 6, 1, 1) = 0, "", OFFSET('IWP26'!Std4BudgetInfo, 4, 6, 1, 1))</f>
        <v/>
      </c>
      <c r="H1213" s="195" t="str">
        <f ca="1">IF(OFFSET('IWP26'!Std4BudgetInfo, 5, 6, 1, 1) = 0, "", OFFSET('IWP26'!Std4BudgetInfo, 5, 6, 1, 1))</f>
        <v/>
      </c>
      <c r="I1213" s="195" t="str">
        <f ca="1">IF(OFFSET('IWP26'!Std4BudgetInfo, 6, 6, 1, 1) = 0, "", OFFSET('IWP26'!Std4BudgetInfo, 6, 6, 1, 1))</f>
        <v/>
      </c>
      <c r="J1213" s="195" t="str">
        <f ca="1">IF(OFFSET('IWP26'!Std4BudgetInfo, 7, 6, 1, 1) = 0, "", OFFSET('IWP26'!Std4BudgetInfo, 7, 6, 1, 1))</f>
        <v/>
      </c>
      <c r="K1213" s="195" t="str">
        <f ca="1">IF(OFFSET('IWP26'!Std4BudgetInfo, 8, 6, 1, 1) = 0, "", OFFSET('IWP26'!Std4BudgetInfo, 8, 6, 1, 1))</f>
        <v/>
      </c>
      <c r="L1213" s="195" t="str">
        <f ca="1">IF(OFFSET('IWP26'!Std4BudgetInfo, 9, 6, 1, 1) = 0, "", OFFSET('IWP26'!Std4BudgetInfo, 9, 6, 1, 1))</f>
        <v/>
      </c>
      <c r="M1213" s="194" t="str">
        <f ca="1">IF(OFFSET('IWP26'!Std4BudgetInfo, 10, 6, 1, 1) = 0, "", OFFSET('IWP26'!Std4BudgetInfo, 10, 6, 1, 1))</f>
        <v/>
      </c>
    </row>
    <row r="1214" spans="1:13" s="146" customFormat="1">
      <c r="A1214" s="183" t="s">
        <v>525</v>
      </c>
      <c r="B1214" s="196">
        <v>1</v>
      </c>
      <c r="C1214" s="172">
        <f ca="1">IF(OFFSET('IWP27'!Std4BudgetInfo, 0, 0, 1, 1)=DATE(1900,1,0), DATE(1900,1,1), OFFSET('IWP27'!Std4BudgetInfo, 0, 0, 1, 1))</f>
        <v>1</v>
      </c>
      <c r="D1214" s="172">
        <f ca="1">IF(OFFSET('IWP27'!Std4BudgetInfo, 0, 1, 1, 1)=DATE(1900,1,0), DATE(1900,1,1), OFFSET('IWP27'!Std4BudgetInfo, 0, 1, 1, 1))</f>
        <v>1</v>
      </c>
      <c r="E1214" s="172">
        <f ca="1">IF(OFFSET('IWP27'!Std4BudgetInfo, 2, 0, 1, 1)=DATE(1900,1,0), DATE(1900,1,1), OFFSET('IWP27'!Std4BudgetInfo, 2, 0, 1, 1))</f>
        <v>1</v>
      </c>
      <c r="F1214" s="195" t="str">
        <f ca="1">IF(OFFSET('IWP27'!Std4BudgetInfo, 3, 0, 1, 1) = 0, "", OFFSET('IWP27'!Std4BudgetInfo, 3, 0, 1, 1))</f>
        <v/>
      </c>
      <c r="G1214" s="195" t="str">
        <f ca="1">IF(OFFSET('IWP27'!Std4BudgetInfo, 4, 0, 1, 1) = 0, "", OFFSET('IWP27'!Std4BudgetInfo, 4, 0, 1, 1))</f>
        <v/>
      </c>
      <c r="H1214" s="195" t="str">
        <f ca="1">IF(OFFSET('IWP27'!Std4BudgetInfo, 5, 0, 1, 1) = 0, "", OFFSET('IWP27'!Std4BudgetInfo, 5, 0, 1, 1))</f>
        <v/>
      </c>
      <c r="I1214" s="195" t="str">
        <f ca="1">IF(OFFSET('IWP27'!Std4BudgetInfo, 6, 0, 1, 1) = 0, "", OFFSET('IWP27'!Std4BudgetInfo, 6, 0, 1, 1))</f>
        <v/>
      </c>
      <c r="J1214" s="195" t="str">
        <f ca="1">IF(OFFSET('IWP27'!Std4BudgetInfo, 7, 0, 1, 1) = 0, "", OFFSET('IWP27'!Std4BudgetInfo, 7, 0, 1, 1))</f>
        <v/>
      </c>
      <c r="K1214" s="195" t="str">
        <f ca="1">IF(OFFSET('IWP27'!Std4BudgetInfo, 8, 0, 1, 1) = 0, "", OFFSET('IWP27'!Std4BudgetInfo, 8, 0, 1, 1))</f>
        <v/>
      </c>
      <c r="L1214" s="195" t="str">
        <f ca="1">IF(OFFSET('IWP27'!Std4BudgetInfo, 9, 0, 1, 1) = 0, "", OFFSET('IWP27'!Std4BudgetInfo, 9, 0, 1, 1))</f>
        <v/>
      </c>
      <c r="M1214" s="194" t="str">
        <f ca="1">IF(OFFSET('IWP27'!Std4BudgetInfo, 10, 0, 1, 1) = 0, "", OFFSET('IWP27'!Std4BudgetInfo, 10, 0, 1, 1))</f>
        <v/>
      </c>
    </row>
    <row r="1215" spans="1:13" s="146" customFormat="1">
      <c r="A1215" s="183" t="s">
        <v>525</v>
      </c>
      <c r="B1215" s="196">
        <v>2</v>
      </c>
      <c r="C1215" s="172">
        <f ca="1">IF(OFFSET('IWP27'!Std4BudgetInfo, 0, 2, 1, 1)=DATE(1900,1,0), DATE(1900,1,1), OFFSET('IWP27'!Std4BudgetInfo, 0, 2, 1, 1))</f>
        <v>1</v>
      </c>
      <c r="D1215" s="172">
        <f ca="1">IF(OFFSET('IWP27'!Std4BudgetInfo, 0, 3, 1, 1)=DATE(1900,1,0), DATE(1900,1,1), OFFSET('IWP27'!Std4BudgetInfo, 0, 3, 1, 1))</f>
        <v>1</v>
      </c>
      <c r="E1215" s="172">
        <f ca="1">IF(OFFSET('IWP27'!Std4BudgetInfo, 2, 2, 1, 1)=DATE(1900,1,0), DATE(1900,1,1), OFFSET('IWP27'!Std4BudgetInfo, 2, 2, 1, 1))</f>
        <v>1</v>
      </c>
      <c r="F1215" s="195" t="str">
        <f ca="1">IF(OFFSET('IWP27'!Std4BudgetInfo, 3, 2, 1, 1) = 0, "", OFFSET('IWP27'!Std4BudgetInfo, 3, 2, 1, 1))</f>
        <v/>
      </c>
      <c r="G1215" s="195" t="str">
        <f ca="1">IF(OFFSET('IWP27'!Std4BudgetInfo, 4, 2, 1, 1) = 0, "", OFFSET('IWP27'!Std4BudgetInfo, 4, 2, 1, 1))</f>
        <v/>
      </c>
      <c r="H1215" s="195" t="str">
        <f ca="1">IF(OFFSET('IWP27'!Std4BudgetInfo, 5, 2, 1, 1) = 0, "", OFFSET('IWP27'!Std4BudgetInfo, 5, 2, 1, 1))</f>
        <v/>
      </c>
      <c r="I1215" s="195" t="str">
        <f ca="1">IF(OFFSET('IWP27'!Std4BudgetInfo, 6, 2, 1, 1) = 0, "", OFFSET('IWP27'!Std4BudgetInfo, 6, 2, 1, 1))</f>
        <v/>
      </c>
      <c r="J1215" s="195" t="str">
        <f ca="1">IF(OFFSET('IWP27'!Std4BudgetInfo, 7, 2, 1, 1) = 0, "", OFFSET('IWP27'!Std4BudgetInfo, 7, 2, 1, 1))</f>
        <v/>
      </c>
      <c r="K1215" s="195" t="str">
        <f ca="1">IF(OFFSET('IWP27'!Std4BudgetInfo, 8, 2, 1, 1) = 0, "", OFFSET('IWP27'!Std4BudgetInfo, 8, 2, 1, 1))</f>
        <v/>
      </c>
      <c r="L1215" s="195" t="str">
        <f ca="1">IF(OFFSET('IWP27'!Std4BudgetInfo, 9, 2, 1, 1) = 0, "", OFFSET('IWP27'!Std4BudgetInfo, 9, 2, 1, 1))</f>
        <v/>
      </c>
      <c r="M1215" s="194" t="str">
        <f ca="1">IF(OFFSET('IWP27'!Std4BudgetInfo, 10, 2, 1, 1) = 0, "", OFFSET('IWP27'!Std4BudgetInfo, 10, 2, 1, 1))</f>
        <v/>
      </c>
    </row>
    <row r="1216" spans="1:13" s="146" customFormat="1">
      <c r="A1216" s="183" t="s">
        <v>525</v>
      </c>
      <c r="B1216" s="196">
        <v>3</v>
      </c>
      <c r="C1216" s="172">
        <f ca="1">IF(OFFSET('IWP27'!Std4BudgetInfo, 0, 4, 1, 1)=DATE(1900,1,0), DATE(1900,1,1), OFFSET('IWP27'!Std4BudgetInfo, 0, 4, 1, 1))</f>
        <v>1</v>
      </c>
      <c r="D1216" s="172">
        <f ca="1">IF(OFFSET('IWP27'!Std4BudgetInfo, 0, 5, 1, 1)=DATE(1900,1,0), DATE(1900,1,1), OFFSET('IWP27'!Std4BudgetInfo, 0, 5, 1, 1))</f>
        <v>1</v>
      </c>
      <c r="E1216" s="172">
        <f ca="1">IF(OFFSET('IWP27'!Std4BudgetInfo, 2, 4, 1, 1)=DATE(1900,1,0), DATE(1900,1,1), OFFSET('IWP27'!Std4BudgetInfo, 2, 4, 1, 1))</f>
        <v>1</v>
      </c>
      <c r="F1216" s="195" t="str">
        <f ca="1">IF(OFFSET('IWP27'!Std4BudgetInfo, 3, 4, 1, 1) = 0, "", OFFSET('IWP27'!Std4BudgetInfo, 3, 4, 1, 1))</f>
        <v/>
      </c>
      <c r="G1216" s="195" t="str">
        <f ca="1">IF(OFFSET('IWP27'!Std4BudgetInfo, 4, 4, 1, 1) = 0, "", OFFSET('IWP27'!Std4BudgetInfo, 4, 4, 1, 1))</f>
        <v/>
      </c>
      <c r="H1216" s="195" t="str">
        <f ca="1">IF(OFFSET('IWP27'!Std4BudgetInfo, 5, 4, 1, 1) = 0, "", OFFSET('IWP27'!Std4BudgetInfo, 5, 4, 1, 1))</f>
        <v/>
      </c>
      <c r="I1216" s="195" t="str">
        <f ca="1">IF(OFFSET('IWP27'!Std4BudgetInfo, 6, 4, 1, 1) = 0, "", OFFSET('IWP27'!Std4BudgetInfo, 6, 4, 1, 1))</f>
        <v/>
      </c>
      <c r="J1216" s="195" t="str">
        <f ca="1">IF(OFFSET('IWP27'!Std4BudgetInfo, 7, 4, 1, 1) = 0, "", OFFSET('IWP27'!Std4BudgetInfo, 7, 4, 1, 1))</f>
        <v/>
      </c>
      <c r="K1216" s="195" t="str">
        <f ca="1">IF(OFFSET('IWP27'!Std4BudgetInfo, 8, 4, 1, 1) = 0, "", OFFSET('IWP27'!Std4BudgetInfo, 8, 4, 1, 1))</f>
        <v/>
      </c>
      <c r="L1216" s="195" t="str">
        <f ca="1">IF(OFFSET('IWP27'!Std4BudgetInfo, 9, 4, 1, 1) = 0, "", OFFSET('IWP27'!Std4BudgetInfo, 9, 4, 1, 1))</f>
        <v/>
      </c>
      <c r="M1216" s="194" t="str">
        <f ca="1">IF(OFFSET('IWP27'!Std4BudgetInfo, 10, 4, 1, 1) = 0, "", OFFSET('IWP27'!Std4BudgetInfo, 10, 4, 1, 1))</f>
        <v/>
      </c>
    </row>
    <row r="1217" spans="1:13" s="146" customFormat="1">
      <c r="A1217" s="183" t="s">
        <v>525</v>
      </c>
      <c r="B1217" s="196">
        <v>4</v>
      </c>
      <c r="C1217" s="172">
        <f ca="1">IF(OFFSET('IWP27'!Std4BudgetInfo, 0, 6, 1, 1)=DATE(1900,1,0), DATE(1900,1,1), OFFSET('IWP27'!Std4BudgetInfo, 0, 6, 1, 1))</f>
        <v>1</v>
      </c>
      <c r="D1217" s="172">
        <f ca="1">IF(OFFSET('IWP27'!Std4BudgetInfo, 0, 7, 1, 1)=DATE(1900,1,0), DATE(1900,1,1), OFFSET('IWP27'!Std4BudgetInfo, 0, 7, 1, 1))</f>
        <v>1</v>
      </c>
      <c r="E1217" s="172">
        <f ca="1">IF(OFFSET('IWP27'!Std4BudgetInfo, 2, 6, 1, 1)=DATE(1900,1,0), DATE(1900,1,1), OFFSET('IWP27'!Std4BudgetInfo, 2, 6, 1, 1))</f>
        <v>1</v>
      </c>
      <c r="F1217" s="195" t="str">
        <f ca="1">IF(OFFSET('IWP27'!Std4BudgetInfo, 3, 6, 1, 1) = 0, "", OFFSET('IWP27'!Std4BudgetInfo, 3, 6, 1, 1))</f>
        <v/>
      </c>
      <c r="G1217" s="195" t="str">
        <f ca="1">IF(OFFSET('IWP27'!Std4BudgetInfo, 4, 6, 1, 1) = 0, "", OFFSET('IWP27'!Std4BudgetInfo, 4, 6, 1, 1))</f>
        <v/>
      </c>
      <c r="H1217" s="195" t="str">
        <f ca="1">IF(OFFSET('IWP27'!Std4BudgetInfo, 5, 6, 1, 1) = 0, "", OFFSET('IWP27'!Std4BudgetInfo, 5, 6, 1, 1))</f>
        <v/>
      </c>
      <c r="I1217" s="195" t="str">
        <f ca="1">IF(OFFSET('IWP27'!Std4BudgetInfo, 6, 6, 1, 1) = 0, "", OFFSET('IWP27'!Std4BudgetInfo, 6, 6, 1, 1))</f>
        <v/>
      </c>
      <c r="J1217" s="195" t="str">
        <f ca="1">IF(OFFSET('IWP27'!Std4BudgetInfo, 7, 6, 1, 1) = 0, "", OFFSET('IWP27'!Std4BudgetInfo, 7, 6, 1, 1))</f>
        <v/>
      </c>
      <c r="K1217" s="195" t="str">
        <f ca="1">IF(OFFSET('IWP27'!Std4BudgetInfo, 8, 6, 1, 1) = 0, "", OFFSET('IWP27'!Std4BudgetInfo, 8, 6, 1, 1))</f>
        <v/>
      </c>
      <c r="L1217" s="195" t="str">
        <f ca="1">IF(OFFSET('IWP27'!Std4BudgetInfo, 9, 6, 1, 1) = 0, "", OFFSET('IWP27'!Std4BudgetInfo, 9, 6, 1, 1))</f>
        <v/>
      </c>
      <c r="M1217" s="194" t="str">
        <f ca="1">IF(OFFSET('IWP27'!Std4BudgetInfo, 10, 6, 1, 1) = 0, "", OFFSET('IWP27'!Std4BudgetInfo, 10, 6, 1, 1))</f>
        <v/>
      </c>
    </row>
    <row r="1218" spans="1:13" s="146" customFormat="1">
      <c r="A1218" s="183" t="s">
        <v>526</v>
      </c>
      <c r="B1218" s="196">
        <v>1</v>
      </c>
      <c r="C1218" s="172">
        <f ca="1">IF(OFFSET('IWP28'!Std4BudgetInfo, 0, 0, 1, 1)=DATE(1900,1,0), DATE(1900,1,1), OFFSET('IWP28'!Std4BudgetInfo, 0, 0, 1, 1))</f>
        <v>1</v>
      </c>
      <c r="D1218" s="172">
        <f ca="1">IF(OFFSET('IWP28'!Std4BudgetInfo, 0, 1, 1, 1)=DATE(1900,1,0), DATE(1900,1,1), OFFSET('IWP28'!Std4BudgetInfo, 0, 1, 1, 1))</f>
        <v>1</v>
      </c>
      <c r="E1218" s="172">
        <f ca="1">IF(OFFSET('IWP28'!Std4BudgetInfo, 2, 0, 1, 1)=DATE(1900,1,0), DATE(1900,1,1), OFFSET('IWP28'!Std4BudgetInfo, 2, 0, 1, 1))</f>
        <v>1</v>
      </c>
      <c r="F1218" s="195" t="str">
        <f ca="1">IF(OFFSET('IWP28'!Std4BudgetInfo, 3, 0, 1, 1) = 0, "", OFFSET('IWP28'!Std4BudgetInfo, 3, 0, 1, 1))</f>
        <v/>
      </c>
      <c r="G1218" s="195" t="str">
        <f ca="1">IF(OFFSET('IWP28'!Std4BudgetInfo, 4, 0, 1, 1) = 0, "", OFFSET('IWP28'!Std4BudgetInfo, 4, 0, 1, 1))</f>
        <v/>
      </c>
      <c r="H1218" s="195" t="str">
        <f ca="1">IF(OFFSET('IWP28'!Std4BudgetInfo, 5, 0, 1, 1) = 0, "", OFFSET('IWP28'!Std4BudgetInfo, 5, 0, 1, 1))</f>
        <v/>
      </c>
      <c r="I1218" s="195" t="str">
        <f ca="1">IF(OFFSET('IWP28'!Std4BudgetInfo, 6, 0, 1, 1) = 0, "", OFFSET('IWP28'!Std4BudgetInfo, 6, 0, 1, 1))</f>
        <v/>
      </c>
      <c r="J1218" s="195" t="str">
        <f ca="1">IF(OFFSET('IWP28'!Std4BudgetInfo, 7, 0, 1, 1) = 0, "", OFFSET('IWP28'!Std4BudgetInfo, 7, 0, 1, 1))</f>
        <v/>
      </c>
      <c r="K1218" s="195" t="str">
        <f ca="1">IF(OFFSET('IWP28'!Std4BudgetInfo, 8, 0, 1, 1) = 0, "", OFFSET('IWP28'!Std4BudgetInfo, 8, 0, 1, 1))</f>
        <v/>
      </c>
      <c r="L1218" s="195" t="str">
        <f ca="1">IF(OFFSET('IWP28'!Std4BudgetInfo, 9, 0, 1, 1) = 0, "", OFFSET('IWP28'!Std4BudgetInfo, 9, 0, 1, 1))</f>
        <v/>
      </c>
      <c r="M1218" s="194" t="str">
        <f ca="1">IF(OFFSET('IWP28'!Std4BudgetInfo, 10, 0, 1, 1) = 0, "", OFFSET('IWP28'!Std4BudgetInfo, 10, 0, 1, 1))</f>
        <v/>
      </c>
    </row>
    <row r="1219" spans="1:13" s="146" customFormat="1">
      <c r="A1219" s="183" t="s">
        <v>526</v>
      </c>
      <c r="B1219" s="196">
        <v>2</v>
      </c>
      <c r="C1219" s="172">
        <f ca="1">IF(OFFSET('IWP28'!Std4BudgetInfo, 0, 2, 1, 1)=DATE(1900,1,0), DATE(1900,1,1), OFFSET('IWP28'!Std4BudgetInfo, 0, 2, 1, 1))</f>
        <v>1</v>
      </c>
      <c r="D1219" s="172">
        <f ca="1">IF(OFFSET('IWP28'!Std4BudgetInfo, 0, 3, 1, 1)=DATE(1900,1,0), DATE(1900,1,1), OFFSET('IWP28'!Std4BudgetInfo, 0, 3, 1, 1))</f>
        <v>1</v>
      </c>
      <c r="E1219" s="172">
        <f ca="1">IF(OFFSET('IWP28'!Std4BudgetInfo, 2, 2, 1, 1)=DATE(1900,1,0), DATE(1900,1,1), OFFSET('IWP28'!Std4BudgetInfo, 2, 2, 1, 1))</f>
        <v>1</v>
      </c>
      <c r="F1219" s="195" t="str">
        <f ca="1">IF(OFFSET('IWP28'!Std4BudgetInfo, 3, 2, 1, 1) = 0, "", OFFSET('IWP28'!Std4BudgetInfo, 3, 2, 1, 1))</f>
        <v/>
      </c>
      <c r="G1219" s="195" t="str">
        <f ca="1">IF(OFFSET('IWP28'!Std4BudgetInfo, 4, 2, 1, 1) = 0, "", OFFSET('IWP28'!Std4BudgetInfo, 4, 2, 1, 1))</f>
        <v/>
      </c>
      <c r="H1219" s="195" t="str">
        <f ca="1">IF(OFFSET('IWP28'!Std4BudgetInfo, 5, 2, 1, 1) = 0, "", OFFSET('IWP28'!Std4BudgetInfo, 5, 2, 1, 1))</f>
        <v/>
      </c>
      <c r="I1219" s="195" t="str">
        <f ca="1">IF(OFFSET('IWP28'!Std4BudgetInfo, 6, 2, 1, 1) = 0, "", OFFSET('IWP28'!Std4BudgetInfo, 6, 2, 1, 1))</f>
        <v/>
      </c>
      <c r="J1219" s="195" t="str">
        <f ca="1">IF(OFFSET('IWP28'!Std4BudgetInfo, 7, 2, 1, 1) = 0, "", OFFSET('IWP28'!Std4BudgetInfo, 7, 2, 1, 1))</f>
        <v/>
      </c>
      <c r="K1219" s="195" t="str">
        <f ca="1">IF(OFFSET('IWP28'!Std4BudgetInfo, 8, 2, 1, 1) = 0, "", OFFSET('IWP28'!Std4BudgetInfo, 8, 2, 1, 1))</f>
        <v/>
      </c>
      <c r="L1219" s="195" t="str">
        <f ca="1">IF(OFFSET('IWP28'!Std4BudgetInfo, 9, 2, 1, 1) = 0, "", OFFSET('IWP28'!Std4BudgetInfo, 9, 2, 1, 1))</f>
        <v/>
      </c>
      <c r="M1219" s="194" t="str">
        <f ca="1">IF(OFFSET('IWP28'!Std4BudgetInfo, 10, 2, 1, 1) = 0, "", OFFSET('IWP28'!Std4BudgetInfo, 10, 2, 1, 1))</f>
        <v/>
      </c>
    </row>
    <row r="1220" spans="1:13" s="146" customFormat="1">
      <c r="A1220" s="183" t="s">
        <v>526</v>
      </c>
      <c r="B1220" s="196">
        <v>3</v>
      </c>
      <c r="C1220" s="172">
        <f ca="1">IF(OFFSET('IWP28'!Std4BudgetInfo, 0, 4, 1, 1)=DATE(1900,1,0), DATE(1900,1,1), OFFSET('IWP28'!Std4BudgetInfo, 0, 4, 1, 1))</f>
        <v>1</v>
      </c>
      <c r="D1220" s="172">
        <f ca="1">IF(OFFSET('IWP28'!Std4BudgetInfo, 0, 5, 1, 1)=DATE(1900,1,0), DATE(1900,1,1), OFFSET('IWP28'!Std4BudgetInfo, 0, 5, 1, 1))</f>
        <v>1</v>
      </c>
      <c r="E1220" s="172">
        <f ca="1">IF(OFFSET('IWP28'!Std4BudgetInfo, 2, 4, 1, 1)=DATE(1900,1,0), DATE(1900,1,1), OFFSET('IWP28'!Std4BudgetInfo, 2, 4, 1, 1))</f>
        <v>1</v>
      </c>
      <c r="F1220" s="195" t="str">
        <f ca="1">IF(OFFSET('IWP28'!Std4BudgetInfo, 3, 4, 1, 1) = 0, "", OFFSET('IWP28'!Std4BudgetInfo, 3, 4, 1, 1))</f>
        <v/>
      </c>
      <c r="G1220" s="195" t="str">
        <f ca="1">IF(OFFSET('IWP28'!Std4BudgetInfo, 4, 4, 1, 1) = 0, "", OFFSET('IWP28'!Std4BudgetInfo, 4, 4, 1, 1))</f>
        <v/>
      </c>
      <c r="H1220" s="195" t="str">
        <f ca="1">IF(OFFSET('IWP28'!Std4BudgetInfo, 5, 4, 1, 1) = 0, "", OFFSET('IWP28'!Std4BudgetInfo, 5, 4, 1, 1))</f>
        <v/>
      </c>
      <c r="I1220" s="195" t="str">
        <f ca="1">IF(OFFSET('IWP28'!Std4BudgetInfo, 6, 4, 1, 1) = 0, "", OFFSET('IWP28'!Std4BudgetInfo, 6, 4, 1, 1))</f>
        <v/>
      </c>
      <c r="J1220" s="195" t="str">
        <f ca="1">IF(OFFSET('IWP28'!Std4BudgetInfo, 7, 4, 1, 1) = 0, "", OFFSET('IWP28'!Std4BudgetInfo, 7, 4, 1, 1))</f>
        <v/>
      </c>
      <c r="K1220" s="195" t="str">
        <f ca="1">IF(OFFSET('IWP28'!Std4BudgetInfo, 8, 4, 1, 1) = 0, "", OFFSET('IWP28'!Std4BudgetInfo, 8, 4, 1, 1))</f>
        <v/>
      </c>
      <c r="L1220" s="195" t="str">
        <f ca="1">IF(OFFSET('IWP28'!Std4BudgetInfo, 9, 4, 1, 1) = 0, "", OFFSET('IWP28'!Std4BudgetInfo, 9, 4, 1, 1))</f>
        <v/>
      </c>
      <c r="M1220" s="194" t="str">
        <f ca="1">IF(OFFSET('IWP28'!Std4BudgetInfo, 10, 4, 1, 1) = 0, "", OFFSET('IWP28'!Std4BudgetInfo, 10, 4, 1, 1))</f>
        <v/>
      </c>
    </row>
    <row r="1221" spans="1:13" s="146" customFormat="1">
      <c r="A1221" s="183" t="s">
        <v>526</v>
      </c>
      <c r="B1221" s="196">
        <v>4</v>
      </c>
      <c r="C1221" s="172">
        <f ca="1">IF(OFFSET('IWP28'!Std4BudgetInfo, 0, 6, 1, 1)=DATE(1900,1,0), DATE(1900,1,1), OFFSET('IWP28'!Std4BudgetInfo, 0, 6, 1, 1))</f>
        <v>1</v>
      </c>
      <c r="D1221" s="172">
        <f ca="1">IF(OFFSET('IWP28'!Std4BudgetInfo, 0, 7, 1, 1)=DATE(1900,1,0), DATE(1900,1,1), OFFSET('IWP28'!Std4BudgetInfo, 0, 7, 1, 1))</f>
        <v>1</v>
      </c>
      <c r="E1221" s="172">
        <f ca="1">IF(OFFSET('IWP28'!Std4BudgetInfo, 2, 6, 1, 1)=DATE(1900,1,0), DATE(1900,1,1), OFFSET('IWP28'!Std4BudgetInfo, 2, 6, 1, 1))</f>
        <v>1</v>
      </c>
      <c r="F1221" s="195" t="str">
        <f ca="1">IF(OFFSET('IWP28'!Std4BudgetInfo, 3, 6, 1, 1) = 0, "", OFFSET('IWP28'!Std4BudgetInfo, 3, 6, 1, 1))</f>
        <v/>
      </c>
      <c r="G1221" s="195" t="str">
        <f ca="1">IF(OFFSET('IWP28'!Std4BudgetInfo, 4, 6, 1, 1) = 0, "", OFFSET('IWP28'!Std4BudgetInfo, 4, 6, 1, 1))</f>
        <v/>
      </c>
      <c r="H1221" s="195" t="str">
        <f ca="1">IF(OFFSET('IWP28'!Std4BudgetInfo, 5, 6, 1, 1) = 0, "", OFFSET('IWP28'!Std4BudgetInfo, 5, 6, 1, 1))</f>
        <v/>
      </c>
      <c r="I1221" s="195" t="str">
        <f ca="1">IF(OFFSET('IWP28'!Std4BudgetInfo, 6, 6, 1, 1) = 0, "", OFFSET('IWP28'!Std4BudgetInfo, 6, 6, 1, 1))</f>
        <v/>
      </c>
      <c r="J1221" s="195" t="str">
        <f ca="1">IF(OFFSET('IWP28'!Std4BudgetInfo, 7, 6, 1, 1) = 0, "", OFFSET('IWP28'!Std4BudgetInfo, 7, 6, 1, 1))</f>
        <v/>
      </c>
      <c r="K1221" s="195" t="str">
        <f ca="1">IF(OFFSET('IWP28'!Std4BudgetInfo, 8, 6, 1, 1) = 0, "", OFFSET('IWP28'!Std4BudgetInfo, 8, 6, 1, 1))</f>
        <v/>
      </c>
      <c r="L1221" s="195" t="str">
        <f ca="1">IF(OFFSET('IWP28'!Std4BudgetInfo, 9, 6, 1, 1) = 0, "", OFFSET('IWP28'!Std4BudgetInfo, 9, 6, 1, 1))</f>
        <v/>
      </c>
      <c r="M1221" s="194" t="str">
        <f ca="1">IF(OFFSET('IWP28'!Std4BudgetInfo, 10, 6, 1, 1) = 0, "", OFFSET('IWP28'!Std4BudgetInfo, 10, 6, 1, 1))</f>
        <v/>
      </c>
    </row>
    <row r="1222" spans="1:13" s="146" customFormat="1">
      <c r="A1222" s="183" t="s">
        <v>527</v>
      </c>
      <c r="B1222" s="196">
        <v>1</v>
      </c>
      <c r="C1222" s="172">
        <f ca="1">IF(OFFSET('IWP29'!Std4BudgetInfo, 0, 0, 1, 1)=DATE(1900,1,0), DATE(1900,1,1), OFFSET('IWP29'!Std4BudgetInfo, 0, 0, 1, 1))</f>
        <v>1</v>
      </c>
      <c r="D1222" s="172">
        <f ca="1">IF(OFFSET('IWP29'!Std4BudgetInfo, 0, 1, 1, 1)=DATE(1900,1,0), DATE(1900,1,1), OFFSET('IWP29'!Std4BudgetInfo, 0, 1, 1, 1))</f>
        <v>1</v>
      </c>
      <c r="E1222" s="172">
        <f ca="1">IF(OFFSET('IWP29'!Std4BudgetInfo, 2, 0, 1, 1)=DATE(1900,1,0), DATE(1900,1,1), OFFSET('IWP29'!Std4BudgetInfo, 2, 0, 1, 1))</f>
        <v>1</v>
      </c>
      <c r="F1222" s="195" t="str">
        <f ca="1">IF(OFFSET('IWP29'!Std4BudgetInfo, 3, 0, 1, 1) = 0, "", OFFSET('IWP29'!Std4BudgetInfo, 3, 0, 1, 1))</f>
        <v/>
      </c>
      <c r="G1222" s="195" t="str">
        <f ca="1">IF(OFFSET('IWP29'!Std4BudgetInfo, 4, 0, 1, 1) = 0, "", OFFSET('IWP29'!Std4BudgetInfo, 4, 0, 1, 1))</f>
        <v/>
      </c>
      <c r="H1222" s="195" t="str">
        <f ca="1">IF(OFFSET('IWP29'!Std4BudgetInfo, 5, 0, 1, 1) = 0, "", OFFSET('IWP29'!Std4BudgetInfo, 5, 0, 1, 1))</f>
        <v/>
      </c>
      <c r="I1222" s="195" t="str">
        <f ca="1">IF(OFFSET('IWP29'!Std4BudgetInfo, 6, 0, 1, 1) = 0, "", OFFSET('IWP29'!Std4BudgetInfo, 6, 0, 1, 1))</f>
        <v/>
      </c>
      <c r="J1222" s="195" t="str">
        <f ca="1">IF(OFFSET('IWP29'!Std4BudgetInfo, 7, 0, 1, 1) = 0, "", OFFSET('IWP29'!Std4BudgetInfo, 7, 0, 1, 1))</f>
        <v/>
      </c>
      <c r="K1222" s="195" t="str">
        <f ca="1">IF(OFFSET('IWP29'!Std4BudgetInfo, 8, 0, 1, 1) = 0, "", OFFSET('IWP29'!Std4BudgetInfo, 8, 0, 1, 1))</f>
        <v/>
      </c>
      <c r="L1222" s="195" t="str">
        <f ca="1">IF(OFFSET('IWP29'!Std4BudgetInfo, 9, 0, 1, 1) = 0, "", OFFSET('IWP29'!Std4BudgetInfo, 9, 0, 1, 1))</f>
        <v/>
      </c>
      <c r="M1222" s="194" t="str">
        <f ca="1">IF(OFFSET('IWP29'!Std4BudgetInfo, 10, 0, 1, 1) = 0, "", OFFSET('IWP29'!Std4BudgetInfo, 10, 0, 1, 1))</f>
        <v/>
      </c>
    </row>
    <row r="1223" spans="1:13" s="146" customFormat="1">
      <c r="A1223" s="183" t="s">
        <v>527</v>
      </c>
      <c r="B1223" s="196">
        <v>2</v>
      </c>
      <c r="C1223" s="172">
        <f ca="1">IF(OFFSET('IWP29'!Std4BudgetInfo, 0, 2, 1, 1)=DATE(1900,1,0), DATE(1900,1,1), OFFSET('IWP29'!Std4BudgetInfo, 0, 2, 1, 1))</f>
        <v>1</v>
      </c>
      <c r="D1223" s="172">
        <f ca="1">IF(OFFSET('IWP29'!Std4BudgetInfo, 0, 3, 1, 1)=DATE(1900,1,0), DATE(1900,1,1), OFFSET('IWP29'!Std4BudgetInfo, 0, 3, 1, 1))</f>
        <v>1</v>
      </c>
      <c r="E1223" s="172">
        <f ca="1">IF(OFFSET('IWP29'!Std4BudgetInfo, 2, 2, 1, 1)=DATE(1900,1,0), DATE(1900,1,1), OFFSET('IWP29'!Std4BudgetInfo, 2, 2, 1, 1))</f>
        <v>1</v>
      </c>
      <c r="F1223" s="195" t="str">
        <f ca="1">IF(OFFSET('IWP29'!Std4BudgetInfo, 3, 2, 1, 1) = 0, "", OFFSET('IWP29'!Std4BudgetInfo, 3, 2, 1, 1))</f>
        <v/>
      </c>
      <c r="G1223" s="195" t="str">
        <f ca="1">IF(OFFSET('IWP29'!Std4BudgetInfo, 4, 2, 1, 1) = 0, "", OFFSET('IWP29'!Std4BudgetInfo, 4, 2, 1, 1))</f>
        <v/>
      </c>
      <c r="H1223" s="195" t="str">
        <f ca="1">IF(OFFSET('IWP29'!Std4BudgetInfo, 5, 2, 1, 1) = 0, "", OFFSET('IWP29'!Std4BudgetInfo, 5, 2, 1, 1))</f>
        <v/>
      </c>
      <c r="I1223" s="195" t="str">
        <f ca="1">IF(OFFSET('IWP29'!Std4BudgetInfo, 6, 2, 1, 1) = 0, "", OFFSET('IWP29'!Std4BudgetInfo, 6, 2, 1, 1))</f>
        <v/>
      </c>
      <c r="J1223" s="195" t="str">
        <f ca="1">IF(OFFSET('IWP29'!Std4BudgetInfo, 7, 2, 1, 1) = 0, "", OFFSET('IWP29'!Std4BudgetInfo, 7, 2, 1, 1))</f>
        <v/>
      </c>
      <c r="K1223" s="195" t="str">
        <f ca="1">IF(OFFSET('IWP29'!Std4BudgetInfo, 8, 2, 1, 1) = 0, "", OFFSET('IWP29'!Std4BudgetInfo, 8, 2, 1, 1))</f>
        <v/>
      </c>
      <c r="L1223" s="195" t="str">
        <f ca="1">IF(OFFSET('IWP29'!Std4BudgetInfo, 9, 2, 1, 1) = 0, "", OFFSET('IWP29'!Std4BudgetInfo, 9, 2, 1, 1))</f>
        <v/>
      </c>
      <c r="M1223" s="194" t="str">
        <f ca="1">IF(OFFSET('IWP29'!Std4BudgetInfo, 10, 2, 1, 1) = 0, "", OFFSET('IWP29'!Std4BudgetInfo, 10, 2, 1, 1))</f>
        <v/>
      </c>
    </row>
    <row r="1224" spans="1:13" s="146" customFormat="1">
      <c r="A1224" s="183" t="s">
        <v>527</v>
      </c>
      <c r="B1224" s="196">
        <v>3</v>
      </c>
      <c r="C1224" s="172">
        <f ca="1">IF(OFFSET('IWP29'!Std4BudgetInfo, 0, 4, 1, 1)=DATE(1900,1,0), DATE(1900,1,1), OFFSET('IWP29'!Std4BudgetInfo, 0, 4, 1, 1))</f>
        <v>1</v>
      </c>
      <c r="D1224" s="172">
        <f ca="1">IF(OFFSET('IWP29'!Std4BudgetInfo, 0, 5, 1, 1)=DATE(1900,1,0), DATE(1900,1,1), OFFSET('IWP29'!Std4BudgetInfo, 0, 5, 1, 1))</f>
        <v>1</v>
      </c>
      <c r="E1224" s="172">
        <f ca="1">IF(OFFSET('IWP29'!Std4BudgetInfo, 2, 4, 1, 1)=DATE(1900,1,0), DATE(1900,1,1), OFFSET('IWP29'!Std4BudgetInfo, 2, 4, 1, 1))</f>
        <v>1</v>
      </c>
      <c r="F1224" s="195" t="str">
        <f ca="1">IF(OFFSET('IWP29'!Std4BudgetInfo, 3, 4, 1, 1) = 0, "", OFFSET('IWP29'!Std4BudgetInfo, 3, 4, 1, 1))</f>
        <v/>
      </c>
      <c r="G1224" s="195" t="str">
        <f ca="1">IF(OFFSET('IWP29'!Std4BudgetInfo, 4, 4, 1, 1) = 0, "", OFFSET('IWP29'!Std4BudgetInfo, 4, 4, 1, 1))</f>
        <v/>
      </c>
      <c r="H1224" s="195" t="str">
        <f ca="1">IF(OFFSET('IWP29'!Std4BudgetInfo, 5, 4, 1, 1) = 0, "", OFFSET('IWP29'!Std4BudgetInfo, 5, 4, 1, 1))</f>
        <v/>
      </c>
      <c r="I1224" s="195" t="str">
        <f ca="1">IF(OFFSET('IWP29'!Std4BudgetInfo, 6, 4, 1, 1) = 0, "", OFFSET('IWP29'!Std4BudgetInfo, 6, 4, 1, 1))</f>
        <v/>
      </c>
      <c r="J1224" s="195" t="str">
        <f ca="1">IF(OFFSET('IWP29'!Std4BudgetInfo, 7, 4, 1, 1) = 0, "", OFFSET('IWP29'!Std4BudgetInfo, 7, 4, 1, 1))</f>
        <v/>
      </c>
      <c r="K1224" s="195" t="str">
        <f ca="1">IF(OFFSET('IWP29'!Std4BudgetInfo, 8, 4, 1, 1) = 0, "", OFFSET('IWP29'!Std4BudgetInfo, 8, 4, 1, 1))</f>
        <v/>
      </c>
      <c r="L1224" s="195" t="str">
        <f ca="1">IF(OFFSET('IWP29'!Std4BudgetInfo, 9, 4, 1, 1) = 0, "", OFFSET('IWP29'!Std4BudgetInfo, 9, 4, 1, 1))</f>
        <v/>
      </c>
      <c r="M1224" s="194" t="str">
        <f ca="1">IF(OFFSET('IWP29'!Std4BudgetInfo, 10, 4, 1, 1) = 0, "", OFFSET('IWP29'!Std4BudgetInfo, 10, 4, 1, 1))</f>
        <v/>
      </c>
    </row>
    <row r="1225" spans="1:13" s="146" customFormat="1">
      <c r="A1225" s="183" t="s">
        <v>527</v>
      </c>
      <c r="B1225" s="196">
        <v>4</v>
      </c>
      <c r="C1225" s="172">
        <f ca="1">IF(OFFSET('IWP29'!Std4BudgetInfo, 0, 6, 1, 1)=DATE(1900,1,0), DATE(1900,1,1), OFFSET('IWP29'!Std4BudgetInfo, 0, 6, 1, 1))</f>
        <v>1</v>
      </c>
      <c r="D1225" s="172">
        <f ca="1">IF(OFFSET('IWP29'!Std4BudgetInfo, 0, 7, 1, 1)=DATE(1900,1,0), DATE(1900,1,1), OFFSET('IWP29'!Std4BudgetInfo, 0, 7, 1, 1))</f>
        <v>1</v>
      </c>
      <c r="E1225" s="172">
        <f ca="1">IF(OFFSET('IWP29'!Std4BudgetInfo, 2, 6, 1, 1)=DATE(1900,1,0), DATE(1900,1,1), OFFSET('IWP29'!Std4BudgetInfo, 2, 6, 1, 1))</f>
        <v>1</v>
      </c>
      <c r="F1225" s="195" t="str">
        <f ca="1">IF(OFFSET('IWP29'!Std4BudgetInfo, 3, 6, 1, 1) = 0, "", OFFSET('IWP29'!Std4BudgetInfo, 3, 6, 1, 1))</f>
        <v/>
      </c>
      <c r="G1225" s="195" t="str">
        <f ca="1">IF(OFFSET('IWP29'!Std4BudgetInfo, 4, 6, 1, 1) = 0, "", OFFSET('IWP29'!Std4BudgetInfo, 4, 6, 1, 1))</f>
        <v/>
      </c>
      <c r="H1225" s="195" t="str">
        <f ca="1">IF(OFFSET('IWP29'!Std4BudgetInfo, 5, 6, 1, 1) = 0, "", OFFSET('IWP29'!Std4BudgetInfo, 5, 6, 1, 1))</f>
        <v/>
      </c>
      <c r="I1225" s="195" t="str">
        <f ca="1">IF(OFFSET('IWP29'!Std4BudgetInfo, 6, 6, 1, 1) = 0, "", OFFSET('IWP29'!Std4BudgetInfo, 6, 6, 1, 1))</f>
        <v/>
      </c>
      <c r="J1225" s="195" t="str">
        <f ca="1">IF(OFFSET('IWP29'!Std4BudgetInfo, 7, 6, 1, 1) = 0, "", OFFSET('IWP29'!Std4BudgetInfo, 7, 6, 1, 1))</f>
        <v/>
      </c>
      <c r="K1225" s="195" t="str">
        <f ca="1">IF(OFFSET('IWP29'!Std4BudgetInfo, 8, 6, 1, 1) = 0, "", OFFSET('IWP29'!Std4BudgetInfo, 8, 6, 1, 1))</f>
        <v/>
      </c>
      <c r="L1225" s="195" t="str">
        <f ca="1">IF(OFFSET('IWP29'!Std4BudgetInfo, 9, 6, 1, 1) = 0, "", OFFSET('IWP29'!Std4BudgetInfo, 9, 6, 1, 1))</f>
        <v/>
      </c>
      <c r="M1225" s="194" t="str">
        <f ca="1">IF(OFFSET('IWP29'!Std4BudgetInfo, 10, 6, 1, 1) = 0, "", OFFSET('IWP29'!Std4BudgetInfo, 10, 6, 1, 1))</f>
        <v/>
      </c>
    </row>
    <row r="1226" spans="1:13" s="146" customFormat="1">
      <c r="A1226" s="183" t="s">
        <v>528</v>
      </c>
      <c r="B1226" s="196">
        <v>1</v>
      </c>
      <c r="C1226" s="172">
        <f ca="1">IF(OFFSET('IWP30'!Std4BudgetInfo, 0, 0, 1, 1)=DATE(1900,1,0), DATE(1900,1,1), OFFSET('IWP30'!Std4BudgetInfo, 0, 0, 1, 1))</f>
        <v>1</v>
      </c>
      <c r="D1226" s="172">
        <f ca="1">IF(OFFSET('IWP30'!Std4BudgetInfo, 0, 1, 1, 1)=DATE(1900,1,0), DATE(1900,1,1), OFFSET('IWP30'!Std4BudgetInfo, 0, 1, 1, 1))</f>
        <v>1</v>
      </c>
      <c r="E1226" s="172">
        <f ca="1">IF(OFFSET('IWP30'!Std4BudgetInfo, 2, 0, 1, 1)=DATE(1900,1,0), DATE(1900,1,1), OFFSET('IWP30'!Std4BudgetInfo, 2, 0, 1, 1))</f>
        <v>1</v>
      </c>
      <c r="F1226" s="195" t="str">
        <f ca="1">IF(OFFSET('IWP30'!Std4BudgetInfo, 3, 0, 1, 1) = 0, "", OFFSET('IWP30'!Std4BudgetInfo, 3, 0, 1, 1))</f>
        <v/>
      </c>
      <c r="G1226" s="195" t="str">
        <f ca="1">IF(OFFSET('IWP30'!Std4BudgetInfo, 4, 0, 1, 1) = 0, "", OFFSET('IWP30'!Std4BudgetInfo, 4, 0, 1, 1))</f>
        <v/>
      </c>
      <c r="H1226" s="195" t="str">
        <f ca="1">IF(OFFSET('IWP30'!Std4BudgetInfo, 5, 0, 1, 1) = 0, "", OFFSET('IWP30'!Std4BudgetInfo, 5, 0, 1, 1))</f>
        <v/>
      </c>
      <c r="I1226" s="195" t="str">
        <f ca="1">IF(OFFSET('IWP30'!Std4BudgetInfo, 6, 0, 1, 1) = 0, "", OFFSET('IWP30'!Std4BudgetInfo, 6, 0, 1, 1))</f>
        <v/>
      </c>
      <c r="J1226" s="195" t="str">
        <f ca="1">IF(OFFSET('IWP30'!Std4BudgetInfo, 7, 0, 1, 1) = 0, "", OFFSET('IWP30'!Std4BudgetInfo, 7, 0, 1, 1))</f>
        <v/>
      </c>
      <c r="K1226" s="195" t="str">
        <f ca="1">IF(OFFSET('IWP30'!Std4BudgetInfo, 8, 0, 1, 1) = 0, "", OFFSET('IWP30'!Std4BudgetInfo, 8, 0, 1, 1))</f>
        <v/>
      </c>
      <c r="L1226" s="195" t="str">
        <f ca="1">IF(OFFSET('IWP30'!Std4BudgetInfo, 9, 0, 1, 1) = 0, "", OFFSET('IWP30'!Std4BudgetInfo, 9, 0, 1, 1))</f>
        <v/>
      </c>
      <c r="M1226" s="194" t="str">
        <f ca="1">IF(OFFSET('IWP30'!Std4BudgetInfo, 10, 0, 1, 1) = 0, "", OFFSET('IWP30'!Std4BudgetInfo, 10, 0, 1, 1))</f>
        <v/>
      </c>
    </row>
    <row r="1227" spans="1:13" s="146" customFormat="1">
      <c r="A1227" s="183" t="s">
        <v>528</v>
      </c>
      <c r="B1227" s="196">
        <v>2</v>
      </c>
      <c r="C1227" s="172">
        <f ca="1">IF(OFFSET('IWP30'!Std4BudgetInfo, 0, 2, 1, 1)=DATE(1900,1,0), DATE(1900,1,1), OFFSET('IWP30'!Std4BudgetInfo, 0, 2, 1, 1))</f>
        <v>1</v>
      </c>
      <c r="D1227" s="172">
        <f ca="1">IF(OFFSET('IWP30'!Std4BudgetInfo, 0, 3, 1, 1)=DATE(1900,1,0), DATE(1900,1,1), OFFSET('IWP30'!Std4BudgetInfo, 0, 3, 1, 1))</f>
        <v>1</v>
      </c>
      <c r="E1227" s="172">
        <f ca="1">IF(OFFSET('IWP30'!Std4BudgetInfo, 2, 2, 1, 1)=DATE(1900,1,0), DATE(1900,1,1), OFFSET('IWP30'!Std4BudgetInfo, 2, 2, 1, 1))</f>
        <v>1</v>
      </c>
      <c r="F1227" s="195" t="str">
        <f ca="1">IF(OFFSET('IWP30'!Std4BudgetInfo, 3, 2, 1, 1) = 0, "", OFFSET('IWP30'!Std4BudgetInfo, 3, 2, 1, 1))</f>
        <v/>
      </c>
      <c r="G1227" s="195" t="str">
        <f ca="1">IF(OFFSET('IWP30'!Std4BudgetInfo, 4, 2, 1, 1) = 0, "", OFFSET('IWP30'!Std4BudgetInfo, 4, 2, 1, 1))</f>
        <v/>
      </c>
      <c r="H1227" s="195" t="str">
        <f ca="1">IF(OFFSET('IWP30'!Std4BudgetInfo, 5, 2, 1, 1) = 0, "", OFFSET('IWP30'!Std4BudgetInfo, 5, 2, 1, 1))</f>
        <v/>
      </c>
      <c r="I1227" s="195" t="str">
        <f ca="1">IF(OFFSET('IWP30'!Std4BudgetInfo, 6, 2, 1, 1) = 0, "", OFFSET('IWP30'!Std4BudgetInfo, 6, 2, 1, 1))</f>
        <v/>
      </c>
      <c r="J1227" s="195" t="str">
        <f ca="1">IF(OFFSET('IWP30'!Std4BudgetInfo, 7, 2, 1, 1) = 0, "", OFFSET('IWP30'!Std4BudgetInfo, 7, 2, 1, 1))</f>
        <v/>
      </c>
      <c r="K1227" s="195" t="str">
        <f ca="1">IF(OFFSET('IWP30'!Std4BudgetInfo, 8, 2, 1, 1) = 0, "", OFFSET('IWP30'!Std4BudgetInfo, 8, 2, 1, 1))</f>
        <v/>
      </c>
      <c r="L1227" s="195" t="str">
        <f ca="1">IF(OFFSET('IWP30'!Std4BudgetInfo, 9, 2, 1, 1) = 0, "", OFFSET('IWP30'!Std4BudgetInfo, 9, 2, 1, 1))</f>
        <v/>
      </c>
      <c r="M1227" s="194" t="str">
        <f ca="1">IF(OFFSET('IWP30'!Std4BudgetInfo, 10, 2, 1, 1) = 0, "", OFFSET('IWP30'!Std4BudgetInfo, 10, 2, 1, 1))</f>
        <v/>
      </c>
    </row>
    <row r="1228" spans="1:13" s="146" customFormat="1">
      <c r="A1228" s="183" t="s">
        <v>528</v>
      </c>
      <c r="B1228" s="196">
        <v>3</v>
      </c>
      <c r="C1228" s="172">
        <f ca="1">IF(OFFSET('IWP30'!Std4BudgetInfo, 0, 4, 1, 1)=DATE(1900,1,0), DATE(1900,1,1), OFFSET('IWP30'!Std4BudgetInfo, 0, 4, 1, 1))</f>
        <v>1</v>
      </c>
      <c r="D1228" s="172">
        <f ca="1">IF(OFFSET('IWP30'!Std4BudgetInfo, 0, 5, 1, 1)=DATE(1900,1,0), DATE(1900,1,1), OFFSET('IWP30'!Std4BudgetInfo, 0, 5, 1, 1))</f>
        <v>1</v>
      </c>
      <c r="E1228" s="172">
        <f ca="1">IF(OFFSET('IWP30'!Std4BudgetInfo, 2, 4, 1, 1)=DATE(1900,1,0), DATE(1900,1,1), OFFSET('IWP30'!Std4BudgetInfo, 2, 4, 1, 1))</f>
        <v>1</v>
      </c>
      <c r="F1228" s="195" t="str">
        <f ca="1">IF(OFFSET('IWP30'!Std4BudgetInfo, 3, 4, 1, 1) = 0, "", OFFSET('IWP30'!Std4BudgetInfo, 3, 4, 1, 1))</f>
        <v/>
      </c>
      <c r="G1228" s="195" t="str">
        <f ca="1">IF(OFFSET('IWP30'!Std4BudgetInfo, 4, 4, 1, 1) = 0, "", OFFSET('IWP30'!Std4BudgetInfo, 4, 4, 1, 1))</f>
        <v/>
      </c>
      <c r="H1228" s="195" t="str">
        <f ca="1">IF(OFFSET('IWP30'!Std4BudgetInfo, 5, 4, 1, 1) = 0, "", OFFSET('IWP30'!Std4BudgetInfo, 5, 4, 1, 1))</f>
        <v/>
      </c>
      <c r="I1228" s="195" t="str">
        <f ca="1">IF(OFFSET('IWP30'!Std4BudgetInfo, 6, 4, 1, 1) = 0, "", OFFSET('IWP30'!Std4BudgetInfo, 6, 4, 1, 1))</f>
        <v/>
      </c>
      <c r="J1228" s="195" t="str">
        <f ca="1">IF(OFFSET('IWP30'!Std4BudgetInfo, 7, 4, 1, 1) = 0, "", OFFSET('IWP30'!Std4BudgetInfo, 7, 4, 1, 1))</f>
        <v/>
      </c>
      <c r="K1228" s="195" t="str">
        <f ca="1">IF(OFFSET('IWP30'!Std4BudgetInfo, 8, 4, 1, 1) = 0, "", OFFSET('IWP30'!Std4BudgetInfo, 8, 4, 1, 1))</f>
        <v/>
      </c>
      <c r="L1228" s="195" t="str">
        <f ca="1">IF(OFFSET('IWP30'!Std4BudgetInfo, 9, 4, 1, 1) = 0, "", OFFSET('IWP30'!Std4BudgetInfo, 9, 4, 1, 1))</f>
        <v/>
      </c>
      <c r="M1228" s="194" t="str">
        <f ca="1">IF(OFFSET('IWP30'!Std4BudgetInfo, 10, 4, 1, 1) = 0, "", OFFSET('IWP30'!Std4BudgetInfo, 10, 4, 1, 1))</f>
        <v/>
      </c>
    </row>
    <row r="1229" spans="1:13" s="146" customFormat="1" ht="15.75" thickBot="1">
      <c r="A1229" s="184" t="s">
        <v>528</v>
      </c>
      <c r="B1229" s="185">
        <v>4</v>
      </c>
      <c r="C1229" s="178">
        <f ca="1">IF(OFFSET('IWP30'!Std4BudgetInfo, 0, 6, 1, 1)=DATE(1900,1,0), DATE(1900,1,1), OFFSET('IWP30'!Std4BudgetInfo, 0, 6, 1, 1))</f>
        <v>1</v>
      </c>
      <c r="D1229" s="178">
        <f ca="1">IF(OFFSET('IWP30'!Std4BudgetInfo, 0, 7, 1, 1)=DATE(1900,1,0), DATE(1900,1,1), OFFSET('IWP30'!Std4BudgetInfo, 0, 7, 1, 1))</f>
        <v>1</v>
      </c>
      <c r="E1229" s="178">
        <f ca="1">IF(OFFSET('IWP30'!Std4BudgetInfo, 2, 6, 1, 1)=DATE(1900,1,0), DATE(1900,1,1), OFFSET('IWP30'!Std4BudgetInfo, 2, 6, 1, 1))</f>
        <v>1</v>
      </c>
      <c r="F1229" s="182" t="str">
        <f ca="1">IF(OFFSET('IWP30'!Std4BudgetInfo, 3, 6, 1, 1) = 0, "", OFFSET('IWP30'!Std4BudgetInfo, 3, 6, 1, 1))</f>
        <v/>
      </c>
      <c r="G1229" s="182" t="str">
        <f ca="1">IF(OFFSET('IWP30'!Std4BudgetInfo, 4, 6, 1, 1) = 0, "", OFFSET('IWP30'!Std4BudgetInfo, 4, 6, 1, 1))</f>
        <v/>
      </c>
      <c r="H1229" s="182" t="str">
        <f ca="1">IF(OFFSET('IWP30'!Std4BudgetInfo, 5, 6, 1, 1) = 0, "", OFFSET('IWP30'!Std4BudgetInfo, 5, 6, 1, 1))</f>
        <v/>
      </c>
      <c r="I1229" s="182" t="str">
        <f ca="1">IF(OFFSET('IWP30'!Std4BudgetInfo, 6, 6, 1, 1) = 0, "", OFFSET('IWP30'!Std4BudgetInfo, 6, 6, 1, 1))</f>
        <v/>
      </c>
      <c r="J1229" s="182" t="str">
        <f ca="1">IF(OFFSET('IWP30'!Std4BudgetInfo, 7, 6, 1, 1) = 0, "", OFFSET('IWP30'!Std4BudgetInfo, 7, 6, 1, 1))</f>
        <v/>
      </c>
      <c r="K1229" s="182" t="str">
        <f ca="1">IF(OFFSET('IWP30'!Std4BudgetInfo, 8, 6, 1, 1) = 0, "", OFFSET('IWP30'!Std4BudgetInfo, 8, 6, 1, 1))</f>
        <v/>
      </c>
      <c r="L1229" s="182" t="str">
        <f ca="1">IF(OFFSET('IWP30'!Std4BudgetInfo, 9, 6, 1, 1) = 0, "", OFFSET('IWP30'!Std4BudgetInfo, 9, 6, 1, 1))</f>
        <v/>
      </c>
      <c r="M1229" s="186" t="str">
        <f ca="1">IF(OFFSET('IWP30'!Std4BudgetInfo, 10, 6, 1, 1) = 0, "", OFFSET('IWP30'!Std4BudgetInfo, 10, 6, 1, 1))</f>
        <v/>
      </c>
    </row>
    <row r="1232" spans="1:13" ht="15.75" thickBot="1">
      <c r="A1232" s="168" t="s">
        <v>563</v>
      </c>
    </row>
    <row r="1233" spans="1:9" s="107" customFormat="1" ht="45">
      <c r="A1233" s="170" t="s">
        <v>443</v>
      </c>
      <c r="B1233" s="171" t="s">
        <v>555</v>
      </c>
      <c r="C1233" s="171" t="s">
        <v>556</v>
      </c>
      <c r="D1233" s="171" t="s">
        <v>557</v>
      </c>
      <c r="E1233" s="171" t="s">
        <v>558</v>
      </c>
      <c r="F1233" s="171" t="s">
        <v>559</v>
      </c>
      <c r="G1233" s="171" t="s">
        <v>560</v>
      </c>
      <c r="H1233" s="171" t="s">
        <v>561</v>
      </c>
      <c r="I1233" s="173" t="s">
        <v>562</v>
      </c>
    </row>
    <row r="1234" spans="1:9">
      <c r="A1234" s="183" t="s">
        <v>499</v>
      </c>
      <c r="B1234" s="195" t="str">
        <f ca="1">IF(OFFSET('IWP01'!Std7PayrollEmploymentRequirements, 0, 0, 1, 1) = 0, "", OFFSET('IWP01'!Std7PayrollEmploymentRequirements, 0, 0, 1, 1))</f>
        <v/>
      </c>
      <c r="C1234" s="195" t="str">
        <f ca="1">IF(OFFSET('IWP01'!Std7PayrollEmploymentRequirements, 0, 2, 1, 1) = 0, "", OFFSET('IWP01'!Std7PayrollEmploymentRequirements, 0, 2, 1, 1))</f>
        <v/>
      </c>
      <c r="D1234" s="172">
        <f ca="1">IF(OFFSET('IWP01'!Std7PayrollEmploymentRequirements, 0, 4, 1, 1)=DATE(1900,1,0), DATE(1900,1,1), OFFSET('IWP01'!Std7PayrollEmploymentRequirements, 0, 4, 1, 1))</f>
        <v>1</v>
      </c>
      <c r="E1234" s="195" t="str">
        <f ca="1">IF(OFFSET('IWP01'!Std7PayrollEmploymentRequirements, 0, 5, 1, 1) = 0, "", OFFSET('IWP01'!Std7PayrollEmploymentRequirements, 0, 5, 1, 1))</f>
        <v/>
      </c>
      <c r="F1234" s="195" t="str">
        <f ca="1">IF(OFFSET('IWP01'!Std7PayrollEmploymentRequirements, 0, 6, 1, 1) = 0, "", OFFSET('IWP01'!Std7PayrollEmploymentRequirements, 0, 6, 1, 1))</f>
        <v/>
      </c>
      <c r="G1234" s="195" t="str">
        <f ca="1">IF(OFFSET('IWP01'!Std7PayrollEmploymentRequirements, 0, 7, 1, 1) = 0, "", OFFSET('IWP01'!Std7PayrollEmploymentRequirements, 0, 7, 1, 1))</f>
        <v/>
      </c>
      <c r="H1234" s="195" t="str">
        <f ca="1">IF(OFFSET('IWP01'!Std7PayrollEmploymentRequirements, 0, 9, 1, 1) = 0, "", OFFSET('IWP01'!Std7PayrollEmploymentRequirements, 0, 9, 1, 1))</f>
        <v/>
      </c>
      <c r="I1234" s="194" t="str">
        <f ca="1">IF(OFFSET('IWP01'!Std7PayrollEmploymentRequirements, 0, 11, 1, 1) = 0, "", OFFSET('IWP01'!Std7PayrollEmploymentRequirements, 0, 11, 1, 1))</f>
        <v/>
      </c>
    </row>
    <row r="1235" spans="1:9">
      <c r="A1235" s="183" t="s">
        <v>499</v>
      </c>
      <c r="B1235" s="195" t="str">
        <f ca="1">IF(OFFSET('IWP01'!Std7PayrollEmploymentRequirements, 1, 0, 1, 1) = 0, "", OFFSET('IWP01'!Std7PayrollEmploymentRequirements, 1, 0, 1, 1))</f>
        <v/>
      </c>
      <c r="C1235" s="195" t="str">
        <f ca="1">IF(OFFSET('IWP01'!Std7PayrollEmploymentRequirements, 1, 2, 1, 1) = 0, "", OFFSET('IWP01'!Std7PayrollEmploymentRequirements, 1, 2, 1, 1))</f>
        <v/>
      </c>
      <c r="D1235" s="172">
        <f ca="1">IF(OFFSET('IWP01'!Std7PayrollEmploymentRequirements, 1, 4, 1, 1)=DATE(1900,1,0), DATE(1900,1,1), OFFSET('IWP01'!Std7PayrollEmploymentRequirements, 1, 4, 1, 1))</f>
        <v>1</v>
      </c>
      <c r="E1235" s="195" t="str">
        <f ca="1">IF(OFFSET('IWP01'!Std7PayrollEmploymentRequirements, 1, 5, 1, 1) = 0, "", OFFSET('IWP01'!Std7PayrollEmploymentRequirements, 1, 5, 1, 1))</f>
        <v/>
      </c>
      <c r="F1235" s="195" t="str">
        <f ca="1">IF(OFFSET('IWP01'!Std7PayrollEmploymentRequirements, 1, 6, 1, 1) = 0, "", OFFSET('IWP01'!Std7PayrollEmploymentRequirements, 1, 6, 1, 1))</f>
        <v/>
      </c>
      <c r="G1235" s="195" t="str">
        <f ca="1">IF(OFFSET('IWP01'!Std7PayrollEmploymentRequirements, 1, 7, 1, 1) = 0, "", OFFSET('IWP01'!Std7PayrollEmploymentRequirements, 1, 7, 1, 1))</f>
        <v/>
      </c>
      <c r="H1235" s="195" t="str">
        <f ca="1">IF(OFFSET('IWP01'!Std7PayrollEmploymentRequirements, 1, 9, 1, 1) = 0, "", OFFSET('IWP01'!Std7PayrollEmploymentRequirements, 1, 9, 1, 1))</f>
        <v/>
      </c>
      <c r="I1235" s="194" t="str">
        <f ca="1">IF(OFFSET('IWP01'!Std7PayrollEmploymentRequirements, 1, 11, 1, 1) = 0, "", OFFSET('IWP01'!Std7PayrollEmploymentRequirements, 1, 11, 1, 1))</f>
        <v/>
      </c>
    </row>
    <row r="1236" spans="1:9">
      <c r="A1236" s="183" t="s">
        <v>499</v>
      </c>
      <c r="B1236" s="195" t="str">
        <f ca="1">IF(OFFSET('IWP01'!Std7PayrollEmploymentRequirements, 2, 0, 1, 1) = 0, "", OFFSET('IWP01'!Std7PayrollEmploymentRequirements, 2, 0, 1, 1))</f>
        <v/>
      </c>
      <c r="C1236" s="195" t="str">
        <f ca="1">IF(OFFSET('IWP01'!Std7PayrollEmploymentRequirements, 2, 2, 1, 1) = 0, "", OFFSET('IWP01'!Std7PayrollEmploymentRequirements, 2, 2, 1, 1))</f>
        <v/>
      </c>
      <c r="D1236" s="172">
        <f ca="1">IF(OFFSET('IWP01'!Std7PayrollEmploymentRequirements, 2, 4, 1, 1)=DATE(1900,1,0), DATE(1900,1,1), OFFSET('IWP01'!Std7PayrollEmploymentRequirements, 2, 4, 1, 1))</f>
        <v>1</v>
      </c>
      <c r="E1236" s="195" t="str">
        <f ca="1">IF(OFFSET('IWP01'!Std7PayrollEmploymentRequirements, 2, 5, 1, 1) = 0, "", OFFSET('IWP01'!Std7PayrollEmploymentRequirements, 2, 5, 1, 1))</f>
        <v/>
      </c>
      <c r="F1236" s="195" t="str">
        <f ca="1">IF(OFFSET('IWP01'!Std7PayrollEmploymentRequirements, 2, 6, 1, 1) = 0, "", OFFSET('IWP01'!Std7PayrollEmploymentRequirements, 2, 6, 1, 1))</f>
        <v/>
      </c>
      <c r="G1236" s="195" t="str">
        <f ca="1">IF(OFFSET('IWP01'!Std7PayrollEmploymentRequirements, 2, 7, 1, 1) = 0, "", OFFSET('IWP01'!Std7PayrollEmploymentRequirements, 2, 7, 1, 1))</f>
        <v/>
      </c>
      <c r="H1236" s="195" t="str">
        <f ca="1">IF(OFFSET('IWP01'!Std7PayrollEmploymentRequirements, 2, 9, 1, 1) = 0, "", OFFSET('IWP01'!Std7PayrollEmploymentRequirements, 2, 9, 1, 1))</f>
        <v/>
      </c>
      <c r="I1236" s="194" t="str">
        <f ca="1">IF(OFFSET('IWP01'!Std7PayrollEmploymentRequirements, 2, 11, 1, 1) = 0, "", OFFSET('IWP01'!Std7PayrollEmploymentRequirements, 2, 11, 1, 1))</f>
        <v/>
      </c>
    </row>
    <row r="1237" spans="1:9">
      <c r="A1237" s="183" t="s">
        <v>499</v>
      </c>
      <c r="B1237" s="195" t="str">
        <f ca="1">IF(OFFSET('IWP01'!Std7PayrollEmploymentRequirements, 3, 0, 1, 1) = 0, "", OFFSET('IWP01'!Std7PayrollEmploymentRequirements, 3, 0, 1, 1))</f>
        <v/>
      </c>
      <c r="C1237" s="195" t="str">
        <f ca="1">IF(OFFSET('IWP01'!Std7PayrollEmploymentRequirements, 3, 2, 1, 1) = 0, "", OFFSET('IWP01'!Std7PayrollEmploymentRequirements, 3, 2, 1, 1))</f>
        <v/>
      </c>
      <c r="D1237" s="172">
        <f ca="1">IF(OFFSET('IWP01'!Std7PayrollEmploymentRequirements, 3, 4, 1, 1)=DATE(1900,1,0), DATE(1900,1,1), OFFSET('IWP01'!Std7PayrollEmploymentRequirements, 3, 4, 1, 1))</f>
        <v>1</v>
      </c>
      <c r="E1237" s="195" t="str">
        <f ca="1">IF(OFFSET('IWP01'!Std7PayrollEmploymentRequirements, 3, 5, 1, 1) = 0, "", OFFSET('IWP01'!Std7PayrollEmploymentRequirements, 3, 5, 1, 1))</f>
        <v/>
      </c>
      <c r="F1237" s="195" t="str">
        <f ca="1">IF(OFFSET('IWP01'!Std7PayrollEmploymentRequirements, 3, 6, 1, 1) = 0, "", OFFSET('IWP01'!Std7PayrollEmploymentRequirements, 3, 6, 1, 1))</f>
        <v/>
      </c>
      <c r="G1237" s="195" t="str">
        <f ca="1">IF(OFFSET('IWP01'!Std7PayrollEmploymentRequirements, 3, 7, 1, 1) = 0, "", OFFSET('IWP01'!Std7PayrollEmploymentRequirements, 3, 7, 1, 1))</f>
        <v/>
      </c>
      <c r="H1237" s="195" t="str">
        <f ca="1">IF(OFFSET('IWP01'!Std7PayrollEmploymentRequirements, 3, 9, 1, 1) = 0, "", OFFSET('IWP01'!Std7PayrollEmploymentRequirements, 3, 9, 1, 1))</f>
        <v/>
      </c>
      <c r="I1237" s="194" t="str">
        <f ca="1">IF(OFFSET('IWP01'!Std7PayrollEmploymentRequirements, 3, 11, 1, 1) = 0, "", OFFSET('IWP01'!Std7PayrollEmploymentRequirements, 3, 11, 1, 1))</f>
        <v/>
      </c>
    </row>
    <row r="1238" spans="1:9">
      <c r="A1238" s="183" t="s">
        <v>499</v>
      </c>
      <c r="B1238" s="195" t="str">
        <f ca="1">IF(OFFSET('IWP01'!Std7PayrollEmploymentRequirements, 4, 0, 1, 1) = 0, "", OFFSET('IWP01'!Std7PayrollEmploymentRequirements, 4, 0, 1, 1))</f>
        <v/>
      </c>
      <c r="C1238" s="195" t="str">
        <f ca="1">IF(OFFSET('IWP01'!Std7PayrollEmploymentRequirements, 4, 2, 1, 1) = 0, "", OFFSET('IWP01'!Std7PayrollEmploymentRequirements, 4, 2, 1, 1))</f>
        <v/>
      </c>
      <c r="D1238" s="172">
        <f ca="1">IF(OFFSET('IWP01'!Std7PayrollEmploymentRequirements, 4, 4, 1, 1)=DATE(1900,1,0), DATE(1900,1,1), OFFSET('IWP01'!Std7PayrollEmploymentRequirements, 4, 4, 1, 1))</f>
        <v>1</v>
      </c>
      <c r="E1238" s="195" t="str">
        <f ca="1">IF(OFFSET('IWP01'!Std7PayrollEmploymentRequirements, 4, 5, 1, 1) = 0, "", OFFSET('IWP01'!Std7PayrollEmploymentRequirements, 4, 5, 1, 1))</f>
        <v/>
      </c>
      <c r="F1238" s="195" t="str">
        <f ca="1">IF(OFFSET('IWP01'!Std7PayrollEmploymentRequirements, 4, 6, 1, 1) = 0, "", OFFSET('IWP01'!Std7PayrollEmploymentRequirements, 4, 6, 1, 1))</f>
        <v/>
      </c>
      <c r="G1238" s="195" t="str">
        <f ca="1">IF(OFFSET('IWP01'!Std7PayrollEmploymentRequirements, 4, 7, 1, 1) = 0, "", OFFSET('IWP01'!Std7PayrollEmploymentRequirements, 4, 7, 1, 1))</f>
        <v/>
      </c>
      <c r="H1238" s="195" t="str">
        <f ca="1">IF(OFFSET('IWP01'!Std7PayrollEmploymentRequirements, 4, 9, 1, 1) = 0, "", OFFSET('IWP01'!Std7PayrollEmploymentRequirements, 4, 9, 1, 1))</f>
        <v/>
      </c>
      <c r="I1238" s="194" t="str">
        <f ca="1">IF(OFFSET('IWP01'!Std7PayrollEmploymentRequirements, 4, 11, 1, 1) = 0, "", OFFSET('IWP01'!Std7PayrollEmploymentRequirements, 4, 11, 1, 1))</f>
        <v/>
      </c>
    </row>
    <row r="1239" spans="1:9">
      <c r="A1239" s="183" t="s">
        <v>499</v>
      </c>
      <c r="B1239" s="195" t="str">
        <f ca="1">IF(OFFSET('IWP01'!Std7PayrollEmploymentRequirements, 5, 0, 1, 1) = 0, "", OFFSET('IWP01'!Std7PayrollEmploymentRequirements, 5, 0, 1, 1))</f>
        <v/>
      </c>
      <c r="C1239" s="195" t="str">
        <f ca="1">IF(OFFSET('IWP01'!Std7PayrollEmploymentRequirements, 5, 2, 1, 1) = 0, "", OFFSET('IWP01'!Std7PayrollEmploymentRequirements, 5, 2, 1, 1))</f>
        <v/>
      </c>
      <c r="D1239" s="172">
        <f ca="1">IF(OFFSET('IWP01'!Std7PayrollEmploymentRequirements, 5, 4, 1, 1)=DATE(1900,1,0), DATE(1900,1,1), OFFSET('IWP01'!Std7PayrollEmploymentRequirements, 5, 4, 1, 1))</f>
        <v>1</v>
      </c>
      <c r="E1239" s="195" t="str">
        <f ca="1">IF(OFFSET('IWP01'!Std7PayrollEmploymentRequirements, 5, 5, 1, 1) = 0, "", OFFSET('IWP01'!Std7PayrollEmploymentRequirements, 5, 5, 1, 1))</f>
        <v/>
      </c>
      <c r="F1239" s="195" t="str">
        <f ca="1">IF(OFFSET('IWP01'!Std7PayrollEmploymentRequirements, 5, 6, 1, 1) = 0, "", OFFSET('IWP01'!Std7PayrollEmploymentRequirements, 5, 6, 1, 1))</f>
        <v/>
      </c>
      <c r="G1239" s="195" t="str">
        <f ca="1">IF(OFFSET('IWP01'!Std7PayrollEmploymentRequirements, 5, 7, 1, 1) = 0, "", OFFSET('IWP01'!Std7PayrollEmploymentRequirements, 5, 7, 1, 1))</f>
        <v/>
      </c>
      <c r="H1239" s="195" t="str">
        <f ca="1">IF(OFFSET('IWP01'!Std7PayrollEmploymentRequirements, 5, 9, 1, 1) = 0, "", OFFSET('IWP01'!Std7PayrollEmploymentRequirements, 5, 9, 1, 1))</f>
        <v/>
      </c>
      <c r="I1239" s="194" t="str">
        <f ca="1">IF(OFFSET('IWP01'!Std7PayrollEmploymentRequirements, 5, 11, 1, 1) = 0, "", OFFSET('IWP01'!Std7PayrollEmploymentRequirements, 5, 11, 1, 1))</f>
        <v/>
      </c>
    </row>
    <row r="1240" spans="1:9">
      <c r="A1240" s="183" t="s">
        <v>499</v>
      </c>
      <c r="B1240" s="195" t="str">
        <f ca="1">IF(OFFSET('IWP01'!Std7PayrollEmploymentRequirements, 6, 0, 1, 1) = 0, "", OFFSET('IWP01'!Std7PayrollEmploymentRequirements, 6, 0, 1, 1))</f>
        <v/>
      </c>
      <c r="C1240" s="195" t="str">
        <f ca="1">IF(OFFSET('IWP01'!Std7PayrollEmploymentRequirements, 6, 2, 1, 1) = 0, "", OFFSET('IWP01'!Std7PayrollEmploymentRequirements, 6, 2, 1, 1))</f>
        <v/>
      </c>
      <c r="D1240" s="172">
        <f ca="1">IF(OFFSET('IWP01'!Std7PayrollEmploymentRequirements, 6, 4, 1, 1)=DATE(1900,1,0), DATE(1900,1,1), OFFSET('IWP01'!Std7PayrollEmploymentRequirements, 6, 4, 1, 1))</f>
        <v>1</v>
      </c>
      <c r="E1240" s="195" t="str">
        <f ca="1">IF(OFFSET('IWP01'!Std7PayrollEmploymentRequirements, 6, 5, 1, 1) = 0, "", OFFSET('IWP01'!Std7PayrollEmploymentRequirements, 6, 5, 1, 1))</f>
        <v/>
      </c>
      <c r="F1240" s="195" t="str">
        <f ca="1">IF(OFFSET('IWP01'!Std7PayrollEmploymentRequirements, 6, 6, 1, 1) = 0, "", OFFSET('IWP01'!Std7PayrollEmploymentRequirements, 6, 6, 1, 1))</f>
        <v/>
      </c>
      <c r="G1240" s="195" t="str">
        <f ca="1">IF(OFFSET('IWP01'!Std7PayrollEmploymentRequirements, 6, 7, 1, 1) = 0, "", OFFSET('IWP01'!Std7PayrollEmploymentRequirements, 6, 7, 1, 1))</f>
        <v/>
      </c>
      <c r="H1240" s="195" t="str">
        <f ca="1">IF(OFFSET('IWP01'!Std7PayrollEmploymentRequirements, 6, 9, 1, 1) = 0, "", OFFSET('IWP01'!Std7PayrollEmploymentRequirements, 6, 9, 1, 1))</f>
        <v/>
      </c>
      <c r="I1240" s="194" t="str">
        <f ca="1">IF(OFFSET('IWP01'!Std7PayrollEmploymentRequirements, 6, 11, 1, 1) = 0, "", OFFSET('IWP01'!Std7PayrollEmploymentRequirements, 6, 11, 1, 1))</f>
        <v/>
      </c>
    </row>
    <row r="1241" spans="1:9">
      <c r="A1241" s="183" t="s">
        <v>499</v>
      </c>
      <c r="B1241" s="195" t="str">
        <f ca="1">IF(OFFSET('IWP01'!Std7PayrollEmploymentRequirements, 7, 0, 1, 1) = 0, "", OFFSET('IWP01'!Std7PayrollEmploymentRequirements, 7, 0, 1, 1))</f>
        <v/>
      </c>
      <c r="C1241" s="195" t="str">
        <f ca="1">IF(OFFSET('IWP01'!Std7PayrollEmploymentRequirements, 7, 2, 1, 1) = 0, "", OFFSET('IWP01'!Std7PayrollEmploymentRequirements, 7, 2, 1, 1))</f>
        <v/>
      </c>
      <c r="D1241" s="172">
        <f ca="1">IF(OFFSET('IWP01'!Std7PayrollEmploymentRequirements, 7, 4, 1, 1)=DATE(1900,1,0), DATE(1900,1,1), OFFSET('IWP01'!Std7PayrollEmploymentRequirements, 7, 4, 1, 1))</f>
        <v>1</v>
      </c>
      <c r="E1241" s="195" t="str">
        <f ca="1">IF(OFFSET('IWP01'!Std7PayrollEmploymentRequirements, 7, 5, 1, 1) = 0, "", OFFSET('IWP01'!Std7PayrollEmploymentRequirements, 7, 5, 1, 1))</f>
        <v/>
      </c>
      <c r="F1241" s="195" t="str">
        <f ca="1">IF(OFFSET('IWP01'!Std7PayrollEmploymentRequirements, 7, 6, 1, 1) = 0, "", OFFSET('IWP01'!Std7PayrollEmploymentRequirements, 7, 6, 1, 1))</f>
        <v/>
      </c>
      <c r="G1241" s="195" t="str">
        <f ca="1">IF(OFFSET('IWP01'!Std7PayrollEmploymentRequirements, 7, 7, 1, 1) = 0, "", OFFSET('IWP01'!Std7PayrollEmploymentRequirements, 7, 7, 1, 1))</f>
        <v/>
      </c>
      <c r="H1241" s="195" t="str">
        <f ca="1">IF(OFFSET('IWP01'!Std7PayrollEmploymentRequirements, 7, 9, 1, 1) = 0, "", OFFSET('IWP01'!Std7PayrollEmploymentRequirements, 7, 9, 1, 1))</f>
        <v/>
      </c>
      <c r="I1241" s="194" t="str">
        <f ca="1">IF(OFFSET('IWP01'!Std7PayrollEmploymentRequirements, 7, 11, 1, 1) = 0, "", OFFSET('IWP01'!Std7PayrollEmploymentRequirements, 7, 11, 1, 1))</f>
        <v/>
      </c>
    </row>
    <row r="1242" spans="1:9">
      <c r="A1242" s="183" t="s">
        <v>499</v>
      </c>
      <c r="B1242" s="195" t="str">
        <f ca="1">IF(OFFSET('IWP01'!Std7PayrollEmploymentRequirements, 8, 0, 1, 1) = 0, "", OFFSET('IWP01'!Std7PayrollEmploymentRequirements, 8, 0, 1, 1))</f>
        <v/>
      </c>
      <c r="C1242" s="195" t="str">
        <f ca="1">IF(OFFSET('IWP01'!Std7PayrollEmploymentRequirements, 8, 2, 1, 1) = 0, "", OFFSET('IWP01'!Std7PayrollEmploymentRequirements, 8, 2, 1, 1))</f>
        <v/>
      </c>
      <c r="D1242" s="172">
        <f ca="1">IF(OFFSET('IWP01'!Std7PayrollEmploymentRequirements, 8, 4, 1, 1)=DATE(1900,1,0), DATE(1900,1,1), OFFSET('IWP01'!Std7PayrollEmploymentRequirements, 8, 4, 1, 1))</f>
        <v>1</v>
      </c>
      <c r="E1242" s="195" t="str">
        <f ca="1">IF(OFFSET('IWP01'!Std7PayrollEmploymentRequirements, 8, 5, 1, 1) = 0, "", OFFSET('IWP01'!Std7PayrollEmploymentRequirements, 8, 5, 1, 1))</f>
        <v/>
      </c>
      <c r="F1242" s="195" t="str">
        <f ca="1">IF(OFFSET('IWP01'!Std7PayrollEmploymentRequirements, 8, 6, 1, 1) = 0, "", OFFSET('IWP01'!Std7PayrollEmploymentRequirements, 8, 6, 1, 1))</f>
        <v/>
      </c>
      <c r="G1242" s="195" t="str">
        <f ca="1">IF(OFFSET('IWP01'!Std7PayrollEmploymentRequirements, 8, 7, 1, 1) = 0, "", OFFSET('IWP01'!Std7PayrollEmploymentRequirements, 8, 7, 1, 1))</f>
        <v/>
      </c>
      <c r="H1242" s="195" t="str">
        <f ca="1">IF(OFFSET('IWP01'!Std7PayrollEmploymentRequirements, 8, 9, 1, 1) = 0, "", OFFSET('IWP01'!Std7PayrollEmploymentRequirements, 8, 9, 1, 1))</f>
        <v/>
      </c>
      <c r="I1242" s="194" t="str">
        <f ca="1">IF(OFFSET('IWP01'!Std7PayrollEmploymentRequirements, 8, 11, 1, 1) = 0, "", OFFSET('IWP01'!Std7PayrollEmploymentRequirements, 8, 11, 1, 1))</f>
        <v/>
      </c>
    </row>
    <row r="1243" spans="1:9">
      <c r="A1243" s="183" t="s">
        <v>499</v>
      </c>
      <c r="B1243" s="195" t="str">
        <f ca="1">IF(OFFSET('IWP01'!Std7PayrollEmploymentRequirements, 9, 0, 1, 1) = 0, "", OFFSET('IWP01'!Std7PayrollEmploymentRequirements, 9, 0, 1, 1))</f>
        <v/>
      </c>
      <c r="C1243" s="195" t="str">
        <f ca="1">IF(OFFSET('IWP01'!Std7PayrollEmploymentRequirements, 9, 2, 1, 1) = 0, "", OFFSET('IWP01'!Std7PayrollEmploymentRequirements, 9, 2, 1, 1))</f>
        <v/>
      </c>
      <c r="D1243" s="172">
        <f ca="1">IF(OFFSET('IWP01'!Std7PayrollEmploymentRequirements, 9, 4, 1, 1)=DATE(1900,1,0), DATE(1900,1,1), OFFSET('IWP01'!Std7PayrollEmploymentRequirements, 9, 4, 1, 1))</f>
        <v>1</v>
      </c>
      <c r="E1243" s="195" t="str">
        <f ca="1">IF(OFFSET('IWP01'!Std7PayrollEmploymentRequirements, 9, 5, 1, 1) = 0, "", OFFSET('IWP01'!Std7PayrollEmploymentRequirements, 9, 5, 1, 1))</f>
        <v/>
      </c>
      <c r="F1243" s="195" t="str">
        <f ca="1">IF(OFFSET('IWP01'!Std7PayrollEmploymentRequirements, 9, 6, 1, 1) = 0, "", OFFSET('IWP01'!Std7PayrollEmploymentRequirements, 9, 6, 1, 1))</f>
        <v/>
      </c>
      <c r="G1243" s="195" t="str">
        <f ca="1">IF(OFFSET('IWP01'!Std7PayrollEmploymentRequirements, 9, 7, 1, 1) = 0, "", OFFSET('IWP01'!Std7PayrollEmploymentRequirements, 9, 7, 1, 1))</f>
        <v/>
      </c>
      <c r="H1243" s="195" t="str">
        <f ca="1">IF(OFFSET('IWP01'!Std7PayrollEmploymentRequirements, 9, 9, 1, 1) = 0, "", OFFSET('IWP01'!Std7PayrollEmploymentRequirements, 9, 9, 1, 1))</f>
        <v/>
      </c>
      <c r="I1243" s="194" t="str">
        <f ca="1">IF(OFFSET('IWP01'!Std7PayrollEmploymentRequirements, 9, 11, 1, 1) = 0, "", OFFSET('IWP01'!Std7PayrollEmploymentRequirements, 9, 11, 1, 1))</f>
        <v/>
      </c>
    </row>
    <row r="1244" spans="1:9">
      <c r="A1244" s="183" t="s">
        <v>499</v>
      </c>
      <c r="B1244" s="195" t="str">
        <f ca="1">IF(OFFSET('IWP01'!Std7PayrollEmploymentRequirements, 10, 0, 1, 1) = 0, "", OFFSET('IWP01'!Std7PayrollEmploymentRequirements, 10, 0, 1, 1))</f>
        <v/>
      </c>
      <c r="C1244" s="195" t="str">
        <f ca="1">IF(OFFSET('IWP01'!Std7PayrollEmploymentRequirements, 10, 2, 1, 1) = 0, "", OFFSET('IWP01'!Std7PayrollEmploymentRequirements, 10, 2, 1, 1))</f>
        <v/>
      </c>
      <c r="D1244" s="172">
        <f ca="1">IF(OFFSET('IWP01'!Std7PayrollEmploymentRequirements, 10, 4, 1, 1)=DATE(1900,1,0), DATE(1900,1,1), OFFSET('IWP01'!Std7PayrollEmploymentRequirements, 10, 4, 1, 1))</f>
        <v>1</v>
      </c>
      <c r="E1244" s="195" t="str">
        <f ca="1">IF(OFFSET('IWP01'!Std7PayrollEmploymentRequirements, 10, 5, 1, 1) = 0, "", OFFSET('IWP01'!Std7PayrollEmploymentRequirements, 10, 5, 1, 1))</f>
        <v/>
      </c>
      <c r="F1244" s="195" t="str">
        <f ca="1">IF(OFFSET('IWP01'!Std7PayrollEmploymentRequirements, 10, 6, 1, 1) = 0, "", OFFSET('IWP01'!Std7PayrollEmploymentRequirements, 10, 6, 1, 1))</f>
        <v/>
      </c>
      <c r="G1244" s="195" t="str">
        <f ca="1">IF(OFFSET('IWP01'!Std7PayrollEmploymentRequirements, 10, 7, 1, 1) = 0, "", OFFSET('IWP01'!Std7PayrollEmploymentRequirements, 10, 7, 1, 1))</f>
        <v/>
      </c>
      <c r="H1244" s="195" t="str">
        <f ca="1">IF(OFFSET('IWP01'!Std7PayrollEmploymentRequirements, 10, 9, 1, 1) = 0, "", OFFSET('IWP01'!Std7PayrollEmploymentRequirements, 10, 9, 1, 1))</f>
        <v/>
      </c>
      <c r="I1244" s="194" t="str">
        <f ca="1">IF(OFFSET('IWP01'!Std7PayrollEmploymentRequirements, 10, 11, 1, 1) = 0, "", OFFSET('IWP01'!Std7PayrollEmploymentRequirements, 10, 11, 1, 1))</f>
        <v/>
      </c>
    </row>
    <row r="1245" spans="1:9">
      <c r="A1245" s="183" t="s">
        <v>499</v>
      </c>
      <c r="B1245" s="195" t="str">
        <f ca="1">IF(OFFSET('IWP01'!Std7PayrollEmploymentRequirements, 11, 0, 1, 1) = 0, "", OFFSET('IWP01'!Std7PayrollEmploymentRequirements, 11, 0, 1, 1))</f>
        <v/>
      </c>
      <c r="C1245" s="195" t="str">
        <f ca="1">IF(OFFSET('IWP01'!Std7PayrollEmploymentRequirements, 11, 2, 1, 1) = 0, "", OFFSET('IWP01'!Std7PayrollEmploymentRequirements, 11, 2, 1, 1))</f>
        <v/>
      </c>
      <c r="D1245" s="172">
        <f ca="1">IF(OFFSET('IWP01'!Std7PayrollEmploymentRequirements, 11, 4, 1, 1)=DATE(1900,1,0), DATE(1900,1,1), OFFSET('IWP01'!Std7PayrollEmploymentRequirements, 11, 4, 1, 1))</f>
        <v>1</v>
      </c>
      <c r="E1245" s="195" t="str">
        <f ca="1">IF(OFFSET('IWP01'!Std7PayrollEmploymentRequirements, 11, 5, 1, 1) = 0, "", OFFSET('IWP01'!Std7PayrollEmploymentRequirements, 11, 5, 1, 1))</f>
        <v/>
      </c>
      <c r="F1245" s="195" t="str">
        <f ca="1">IF(OFFSET('IWP01'!Std7PayrollEmploymentRequirements, 11, 6, 1, 1) = 0, "", OFFSET('IWP01'!Std7PayrollEmploymentRequirements, 11, 6, 1, 1))</f>
        <v/>
      </c>
      <c r="G1245" s="195" t="str">
        <f ca="1">IF(OFFSET('IWP01'!Std7PayrollEmploymentRequirements, 11, 7, 1, 1) = 0, "", OFFSET('IWP01'!Std7PayrollEmploymentRequirements, 11, 7, 1, 1))</f>
        <v/>
      </c>
      <c r="H1245" s="195" t="str">
        <f ca="1">IF(OFFSET('IWP01'!Std7PayrollEmploymentRequirements, 11, 9, 1, 1) = 0, "", OFFSET('IWP01'!Std7PayrollEmploymentRequirements, 11, 9, 1, 1))</f>
        <v/>
      </c>
      <c r="I1245" s="194" t="str">
        <f ca="1">IF(OFFSET('IWP01'!Std7PayrollEmploymentRequirements, 11, 11, 1, 1) = 0, "", OFFSET('IWP01'!Std7PayrollEmploymentRequirements, 11, 11, 1, 1))</f>
        <v/>
      </c>
    </row>
    <row r="1246" spans="1:9">
      <c r="A1246" s="183" t="s">
        <v>499</v>
      </c>
      <c r="B1246" s="195" t="str">
        <f ca="1">IF(OFFSET('IWP01'!Std7PayrollEmploymentRequirements, 12, 0, 1, 1) = 0, "", OFFSET('IWP01'!Std7PayrollEmploymentRequirements, 12, 0, 1, 1))</f>
        <v/>
      </c>
      <c r="C1246" s="195" t="str">
        <f ca="1">IF(OFFSET('IWP01'!Std7PayrollEmploymentRequirements, 12, 2, 1, 1) = 0, "", OFFSET('IWP01'!Std7PayrollEmploymentRequirements, 12, 2, 1, 1))</f>
        <v/>
      </c>
      <c r="D1246" s="172">
        <f ca="1">IF(OFFSET('IWP01'!Std7PayrollEmploymentRequirements, 12, 4, 1, 1)=DATE(1900,1,0), DATE(1900,1,1), OFFSET('IWP01'!Std7PayrollEmploymentRequirements, 12, 4, 1, 1))</f>
        <v>1</v>
      </c>
      <c r="E1246" s="195" t="str">
        <f ca="1">IF(OFFSET('IWP01'!Std7PayrollEmploymentRequirements, 12, 5, 1, 1) = 0, "", OFFSET('IWP01'!Std7PayrollEmploymentRequirements, 12, 5, 1, 1))</f>
        <v/>
      </c>
      <c r="F1246" s="195" t="str">
        <f ca="1">IF(OFFSET('IWP01'!Std7PayrollEmploymentRequirements, 12, 6, 1, 1) = 0, "", OFFSET('IWP01'!Std7PayrollEmploymentRequirements, 12, 6, 1, 1))</f>
        <v/>
      </c>
      <c r="G1246" s="195" t="str">
        <f ca="1">IF(OFFSET('IWP01'!Std7PayrollEmploymentRequirements, 12, 7, 1, 1) = 0, "", OFFSET('IWP01'!Std7PayrollEmploymentRequirements, 12, 7, 1, 1))</f>
        <v/>
      </c>
      <c r="H1246" s="195" t="str">
        <f ca="1">IF(OFFSET('IWP01'!Std7PayrollEmploymentRequirements, 12, 9, 1, 1) = 0, "", OFFSET('IWP01'!Std7PayrollEmploymentRequirements, 12, 9, 1, 1))</f>
        <v/>
      </c>
      <c r="I1246" s="194" t="str">
        <f ca="1">IF(OFFSET('IWP01'!Std7PayrollEmploymentRequirements, 12, 11, 1, 1) = 0, "", OFFSET('IWP01'!Std7PayrollEmploymentRequirements, 12, 11, 1, 1))</f>
        <v/>
      </c>
    </row>
    <row r="1247" spans="1:9">
      <c r="A1247" s="183" t="s">
        <v>499</v>
      </c>
      <c r="B1247" s="195" t="str">
        <f ca="1">IF(OFFSET('IWP01'!Std7PayrollEmploymentRequirements, 13, 0, 1, 1) = 0, "", OFFSET('IWP01'!Std7PayrollEmploymentRequirements, 13, 0, 1, 1))</f>
        <v/>
      </c>
      <c r="C1247" s="195" t="str">
        <f ca="1">IF(OFFSET('IWP01'!Std7PayrollEmploymentRequirements, 13, 2, 1, 1) = 0, "", OFFSET('IWP01'!Std7PayrollEmploymentRequirements, 13, 2, 1, 1))</f>
        <v/>
      </c>
      <c r="D1247" s="172">
        <f ca="1">IF(OFFSET('IWP01'!Std7PayrollEmploymentRequirements, 13, 4, 1, 1)=DATE(1900,1,0), DATE(1900,1,1), OFFSET('IWP01'!Std7PayrollEmploymentRequirements, 13, 4, 1, 1))</f>
        <v>1</v>
      </c>
      <c r="E1247" s="195" t="str">
        <f ca="1">IF(OFFSET('IWP01'!Std7PayrollEmploymentRequirements, 13, 5, 1, 1) = 0, "", OFFSET('IWP01'!Std7PayrollEmploymentRequirements, 13, 5, 1, 1))</f>
        <v/>
      </c>
      <c r="F1247" s="195" t="str">
        <f ca="1">IF(OFFSET('IWP01'!Std7PayrollEmploymentRequirements, 13, 6, 1, 1) = 0, "", OFFSET('IWP01'!Std7PayrollEmploymentRequirements, 13, 6, 1, 1))</f>
        <v/>
      </c>
      <c r="G1247" s="195" t="str">
        <f ca="1">IF(OFFSET('IWP01'!Std7PayrollEmploymentRequirements, 13, 7, 1, 1) = 0, "", OFFSET('IWP01'!Std7PayrollEmploymentRequirements, 13, 7, 1, 1))</f>
        <v/>
      </c>
      <c r="H1247" s="195" t="str">
        <f ca="1">IF(OFFSET('IWP01'!Std7PayrollEmploymentRequirements, 13, 9, 1, 1) = 0, "", OFFSET('IWP01'!Std7PayrollEmploymentRequirements, 13, 9, 1, 1))</f>
        <v/>
      </c>
      <c r="I1247" s="194" t="str">
        <f ca="1">IF(OFFSET('IWP01'!Std7PayrollEmploymentRequirements, 13, 11, 1, 1) = 0, "", OFFSET('IWP01'!Std7PayrollEmploymentRequirements, 13, 11, 1, 1))</f>
        <v/>
      </c>
    </row>
    <row r="1248" spans="1:9">
      <c r="A1248" s="183" t="s">
        <v>499</v>
      </c>
      <c r="B1248" s="195" t="str">
        <f ca="1">IF(OFFSET('IWP01'!Std7PayrollEmploymentRequirements, 14, 0, 1, 1) = 0, "", OFFSET('IWP01'!Std7PayrollEmploymentRequirements, 14, 0, 1, 1))</f>
        <v/>
      </c>
      <c r="C1248" s="195" t="str">
        <f ca="1">IF(OFFSET('IWP01'!Std7PayrollEmploymentRequirements, 14, 2, 1, 1) = 0, "", OFFSET('IWP01'!Std7PayrollEmploymentRequirements, 14, 2, 1, 1))</f>
        <v/>
      </c>
      <c r="D1248" s="172">
        <f ca="1">IF(OFFSET('IWP01'!Std7PayrollEmploymentRequirements, 14, 4, 1, 1)=DATE(1900,1,0), DATE(1900,1,1), OFFSET('IWP01'!Std7PayrollEmploymentRequirements, 14, 4, 1, 1))</f>
        <v>1</v>
      </c>
      <c r="E1248" s="195" t="str">
        <f ca="1">IF(OFFSET('IWP01'!Std7PayrollEmploymentRequirements, 14, 5, 1, 1) = 0, "", OFFSET('IWP01'!Std7PayrollEmploymentRequirements, 14, 5, 1, 1))</f>
        <v/>
      </c>
      <c r="F1248" s="195" t="str">
        <f ca="1">IF(OFFSET('IWP01'!Std7PayrollEmploymentRequirements, 14, 6, 1, 1) = 0, "", OFFSET('IWP01'!Std7PayrollEmploymentRequirements, 14, 6, 1, 1))</f>
        <v/>
      </c>
      <c r="G1248" s="195" t="str">
        <f ca="1">IF(OFFSET('IWP01'!Std7PayrollEmploymentRequirements, 14, 7, 1, 1) = 0, "", OFFSET('IWP01'!Std7PayrollEmploymentRequirements, 14, 7, 1, 1))</f>
        <v/>
      </c>
      <c r="H1248" s="195" t="str">
        <f ca="1">IF(OFFSET('IWP01'!Std7PayrollEmploymentRequirements, 14, 9, 1, 1) = 0, "", OFFSET('IWP01'!Std7PayrollEmploymentRequirements, 14, 9, 1, 1))</f>
        <v/>
      </c>
      <c r="I1248" s="194" t="str">
        <f ca="1">IF(OFFSET('IWP01'!Std7PayrollEmploymentRequirements, 14, 11, 1, 1) = 0, "", OFFSET('IWP01'!Std7PayrollEmploymentRequirements, 14, 11, 1, 1))</f>
        <v/>
      </c>
    </row>
    <row r="1249" spans="1:9">
      <c r="A1249" s="183" t="s">
        <v>499</v>
      </c>
      <c r="B1249" s="195" t="str">
        <f ca="1">IF(OFFSET('IWP01'!Std7PayrollEmploymentRequirements, 15, 0, 1, 1) = 0, "", OFFSET('IWP01'!Std7PayrollEmploymentRequirements, 15, 0, 1, 1))</f>
        <v/>
      </c>
      <c r="C1249" s="195" t="str">
        <f ca="1">IF(OFFSET('IWP01'!Std7PayrollEmploymentRequirements, 15, 2, 1, 1) = 0, "", OFFSET('IWP01'!Std7PayrollEmploymentRequirements, 15, 2, 1, 1))</f>
        <v/>
      </c>
      <c r="D1249" s="172">
        <f ca="1">IF(OFFSET('IWP01'!Std7PayrollEmploymentRequirements, 15, 4, 1, 1)=DATE(1900,1,0), DATE(1900,1,1), OFFSET('IWP01'!Std7PayrollEmploymentRequirements, 15, 4, 1, 1))</f>
        <v>1</v>
      </c>
      <c r="E1249" s="195" t="str">
        <f ca="1">IF(OFFSET('IWP01'!Std7PayrollEmploymentRequirements, 15, 5, 1, 1) = 0, "", OFFSET('IWP01'!Std7PayrollEmploymentRequirements, 15, 5, 1, 1))</f>
        <v/>
      </c>
      <c r="F1249" s="195" t="str">
        <f ca="1">IF(OFFSET('IWP01'!Std7PayrollEmploymentRequirements, 15, 6, 1, 1) = 0, "", OFFSET('IWP01'!Std7PayrollEmploymentRequirements, 15, 6, 1, 1))</f>
        <v/>
      </c>
      <c r="G1249" s="195" t="str">
        <f ca="1">IF(OFFSET('IWP01'!Std7PayrollEmploymentRequirements, 15, 7, 1, 1) = 0, "", OFFSET('IWP01'!Std7PayrollEmploymentRequirements, 15, 7, 1, 1))</f>
        <v/>
      </c>
      <c r="H1249" s="195" t="str">
        <f ca="1">IF(OFFSET('IWP01'!Std7PayrollEmploymentRequirements, 15, 9, 1, 1) = 0, "", OFFSET('IWP01'!Std7PayrollEmploymentRequirements, 15, 9, 1, 1))</f>
        <v/>
      </c>
      <c r="I1249" s="194" t="str">
        <f ca="1">IF(OFFSET('IWP01'!Std7PayrollEmploymentRequirements, 15, 11, 1, 1) = 0, "", OFFSET('IWP01'!Std7PayrollEmploymentRequirements, 15, 11, 1, 1))</f>
        <v/>
      </c>
    </row>
    <row r="1250" spans="1:9" s="105" customFormat="1">
      <c r="A1250" s="183" t="s">
        <v>500</v>
      </c>
      <c r="B1250" s="195" t="str">
        <f ca="1">IF(OFFSET('IWP02'!Std7PayrollEmploymentRequirements, 0, 0, 1, 1) = 0, "", OFFSET('IWP02'!Std7PayrollEmploymentRequirements, 0, 0, 1, 1))</f>
        <v/>
      </c>
      <c r="C1250" s="195" t="str">
        <f ca="1">IF(OFFSET('IWP02'!Std7PayrollEmploymentRequirements, 0, 2, 1, 1) = 0, "", OFFSET('IWP02'!Std7PayrollEmploymentRequirements, 0, 2, 1, 1))</f>
        <v/>
      </c>
      <c r="D1250" s="172">
        <f ca="1">IF(OFFSET('IWP02'!Std7PayrollEmploymentRequirements, 0, 4, 1, 1)=DATE(1900,1,0), DATE(1900,1,1), OFFSET('IWP02'!Std7PayrollEmploymentRequirements, 0, 4, 1, 1))</f>
        <v>1</v>
      </c>
      <c r="E1250" s="195" t="str">
        <f ca="1">IF(OFFSET('IWP02'!Std7PayrollEmploymentRequirements, 0, 5, 1, 1) = 0, "", OFFSET('IWP02'!Std7PayrollEmploymentRequirements, 0, 5, 1, 1))</f>
        <v/>
      </c>
      <c r="F1250" s="195" t="str">
        <f ca="1">IF(OFFSET('IWP02'!Std7PayrollEmploymentRequirements, 0, 6, 1, 1) = 0, "", OFFSET('IWP02'!Std7PayrollEmploymentRequirements, 0, 6, 1, 1))</f>
        <v/>
      </c>
      <c r="G1250" s="195" t="str">
        <f ca="1">IF(OFFSET('IWP02'!Std7PayrollEmploymentRequirements, 0, 7, 1, 1) = 0, "", OFFSET('IWP02'!Std7PayrollEmploymentRequirements, 0, 7, 1, 1))</f>
        <v/>
      </c>
      <c r="H1250" s="195" t="str">
        <f ca="1">IF(OFFSET('IWP02'!Std7PayrollEmploymentRequirements, 0, 9, 1, 1) = 0, "", OFFSET('IWP02'!Std7PayrollEmploymentRequirements, 0, 9, 1, 1))</f>
        <v/>
      </c>
      <c r="I1250" s="194" t="str">
        <f ca="1">IF(OFFSET('IWP02'!Std7PayrollEmploymentRequirements, 0, 11, 1, 1) = 0, "", OFFSET('IWP02'!Std7PayrollEmploymentRequirements, 0, 11, 1, 1))</f>
        <v/>
      </c>
    </row>
    <row r="1251" spans="1:9" s="105" customFormat="1">
      <c r="A1251" s="183" t="s">
        <v>500</v>
      </c>
      <c r="B1251" s="195" t="str">
        <f ca="1">IF(OFFSET('IWP02'!Std7PayrollEmploymentRequirements, 1, 0, 1, 1) = 0, "", OFFSET('IWP02'!Std7PayrollEmploymentRequirements, 1, 0, 1, 1))</f>
        <v/>
      </c>
      <c r="C1251" s="195" t="str">
        <f ca="1">IF(OFFSET('IWP02'!Std7PayrollEmploymentRequirements, 1, 2, 1, 1) = 0, "", OFFSET('IWP02'!Std7PayrollEmploymentRequirements, 1, 2, 1, 1))</f>
        <v/>
      </c>
      <c r="D1251" s="172">
        <f ca="1">IF(OFFSET('IWP02'!Std7PayrollEmploymentRequirements, 1, 4, 1, 1)=DATE(1900,1,0), DATE(1900,1,1), OFFSET('IWP02'!Std7PayrollEmploymentRequirements, 1, 4, 1, 1))</f>
        <v>1</v>
      </c>
      <c r="E1251" s="195" t="str">
        <f ca="1">IF(OFFSET('IWP02'!Std7PayrollEmploymentRequirements, 1, 5, 1, 1) = 0, "", OFFSET('IWP02'!Std7PayrollEmploymentRequirements, 1, 5, 1, 1))</f>
        <v/>
      </c>
      <c r="F1251" s="195" t="str">
        <f ca="1">IF(OFFSET('IWP02'!Std7PayrollEmploymentRequirements, 1, 6, 1, 1) = 0, "", OFFSET('IWP02'!Std7PayrollEmploymentRequirements, 1, 6, 1, 1))</f>
        <v/>
      </c>
      <c r="G1251" s="195" t="str">
        <f ca="1">IF(OFFSET('IWP02'!Std7PayrollEmploymentRequirements, 1, 7, 1, 1) = 0, "", OFFSET('IWP02'!Std7PayrollEmploymentRequirements, 1, 7, 1, 1))</f>
        <v/>
      </c>
      <c r="H1251" s="195" t="str">
        <f ca="1">IF(OFFSET('IWP02'!Std7PayrollEmploymentRequirements, 1, 9, 1, 1) = 0, "", OFFSET('IWP02'!Std7PayrollEmploymentRequirements, 1, 9, 1, 1))</f>
        <v/>
      </c>
      <c r="I1251" s="194" t="str">
        <f ca="1">IF(OFFSET('IWP02'!Std7PayrollEmploymentRequirements, 1, 11, 1, 1) = 0, "", OFFSET('IWP02'!Std7PayrollEmploymentRequirements, 1, 11, 1, 1))</f>
        <v/>
      </c>
    </row>
    <row r="1252" spans="1:9" s="105" customFormat="1">
      <c r="A1252" s="183" t="s">
        <v>500</v>
      </c>
      <c r="B1252" s="195" t="str">
        <f ca="1">IF(OFFSET('IWP02'!Std7PayrollEmploymentRequirements, 2, 0, 1, 1) = 0, "", OFFSET('IWP02'!Std7PayrollEmploymentRequirements, 2, 0, 1, 1))</f>
        <v/>
      </c>
      <c r="C1252" s="195" t="str">
        <f ca="1">IF(OFFSET('IWP02'!Std7PayrollEmploymentRequirements, 2, 2, 1, 1) = 0, "", OFFSET('IWP02'!Std7PayrollEmploymentRequirements, 2, 2, 1, 1))</f>
        <v/>
      </c>
      <c r="D1252" s="172">
        <f ca="1">IF(OFFSET('IWP02'!Std7PayrollEmploymentRequirements, 2, 4, 1, 1)=DATE(1900,1,0), DATE(1900,1,1), OFFSET('IWP02'!Std7PayrollEmploymentRequirements, 2, 4, 1, 1))</f>
        <v>1</v>
      </c>
      <c r="E1252" s="195" t="str">
        <f ca="1">IF(OFFSET('IWP02'!Std7PayrollEmploymentRequirements, 2, 5, 1, 1) = 0, "", OFFSET('IWP02'!Std7PayrollEmploymentRequirements, 2, 5, 1, 1))</f>
        <v/>
      </c>
      <c r="F1252" s="195" t="str">
        <f ca="1">IF(OFFSET('IWP02'!Std7PayrollEmploymentRequirements, 2, 6, 1, 1) = 0, "", OFFSET('IWP02'!Std7PayrollEmploymentRequirements, 2, 6, 1, 1))</f>
        <v/>
      </c>
      <c r="G1252" s="195" t="str">
        <f ca="1">IF(OFFSET('IWP02'!Std7PayrollEmploymentRequirements, 2, 7, 1, 1) = 0, "", OFFSET('IWP02'!Std7PayrollEmploymentRequirements, 2, 7, 1, 1))</f>
        <v/>
      </c>
      <c r="H1252" s="195" t="str">
        <f ca="1">IF(OFFSET('IWP02'!Std7PayrollEmploymentRequirements, 2, 9, 1, 1) = 0, "", OFFSET('IWP02'!Std7PayrollEmploymentRequirements, 2, 9, 1, 1))</f>
        <v/>
      </c>
      <c r="I1252" s="194" t="str">
        <f ca="1">IF(OFFSET('IWP02'!Std7PayrollEmploymentRequirements, 2, 11, 1, 1) = 0, "", OFFSET('IWP02'!Std7PayrollEmploymentRequirements, 2, 11, 1, 1))</f>
        <v/>
      </c>
    </row>
    <row r="1253" spans="1:9" s="105" customFormat="1">
      <c r="A1253" s="183" t="s">
        <v>500</v>
      </c>
      <c r="B1253" s="195" t="str">
        <f ca="1">IF(OFFSET('IWP02'!Std7PayrollEmploymentRequirements, 3, 0, 1, 1) = 0, "", OFFSET('IWP02'!Std7PayrollEmploymentRequirements, 3, 0, 1, 1))</f>
        <v/>
      </c>
      <c r="C1253" s="195" t="str">
        <f ca="1">IF(OFFSET('IWP02'!Std7PayrollEmploymentRequirements, 3, 2, 1, 1) = 0, "", OFFSET('IWP02'!Std7PayrollEmploymentRequirements, 3, 2, 1, 1))</f>
        <v/>
      </c>
      <c r="D1253" s="172">
        <f ca="1">IF(OFFSET('IWP02'!Std7PayrollEmploymentRequirements, 3, 4, 1, 1)=DATE(1900,1,0), DATE(1900,1,1), OFFSET('IWP02'!Std7PayrollEmploymentRequirements, 3, 4, 1, 1))</f>
        <v>1</v>
      </c>
      <c r="E1253" s="195" t="str">
        <f ca="1">IF(OFFSET('IWP02'!Std7PayrollEmploymentRequirements, 3, 5, 1, 1) = 0, "", OFFSET('IWP02'!Std7PayrollEmploymentRequirements, 3, 5, 1, 1))</f>
        <v/>
      </c>
      <c r="F1253" s="195" t="str">
        <f ca="1">IF(OFFSET('IWP02'!Std7PayrollEmploymentRequirements, 3, 6, 1, 1) = 0, "", OFFSET('IWP02'!Std7PayrollEmploymentRequirements, 3, 6, 1, 1))</f>
        <v/>
      </c>
      <c r="G1253" s="195" t="str">
        <f ca="1">IF(OFFSET('IWP02'!Std7PayrollEmploymentRequirements, 3, 7, 1, 1) = 0, "", OFFSET('IWP02'!Std7PayrollEmploymentRequirements, 3, 7, 1, 1))</f>
        <v/>
      </c>
      <c r="H1253" s="195" t="str">
        <f ca="1">IF(OFFSET('IWP02'!Std7PayrollEmploymentRequirements, 3, 9, 1, 1) = 0, "", OFFSET('IWP02'!Std7PayrollEmploymentRequirements, 3, 9, 1, 1))</f>
        <v/>
      </c>
      <c r="I1253" s="194" t="str">
        <f ca="1">IF(OFFSET('IWP02'!Std7PayrollEmploymentRequirements, 3, 11, 1, 1) = 0, "", OFFSET('IWP02'!Std7PayrollEmploymentRequirements, 3, 11, 1, 1))</f>
        <v/>
      </c>
    </row>
    <row r="1254" spans="1:9" s="105" customFormat="1">
      <c r="A1254" s="183" t="s">
        <v>500</v>
      </c>
      <c r="B1254" s="195" t="str">
        <f ca="1">IF(OFFSET('IWP02'!Std7PayrollEmploymentRequirements, 4, 0, 1, 1) = 0, "", OFFSET('IWP02'!Std7PayrollEmploymentRequirements, 4, 0, 1, 1))</f>
        <v/>
      </c>
      <c r="C1254" s="195" t="str">
        <f ca="1">IF(OFFSET('IWP02'!Std7PayrollEmploymentRequirements, 4, 2, 1, 1) = 0, "", OFFSET('IWP02'!Std7PayrollEmploymentRequirements, 4, 2, 1, 1))</f>
        <v/>
      </c>
      <c r="D1254" s="172">
        <f ca="1">IF(OFFSET('IWP02'!Std7PayrollEmploymentRequirements, 4, 4, 1, 1)=DATE(1900,1,0), DATE(1900,1,1), OFFSET('IWP02'!Std7PayrollEmploymentRequirements, 4, 4, 1, 1))</f>
        <v>1</v>
      </c>
      <c r="E1254" s="195" t="str">
        <f ca="1">IF(OFFSET('IWP02'!Std7PayrollEmploymentRequirements, 4, 5, 1, 1) = 0, "", OFFSET('IWP02'!Std7PayrollEmploymentRequirements, 4, 5, 1, 1))</f>
        <v/>
      </c>
      <c r="F1254" s="195" t="str">
        <f ca="1">IF(OFFSET('IWP02'!Std7PayrollEmploymentRequirements, 4, 6, 1, 1) = 0, "", OFFSET('IWP02'!Std7PayrollEmploymentRequirements, 4, 6, 1, 1))</f>
        <v/>
      </c>
      <c r="G1254" s="195" t="str">
        <f ca="1">IF(OFFSET('IWP02'!Std7PayrollEmploymentRequirements, 4, 7, 1, 1) = 0, "", OFFSET('IWP02'!Std7PayrollEmploymentRequirements, 4, 7, 1, 1))</f>
        <v/>
      </c>
      <c r="H1254" s="195" t="str">
        <f ca="1">IF(OFFSET('IWP02'!Std7PayrollEmploymentRequirements, 4, 9, 1, 1) = 0, "", OFFSET('IWP02'!Std7PayrollEmploymentRequirements, 4, 9, 1, 1))</f>
        <v/>
      </c>
      <c r="I1254" s="194" t="str">
        <f ca="1">IF(OFFSET('IWP02'!Std7PayrollEmploymentRequirements, 4, 11, 1, 1) = 0, "", OFFSET('IWP02'!Std7PayrollEmploymentRequirements, 4, 11, 1, 1))</f>
        <v/>
      </c>
    </row>
    <row r="1255" spans="1:9" s="105" customFormat="1">
      <c r="A1255" s="183" t="s">
        <v>500</v>
      </c>
      <c r="B1255" s="195" t="str">
        <f ca="1">IF(OFFSET('IWP02'!Std7PayrollEmploymentRequirements, 5, 0, 1, 1) = 0, "", OFFSET('IWP02'!Std7PayrollEmploymentRequirements, 5, 0, 1, 1))</f>
        <v/>
      </c>
      <c r="C1255" s="195" t="str">
        <f ca="1">IF(OFFSET('IWP02'!Std7PayrollEmploymentRequirements, 5, 2, 1, 1) = 0, "", OFFSET('IWP02'!Std7PayrollEmploymentRequirements, 5, 2, 1, 1))</f>
        <v/>
      </c>
      <c r="D1255" s="172">
        <f ca="1">IF(OFFSET('IWP02'!Std7PayrollEmploymentRequirements, 5, 4, 1, 1)=DATE(1900,1,0), DATE(1900,1,1), OFFSET('IWP02'!Std7PayrollEmploymentRequirements, 5, 4, 1, 1))</f>
        <v>1</v>
      </c>
      <c r="E1255" s="195" t="str">
        <f ca="1">IF(OFFSET('IWP02'!Std7PayrollEmploymentRequirements, 5, 5, 1, 1) = 0, "", OFFSET('IWP02'!Std7PayrollEmploymentRequirements, 5, 5, 1, 1))</f>
        <v/>
      </c>
      <c r="F1255" s="195" t="str">
        <f ca="1">IF(OFFSET('IWP02'!Std7PayrollEmploymentRequirements, 5, 6, 1, 1) = 0, "", OFFSET('IWP02'!Std7PayrollEmploymentRequirements, 5, 6, 1, 1))</f>
        <v/>
      </c>
      <c r="G1255" s="195" t="str">
        <f ca="1">IF(OFFSET('IWP02'!Std7PayrollEmploymentRequirements, 5, 7, 1, 1) = 0, "", OFFSET('IWP02'!Std7PayrollEmploymentRequirements, 5, 7, 1, 1))</f>
        <v/>
      </c>
      <c r="H1255" s="195" t="str">
        <f ca="1">IF(OFFSET('IWP02'!Std7PayrollEmploymentRequirements, 5, 9, 1, 1) = 0, "", OFFSET('IWP02'!Std7PayrollEmploymentRequirements, 5, 9, 1, 1))</f>
        <v/>
      </c>
      <c r="I1255" s="194" t="str">
        <f ca="1">IF(OFFSET('IWP02'!Std7PayrollEmploymentRequirements, 5, 11, 1, 1) = 0, "", OFFSET('IWP02'!Std7PayrollEmploymentRequirements, 5, 11, 1, 1))</f>
        <v/>
      </c>
    </row>
    <row r="1256" spans="1:9" s="105" customFormat="1">
      <c r="A1256" s="183" t="s">
        <v>500</v>
      </c>
      <c r="B1256" s="195" t="str">
        <f ca="1">IF(OFFSET('IWP02'!Std7PayrollEmploymentRequirements, 6, 0, 1, 1) = 0, "", OFFSET('IWP02'!Std7PayrollEmploymentRequirements, 6, 0, 1, 1))</f>
        <v/>
      </c>
      <c r="C1256" s="195" t="str">
        <f ca="1">IF(OFFSET('IWP02'!Std7PayrollEmploymentRequirements, 6, 2, 1, 1) = 0, "", OFFSET('IWP02'!Std7PayrollEmploymentRequirements, 6, 2, 1, 1))</f>
        <v/>
      </c>
      <c r="D1256" s="172">
        <f ca="1">IF(OFFSET('IWP02'!Std7PayrollEmploymentRequirements, 6, 4, 1, 1)=DATE(1900,1,0), DATE(1900,1,1), OFFSET('IWP02'!Std7PayrollEmploymentRequirements, 6, 4, 1, 1))</f>
        <v>1</v>
      </c>
      <c r="E1256" s="195" t="str">
        <f ca="1">IF(OFFSET('IWP02'!Std7PayrollEmploymentRequirements, 6, 5, 1, 1) = 0, "", OFFSET('IWP02'!Std7PayrollEmploymentRequirements, 6, 5, 1, 1))</f>
        <v/>
      </c>
      <c r="F1256" s="195" t="str">
        <f ca="1">IF(OFFSET('IWP02'!Std7PayrollEmploymentRequirements, 6, 6, 1, 1) = 0, "", OFFSET('IWP02'!Std7PayrollEmploymentRequirements, 6, 6, 1, 1))</f>
        <v/>
      </c>
      <c r="G1256" s="195" t="str">
        <f ca="1">IF(OFFSET('IWP02'!Std7PayrollEmploymentRequirements, 6, 7, 1, 1) = 0, "", OFFSET('IWP02'!Std7PayrollEmploymentRequirements, 6, 7, 1, 1))</f>
        <v/>
      </c>
      <c r="H1256" s="195" t="str">
        <f ca="1">IF(OFFSET('IWP02'!Std7PayrollEmploymentRequirements, 6, 9, 1, 1) = 0, "", OFFSET('IWP02'!Std7PayrollEmploymentRequirements, 6, 9, 1, 1))</f>
        <v/>
      </c>
      <c r="I1256" s="194" t="str">
        <f ca="1">IF(OFFSET('IWP02'!Std7PayrollEmploymentRequirements, 6, 11, 1, 1) = 0, "", OFFSET('IWP02'!Std7PayrollEmploymentRequirements, 6, 11, 1, 1))</f>
        <v/>
      </c>
    </row>
    <row r="1257" spans="1:9" s="105" customFormat="1">
      <c r="A1257" s="183" t="s">
        <v>500</v>
      </c>
      <c r="B1257" s="195" t="str">
        <f ca="1">IF(OFFSET('IWP02'!Std7PayrollEmploymentRequirements, 7, 0, 1, 1) = 0, "", OFFSET('IWP02'!Std7PayrollEmploymentRequirements, 7, 0, 1, 1))</f>
        <v/>
      </c>
      <c r="C1257" s="195" t="str">
        <f ca="1">IF(OFFSET('IWP02'!Std7PayrollEmploymentRequirements, 7, 2, 1, 1) = 0, "", OFFSET('IWP02'!Std7PayrollEmploymentRequirements, 7, 2, 1, 1))</f>
        <v/>
      </c>
      <c r="D1257" s="172">
        <f ca="1">IF(OFFSET('IWP02'!Std7PayrollEmploymentRequirements, 7, 4, 1, 1)=DATE(1900,1,0), DATE(1900,1,1), OFFSET('IWP02'!Std7PayrollEmploymentRequirements, 7, 4, 1, 1))</f>
        <v>1</v>
      </c>
      <c r="E1257" s="195" t="str">
        <f ca="1">IF(OFFSET('IWP02'!Std7PayrollEmploymentRequirements, 7, 5, 1, 1) = 0, "", OFFSET('IWP02'!Std7PayrollEmploymentRequirements, 7, 5, 1, 1))</f>
        <v/>
      </c>
      <c r="F1257" s="195" t="str">
        <f ca="1">IF(OFFSET('IWP02'!Std7PayrollEmploymentRequirements, 7, 6, 1, 1) = 0, "", OFFSET('IWP02'!Std7PayrollEmploymentRequirements, 7, 6, 1, 1))</f>
        <v/>
      </c>
      <c r="G1257" s="195" t="str">
        <f ca="1">IF(OFFSET('IWP02'!Std7PayrollEmploymentRequirements, 7, 7, 1, 1) = 0, "", OFFSET('IWP02'!Std7PayrollEmploymentRequirements, 7, 7, 1, 1))</f>
        <v/>
      </c>
      <c r="H1257" s="195" t="str">
        <f ca="1">IF(OFFSET('IWP02'!Std7PayrollEmploymentRequirements, 7, 9, 1, 1) = 0, "", OFFSET('IWP02'!Std7PayrollEmploymentRequirements, 7, 9, 1, 1))</f>
        <v/>
      </c>
      <c r="I1257" s="194" t="str">
        <f ca="1">IF(OFFSET('IWP02'!Std7PayrollEmploymentRequirements, 7, 11, 1, 1) = 0, "", OFFSET('IWP02'!Std7PayrollEmploymentRequirements, 7, 11, 1, 1))</f>
        <v/>
      </c>
    </row>
    <row r="1258" spans="1:9" s="105" customFormat="1">
      <c r="A1258" s="183" t="s">
        <v>500</v>
      </c>
      <c r="B1258" s="195" t="str">
        <f ca="1">IF(OFFSET('IWP02'!Std7PayrollEmploymentRequirements, 8, 0, 1, 1) = 0, "", OFFSET('IWP02'!Std7PayrollEmploymentRequirements, 8, 0, 1, 1))</f>
        <v/>
      </c>
      <c r="C1258" s="195" t="str">
        <f ca="1">IF(OFFSET('IWP02'!Std7PayrollEmploymentRequirements, 8, 2, 1, 1) = 0, "", OFFSET('IWP02'!Std7PayrollEmploymentRequirements, 8, 2, 1, 1))</f>
        <v/>
      </c>
      <c r="D1258" s="172">
        <f ca="1">IF(OFFSET('IWP02'!Std7PayrollEmploymentRequirements, 8, 4, 1, 1)=DATE(1900,1,0), DATE(1900,1,1), OFFSET('IWP02'!Std7PayrollEmploymentRequirements, 8, 4, 1, 1))</f>
        <v>1</v>
      </c>
      <c r="E1258" s="195" t="str">
        <f ca="1">IF(OFFSET('IWP02'!Std7PayrollEmploymentRequirements, 8, 5, 1, 1) = 0, "", OFFSET('IWP02'!Std7PayrollEmploymentRequirements, 8, 5, 1, 1))</f>
        <v/>
      </c>
      <c r="F1258" s="195" t="str">
        <f ca="1">IF(OFFSET('IWP02'!Std7PayrollEmploymentRequirements, 8, 6, 1, 1) = 0, "", OFFSET('IWP02'!Std7PayrollEmploymentRequirements, 8, 6, 1, 1))</f>
        <v/>
      </c>
      <c r="G1258" s="195" t="str">
        <f ca="1">IF(OFFSET('IWP02'!Std7PayrollEmploymentRequirements, 8, 7, 1, 1) = 0, "", OFFSET('IWP02'!Std7PayrollEmploymentRequirements, 8, 7, 1, 1))</f>
        <v/>
      </c>
      <c r="H1258" s="195" t="str">
        <f ca="1">IF(OFFSET('IWP02'!Std7PayrollEmploymentRequirements, 8, 9, 1, 1) = 0, "", OFFSET('IWP02'!Std7PayrollEmploymentRequirements, 8, 9, 1, 1))</f>
        <v/>
      </c>
      <c r="I1258" s="194" t="str">
        <f ca="1">IF(OFFSET('IWP02'!Std7PayrollEmploymentRequirements, 8, 11, 1, 1) = 0, "", OFFSET('IWP02'!Std7PayrollEmploymentRequirements, 8, 11, 1, 1))</f>
        <v/>
      </c>
    </row>
    <row r="1259" spans="1:9" s="105" customFormat="1">
      <c r="A1259" s="183" t="s">
        <v>500</v>
      </c>
      <c r="B1259" s="195" t="str">
        <f ca="1">IF(OFFSET('IWP02'!Std7PayrollEmploymentRequirements, 9, 0, 1, 1) = 0, "", OFFSET('IWP02'!Std7PayrollEmploymentRequirements, 9, 0, 1, 1))</f>
        <v/>
      </c>
      <c r="C1259" s="195" t="str">
        <f ca="1">IF(OFFSET('IWP02'!Std7PayrollEmploymentRequirements, 9, 2, 1, 1) = 0, "", OFFSET('IWP02'!Std7PayrollEmploymentRequirements, 9, 2, 1, 1))</f>
        <v/>
      </c>
      <c r="D1259" s="172">
        <f ca="1">IF(OFFSET('IWP02'!Std7PayrollEmploymentRequirements, 9, 4, 1, 1)=DATE(1900,1,0), DATE(1900,1,1), OFFSET('IWP02'!Std7PayrollEmploymentRequirements, 9, 4, 1, 1))</f>
        <v>1</v>
      </c>
      <c r="E1259" s="195" t="str">
        <f ca="1">IF(OFFSET('IWP02'!Std7PayrollEmploymentRequirements, 9, 5, 1, 1) = 0, "", OFFSET('IWP02'!Std7PayrollEmploymentRequirements, 9, 5, 1, 1))</f>
        <v/>
      </c>
      <c r="F1259" s="195" t="str">
        <f ca="1">IF(OFFSET('IWP02'!Std7PayrollEmploymentRequirements, 9, 6, 1, 1) = 0, "", OFFSET('IWP02'!Std7PayrollEmploymentRequirements, 9, 6, 1, 1))</f>
        <v/>
      </c>
      <c r="G1259" s="195" t="str">
        <f ca="1">IF(OFFSET('IWP02'!Std7PayrollEmploymentRequirements, 9, 7, 1, 1) = 0, "", OFFSET('IWP02'!Std7PayrollEmploymentRequirements, 9, 7, 1, 1))</f>
        <v/>
      </c>
      <c r="H1259" s="195" t="str">
        <f ca="1">IF(OFFSET('IWP02'!Std7PayrollEmploymentRequirements, 9, 9, 1, 1) = 0, "", OFFSET('IWP02'!Std7PayrollEmploymentRequirements, 9, 9, 1, 1))</f>
        <v/>
      </c>
      <c r="I1259" s="194" t="str">
        <f ca="1">IF(OFFSET('IWP02'!Std7PayrollEmploymentRequirements, 9, 11, 1, 1) = 0, "", OFFSET('IWP02'!Std7PayrollEmploymentRequirements, 9, 11, 1, 1))</f>
        <v/>
      </c>
    </row>
    <row r="1260" spans="1:9" s="105" customFormat="1">
      <c r="A1260" s="183" t="s">
        <v>500</v>
      </c>
      <c r="B1260" s="195" t="str">
        <f ca="1">IF(OFFSET('IWP02'!Std7PayrollEmploymentRequirements, 10, 0, 1, 1) = 0, "", OFFSET('IWP02'!Std7PayrollEmploymentRequirements, 10, 0, 1, 1))</f>
        <v/>
      </c>
      <c r="C1260" s="195" t="str">
        <f ca="1">IF(OFFSET('IWP02'!Std7PayrollEmploymentRequirements, 10, 2, 1, 1) = 0, "", OFFSET('IWP02'!Std7PayrollEmploymentRequirements, 10, 2, 1, 1))</f>
        <v/>
      </c>
      <c r="D1260" s="172">
        <f ca="1">IF(OFFSET('IWP02'!Std7PayrollEmploymentRequirements, 10, 4, 1, 1)=DATE(1900,1,0), DATE(1900,1,1), OFFSET('IWP02'!Std7PayrollEmploymentRequirements, 10, 4, 1, 1))</f>
        <v>1</v>
      </c>
      <c r="E1260" s="195" t="str">
        <f ca="1">IF(OFFSET('IWP02'!Std7PayrollEmploymentRequirements, 10, 5, 1, 1) = 0, "", OFFSET('IWP02'!Std7PayrollEmploymentRequirements, 10, 5, 1, 1))</f>
        <v/>
      </c>
      <c r="F1260" s="195" t="str">
        <f ca="1">IF(OFFSET('IWP02'!Std7PayrollEmploymentRequirements, 10, 6, 1, 1) = 0, "", OFFSET('IWP02'!Std7PayrollEmploymentRequirements, 10, 6, 1, 1))</f>
        <v/>
      </c>
      <c r="G1260" s="195" t="str">
        <f ca="1">IF(OFFSET('IWP02'!Std7PayrollEmploymentRequirements, 10, 7, 1, 1) = 0, "", OFFSET('IWP02'!Std7PayrollEmploymentRequirements, 10, 7, 1, 1))</f>
        <v/>
      </c>
      <c r="H1260" s="195" t="str">
        <f ca="1">IF(OFFSET('IWP02'!Std7PayrollEmploymentRequirements, 10, 9, 1, 1) = 0, "", OFFSET('IWP02'!Std7PayrollEmploymentRequirements, 10, 9, 1, 1))</f>
        <v/>
      </c>
      <c r="I1260" s="194" t="str">
        <f ca="1">IF(OFFSET('IWP02'!Std7PayrollEmploymentRequirements, 10, 11, 1, 1) = 0, "", OFFSET('IWP02'!Std7PayrollEmploymentRequirements, 10, 11, 1, 1))</f>
        <v/>
      </c>
    </row>
    <row r="1261" spans="1:9" s="105" customFormat="1">
      <c r="A1261" s="183" t="s">
        <v>500</v>
      </c>
      <c r="B1261" s="195" t="str">
        <f ca="1">IF(OFFSET('IWP02'!Std7PayrollEmploymentRequirements, 11, 0, 1, 1) = 0, "", OFFSET('IWP02'!Std7PayrollEmploymentRequirements, 11, 0, 1, 1))</f>
        <v/>
      </c>
      <c r="C1261" s="195" t="str">
        <f ca="1">IF(OFFSET('IWP02'!Std7PayrollEmploymentRequirements, 11, 2, 1, 1) = 0, "", OFFSET('IWP02'!Std7PayrollEmploymentRequirements, 11, 2, 1, 1))</f>
        <v/>
      </c>
      <c r="D1261" s="172">
        <f ca="1">IF(OFFSET('IWP02'!Std7PayrollEmploymentRequirements, 11, 4, 1, 1)=DATE(1900,1,0), DATE(1900,1,1), OFFSET('IWP02'!Std7PayrollEmploymentRequirements, 11, 4, 1, 1))</f>
        <v>1</v>
      </c>
      <c r="E1261" s="195" t="str">
        <f ca="1">IF(OFFSET('IWP02'!Std7PayrollEmploymentRequirements, 11, 5, 1, 1) = 0, "", OFFSET('IWP02'!Std7PayrollEmploymentRequirements, 11, 5, 1, 1))</f>
        <v/>
      </c>
      <c r="F1261" s="195" t="str">
        <f ca="1">IF(OFFSET('IWP02'!Std7PayrollEmploymentRequirements, 11, 6, 1, 1) = 0, "", OFFSET('IWP02'!Std7PayrollEmploymentRequirements, 11, 6, 1, 1))</f>
        <v/>
      </c>
      <c r="G1261" s="195" t="str">
        <f ca="1">IF(OFFSET('IWP02'!Std7PayrollEmploymentRequirements, 11, 7, 1, 1) = 0, "", OFFSET('IWP02'!Std7PayrollEmploymentRequirements, 11, 7, 1, 1))</f>
        <v/>
      </c>
      <c r="H1261" s="195" t="str">
        <f ca="1">IF(OFFSET('IWP02'!Std7PayrollEmploymentRequirements, 11, 9, 1, 1) = 0, "", OFFSET('IWP02'!Std7PayrollEmploymentRequirements, 11, 9, 1, 1))</f>
        <v/>
      </c>
      <c r="I1261" s="194" t="str">
        <f ca="1">IF(OFFSET('IWP02'!Std7PayrollEmploymentRequirements, 11, 11, 1, 1) = 0, "", OFFSET('IWP02'!Std7PayrollEmploymentRequirements, 11, 11, 1, 1))</f>
        <v/>
      </c>
    </row>
    <row r="1262" spans="1:9" s="105" customFormat="1">
      <c r="A1262" s="183" t="s">
        <v>500</v>
      </c>
      <c r="B1262" s="195" t="str">
        <f ca="1">IF(OFFSET('IWP02'!Std7PayrollEmploymentRequirements, 12, 0, 1, 1) = 0, "", OFFSET('IWP02'!Std7PayrollEmploymentRequirements, 12, 0, 1, 1))</f>
        <v/>
      </c>
      <c r="C1262" s="195" t="str">
        <f ca="1">IF(OFFSET('IWP02'!Std7PayrollEmploymentRequirements, 12, 2, 1, 1) = 0, "", OFFSET('IWP02'!Std7PayrollEmploymentRequirements, 12, 2, 1, 1))</f>
        <v/>
      </c>
      <c r="D1262" s="172">
        <f ca="1">IF(OFFSET('IWP02'!Std7PayrollEmploymentRequirements, 12, 4, 1, 1)=DATE(1900,1,0), DATE(1900,1,1), OFFSET('IWP02'!Std7PayrollEmploymentRequirements, 12, 4, 1, 1))</f>
        <v>1</v>
      </c>
      <c r="E1262" s="195" t="str">
        <f ca="1">IF(OFFSET('IWP02'!Std7PayrollEmploymentRequirements, 12, 5, 1, 1) = 0, "", OFFSET('IWP02'!Std7PayrollEmploymentRequirements, 12, 5, 1, 1))</f>
        <v/>
      </c>
      <c r="F1262" s="195" t="str">
        <f ca="1">IF(OFFSET('IWP02'!Std7PayrollEmploymentRequirements, 12, 6, 1, 1) = 0, "", OFFSET('IWP02'!Std7PayrollEmploymentRequirements, 12, 6, 1, 1))</f>
        <v/>
      </c>
      <c r="G1262" s="195" t="str">
        <f ca="1">IF(OFFSET('IWP02'!Std7PayrollEmploymentRequirements, 12, 7, 1, 1) = 0, "", OFFSET('IWP02'!Std7PayrollEmploymentRequirements, 12, 7, 1, 1))</f>
        <v/>
      </c>
      <c r="H1262" s="195" t="str">
        <f ca="1">IF(OFFSET('IWP02'!Std7PayrollEmploymentRequirements, 12, 9, 1, 1) = 0, "", OFFSET('IWP02'!Std7PayrollEmploymentRequirements, 12, 9, 1, 1))</f>
        <v/>
      </c>
      <c r="I1262" s="194" t="str">
        <f ca="1">IF(OFFSET('IWP02'!Std7PayrollEmploymentRequirements, 12, 11, 1, 1) = 0, "", OFFSET('IWP02'!Std7PayrollEmploymentRequirements, 12, 11, 1, 1))</f>
        <v/>
      </c>
    </row>
    <row r="1263" spans="1:9" s="105" customFormat="1">
      <c r="A1263" s="183" t="s">
        <v>500</v>
      </c>
      <c r="B1263" s="195" t="str">
        <f ca="1">IF(OFFSET('IWP02'!Std7PayrollEmploymentRequirements, 13, 0, 1, 1) = 0, "", OFFSET('IWP02'!Std7PayrollEmploymentRequirements, 13, 0, 1, 1))</f>
        <v/>
      </c>
      <c r="C1263" s="195" t="str">
        <f ca="1">IF(OFFSET('IWP02'!Std7PayrollEmploymentRequirements, 13, 2, 1, 1) = 0, "", OFFSET('IWP02'!Std7PayrollEmploymentRequirements, 13, 2, 1, 1))</f>
        <v/>
      </c>
      <c r="D1263" s="172">
        <f ca="1">IF(OFFSET('IWP02'!Std7PayrollEmploymentRequirements, 13, 4, 1, 1)=DATE(1900,1,0), DATE(1900,1,1), OFFSET('IWP02'!Std7PayrollEmploymentRequirements, 13, 4, 1, 1))</f>
        <v>1</v>
      </c>
      <c r="E1263" s="195" t="str">
        <f ca="1">IF(OFFSET('IWP02'!Std7PayrollEmploymentRequirements, 13, 5, 1, 1) = 0, "", OFFSET('IWP02'!Std7PayrollEmploymentRequirements, 13, 5, 1, 1))</f>
        <v/>
      </c>
      <c r="F1263" s="195" t="str">
        <f ca="1">IF(OFFSET('IWP02'!Std7PayrollEmploymentRequirements, 13, 6, 1, 1) = 0, "", OFFSET('IWP02'!Std7PayrollEmploymentRequirements, 13, 6, 1, 1))</f>
        <v/>
      </c>
      <c r="G1263" s="195" t="str">
        <f ca="1">IF(OFFSET('IWP02'!Std7PayrollEmploymentRequirements, 13, 7, 1, 1) = 0, "", OFFSET('IWP02'!Std7PayrollEmploymentRequirements, 13, 7, 1, 1))</f>
        <v/>
      </c>
      <c r="H1263" s="195" t="str">
        <f ca="1">IF(OFFSET('IWP02'!Std7PayrollEmploymentRequirements, 13, 9, 1, 1) = 0, "", OFFSET('IWP02'!Std7PayrollEmploymentRequirements, 13, 9, 1, 1))</f>
        <v/>
      </c>
      <c r="I1263" s="194" t="str">
        <f ca="1">IF(OFFSET('IWP02'!Std7PayrollEmploymentRequirements, 13, 11, 1, 1) = 0, "", OFFSET('IWP02'!Std7PayrollEmploymentRequirements, 13, 11, 1, 1))</f>
        <v/>
      </c>
    </row>
    <row r="1264" spans="1:9" s="105" customFormat="1">
      <c r="A1264" s="183" t="s">
        <v>500</v>
      </c>
      <c r="B1264" s="195" t="str">
        <f ca="1">IF(OFFSET('IWP02'!Std7PayrollEmploymentRequirements, 14, 0, 1, 1) = 0, "", OFFSET('IWP02'!Std7PayrollEmploymentRequirements, 14, 0, 1, 1))</f>
        <v/>
      </c>
      <c r="C1264" s="195" t="str">
        <f ca="1">IF(OFFSET('IWP02'!Std7PayrollEmploymentRequirements, 14, 2, 1, 1) = 0, "", OFFSET('IWP02'!Std7PayrollEmploymentRequirements, 14, 2, 1, 1))</f>
        <v/>
      </c>
      <c r="D1264" s="172">
        <f ca="1">IF(OFFSET('IWP02'!Std7PayrollEmploymentRequirements, 14, 4, 1, 1)=DATE(1900,1,0), DATE(1900,1,1), OFFSET('IWP02'!Std7PayrollEmploymentRequirements, 14, 4, 1, 1))</f>
        <v>1</v>
      </c>
      <c r="E1264" s="195" t="str">
        <f ca="1">IF(OFFSET('IWP02'!Std7PayrollEmploymentRequirements, 14, 5, 1, 1) = 0, "", OFFSET('IWP02'!Std7PayrollEmploymentRequirements, 14, 5, 1, 1))</f>
        <v/>
      </c>
      <c r="F1264" s="195" t="str">
        <f ca="1">IF(OFFSET('IWP02'!Std7PayrollEmploymentRequirements, 14, 6, 1, 1) = 0, "", OFFSET('IWP02'!Std7PayrollEmploymentRequirements, 14, 6, 1, 1))</f>
        <v/>
      </c>
      <c r="G1264" s="195" t="str">
        <f ca="1">IF(OFFSET('IWP02'!Std7PayrollEmploymentRequirements, 14, 7, 1, 1) = 0, "", OFFSET('IWP02'!Std7PayrollEmploymentRequirements, 14, 7, 1, 1))</f>
        <v/>
      </c>
      <c r="H1264" s="195" t="str">
        <f ca="1">IF(OFFSET('IWP02'!Std7PayrollEmploymentRequirements, 14, 9, 1, 1) = 0, "", OFFSET('IWP02'!Std7PayrollEmploymentRequirements, 14, 9, 1, 1))</f>
        <v/>
      </c>
      <c r="I1264" s="194" t="str">
        <f ca="1">IF(OFFSET('IWP02'!Std7PayrollEmploymentRequirements, 14, 11, 1, 1) = 0, "", OFFSET('IWP02'!Std7PayrollEmploymentRequirements, 14, 11, 1, 1))</f>
        <v/>
      </c>
    </row>
    <row r="1265" spans="1:9" s="105" customFormat="1">
      <c r="A1265" s="183" t="s">
        <v>500</v>
      </c>
      <c r="B1265" s="195" t="str">
        <f ca="1">IF(OFFSET('IWP02'!Std7PayrollEmploymentRequirements, 15, 0, 1, 1) = 0, "", OFFSET('IWP02'!Std7PayrollEmploymentRequirements, 15, 0, 1, 1))</f>
        <v/>
      </c>
      <c r="C1265" s="195" t="str">
        <f ca="1">IF(OFFSET('IWP02'!Std7PayrollEmploymentRequirements, 15, 2, 1, 1) = 0, "", OFFSET('IWP02'!Std7PayrollEmploymentRequirements, 15, 2, 1, 1))</f>
        <v/>
      </c>
      <c r="D1265" s="172">
        <f ca="1">IF(OFFSET('IWP02'!Std7PayrollEmploymentRequirements, 15, 4, 1, 1)=DATE(1900,1,0), DATE(1900,1,1), OFFSET('IWP02'!Std7PayrollEmploymentRequirements, 15, 4, 1, 1))</f>
        <v>1</v>
      </c>
      <c r="E1265" s="195" t="str">
        <f ca="1">IF(OFFSET('IWP02'!Std7PayrollEmploymentRequirements, 15, 5, 1, 1) = 0, "", OFFSET('IWP02'!Std7PayrollEmploymentRequirements, 15, 5, 1, 1))</f>
        <v/>
      </c>
      <c r="F1265" s="195" t="str">
        <f ca="1">IF(OFFSET('IWP02'!Std7PayrollEmploymentRequirements, 15, 6, 1, 1) = 0, "", OFFSET('IWP02'!Std7PayrollEmploymentRequirements, 15, 6, 1, 1))</f>
        <v/>
      </c>
      <c r="G1265" s="195" t="str">
        <f ca="1">IF(OFFSET('IWP02'!Std7PayrollEmploymentRequirements, 15, 7, 1, 1) = 0, "", OFFSET('IWP02'!Std7PayrollEmploymentRequirements, 15, 7, 1, 1))</f>
        <v/>
      </c>
      <c r="H1265" s="195" t="str">
        <f ca="1">IF(OFFSET('IWP02'!Std7PayrollEmploymentRequirements, 15, 9, 1, 1) = 0, "", OFFSET('IWP02'!Std7PayrollEmploymentRequirements, 15, 9, 1, 1))</f>
        <v/>
      </c>
      <c r="I1265" s="194" t="str">
        <f ca="1">IF(OFFSET('IWP02'!Std7PayrollEmploymentRequirements, 15, 11, 1, 1) = 0, "", OFFSET('IWP02'!Std7PayrollEmploymentRequirements, 15, 11, 1, 1))</f>
        <v/>
      </c>
    </row>
    <row r="1266" spans="1:9" s="105" customFormat="1">
      <c r="A1266" s="183" t="s">
        <v>501</v>
      </c>
      <c r="B1266" s="195" t="str">
        <f ca="1">IF(OFFSET('IWP03'!Std7PayrollEmploymentRequirements, 0, 0, 1, 1) = 0, "", OFFSET('IWP03'!Std7PayrollEmploymentRequirements, 0, 0, 1, 1))</f>
        <v/>
      </c>
      <c r="C1266" s="195" t="str">
        <f ca="1">IF(OFFSET('IWP03'!Std7PayrollEmploymentRequirements, 0, 2, 1, 1) = 0, "", OFFSET('IWP03'!Std7PayrollEmploymentRequirements, 0, 2, 1, 1))</f>
        <v/>
      </c>
      <c r="D1266" s="172">
        <f ca="1">IF(OFFSET('IWP03'!Std7PayrollEmploymentRequirements, 0, 4, 1, 1)=DATE(1900,1,0), DATE(1900,1,1), OFFSET('IWP03'!Std7PayrollEmploymentRequirements, 0, 4, 1, 1))</f>
        <v>1</v>
      </c>
      <c r="E1266" s="195" t="str">
        <f ca="1">IF(OFFSET('IWP03'!Std7PayrollEmploymentRequirements, 0, 5, 1, 1) = 0, "", OFFSET('IWP03'!Std7PayrollEmploymentRequirements, 0, 5, 1, 1))</f>
        <v/>
      </c>
      <c r="F1266" s="195" t="str">
        <f ca="1">IF(OFFSET('IWP03'!Std7PayrollEmploymentRequirements, 0, 6, 1, 1) = 0, "", OFFSET('IWP03'!Std7PayrollEmploymentRequirements, 0, 6, 1, 1))</f>
        <v/>
      </c>
      <c r="G1266" s="195" t="str">
        <f ca="1">IF(OFFSET('IWP03'!Std7PayrollEmploymentRequirements, 0, 7, 1, 1) = 0, "", OFFSET('IWP03'!Std7PayrollEmploymentRequirements, 0, 7, 1, 1))</f>
        <v/>
      </c>
      <c r="H1266" s="195" t="str">
        <f ca="1">IF(OFFSET('IWP03'!Std7PayrollEmploymentRequirements, 0, 9, 1, 1) = 0, "", OFFSET('IWP03'!Std7PayrollEmploymentRequirements, 0, 9, 1, 1))</f>
        <v/>
      </c>
      <c r="I1266" s="194" t="str">
        <f ca="1">IF(OFFSET('IWP03'!Std7PayrollEmploymentRequirements, 0, 11, 1, 1) = 0, "", OFFSET('IWP03'!Std7PayrollEmploymentRequirements, 0, 11, 1, 1))</f>
        <v/>
      </c>
    </row>
    <row r="1267" spans="1:9" s="105" customFormat="1">
      <c r="A1267" s="183" t="s">
        <v>501</v>
      </c>
      <c r="B1267" s="195" t="str">
        <f ca="1">IF(OFFSET('IWP03'!Std7PayrollEmploymentRequirements, 1, 0, 1, 1) = 0, "", OFFSET('IWP03'!Std7PayrollEmploymentRequirements, 1, 0, 1, 1))</f>
        <v/>
      </c>
      <c r="C1267" s="195" t="str">
        <f ca="1">IF(OFFSET('IWP03'!Std7PayrollEmploymentRequirements, 1, 2, 1, 1) = 0, "", OFFSET('IWP03'!Std7PayrollEmploymentRequirements, 1, 2, 1, 1))</f>
        <v/>
      </c>
      <c r="D1267" s="172">
        <f ca="1">IF(OFFSET('IWP03'!Std7PayrollEmploymentRequirements, 1, 4, 1, 1)=DATE(1900,1,0), DATE(1900,1,1), OFFSET('IWP03'!Std7PayrollEmploymentRequirements, 1, 4, 1, 1))</f>
        <v>1</v>
      </c>
      <c r="E1267" s="195" t="str">
        <f ca="1">IF(OFFSET('IWP03'!Std7PayrollEmploymentRequirements, 1, 5, 1, 1) = 0, "", OFFSET('IWP03'!Std7PayrollEmploymentRequirements, 1, 5, 1, 1))</f>
        <v/>
      </c>
      <c r="F1267" s="195" t="str">
        <f ca="1">IF(OFFSET('IWP03'!Std7PayrollEmploymentRequirements, 1, 6, 1, 1) = 0, "", OFFSET('IWP03'!Std7PayrollEmploymentRequirements, 1, 6, 1, 1))</f>
        <v/>
      </c>
      <c r="G1267" s="195" t="str">
        <f ca="1">IF(OFFSET('IWP03'!Std7PayrollEmploymentRequirements, 1, 7, 1, 1) = 0, "", OFFSET('IWP03'!Std7PayrollEmploymentRequirements, 1, 7, 1, 1))</f>
        <v/>
      </c>
      <c r="H1267" s="195" t="str">
        <f ca="1">IF(OFFSET('IWP03'!Std7PayrollEmploymentRequirements, 1, 9, 1, 1) = 0, "", OFFSET('IWP03'!Std7PayrollEmploymentRequirements, 1, 9, 1, 1))</f>
        <v/>
      </c>
      <c r="I1267" s="194" t="str">
        <f ca="1">IF(OFFSET('IWP03'!Std7PayrollEmploymentRequirements, 1, 11, 1, 1) = 0, "", OFFSET('IWP03'!Std7PayrollEmploymentRequirements, 1, 11, 1, 1))</f>
        <v/>
      </c>
    </row>
    <row r="1268" spans="1:9" s="105" customFormat="1">
      <c r="A1268" s="183" t="s">
        <v>501</v>
      </c>
      <c r="B1268" s="195" t="str">
        <f ca="1">IF(OFFSET('IWP03'!Std7PayrollEmploymentRequirements, 2, 0, 1, 1) = 0, "", OFFSET('IWP03'!Std7PayrollEmploymentRequirements, 2, 0, 1, 1))</f>
        <v/>
      </c>
      <c r="C1268" s="195" t="str">
        <f ca="1">IF(OFFSET('IWP03'!Std7PayrollEmploymentRequirements, 2, 2, 1, 1) = 0, "", OFFSET('IWP03'!Std7PayrollEmploymentRequirements, 2, 2, 1, 1))</f>
        <v/>
      </c>
      <c r="D1268" s="172">
        <f ca="1">IF(OFFSET('IWP03'!Std7PayrollEmploymentRequirements, 2, 4, 1, 1)=DATE(1900,1,0), DATE(1900,1,1), OFFSET('IWP03'!Std7PayrollEmploymentRequirements, 2, 4, 1, 1))</f>
        <v>1</v>
      </c>
      <c r="E1268" s="195" t="str">
        <f ca="1">IF(OFFSET('IWP03'!Std7PayrollEmploymentRequirements, 2, 5, 1, 1) = 0, "", OFFSET('IWP03'!Std7PayrollEmploymentRequirements, 2, 5, 1, 1))</f>
        <v/>
      </c>
      <c r="F1268" s="195" t="str">
        <f ca="1">IF(OFFSET('IWP03'!Std7PayrollEmploymentRequirements, 2, 6, 1, 1) = 0, "", OFFSET('IWP03'!Std7PayrollEmploymentRequirements, 2, 6, 1, 1))</f>
        <v/>
      </c>
      <c r="G1268" s="195" t="str">
        <f ca="1">IF(OFFSET('IWP03'!Std7PayrollEmploymentRequirements, 2, 7, 1, 1) = 0, "", OFFSET('IWP03'!Std7PayrollEmploymentRequirements, 2, 7, 1, 1))</f>
        <v/>
      </c>
      <c r="H1268" s="195" t="str">
        <f ca="1">IF(OFFSET('IWP03'!Std7PayrollEmploymentRequirements, 2, 9, 1, 1) = 0, "", OFFSET('IWP03'!Std7PayrollEmploymentRequirements, 2, 9, 1, 1))</f>
        <v/>
      </c>
      <c r="I1268" s="194" t="str">
        <f ca="1">IF(OFFSET('IWP03'!Std7PayrollEmploymentRequirements, 2, 11, 1, 1) = 0, "", OFFSET('IWP03'!Std7PayrollEmploymentRequirements, 2, 11, 1, 1))</f>
        <v/>
      </c>
    </row>
    <row r="1269" spans="1:9" s="105" customFormat="1">
      <c r="A1269" s="183" t="s">
        <v>501</v>
      </c>
      <c r="B1269" s="195" t="str">
        <f ca="1">IF(OFFSET('IWP03'!Std7PayrollEmploymentRequirements, 3, 0, 1, 1) = 0, "", OFFSET('IWP03'!Std7PayrollEmploymentRequirements, 3, 0, 1, 1))</f>
        <v/>
      </c>
      <c r="C1269" s="195" t="str">
        <f ca="1">IF(OFFSET('IWP03'!Std7PayrollEmploymentRequirements, 3, 2, 1, 1) = 0, "", OFFSET('IWP03'!Std7PayrollEmploymentRequirements, 3, 2, 1, 1))</f>
        <v/>
      </c>
      <c r="D1269" s="172">
        <f ca="1">IF(OFFSET('IWP03'!Std7PayrollEmploymentRequirements, 3, 4, 1, 1)=DATE(1900,1,0), DATE(1900,1,1), OFFSET('IWP03'!Std7PayrollEmploymentRequirements, 3, 4, 1, 1))</f>
        <v>1</v>
      </c>
      <c r="E1269" s="195" t="str">
        <f ca="1">IF(OFFSET('IWP03'!Std7PayrollEmploymentRequirements, 3, 5, 1, 1) = 0, "", OFFSET('IWP03'!Std7PayrollEmploymentRequirements, 3, 5, 1, 1))</f>
        <v/>
      </c>
      <c r="F1269" s="195" t="str">
        <f ca="1">IF(OFFSET('IWP03'!Std7PayrollEmploymentRequirements, 3, 6, 1, 1) = 0, "", OFFSET('IWP03'!Std7PayrollEmploymentRequirements, 3, 6, 1, 1))</f>
        <v/>
      </c>
      <c r="G1269" s="195" t="str">
        <f ca="1">IF(OFFSET('IWP03'!Std7PayrollEmploymentRequirements, 3, 7, 1, 1) = 0, "", OFFSET('IWP03'!Std7PayrollEmploymentRequirements, 3, 7, 1, 1))</f>
        <v/>
      </c>
      <c r="H1269" s="195" t="str">
        <f ca="1">IF(OFFSET('IWP03'!Std7PayrollEmploymentRequirements, 3, 9, 1, 1) = 0, "", OFFSET('IWP03'!Std7PayrollEmploymentRequirements, 3, 9, 1, 1))</f>
        <v/>
      </c>
      <c r="I1269" s="194" t="str">
        <f ca="1">IF(OFFSET('IWP03'!Std7PayrollEmploymentRequirements, 3, 11, 1, 1) = 0, "", OFFSET('IWP03'!Std7PayrollEmploymentRequirements, 3, 11, 1, 1))</f>
        <v/>
      </c>
    </row>
    <row r="1270" spans="1:9" s="105" customFormat="1">
      <c r="A1270" s="183" t="s">
        <v>501</v>
      </c>
      <c r="B1270" s="195" t="str">
        <f ca="1">IF(OFFSET('IWP03'!Std7PayrollEmploymentRequirements, 4, 0, 1, 1) = 0, "", OFFSET('IWP03'!Std7PayrollEmploymentRequirements, 4, 0, 1, 1))</f>
        <v/>
      </c>
      <c r="C1270" s="195" t="str">
        <f ca="1">IF(OFFSET('IWP03'!Std7PayrollEmploymentRequirements, 4, 2, 1, 1) = 0, "", OFFSET('IWP03'!Std7PayrollEmploymentRequirements, 4, 2, 1, 1))</f>
        <v/>
      </c>
      <c r="D1270" s="172">
        <f ca="1">IF(OFFSET('IWP03'!Std7PayrollEmploymentRequirements, 4, 4, 1, 1)=DATE(1900,1,0), DATE(1900,1,1), OFFSET('IWP03'!Std7PayrollEmploymentRequirements, 4, 4, 1, 1))</f>
        <v>1</v>
      </c>
      <c r="E1270" s="195" t="str">
        <f ca="1">IF(OFFSET('IWP03'!Std7PayrollEmploymentRequirements, 4, 5, 1, 1) = 0, "", OFFSET('IWP03'!Std7PayrollEmploymentRequirements, 4, 5, 1, 1))</f>
        <v/>
      </c>
      <c r="F1270" s="195" t="str">
        <f ca="1">IF(OFFSET('IWP03'!Std7PayrollEmploymentRequirements, 4, 6, 1, 1) = 0, "", OFFSET('IWP03'!Std7PayrollEmploymentRequirements, 4, 6, 1, 1))</f>
        <v/>
      </c>
      <c r="G1270" s="195" t="str">
        <f ca="1">IF(OFFSET('IWP03'!Std7PayrollEmploymentRequirements, 4, 7, 1, 1) = 0, "", OFFSET('IWP03'!Std7PayrollEmploymentRequirements, 4, 7, 1, 1))</f>
        <v/>
      </c>
      <c r="H1270" s="195" t="str">
        <f ca="1">IF(OFFSET('IWP03'!Std7PayrollEmploymentRequirements, 4, 9, 1, 1) = 0, "", OFFSET('IWP03'!Std7PayrollEmploymentRequirements, 4, 9, 1, 1))</f>
        <v/>
      </c>
      <c r="I1270" s="194" t="str">
        <f ca="1">IF(OFFSET('IWP03'!Std7PayrollEmploymentRequirements, 4, 11, 1, 1) = 0, "", OFFSET('IWP03'!Std7PayrollEmploymentRequirements, 4, 11, 1, 1))</f>
        <v/>
      </c>
    </row>
    <row r="1271" spans="1:9" s="105" customFormat="1">
      <c r="A1271" s="183" t="s">
        <v>501</v>
      </c>
      <c r="B1271" s="195" t="str">
        <f ca="1">IF(OFFSET('IWP03'!Std7PayrollEmploymentRequirements, 5, 0, 1, 1) = 0, "", OFFSET('IWP03'!Std7PayrollEmploymentRequirements, 5, 0, 1, 1))</f>
        <v/>
      </c>
      <c r="C1271" s="195" t="str">
        <f ca="1">IF(OFFSET('IWP03'!Std7PayrollEmploymentRequirements, 5, 2, 1, 1) = 0, "", OFFSET('IWP03'!Std7PayrollEmploymentRequirements, 5, 2, 1, 1))</f>
        <v/>
      </c>
      <c r="D1271" s="172">
        <f ca="1">IF(OFFSET('IWP03'!Std7PayrollEmploymentRequirements, 5, 4, 1, 1)=DATE(1900,1,0), DATE(1900,1,1), OFFSET('IWP03'!Std7PayrollEmploymentRequirements, 5, 4, 1, 1))</f>
        <v>1</v>
      </c>
      <c r="E1271" s="195" t="str">
        <f ca="1">IF(OFFSET('IWP03'!Std7PayrollEmploymentRequirements, 5, 5, 1, 1) = 0, "", OFFSET('IWP03'!Std7PayrollEmploymentRequirements, 5, 5, 1, 1))</f>
        <v/>
      </c>
      <c r="F1271" s="195" t="str">
        <f ca="1">IF(OFFSET('IWP03'!Std7PayrollEmploymentRequirements, 5, 6, 1, 1) = 0, "", OFFSET('IWP03'!Std7PayrollEmploymentRequirements, 5, 6, 1, 1))</f>
        <v/>
      </c>
      <c r="G1271" s="195" t="str">
        <f ca="1">IF(OFFSET('IWP03'!Std7PayrollEmploymentRequirements, 5, 7, 1, 1) = 0, "", OFFSET('IWP03'!Std7PayrollEmploymentRequirements, 5, 7, 1, 1))</f>
        <v/>
      </c>
      <c r="H1271" s="195" t="str">
        <f ca="1">IF(OFFSET('IWP03'!Std7PayrollEmploymentRequirements, 5, 9, 1, 1) = 0, "", OFFSET('IWP03'!Std7PayrollEmploymentRequirements, 5, 9, 1, 1))</f>
        <v/>
      </c>
      <c r="I1271" s="194" t="str">
        <f ca="1">IF(OFFSET('IWP03'!Std7PayrollEmploymentRequirements, 5, 11, 1, 1) = 0, "", OFFSET('IWP03'!Std7PayrollEmploymentRequirements, 5, 11, 1, 1))</f>
        <v/>
      </c>
    </row>
    <row r="1272" spans="1:9" s="105" customFormat="1">
      <c r="A1272" s="183" t="s">
        <v>501</v>
      </c>
      <c r="B1272" s="195" t="str">
        <f ca="1">IF(OFFSET('IWP03'!Std7PayrollEmploymentRequirements, 6, 0, 1, 1) = 0, "", OFFSET('IWP03'!Std7PayrollEmploymentRequirements, 6, 0, 1, 1))</f>
        <v/>
      </c>
      <c r="C1272" s="195" t="str">
        <f ca="1">IF(OFFSET('IWP03'!Std7PayrollEmploymentRequirements, 6, 2, 1, 1) = 0, "", OFFSET('IWP03'!Std7PayrollEmploymentRequirements, 6, 2, 1, 1))</f>
        <v/>
      </c>
      <c r="D1272" s="172">
        <f ca="1">IF(OFFSET('IWP03'!Std7PayrollEmploymentRequirements, 6, 4, 1, 1)=DATE(1900,1,0), DATE(1900,1,1), OFFSET('IWP03'!Std7PayrollEmploymentRequirements, 6, 4, 1, 1))</f>
        <v>1</v>
      </c>
      <c r="E1272" s="195" t="str">
        <f ca="1">IF(OFFSET('IWP03'!Std7PayrollEmploymentRequirements, 6, 5, 1, 1) = 0, "", OFFSET('IWP03'!Std7PayrollEmploymentRequirements, 6, 5, 1, 1))</f>
        <v/>
      </c>
      <c r="F1272" s="195" t="str">
        <f ca="1">IF(OFFSET('IWP03'!Std7PayrollEmploymentRequirements, 6, 6, 1, 1) = 0, "", OFFSET('IWP03'!Std7PayrollEmploymentRequirements, 6, 6, 1, 1))</f>
        <v/>
      </c>
      <c r="G1272" s="195" t="str">
        <f ca="1">IF(OFFSET('IWP03'!Std7PayrollEmploymentRequirements, 6, 7, 1, 1) = 0, "", OFFSET('IWP03'!Std7PayrollEmploymentRequirements, 6, 7, 1, 1))</f>
        <v/>
      </c>
      <c r="H1272" s="195" t="str">
        <f ca="1">IF(OFFSET('IWP03'!Std7PayrollEmploymentRequirements, 6, 9, 1, 1) = 0, "", OFFSET('IWP03'!Std7PayrollEmploymentRequirements, 6, 9, 1, 1))</f>
        <v/>
      </c>
      <c r="I1272" s="194" t="str">
        <f ca="1">IF(OFFSET('IWP03'!Std7PayrollEmploymentRequirements, 6, 11, 1, 1) = 0, "", OFFSET('IWP03'!Std7PayrollEmploymentRequirements, 6, 11, 1, 1))</f>
        <v/>
      </c>
    </row>
    <row r="1273" spans="1:9" s="105" customFormat="1">
      <c r="A1273" s="183" t="s">
        <v>501</v>
      </c>
      <c r="B1273" s="195" t="str">
        <f ca="1">IF(OFFSET('IWP03'!Std7PayrollEmploymentRequirements, 7, 0, 1, 1) = 0, "", OFFSET('IWP03'!Std7PayrollEmploymentRequirements, 7, 0, 1, 1))</f>
        <v/>
      </c>
      <c r="C1273" s="195" t="str">
        <f ca="1">IF(OFFSET('IWP03'!Std7PayrollEmploymentRequirements, 7, 2, 1, 1) = 0, "", OFFSET('IWP03'!Std7PayrollEmploymentRequirements, 7, 2, 1, 1))</f>
        <v/>
      </c>
      <c r="D1273" s="172">
        <f ca="1">IF(OFFSET('IWP03'!Std7PayrollEmploymentRequirements, 7, 4, 1, 1)=DATE(1900,1,0), DATE(1900,1,1), OFFSET('IWP03'!Std7PayrollEmploymentRequirements, 7, 4, 1, 1))</f>
        <v>1</v>
      </c>
      <c r="E1273" s="195" t="str">
        <f ca="1">IF(OFFSET('IWP03'!Std7PayrollEmploymentRequirements, 7, 5, 1, 1) = 0, "", OFFSET('IWP03'!Std7PayrollEmploymentRequirements, 7, 5, 1, 1))</f>
        <v/>
      </c>
      <c r="F1273" s="195" t="str">
        <f ca="1">IF(OFFSET('IWP03'!Std7PayrollEmploymentRequirements, 7, 6, 1, 1) = 0, "", OFFSET('IWP03'!Std7PayrollEmploymentRequirements, 7, 6, 1, 1))</f>
        <v/>
      </c>
      <c r="G1273" s="195" t="str">
        <f ca="1">IF(OFFSET('IWP03'!Std7PayrollEmploymentRequirements, 7, 7, 1, 1) = 0, "", OFFSET('IWP03'!Std7PayrollEmploymentRequirements, 7, 7, 1, 1))</f>
        <v/>
      </c>
      <c r="H1273" s="195" t="str">
        <f ca="1">IF(OFFSET('IWP03'!Std7PayrollEmploymentRequirements, 7, 9, 1, 1) = 0, "", OFFSET('IWP03'!Std7PayrollEmploymentRequirements, 7, 9, 1, 1))</f>
        <v/>
      </c>
      <c r="I1273" s="194" t="str">
        <f ca="1">IF(OFFSET('IWP03'!Std7PayrollEmploymentRequirements, 7, 11, 1, 1) = 0, "", OFFSET('IWP03'!Std7PayrollEmploymentRequirements, 7, 11, 1, 1))</f>
        <v/>
      </c>
    </row>
    <row r="1274" spans="1:9" s="105" customFormat="1">
      <c r="A1274" s="183" t="s">
        <v>501</v>
      </c>
      <c r="B1274" s="195" t="str">
        <f ca="1">IF(OFFSET('IWP03'!Std7PayrollEmploymentRequirements, 8, 0, 1, 1) = 0, "", OFFSET('IWP03'!Std7PayrollEmploymentRequirements, 8, 0, 1, 1))</f>
        <v/>
      </c>
      <c r="C1274" s="195" t="str">
        <f ca="1">IF(OFFSET('IWP03'!Std7PayrollEmploymentRequirements, 8, 2, 1, 1) = 0, "", OFFSET('IWP03'!Std7PayrollEmploymentRequirements, 8, 2, 1, 1))</f>
        <v/>
      </c>
      <c r="D1274" s="172">
        <f ca="1">IF(OFFSET('IWP03'!Std7PayrollEmploymentRequirements, 8, 4, 1, 1)=DATE(1900,1,0), DATE(1900,1,1), OFFSET('IWP03'!Std7PayrollEmploymentRequirements, 8, 4, 1, 1))</f>
        <v>1</v>
      </c>
      <c r="E1274" s="195" t="str">
        <f ca="1">IF(OFFSET('IWP03'!Std7PayrollEmploymentRequirements, 8, 5, 1, 1) = 0, "", OFFSET('IWP03'!Std7PayrollEmploymentRequirements, 8, 5, 1, 1))</f>
        <v/>
      </c>
      <c r="F1274" s="195" t="str">
        <f ca="1">IF(OFFSET('IWP03'!Std7PayrollEmploymentRequirements, 8, 6, 1, 1) = 0, "", OFFSET('IWP03'!Std7PayrollEmploymentRequirements, 8, 6, 1, 1))</f>
        <v/>
      </c>
      <c r="G1274" s="195" t="str">
        <f ca="1">IF(OFFSET('IWP03'!Std7PayrollEmploymentRequirements, 8, 7, 1, 1) = 0, "", OFFSET('IWP03'!Std7PayrollEmploymentRequirements, 8, 7, 1, 1))</f>
        <v/>
      </c>
      <c r="H1274" s="195" t="str">
        <f ca="1">IF(OFFSET('IWP03'!Std7PayrollEmploymentRequirements, 8, 9, 1, 1) = 0, "", OFFSET('IWP03'!Std7PayrollEmploymentRequirements, 8, 9, 1, 1))</f>
        <v/>
      </c>
      <c r="I1274" s="194" t="str">
        <f ca="1">IF(OFFSET('IWP03'!Std7PayrollEmploymentRequirements, 8, 11, 1, 1) = 0, "", OFFSET('IWP03'!Std7PayrollEmploymentRequirements, 8, 11, 1, 1))</f>
        <v/>
      </c>
    </row>
    <row r="1275" spans="1:9" s="105" customFormat="1">
      <c r="A1275" s="183" t="s">
        <v>501</v>
      </c>
      <c r="B1275" s="195" t="str">
        <f ca="1">IF(OFFSET('IWP03'!Std7PayrollEmploymentRequirements, 9, 0, 1, 1) = 0, "", OFFSET('IWP03'!Std7PayrollEmploymentRequirements, 9, 0, 1, 1))</f>
        <v/>
      </c>
      <c r="C1275" s="195" t="str">
        <f ca="1">IF(OFFSET('IWP03'!Std7PayrollEmploymentRequirements, 9, 2, 1, 1) = 0, "", OFFSET('IWP03'!Std7PayrollEmploymentRequirements, 9, 2, 1, 1))</f>
        <v/>
      </c>
      <c r="D1275" s="172">
        <f ca="1">IF(OFFSET('IWP03'!Std7PayrollEmploymentRequirements, 9, 4, 1, 1)=DATE(1900,1,0), DATE(1900,1,1), OFFSET('IWP03'!Std7PayrollEmploymentRequirements, 9, 4, 1, 1))</f>
        <v>1</v>
      </c>
      <c r="E1275" s="195" t="str">
        <f ca="1">IF(OFFSET('IWP03'!Std7PayrollEmploymentRequirements, 9, 5, 1, 1) = 0, "", OFFSET('IWP03'!Std7PayrollEmploymentRequirements, 9, 5, 1, 1))</f>
        <v/>
      </c>
      <c r="F1275" s="195" t="str">
        <f ca="1">IF(OFFSET('IWP03'!Std7PayrollEmploymentRequirements, 9, 6, 1, 1) = 0, "", OFFSET('IWP03'!Std7PayrollEmploymentRequirements, 9, 6, 1, 1))</f>
        <v/>
      </c>
      <c r="G1275" s="195" t="str">
        <f ca="1">IF(OFFSET('IWP03'!Std7PayrollEmploymentRequirements, 9, 7, 1, 1) = 0, "", OFFSET('IWP03'!Std7PayrollEmploymentRequirements, 9, 7, 1, 1))</f>
        <v/>
      </c>
      <c r="H1275" s="195" t="str">
        <f ca="1">IF(OFFSET('IWP03'!Std7PayrollEmploymentRequirements, 9, 9, 1, 1) = 0, "", OFFSET('IWP03'!Std7PayrollEmploymentRequirements, 9, 9, 1, 1))</f>
        <v/>
      </c>
      <c r="I1275" s="194" t="str">
        <f ca="1">IF(OFFSET('IWP03'!Std7PayrollEmploymentRequirements, 9, 11, 1, 1) = 0, "", OFFSET('IWP03'!Std7PayrollEmploymentRequirements, 9, 11, 1, 1))</f>
        <v/>
      </c>
    </row>
    <row r="1276" spans="1:9" s="105" customFormat="1">
      <c r="A1276" s="183" t="s">
        <v>501</v>
      </c>
      <c r="B1276" s="195" t="str">
        <f ca="1">IF(OFFSET('IWP03'!Std7PayrollEmploymentRequirements, 10, 0, 1, 1) = 0, "", OFFSET('IWP03'!Std7PayrollEmploymentRequirements, 10, 0, 1, 1))</f>
        <v/>
      </c>
      <c r="C1276" s="195" t="str">
        <f ca="1">IF(OFFSET('IWP03'!Std7PayrollEmploymentRequirements, 10, 2, 1, 1) = 0, "", OFFSET('IWP03'!Std7PayrollEmploymentRequirements, 10, 2, 1, 1))</f>
        <v/>
      </c>
      <c r="D1276" s="172">
        <f ca="1">IF(OFFSET('IWP03'!Std7PayrollEmploymentRequirements, 10, 4, 1, 1)=DATE(1900,1,0), DATE(1900,1,1), OFFSET('IWP03'!Std7PayrollEmploymentRequirements, 10, 4, 1, 1))</f>
        <v>1</v>
      </c>
      <c r="E1276" s="195" t="str">
        <f ca="1">IF(OFFSET('IWP03'!Std7PayrollEmploymentRequirements, 10, 5, 1, 1) = 0, "", OFFSET('IWP03'!Std7PayrollEmploymentRequirements, 10, 5, 1, 1))</f>
        <v/>
      </c>
      <c r="F1276" s="195" t="str">
        <f ca="1">IF(OFFSET('IWP03'!Std7PayrollEmploymentRequirements, 10, 6, 1, 1) = 0, "", OFFSET('IWP03'!Std7PayrollEmploymentRequirements, 10, 6, 1, 1))</f>
        <v/>
      </c>
      <c r="G1276" s="195" t="str">
        <f ca="1">IF(OFFSET('IWP03'!Std7PayrollEmploymentRequirements, 10, 7, 1, 1) = 0, "", OFFSET('IWP03'!Std7PayrollEmploymentRequirements, 10, 7, 1, 1))</f>
        <v/>
      </c>
      <c r="H1276" s="195" t="str">
        <f ca="1">IF(OFFSET('IWP03'!Std7PayrollEmploymentRequirements, 10, 9, 1, 1) = 0, "", OFFSET('IWP03'!Std7PayrollEmploymentRequirements, 10, 9, 1, 1))</f>
        <v/>
      </c>
      <c r="I1276" s="194" t="str">
        <f ca="1">IF(OFFSET('IWP03'!Std7PayrollEmploymentRequirements, 10, 11, 1, 1) = 0, "", OFFSET('IWP03'!Std7PayrollEmploymentRequirements, 10, 11, 1, 1))</f>
        <v/>
      </c>
    </row>
    <row r="1277" spans="1:9" s="105" customFormat="1">
      <c r="A1277" s="183" t="s">
        <v>501</v>
      </c>
      <c r="B1277" s="195" t="str">
        <f ca="1">IF(OFFSET('IWP03'!Std7PayrollEmploymentRequirements, 11, 0, 1, 1) = 0, "", OFFSET('IWP03'!Std7PayrollEmploymentRequirements, 11, 0, 1, 1))</f>
        <v/>
      </c>
      <c r="C1277" s="195" t="str">
        <f ca="1">IF(OFFSET('IWP03'!Std7PayrollEmploymentRequirements, 11, 2, 1, 1) = 0, "", OFFSET('IWP03'!Std7PayrollEmploymentRequirements, 11, 2, 1, 1))</f>
        <v/>
      </c>
      <c r="D1277" s="172">
        <f ca="1">IF(OFFSET('IWP03'!Std7PayrollEmploymentRequirements, 11, 4, 1, 1)=DATE(1900,1,0), DATE(1900,1,1), OFFSET('IWP03'!Std7PayrollEmploymentRequirements, 11, 4, 1, 1))</f>
        <v>1</v>
      </c>
      <c r="E1277" s="195" t="str">
        <f ca="1">IF(OFFSET('IWP03'!Std7PayrollEmploymentRequirements, 11, 5, 1, 1) = 0, "", OFFSET('IWP03'!Std7PayrollEmploymentRequirements, 11, 5, 1, 1))</f>
        <v/>
      </c>
      <c r="F1277" s="195" t="str">
        <f ca="1">IF(OFFSET('IWP03'!Std7PayrollEmploymentRequirements, 11, 6, 1, 1) = 0, "", OFFSET('IWP03'!Std7PayrollEmploymentRequirements, 11, 6, 1, 1))</f>
        <v/>
      </c>
      <c r="G1277" s="195" t="str">
        <f ca="1">IF(OFFSET('IWP03'!Std7PayrollEmploymentRequirements, 11, 7, 1, 1) = 0, "", OFFSET('IWP03'!Std7PayrollEmploymentRequirements, 11, 7, 1, 1))</f>
        <v/>
      </c>
      <c r="H1277" s="195" t="str">
        <f ca="1">IF(OFFSET('IWP03'!Std7PayrollEmploymentRequirements, 11, 9, 1, 1) = 0, "", OFFSET('IWP03'!Std7PayrollEmploymentRequirements, 11, 9, 1, 1))</f>
        <v/>
      </c>
      <c r="I1277" s="194" t="str">
        <f ca="1">IF(OFFSET('IWP03'!Std7PayrollEmploymentRequirements, 11, 11, 1, 1) = 0, "", OFFSET('IWP03'!Std7PayrollEmploymentRequirements, 11, 11, 1, 1))</f>
        <v/>
      </c>
    </row>
    <row r="1278" spans="1:9" s="105" customFormat="1">
      <c r="A1278" s="183" t="s">
        <v>501</v>
      </c>
      <c r="B1278" s="195" t="str">
        <f ca="1">IF(OFFSET('IWP03'!Std7PayrollEmploymentRequirements, 12, 0, 1, 1) = 0, "", OFFSET('IWP03'!Std7PayrollEmploymentRequirements, 12, 0, 1, 1))</f>
        <v/>
      </c>
      <c r="C1278" s="195" t="str">
        <f ca="1">IF(OFFSET('IWP03'!Std7PayrollEmploymentRequirements, 12, 2, 1, 1) = 0, "", OFFSET('IWP03'!Std7PayrollEmploymentRequirements, 12, 2, 1, 1))</f>
        <v/>
      </c>
      <c r="D1278" s="172">
        <f ca="1">IF(OFFSET('IWP03'!Std7PayrollEmploymentRequirements, 12, 4, 1, 1)=DATE(1900,1,0), DATE(1900,1,1), OFFSET('IWP03'!Std7PayrollEmploymentRequirements, 12, 4, 1, 1))</f>
        <v>1</v>
      </c>
      <c r="E1278" s="195" t="str">
        <f ca="1">IF(OFFSET('IWP03'!Std7PayrollEmploymentRequirements, 12, 5, 1, 1) = 0, "", OFFSET('IWP03'!Std7PayrollEmploymentRequirements, 12, 5, 1, 1))</f>
        <v/>
      </c>
      <c r="F1278" s="195" t="str">
        <f ca="1">IF(OFFSET('IWP03'!Std7PayrollEmploymentRequirements, 12, 6, 1, 1) = 0, "", OFFSET('IWP03'!Std7PayrollEmploymentRequirements, 12, 6, 1, 1))</f>
        <v/>
      </c>
      <c r="G1278" s="195" t="str">
        <f ca="1">IF(OFFSET('IWP03'!Std7PayrollEmploymentRequirements, 12, 7, 1, 1) = 0, "", OFFSET('IWP03'!Std7PayrollEmploymentRequirements, 12, 7, 1, 1))</f>
        <v/>
      </c>
      <c r="H1278" s="195" t="str">
        <f ca="1">IF(OFFSET('IWP03'!Std7PayrollEmploymentRequirements, 12, 9, 1, 1) = 0, "", OFFSET('IWP03'!Std7PayrollEmploymentRequirements, 12, 9, 1, 1))</f>
        <v/>
      </c>
      <c r="I1278" s="194" t="str">
        <f ca="1">IF(OFFSET('IWP03'!Std7PayrollEmploymentRequirements, 12, 11, 1, 1) = 0, "", OFFSET('IWP03'!Std7PayrollEmploymentRequirements, 12, 11, 1, 1))</f>
        <v/>
      </c>
    </row>
    <row r="1279" spans="1:9" s="105" customFormat="1">
      <c r="A1279" s="183" t="s">
        <v>501</v>
      </c>
      <c r="B1279" s="195" t="str">
        <f ca="1">IF(OFFSET('IWP03'!Std7PayrollEmploymentRequirements, 13, 0, 1, 1) = 0, "", OFFSET('IWP03'!Std7PayrollEmploymentRequirements, 13, 0, 1, 1))</f>
        <v/>
      </c>
      <c r="C1279" s="195" t="str">
        <f ca="1">IF(OFFSET('IWP03'!Std7PayrollEmploymentRequirements, 13, 2, 1, 1) = 0, "", OFFSET('IWP03'!Std7PayrollEmploymentRequirements, 13, 2, 1, 1))</f>
        <v/>
      </c>
      <c r="D1279" s="172">
        <f ca="1">IF(OFFSET('IWP03'!Std7PayrollEmploymentRequirements, 13, 4, 1, 1)=DATE(1900,1,0), DATE(1900,1,1), OFFSET('IWP03'!Std7PayrollEmploymentRequirements, 13, 4, 1, 1))</f>
        <v>1</v>
      </c>
      <c r="E1279" s="195" t="str">
        <f ca="1">IF(OFFSET('IWP03'!Std7PayrollEmploymentRequirements, 13, 5, 1, 1) = 0, "", OFFSET('IWP03'!Std7PayrollEmploymentRequirements, 13, 5, 1, 1))</f>
        <v/>
      </c>
      <c r="F1279" s="195" t="str">
        <f ca="1">IF(OFFSET('IWP03'!Std7PayrollEmploymentRequirements, 13, 6, 1, 1) = 0, "", OFFSET('IWP03'!Std7PayrollEmploymentRequirements, 13, 6, 1, 1))</f>
        <v/>
      </c>
      <c r="G1279" s="195" t="str">
        <f ca="1">IF(OFFSET('IWP03'!Std7PayrollEmploymentRequirements, 13, 7, 1, 1) = 0, "", OFFSET('IWP03'!Std7PayrollEmploymentRequirements, 13, 7, 1, 1))</f>
        <v/>
      </c>
      <c r="H1279" s="195" t="str">
        <f ca="1">IF(OFFSET('IWP03'!Std7PayrollEmploymentRequirements, 13, 9, 1, 1) = 0, "", OFFSET('IWP03'!Std7PayrollEmploymentRequirements, 13, 9, 1, 1))</f>
        <v/>
      </c>
      <c r="I1279" s="194" t="str">
        <f ca="1">IF(OFFSET('IWP03'!Std7PayrollEmploymentRequirements, 13, 11, 1, 1) = 0, "", OFFSET('IWP03'!Std7PayrollEmploymentRequirements, 13, 11, 1, 1))</f>
        <v/>
      </c>
    </row>
    <row r="1280" spans="1:9" s="105" customFormat="1">
      <c r="A1280" s="183" t="s">
        <v>501</v>
      </c>
      <c r="B1280" s="195" t="str">
        <f ca="1">IF(OFFSET('IWP03'!Std7PayrollEmploymentRequirements, 14, 0, 1, 1) = 0, "", OFFSET('IWP03'!Std7PayrollEmploymentRequirements, 14, 0, 1, 1))</f>
        <v/>
      </c>
      <c r="C1280" s="195" t="str">
        <f ca="1">IF(OFFSET('IWP03'!Std7PayrollEmploymentRequirements, 14, 2, 1, 1) = 0, "", OFFSET('IWP03'!Std7PayrollEmploymentRequirements, 14, 2, 1, 1))</f>
        <v/>
      </c>
      <c r="D1280" s="172">
        <f ca="1">IF(OFFSET('IWP03'!Std7PayrollEmploymentRequirements, 14, 4, 1, 1)=DATE(1900,1,0), DATE(1900,1,1), OFFSET('IWP03'!Std7PayrollEmploymentRequirements, 14, 4, 1, 1))</f>
        <v>1</v>
      </c>
      <c r="E1280" s="195" t="str">
        <f ca="1">IF(OFFSET('IWP03'!Std7PayrollEmploymentRequirements, 14, 5, 1, 1) = 0, "", OFFSET('IWP03'!Std7PayrollEmploymentRequirements, 14, 5, 1, 1))</f>
        <v/>
      </c>
      <c r="F1280" s="195" t="str">
        <f ca="1">IF(OFFSET('IWP03'!Std7PayrollEmploymentRequirements, 14, 6, 1, 1) = 0, "", OFFSET('IWP03'!Std7PayrollEmploymentRequirements, 14, 6, 1, 1))</f>
        <v/>
      </c>
      <c r="G1280" s="195" t="str">
        <f ca="1">IF(OFFSET('IWP03'!Std7PayrollEmploymentRequirements, 14, 7, 1, 1) = 0, "", OFFSET('IWP03'!Std7PayrollEmploymentRequirements, 14, 7, 1, 1))</f>
        <v/>
      </c>
      <c r="H1280" s="195" t="str">
        <f ca="1">IF(OFFSET('IWP03'!Std7PayrollEmploymentRequirements, 14, 9, 1, 1) = 0, "", OFFSET('IWP03'!Std7PayrollEmploymentRequirements, 14, 9, 1, 1))</f>
        <v/>
      </c>
      <c r="I1280" s="194" t="str">
        <f ca="1">IF(OFFSET('IWP03'!Std7PayrollEmploymentRequirements, 14, 11, 1, 1) = 0, "", OFFSET('IWP03'!Std7PayrollEmploymentRequirements, 14, 11, 1, 1))</f>
        <v/>
      </c>
    </row>
    <row r="1281" spans="1:9" s="105" customFormat="1">
      <c r="A1281" s="183" t="s">
        <v>501</v>
      </c>
      <c r="B1281" s="195" t="str">
        <f ca="1">IF(OFFSET('IWP03'!Std7PayrollEmploymentRequirements, 15, 0, 1, 1) = 0, "", OFFSET('IWP03'!Std7PayrollEmploymentRequirements, 15, 0, 1, 1))</f>
        <v/>
      </c>
      <c r="C1281" s="195" t="str">
        <f ca="1">IF(OFFSET('IWP03'!Std7PayrollEmploymentRequirements, 15, 2, 1, 1) = 0, "", OFFSET('IWP03'!Std7PayrollEmploymentRequirements, 15, 2, 1, 1))</f>
        <v/>
      </c>
      <c r="D1281" s="172">
        <f ca="1">IF(OFFSET('IWP03'!Std7PayrollEmploymentRequirements, 15, 4, 1, 1)=DATE(1900,1,0), DATE(1900,1,1), OFFSET('IWP03'!Std7PayrollEmploymentRequirements, 15, 4, 1, 1))</f>
        <v>1</v>
      </c>
      <c r="E1281" s="195" t="str">
        <f ca="1">IF(OFFSET('IWP03'!Std7PayrollEmploymentRequirements, 15, 5, 1, 1) = 0, "", OFFSET('IWP03'!Std7PayrollEmploymentRequirements, 15, 5, 1, 1))</f>
        <v/>
      </c>
      <c r="F1281" s="195" t="str">
        <f ca="1">IF(OFFSET('IWP03'!Std7PayrollEmploymentRequirements, 15, 6, 1, 1) = 0, "", OFFSET('IWP03'!Std7PayrollEmploymentRequirements, 15, 6, 1, 1))</f>
        <v/>
      </c>
      <c r="G1281" s="195" t="str">
        <f ca="1">IF(OFFSET('IWP03'!Std7PayrollEmploymentRequirements, 15, 7, 1, 1) = 0, "", OFFSET('IWP03'!Std7PayrollEmploymentRequirements, 15, 7, 1, 1))</f>
        <v/>
      </c>
      <c r="H1281" s="195" t="str">
        <f ca="1">IF(OFFSET('IWP03'!Std7PayrollEmploymentRequirements, 15, 9, 1, 1) = 0, "", OFFSET('IWP03'!Std7PayrollEmploymentRequirements, 15, 9, 1, 1))</f>
        <v/>
      </c>
      <c r="I1281" s="194" t="str">
        <f ca="1">IF(OFFSET('IWP03'!Std7PayrollEmploymentRequirements, 15, 11, 1, 1) = 0, "", OFFSET('IWP03'!Std7PayrollEmploymentRequirements, 15, 11, 1, 1))</f>
        <v/>
      </c>
    </row>
    <row r="1282" spans="1:9" s="146" customFormat="1">
      <c r="A1282" s="183" t="s">
        <v>502</v>
      </c>
      <c r="B1282" s="195" t="str">
        <f ca="1">IF(OFFSET('IWP04'!Std7PayrollEmploymentRequirements, 0, 0, 1, 1) = 0, "", OFFSET('IWP04'!Std7PayrollEmploymentRequirements, 0, 0, 1, 1))</f>
        <v/>
      </c>
      <c r="C1282" s="195" t="str">
        <f ca="1">IF(OFFSET('IWP04'!Std7PayrollEmploymentRequirements, 0, 2, 1, 1) = 0, "", OFFSET('IWP04'!Std7PayrollEmploymentRequirements, 0, 2, 1, 1))</f>
        <v/>
      </c>
      <c r="D1282" s="172">
        <f ca="1">IF(OFFSET('IWP04'!Std7PayrollEmploymentRequirements, 0, 4, 1, 1)=DATE(1900,1,0), DATE(1900,1,1), OFFSET('IWP04'!Std7PayrollEmploymentRequirements, 0, 4, 1, 1))</f>
        <v>1</v>
      </c>
      <c r="E1282" s="195" t="str">
        <f ca="1">IF(OFFSET('IWP04'!Std7PayrollEmploymentRequirements, 0, 5, 1, 1) = 0, "", OFFSET('IWP04'!Std7PayrollEmploymentRequirements, 0, 5, 1, 1))</f>
        <v/>
      </c>
      <c r="F1282" s="195" t="str">
        <f ca="1">IF(OFFSET('IWP04'!Std7PayrollEmploymentRequirements, 0, 6, 1, 1) = 0, "", OFFSET('IWP04'!Std7PayrollEmploymentRequirements, 0, 6, 1, 1))</f>
        <v/>
      </c>
      <c r="G1282" s="195" t="str">
        <f ca="1">IF(OFFSET('IWP04'!Std7PayrollEmploymentRequirements, 0, 7, 1, 1) = 0, "", OFFSET('IWP04'!Std7PayrollEmploymentRequirements, 0, 7, 1, 1))</f>
        <v/>
      </c>
      <c r="H1282" s="195" t="str">
        <f ca="1">IF(OFFSET('IWP04'!Std7PayrollEmploymentRequirements, 0, 9, 1, 1) = 0, "", OFFSET('IWP04'!Std7PayrollEmploymentRequirements, 0, 9, 1, 1))</f>
        <v/>
      </c>
      <c r="I1282" s="194" t="str">
        <f ca="1">IF(OFFSET('IWP04'!Std7PayrollEmploymentRequirements, 0, 11, 1, 1) = 0, "", OFFSET('IWP04'!Std7PayrollEmploymentRequirements, 0, 11, 1, 1))</f>
        <v/>
      </c>
    </row>
    <row r="1283" spans="1:9" s="146" customFormat="1">
      <c r="A1283" s="183" t="s">
        <v>502</v>
      </c>
      <c r="B1283" s="195" t="str">
        <f ca="1">IF(OFFSET('IWP04'!Std7PayrollEmploymentRequirements, 1, 0, 1, 1) = 0, "", OFFSET('IWP04'!Std7PayrollEmploymentRequirements, 1, 0, 1, 1))</f>
        <v/>
      </c>
      <c r="C1283" s="195" t="str">
        <f ca="1">IF(OFFSET('IWP04'!Std7PayrollEmploymentRequirements, 1, 2, 1, 1) = 0, "", OFFSET('IWP04'!Std7PayrollEmploymentRequirements, 1, 2, 1, 1))</f>
        <v/>
      </c>
      <c r="D1283" s="172">
        <f ca="1">IF(OFFSET('IWP04'!Std7PayrollEmploymentRequirements, 1, 4, 1, 1)=DATE(1900,1,0), DATE(1900,1,1), OFFSET('IWP04'!Std7PayrollEmploymentRequirements, 1, 4, 1, 1))</f>
        <v>1</v>
      </c>
      <c r="E1283" s="195" t="str">
        <f ca="1">IF(OFFSET('IWP04'!Std7PayrollEmploymentRequirements, 1, 5, 1, 1) = 0, "", OFFSET('IWP04'!Std7PayrollEmploymentRequirements, 1, 5, 1, 1))</f>
        <v/>
      </c>
      <c r="F1283" s="195" t="str">
        <f ca="1">IF(OFFSET('IWP04'!Std7PayrollEmploymentRequirements, 1, 6, 1, 1) = 0, "", OFFSET('IWP04'!Std7PayrollEmploymentRequirements, 1, 6, 1, 1))</f>
        <v/>
      </c>
      <c r="G1283" s="195" t="str">
        <f ca="1">IF(OFFSET('IWP04'!Std7PayrollEmploymentRequirements, 1, 7, 1, 1) = 0, "", OFFSET('IWP04'!Std7PayrollEmploymentRequirements, 1, 7, 1, 1))</f>
        <v/>
      </c>
      <c r="H1283" s="195" t="str">
        <f ca="1">IF(OFFSET('IWP04'!Std7PayrollEmploymentRequirements, 1, 9, 1, 1) = 0, "", OFFSET('IWP04'!Std7PayrollEmploymentRequirements, 1, 9, 1, 1))</f>
        <v/>
      </c>
      <c r="I1283" s="194" t="str">
        <f ca="1">IF(OFFSET('IWP04'!Std7PayrollEmploymentRequirements, 1, 11, 1, 1) = 0, "", OFFSET('IWP04'!Std7PayrollEmploymentRequirements, 1, 11, 1, 1))</f>
        <v/>
      </c>
    </row>
    <row r="1284" spans="1:9" s="146" customFormat="1">
      <c r="A1284" s="183" t="s">
        <v>502</v>
      </c>
      <c r="B1284" s="195" t="str">
        <f ca="1">IF(OFFSET('IWP04'!Std7PayrollEmploymentRequirements, 2, 0, 1, 1) = 0, "", OFFSET('IWP04'!Std7PayrollEmploymentRequirements, 2, 0, 1, 1))</f>
        <v/>
      </c>
      <c r="C1284" s="195" t="str">
        <f ca="1">IF(OFFSET('IWP04'!Std7PayrollEmploymentRequirements, 2, 2, 1, 1) = 0, "", OFFSET('IWP04'!Std7PayrollEmploymentRequirements, 2, 2, 1, 1))</f>
        <v/>
      </c>
      <c r="D1284" s="172">
        <f ca="1">IF(OFFSET('IWP04'!Std7PayrollEmploymentRequirements, 2, 4, 1, 1)=DATE(1900,1,0), DATE(1900,1,1), OFFSET('IWP04'!Std7PayrollEmploymentRequirements, 2, 4, 1, 1))</f>
        <v>1</v>
      </c>
      <c r="E1284" s="195" t="str">
        <f ca="1">IF(OFFSET('IWP04'!Std7PayrollEmploymentRequirements, 2, 5, 1, 1) = 0, "", OFFSET('IWP04'!Std7PayrollEmploymentRequirements, 2, 5, 1, 1))</f>
        <v/>
      </c>
      <c r="F1284" s="195" t="str">
        <f ca="1">IF(OFFSET('IWP04'!Std7PayrollEmploymentRequirements, 2, 6, 1, 1) = 0, "", OFFSET('IWP04'!Std7PayrollEmploymentRequirements, 2, 6, 1, 1))</f>
        <v/>
      </c>
      <c r="G1284" s="195" t="str">
        <f ca="1">IF(OFFSET('IWP04'!Std7PayrollEmploymentRequirements, 2, 7, 1, 1) = 0, "", OFFSET('IWP04'!Std7PayrollEmploymentRequirements, 2, 7, 1, 1))</f>
        <v/>
      </c>
      <c r="H1284" s="195" t="str">
        <f ca="1">IF(OFFSET('IWP04'!Std7PayrollEmploymentRequirements, 2, 9, 1, 1) = 0, "", OFFSET('IWP04'!Std7PayrollEmploymentRequirements, 2, 9, 1, 1))</f>
        <v/>
      </c>
      <c r="I1284" s="194" t="str">
        <f ca="1">IF(OFFSET('IWP04'!Std7PayrollEmploymentRequirements, 2, 11, 1, 1) = 0, "", OFFSET('IWP04'!Std7PayrollEmploymentRequirements, 2, 11, 1, 1))</f>
        <v/>
      </c>
    </row>
    <row r="1285" spans="1:9" s="146" customFormat="1">
      <c r="A1285" s="183" t="s">
        <v>502</v>
      </c>
      <c r="B1285" s="195" t="str">
        <f ca="1">IF(OFFSET('IWP04'!Std7PayrollEmploymentRequirements, 3, 0, 1, 1) = 0, "", OFFSET('IWP04'!Std7PayrollEmploymentRequirements, 3, 0, 1, 1))</f>
        <v/>
      </c>
      <c r="C1285" s="195" t="str">
        <f ca="1">IF(OFFSET('IWP04'!Std7PayrollEmploymentRequirements, 3, 2, 1, 1) = 0, "", OFFSET('IWP04'!Std7PayrollEmploymentRequirements, 3, 2, 1, 1))</f>
        <v/>
      </c>
      <c r="D1285" s="172">
        <f ca="1">IF(OFFSET('IWP04'!Std7PayrollEmploymentRequirements, 3, 4, 1, 1)=DATE(1900,1,0), DATE(1900,1,1), OFFSET('IWP04'!Std7PayrollEmploymentRequirements, 3, 4, 1, 1))</f>
        <v>1</v>
      </c>
      <c r="E1285" s="195" t="str">
        <f ca="1">IF(OFFSET('IWP04'!Std7PayrollEmploymentRequirements, 3, 5, 1, 1) = 0, "", OFFSET('IWP04'!Std7PayrollEmploymentRequirements, 3, 5, 1, 1))</f>
        <v/>
      </c>
      <c r="F1285" s="195" t="str">
        <f ca="1">IF(OFFSET('IWP04'!Std7PayrollEmploymentRequirements, 3, 6, 1, 1) = 0, "", OFFSET('IWP04'!Std7PayrollEmploymentRequirements, 3, 6, 1, 1))</f>
        <v/>
      </c>
      <c r="G1285" s="195" t="str">
        <f ca="1">IF(OFFSET('IWP04'!Std7PayrollEmploymentRequirements, 3, 7, 1, 1) = 0, "", OFFSET('IWP04'!Std7PayrollEmploymentRequirements, 3, 7, 1, 1))</f>
        <v/>
      </c>
      <c r="H1285" s="195" t="str">
        <f ca="1">IF(OFFSET('IWP04'!Std7PayrollEmploymentRequirements, 3, 9, 1, 1) = 0, "", OFFSET('IWP04'!Std7PayrollEmploymentRequirements, 3, 9, 1, 1))</f>
        <v/>
      </c>
      <c r="I1285" s="194" t="str">
        <f ca="1">IF(OFFSET('IWP04'!Std7PayrollEmploymentRequirements, 3, 11, 1, 1) = 0, "", OFFSET('IWP04'!Std7PayrollEmploymentRequirements, 3, 11, 1, 1))</f>
        <v/>
      </c>
    </row>
    <row r="1286" spans="1:9" s="146" customFormat="1">
      <c r="A1286" s="183" t="s">
        <v>502</v>
      </c>
      <c r="B1286" s="195" t="str">
        <f ca="1">IF(OFFSET('IWP04'!Std7PayrollEmploymentRequirements, 4, 0, 1, 1) = 0, "", OFFSET('IWP04'!Std7PayrollEmploymentRequirements, 4, 0, 1, 1))</f>
        <v/>
      </c>
      <c r="C1286" s="195" t="str">
        <f ca="1">IF(OFFSET('IWP04'!Std7PayrollEmploymentRequirements, 4, 2, 1, 1) = 0, "", OFFSET('IWP04'!Std7PayrollEmploymentRequirements, 4, 2, 1, 1))</f>
        <v/>
      </c>
      <c r="D1286" s="172">
        <f ca="1">IF(OFFSET('IWP04'!Std7PayrollEmploymentRequirements, 4, 4, 1, 1)=DATE(1900,1,0), DATE(1900,1,1), OFFSET('IWP04'!Std7PayrollEmploymentRequirements, 4, 4, 1, 1))</f>
        <v>1</v>
      </c>
      <c r="E1286" s="195" t="str">
        <f ca="1">IF(OFFSET('IWP04'!Std7PayrollEmploymentRequirements, 4, 5, 1, 1) = 0, "", OFFSET('IWP04'!Std7PayrollEmploymentRequirements, 4, 5, 1, 1))</f>
        <v/>
      </c>
      <c r="F1286" s="195" t="str">
        <f ca="1">IF(OFFSET('IWP04'!Std7PayrollEmploymentRequirements, 4, 6, 1, 1) = 0, "", OFFSET('IWP04'!Std7PayrollEmploymentRequirements, 4, 6, 1, 1))</f>
        <v/>
      </c>
      <c r="G1286" s="195" t="str">
        <f ca="1">IF(OFFSET('IWP04'!Std7PayrollEmploymentRequirements, 4, 7, 1, 1) = 0, "", OFFSET('IWP04'!Std7PayrollEmploymentRequirements, 4, 7, 1, 1))</f>
        <v/>
      </c>
      <c r="H1286" s="195" t="str">
        <f ca="1">IF(OFFSET('IWP04'!Std7PayrollEmploymentRequirements, 4, 9, 1, 1) = 0, "", OFFSET('IWP04'!Std7PayrollEmploymentRequirements, 4, 9, 1, 1))</f>
        <v/>
      </c>
      <c r="I1286" s="194" t="str">
        <f ca="1">IF(OFFSET('IWP04'!Std7PayrollEmploymentRequirements, 4, 11, 1, 1) = 0, "", OFFSET('IWP04'!Std7PayrollEmploymentRequirements, 4, 11, 1, 1))</f>
        <v/>
      </c>
    </row>
    <row r="1287" spans="1:9" s="146" customFormat="1">
      <c r="A1287" s="183" t="s">
        <v>502</v>
      </c>
      <c r="B1287" s="195" t="str">
        <f ca="1">IF(OFFSET('IWP04'!Std7PayrollEmploymentRequirements, 5, 0, 1, 1) = 0, "", OFFSET('IWP04'!Std7PayrollEmploymentRequirements, 5, 0, 1, 1))</f>
        <v/>
      </c>
      <c r="C1287" s="195" t="str">
        <f ca="1">IF(OFFSET('IWP04'!Std7PayrollEmploymentRequirements, 5, 2, 1, 1) = 0, "", OFFSET('IWP04'!Std7PayrollEmploymentRequirements, 5, 2, 1, 1))</f>
        <v/>
      </c>
      <c r="D1287" s="172">
        <f ca="1">IF(OFFSET('IWP04'!Std7PayrollEmploymentRequirements, 5, 4, 1, 1)=DATE(1900,1,0), DATE(1900,1,1), OFFSET('IWP04'!Std7PayrollEmploymentRequirements, 5, 4, 1, 1))</f>
        <v>1</v>
      </c>
      <c r="E1287" s="195" t="str">
        <f ca="1">IF(OFFSET('IWP04'!Std7PayrollEmploymentRequirements, 5, 5, 1, 1) = 0, "", OFFSET('IWP04'!Std7PayrollEmploymentRequirements, 5, 5, 1, 1))</f>
        <v/>
      </c>
      <c r="F1287" s="195" t="str">
        <f ca="1">IF(OFFSET('IWP04'!Std7PayrollEmploymentRequirements, 5, 6, 1, 1) = 0, "", OFFSET('IWP04'!Std7PayrollEmploymentRequirements, 5, 6, 1, 1))</f>
        <v/>
      </c>
      <c r="G1287" s="195" t="str">
        <f ca="1">IF(OFFSET('IWP04'!Std7PayrollEmploymentRequirements, 5, 7, 1, 1) = 0, "", OFFSET('IWP04'!Std7PayrollEmploymentRequirements, 5, 7, 1, 1))</f>
        <v/>
      </c>
      <c r="H1287" s="195" t="str">
        <f ca="1">IF(OFFSET('IWP04'!Std7PayrollEmploymentRequirements, 5, 9, 1, 1) = 0, "", OFFSET('IWP04'!Std7PayrollEmploymentRequirements, 5, 9, 1, 1))</f>
        <v/>
      </c>
      <c r="I1287" s="194" t="str">
        <f ca="1">IF(OFFSET('IWP04'!Std7PayrollEmploymentRequirements, 5, 11, 1, 1) = 0, "", OFFSET('IWP04'!Std7PayrollEmploymentRequirements, 5, 11, 1, 1))</f>
        <v/>
      </c>
    </row>
    <row r="1288" spans="1:9" s="146" customFormat="1">
      <c r="A1288" s="183" t="s">
        <v>502</v>
      </c>
      <c r="B1288" s="195" t="str">
        <f ca="1">IF(OFFSET('IWP04'!Std7PayrollEmploymentRequirements, 6, 0, 1, 1) = 0, "", OFFSET('IWP04'!Std7PayrollEmploymentRequirements, 6, 0, 1, 1))</f>
        <v/>
      </c>
      <c r="C1288" s="195" t="str">
        <f ca="1">IF(OFFSET('IWP04'!Std7PayrollEmploymentRequirements, 6, 2, 1, 1) = 0, "", OFFSET('IWP04'!Std7PayrollEmploymentRequirements, 6, 2, 1, 1))</f>
        <v/>
      </c>
      <c r="D1288" s="172">
        <f ca="1">IF(OFFSET('IWP04'!Std7PayrollEmploymentRequirements, 6, 4, 1, 1)=DATE(1900,1,0), DATE(1900,1,1), OFFSET('IWP04'!Std7PayrollEmploymentRequirements, 6, 4, 1, 1))</f>
        <v>1</v>
      </c>
      <c r="E1288" s="195" t="str">
        <f ca="1">IF(OFFSET('IWP04'!Std7PayrollEmploymentRequirements, 6, 5, 1, 1) = 0, "", OFFSET('IWP04'!Std7PayrollEmploymentRequirements, 6, 5, 1, 1))</f>
        <v/>
      </c>
      <c r="F1288" s="195" t="str">
        <f ca="1">IF(OFFSET('IWP04'!Std7PayrollEmploymentRequirements, 6, 6, 1, 1) = 0, "", OFFSET('IWP04'!Std7PayrollEmploymentRequirements, 6, 6, 1, 1))</f>
        <v/>
      </c>
      <c r="G1288" s="195" t="str">
        <f ca="1">IF(OFFSET('IWP04'!Std7PayrollEmploymentRequirements, 6, 7, 1, 1) = 0, "", OFFSET('IWP04'!Std7PayrollEmploymentRequirements, 6, 7, 1, 1))</f>
        <v/>
      </c>
      <c r="H1288" s="195" t="str">
        <f ca="1">IF(OFFSET('IWP04'!Std7PayrollEmploymentRequirements, 6, 9, 1, 1) = 0, "", OFFSET('IWP04'!Std7PayrollEmploymentRequirements, 6, 9, 1, 1))</f>
        <v/>
      </c>
      <c r="I1288" s="194" t="str">
        <f ca="1">IF(OFFSET('IWP04'!Std7PayrollEmploymentRequirements, 6, 11, 1, 1) = 0, "", OFFSET('IWP04'!Std7PayrollEmploymentRequirements, 6, 11, 1, 1))</f>
        <v/>
      </c>
    </row>
    <row r="1289" spans="1:9" s="146" customFormat="1">
      <c r="A1289" s="183" t="s">
        <v>502</v>
      </c>
      <c r="B1289" s="195" t="str">
        <f ca="1">IF(OFFSET('IWP04'!Std7PayrollEmploymentRequirements, 7, 0, 1, 1) = 0, "", OFFSET('IWP04'!Std7PayrollEmploymentRequirements, 7, 0, 1, 1))</f>
        <v/>
      </c>
      <c r="C1289" s="195" t="str">
        <f ca="1">IF(OFFSET('IWP04'!Std7PayrollEmploymentRequirements, 7, 2, 1, 1) = 0, "", OFFSET('IWP04'!Std7PayrollEmploymentRequirements, 7, 2, 1, 1))</f>
        <v/>
      </c>
      <c r="D1289" s="172">
        <f ca="1">IF(OFFSET('IWP04'!Std7PayrollEmploymentRequirements, 7, 4, 1, 1)=DATE(1900,1,0), DATE(1900,1,1), OFFSET('IWP04'!Std7PayrollEmploymentRequirements, 7, 4, 1, 1))</f>
        <v>1</v>
      </c>
      <c r="E1289" s="195" t="str">
        <f ca="1">IF(OFFSET('IWP04'!Std7PayrollEmploymentRequirements, 7, 5, 1, 1) = 0, "", OFFSET('IWP04'!Std7PayrollEmploymentRequirements, 7, 5, 1, 1))</f>
        <v/>
      </c>
      <c r="F1289" s="195" t="str">
        <f ca="1">IF(OFFSET('IWP04'!Std7PayrollEmploymentRequirements, 7, 6, 1, 1) = 0, "", OFFSET('IWP04'!Std7PayrollEmploymentRequirements, 7, 6, 1, 1))</f>
        <v/>
      </c>
      <c r="G1289" s="195" t="str">
        <f ca="1">IF(OFFSET('IWP04'!Std7PayrollEmploymentRequirements, 7, 7, 1, 1) = 0, "", OFFSET('IWP04'!Std7PayrollEmploymentRequirements, 7, 7, 1, 1))</f>
        <v/>
      </c>
      <c r="H1289" s="195" t="str">
        <f ca="1">IF(OFFSET('IWP04'!Std7PayrollEmploymentRequirements, 7, 9, 1, 1) = 0, "", OFFSET('IWP04'!Std7PayrollEmploymentRequirements, 7, 9, 1, 1))</f>
        <v/>
      </c>
      <c r="I1289" s="194" t="str">
        <f ca="1">IF(OFFSET('IWP04'!Std7PayrollEmploymentRequirements, 7, 11, 1, 1) = 0, "", OFFSET('IWP04'!Std7PayrollEmploymentRequirements, 7, 11, 1, 1))</f>
        <v/>
      </c>
    </row>
    <row r="1290" spans="1:9" s="146" customFormat="1">
      <c r="A1290" s="183" t="s">
        <v>502</v>
      </c>
      <c r="B1290" s="195" t="str">
        <f ca="1">IF(OFFSET('IWP04'!Std7PayrollEmploymentRequirements, 8, 0, 1, 1) = 0, "", OFFSET('IWP04'!Std7PayrollEmploymentRequirements, 8, 0, 1, 1))</f>
        <v/>
      </c>
      <c r="C1290" s="195" t="str">
        <f ca="1">IF(OFFSET('IWP04'!Std7PayrollEmploymentRequirements, 8, 2, 1, 1) = 0, "", OFFSET('IWP04'!Std7PayrollEmploymentRequirements, 8, 2, 1, 1))</f>
        <v/>
      </c>
      <c r="D1290" s="172">
        <f ca="1">IF(OFFSET('IWP04'!Std7PayrollEmploymentRequirements, 8, 4, 1, 1)=DATE(1900,1,0), DATE(1900,1,1), OFFSET('IWP04'!Std7PayrollEmploymentRequirements, 8, 4, 1, 1))</f>
        <v>1</v>
      </c>
      <c r="E1290" s="195" t="str">
        <f ca="1">IF(OFFSET('IWP04'!Std7PayrollEmploymentRequirements, 8, 5, 1, 1) = 0, "", OFFSET('IWP04'!Std7PayrollEmploymentRequirements, 8, 5, 1, 1))</f>
        <v/>
      </c>
      <c r="F1290" s="195" t="str">
        <f ca="1">IF(OFFSET('IWP04'!Std7PayrollEmploymentRequirements, 8, 6, 1, 1) = 0, "", OFFSET('IWP04'!Std7PayrollEmploymentRequirements, 8, 6, 1, 1))</f>
        <v/>
      </c>
      <c r="G1290" s="195" t="str">
        <f ca="1">IF(OFFSET('IWP04'!Std7PayrollEmploymentRequirements, 8, 7, 1, 1) = 0, "", OFFSET('IWP04'!Std7PayrollEmploymentRequirements, 8, 7, 1, 1))</f>
        <v/>
      </c>
      <c r="H1290" s="195" t="str">
        <f ca="1">IF(OFFSET('IWP04'!Std7PayrollEmploymentRequirements, 8, 9, 1, 1) = 0, "", OFFSET('IWP04'!Std7PayrollEmploymentRequirements, 8, 9, 1, 1))</f>
        <v/>
      </c>
      <c r="I1290" s="194" t="str">
        <f ca="1">IF(OFFSET('IWP04'!Std7PayrollEmploymentRequirements, 8, 11, 1, 1) = 0, "", OFFSET('IWP04'!Std7PayrollEmploymentRequirements, 8, 11, 1, 1))</f>
        <v/>
      </c>
    </row>
    <row r="1291" spans="1:9" s="146" customFormat="1">
      <c r="A1291" s="183" t="s">
        <v>502</v>
      </c>
      <c r="B1291" s="195" t="str">
        <f ca="1">IF(OFFSET('IWP04'!Std7PayrollEmploymentRequirements, 9, 0, 1, 1) = 0, "", OFFSET('IWP04'!Std7PayrollEmploymentRequirements, 9, 0, 1, 1))</f>
        <v/>
      </c>
      <c r="C1291" s="195" t="str">
        <f ca="1">IF(OFFSET('IWP04'!Std7PayrollEmploymentRequirements, 9, 2, 1, 1) = 0, "", OFFSET('IWP04'!Std7PayrollEmploymentRequirements, 9, 2, 1, 1))</f>
        <v/>
      </c>
      <c r="D1291" s="172">
        <f ca="1">IF(OFFSET('IWP04'!Std7PayrollEmploymentRequirements, 9, 4, 1, 1)=DATE(1900,1,0), DATE(1900,1,1), OFFSET('IWP04'!Std7PayrollEmploymentRequirements, 9, 4, 1, 1))</f>
        <v>1</v>
      </c>
      <c r="E1291" s="195" t="str">
        <f ca="1">IF(OFFSET('IWP04'!Std7PayrollEmploymentRequirements, 9, 5, 1, 1) = 0, "", OFFSET('IWP04'!Std7PayrollEmploymentRequirements, 9, 5, 1, 1))</f>
        <v/>
      </c>
      <c r="F1291" s="195" t="str">
        <f ca="1">IF(OFFSET('IWP04'!Std7PayrollEmploymentRequirements, 9, 6, 1, 1) = 0, "", OFFSET('IWP04'!Std7PayrollEmploymentRequirements, 9, 6, 1, 1))</f>
        <v/>
      </c>
      <c r="G1291" s="195" t="str">
        <f ca="1">IF(OFFSET('IWP04'!Std7PayrollEmploymentRequirements, 9, 7, 1, 1) = 0, "", OFFSET('IWP04'!Std7PayrollEmploymentRequirements, 9, 7, 1, 1))</f>
        <v/>
      </c>
      <c r="H1291" s="195" t="str">
        <f ca="1">IF(OFFSET('IWP04'!Std7PayrollEmploymentRequirements, 9, 9, 1, 1) = 0, "", OFFSET('IWP04'!Std7PayrollEmploymentRequirements, 9, 9, 1, 1))</f>
        <v/>
      </c>
      <c r="I1291" s="194" t="str">
        <f ca="1">IF(OFFSET('IWP04'!Std7PayrollEmploymentRequirements, 9, 11, 1, 1) = 0, "", OFFSET('IWP04'!Std7PayrollEmploymentRequirements, 9, 11, 1, 1))</f>
        <v/>
      </c>
    </row>
    <row r="1292" spans="1:9" s="146" customFormat="1">
      <c r="A1292" s="183" t="s">
        <v>502</v>
      </c>
      <c r="B1292" s="195" t="str">
        <f ca="1">IF(OFFSET('IWP04'!Std7PayrollEmploymentRequirements, 10, 0, 1, 1) = 0, "", OFFSET('IWP04'!Std7PayrollEmploymentRequirements, 10, 0, 1, 1))</f>
        <v/>
      </c>
      <c r="C1292" s="195" t="str">
        <f ca="1">IF(OFFSET('IWP04'!Std7PayrollEmploymentRequirements, 10, 2, 1, 1) = 0, "", OFFSET('IWP04'!Std7PayrollEmploymentRequirements, 10, 2, 1, 1))</f>
        <v/>
      </c>
      <c r="D1292" s="172">
        <f ca="1">IF(OFFSET('IWP04'!Std7PayrollEmploymentRequirements, 10, 4, 1, 1)=DATE(1900,1,0), DATE(1900,1,1), OFFSET('IWP04'!Std7PayrollEmploymentRequirements, 10, 4, 1, 1))</f>
        <v>1</v>
      </c>
      <c r="E1292" s="195" t="str">
        <f ca="1">IF(OFFSET('IWP04'!Std7PayrollEmploymentRequirements, 10, 5, 1, 1) = 0, "", OFFSET('IWP04'!Std7PayrollEmploymentRequirements, 10, 5, 1, 1))</f>
        <v/>
      </c>
      <c r="F1292" s="195" t="str">
        <f ca="1">IF(OFFSET('IWP04'!Std7PayrollEmploymentRequirements, 10, 6, 1, 1) = 0, "", OFFSET('IWP04'!Std7PayrollEmploymentRequirements, 10, 6, 1, 1))</f>
        <v/>
      </c>
      <c r="G1292" s="195" t="str">
        <f ca="1">IF(OFFSET('IWP04'!Std7PayrollEmploymentRequirements, 10, 7, 1, 1) = 0, "", OFFSET('IWP04'!Std7PayrollEmploymentRequirements, 10, 7, 1, 1))</f>
        <v/>
      </c>
      <c r="H1292" s="195" t="str">
        <f ca="1">IF(OFFSET('IWP04'!Std7PayrollEmploymentRequirements, 10, 9, 1, 1) = 0, "", OFFSET('IWP04'!Std7PayrollEmploymentRequirements, 10, 9, 1, 1))</f>
        <v/>
      </c>
      <c r="I1292" s="194" t="str">
        <f ca="1">IF(OFFSET('IWP04'!Std7PayrollEmploymentRequirements, 10, 11, 1, 1) = 0, "", OFFSET('IWP04'!Std7PayrollEmploymentRequirements, 10, 11, 1, 1))</f>
        <v/>
      </c>
    </row>
    <row r="1293" spans="1:9" s="146" customFormat="1">
      <c r="A1293" s="183" t="s">
        <v>502</v>
      </c>
      <c r="B1293" s="195" t="str">
        <f ca="1">IF(OFFSET('IWP04'!Std7PayrollEmploymentRequirements, 11, 0, 1, 1) = 0, "", OFFSET('IWP04'!Std7PayrollEmploymentRequirements, 11, 0, 1, 1))</f>
        <v/>
      </c>
      <c r="C1293" s="195" t="str">
        <f ca="1">IF(OFFSET('IWP04'!Std7PayrollEmploymentRequirements, 11, 2, 1, 1) = 0, "", OFFSET('IWP04'!Std7PayrollEmploymentRequirements, 11, 2, 1, 1))</f>
        <v/>
      </c>
      <c r="D1293" s="172">
        <f ca="1">IF(OFFSET('IWP04'!Std7PayrollEmploymentRequirements, 11, 4, 1, 1)=DATE(1900,1,0), DATE(1900,1,1), OFFSET('IWP04'!Std7PayrollEmploymentRequirements, 11, 4, 1, 1))</f>
        <v>1</v>
      </c>
      <c r="E1293" s="195" t="str">
        <f ca="1">IF(OFFSET('IWP04'!Std7PayrollEmploymentRequirements, 11, 5, 1, 1) = 0, "", OFFSET('IWP04'!Std7PayrollEmploymentRequirements, 11, 5, 1, 1))</f>
        <v/>
      </c>
      <c r="F1293" s="195" t="str">
        <f ca="1">IF(OFFSET('IWP04'!Std7PayrollEmploymentRequirements, 11, 6, 1, 1) = 0, "", OFFSET('IWP04'!Std7PayrollEmploymentRequirements, 11, 6, 1, 1))</f>
        <v/>
      </c>
      <c r="G1293" s="195" t="str">
        <f ca="1">IF(OFFSET('IWP04'!Std7PayrollEmploymentRequirements, 11, 7, 1, 1) = 0, "", OFFSET('IWP04'!Std7PayrollEmploymentRequirements, 11, 7, 1, 1))</f>
        <v/>
      </c>
      <c r="H1293" s="195" t="str">
        <f ca="1">IF(OFFSET('IWP04'!Std7PayrollEmploymentRequirements, 11, 9, 1, 1) = 0, "", OFFSET('IWP04'!Std7PayrollEmploymentRequirements, 11, 9, 1, 1))</f>
        <v/>
      </c>
      <c r="I1293" s="194" t="str">
        <f ca="1">IF(OFFSET('IWP04'!Std7PayrollEmploymentRequirements, 11, 11, 1, 1) = 0, "", OFFSET('IWP04'!Std7PayrollEmploymentRequirements, 11, 11, 1, 1))</f>
        <v/>
      </c>
    </row>
    <row r="1294" spans="1:9" s="146" customFormat="1">
      <c r="A1294" s="183" t="s">
        <v>502</v>
      </c>
      <c r="B1294" s="195" t="str">
        <f ca="1">IF(OFFSET('IWP04'!Std7PayrollEmploymentRequirements, 12, 0, 1, 1) = 0, "", OFFSET('IWP04'!Std7PayrollEmploymentRequirements, 12, 0, 1, 1))</f>
        <v/>
      </c>
      <c r="C1294" s="195" t="str">
        <f ca="1">IF(OFFSET('IWP04'!Std7PayrollEmploymentRequirements, 12, 2, 1, 1) = 0, "", OFFSET('IWP04'!Std7PayrollEmploymentRequirements, 12, 2, 1, 1))</f>
        <v/>
      </c>
      <c r="D1294" s="172">
        <f ca="1">IF(OFFSET('IWP04'!Std7PayrollEmploymentRequirements, 12, 4, 1, 1)=DATE(1900,1,0), DATE(1900,1,1), OFFSET('IWP04'!Std7PayrollEmploymentRequirements, 12, 4, 1, 1))</f>
        <v>1</v>
      </c>
      <c r="E1294" s="195" t="str">
        <f ca="1">IF(OFFSET('IWP04'!Std7PayrollEmploymentRequirements, 12, 5, 1, 1) = 0, "", OFFSET('IWP04'!Std7PayrollEmploymentRequirements, 12, 5, 1, 1))</f>
        <v/>
      </c>
      <c r="F1294" s="195" t="str">
        <f ca="1">IF(OFFSET('IWP04'!Std7PayrollEmploymentRequirements, 12, 6, 1, 1) = 0, "", OFFSET('IWP04'!Std7PayrollEmploymentRequirements, 12, 6, 1, 1))</f>
        <v/>
      </c>
      <c r="G1294" s="195" t="str">
        <f ca="1">IF(OFFSET('IWP04'!Std7PayrollEmploymentRequirements, 12, 7, 1, 1) = 0, "", OFFSET('IWP04'!Std7PayrollEmploymentRequirements, 12, 7, 1, 1))</f>
        <v/>
      </c>
      <c r="H1294" s="195" t="str">
        <f ca="1">IF(OFFSET('IWP04'!Std7PayrollEmploymentRequirements, 12, 9, 1, 1) = 0, "", OFFSET('IWP04'!Std7PayrollEmploymentRequirements, 12, 9, 1, 1))</f>
        <v/>
      </c>
      <c r="I1294" s="194" t="str">
        <f ca="1">IF(OFFSET('IWP04'!Std7PayrollEmploymentRequirements, 12, 11, 1, 1) = 0, "", OFFSET('IWP04'!Std7PayrollEmploymentRequirements, 12, 11, 1, 1))</f>
        <v/>
      </c>
    </row>
    <row r="1295" spans="1:9" s="146" customFormat="1">
      <c r="A1295" s="183" t="s">
        <v>502</v>
      </c>
      <c r="B1295" s="195" t="str">
        <f ca="1">IF(OFFSET('IWP04'!Std7PayrollEmploymentRequirements, 13, 0, 1, 1) = 0, "", OFFSET('IWP04'!Std7PayrollEmploymentRequirements, 13, 0, 1, 1))</f>
        <v/>
      </c>
      <c r="C1295" s="195" t="str">
        <f ca="1">IF(OFFSET('IWP04'!Std7PayrollEmploymentRequirements, 13, 2, 1, 1) = 0, "", OFFSET('IWP04'!Std7PayrollEmploymentRequirements, 13, 2, 1, 1))</f>
        <v/>
      </c>
      <c r="D1295" s="172">
        <f ca="1">IF(OFFSET('IWP04'!Std7PayrollEmploymentRequirements, 13, 4, 1, 1)=DATE(1900,1,0), DATE(1900,1,1), OFFSET('IWP04'!Std7PayrollEmploymentRequirements, 13, 4, 1, 1))</f>
        <v>1</v>
      </c>
      <c r="E1295" s="195" t="str">
        <f ca="1">IF(OFFSET('IWP04'!Std7PayrollEmploymentRequirements, 13, 5, 1, 1) = 0, "", OFFSET('IWP04'!Std7PayrollEmploymentRequirements, 13, 5, 1, 1))</f>
        <v/>
      </c>
      <c r="F1295" s="195" t="str">
        <f ca="1">IF(OFFSET('IWP04'!Std7PayrollEmploymentRequirements, 13, 6, 1, 1) = 0, "", OFFSET('IWP04'!Std7PayrollEmploymentRequirements, 13, 6, 1, 1))</f>
        <v/>
      </c>
      <c r="G1295" s="195" t="str">
        <f ca="1">IF(OFFSET('IWP04'!Std7PayrollEmploymentRequirements, 13, 7, 1, 1) = 0, "", OFFSET('IWP04'!Std7PayrollEmploymentRequirements, 13, 7, 1, 1))</f>
        <v/>
      </c>
      <c r="H1295" s="195" t="str">
        <f ca="1">IF(OFFSET('IWP04'!Std7PayrollEmploymentRequirements, 13, 9, 1, 1) = 0, "", OFFSET('IWP04'!Std7PayrollEmploymentRequirements, 13, 9, 1, 1))</f>
        <v/>
      </c>
      <c r="I1295" s="194" t="str">
        <f ca="1">IF(OFFSET('IWP04'!Std7PayrollEmploymentRequirements, 13, 11, 1, 1) = 0, "", OFFSET('IWP04'!Std7PayrollEmploymentRequirements, 13, 11, 1, 1))</f>
        <v/>
      </c>
    </row>
    <row r="1296" spans="1:9" s="146" customFormat="1">
      <c r="A1296" s="183" t="s">
        <v>502</v>
      </c>
      <c r="B1296" s="195" t="str">
        <f ca="1">IF(OFFSET('IWP04'!Std7PayrollEmploymentRequirements, 14, 0, 1, 1) = 0, "", OFFSET('IWP04'!Std7PayrollEmploymentRequirements, 14, 0, 1, 1))</f>
        <v/>
      </c>
      <c r="C1296" s="195" t="str">
        <f ca="1">IF(OFFSET('IWP04'!Std7PayrollEmploymentRequirements, 14, 2, 1, 1) = 0, "", OFFSET('IWP04'!Std7PayrollEmploymentRequirements, 14, 2, 1, 1))</f>
        <v/>
      </c>
      <c r="D1296" s="172">
        <f ca="1">IF(OFFSET('IWP04'!Std7PayrollEmploymentRequirements, 14, 4, 1, 1)=DATE(1900,1,0), DATE(1900,1,1), OFFSET('IWP04'!Std7PayrollEmploymentRequirements, 14, 4, 1, 1))</f>
        <v>1</v>
      </c>
      <c r="E1296" s="195" t="str">
        <f ca="1">IF(OFFSET('IWP04'!Std7PayrollEmploymentRequirements, 14, 5, 1, 1) = 0, "", OFFSET('IWP04'!Std7PayrollEmploymentRequirements, 14, 5, 1, 1))</f>
        <v/>
      </c>
      <c r="F1296" s="195" t="str">
        <f ca="1">IF(OFFSET('IWP04'!Std7PayrollEmploymentRequirements, 14, 6, 1, 1) = 0, "", OFFSET('IWP04'!Std7PayrollEmploymentRequirements, 14, 6, 1, 1))</f>
        <v/>
      </c>
      <c r="G1296" s="195" t="str">
        <f ca="1">IF(OFFSET('IWP04'!Std7PayrollEmploymentRequirements, 14, 7, 1, 1) = 0, "", OFFSET('IWP04'!Std7PayrollEmploymentRequirements, 14, 7, 1, 1))</f>
        <v/>
      </c>
      <c r="H1296" s="195" t="str">
        <f ca="1">IF(OFFSET('IWP04'!Std7PayrollEmploymentRequirements, 14, 9, 1, 1) = 0, "", OFFSET('IWP04'!Std7PayrollEmploymentRequirements, 14, 9, 1, 1))</f>
        <v/>
      </c>
      <c r="I1296" s="194" t="str">
        <f ca="1">IF(OFFSET('IWP04'!Std7PayrollEmploymentRequirements, 14, 11, 1, 1) = 0, "", OFFSET('IWP04'!Std7PayrollEmploymentRequirements, 14, 11, 1, 1))</f>
        <v/>
      </c>
    </row>
    <row r="1297" spans="1:9" s="146" customFormat="1">
      <c r="A1297" s="183" t="s">
        <v>502</v>
      </c>
      <c r="B1297" s="195" t="str">
        <f ca="1">IF(OFFSET('IWP04'!Std7PayrollEmploymentRequirements, 15, 0, 1, 1) = 0, "", OFFSET('IWP04'!Std7PayrollEmploymentRequirements, 15, 0, 1, 1))</f>
        <v/>
      </c>
      <c r="C1297" s="195" t="str">
        <f ca="1">IF(OFFSET('IWP04'!Std7PayrollEmploymentRequirements, 15, 2, 1, 1) = 0, "", OFFSET('IWP04'!Std7PayrollEmploymentRequirements, 15, 2, 1, 1))</f>
        <v/>
      </c>
      <c r="D1297" s="172">
        <f ca="1">IF(OFFSET('IWP04'!Std7PayrollEmploymentRequirements, 15, 4, 1, 1)=DATE(1900,1,0), DATE(1900,1,1), OFFSET('IWP04'!Std7PayrollEmploymentRequirements, 15, 4, 1, 1))</f>
        <v>1</v>
      </c>
      <c r="E1297" s="195" t="str">
        <f ca="1">IF(OFFSET('IWP04'!Std7PayrollEmploymentRequirements, 15, 5, 1, 1) = 0, "", OFFSET('IWP04'!Std7PayrollEmploymentRequirements, 15, 5, 1, 1))</f>
        <v/>
      </c>
      <c r="F1297" s="195" t="str">
        <f ca="1">IF(OFFSET('IWP04'!Std7PayrollEmploymentRequirements, 15, 6, 1, 1) = 0, "", OFFSET('IWP04'!Std7PayrollEmploymentRequirements, 15, 6, 1, 1))</f>
        <v/>
      </c>
      <c r="G1297" s="195" t="str">
        <f ca="1">IF(OFFSET('IWP04'!Std7PayrollEmploymentRequirements, 15, 7, 1, 1) = 0, "", OFFSET('IWP04'!Std7PayrollEmploymentRequirements, 15, 7, 1, 1))</f>
        <v/>
      </c>
      <c r="H1297" s="195" t="str">
        <f ca="1">IF(OFFSET('IWP04'!Std7PayrollEmploymentRequirements, 15, 9, 1, 1) = 0, "", OFFSET('IWP04'!Std7PayrollEmploymentRequirements, 15, 9, 1, 1))</f>
        <v/>
      </c>
      <c r="I1297" s="194" t="str">
        <f ca="1">IF(OFFSET('IWP04'!Std7PayrollEmploymentRequirements, 15, 11, 1, 1) = 0, "", OFFSET('IWP04'!Std7PayrollEmploymentRequirements, 15, 11, 1, 1))</f>
        <v/>
      </c>
    </row>
    <row r="1298" spans="1:9" s="146" customFormat="1">
      <c r="A1298" s="183" t="s">
        <v>503</v>
      </c>
      <c r="B1298" s="195" t="str">
        <f ca="1">IF(OFFSET('IWP05'!Std7PayrollEmploymentRequirements, 0, 0, 1, 1) = 0, "", OFFSET('IWP05'!Std7PayrollEmploymentRequirements, 0, 0, 1, 1))</f>
        <v/>
      </c>
      <c r="C1298" s="195" t="str">
        <f ca="1">IF(OFFSET('IWP05'!Std7PayrollEmploymentRequirements, 0, 2, 1, 1) = 0, "", OFFSET('IWP05'!Std7PayrollEmploymentRequirements, 0, 2, 1, 1))</f>
        <v/>
      </c>
      <c r="D1298" s="172">
        <f ca="1">IF(OFFSET('IWP05'!Std7PayrollEmploymentRequirements, 0, 4, 1, 1)=DATE(1900,1,0), DATE(1900,1,1), OFFSET('IWP05'!Std7PayrollEmploymentRequirements, 0, 4, 1, 1))</f>
        <v>1</v>
      </c>
      <c r="E1298" s="195" t="str">
        <f ca="1">IF(OFFSET('IWP05'!Std7PayrollEmploymentRequirements, 0, 5, 1, 1) = 0, "", OFFSET('IWP05'!Std7PayrollEmploymentRequirements, 0, 5, 1, 1))</f>
        <v/>
      </c>
      <c r="F1298" s="195" t="str">
        <f ca="1">IF(OFFSET('IWP05'!Std7PayrollEmploymentRequirements, 0, 6, 1, 1) = 0, "", OFFSET('IWP05'!Std7PayrollEmploymentRequirements, 0, 6, 1, 1))</f>
        <v/>
      </c>
      <c r="G1298" s="195" t="str">
        <f ca="1">IF(OFFSET('IWP05'!Std7PayrollEmploymentRequirements, 0, 7, 1, 1) = 0, "", OFFSET('IWP05'!Std7PayrollEmploymentRequirements, 0, 7, 1, 1))</f>
        <v/>
      </c>
      <c r="H1298" s="195" t="str">
        <f ca="1">IF(OFFSET('IWP05'!Std7PayrollEmploymentRequirements, 0, 9, 1, 1) = 0, "", OFFSET('IWP05'!Std7PayrollEmploymentRequirements, 0, 9, 1, 1))</f>
        <v/>
      </c>
      <c r="I1298" s="194" t="str">
        <f ca="1">IF(OFFSET('IWP05'!Std7PayrollEmploymentRequirements, 0, 11, 1, 1) = 0, "", OFFSET('IWP05'!Std7PayrollEmploymentRequirements, 0, 11, 1, 1))</f>
        <v/>
      </c>
    </row>
    <row r="1299" spans="1:9" s="146" customFormat="1">
      <c r="A1299" s="183" t="s">
        <v>503</v>
      </c>
      <c r="B1299" s="195" t="str">
        <f ca="1">IF(OFFSET('IWP05'!Std7PayrollEmploymentRequirements, 1, 0, 1, 1) = 0, "", OFFSET('IWP05'!Std7PayrollEmploymentRequirements, 1, 0, 1, 1))</f>
        <v/>
      </c>
      <c r="C1299" s="195" t="str">
        <f ca="1">IF(OFFSET('IWP05'!Std7PayrollEmploymentRequirements, 1, 2, 1, 1) = 0, "", OFFSET('IWP05'!Std7PayrollEmploymentRequirements, 1, 2, 1, 1))</f>
        <v/>
      </c>
      <c r="D1299" s="172">
        <f ca="1">IF(OFFSET('IWP05'!Std7PayrollEmploymentRequirements, 1, 4, 1, 1)=DATE(1900,1,0), DATE(1900,1,1), OFFSET('IWP05'!Std7PayrollEmploymentRequirements, 1, 4, 1, 1))</f>
        <v>1</v>
      </c>
      <c r="E1299" s="195" t="str">
        <f ca="1">IF(OFFSET('IWP05'!Std7PayrollEmploymentRequirements, 1, 5, 1, 1) = 0, "", OFFSET('IWP05'!Std7PayrollEmploymentRequirements, 1, 5, 1, 1))</f>
        <v/>
      </c>
      <c r="F1299" s="195" t="str">
        <f ca="1">IF(OFFSET('IWP05'!Std7PayrollEmploymentRequirements, 1, 6, 1, 1) = 0, "", OFFSET('IWP05'!Std7PayrollEmploymentRequirements, 1, 6, 1, 1))</f>
        <v/>
      </c>
      <c r="G1299" s="195" t="str">
        <f ca="1">IF(OFFSET('IWP05'!Std7PayrollEmploymentRequirements, 1, 7, 1, 1) = 0, "", OFFSET('IWP05'!Std7PayrollEmploymentRequirements, 1, 7, 1, 1))</f>
        <v/>
      </c>
      <c r="H1299" s="195" t="str">
        <f ca="1">IF(OFFSET('IWP05'!Std7PayrollEmploymentRequirements, 1, 9, 1, 1) = 0, "", OFFSET('IWP05'!Std7PayrollEmploymentRequirements, 1, 9, 1, 1))</f>
        <v/>
      </c>
      <c r="I1299" s="194" t="str">
        <f ca="1">IF(OFFSET('IWP05'!Std7PayrollEmploymentRequirements, 1, 11, 1, 1) = 0, "", OFFSET('IWP05'!Std7PayrollEmploymentRequirements, 1, 11, 1, 1))</f>
        <v/>
      </c>
    </row>
    <row r="1300" spans="1:9" s="146" customFormat="1">
      <c r="A1300" s="183" t="s">
        <v>503</v>
      </c>
      <c r="B1300" s="195" t="str">
        <f ca="1">IF(OFFSET('IWP05'!Std7PayrollEmploymentRequirements, 2, 0, 1, 1) = 0, "", OFFSET('IWP05'!Std7PayrollEmploymentRequirements, 2, 0, 1, 1))</f>
        <v/>
      </c>
      <c r="C1300" s="195" t="str">
        <f ca="1">IF(OFFSET('IWP05'!Std7PayrollEmploymentRequirements, 2, 2, 1, 1) = 0, "", OFFSET('IWP05'!Std7PayrollEmploymentRequirements, 2, 2, 1, 1))</f>
        <v/>
      </c>
      <c r="D1300" s="172">
        <f ca="1">IF(OFFSET('IWP05'!Std7PayrollEmploymentRequirements, 2, 4, 1, 1)=DATE(1900,1,0), DATE(1900,1,1), OFFSET('IWP05'!Std7PayrollEmploymentRequirements, 2, 4, 1, 1))</f>
        <v>1</v>
      </c>
      <c r="E1300" s="195" t="str">
        <f ca="1">IF(OFFSET('IWP05'!Std7PayrollEmploymentRequirements, 2, 5, 1, 1) = 0, "", OFFSET('IWP05'!Std7PayrollEmploymentRequirements, 2, 5, 1, 1))</f>
        <v/>
      </c>
      <c r="F1300" s="195" t="str">
        <f ca="1">IF(OFFSET('IWP05'!Std7PayrollEmploymentRequirements, 2, 6, 1, 1) = 0, "", OFFSET('IWP05'!Std7PayrollEmploymentRequirements, 2, 6, 1, 1))</f>
        <v/>
      </c>
      <c r="G1300" s="195" t="str">
        <f ca="1">IF(OFFSET('IWP05'!Std7PayrollEmploymentRequirements, 2, 7, 1, 1) = 0, "", OFFSET('IWP05'!Std7PayrollEmploymentRequirements, 2, 7, 1, 1))</f>
        <v/>
      </c>
      <c r="H1300" s="195" t="str">
        <f ca="1">IF(OFFSET('IWP05'!Std7PayrollEmploymentRequirements, 2, 9, 1, 1) = 0, "", OFFSET('IWP05'!Std7PayrollEmploymentRequirements, 2, 9, 1, 1))</f>
        <v/>
      </c>
      <c r="I1300" s="194" t="str">
        <f ca="1">IF(OFFSET('IWP05'!Std7PayrollEmploymentRequirements, 2, 11, 1, 1) = 0, "", OFFSET('IWP05'!Std7PayrollEmploymentRequirements, 2, 11, 1, 1))</f>
        <v/>
      </c>
    </row>
    <row r="1301" spans="1:9" s="146" customFormat="1">
      <c r="A1301" s="183" t="s">
        <v>503</v>
      </c>
      <c r="B1301" s="195" t="str">
        <f ca="1">IF(OFFSET('IWP05'!Std7PayrollEmploymentRequirements, 3, 0, 1, 1) = 0, "", OFFSET('IWP05'!Std7PayrollEmploymentRequirements, 3, 0, 1, 1))</f>
        <v/>
      </c>
      <c r="C1301" s="195" t="str">
        <f ca="1">IF(OFFSET('IWP05'!Std7PayrollEmploymentRequirements, 3, 2, 1, 1) = 0, "", OFFSET('IWP05'!Std7PayrollEmploymentRequirements, 3, 2, 1, 1))</f>
        <v/>
      </c>
      <c r="D1301" s="172">
        <f ca="1">IF(OFFSET('IWP05'!Std7PayrollEmploymentRequirements, 3, 4, 1, 1)=DATE(1900,1,0), DATE(1900,1,1), OFFSET('IWP05'!Std7PayrollEmploymentRequirements, 3, 4, 1, 1))</f>
        <v>1</v>
      </c>
      <c r="E1301" s="195" t="str">
        <f ca="1">IF(OFFSET('IWP05'!Std7PayrollEmploymentRequirements, 3, 5, 1, 1) = 0, "", OFFSET('IWP05'!Std7PayrollEmploymentRequirements, 3, 5, 1, 1))</f>
        <v/>
      </c>
      <c r="F1301" s="195" t="str">
        <f ca="1">IF(OFFSET('IWP05'!Std7PayrollEmploymentRequirements, 3, 6, 1, 1) = 0, "", OFFSET('IWP05'!Std7PayrollEmploymentRequirements, 3, 6, 1, 1))</f>
        <v/>
      </c>
      <c r="G1301" s="195" t="str">
        <f ca="1">IF(OFFSET('IWP05'!Std7PayrollEmploymentRequirements, 3, 7, 1, 1) = 0, "", OFFSET('IWP05'!Std7PayrollEmploymentRequirements, 3, 7, 1, 1))</f>
        <v/>
      </c>
      <c r="H1301" s="195" t="str">
        <f ca="1">IF(OFFSET('IWP05'!Std7PayrollEmploymentRequirements, 3, 9, 1, 1) = 0, "", OFFSET('IWP05'!Std7PayrollEmploymentRequirements, 3, 9, 1, 1))</f>
        <v/>
      </c>
      <c r="I1301" s="194" t="str">
        <f ca="1">IF(OFFSET('IWP05'!Std7PayrollEmploymentRequirements, 3, 11, 1, 1) = 0, "", OFFSET('IWP05'!Std7PayrollEmploymentRequirements, 3, 11, 1, 1))</f>
        <v/>
      </c>
    </row>
    <row r="1302" spans="1:9" s="146" customFormat="1">
      <c r="A1302" s="183" t="s">
        <v>503</v>
      </c>
      <c r="B1302" s="195" t="str">
        <f ca="1">IF(OFFSET('IWP05'!Std7PayrollEmploymentRequirements, 4, 0, 1, 1) = 0, "", OFFSET('IWP05'!Std7PayrollEmploymentRequirements, 4, 0, 1, 1))</f>
        <v/>
      </c>
      <c r="C1302" s="195" t="str">
        <f ca="1">IF(OFFSET('IWP05'!Std7PayrollEmploymentRequirements, 4, 2, 1, 1) = 0, "", OFFSET('IWP05'!Std7PayrollEmploymentRequirements, 4, 2, 1, 1))</f>
        <v/>
      </c>
      <c r="D1302" s="172">
        <f ca="1">IF(OFFSET('IWP05'!Std7PayrollEmploymentRequirements, 4, 4, 1, 1)=DATE(1900,1,0), DATE(1900,1,1), OFFSET('IWP05'!Std7PayrollEmploymentRequirements, 4, 4, 1, 1))</f>
        <v>1</v>
      </c>
      <c r="E1302" s="195" t="str">
        <f ca="1">IF(OFFSET('IWP05'!Std7PayrollEmploymentRequirements, 4, 5, 1, 1) = 0, "", OFFSET('IWP05'!Std7PayrollEmploymentRequirements, 4, 5, 1, 1))</f>
        <v/>
      </c>
      <c r="F1302" s="195" t="str">
        <f ca="1">IF(OFFSET('IWP05'!Std7PayrollEmploymentRequirements, 4, 6, 1, 1) = 0, "", OFFSET('IWP05'!Std7PayrollEmploymentRequirements, 4, 6, 1, 1))</f>
        <v/>
      </c>
      <c r="G1302" s="195" t="str">
        <f ca="1">IF(OFFSET('IWP05'!Std7PayrollEmploymentRequirements, 4, 7, 1, 1) = 0, "", OFFSET('IWP05'!Std7PayrollEmploymentRequirements, 4, 7, 1, 1))</f>
        <v/>
      </c>
      <c r="H1302" s="195" t="str">
        <f ca="1">IF(OFFSET('IWP05'!Std7PayrollEmploymentRequirements, 4, 9, 1, 1) = 0, "", OFFSET('IWP05'!Std7PayrollEmploymentRequirements, 4, 9, 1, 1))</f>
        <v/>
      </c>
      <c r="I1302" s="194" t="str">
        <f ca="1">IF(OFFSET('IWP05'!Std7PayrollEmploymentRequirements, 4, 11, 1, 1) = 0, "", OFFSET('IWP05'!Std7PayrollEmploymentRequirements, 4, 11, 1, 1))</f>
        <v/>
      </c>
    </row>
    <row r="1303" spans="1:9" s="146" customFormat="1">
      <c r="A1303" s="183" t="s">
        <v>503</v>
      </c>
      <c r="B1303" s="195" t="str">
        <f ca="1">IF(OFFSET('IWP05'!Std7PayrollEmploymentRequirements, 5, 0, 1, 1) = 0, "", OFFSET('IWP05'!Std7PayrollEmploymentRequirements, 5, 0, 1, 1))</f>
        <v/>
      </c>
      <c r="C1303" s="195" t="str">
        <f ca="1">IF(OFFSET('IWP05'!Std7PayrollEmploymentRequirements, 5, 2, 1, 1) = 0, "", OFFSET('IWP05'!Std7PayrollEmploymentRequirements, 5, 2, 1, 1))</f>
        <v/>
      </c>
      <c r="D1303" s="172">
        <f ca="1">IF(OFFSET('IWP05'!Std7PayrollEmploymentRequirements, 5, 4, 1, 1)=DATE(1900,1,0), DATE(1900,1,1), OFFSET('IWP05'!Std7PayrollEmploymentRequirements, 5, 4, 1, 1))</f>
        <v>1</v>
      </c>
      <c r="E1303" s="195" t="str">
        <f ca="1">IF(OFFSET('IWP05'!Std7PayrollEmploymentRequirements, 5, 5, 1, 1) = 0, "", OFFSET('IWP05'!Std7PayrollEmploymentRequirements, 5, 5, 1, 1))</f>
        <v/>
      </c>
      <c r="F1303" s="195" t="str">
        <f ca="1">IF(OFFSET('IWP05'!Std7PayrollEmploymentRequirements, 5, 6, 1, 1) = 0, "", OFFSET('IWP05'!Std7PayrollEmploymentRequirements, 5, 6, 1, 1))</f>
        <v/>
      </c>
      <c r="G1303" s="195" t="str">
        <f ca="1">IF(OFFSET('IWP05'!Std7PayrollEmploymentRequirements, 5, 7, 1, 1) = 0, "", OFFSET('IWP05'!Std7PayrollEmploymentRequirements, 5, 7, 1, 1))</f>
        <v/>
      </c>
      <c r="H1303" s="195" t="str">
        <f ca="1">IF(OFFSET('IWP05'!Std7PayrollEmploymentRequirements, 5, 9, 1, 1) = 0, "", OFFSET('IWP05'!Std7PayrollEmploymentRequirements, 5, 9, 1, 1))</f>
        <v/>
      </c>
      <c r="I1303" s="194" t="str">
        <f ca="1">IF(OFFSET('IWP05'!Std7PayrollEmploymentRequirements, 5, 11, 1, 1) = 0, "", OFFSET('IWP05'!Std7PayrollEmploymentRequirements, 5, 11, 1, 1))</f>
        <v/>
      </c>
    </row>
    <row r="1304" spans="1:9" s="146" customFormat="1">
      <c r="A1304" s="183" t="s">
        <v>503</v>
      </c>
      <c r="B1304" s="195" t="str">
        <f ca="1">IF(OFFSET('IWP05'!Std7PayrollEmploymentRequirements, 6, 0, 1, 1) = 0, "", OFFSET('IWP05'!Std7PayrollEmploymentRequirements, 6, 0, 1, 1))</f>
        <v/>
      </c>
      <c r="C1304" s="195" t="str">
        <f ca="1">IF(OFFSET('IWP05'!Std7PayrollEmploymentRequirements, 6, 2, 1, 1) = 0, "", OFFSET('IWP05'!Std7PayrollEmploymentRequirements, 6, 2, 1, 1))</f>
        <v/>
      </c>
      <c r="D1304" s="172">
        <f ca="1">IF(OFFSET('IWP05'!Std7PayrollEmploymentRequirements, 6, 4, 1, 1)=DATE(1900,1,0), DATE(1900,1,1), OFFSET('IWP05'!Std7PayrollEmploymentRequirements, 6, 4, 1, 1))</f>
        <v>1</v>
      </c>
      <c r="E1304" s="195" t="str">
        <f ca="1">IF(OFFSET('IWP05'!Std7PayrollEmploymentRequirements, 6, 5, 1, 1) = 0, "", OFFSET('IWP05'!Std7PayrollEmploymentRequirements, 6, 5, 1, 1))</f>
        <v/>
      </c>
      <c r="F1304" s="195" t="str">
        <f ca="1">IF(OFFSET('IWP05'!Std7PayrollEmploymentRequirements, 6, 6, 1, 1) = 0, "", OFFSET('IWP05'!Std7PayrollEmploymentRequirements, 6, 6, 1, 1))</f>
        <v/>
      </c>
      <c r="G1304" s="195" t="str">
        <f ca="1">IF(OFFSET('IWP05'!Std7PayrollEmploymentRequirements, 6, 7, 1, 1) = 0, "", OFFSET('IWP05'!Std7PayrollEmploymentRequirements, 6, 7, 1, 1))</f>
        <v/>
      </c>
      <c r="H1304" s="195" t="str">
        <f ca="1">IF(OFFSET('IWP05'!Std7PayrollEmploymentRequirements, 6, 9, 1, 1) = 0, "", OFFSET('IWP05'!Std7PayrollEmploymentRequirements, 6, 9, 1, 1))</f>
        <v/>
      </c>
      <c r="I1304" s="194" t="str">
        <f ca="1">IF(OFFSET('IWP05'!Std7PayrollEmploymentRequirements, 6, 11, 1, 1) = 0, "", OFFSET('IWP05'!Std7PayrollEmploymentRequirements, 6, 11, 1, 1))</f>
        <v/>
      </c>
    </row>
    <row r="1305" spans="1:9" s="146" customFormat="1">
      <c r="A1305" s="183" t="s">
        <v>503</v>
      </c>
      <c r="B1305" s="195" t="str">
        <f ca="1">IF(OFFSET('IWP05'!Std7PayrollEmploymentRequirements, 7, 0, 1, 1) = 0, "", OFFSET('IWP05'!Std7PayrollEmploymentRequirements, 7, 0, 1, 1))</f>
        <v/>
      </c>
      <c r="C1305" s="195" t="str">
        <f ca="1">IF(OFFSET('IWP05'!Std7PayrollEmploymentRequirements, 7, 2, 1, 1) = 0, "", OFFSET('IWP05'!Std7PayrollEmploymentRequirements, 7, 2, 1, 1))</f>
        <v/>
      </c>
      <c r="D1305" s="172">
        <f ca="1">IF(OFFSET('IWP05'!Std7PayrollEmploymentRequirements, 7, 4, 1, 1)=DATE(1900,1,0), DATE(1900,1,1), OFFSET('IWP05'!Std7PayrollEmploymentRequirements, 7, 4, 1, 1))</f>
        <v>1</v>
      </c>
      <c r="E1305" s="195" t="str">
        <f ca="1">IF(OFFSET('IWP05'!Std7PayrollEmploymentRequirements, 7, 5, 1, 1) = 0, "", OFFSET('IWP05'!Std7PayrollEmploymentRequirements, 7, 5, 1, 1))</f>
        <v/>
      </c>
      <c r="F1305" s="195" t="str">
        <f ca="1">IF(OFFSET('IWP05'!Std7PayrollEmploymentRequirements, 7, 6, 1, 1) = 0, "", OFFSET('IWP05'!Std7PayrollEmploymentRequirements, 7, 6, 1, 1))</f>
        <v/>
      </c>
      <c r="G1305" s="195" t="str">
        <f ca="1">IF(OFFSET('IWP05'!Std7PayrollEmploymentRequirements, 7, 7, 1, 1) = 0, "", OFFSET('IWP05'!Std7PayrollEmploymentRequirements, 7, 7, 1, 1))</f>
        <v/>
      </c>
      <c r="H1305" s="195" t="str">
        <f ca="1">IF(OFFSET('IWP05'!Std7PayrollEmploymentRequirements, 7, 9, 1, 1) = 0, "", OFFSET('IWP05'!Std7PayrollEmploymentRequirements, 7, 9, 1, 1))</f>
        <v/>
      </c>
      <c r="I1305" s="194" t="str">
        <f ca="1">IF(OFFSET('IWP05'!Std7PayrollEmploymentRequirements, 7, 11, 1, 1) = 0, "", OFFSET('IWP05'!Std7PayrollEmploymentRequirements, 7, 11, 1, 1))</f>
        <v/>
      </c>
    </row>
    <row r="1306" spans="1:9" s="146" customFormat="1">
      <c r="A1306" s="183" t="s">
        <v>503</v>
      </c>
      <c r="B1306" s="195" t="str">
        <f ca="1">IF(OFFSET('IWP05'!Std7PayrollEmploymentRequirements, 8, 0, 1, 1) = 0, "", OFFSET('IWP05'!Std7PayrollEmploymentRequirements, 8, 0, 1, 1))</f>
        <v/>
      </c>
      <c r="C1306" s="195" t="str">
        <f ca="1">IF(OFFSET('IWP05'!Std7PayrollEmploymentRequirements, 8, 2, 1, 1) = 0, "", OFFSET('IWP05'!Std7PayrollEmploymentRequirements, 8, 2, 1, 1))</f>
        <v/>
      </c>
      <c r="D1306" s="172">
        <f ca="1">IF(OFFSET('IWP05'!Std7PayrollEmploymentRequirements, 8, 4, 1, 1)=DATE(1900,1,0), DATE(1900,1,1), OFFSET('IWP05'!Std7PayrollEmploymentRequirements, 8, 4, 1, 1))</f>
        <v>1</v>
      </c>
      <c r="E1306" s="195" t="str">
        <f ca="1">IF(OFFSET('IWP05'!Std7PayrollEmploymentRequirements, 8, 5, 1, 1) = 0, "", OFFSET('IWP05'!Std7PayrollEmploymentRequirements, 8, 5, 1, 1))</f>
        <v/>
      </c>
      <c r="F1306" s="195" t="str">
        <f ca="1">IF(OFFSET('IWP05'!Std7PayrollEmploymentRequirements, 8, 6, 1, 1) = 0, "", OFFSET('IWP05'!Std7PayrollEmploymentRequirements, 8, 6, 1, 1))</f>
        <v/>
      </c>
      <c r="G1306" s="195" t="str">
        <f ca="1">IF(OFFSET('IWP05'!Std7PayrollEmploymentRequirements, 8, 7, 1, 1) = 0, "", OFFSET('IWP05'!Std7PayrollEmploymentRequirements, 8, 7, 1, 1))</f>
        <v/>
      </c>
      <c r="H1306" s="195" t="str">
        <f ca="1">IF(OFFSET('IWP05'!Std7PayrollEmploymentRequirements, 8, 9, 1, 1) = 0, "", OFFSET('IWP05'!Std7PayrollEmploymentRequirements, 8, 9, 1, 1))</f>
        <v/>
      </c>
      <c r="I1306" s="194" t="str">
        <f ca="1">IF(OFFSET('IWP05'!Std7PayrollEmploymentRequirements, 8, 11, 1, 1) = 0, "", OFFSET('IWP05'!Std7PayrollEmploymentRequirements, 8, 11, 1, 1))</f>
        <v/>
      </c>
    </row>
    <row r="1307" spans="1:9" s="146" customFormat="1">
      <c r="A1307" s="183" t="s">
        <v>503</v>
      </c>
      <c r="B1307" s="195" t="str">
        <f ca="1">IF(OFFSET('IWP05'!Std7PayrollEmploymentRequirements, 9, 0, 1, 1) = 0, "", OFFSET('IWP05'!Std7PayrollEmploymentRequirements, 9, 0, 1, 1))</f>
        <v/>
      </c>
      <c r="C1307" s="195" t="str">
        <f ca="1">IF(OFFSET('IWP05'!Std7PayrollEmploymentRequirements, 9, 2, 1, 1) = 0, "", OFFSET('IWP05'!Std7PayrollEmploymentRequirements, 9, 2, 1, 1))</f>
        <v/>
      </c>
      <c r="D1307" s="172">
        <f ca="1">IF(OFFSET('IWP05'!Std7PayrollEmploymentRequirements, 9, 4, 1, 1)=DATE(1900,1,0), DATE(1900,1,1), OFFSET('IWP05'!Std7PayrollEmploymentRequirements, 9, 4, 1, 1))</f>
        <v>1</v>
      </c>
      <c r="E1307" s="195" t="str">
        <f ca="1">IF(OFFSET('IWP05'!Std7PayrollEmploymentRequirements, 9, 5, 1, 1) = 0, "", OFFSET('IWP05'!Std7PayrollEmploymentRequirements, 9, 5, 1, 1))</f>
        <v/>
      </c>
      <c r="F1307" s="195" t="str">
        <f ca="1">IF(OFFSET('IWP05'!Std7PayrollEmploymentRequirements, 9, 6, 1, 1) = 0, "", OFFSET('IWP05'!Std7PayrollEmploymentRequirements, 9, 6, 1, 1))</f>
        <v/>
      </c>
      <c r="G1307" s="195" t="str">
        <f ca="1">IF(OFFSET('IWP05'!Std7PayrollEmploymentRequirements, 9, 7, 1, 1) = 0, "", OFFSET('IWP05'!Std7PayrollEmploymentRequirements, 9, 7, 1, 1))</f>
        <v/>
      </c>
      <c r="H1307" s="195" t="str">
        <f ca="1">IF(OFFSET('IWP05'!Std7PayrollEmploymentRequirements, 9, 9, 1, 1) = 0, "", OFFSET('IWP05'!Std7PayrollEmploymentRequirements, 9, 9, 1, 1))</f>
        <v/>
      </c>
      <c r="I1307" s="194" t="str">
        <f ca="1">IF(OFFSET('IWP05'!Std7PayrollEmploymentRequirements, 9, 11, 1, 1) = 0, "", OFFSET('IWP05'!Std7PayrollEmploymentRequirements, 9, 11, 1, 1))</f>
        <v/>
      </c>
    </row>
    <row r="1308" spans="1:9" s="146" customFormat="1">
      <c r="A1308" s="183" t="s">
        <v>503</v>
      </c>
      <c r="B1308" s="195" t="str">
        <f ca="1">IF(OFFSET('IWP05'!Std7PayrollEmploymentRequirements, 10, 0, 1, 1) = 0, "", OFFSET('IWP05'!Std7PayrollEmploymentRequirements, 10, 0, 1, 1))</f>
        <v/>
      </c>
      <c r="C1308" s="195" t="str">
        <f ca="1">IF(OFFSET('IWP05'!Std7PayrollEmploymentRequirements, 10, 2, 1, 1) = 0, "", OFFSET('IWP05'!Std7PayrollEmploymentRequirements, 10, 2, 1, 1))</f>
        <v/>
      </c>
      <c r="D1308" s="172">
        <f ca="1">IF(OFFSET('IWP05'!Std7PayrollEmploymentRequirements, 10, 4, 1, 1)=DATE(1900,1,0), DATE(1900,1,1), OFFSET('IWP05'!Std7PayrollEmploymentRequirements, 10, 4, 1, 1))</f>
        <v>1</v>
      </c>
      <c r="E1308" s="195" t="str">
        <f ca="1">IF(OFFSET('IWP05'!Std7PayrollEmploymentRequirements, 10, 5, 1, 1) = 0, "", OFFSET('IWP05'!Std7PayrollEmploymentRequirements, 10, 5, 1, 1))</f>
        <v/>
      </c>
      <c r="F1308" s="195" t="str">
        <f ca="1">IF(OFFSET('IWP05'!Std7PayrollEmploymentRequirements, 10, 6, 1, 1) = 0, "", OFFSET('IWP05'!Std7PayrollEmploymentRequirements, 10, 6, 1, 1))</f>
        <v/>
      </c>
      <c r="G1308" s="195" t="str">
        <f ca="1">IF(OFFSET('IWP05'!Std7PayrollEmploymentRequirements, 10, 7, 1, 1) = 0, "", OFFSET('IWP05'!Std7PayrollEmploymentRequirements, 10, 7, 1, 1))</f>
        <v/>
      </c>
      <c r="H1308" s="195" t="str">
        <f ca="1">IF(OFFSET('IWP05'!Std7PayrollEmploymentRequirements, 10, 9, 1, 1) = 0, "", OFFSET('IWP05'!Std7PayrollEmploymentRequirements, 10, 9, 1, 1))</f>
        <v/>
      </c>
      <c r="I1308" s="194" t="str">
        <f ca="1">IF(OFFSET('IWP05'!Std7PayrollEmploymentRequirements, 10, 11, 1, 1) = 0, "", OFFSET('IWP05'!Std7PayrollEmploymentRequirements, 10, 11, 1, 1))</f>
        <v/>
      </c>
    </row>
    <row r="1309" spans="1:9" s="146" customFormat="1">
      <c r="A1309" s="183" t="s">
        <v>503</v>
      </c>
      <c r="B1309" s="195" t="str">
        <f ca="1">IF(OFFSET('IWP05'!Std7PayrollEmploymentRequirements, 11, 0, 1, 1) = 0, "", OFFSET('IWP05'!Std7PayrollEmploymentRequirements, 11, 0, 1, 1))</f>
        <v/>
      </c>
      <c r="C1309" s="195" t="str">
        <f ca="1">IF(OFFSET('IWP05'!Std7PayrollEmploymentRequirements, 11, 2, 1, 1) = 0, "", OFFSET('IWP05'!Std7PayrollEmploymentRequirements, 11, 2, 1, 1))</f>
        <v/>
      </c>
      <c r="D1309" s="172">
        <f ca="1">IF(OFFSET('IWP05'!Std7PayrollEmploymentRequirements, 11, 4, 1, 1)=DATE(1900,1,0), DATE(1900,1,1), OFFSET('IWP05'!Std7PayrollEmploymentRequirements, 11, 4, 1, 1))</f>
        <v>1</v>
      </c>
      <c r="E1309" s="195" t="str">
        <f ca="1">IF(OFFSET('IWP05'!Std7PayrollEmploymentRequirements, 11, 5, 1, 1) = 0, "", OFFSET('IWP05'!Std7PayrollEmploymentRequirements, 11, 5, 1, 1))</f>
        <v/>
      </c>
      <c r="F1309" s="195" t="str">
        <f ca="1">IF(OFFSET('IWP05'!Std7PayrollEmploymentRequirements, 11, 6, 1, 1) = 0, "", OFFSET('IWP05'!Std7PayrollEmploymentRequirements, 11, 6, 1, 1))</f>
        <v/>
      </c>
      <c r="G1309" s="195" t="str">
        <f ca="1">IF(OFFSET('IWP05'!Std7PayrollEmploymentRequirements, 11, 7, 1, 1) = 0, "", OFFSET('IWP05'!Std7PayrollEmploymentRequirements, 11, 7, 1, 1))</f>
        <v/>
      </c>
      <c r="H1309" s="195" t="str">
        <f ca="1">IF(OFFSET('IWP05'!Std7PayrollEmploymentRequirements, 11, 9, 1, 1) = 0, "", OFFSET('IWP05'!Std7PayrollEmploymentRequirements, 11, 9, 1, 1))</f>
        <v/>
      </c>
      <c r="I1309" s="194" t="str">
        <f ca="1">IF(OFFSET('IWP05'!Std7PayrollEmploymentRequirements, 11, 11, 1, 1) = 0, "", OFFSET('IWP05'!Std7PayrollEmploymentRequirements, 11, 11, 1, 1))</f>
        <v/>
      </c>
    </row>
    <row r="1310" spans="1:9" s="146" customFormat="1">
      <c r="A1310" s="183" t="s">
        <v>503</v>
      </c>
      <c r="B1310" s="195" t="str">
        <f ca="1">IF(OFFSET('IWP05'!Std7PayrollEmploymentRequirements, 12, 0, 1, 1) = 0, "", OFFSET('IWP05'!Std7PayrollEmploymentRequirements, 12, 0, 1, 1))</f>
        <v/>
      </c>
      <c r="C1310" s="195" t="str">
        <f ca="1">IF(OFFSET('IWP05'!Std7PayrollEmploymentRequirements, 12, 2, 1, 1) = 0, "", OFFSET('IWP05'!Std7PayrollEmploymentRequirements, 12, 2, 1, 1))</f>
        <v/>
      </c>
      <c r="D1310" s="172">
        <f ca="1">IF(OFFSET('IWP05'!Std7PayrollEmploymentRequirements, 12, 4, 1, 1)=DATE(1900,1,0), DATE(1900,1,1), OFFSET('IWP05'!Std7PayrollEmploymentRequirements, 12, 4, 1, 1))</f>
        <v>1</v>
      </c>
      <c r="E1310" s="195" t="str">
        <f ca="1">IF(OFFSET('IWP05'!Std7PayrollEmploymentRequirements, 12, 5, 1, 1) = 0, "", OFFSET('IWP05'!Std7PayrollEmploymentRequirements, 12, 5, 1, 1))</f>
        <v/>
      </c>
      <c r="F1310" s="195" t="str">
        <f ca="1">IF(OFFSET('IWP05'!Std7PayrollEmploymentRequirements, 12, 6, 1, 1) = 0, "", OFFSET('IWP05'!Std7PayrollEmploymentRequirements, 12, 6, 1, 1))</f>
        <v/>
      </c>
      <c r="G1310" s="195" t="str">
        <f ca="1">IF(OFFSET('IWP05'!Std7PayrollEmploymentRequirements, 12, 7, 1, 1) = 0, "", OFFSET('IWP05'!Std7PayrollEmploymentRequirements, 12, 7, 1, 1))</f>
        <v/>
      </c>
      <c r="H1310" s="195" t="str">
        <f ca="1">IF(OFFSET('IWP05'!Std7PayrollEmploymentRequirements, 12, 9, 1, 1) = 0, "", OFFSET('IWP05'!Std7PayrollEmploymentRequirements, 12, 9, 1, 1))</f>
        <v/>
      </c>
      <c r="I1310" s="194" t="str">
        <f ca="1">IF(OFFSET('IWP05'!Std7PayrollEmploymentRequirements, 12, 11, 1, 1) = 0, "", OFFSET('IWP05'!Std7PayrollEmploymentRequirements, 12, 11, 1, 1))</f>
        <v/>
      </c>
    </row>
    <row r="1311" spans="1:9" s="146" customFormat="1">
      <c r="A1311" s="183" t="s">
        <v>503</v>
      </c>
      <c r="B1311" s="195" t="str">
        <f ca="1">IF(OFFSET('IWP05'!Std7PayrollEmploymentRequirements, 13, 0, 1, 1) = 0, "", OFFSET('IWP05'!Std7PayrollEmploymentRequirements, 13, 0, 1, 1))</f>
        <v/>
      </c>
      <c r="C1311" s="195" t="str">
        <f ca="1">IF(OFFSET('IWP05'!Std7PayrollEmploymentRequirements, 13, 2, 1, 1) = 0, "", OFFSET('IWP05'!Std7PayrollEmploymentRequirements, 13, 2, 1, 1))</f>
        <v/>
      </c>
      <c r="D1311" s="172">
        <f ca="1">IF(OFFSET('IWP05'!Std7PayrollEmploymentRequirements, 13, 4, 1, 1)=DATE(1900,1,0), DATE(1900,1,1), OFFSET('IWP05'!Std7PayrollEmploymentRequirements, 13, 4, 1, 1))</f>
        <v>1</v>
      </c>
      <c r="E1311" s="195" t="str">
        <f ca="1">IF(OFFSET('IWP05'!Std7PayrollEmploymentRequirements, 13, 5, 1, 1) = 0, "", OFFSET('IWP05'!Std7PayrollEmploymentRequirements, 13, 5, 1, 1))</f>
        <v/>
      </c>
      <c r="F1311" s="195" t="str">
        <f ca="1">IF(OFFSET('IWP05'!Std7PayrollEmploymentRequirements, 13, 6, 1, 1) = 0, "", OFFSET('IWP05'!Std7PayrollEmploymentRequirements, 13, 6, 1, 1))</f>
        <v/>
      </c>
      <c r="G1311" s="195" t="str">
        <f ca="1">IF(OFFSET('IWP05'!Std7PayrollEmploymentRequirements, 13, 7, 1, 1) = 0, "", OFFSET('IWP05'!Std7PayrollEmploymentRequirements, 13, 7, 1, 1))</f>
        <v/>
      </c>
      <c r="H1311" s="195" t="str">
        <f ca="1">IF(OFFSET('IWP05'!Std7PayrollEmploymentRequirements, 13, 9, 1, 1) = 0, "", OFFSET('IWP05'!Std7PayrollEmploymentRequirements, 13, 9, 1, 1))</f>
        <v/>
      </c>
      <c r="I1311" s="194" t="str">
        <f ca="1">IF(OFFSET('IWP05'!Std7PayrollEmploymentRequirements, 13, 11, 1, 1) = 0, "", OFFSET('IWP05'!Std7PayrollEmploymentRequirements, 13, 11, 1, 1))</f>
        <v/>
      </c>
    </row>
    <row r="1312" spans="1:9" s="146" customFormat="1">
      <c r="A1312" s="183" t="s">
        <v>503</v>
      </c>
      <c r="B1312" s="195" t="str">
        <f ca="1">IF(OFFSET('IWP05'!Std7PayrollEmploymentRequirements, 14, 0, 1, 1) = 0, "", OFFSET('IWP05'!Std7PayrollEmploymentRequirements, 14, 0, 1, 1))</f>
        <v/>
      </c>
      <c r="C1312" s="195" t="str">
        <f ca="1">IF(OFFSET('IWP05'!Std7PayrollEmploymentRequirements, 14, 2, 1, 1) = 0, "", OFFSET('IWP05'!Std7PayrollEmploymentRequirements, 14, 2, 1, 1))</f>
        <v/>
      </c>
      <c r="D1312" s="172">
        <f ca="1">IF(OFFSET('IWP05'!Std7PayrollEmploymentRequirements, 14, 4, 1, 1)=DATE(1900,1,0), DATE(1900,1,1), OFFSET('IWP05'!Std7PayrollEmploymentRequirements, 14, 4, 1, 1))</f>
        <v>1</v>
      </c>
      <c r="E1312" s="195" t="str">
        <f ca="1">IF(OFFSET('IWP05'!Std7PayrollEmploymentRequirements, 14, 5, 1, 1) = 0, "", OFFSET('IWP05'!Std7PayrollEmploymentRequirements, 14, 5, 1, 1))</f>
        <v/>
      </c>
      <c r="F1312" s="195" t="str">
        <f ca="1">IF(OFFSET('IWP05'!Std7PayrollEmploymentRequirements, 14, 6, 1, 1) = 0, "", OFFSET('IWP05'!Std7PayrollEmploymentRequirements, 14, 6, 1, 1))</f>
        <v/>
      </c>
      <c r="G1312" s="195" t="str">
        <f ca="1">IF(OFFSET('IWP05'!Std7PayrollEmploymentRequirements, 14, 7, 1, 1) = 0, "", OFFSET('IWP05'!Std7PayrollEmploymentRequirements, 14, 7, 1, 1))</f>
        <v/>
      </c>
      <c r="H1312" s="195" t="str">
        <f ca="1">IF(OFFSET('IWP05'!Std7PayrollEmploymentRequirements, 14, 9, 1, 1) = 0, "", OFFSET('IWP05'!Std7PayrollEmploymentRequirements, 14, 9, 1, 1))</f>
        <v/>
      </c>
      <c r="I1312" s="194" t="str">
        <f ca="1">IF(OFFSET('IWP05'!Std7PayrollEmploymentRequirements, 14, 11, 1, 1) = 0, "", OFFSET('IWP05'!Std7PayrollEmploymentRequirements, 14, 11, 1, 1))</f>
        <v/>
      </c>
    </row>
    <row r="1313" spans="1:9" s="146" customFormat="1">
      <c r="A1313" s="183" t="s">
        <v>503</v>
      </c>
      <c r="B1313" s="195" t="str">
        <f ca="1">IF(OFFSET('IWP05'!Std7PayrollEmploymentRequirements, 15, 0, 1, 1) = 0, "", OFFSET('IWP05'!Std7PayrollEmploymentRequirements, 15, 0, 1, 1))</f>
        <v/>
      </c>
      <c r="C1313" s="195" t="str">
        <f ca="1">IF(OFFSET('IWP05'!Std7PayrollEmploymentRequirements, 15, 2, 1, 1) = 0, "", OFFSET('IWP05'!Std7PayrollEmploymentRequirements, 15, 2, 1, 1))</f>
        <v/>
      </c>
      <c r="D1313" s="172">
        <f ca="1">IF(OFFSET('IWP05'!Std7PayrollEmploymentRequirements, 15, 4, 1, 1)=DATE(1900,1,0), DATE(1900,1,1), OFFSET('IWP05'!Std7PayrollEmploymentRequirements, 15, 4, 1, 1))</f>
        <v>1</v>
      </c>
      <c r="E1313" s="195" t="str">
        <f ca="1">IF(OFFSET('IWP05'!Std7PayrollEmploymentRequirements, 15, 5, 1, 1) = 0, "", OFFSET('IWP05'!Std7PayrollEmploymentRequirements, 15, 5, 1, 1))</f>
        <v/>
      </c>
      <c r="F1313" s="195" t="str">
        <f ca="1">IF(OFFSET('IWP05'!Std7PayrollEmploymentRequirements, 15, 6, 1, 1) = 0, "", OFFSET('IWP05'!Std7PayrollEmploymentRequirements, 15, 6, 1, 1))</f>
        <v/>
      </c>
      <c r="G1313" s="195" t="str">
        <f ca="1">IF(OFFSET('IWP05'!Std7PayrollEmploymentRequirements, 15, 7, 1, 1) = 0, "", OFFSET('IWP05'!Std7PayrollEmploymentRequirements, 15, 7, 1, 1))</f>
        <v/>
      </c>
      <c r="H1313" s="195" t="str">
        <f ca="1">IF(OFFSET('IWP05'!Std7PayrollEmploymentRequirements, 15, 9, 1, 1) = 0, "", OFFSET('IWP05'!Std7PayrollEmploymentRequirements, 15, 9, 1, 1))</f>
        <v/>
      </c>
      <c r="I1313" s="194" t="str">
        <f ca="1">IF(OFFSET('IWP05'!Std7PayrollEmploymentRequirements, 15, 11, 1, 1) = 0, "", OFFSET('IWP05'!Std7PayrollEmploymentRequirements, 15, 11, 1, 1))</f>
        <v/>
      </c>
    </row>
    <row r="1314" spans="1:9" s="146" customFormat="1">
      <c r="A1314" s="183" t="s">
        <v>504</v>
      </c>
      <c r="B1314" s="195" t="str">
        <f ca="1">IF(OFFSET('IWP06'!Std7PayrollEmploymentRequirements, 0, 0, 1, 1) = 0, "", OFFSET('IWP06'!Std7PayrollEmploymentRequirements, 0, 0, 1, 1))</f>
        <v/>
      </c>
      <c r="C1314" s="195" t="str">
        <f ca="1">IF(OFFSET('IWP06'!Std7PayrollEmploymentRequirements, 0, 2, 1, 1) = 0, "", OFFSET('IWP06'!Std7PayrollEmploymentRequirements, 0, 2, 1, 1))</f>
        <v/>
      </c>
      <c r="D1314" s="172">
        <f ca="1">IF(OFFSET('IWP06'!Std7PayrollEmploymentRequirements, 0, 4, 1, 1)=DATE(1900,1,0), DATE(1900,1,1), OFFSET('IWP06'!Std7PayrollEmploymentRequirements, 0, 4, 1, 1))</f>
        <v>1</v>
      </c>
      <c r="E1314" s="195" t="str">
        <f ca="1">IF(OFFSET('IWP06'!Std7PayrollEmploymentRequirements, 0, 5, 1, 1) = 0, "", OFFSET('IWP06'!Std7PayrollEmploymentRequirements, 0, 5, 1, 1))</f>
        <v/>
      </c>
      <c r="F1314" s="195" t="str">
        <f ca="1">IF(OFFSET('IWP06'!Std7PayrollEmploymentRequirements, 0, 6, 1, 1) = 0, "", OFFSET('IWP06'!Std7PayrollEmploymentRequirements, 0, 6, 1, 1))</f>
        <v/>
      </c>
      <c r="G1314" s="195" t="str">
        <f ca="1">IF(OFFSET('IWP06'!Std7PayrollEmploymentRequirements, 0, 7, 1, 1) = 0, "", OFFSET('IWP06'!Std7PayrollEmploymentRequirements, 0, 7, 1, 1))</f>
        <v/>
      </c>
      <c r="H1314" s="195" t="str">
        <f ca="1">IF(OFFSET('IWP06'!Std7PayrollEmploymentRequirements, 0, 9, 1, 1) = 0, "", OFFSET('IWP06'!Std7PayrollEmploymentRequirements, 0, 9, 1, 1))</f>
        <v/>
      </c>
      <c r="I1314" s="194" t="str">
        <f ca="1">IF(OFFSET('IWP06'!Std7PayrollEmploymentRequirements, 0, 11, 1, 1) = 0, "", OFFSET('IWP06'!Std7PayrollEmploymentRequirements, 0, 11, 1, 1))</f>
        <v/>
      </c>
    </row>
    <row r="1315" spans="1:9" s="146" customFormat="1">
      <c r="A1315" s="183" t="s">
        <v>504</v>
      </c>
      <c r="B1315" s="195" t="str">
        <f ca="1">IF(OFFSET('IWP06'!Std7PayrollEmploymentRequirements, 1, 0, 1, 1) = 0, "", OFFSET('IWP06'!Std7PayrollEmploymentRequirements, 1, 0, 1, 1))</f>
        <v/>
      </c>
      <c r="C1315" s="195" t="str">
        <f ca="1">IF(OFFSET('IWP06'!Std7PayrollEmploymentRequirements, 1, 2, 1, 1) = 0, "", OFFSET('IWP06'!Std7PayrollEmploymentRequirements, 1, 2, 1, 1))</f>
        <v/>
      </c>
      <c r="D1315" s="172">
        <f ca="1">IF(OFFSET('IWP06'!Std7PayrollEmploymentRequirements, 1, 4, 1, 1)=DATE(1900,1,0), DATE(1900,1,1), OFFSET('IWP06'!Std7PayrollEmploymentRequirements, 1, 4, 1, 1))</f>
        <v>1</v>
      </c>
      <c r="E1315" s="195" t="str">
        <f ca="1">IF(OFFSET('IWP06'!Std7PayrollEmploymentRequirements, 1, 5, 1, 1) = 0, "", OFFSET('IWP06'!Std7PayrollEmploymentRequirements, 1, 5, 1, 1))</f>
        <v/>
      </c>
      <c r="F1315" s="195" t="str">
        <f ca="1">IF(OFFSET('IWP06'!Std7PayrollEmploymentRequirements, 1, 6, 1, 1) = 0, "", OFFSET('IWP06'!Std7PayrollEmploymentRequirements, 1, 6, 1, 1))</f>
        <v/>
      </c>
      <c r="G1315" s="195" t="str">
        <f ca="1">IF(OFFSET('IWP06'!Std7PayrollEmploymentRequirements, 1, 7, 1, 1) = 0, "", OFFSET('IWP06'!Std7PayrollEmploymentRequirements, 1, 7, 1, 1))</f>
        <v/>
      </c>
      <c r="H1315" s="195" t="str">
        <f ca="1">IF(OFFSET('IWP06'!Std7PayrollEmploymentRequirements, 1, 9, 1, 1) = 0, "", OFFSET('IWP06'!Std7PayrollEmploymentRequirements, 1, 9, 1, 1))</f>
        <v/>
      </c>
      <c r="I1315" s="194" t="str">
        <f ca="1">IF(OFFSET('IWP06'!Std7PayrollEmploymentRequirements, 1, 11, 1, 1) = 0, "", OFFSET('IWP06'!Std7PayrollEmploymentRequirements, 1, 11, 1, 1))</f>
        <v/>
      </c>
    </row>
    <row r="1316" spans="1:9" s="146" customFormat="1">
      <c r="A1316" s="183" t="s">
        <v>504</v>
      </c>
      <c r="B1316" s="195" t="str">
        <f ca="1">IF(OFFSET('IWP06'!Std7PayrollEmploymentRequirements, 2, 0, 1, 1) = 0, "", OFFSET('IWP06'!Std7PayrollEmploymentRequirements, 2, 0, 1, 1))</f>
        <v/>
      </c>
      <c r="C1316" s="195" t="str">
        <f ca="1">IF(OFFSET('IWP06'!Std7PayrollEmploymentRequirements, 2, 2, 1, 1) = 0, "", OFFSET('IWP06'!Std7PayrollEmploymentRequirements, 2, 2, 1, 1))</f>
        <v/>
      </c>
      <c r="D1316" s="172">
        <f ca="1">IF(OFFSET('IWP06'!Std7PayrollEmploymentRequirements, 2, 4, 1, 1)=DATE(1900,1,0), DATE(1900,1,1), OFFSET('IWP06'!Std7PayrollEmploymentRequirements, 2, 4, 1, 1))</f>
        <v>1</v>
      </c>
      <c r="E1316" s="195" t="str">
        <f ca="1">IF(OFFSET('IWP06'!Std7PayrollEmploymentRequirements, 2, 5, 1, 1) = 0, "", OFFSET('IWP06'!Std7PayrollEmploymentRequirements, 2, 5, 1, 1))</f>
        <v/>
      </c>
      <c r="F1316" s="195" t="str">
        <f ca="1">IF(OFFSET('IWP06'!Std7PayrollEmploymentRequirements, 2, 6, 1, 1) = 0, "", OFFSET('IWP06'!Std7PayrollEmploymentRequirements, 2, 6, 1, 1))</f>
        <v/>
      </c>
      <c r="G1316" s="195" t="str">
        <f ca="1">IF(OFFSET('IWP06'!Std7PayrollEmploymentRequirements, 2, 7, 1, 1) = 0, "", OFFSET('IWP06'!Std7PayrollEmploymentRequirements, 2, 7, 1, 1))</f>
        <v/>
      </c>
      <c r="H1316" s="195" t="str">
        <f ca="1">IF(OFFSET('IWP06'!Std7PayrollEmploymentRequirements, 2, 9, 1, 1) = 0, "", OFFSET('IWP06'!Std7PayrollEmploymentRequirements, 2, 9, 1, 1))</f>
        <v/>
      </c>
      <c r="I1316" s="194" t="str">
        <f ca="1">IF(OFFSET('IWP06'!Std7PayrollEmploymentRequirements, 2, 11, 1, 1) = 0, "", OFFSET('IWP06'!Std7PayrollEmploymentRequirements, 2, 11, 1, 1))</f>
        <v/>
      </c>
    </row>
    <row r="1317" spans="1:9" s="146" customFormat="1">
      <c r="A1317" s="183" t="s">
        <v>504</v>
      </c>
      <c r="B1317" s="195" t="str">
        <f ca="1">IF(OFFSET('IWP06'!Std7PayrollEmploymentRequirements, 3, 0, 1, 1) = 0, "", OFFSET('IWP06'!Std7PayrollEmploymentRequirements, 3, 0, 1, 1))</f>
        <v/>
      </c>
      <c r="C1317" s="195" t="str">
        <f ca="1">IF(OFFSET('IWP06'!Std7PayrollEmploymentRequirements, 3, 2, 1, 1) = 0, "", OFFSET('IWP06'!Std7PayrollEmploymentRequirements, 3, 2, 1, 1))</f>
        <v/>
      </c>
      <c r="D1317" s="172">
        <f ca="1">IF(OFFSET('IWP06'!Std7PayrollEmploymentRequirements, 3, 4, 1, 1)=DATE(1900,1,0), DATE(1900,1,1), OFFSET('IWP06'!Std7PayrollEmploymentRequirements, 3, 4, 1, 1))</f>
        <v>1</v>
      </c>
      <c r="E1317" s="195" t="str">
        <f ca="1">IF(OFFSET('IWP06'!Std7PayrollEmploymentRequirements, 3, 5, 1, 1) = 0, "", OFFSET('IWP06'!Std7PayrollEmploymentRequirements, 3, 5, 1, 1))</f>
        <v/>
      </c>
      <c r="F1317" s="195" t="str">
        <f ca="1">IF(OFFSET('IWP06'!Std7PayrollEmploymentRequirements, 3, 6, 1, 1) = 0, "", OFFSET('IWP06'!Std7PayrollEmploymentRequirements, 3, 6, 1, 1))</f>
        <v/>
      </c>
      <c r="G1317" s="195" t="str">
        <f ca="1">IF(OFFSET('IWP06'!Std7PayrollEmploymentRequirements, 3, 7, 1, 1) = 0, "", OFFSET('IWP06'!Std7PayrollEmploymentRequirements, 3, 7, 1, 1))</f>
        <v/>
      </c>
      <c r="H1317" s="195" t="str">
        <f ca="1">IF(OFFSET('IWP06'!Std7PayrollEmploymentRequirements, 3, 9, 1, 1) = 0, "", OFFSET('IWP06'!Std7PayrollEmploymentRequirements, 3, 9, 1, 1))</f>
        <v/>
      </c>
      <c r="I1317" s="194" t="str">
        <f ca="1">IF(OFFSET('IWP06'!Std7PayrollEmploymentRequirements, 3, 11, 1, 1) = 0, "", OFFSET('IWP06'!Std7PayrollEmploymentRequirements, 3, 11, 1, 1))</f>
        <v/>
      </c>
    </row>
    <row r="1318" spans="1:9" s="146" customFormat="1">
      <c r="A1318" s="183" t="s">
        <v>504</v>
      </c>
      <c r="B1318" s="195" t="str">
        <f ca="1">IF(OFFSET('IWP06'!Std7PayrollEmploymentRequirements, 4, 0, 1, 1) = 0, "", OFFSET('IWP06'!Std7PayrollEmploymentRequirements, 4, 0, 1, 1))</f>
        <v/>
      </c>
      <c r="C1318" s="195" t="str">
        <f ca="1">IF(OFFSET('IWP06'!Std7PayrollEmploymentRequirements, 4, 2, 1, 1) = 0, "", OFFSET('IWP06'!Std7PayrollEmploymentRequirements, 4, 2, 1, 1))</f>
        <v/>
      </c>
      <c r="D1318" s="172">
        <f ca="1">IF(OFFSET('IWP06'!Std7PayrollEmploymentRequirements, 4, 4, 1, 1)=DATE(1900,1,0), DATE(1900,1,1), OFFSET('IWP06'!Std7PayrollEmploymentRequirements, 4, 4, 1, 1))</f>
        <v>1</v>
      </c>
      <c r="E1318" s="195" t="str">
        <f ca="1">IF(OFFSET('IWP06'!Std7PayrollEmploymentRequirements, 4, 5, 1, 1) = 0, "", OFFSET('IWP06'!Std7PayrollEmploymentRequirements, 4, 5, 1, 1))</f>
        <v/>
      </c>
      <c r="F1318" s="195" t="str">
        <f ca="1">IF(OFFSET('IWP06'!Std7PayrollEmploymentRequirements, 4, 6, 1, 1) = 0, "", OFFSET('IWP06'!Std7PayrollEmploymentRequirements, 4, 6, 1, 1))</f>
        <v/>
      </c>
      <c r="G1318" s="195" t="str">
        <f ca="1">IF(OFFSET('IWP06'!Std7PayrollEmploymentRequirements, 4, 7, 1, 1) = 0, "", OFFSET('IWP06'!Std7PayrollEmploymentRequirements, 4, 7, 1, 1))</f>
        <v/>
      </c>
      <c r="H1318" s="195" t="str">
        <f ca="1">IF(OFFSET('IWP06'!Std7PayrollEmploymentRequirements, 4, 9, 1, 1) = 0, "", OFFSET('IWP06'!Std7PayrollEmploymentRequirements, 4, 9, 1, 1))</f>
        <v/>
      </c>
      <c r="I1318" s="194" t="str">
        <f ca="1">IF(OFFSET('IWP06'!Std7PayrollEmploymentRequirements, 4, 11, 1, 1) = 0, "", OFFSET('IWP06'!Std7PayrollEmploymentRequirements, 4, 11, 1, 1))</f>
        <v/>
      </c>
    </row>
    <row r="1319" spans="1:9" s="146" customFormat="1">
      <c r="A1319" s="183" t="s">
        <v>504</v>
      </c>
      <c r="B1319" s="195" t="str">
        <f ca="1">IF(OFFSET('IWP06'!Std7PayrollEmploymentRequirements, 5, 0, 1, 1) = 0, "", OFFSET('IWP06'!Std7PayrollEmploymentRequirements, 5, 0, 1, 1))</f>
        <v/>
      </c>
      <c r="C1319" s="195" t="str">
        <f ca="1">IF(OFFSET('IWP06'!Std7PayrollEmploymentRequirements, 5, 2, 1, 1) = 0, "", OFFSET('IWP06'!Std7PayrollEmploymentRequirements, 5, 2, 1, 1))</f>
        <v/>
      </c>
      <c r="D1319" s="172">
        <f ca="1">IF(OFFSET('IWP06'!Std7PayrollEmploymentRequirements, 5, 4, 1, 1)=DATE(1900,1,0), DATE(1900,1,1), OFFSET('IWP06'!Std7PayrollEmploymentRequirements, 5, 4, 1, 1))</f>
        <v>1</v>
      </c>
      <c r="E1319" s="195" t="str">
        <f ca="1">IF(OFFSET('IWP06'!Std7PayrollEmploymentRequirements, 5, 5, 1, 1) = 0, "", OFFSET('IWP06'!Std7PayrollEmploymentRequirements, 5, 5, 1, 1))</f>
        <v/>
      </c>
      <c r="F1319" s="195" t="str">
        <f ca="1">IF(OFFSET('IWP06'!Std7PayrollEmploymentRequirements, 5, 6, 1, 1) = 0, "", OFFSET('IWP06'!Std7PayrollEmploymentRequirements, 5, 6, 1, 1))</f>
        <v/>
      </c>
      <c r="G1319" s="195" t="str">
        <f ca="1">IF(OFFSET('IWP06'!Std7PayrollEmploymentRequirements, 5, 7, 1, 1) = 0, "", OFFSET('IWP06'!Std7PayrollEmploymentRequirements, 5, 7, 1, 1))</f>
        <v/>
      </c>
      <c r="H1319" s="195" t="str">
        <f ca="1">IF(OFFSET('IWP06'!Std7PayrollEmploymentRequirements, 5, 9, 1, 1) = 0, "", OFFSET('IWP06'!Std7PayrollEmploymentRequirements, 5, 9, 1, 1))</f>
        <v/>
      </c>
      <c r="I1319" s="194" t="str">
        <f ca="1">IF(OFFSET('IWP06'!Std7PayrollEmploymentRequirements, 5, 11, 1, 1) = 0, "", OFFSET('IWP06'!Std7PayrollEmploymentRequirements, 5, 11, 1, 1))</f>
        <v/>
      </c>
    </row>
    <row r="1320" spans="1:9" s="146" customFormat="1">
      <c r="A1320" s="183" t="s">
        <v>504</v>
      </c>
      <c r="B1320" s="195" t="str">
        <f ca="1">IF(OFFSET('IWP06'!Std7PayrollEmploymentRequirements, 6, 0, 1, 1) = 0, "", OFFSET('IWP06'!Std7PayrollEmploymentRequirements, 6, 0, 1, 1))</f>
        <v/>
      </c>
      <c r="C1320" s="195" t="str">
        <f ca="1">IF(OFFSET('IWP06'!Std7PayrollEmploymentRequirements, 6, 2, 1, 1) = 0, "", OFFSET('IWP06'!Std7PayrollEmploymentRequirements, 6, 2, 1, 1))</f>
        <v/>
      </c>
      <c r="D1320" s="172">
        <f ca="1">IF(OFFSET('IWP06'!Std7PayrollEmploymentRequirements, 6, 4, 1, 1)=DATE(1900,1,0), DATE(1900,1,1), OFFSET('IWP06'!Std7PayrollEmploymentRequirements, 6, 4, 1, 1))</f>
        <v>1</v>
      </c>
      <c r="E1320" s="195" t="str">
        <f ca="1">IF(OFFSET('IWP06'!Std7PayrollEmploymentRequirements, 6, 5, 1, 1) = 0, "", OFFSET('IWP06'!Std7PayrollEmploymentRequirements, 6, 5, 1, 1))</f>
        <v/>
      </c>
      <c r="F1320" s="195" t="str">
        <f ca="1">IF(OFFSET('IWP06'!Std7PayrollEmploymentRequirements, 6, 6, 1, 1) = 0, "", OFFSET('IWP06'!Std7PayrollEmploymentRequirements, 6, 6, 1, 1))</f>
        <v/>
      </c>
      <c r="G1320" s="195" t="str">
        <f ca="1">IF(OFFSET('IWP06'!Std7PayrollEmploymentRequirements, 6, 7, 1, 1) = 0, "", OFFSET('IWP06'!Std7PayrollEmploymentRequirements, 6, 7, 1, 1))</f>
        <v/>
      </c>
      <c r="H1320" s="195" t="str">
        <f ca="1">IF(OFFSET('IWP06'!Std7PayrollEmploymentRequirements, 6, 9, 1, 1) = 0, "", OFFSET('IWP06'!Std7PayrollEmploymentRequirements, 6, 9, 1, 1))</f>
        <v/>
      </c>
      <c r="I1320" s="194" t="str">
        <f ca="1">IF(OFFSET('IWP06'!Std7PayrollEmploymentRequirements, 6, 11, 1, 1) = 0, "", OFFSET('IWP06'!Std7PayrollEmploymentRequirements, 6, 11, 1, 1))</f>
        <v/>
      </c>
    </row>
    <row r="1321" spans="1:9" s="146" customFormat="1">
      <c r="A1321" s="183" t="s">
        <v>504</v>
      </c>
      <c r="B1321" s="195" t="str">
        <f ca="1">IF(OFFSET('IWP06'!Std7PayrollEmploymentRequirements, 7, 0, 1, 1) = 0, "", OFFSET('IWP06'!Std7PayrollEmploymentRequirements, 7, 0, 1, 1))</f>
        <v/>
      </c>
      <c r="C1321" s="195" t="str">
        <f ca="1">IF(OFFSET('IWP06'!Std7PayrollEmploymentRequirements, 7, 2, 1, 1) = 0, "", OFFSET('IWP06'!Std7PayrollEmploymentRequirements, 7, 2, 1, 1))</f>
        <v/>
      </c>
      <c r="D1321" s="172">
        <f ca="1">IF(OFFSET('IWP06'!Std7PayrollEmploymentRequirements, 7, 4, 1, 1)=DATE(1900,1,0), DATE(1900,1,1), OFFSET('IWP06'!Std7PayrollEmploymentRequirements, 7, 4, 1, 1))</f>
        <v>1</v>
      </c>
      <c r="E1321" s="195" t="str">
        <f ca="1">IF(OFFSET('IWP06'!Std7PayrollEmploymentRequirements, 7, 5, 1, 1) = 0, "", OFFSET('IWP06'!Std7PayrollEmploymentRequirements, 7, 5, 1, 1))</f>
        <v/>
      </c>
      <c r="F1321" s="195" t="str">
        <f ca="1">IF(OFFSET('IWP06'!Std7PayrollEmploymentRequirements, 7, 6, 1, 1) = 0, "", OFFSET('IWP06'!Std7PayrollEmploymentRequirements, 7, 6, 1, 1))</f>
        <v/>
      </c>
      <c r="G1321" s="195" t="str">
        <f ca="1">IF(OFFSET('IWP06'!Std7PayrollEmploymentRequirements, 7, 7, 1, 1) = 0, "", OFFSET('IWP06'!Std7PayrollEmploymentRequirements, 7, 7, 1, 1))</f>
        <v/>
      </c>
      <c r="H1321" s="195" t="str">
        <f ca="1">IF(OFFSET('IWP06'!Std7PayrollEmploymentRequirements, 7, 9, 1, 1) = 0, "", OFFSET('IWP06'!Std7PayrollEmploymentRequirements, 7, 9, 1, 1))</f>
        <v/>
      </c>
      <c r="I1321" s="194" t="str">
        <f ca="1">IF(OFFSET('IWP06'!Std7PayrollEmploymentRequirements, 7, 11, 1, 1) = 0, "", OFFSET('IWP06'!Std7PayrollEmploymentRequirements, 7, 11, 1, 1))</f>
        <v/>
      </c>
    </row>
    <row r="1322" spans="1:9" s="146" customFormat="1">
      <c r="A1322" s="183" t="s">
        <v>504</v>
      </c>
      <c r="B1322" s="195" t="str">
        <f ca="1">IF(OFFSET('IWP06'!Std7PayrollEmploymentRequirements, 8, 0, 1, 1) = 0, "", OFFSET('IWP06'!Std7PayrollEmploymentRequirements, 8, 0, 1, 1))</f>
        <v/>
      </c>
      <c r="C1322" s="195" t="str">
        <f ca="1">IF(OFFSET('IWP06'!Std7PayrollEmploymentRequirements, 8, 2, 1, 1) = 0, "", OFFSET('IWP06'!Std7PayrollEmploymentRequirements, 8, 2, 1, 1))</f>
        <v/>
      </c>
      <c r="D1322" s="172">
        <f ca="1">IF(OFFSET('IWP06'!Std7PayrollEmploymentRequirements, 8, 4, 1, 1)=DATE(1900,1,0), DATE(1900,1,1), OFFSET('IWP06'!Std7PayrollEmploymentRequirements, 8, 4, 1, 1))</f>
        <v>1</v>
      </c>
      <c r="E1322" s="195" t="str">
        <f ca="1">IF(OFFSET('IWP06'!Std7PayrollEmploymentRequirements, 8, 5, 1, 1) = 0, "", OFFSET('IWP06'!Std7PayrollEmploymentRequirements, 8, 5, 1, 1))</f>
        <v/>
      </c>
      <c r="F1322" s="195" t="str">
        <f ca="1">IF(OFFSET('IWP06'!Std7PayrollEmploymentRequirements, 8, 6, 1, 1) = 0, "", OFFSET('IWP06'!Std7PayrollEmploymentRequirements, 8, 6, 1, 1))</f>
        <v/>
      </c>
      <c r="G1322" s="195" t="str">
        <f ca="1">IF(OFFSET('IWP06'!Std7PayrollEmploymentRequirements, 8, 7, 1, 1) = 0, "", OFFSET('IWP06'!Std7PayrollEmploymentRequirements, 8, 7, 1, 1))</f>
        <v/>
      </c>
      <c r="H1322" s="195" t="str">
        <f ca="1">IF(OFFSET('IWP06'!Std7PayrollEmploymentRequirements, 8, 9, 1, 1) = 0, "", OFFSET('IWP06'!Std7PayrollEmploymentRequirements, 8, 9, 1, 1))</f>
        <v/>
      </c>
      <c r="I1322" s="194" t="str">
        <f ca="1">IF(OFFSET('IWP06'!Std7PayrollEmploymentRequirements, 8, 11, 1, 1) = 0, "", OFFSET('IWP06'!Std7PayrollEmploymentRequirements, 8, 11, 1, 1))</f>
        <v/>
      </c>
    </row>
    <row r="1323" spans="1:9" s="146" customFormat="1">
      <c r="A1323" s="183" t="s">
        <v>504</v>
      </c>
      <c r="B1323" s="195" t="str">
        <f ca="1">IF(OFFSET('IWP06'!Std7PayrollEmploymentRequirements, 9, 0, 1, 1) = 0, "", OFFSET('IWP06'!Std7PayrollEmploymentRequirements, 9, 0, 1, 1))</f>
        <v/>
      </c>
      <c r="C1323" s="195" t="str">
        <f ca="1">IF(OFFSET('IWP06'!Std7PayrollEmploymentRequirements, 9, 2, 1, 1) = 0, "", OFFSET('IWP06'!Std7PayrollEmploymentRequirements, 9, 2, 1, 1))</f>
        <v/>
      </c>
      <c r="D1323" s="172">
        <f ca="1">IF(OFFSET('IWP06'!Std7PayrollEmploymentRequirements, 9, 4, 1, 1)=DATE(1900,1,0), DATE(1900,1,1), OFFSET('IWP06'!Std7PayrollEmploymentRequirements, 9, 4, 1, 1))</f>
        <v>1</v>
      </c>
      <c r="E1323" s="195" t="str">
        <f ca="1">IF(OFFSET('IWP06'!Std7PayrollEmploymentRequirements, 9, 5, 1, 1) = 0, "", OFFSET('IWP06'!Std7PayrollEmploymentRequirements, 9, 5, 1, 1))</f>
        <v/>
      </c>
      <c r="F1323" s="195" t="str">
        <f ca="1">IF(OFFSET('IWP06'!Std7PayrollEmploymentRequirements, 9, 6, 1, 1) = 0, "", OFFSET('IWP06'!Std7PayrollEmploymentRequirements, 9, 6, 1, 1))</f>
        <v/>
      </c>
      <c r="G1323" s="195" t="str">
        <f ca="1">IF(OFFSET('IWP06'!Std7PayrollEmploymentRequirements, 9, 7, 1, 1) = 0, "", OFFSET('IWP06'!Std7PayrollEmploymentRequirements, 9, 7, 1, 1))</f>
        <v/>
      </c>
      <c r="H1323" s="195" t="str">
        <f ca="1">IF(OFFSET('IWP06'!Std7PayrollEmploymentRequirements, 9, 9, 1, 1) = 0, "", OFFSET('IWP06'!Std7PayrollEmploymentRequirements, 9, 9, 1, 1))</f>
        <v/>
      </c>
      <c r="I1323" s="194" t="str">
        <f ca="1">IF(OFFSET('IWP06'!Std7PayrollEmploymentRequirements, 9, 11, 1, 1) = 0, "", OFFSET('IWP06'!Std7PayrollEmploymentRequirements, 9, 11, 1, 1))</f>
        <v/>
      </c>
    </row>
    <row r="1324" spans="1:9" s="146" customFormat="1">
      <c r="A1324" s="183" t="s">
        <v>504</v>
      </c>
      <c r="B1324" s="195" t="str">
        <f ca="1">IF(OFFSET('IWP06'!Std7PayrollEmploymentRequirements, 10, 0, 1, 1) = 0, "", OFFSET('IWP06'!Std7PayrollEmploymentRequirements, 10, 0, 1, 1))</f>
        <v/>
      </c>
      <c r="C1324" s="195" t="str">
        <f ca="1">IF(OFFSET('IWP06'!Std7PayrollEmploymentRequirements, 10, 2, 1, 1) = 0, "", OFFSET('IWP06'!Std7PayrollEmploymentRequirements, 10, 2, 1, 1))</f>
        <v/>
      </c>
      <c r="D1324" s="172">
        <f ca="1">IF(OFFSET('IWP06'!Std7PayrollEmploymentRequirements, 10, 4, 1, 1)=DATE(1900,1,0), DATE(1900,1,1), OFFSET('IWP06'!Std7PayrollEmploymentRequirements, 10, 4, 1, 1))</f>
        <v>1</v>
      </c>
      <c r="E1324" s="195" t="str">
        <f ca="1">IF(OFFSET('IWP06'!Std7PayrollEmploymentRequirements, 10, 5, 1, 1) = 0, "", OFFSET('IWP06'!Std7PayrollEmploymentRequirements, 10, 5, 1, 1))</f>
        <v/>
      </c>
      <c r="F1324" s="195" t="str">
        <f ca="1">IF(OFFSET('IWP06'!Std7PayrollEmploymentRequirements, 10, 6, 1, 1) = 0, "", OFFSET('IWP06'!Std7PayrollEmploymentRequirements, 10, 6, 1, 1))</f>
        <v/>
      </c>
      <c r="G1324" s="195" t="str">
        <f ca="1">IF(OFFSET('IWP06'!Std7PayrollEmploymentRequirements, 10, 7, 1, 1) = 0, "", OFFSET('IWP06'!Std7PayrollEmploymentRequirements, 10, 7, 1, 1))</f>
        <v/>
      </c>
      <c r="H1324" s="195" t="str">
        <f ca="1">IF(OFFSET('IWP06'!Std7PayrollEmploymentRequirements, 10, 9, 1, 1) = 0, "", OFFSET('IWP06'!Std7PayrollEmploymentRequirements, 10, 9, 1, 1))</f>
        <v/>
      </c>
      <c r="I1324" s="194" t="str">
        <f ca="1">IF(OFFSET('IWP06'!Std7PayrollEmploymentRequirements, 10, 11, 1, 1) = 0, "", OFFSET('IWP06'!Std7PayrollEmploymentRequirements, 10, 11, 1, 1))</f>
        <v/>
      </c>
    </row>
    <row r="1325" spans="1:9" s="146" customFormat="1">
      <c r="A1325" s="183" t="s">
        <v>504</v>
      </c>
      <c r="B1325" s="195" t="str">
        <f ca="1">IF(OFFSET('IWP06'!Std7PayrollEmploymentRequirements, 11, 0, 1, 1) = 0, "", OFFSET('IWP06'!Std7PayrollEmploymentRequirements, 11, 0, 1, 1))</f>
        <v/>
      </c>
      <c r="C1325" s="195" t="str">
        <f ca="1">IF(OFFSET('IWP06'!Std7PayrollEmploymentRequirements, 11, 2, 1, 1) = 0, "", OFFSET('IWP06'!Std7PayrollEmploymentRequirements, 11, 2, 1, 1))</f>
        <v/>
      </c>
      <c r="D1325" s="172">
        <f ca="1">IF(OFFSET('IWP06'!Std7PayrollEmploymentRequirements, 11, 4, 1, 1)=DATE(1900,1,0), DATE(1900,1,1), OFFSET('IWP06'!Std7PayrollEmploymentRequirements, 11, 4, 1, 1))</f>
        <v>1</v>
      </c>
      <c r="E1325" s="195" t="str">
        <f ca="1">IF(OFFSET('IWP06'!Std7PayrollEmploymentRequirements, 11, 5, 1, 1) = 0, "", OFFSET('IWP06'!Std7PayrollEmploymentRequirements, 11, 5, 1, 1))</f>
        <v/>
      </c>
      <c r="F1325" s="195" t="str">
        <f ca="1">IF(OFFSET('IWP06'!Std7PayrollEmploymentRequirements, 11, 6, 1, 1) = 0, "", OFFSET('IWP06'!Std7PayrollEmploymentRequirements, 11, 6, 1, 1))</f>
        <v/>
      </c>
      <c r="G1325" s="195" t="str">
        <f ca="1">IF(OFFSET('IWP06'!Std7PayrollEmploymentRequirements, 11, 7, 1, 1) = 0, "", OFFSET('IWP06'!Std7PayrollEmploymentRequirements, 11, 7, 1, 1))</f>
        <v/>
      </c>
      <c r="H1325" s="195" t="str">
        <f ca="1">IF(OFFSET('IWP06'!Std7PayrollEmploymentRequirements, 11, 9, 1, 1) = 0, "", OFFSET('IWP06'!Std7PayrollEmploymentRequirements, 11, 9, 1, 1))</f>
        <v/>
      </c>
      <c r="I1325" s="194" t="str">
        <f ca="1">IF(OFFSET('IWP06'!Std7PayrollEmploymentRequirements, 11, 11, 1, 1) = 0, "", OFFSET('IWP06'!Std7PayrollEmploymentRequirements, 11, 11, 1, 1))</f>
        <v/>
      </c>
    </row>
    <row r="1326" spans="1:9" s="146" customFormat="1">
      <c r="A1326" s="183" t="s">
        <v>504</v>
      </c>
      <c r="B1326" s="195" t="str">
        <f ca="1">IF(OFFSET('IWP06'!Std7PayrollEmploymentRequirements, 12, 0, 1, 1) = 0, "", OFFSET('IWP06'!Std7PayrollEmploymentRequirements, 12, 0, 1, 1))</f>
        <v/>
      </c>
      <c r="C1326" s="195" t="str">
        <f ca="1">IF(OFFSET('IWP06'!Std7PayrollEmploymentRequirements, 12, 2, 1, 1) = 0, "", OFFSET('IWP06'!Std7PayrollEmploymentRequirements, 12, 2, 1, 1))</f>
        <v/>
      </c>
      <c r="D1326" s="172">
        <f ca="1">IF(OFFSET('IWP06'!Std7PayrollEmploymentRequirements, 12, 4, 1, 1)=DATE(1900,1,0), DATE(1900,1,1), OFFSET('IWP06'!Std7PayrollEmploymentRequirements, 12, 4, 1, 1))</f>
        <v>1</v>
      </c>
      <c r="E1326" s="195" t="str">
        <f ca="1">IF(OFFSET('IWP06'!Std7PayrollEmploymentRequirements, 12, 5, 1, 1) = 0, "", OFFSET('IWP06'!Std7PayrollEmploymentRequirements, 12, 5, 1, 1))</f>
        <v/>
      </c>
      <c r="F1326" s="195" t="str">
        <f ca="1">IF(OFFSET('IWP06'!Std7PayrollEmploymentRequirements, 12, 6, 1, 1) = 0, "", OFFSET('IWP06'!Std7PayrollEmploymentRequirements, 12, 6, 1, 1))</f>
        <v/>
      </c>
      <c r="G1326" s="195" t="str">
        <f ca="1">IF(OFFSET('IWP06'!Std7PayrollEmploymentRequirements, 12, 7, 1, 1) = 0, "", OFFSET('IWP06'!Std7PayrollEmploymentRequirements, 12, 7, 1, 1))</f>
        <v/>
      </c>
      <c r="H1326" s="195" t="str">
        <f ca="1">IF(OFFSET('IWP06'!Std7PayrollEmploymentRequirements, 12, 9, 1, 1) = 0, "", OFFSET('IWP06'!Std7PayrollEmploymentRequirements, 12, 9, 1, 1))</f>
        <v/>
      </c>
      <c r="I1326" s="194" t="str">
        <f ca="1">IF(OFFSET('IWP06'!Std7PayrollEmploymentRequirements, 12, 11, 1, 1) = 0, "", OFFSET('IWP06'!Std7PayrollEmploymentRequirements, 12, 11, 1, 1))</f>
        <v/>
      </c>
    </row>
    <row r="1327" spans="1:9" s="146" customFormat="1">
      <c r="A1327" s="183" t="s">
        <v>504</v>
      </c>
      <c r="B1327" s="195" t="str">
        <f ca="1">IF(OFFSET('IWP06'!Std7PayrollEmploymentRequirements, 13, 0, 1, 1) = 0, "", OFFSET('IWP06'!Std7PayrollEmploymentRequirements, 13, 0, 1, 1))</f>
        <v/>
      </c>
      <c r="C1327" s="195" t="str">
        <f ca="1">IF(OFFSET('IWP06'!Std7PayrollEmploymentRequirements, 13, 2, 1, 1) = 0, "", OFFSET('IWP06'!Std7PayrollEmploymentRequirements, 13, 2, 1, 1))</f>
        <v/>
      </c>
      <c r="D1327" s="172">
        <f ca="1">IF(OFFSET('IWP06'!Std7PayrollEmploymentRequirements, 13, 4, 1, 1)=DATE(1900,1,0), DATE(1900,1,1), OFFSET('IWP06'!Std7PayrollEmploymentRequirements, 13, 4, 1, 1))</f>
        <v>1</v>
      </c>
      <c r="E1327" s="195" t="str">
        <f ca="1">IF(OFFSET('IWP06'!Std7PayrollEmploymentRequirements, 13, 5, 1, 1) = 0, "", OFFSET('IWP06'!Std7PayrollEmploymentRequirements, 13, 5, 1, 1))</f>
        <v/>
      </c>
      <c r="F1327" s="195" t="str">
        <f ca="1">IF(OFFSET('IWP06'!Std7PayrollEmploymentRequirements, 13, 6, 1, 1) = 0, "", OFFSET('IWP06'!Std7PayrollEmploymentRequirements, 13, 6, 1, 1))</f>
        <v/>
      </c>
      <c r="G1327" s="195" t="str">
        <f ca="1">IF(OFFSET('IWP06'!Std7PayrollEmploymentRequirements, 13, 7, 1, 1) = 0, "", OFFSET('IWP06'!Std7PayrollEmploymentRequirements, 13, 7, 1, 1))</f>
        <v/>
      </c>
      <c r="H1327" s="195" t="str">
        <f ca="1">IF(OFFSET('IWP06'!Std7PayrollEmploymentRequirements, 13, 9, 1, 1) = 0, "", OFFSET('IWP06'!Std7PayrollEmploymentRequirements, 13, 9, 1, 1))</f>
        <v/>
      </c>
      <c r="I1327" s="194" t="str">
        <f ca="1">IF(OFFSET('IWP06'!Std7PayrollEmploymentRequirements, 13, 11, 1, 1) = 0, "", OFFSET('IWP06'!Std7PayrollEmploymentRequirements, 13, 11, 1, 1))</f>
        <v/>
      </c>
    </row>
    <row r="1328" spans="1:9" s="146" customFormat="1">
      <c r="A1328" s="183" t="s">
        <v>504</v>
      </c>
      <c r="B1328" s="195" t="str">
        <f ca="1">IF(OFFSET('IWP06'!Std7PayrollEmploymentRequirements, 14, 0, 1, 1) = 0, "", OFFSET('IWP06'!Std7PayrollEmploymentRequirements, 14, 0, 1, 1))</f>
        <v/>
      </c>
      <c r="C1328" s="195" t="str">
        <f ca="1">IF(OFFSET('IWP06'!Std7PayrollEmploymentRequirements, 14, 2, 1, 1) = 0, "", OFFSET('IWP06'!Std7PayrollEmploymentRequirements, 14, 2, 1, 1))</f>
        <v/>
      </c>
      <c r="D1328" s="172">
        <f ca="1">IF(OFFSET('IWP06'!Std7PayrollEmploymentRequirements, 14, 4, 1, 1)=DATE(1900,1,0), DATE(1900,1,1), OFFSET('IWP06'!Std7PayrollEmploymentRequirements, 14, 4, 1, 1))</f>
        <v>1</v>
      </c>
      <c r="E1328" s="195" t="str">
        <f ca="1">IF(OFFSET('IWP06'!Std7PayrollEmploymentRequirements, 14, 5, 1, 1) = 0, "", OFFSET('IWP06'!Std7PayrollEmploymentRequirements, 14, 5, 1, 1))</f>
        <v/>
      </c>
      <c r="F1328" s="195" t="str">
        <f ca="1">IF(OFFSET('IWP06'!Std7PayrollEmploymentRequirements, 14, 6, 1, 1) = 0, "", OFFSET('IWP06'!Std7PayrollEmploymentRequirements, 14, 6, 1, 1))</f>
        <v/>
      </c>
      <c r="G1328" s="195" t="str">
        <f ca="1">IF(OFFSET('IWP06'!Std7PayrollEmploymentRequirements, 14, 7, 1, 1) = 0, "", OFFSET('IWP06'!Std7PayrollEmploymentRequirements, 14, 7, 1, 1))</f>
        <v/>
      </c>
      <c r="H1328" s="195" t="str">
        <f ca="1">IF(OFFSET('IWP06'!Std7PayrollEmploymentRequirements, 14, 9, 1, 1) = 0, "", OFFSET('IWP06'!Std7PayrollEmploymentRequirements, 14, 9, 1, 1))</f>
        <v/>
      </c>
      <c r="I1328" s="194" t="str">
        <f ca="1">IF(OFFSET('IWP06'!Std7PayrollEmploymentRequirements, 14, 11, 1, 1) = 0, "", OFFSET('IWP06'!Std7PayrollEmploymentRequirements, 14, 11, 1, 1))</f>
        <v/>
      </c>
    </row>
    <row r="1329" spans="1:9" s="146" customFormat="1">
      <c r="A1329" s="183" t="s">
        <v>504</v>
      </c>
      <c r="B1329" s="195" t="str">
        <f ca="1">IF(OFFSET('IWP06'!Std7PayrollEmploymentRequirements, 15, 0, 1, 1) = 0, "", OFFSET('IWP06'!Std7PayrollEmploymentRequirements, 15, 0, 1, 1))</f>
        <v/>
      </c>
      <c r="C1329" s="195" t="str">
        <f ca="1">IF(OFFSET('IWP06'!Std7PayrollEmploymentRequirements, 15, 2, 1, 1) = 0, "", OFFSET('IWP06'!Std7PayrollEmploymentRequirements, 15, 2, 1, 1))</f>
        <v/>
      </c>
      <c r="D1329" s="172">
        <f ca="1">IF(OFFSET('IWP06'!Std7PayrollEmploymentRequirements, 15, 4, 1, 1)=DATE(1900,1,0), DATE(1900,1,1), OFFSET('IWP06'!Std7PayrollEmploymentRequirements, 15, 4, 1, 1))</f>
        <v>1</v>
      </c>
      <c r="E1329" s="195" t="str">
        <f ca="1">IF(OFFSET('IWP06'!Std7PayrollEmploymentRequirements, 15, 5, 1, 1) = 0, "", OFFSET('IWP06'!Std7PayrollEmploymentRequirements, 15, 5, 1, 1))</f>
        <v/>
      </c>
      <c r="F1329" s="195" t="str">
        <f ca="1">IF(OFFSET('IWP06'!Std7PayrollEmploymentRequirements, 15, 6, 1, 1) = 0, "", OFFSET('IWP06'!Std7PayrollEmploymentRequirements, 15, 6, 1, 1))</f>
        <v/>
      </c>
      <c r="G1329" s="195" t="str">
        <f ca="1">IF(OFFSET('IWP06'!Std7PayrollEmploymentRequirements, 15, 7, 1, 1) = 0, "", OFFSET('IWP06'!Std7PayrollEmploymentRequirements, 15, 7, 1, 1))</f>
        <v/>
      </c>
      <c r="H1329" s="195" t="str">
        <f ca="1">IF(OFFSET('IWP06'!Std7PayrollEmploymentRequirements, 15, 9, 1, 1) = 0, "", OFFSET('IWP06'!Std7PayrollEmploymentRequirements, 15, 9, 1, 1))</f>
        <v/>
      </c>
      <c r="I1329" s="194" t="str">
        <f ca="1">IF(OFFSET('IWP06'!Std7PayrollEmploymentRequirements, 15, 11, 1, 1) = 0, "", OFFSET('IWP06'!Std7PayrollEmploymentRequirements, 15, 11, 1, 1))</f>
        <v/>
      </c>
    </row>
    <row r="1330" spans="1:9" s="146" customFormat="1">
      <c r="A1330" s="183" t="s">
        <v>505</v>
      </c>
      <c r="B1330" s="195" t="str">
        <f ca="1">IF(OFFSET('IWP07'!Std7PayrollEmploymentRequirements, 0, 0, 1, 1) = 0, "", OFFSET('IWP07'!Std7PayrollEmploymentRequirements, 0, 0, 1, 1))</f>
        <v/>
      </c>
      <c r="C1330" s="195" t="str">
        <f ca="1">IF(OFFSET('IWP07'!Std7PayrollEmploymentRequirements, 0, 2, 1, 1) = 0, "", OFFSET('IWP07'!Std7PayrollEmploymentRequirements, 0, 2, 1, 1))</f>
        <v/>
      </c>
      <c r="D1330" s="172">
        <f ca="1">IF(OFFSET('IWP07'!Std7PayrollEmploymentRequirements, 0, 4, 1, 1)=DATE(1900,1,0), DATE(1900,1,1), OFFSET('IWP07'!Std7PayrollEmploymentRequirements, 0, 4, 1, 1))</f>
        <v>1</v>
      </c>
      <c r="E1330" s="195" t="str">
        <f ca="1">IF(OFFSET('IWP07'!Std7PayrollEmploymentRequirements, 0, 5, 1, 1) = 0, "", OFFSET('IWP07'!Std7PayrollEmploymentRequirements, 0, 5, 1, 1))</f>
        <v/>
      </c>
      <c r="F1330" s="195" t="str">
        <f ca="1">IF(OFFSET('IWP07'!Std7PayrollEmploymentRequirements, 0, 6, 1, 1) = 0, "", OFFSET('IWP07'!Std7PayrollEmploymentRequirements, 0, 6, 1, 1))</f>
        <v/>
      </c>
      <c r="G1330" s="195" t="str">
        <f ca="1">IF(OFFSET('IWP07'!Std7PayrollEmploymentRequirements, 0, 7, 1, 1) = 0, "", OFFSET('IWP07'!Std7PayrollEmploymentRequirements, 0, 7, 1, 1))</f>
        <v/>
      </c>
      <c r="H1330" s="195" t="str">
        <f ca="1">IF(OFFSET('IWP07'!Std7PayrollEmploymentRequirements, 0, 9, 1, 1) = 0, "", OFFSET('IWP07'!Std7PayrollEmploymentRequirements, 0, 9, 1, 1))</f>
        <v/>
      </c>
      <c r="I1330" s="194" t="str">
        <f ca="1">IF(OFFSET('IWP07'!Std7PayrollEmploymentRequirements, 0, 11, 1, 1) = 0, "", OFFSET('IWP07'!Std7PayrollEmploymentRequirements, 0, 11, 1, 1))</f>
        <v/>
      </c>
    </row>
    <row r="1331" spans="1:9" s="146" customFormat="1">
      <c r="A1331" s="183" t="s">
        <v>505</v>
      </c>
      <c r="B1331" s="195" t="str">
        <f ca="1">IF(OFFSET('IWP07'!Std7PayrollEmploymentRequirements, 1, 0, 1, 1) = 0, "", OFFSET('IWP07'!Std7PayrollEmploymentRequirements, 1, 0, 1, 1))</f>
        <v/>
      </c>
      <c r="C1331" s="195" t="str">
        <f ca="1">IF(OFFSET('IWP07'!Std7PayrollEmploymentRequirements, 1, 2, 1, 1) = 0, "", OFFSET('IWP07'!Std7PayrollEmploymentRequirements, 1, 2, 1, 1))</f>
        <v/>
      </c>
      <c r="D1331" s="172">
        <f ca="1">IF(OFFSET('IWP07'!Std7PayrollEmploymentRequirements, 1, 4, 1, 1)=DATE(1900,1,0), DATE(1900,1,1), OFFSET('IWP07'!Std7PayrollEmploymentRequirements, 1, 4, 1, 1))</f>
        <v>1</v>
      </c>
      <c r="E1331" s="195" t="str">
        <f ca="1">IF(OFFSET('IWP07'!Std7PayrollEmploymentRequirements, 1, 5, 1, 1) = 0, "", OFFSET('IWP07'!Std7PayrollEmploymentRequirements, 1, 5, 1, 1))</f>
        <v/>
      </c>
      <c r="F1331" s="195" t="str">
        <f ca="1">IF(OFFSET('IWP07'!Std7PayrollEmploymentRequirements, 1, 6, 1, 1) = 0, "", OFFSET('IWP07'!Std7PayrollEmploymentRequirements, 1, 6, 1, 1))</f>
        <v/>
      </c>
      <c r="G1331" s="195" t="str">
        <f ca="1">IF(OFFSET('IWP07'!Std7PayrollEmploymentRequirements, 1, 7, 1, 1) = 0, "", OFFSET('IWP07'!Std7PayrollEmploymentRequirements, 1, 7, 1, 1))</f>
        <v/>
      </c>
      <c r="H1331" s="195" t="str">
        <f ca="1">IF(OFFSET('IWP07'!Std7PayrollEmploymentRequirements, 1, 9, 1, 1) = 0, "", OFFSET('IWP07'!Std7PayrollEmploymentRequirements, 1, 9, 1, 1))</f>
        <v/>
      </c>
      <c r="I1331" s="194" t="str">
        <f ca="1">IF(OFFSET('IWP07'!Std7PayrollEmploymentRequirements, 1, 11, 1, 1) = 0, "", OFFSET('IWP07'!Std7PayrollEmploymentRequirements, 1, 11, 1, 1))</f>
        <v/>
      </c>
    </row>
    <row r="1332" spans="1:9" s="146" customFormat="1">
      <c r="A1332" s="183" t="s">
        <v>505</v>
      </c>
      <c r="B1332" s="195" t="str">
        <f ca="1">IF(OFFSET('IWP07'!Std7PayrollEmploymentRequirements, 2, 0, 1, 1) = 0, "", OFFSET('IWP07'!Std7PayrollEmploymentRequirements, 2, 0, 1, 1))</f>
        <v/>
      </c>
      <c r="C1332" s="195" t="str">
        <f ca="1">IF(OFFSET('IWP07'!Std7PayrollEmploymentRequirements, 2, 2, 1, 1) = 0, "", OFFSET('IWP07'!Std7PayrollEmploymentRequirements, 2, 2, 1, 1))</f>
        <v/>
      </c>
      <c r="D1332" s="172">
        <f ca="1">IF(OFFSET('IWP07'!Std7PayrollEmploymentRequirements, 2, 4, 1, 1)=DATE(1900,1,0), DATE(1900,1,1), OFFSET('IWP07'!Std7PayrollEmploymentRequirements, 2, 4, 1, 1))</f>
        <v>1</v>
      </c>
      <c r="E1332" s="195" t="str">
        <f ca="1">IF(OFFSET('IWP07'!Std7PayrollEmploymentRequirements, 2, 5, 1, 1) = 0, "", OFFSET('IWP07'!Std7PayrollEmploymentRequirements, 2, 5, 1, 1))</f>
        <v/>
      </c>
      <c r="F1332" s="195" t="str">
        <f ca="1">IF(OFFSET('IWP07'!Std7PayrollEmploymentRequirements, 2, 6, 1, 1) = 0, "", OFFSET('IWP07'!Std7PayrollEmploymentRequirements, 2, 6, 1, 1))</f>
        <v/>
      </c>
      <c r="G1332" s="195" t="str">
        <f ca="1">IF(OFFSET('IWP07'!Std7PayrollEmploymentRequirements, 2, 7, 1, 1) = 0, "", OFFSET('IWP07'!Std7PayrollEmploymentRequirements, 2, 7, 1, 1))</f>
        <v/>
      </c>
      <c r="H1332" s="195" t="str">
        <f ca="1">IF(OFFSET('IWP07'!Std7PayrollEmploymentRequirements, 2, 9, 1, 1) = 0, "", OFFSET('IWP07'!Std7PayrollEmploymentRequirements, 2, 9, 1, 1))</f>
        <v/>
      </c>
      <c r="I1332" s="194" t="str">
        <f ca="1">IF(OFFSET('IWP07'!Std7PayrollEmploymentRequirements, 2, 11, 1, 1) = 0, "", OFFSET('IWP07'!Std7PayrollEmploymentRequirements, 2, 11, 1, 1))</f>
        <v/>
      </c>
    </row>
    <row r="1333" spans="1:9" s="146" customFormat="1">
      <c r="A1333" s="183" t="s">
        <v>505</v>
      </c>
      <c r="B1333" s="195" t="str">
        <f ca="1">IF(OFFSET('IWP07'!Std7PayrollEmploymentRequirements, 3, 0, 1, 1) = 0, "", OFFSET('IWP07'!Std7PayrollEmploymentRequirements, 3, 0, 1, 1))</f>
        <v/>
      </c>
      <c r="C1333" s="195" t="str">
        <f ca="1">IF(OFFSET('IWP07'!Std7PayrollEmploymentRequirements, 3, 2, 1, 1) = 0, "", OFFSET('IWP07'!Std7PayrollEmploymentRequirements, 3, 2, 1, 1))</f>
        <v/>
      </c>
      <c r="D1333" s="172">
        <f ca="1">IF(OFFSET('IWP07'!Std7PayrollEmploymentRequirements, 3, 4, 1, 1)=DATE(1900,1,0), DATE(1900,1,1), OFFSET('IWP07'!Std7PayrollEmploymentRequirements, 3, 4, 1, 1))</f>
        <v>1</v>
      </c>
      <c r="E1333" s="195" t="str">
        <f ca="1">IF(OFFSET('IWP07'!Std7PayrollEmploymentRequirements, 3, 5, 1, 1) = 0, "", OFFSET('IWP07'!Std7PayrollEmploymentRequirements, 3, 5, 1, 1))</f>
        <v/>
      </c>
      <c r="F1333" s="195" t="str">
        <f ca="1">IF(OFFSET('IWP07'!Std7PayrollEmploymentRequirements, 3, 6, 1, 1) = 0, "", OFFSET('IWP07'!Std7PayrollEmploymentRequirements, 3, 6, 1, 1))</f>
        <v/>
      </c>
      <c r="G1333" s="195" t="str">
        <f ca="1">IF(OFFSET('IWP07'!Std7PayrollEmploymentRequirements, 3, 7, 1, 1) = 0, "", OFFSET('IWP07'!Std7PayrollEmploymentRequirements, 3, 7, 1, 1))</f>
        <v/>
      </c>
      <c r="H1333" s="195" t="str">
        <f ca="1">IF(OFFSET('IWP07'!Std7PayrollEmploymentRequirements, 3, 9, 1, 1) = 0, "", OFFSET('IWP07'!Std7PayrollEmploymentRequirements, 3, 9, 1, 1))</f>
        <v/>
      </c>
      <c r="I1333" s="194" t="str">
        <f ca="1">IF(OFFSET('IWP07'!Std7PayrollEmploymentRequirements, 3, 11, 1, 1) = 0, "", OFFSET('IWP07'!Std7PayrollEmploymentRequirements, 3, 11, 1, 1))</f>
        <v/>
      </c>
    </row>
    <row r="1334" spans="1:9" s="146" customFormat="1">
      <c r="A1334" s="183" t="s">
        <v>505</v>
      </c>
      <c r="B1334" s="195" t="str">
        <f ca="1">IF(OFFSET('IWP07'!Std7PayrollEmploymentRequirements, 4, 0, 1, 1) = 0, "", OFFSET('IWP07'!Std7PayrollEmploymentRequirements, 4, 0, 1, 1))</f>
        <v/>
      </c>
      <c r="C1334" s="195" t="str">
        <f ca="1">IF(OFFSET('IWP07'!Std7PayrollEmploymentRequirements, 4, 2, 1, 1) = 0, "", OFFSET('IWP07'!Std7PayrollEmploymentRequirements, 4, 2, 1, 1))</f>
        <v/>
      </c>
      <c r="D1334" s="172">
        <f ca="1">IF(OFFSET('IWP07'!Std7PayrollEmploymentRequirements, 4, 4, 1, 1)=DATE(1900,1,0), DATE(1900,1,1), OFFSET('IWP07'!Std7PayrollEmploymentRequirements, 4, 4, 1, 1))</f>
        <v>1</v>
      </c>
      <c r="E1334" s="195" t="str">
        <f ca="1">IF(OFFSET('IWP07'!Std7PayrollEmploymentRequirements, 4, 5, 1, 1) = 0, "", OFFSET('IWP07'!Std7PayrollEmploymentRequirements, 4, 5, 1, 1))</f>
        <v/>
      </c>
      <c r="F1334" s="195" t="str">
        <f ca="1">IF(OFFSET('IWP07'!Std7PayrollEmploymentRequirements, 4, 6, 1, 1) = 0, "", OFFSET('IWP07'!Std7PayrollEmploymentRequirements, 4, 6, 1, 1))</f>
        <v/>
      </c>
      <c r="G1334" s="195" t="str">
        <f ca="1">IF(OFFSET('IWP07'!Std7PayrollEmploymentRequirements, 4, 7, 1, 1) = 0, "", OFFSET('IWP07'!Std7PayrollEmploymentRequirements, 4, 7, 1, 1))</f>
        <v/>
      </c>
      <c r="H1334" s="195" t="str">
        <f ca="1">IF(OFFSET('IWP07'!Std7PayrollEmploymentRequirements, 4, 9, 1, 1) = 0, "", OFFSET('IWP07'!Std7PayrollEmploymentRequirements, 4, 9, 1, 1))</f>
        <v/>
      </c>
      <c r="I1334" s="194" t="str">
        <f ca="1">IF(OFFSET('IWP07'!Std7PayrollEmploymentRequirements, 4, 11, 1, 1) = 0, "", OFFSET('IWP07'!Std7PayrollEmploymentRequirements, 4, 11, 1, 1))</f>
        <v/>
      </c>
    </row>
    <row r="1335" spans="1:9" s="146" customFormat="1">
      <c r="A1335" s="183" t="s">
        <v>505</v>
      </c>
      <c r="B1335" s="195" t="str">
        <f ca="1">IF(OFFSET('IWP07'!Std7PayrollEmploymentRequirements, 5, 0, 1, 1) = 0, "", OFFSET('IWP07'!Std7PayrollEmploymentRequirements, 5, 0, 1, 1))</f>
        <v/>
      </c>
      <c r="C1335" s="195" t="str">
        <f ca="1">IF(OFFSET('IWP07'!Std7PayrollEmploymentRequirements, 5, 2, 1, 1) = 0, "", OFFSET('IWP07'!Std7PayrollEmploymentRequirements, 5, 2, 1, 1))</f>
        <v/>
      </c>
      <c r="D1335" s="172">
        <f ca="1">IF(OFFSET('IWP07'!Std7PayrollEmploymentRequirements, 5, 4, 1, 1)=DATE(1900,1,0), DATE(1900,1,1), OFFSET('IWP07'!Std7PayrollEmploymentRequirements, 5, 4, 1, 1))</f>
        <v>1</v>
      </c>
      <c r="E1335" s="195" t="str">
        <f ca="1">IF(OFFSET('IWP07'!Std7PayrollEmploymentRequirements, 5, 5, 1, 1) = 0, "", OFFSET('IWP07'!Std7PayrollEmploymentRequirements, 5, 5, 1, 1))</f>
        <v/>
      </c>
      <c r="F1335" s="195" t="str">
        <f ca="1">IF(OFFSET('IWP07'!Std7PayrollEmploymentRequirements, 5, 6, 1, 1) = 0, "", OFFSET('IWP07'!Std7PayrollEmploymentRequirements, 5, 6, 1, 1))</f>
        <v/>
      </c>
      <c r="G1335" s="195" t="str">
        <f ca="1">IF(OFFSET('IWP07'!Std7PayrollEmploymentRequirements, 5, 7, 1, 1) = 0, "", OFFSET('IWP07'!Std7PayrollEmploymentRequirements, 5, 7, 1, 1))</f>
        <v/>
      </c>
      <c r="H1335" s="195" t="str">
        <f ca="1">IF(OFFSET('IWP07'!Std7PayrollEmploymentRequirements, 5, 9, 1, 1) = 0, "", OFFSET('IWP07'!Std7PayrollEmploymentRequirements, 5, 9, 1, 1))</f>
        <v/>
      </c>
      <c r="I1335" s="194" t="str">
        <f ca="1">IF(OFFSET('IWP07'!Std7PayrollEmploymentRequirements, 5, 11, 1, 1) = 0, "", OFFSET('IWP07'!Std7PayrollEmploymentRequirements, 5, 11, 1, 1))</f>
        <v/>
      </c>
    </row>
    <row r="1336" spans="1:9" s="146" customFormat="1">
      <c r="A1336" s="183" t="s">
        <v>505</v>
      </c>
      <c r="B1336" s="195" t="str">
        <f ca="1">IF(OFFSET('IWP07'!Std7PayrollEmploymentRequirements, 6, 0, 1, 1) = 0, "", OFFSET('IWP07'!Std7PayrollEmploymentRequirements, 6, 0, 1, 1))</f>
        <v/>
      </c>
      <c r="C1336" s="195" t="str">
        <f ca="1">IF(OFFSET('IWP07'!Std7PayrollEmploymentRequirements, 6, 2, 1, 1) = 0, "", OFFSET('IWP07'!Std7PayrollEmploymentRequirements, 6, 2, 1, 1))</f>
        <v/>
      </c>
      <c r="D1336" s="172">
        <f ca="1">IF(OFFSET('IWP07'!Std7PayrollEmploymentRequirements, 6, 4, 1, 1)=DATE(1900,1,0), DATE(1900,1,1), OFFSET('IWP07'!Std7PayrollEmploymentRequirements, 6, 4, 1, 1))</f>
        <v>1</v>
      </c>
      <c r="E1336" s="195" t="str">
        <f ca="1">IF(OFFSET('IWP07'!Std7PayrollEmploymentRequirements, 6, 5, 1, 1) = 0, "", OFFSET('IWP07'!Std7PayrollEmploymentRequirements, 6, 5, 1, 1))</f>
        <v/>
      </c>
      <c r="F1336" s="195" t="str">
        <f ca="1">IF(OFFSET('IWP07'!Std7PayrollEmploymentRequirements, 6, 6, 1, 1) = 0, "", OFFSET('IWP07'!Std7PayrollEmploymentRequirements, 6, 6, 1, 1))</f>
        <v/>
      </c>
      <c r="G1336" s="195" t="str">
        <f ca="1">IF(OFFSET('IWP07'!Std7PayrollEmploymentRequirements, 6, 7, 1, 1) = 0, "", OFFSET('IWP07'!Std7PayrollEmploymentRequirements, 6, 7, 1, 1))</f>
        <v/>
      </c>
      <c r="H1336" s="195" t="str">
        <f ca="1">IF(OFFSET('IWP07'!Std7PayrollEmploymentRequirements, 6, 9, 1, 1) = 0, "", OFFSET('IWP07'!Std7PayrollEmploymentRequirements, 6, 9, 1, 1))</f>
        <v/>
      </c>
      <c r="I1336" s="194" t="str">
        <f ca="1">IF(OFFSET('IWP07'!Std7PayrollEmploymentRequirements, 6, 11, 1, 1) = 0, "", OFFSET('IWP07'!Std7PayrollEmploymentRequirements, 6, 11, 1, 1))</f>
        <v/>
      </c>
    </row>
    <row r="1337" spans="1:9" s="146" customFormat="1">
      <c r="A1337" s="183" t="s">
        <v>505</v>
      </c>
      <c r="B1337" s="195" t="str">
        <f ca="1">IF(OFFSET('IWP07'!Std7PayrollEmploymentRequirements, 7, 0, 1, 1) = 0, "", OFFSET('IWP07'!Std7PayrollEmploymentRequirements, 7, 0, 1, 1))</f>
        <v/>
      </c>
      <c r="C1337" s="195" t="str">
        <f ca="1">IF(OFFSET('IWP07'!Std7PayrollEmploymentRequirements, 7, 2, 1, 1) = 0, "", OFFSET('IWP07'!Std7PayrollEmploymentRequirements, 7, 2, 1, 1))</f>
        <v/>
      </c>
      <c r="D1337" s="172">
        <f ca="1">IF(OFFSET('IWP07'!Std7PayrollEmploymentRequirements, 7, 4, 1, 1)=DATE(1900,1,0), DATE(1900,1,1), OFFSET('IWP07'!Std7PayrollEmploymentRequirements, 7, 4, 1, 1))</f>
        <v>1</v>
      </c>
      <c r="E1337" s="195" t="str">
        <f ca="1">IF(OFFSET('IWP07'!Std7PayrollEmploymentRequirements, 7, 5, 1, 1) = 0, "", OFFSET('IWP07'!Std7PayrollEmploymentRequirements, 7, 5, 1, 1))</f>
        <v/>
      </c>
      <c r="F1337" s="195" t="str">
        <f ca="1">IF(OFFSET('IWP07'!Std7PayrollEmploymentRequirements, 7, 6, 1, 1) = 0, "", OFFSET('IWP07'!Std7PayrollEmploymentRequirements, 7, 6, 1, 1))</f>
        <v/>
      </c>
      <c r="G1337" s="195" t="str">
        <f ca="1">IF(OFFSET('IWP07'!Std7PayrollEmploymentRequirements, 7, 7, 1, 1) = 0, "", OFFSET('IWP07'!Std7PayrollEmploymentRequirements, 7, 7, 1, 1))</f>
        <v/>
      </c>
      <c r="H1337" s="195" t="str">
        <f ca="1">IF(OFFSET('IWP07'!Std7PayrollEmploymentRequirements, 7, 9, 1, 1) = 0, "", OFFSET('IWP07'!Std7PayrollEmploymentRequirements, 7, 9, 1, 1))</f>
        <v/>
      </c>
      <c r="I1337" s="194" t="str">
        <f ca="1">IF(OFFSET('IWP07'!Std7PayrollEmploymentRequirements, 7, 11, 1, 1) = 0, "", OFFSET('IWP07'!Std7PayrollEmploymentRequirements, 7, 11, 1, 1))</f>
        <v/>
      </c>
    </row>
    <row r="1338" spans="1:9" s="146" customFormat="1">
      <c r="A1338" s="183" t="s">
        <v>505</v>
      </c>
      <c r="B1338" s="195" t="str">
        <f ca="1">IF(OFFSET('IWP07'!Std7PayrollEmploymentRequirements, 8, 0, 1, 1) = 0, "", OFFSET('IWP07'!Std7PayrollEmploymentRequirements, 8, 0, 1, 1))</f>
        <v/>
      </c>
      <c r="C1338" s="195" t="str">
        <f ca="1">IF(OFFSET('IWP07'!Std7PayrollEmploymentRequirements, 8, 2, 1, 1) = 0, "", OFFSET('IWP07'!Std7PayrollEmploymentRequirements, 8, 2, 1, 1))</f>
        <v/>
      </c>
      <c r="D1338" s="172">
        <f ca="1">IF(OFFSET('IWP07'!Std7PayrollEmploymentRequirements, 8, 4, 1, 1)=DATE(1900,1,0), DATE(1900,1,1), OFFSET('IWP07'!Std7PayrollEmploymentRequirements, 8, 4, 1, 1))</f>
        <v>1</v>
      </c>
      <c r="E1338" s="195" t="str">
        <f ca="1">IF(OFFSET('IWP07'!Std7PayrollEmploymentRequirements, 8, 5, 1, 1) = 0, "", OFFSET('IWP07'!Std7PayrollEmploymentRequirements, 8, 5, 1, 1))</f>
        <v/>
      </c>
      <c r="F1338" s="195" t="str">
        <f ca="1">IF(OFFSET('IWP07'!Std7PayrollEmploymentRequirements, 8, 6, 1, 1) = 0, "", OFFSET('IWP07'!Std7PayrollEmploymentRequirements, 8, 6, 1, 1))</f>
        <v/>
      </c>
      <c r="G1338" s="195" t="str">
        <f ca="1">IF(OFFSET('IWP07'!Std7PayrollEmploymentRequirements, 8, 7, 1, 1) = 0, "", OFFSET('IWP07'!Std7PayrollEmploymentRequirements, 8, 7, 1, 1))</f>
        <v/>
      </c>
      <c r="H1338" s="195" t="str">
        <f ca="1">IF(OFFSET('IWP07'!Std7PayrollEmploymentRequirements, 8, 9, 1, 1) = 0, "", OFFSET('IWP07'!Std7PayrollEmploymentRequirements, 8, 9, 1, 1))</f>
        <v/>
      </c>
      <c r="I1338" s="194" t="str">
        <f ca="1">IF(OFFSET('IWP07'!Std7PayrollEmploymentRequirements, 8, 11, 1, 1) = 0, "", OFFSET('IWP07'!Std7PayrollEmploymentRequirements, 8, 11, 1, 1))</f>
        <v/>
      </c>
    </row>
    <row r="1339" spans="1:9" s="146" customFormat="1">
      <c r="A1339" s="183" t="s">
        <v>505</v>
      </c>
      <c r="B1339" s="195" t="str">
        <f ca="1">IF(OFFSET('IWP07'!Std7PayrollEmploymentRequirements, 9, 0, 1, 1) = 0, "", OFFSET('IWP07'!Std7PayrollEmploymentRequirements, 9, 0, 1, 1))</f>
        <v/>
      </c>
      <c r="C1339" s="195" t="str">
        <f ca="1">IF(OFFSET('IWP07'!Std7PayrollEmploymentRequirements, 9, 2, 1, 1) = 0, "", OFFSET('IWP07'!Std7PayrollEmploymentRequirements, 9, 2, 1, 1))</f>
        <v/>
      </c>
      <c r="D1339" s="172">
        <f ca="1">IF(OFFSET('IWP07'!Std7PayrollEmploymentRequirements, 9, 4, 1, 1)=DATE(1900,1,0), DATE(1900,1,1), OFFSET('IWP07'!Std7PayrollEmploymentRequirements, 9, 4, 1, 1))</f>
        <v>1</v>
      </c>
      <c r="E1339" s="195" t="str">
        <f ca="1">IF(OFFSET('IWP07'!Std7PayrollEmploymentRequirements, 9, 5, 1, 1) = 0, "", OFFSET('IWP07'!Std7PayrollEmploymentRequirements, 9, 5, 1, 1))</f>
        <v/>
      </c>
      <c r="F1339" s="195" t="str">
        <f ca="1">IF(OFFSET('IWP07'!Std7PayrollEmploymentRequirements, 9, 6, 1, 1) = 0, "", OFFSET('IWP07'!Std7PayrollEmploymentRequirements, 9, 6, 1, 1))</f>
        <v/>
      </c>
      <c r="G1339" s="195" t="str">
        <f ca="1">IF(OFFSET('IWP07'!Std7PayrollEmploymentRequirements, 9, 7, 1, 1) = 0, "", OFFSET('IWP07'!Std7PayrollEmploymentRequirements, 9, 7, 1, 1))</f>
        <v/>
      </c>
      <c r="H1339" s="195" t="str">
        <f ca="1">IF(OFFSET('IWP07'!Std7PayrollEmploymentRequirements, 9, 9, 1, 1) = 0, "", OFFSET('IWP07'!Std7PayrollEmploymentRequirements, 9, 9, 1, 1))</f>
        <v/>
      </c>
      <c r="I1339" s="194" t="str">
        <f ca="1">IF(OFFSET('IWP07'!Std7PayrollEmploymentRequirements, 9, 11, 1, 1) = 0, "", OFFSET('IWP07'!Std7PayrollEmploymentRequirements, 9, 11, 1, 1))</f>
        <v/>
      </c>
    </row>
    <row r="1340" spans="1:9" s="146" customFormat="1">
      <c r="A1340" s="183" t="s">
        <v>505</v>
      </c>
      <c r="B1340" s="195" t="str">
        <f ca="1">IF(OFFSET('IWP07'!Std7PayrollEmploymentRequirements, 10, 0, 1, 1) = 0, "", OFFSET('IWP07'!Std7PayrollEmploymentRequirements, 10, 0, 1, 1))</f>
        <v/>
      </c>
      <c r="C1340" s="195" t="str">
        <f ca="1">IF(OFFSET('IWP07'!Std7PayrollEmploymentRequirements, 10, 2, 1, 1) = 0, "", OFFSET('IWP07'!Std7PayrollEmploymentRequirements, 10, 2, 1, 1))</f>
        <v/>
      </c>
      <c r="D1340" s="172">
        <f ca="1">IF(OFFSET('IWP07'!Std7PayrollEmploymentRequirements, 10, 4, 1, 1)=DATE(1900,1,0), DATE(1900,1,1), OFFSET('IWP07'!Std7PayrollEmploymentRequirements, 10, 4, 1, 1))</f>
        <v>1</v>
      </c>
      <c r="E1340" s="195" t="str">
        <f ca="1">IF(OFFSET('IWP07'!Std7PayrollEmploymentRequirements, 10, 5, 1, 1) = 0, "", OFFSET('IWP07'!Std7PayrollEmploymentRequirements, 10, 5, 1, 1))</f>
        <v/>
      </c>
      <c r="F1340" s="195" t="str">
        <f ca="1">IF(OFFSET('IWP07'!Std7PayrollEmploymentRequirements, 10, 6, 1, 1) = 0, "", OFFSET('IWP07'!Std7PayrollEmploymentRequirements, 10, 6, 1, 1))</f>
        <v/>
      </c>
      <c r="G1340" s="195" t="str">
        <f ca="1">IF(OFFSET('IWP07'!Std7PayrollEmploymentRequirements, 10, 7, 1, 1) = 0, "", OFFSET('IWP07'!Std7PayrollEmploymentRequirements, 10, 7, 1, 1))</f>
        <v/>
      </c>
      <c r="H1340" s="195" t="str">
        <f ca="1">IF(OFFSET('IWP07'!Std7PayrollEmploymentRequirements, 10, 9, 1, 1) = 0, "", OFFSET('IWP07'!Std7PayrollEmploymentRequirements, 10, 9, 1, 1))</f>
        <v/>
      </c>
      <c r="I1340" s="194" t="str">
        <f ca="1">IF(OFFSET('IWP07'!Std7PayrollEmploymentRequirements, 10, 11, 1, 1) = 0, "", OFFSET('IWP07'!Std7PayrollEmploymentRequirements, 10, 11, 1, 1))</f>
        <v/>
      </c>
    </row>
    <row r="1341" spans="1:9" s="146" customFormat="1">
      <c r="A1341" s="183" t="s">
        <v>505</v>
      </c>
      <c r="B1341" s="195" t="str">
        <f ca="1">IF(OFFSET('IWP07'!Std7PayrollEmploymentRequirements, 11, 0, 1, 1) = 0, "", OFFSET('IWP07'!Std7PayrollEmploymentRequirements, 11, 0, 1, 1))</f>
        <v/>
      </c>
      <c r="C1341" s="195" t="str">
        <f ca="1">IF(OFFSET('IWP07'!Std7PayrollEmploymentRequirements, 11, 2, 1, 1) = 0, "", OFFSET('IWP07'!Std7PayrollEmploymentRequirements, 11, 2, 1, 1))</f>
        <v/>
      </c>
      <c r="D1341" s="172">
        <f ca="1">IF(OFFSET('IWP07'!Std7PayrollEmploymentRequirements, 11, 4, 1, 1)=DATE(1900,1,0), DATE(1900,1,1), OFFSET('IWP07'!Std7PayrollEmploymentRequirements, 11, 4, 1, 1))</f>
        <v>1</v>
      </c>
      <c r="E1341" s="195" t="str">
        <f ca="1">IF(OFFSET('IWP07'!Std7PayrollEmploymentRequirements, 11, 5, 1, 1) = 0, "", OFFSET('IWP07'!Std7PayrollEmploymentRequirements, 11, 5, 1, 1))</f>
        <v/>
      </c>
      <c r="F1341" s="195" t="str">
        <f ca="1">IF(OFFSET('IWP07'!Std7PayrollEmploymentRequirements, 11, 6, 1, 1) = 0, "", OFFSET('IWP07'!Std7PayrollEmploymentRequirements, 11, 6, 1, 1))</f>
        <v/>
      </c>
      <c r="G1341" s="195" t="str">
        <f ca="1">IF(OFFSET('IWP07'!Std7PayrollEmploymentRequirements, 11, 7, 1, 1) = 0, "", OFFSET('IWP07'!Std7PayrollEmploymentRequirements, 11, 7, 1, 1))</f>
        <v/>
      </c>
      <c r="H1341" s="195" t="str">
        <f ca="1">IF(OFFSET('IWP07'!Std7PayrollEmploymentRequirements, 11, 9, 1, 1) = 0, "", OFFSET('IWP07'!Std7PayrollEmploymentRequirements, 11, 9, 1, 1))</f>
        <v/>
      </c>
      <c r="I1341" s="194" t="str">
        <f ca="1">IF(OFFSET('IWP07'!Std7PayrollEmploymentRequirements, 11, 11, 1, 1) = 0, "", OFFSET('IWP07'!Std7PayrollEmploymentRequirements, 11, 11, 1, 1))</f>
        <v/>
      </c>
    </row>
    <row r="1342" spans="1:9" s="146" customFormat="1">
      <c r="A1342" s="183" t="s">
        <v>505</v>
      </c>
      <c r="B1342" s="195" t="str">
        <f ca="1">IF(OFFSET('IWP07'!Std7PayrollEmploymentRequirements, 12, 0, 1, 1) = 0, "", OFFSET('IWP07'!Std7PayrollEmploymentRequirements, 12, 0, 1, 1))</f>
        <v/>
      </c>
      <c r="C1342" s="195" t="str">
        <f ca="1">IF(OFFSET('IWP07'!Std7PayrollEmploymentRequirements, 12, 2, 1, 1) = 0, "", OFFSET('IWP07'!Std7PayrollEmploymentRequirements, 12, 2, 1, 1))</f>
        <v/>
      </c>
      <c r="D1342" s="172">
        <f ca="1">IF(OFFSET('IWP07'!Std7PayrollEmploymentRequirements, 12, 4, 1, 1)=DATE(1900,1,0), DATE(1900,1,1), OFFSET('IWP07'!Std7PayrollEmploymentRequirements, 12, 4, 1, 1))</f>
        <v>1</v>
      </c>
      <c r="E1342" s="195" t="str">
        <f ca="1">IF(OFFSET('IWP07'!Std7PayrollEmploymentRequirements, 12, 5, 1, 1) = 0, "", OFFSET('IWP07'!Std7PayrollEmploymentRequirements, 12, 5, 1, 1))</f>
        <v/>
      </c>
      <c r="F1342" s="195" t="str">
        <f ca="1">IF(OFFSET('IWP07'!Std7PayrollEmploymentRequirements, 12, 6, 1, 1) = 0, "", OFFSET('IWP07'!Std7PayrollEmploymentRequirements, 12, 6, 1, 1))</f>
        <v/>
      </c>
      <c r="G1342" s="195" t="str">
        <f ca="1">IF(OFFSET('IWP07'!Std7PayrollEmploymentRequirements, 12, 7, 1, 1) = 0, "", OFFSET('IWP07'!Std7PayrollEmploymentRequirements, 12, 7, 1, 1))</f>
        <v/>
      </c>
      <c r="H1342" s="195" t="str">
        <f ca="1">IF(OFFSET('IWP07'!Std7PayrollEmploymentRequirements, 12, 9, 1, 1) = 0, "", OFFSET('IWP07'!Std7PayrollEmploymentRequirements, 12, 9, 1, 1))</f>
        <v/>
      </c>
      <c r="I1342" s="194" t="str">
        <f ca="1">IF(OFFSET('IWP07'!Std7PayrollEmploymentRequirements, 12, 11, 1, 1) = 0, "", OFFSET('IWP07'!Std7PayrollEmploymentRequirements, 12, 11, 1, 1))</f>
        <v/>
      </c>
    </row>
    <row r="1343" spans="1:9" s="146" customFormat="1">
      <c r="A1343" s="183" t="s">
        <v>505</v>
      </c>
      <c r="B1343" s="195" t="str">
        <f ca="1">IF(OFFSET('IWP07'!Std7PayrollEmploymentRequirements, 13, 0, 1, 1) = 0, "", OFFSET('IWP07'!Std7PayrollEmploymentRequirements, 13, 0, 1, 1))</f>
        <v/>
      </c>
      <c r="C1343" s="195" t="str">
        <f ca="1">IF(OFFSET('IWP07'!Std7PayrollEmploymentRequirements, 13, 2, 1, 1) = 0, "", OFFSET('IWP07'!Std7PayrollEmploymentRequirements, 13, 2, 1, 1))</f>
        <v/>
      </c>
      <c r="D1343" s="172">
        <f ca="1">IF(OFFSET('IWP07'!Std7PayrollEmploymentRequirements, 13, 4, 1, 1)=DATE(1900,1,0), DATE(1900,1,1), OFFSET('IWP07'!Std7PayrollEmploymentRequirements, 13, 4, 1, 1))</f>
        <v>1</v>
      </c>
      <c r="E1343" s="195" t="str">
        <f ca="1">IF(OFFSET('IWP07'!Std7PayrollEmploymentRequirements, 13, 5, 1, 1) = 0, "", OFFSET('IWP07'!Std7PayrollEmploymentRequirements, 13, 5, 1, 1))</f>
        <v/>
      </c>
      <c r="F1343" s="195" t="str">
        <f ca="1">IF(OFFSET('IWP07'!Std7PayrollEmploymentRequirements, 13, 6, 1, 1) = 0, "", OFFSET('IWP07'!Std7PayrollEmploymentRequirements, 13, 6, 1, 1))</f>
        <v/>
      </c>
      <c r="G1343" s="195" t="str">
        <f ca="1">IF(OFFSET('IWP07'!Std7PayrollEmploymentRequirements, 13, 7, 1, 1) = 0, "", OFFSET('IWP07'!Std7PayrollEmploymentRequirements, 13, 7, 1, 1))</f>
        <v/>
      </c>
      <c r="H1343" s="195" t="str">
        <f ca="1">IF(OFFSET('IWP07'!Std7PayrollEmploymentRequirements, 13, 9, 1, 1) = 0, "", OFFSET('IWP07'!Std7PayrollEmploymentRequirements, 13, 9, 1, 1))</f>
        <v/>
      </c>
      <c r="I1343" s="194" t="str">
        <f ca="1">IF(OFFSET('IWP07'!Std7PayrollEmploymentRequirements, 13, 11, 1, 1) = 0, "", OFFSET('IWP07'!Std7PayrollEmploymentRequirements, 13, 11, 1, 1))</f>
        <v/>
      </c>
    </row>
    <row r="1344" spans="1:9" s="146" customFormat="1">
      <c r="A1344" s="183" t="s">
        <v>505</v>
      </c>
      <c r="B1344" s="195" t="str">
        <f ca="1">IF(OFFSET('IWP07'!Std7PayrollEmploymentRequirements, 14, 0, 1, 1) = 0, "", OFFSET('IWP07'!Std7PayrollEmploymentRequirements, 14, 0, 1, 1))</f>
        <v/>
      </c>
      <c r="C1344" s="195" t="str">
        <f ca="1">IF(OFFSET('IWP07'!Std7PayrollEmploymentRequirements, 14, 2, 1, 1) = 0, "", OFFSET('IWP07'!Std7PayrollEmploymentRequirements, 14, 2, 1, 1))</f>
        <v/>
      </c>
      <c r="D1344" s="172">
        <f ca="1">IF(OFFSET('IWP07'!Std7PayrollEmploymentRequirements, 14, 4, 1, 1)=DATE(1900,1,0), DATE(1900,1,1), OFFSET('IWP07'!Std7PayrollEmploymentRequirements, 14, 4, 1, 1))</f>
        <v>1</v>
      </c>
      <c r="E1344" s="195" t="str">
        <f ca="1">IF(OFFSET('IWP07'!Std7PayrollEmploymentRequirements, 14, 5, 1, 1) = 0, "", OFFSET('IWP07'!Std7PayrollEmploymentRequirements, 14, 5, 1, 1))</f>
        <v/>
      </c>
      <c r="F1344" s="195" t="str">
        <f ca="1">IF(OFFSET('IWP07'!Std7PayrollEmploymentRequirements, 14, 6, 1, 1) = 0, "", OFFSET('IWP07'!Std7PayrollEmploymentRequirements, 14, 6, 1, 1))</f>
        <v/>
      </c>
      <c r="G1344" s="195" t="str">
        <f ca="1">IF(OFFSET('IWP07'!Std7PayrollEmploymentRequirements, 14, 7, 1, 1) = 0, "", OFFSET('IWP07'!Std7PayrollEmploymentRequirements, 14, 7, 1, 1))</f>
        <v/>
      </c>
      <c r="H1344" s="195" t="str">
        <f ca="1">IF(OFFSET('IWP07'!Std7PayrollEmploymentRequirements, 14, 9, 1, 1) = 0, "", OFFSET('IWP07'!Std7PayrollEmploymentRequirements, 14, 9, 1, 1))</f>
        <v/>
      </c>
      <c r="I1344" s="194" t="str">
        <f ca="1">IF(OFFSET('IWP07'!Std7PayrollEmploymentRequirements, 14, 11, 1, 1) = 0, "", OFFSET('IWP07'!Std7PayrollEmploymentRequirements, 14, 11, 1, 1))</f>
        <v/>
      </c>
    </row>
    <row r="1345" spans="1:9" s="146" customFormat="1">
      <c r="A1345" s="183" t="s">
        <v>505</v>
      </c>
      <c r="B1345" s="195" t="str">
        <f ca="1">IF(OFFSET('IWP07'!Std7PayrollEmploymentRequirements, 15, 0, 1, 1) = 0, "", OFFSET('IWP07'!Std7PayrollEmploymentRequirements, 15, 0, 1, 1))</f>
        <v/>
      </c>
      <c r="C1345" s="195" t="str">
        <f ca="1">IF(OFFSET('IWP07'!Std7PayrollEmploymentRequirements, 15, 2, 1, 1) = 0, "", OFFSET('IWP07'!Std7PayrollEmploymentRequirements, 15, 2, 1, 1))</f>
        <v/>
      </c>
      <c r="D1345" s="172">
        <f ca="1">IF(OFFSET('IWP07'!Std7PayrollEmploymentRequirements, 15, 4, 1, 1)=DATE(1900,1,0), DATE(1900,1,1), OFFSET('IWP07'!Std7PayrollEmploymentRequirements, 15, 4, 1, 1))</f>
        <v>1</v>
      </c>
      <c r="E1345" s="195" t="str">
        <f ca="1">IF(OFFSET('IWP07'!Std7PayrollEmploymentRequirements, 15, 5, 1, 1) = 0, "", OFFSET('IWP07'!Std7PayrollEmploymentRequirements, 15, 5, 1, 1))</f>
        <v/>
      </c>
      <c r="F1345" s="195" t="str">
        <f ca="1">IF(OFFSET('IWP07'!Std7PayrollEmploymentRequirements, 15, 6, 1, 1) = 0, "", OFFSET('IWP07'!Std7PayrollEmploymentRequirements, 15, 6, 1, 1))</f>
        <v/>
      </c>
      <c r="G1345" s="195" t="str">
        <f ca="1">IF(OFFSET('IWP07'!Std7PayrollEmploymentRequirements, 15, 7, 1, 1) = 0, "", OFFSET('IWP07'!Std7PayrollEmploymentRequirements, 15, 7, 1, 1))</f>
        <v/>
      </c>
      <c r="H1345" s="195" t="str">
        <f ca="1">IF(OFFSET('IWP07'!Std7PayrollEmploymentRequirements, 15, 9, 1, 1) = 0, "", OFFSET('IWP07'!Std7PayrollEmploymentRequirements, 15, 9, 1, 1))</f>
        <v/>
      </c>
      <c r="I1345" s="194" t="str">
        <f ca="1">IF(OFFSET('IWP07'!Std7PayrollEmploymentRequirements, 15, 11, 1, 1) = 0, "", OFFSET('IWP07'!Std7PayrollEmploymentRequirements, 15, 11, 1, 1))</f>
        <v/>
      </c>
    </row>
    <row r="1346" spans="1:9" s="146" customFormat="1">
      <c r="A1346" s="183" t="s">
        <v>506</v>
      </c>
      <c r="B1346" s="195" t="str">
        <f ca="1">IF(OFFSET('IWP08'!Std7PayrollEmploymentRequirements, 0, 0, 1, 1) = 0, "", OFFSET('IWP08'!Std7PayrollEmploymentRequirements, 0, 0, 1, 1))</f>
        <v/>
      </c>
      <c r="C1346" s="195" t="str">
        <f ca="1">IF(OFFSET('IWP08'!Std7PayrollEmploymentRequirements, 0, 2, 1, 1) = 0, "", OFFSET('IWP08'!Std7PayrollEmploymentRequirements, 0, 2, 1, 1))</f>
        <v/>
      </c>
      <c r="D1346" s="172">
        <f ca="1">IF(OFFSET('IWP08'!Std7PayrollEmploymentRequirements, 0, 4, 1, 1)=DATE(1900,1,0), DATE(1900,1,1), OFFSET('IWP08'!Std7PayrollEmploymentRequirements, 0, 4, 1, 1))</f>
        <v>1</v>
      </c>
      <c r="E1346" s="195" t="str">
        <f ca="1">IF(OFFSET('IWP08'!Std7PayrollEmploymentRequirements, 0, 5, 1, 1) = 0, "", OFFSET('IWP08'!Std7PayrollEmploymentRequirements, 0, 5, 1, 1))</f>
        <v/>
      </c>
      <c r="F1346" s="195" t="str">
        <f ca="1">IF(OFFSET('IWP08'!Std7PayrollEmploymentRequirements, 0, 6, 1, 1) = 0, "", OFFSET('IWP08'!Std7PayrollEmploymentRequirements, 0, 6, 1, 1))</f>
        <v/>
      </c>
      <c r="G1346" s="195" t="str">
        <f ca="1">IF(OFFSET('IWP08'!Std7PayrollEmploymentRequirements, 0, 7, 1, 1) = 0, "", OFFSET('IWP08'!Std7PayrollEmploymentRequirements, 0, 7, 1, 1))</f>
        <v/>
      </c>
      <c r="H1346" s="195" t="str">
        <f ca="1">IF(OFFSET('IWP08'!Std7PayrollEmploymentRequirements, 0, 9, 1, 1) = 0, "", OFFSET('IWP08'!Std7PayrollEmploymentRequirements, 0, 9, 1, 1))</f>
        <v/>
      </c>
      <c r="I1346" s="194" t="str">
        <f ca="1">IF(OFFSET('IWP08'!Std7PayrollEmploymentRequirements, 0, 11, 1, 1) = 0, "", OFFSET('IWP08'!Std7PayrollEmploymentRequirements, 0, 11, 1, 1))</f>
        <v/>
      </c>
    </row>
    <row r="1347" spans="1:9" s="146" customFormat="1">
      <c r="A1347" s="183" t="s">
        <v>506</v>
      </c>
      <c r="B1347" s="195" t="str">
        <f ca="1">IF(OFFSET('IWP08'!Std7PayrollEmploymentRequirements, 1, 0, 1, 1) = 0, "", OFFSET('IWP08'!Std7PayrollEmploymentRequirements, 1, 0, 1, 1))</f>
        <v/>
      </c>
      <c r="C1347" s="195" t="str">
        <f ca="1">IF(OFFSET('IWP08'!Std7PayrollEmploymentRequirements, 1, 2, 1, 1) = 0, "", OFFSET('IWP08'!Std7PayrollEmploymentRequirements, 1, 2, 1, 1))</f>
        <v/>
      </c>
      <c r="D1347" s="172">
        <f ca="1">IF(OFFSET('IWP08'!Std7PayrollEmploymentRequirements, 1, 4, 1, 1)=DATE(1900,1,0), DATE(1900,1,1), OFFSET('IWP08'!Std7PayrollEmploymentRequirements, 1, 4, 1, 1))</f>
        <v>1</v>
      </c>
      <c r="E1347" s="195" t="str">
        <f ca="1">IF(OFFSET('IWP08'!Std7PayrollEmploymentRequirements, 1, 5, 1, 1) = 0, "", OFFSET('IWP08'!Std7PayrollEmploymentRequirements, 1, 5, 1, 1))</f>
        <v/>
      </c>
      <c r="F1347" s="195" t="str">
        <f ca="1">IF(OFFSET('IWP08'!Std7PayrollEmploymentRequirements, 1, 6, 1, 1) = 0, "", OFFSET('IWP08'!Std7PayrollEmploymentRequirements, 1, 6, 1, 1))</f>
        <v/>
      </c>
      <c r="G1347" s="195" t="str">
        <f ca="1">IF(OFFSET('IWP08'!Std7PayrollEmploymentRequirements, 1, 7, 1, 1) = 0, "", OFFSET('IWP08'!Std7PayrollEmploymentRequirements, 1, 7, 1, 1))</f>
        <v/>
      </c>
      <c r="H1347" s="195" t="str">
        <f ca="1">IF(OFFSET('IWP08'!Std7PayrollEmploymentRequirements, 1, 9, 1, 1) = 0, "", OFFSET('IWP08'!Std7PayrollEmploymentRequirements, 1, 9, 1, 1))</f>
        <v/>
      </c>
      <c r="I1347" s="194" t="str">
        <f ca="1">IF(OFFSET('IWP08'!Std7PayrollEmploymentRequirements, 1, 11, 1, 1) = 0, "", OFFSET('IWP08'!Std7PayrollEmploymentRequirements, 1, 11, 1, 1))</f>
        <v/>
      </c>
    </row>
    <row r="1348" spans="1:9" s="146" customFormat="1">
      <c r="A1348" s="183" t="s">
        <v>506</v>
      </c>
      <c r="B1348" s="195" t="str">
        <f ca="1">IF(OFFSET('IWP08'!Std7PayrollEmploymentRequirements, 2, 0, 1, 1) = 0, "", OFFSET('IWP08'!Std7PayrollEmploymentRequirements, 2, 0, 1, 1))</f>
        <v/>
      </c>
      <c r="C1348" s="195" t="str">
        <f ca="1">IF(OFFSET('IWP08'!Std7PayrollEmploymentRequirements, 2, 2, 1, 1) = 0, "", OFFSET('IWP08'!Std7PayrollEmploymentRequirements, 2, 2, 1, 1))</f>
        <v/>
      </c>
      <c r="D1348" s="172">
        <f ca="1">IF(OFFSET('IWP08'!Std7PayrollEmploymentRequirements, 2, 4, 1, 1)=DATE(1900,1,0), DATE(1900,1,1), OFFSET('IWP08'!Std7PayrollEmploymentRequirements, 2, 4, 1, 1))</f>
        <v>1</v>
      </c>
      <c r="E1348" s="195" t="str">
        <f ca="1">IF(OFFSET('IWP08'!Std7PayrollEmploymentRequirements, 2, 5, 1, 1) = 0, "", OFFSET('IWP08'!Std7PayrollEmploymentRequirements, 2, 5, 1, 1))</f>
        <v/>
      </c>
      <c r="F1348" s="195" t="str">
        <f ca="1">IF(OFFSET('IWP08'!Std7PayrollEmploymentRequirements, 2, 6, 1, 1) = 0, "", OFFSET('IWP08'!Std7PayrollEmploymentRequirements, 2, 6, 1, 1))</f>
        <v/>
      </c>
      <c r="G1348" s="195" t="str">
        <f ca="1">IF(OFFSET('IWP08'!Std7PayrollEmploymentRequirements, 2, 7, 1, 1) = 0, "", OFFSET('IWP08'!Std7PayrollEmploymentRequirements, 2, 7, 1, 1))</f>
        <v/>
      </c>
      <c r="H1348" s="195" t="str">
        <f ca="1">IF(OFFSET('IWP08'!Std7PayrollEmploymentRequirements, 2, 9, 1, 1) = 0, "", OFFSET('IWP08'!Std7PayrollEmploymentRequirements, 2, 9, 1, 1))</f>
        <v/>
      </c>
      <c r="I1348" s="194" t="str">
        <f ca="1">IF(OFFSET('IWP08'!Std7PayrollEmploymentRequirements, 2, 11, 1, 1) = 0, "", OFFSET('IWP08'!Std7PayrollEmploymentRequirements, 2, 11, 1, 1))</f>
        <v/>
      </c>
    </row>
    <row r="1349" spans="1:9" s="146" customFormat="1">
      <c r="A1349" s="183" t="s">
        <v>506</v>
      </c>
      <c r="B1349" s="195" t="str">
        <f ca="1">IF(OFFSET('IWP08'!Std7PayrollEmploymentRequirements, 3, 0, 1, 1) = 0, "", OFFSET('IWP08'!Std7PayrollEmploymentRequirements, 3, 0, 1, 1))</f>
        <v/>
      </c>
      <c r="C1349" s="195" t="str">
        <f ca="1">IF(OFFSET('IWP08'!Std7PayrollEmploymentRequirements, 3, 2, 1, 1) = 0, "", OFFSET('IWP08'!Std7PayrollEmploymentRequirements, 3, 2, 1, 1))</f>
        <v/>
      </c>
      <c r="D1349" s="172">
        <f ca="1">IF(OFFSET('IWP08'!Std7PayrollEmploymentRequirements, 3, 4, 1, 1)=DATE(1900,1,0), DATE(1900,1,1), OFFSET('IWP08'!Std7PayrollEmploymentRequirements, 3, 4, 1, 1))</f>
        <v>1</v>
      </c>
      <c r="E1349" s="195" t="str">
        <f ca="1">IF(OFFSET('IWP08'!Std7PayrollEmploymentRequirements, 3, 5, 1, 1) = 0, "", OFFSET('IWP08'!Std7PayrollEmploymentRequirements, 3, 5, 1, 1))</f>
        <v/>
      </c>
      <c r="F1349" s="195" t="str">
        <f ca="1">IF(OFFSET('IWP08'!Std7PayrollEmploymentRequirements, 3, 6, 1, 1) = 0, "", OFFSET('IWP08'!Std7PayrollEmploymentRequirements, 3, 6, 1, 1))</f>
        <v/>
      </c>
      <c r="G1349" s="195" t="str">
        <f ca="1">IF(OFFSET('IWP08'!Std7PayrollEmploymentRequirements, 3, 7, 1, 1) = 0, "", OFFSET('IWP08'!Std7PayrollEmploymentRequirements, 3, 7, 1, 1))</f>
        <v/>
      </c>
      <c r="H1349" s="195" t="str">
        <f ca="1">IF(OFFSET('IWP08'!Std7PayrollEmploymentRequirements, 3, 9, 1, 1) = 0, "", OFFSET('IWP08'!Std7PayrollEmploymentRequirements, 3, 9, 1, 1))</f>
        <v/>
      </c>
      <c r="I1349" s="194" t="str">
        <f ca="1">IF(OFFSET('IWP08'!Std7PayrollEmploymentRequirements, 3, 11, 1, 1) = 0, "", OFFSET('IWP08'!Std7PayrollEmploymentRequirements, 3, 11, 1, 1))</f>
        <v/>
      </c>
    </row>
    <row r="1350" spans="1:9" s="146" customFormat="1">
      <c r="A1350" s="183" t="s">
        <v>506</v>
      </c>
      <c r="B1350" s="195" t="str">
        <f ca="1">IF(OFFSET('IWP08'!Std7PayrollEmploymentRequirements, 4, 0, 1, 1) = 0, "", OFFSET('IWP08'!Std7PayrollEmploymentRequirements, 4, 0, 1, 1))</f>
        <v/>
      </c>
      <c r="C1350" s="195" t="str">
        <f ca="1">IF(OFFSET('IWP08'!Std7PayrollEmploymentRequirements, 4, 2, 1, 1) = 0, "", OFFSET('IWP08'!Std7PayrollEmploymentRequirements, 4, 2, 1, 1))</f>
        <v/>
      </c>
      <c r="D1350" s="172">
        <f ca="1">IF(OFFSET('IWP08'!Std7PayrollEmploymentRequirements, 4, 4, 1, 1)=DATE(1900,1,0), DATE(1900,1,1), OFFSET('IWP08'!Std7PayrollEmploymentRequirements, 4, 4, 1, 1))</f>
        <v>1</v>
      </c>
      <c r="E1350" s="195" t="str">
        <f ca="1">IF(OFFSET('IWP08'!Std7PayrollEmploymentRequirements, 4, 5, 1, 1) = 0, "", OFFSET('IWP08'!Std7PayrollEmploymentRequirements, 4, 5, 1, 1))</f>
        <v/>
      </c>
      <c r="F1350" s="195" t="str">
        <f ca="1">IF(OFFSET('IWP08'!Std7PayrollEmploymentRequirements, 4, 6, 1, 1) = 0, "", OFFSET('IWP08'!Std7PayrollEmploymentRequirements, 4, 6, 1, 1))</f>
        <v/>
      </c>
      <c r="G1350" s="195" t="str">
        <f ca="1">IF(OFFSET('IWP08'!Std7PayrollEmploymentRequirements, 4, 7, 1, 1) = 0, "", OFFSET('IWP08'!Std7PayrollEmploymentRequirements, 4, 7, 1, 1))</f>
        <v/>
      </c>
      <c r="H1350" s="195" t="str">
        <f ca="1">IF(OFFSET('IWP08'!Std7PayrollEmploymentRequirements, 4, 9, 1, 1) = 0, "", OFFSET('IWP08'!Std7PayrollEmploymentRequirements, 4, 9, 1, 1))</f>
        <v/>
      </c>
      <c r="I1350" s="194" t="str">
        <f ca="1">IF(OFFSET('IWP08'!Std7PayrollEmploymentRequirements, 4, 11, 1, 1) = 0, "", OFFSET('IWP08'!Std7PayrollEmploymentRequirements, 4, 11, 1, 1))</f>
        <v/>
      </c>
    </row>
    <row r="1351" spans="1:9" s="146" customFormat="1">
      <c r="A1351" s="183" t="s">
        <v>506</v>
      </c>
      <c r="B1351" s="195" t="str">
        <f ca="1">IF(OFFSET('IWP08'!Std7PayrollEmploymentRequirements, 5, 0, 1, 1) = 0, "", OFFSET('IWP08'!Std7PayrollEmploymentRequirements, 5, 0, 1, 1))</f>
        <v/>
      </c>
      <c r="C1351" s="195" t="str">
        <f ca="1">IF(OFFSET('IWP08'!Std7PayrollEmploymentRequirements, 5, 2, 1, 1) = 0, "", OFFSET('IWP08'!Std7PayrollEmploymentRequirements, 5, 2, 1, 1))</f>
        <v/>
      </c>
      <c r="D1351" s="172">
        <f ca="1">IF(OFFSET('IWP08'!Std7PayrollEmploymentRequirements, 5, 4, 1, 1)=DATE(1900,1,0), DATE(1900,1,1), OFFSET('IWP08'!Std7PayrollEmploymentRequirements, 5, 4, 1, 1))</f>
        <v>1</v>
      </c>
      <c r="E1351" s="195" t="str">
        <f ca="1">IF(OFFSET('IWP08'!Std7PayrollEmploymentRequirements, 5, 5, 1, 1) = 0, "", OFFSET('IWP08'!Std7PayrollEmploymentRequirements, 5, 5, 1, 1))</f>
        <v/>
      </c>
      <c r="F1351" s="195" t="str">
        <f ca="1">IF(OFFSET('IWP08'!Std7PayrollEmploymentRequirements, 5, 6, 1, 1) = 0, "", OFFSET('IWP08'!Std7PayrollEmploymentRequirements, 5, 6, 1, 1))</f>
        <v/>
      </c>
      <c r="G1351" s="195" t="str">
        <f ca="1">IF(OFFSET('IWP08'!Std7PayrollEmploymentRequirements, 5, 7, 1, 1) = 0, "", OFFSET('IWP08'!Std7PayrollEmploymentRequirements, 5, 7, 1, 1))</f>
        <v/>
      </c>
      <c r="H1351" s="195" t="str">
        <f ca="1">IF(OFFSET('IWP08'!Std7PayrollEmploymentRequirements, 5, 9, 1, 1) = 0, "", OFFSET('IWP08'!Std7PayrollEmploymentRequirements, 5, 9, 1, 1))</f>
        <v/>
      </c>
      <c r="I1351" s="194" t="str">
        <f ca="1">IF(OFFSET('IWP08'!Std7PayrollEmploymentRequirements, 5, 11, 1, 1) = 0, "", OFFSET('IWP08'!Std7PayrollEmploymentRequirements, 5, 11, 1, 1))</f>
        <v/>
      </c>
    </row>
    <row r="1352" spans="1:9" s="146" customFormat="1">
      <c r="A1352" s="183" t="s">
        <v>506</v>
      </c>
      <c r="B1352" s="195" t="str">
        <f ca="1">IF(OFFSET('IWP08'!Std7PayrollEmploymentRequirements, 6, 0, 1, 1) = 0, "", OFFSET('IWP08'!Std7PayrollEmploymentRequirements, 6, 0, 1, 1))</f>
        <v/>
      </c>
      <c r="C1352" s="195" t="str">
        <f ca="1">IF(OFFSET('IWP08'!Std7PayrollEmploymentRequirements, 6, 2, 1, 1) = 0, "", OFFSET('IWP08'!Std7PayrollEmploymentRequirements, 6, 2, 1, 1))</f>
        <v/>
      </c>
      <c r="D1352" s="172">
        <f ca="1">IF(OFFSET('IWP08'!Std7PayrollEmploymentRequirements, 6, 4, 1, 1)=DATE(1900,1,0), DATE(1900,1,1), OFFSET('IWP08'!Std7PayrollEmploymentRequirements, 6, 4, 1, 1))</f>
        <v>1</v>
      </c>
      <c r="E1352" s="195" t="str">
        <f ca="1">IF(OFFSET('IWP08'!Std7PayrollEmploymentRequirements, 6, 5, 1, 1) = 0, "", OFFSET('IWP08'!Std7PayrollEmploymentRequirements, 6, 5, 1, 1))</f>
        <v/>
      </c>
      <c r="F1352" s="195" t="str">
        <f ca="1">IF(OFFSET('IWP08'!Std7PayrollEmploymentRequirements, 6, 6, 1, 1) = 0, "", OFFSET('IWP08'!Std7PayrollEmploymentRequirements, 6, 6, 1, 1))</f>
        <v/>
      </c>
      <c r="G1352" s="195" t="str">
        <f ca="1">IF(OFFSET('IWP08'!Std7PayrollEmploymentRequirements, 6, 7, 1, 1) = 0, "", OFFSET('IWP08'!Std7PayrollEmploymentRequirements, 6, 7, 1, 1))</f>
        <v/>
      </c>
      <c r="H1352" s="195" t="str">
        <f ca="1">IF(OFFSET('IWP08'!Std7PayrollEmploymentRequirements, 6, 9, 1, 1) = 0, "", OFFSET('IWP08'!Std7PayrollEmploymentRequirements, 6, 9, 1, 1))</f>
        <v/>
      </c>
      <c r="I1352" s="194" t="str">
        <f ca="1">IF(OFFSET('IWP08'!Std7PayrollEmploymentRequirements, 6, 11, 1, 1) = 0, "", OFFSET('IWP08'!Std7PayrollEmploymentRequirements, 6, 11, 1, 1))</f>
        <v/>
      </c>
    </row>
    <row r="1353" spans="1:9" s="146" customFormat="1">
      <c r="A1353" s="183" t="s">
        <v>506</v>
      </c>
      <c r="B1353" s="195" t="str">
        <f ca="1">IF(OFFSET('IWP08'!Std7PayrollEmploymentRequirements, 7, 0, 1, 1) = 0, "", OFFSET('IWP08'!Std7PayrollEmploymentRequirements, 7, 0, 1, 1))</f>
        <v/>
      </c>
      <c r="C1353" s="195" t="str">
        <f ca="1">IF(OFFSET('IWP08'!Std7PayrollEmploymentRequirements, 7, 2, 1, 1) = 0, "", OFFSET('IWP08'!Std7PayrollEmploymentRequirements, 7, 2, 1, 1))</f>
        <v/>
      </c>
      <c r="D1353" s="172">
        <f ca="1">IF(OFFSET('IWP08'!Std7PayrollEmploymentRequirements, 7, 4, 1, 1)=DATE(1900,1,0), DATE(1900,1,1), OFFSET('IWP08'!Std7PayrollEmploymentRequirements, 7, 4, 1, 1))</f>
        <v>1</v>
      </c>
      <c r="E1353" s="195" t="str">
        <f ca="1">IF(OFFSET('IWP08'!Std7PayrollEmploymentRequirements, 7, 5, 1, 1) = 0, "", OFFSET('IWP08'!Std7PayrollEmploymentRequirements, 7, 5, 1, 1))</f>
        <v/>
      </c>
      <c r="F1353" s="195" t="str">
        <f ca="1">IF(OFFSET('IWP08'!Std7PayrollEmploymentRequirements, 7, 6, 1, 1) = 0, "", OFFSET('IWP08'!Std7PayrollEmploymentRequirements, 7, 6, 1, 1))</f>
        <v/>
      </c>
      <c r="G1353" s="195" t="str">
        <f ca="1">IF(OFFSET('IWP08'!Std7PayrollEmploymentRequirements, 7, 7, 1, 1) = 0, "", OFFSET('IWP08'!Std7PayrollEmploymentRequirements, 7, 7, 1, 1))</f>
        <v/>
      </c>
      <c r="H1353" s="195" t="str">
        <f ca="1">IF(OFFSET('IWP08'!Std7PayrollEmploymentRequirements, 7, 9, 1, 1) = 0, "", OFFSET('IWP08'!Std7PayrollEmploymentRequirements, 7, 9, 1, 1))</f>
        <v/>
      </c>
      <c r="I1353" s="194" t="str">
        <f ca="1">IF(OFFSET('IWP08'!Std7PayrollEmploymentRequirements, 7, 11, 1, 1) = 0, "", OFFSET('IWP08'!Std7PayrollEmploymentRequirements, 7, 11, 1, 1))</f>
        <v/>
      </c>
    </row>
    <row r="1354" spans="1:9" s="146" customFormat="1">
      <c r="A1354" s="183" t="s">
        <v>506</v>
      </c>
      <c r="B1354" s="195" t="str">
        <f ca="1">IF(OFFSET('IWP08'!Std7PayrollEmploymentRequirements, 8, 0, 1, 1) = 0, "", OFFSET('IWP08'!Std7PayrollEmploymentRequirements, 8, 0, 1, 1))</f>
        <v/>
      </c>
      <c r="C1354" s="195" t="str">
        <f ca="1">IF(OFFSET('IWP08'!Std7PayrollEmploymentRequirements, 8, 2, 1, 1) = 0, "", OFFSET('IWP08'!Std7PayrollEmploymentRequirements, 8, 2, 1, 1))</f>
        <v/>
      </c>
      <c r="D1354" s="172">
        <f ca="1">IF(OFFSET('IWP08'!Std7PayrollEmploymentRequirements, 8, 4, 1, 1)=DATE(1900,1,0), DATE(1900,1,1), OFFSET('IWP08'!Std7PayrollEmploymentRequirements, 8, 4, 1, 1))</f>
        <v>1</v>
      </c>
      <c r="E1354" s="195" t="str">
        <f ca="1">IF(OFFSET('IWP08'!Std7PayrollEmploymentRequirements, 8, 5, 1, 1) = 0, "", OFFSET('IWP08'!Std7PayrollEmploymentRequirements, 8, 5, 1, 1))</f>
        <v/>
      </c>
      <c r="F1354" s="195" t="str">
        <f ca="1">IF(OFFSET('IWP08'!Std7PayrollEmploymentRequirements, 8, 6, 1, 1) = 0, "", OFFSET('IWP08'!Std7PayrollEmploymentRequirements, 8, 6, 1, 1))</f>
        <v/>
      </c>
      <c r="G1354" s="195" t="str">
        <f ca="1">IF(OFFSET('IWP08'!Std7PayrollEmploymentRequirements, 8, 7, 1, 1) = 0, "", OFFSET('IWP08'!Std7PayrollEmploymentRequirements, 8, 7, 1, 1))</f>
        <v/>
      </c>
      <c r="H1354" s="195" t="str">
        <f ca="1">IF(OFFSET('IWP08'!Std7PayrollEmploymentRequirements, 8, 9, 1, 1) = 0, "", OFFSET('IWP08'!Std7PayrollEmploymentRequirements, 8, 9, 1, 1))</f>
        <v/>
      </c>
      <c r="I1354" s="194" t="str">
        <f ca="1">IF(OFFSET('IWP08'!Std7PayrollEmploymentRequirements, 8, 11, 1, 1) = 0, "", OFFSET('IWP08'!Std7PayrollEmploymentRequirements, 8, 11, 1, 1))</f>
        <v/>
      </c>
    </row>
    <row r="1355" spans="1:9" s="146" customFormat="1">
      <c r="A1355" s="183" t="s">
        <v>506</v>
      </c>
      <c r="B1355" s="195" t="str">
        <f ca="1">IF(OFFSET('IWP08'!Std7PayrollEmploymentRequirements, 9, 0, 1, 1) = 0, "", OFFSET('IWP08'!Std7PayrollEmploymentRequirements, 9, 0, 1, 1))</f>
        <v/>
      </c>
      <c r="C1355" s="195" t="str">
        <f ca="1">IF(OFFSET('IWP08'!Std7PayrollEmploymentRequirements, 9, 2, 1, 1) = 0, "", OFFSET('IWP08'!Std7PayrollEmploymentRequirements, 9, 2, 1, 1))</f>
        <v/>
      </c>
      <c r="D1355" s="172">
        <f ca="1">IF(OFFSET('IWP08'!Std7PayrollEmploymentRequirements, 9, 4, 1, 1)=DATE(1900,1,0), DATE(1900,1,1), OFFSET('IWP08'!Std7PayrollEmploymentRequirements, 9, 4, 1, 1))</f>
        <v>1</v>
      </c>
      <c r="E1355" s="195" t="str">
        <f ca="1">IF(OFFSET('IWP08'!Std7PayrollEmploymentRequirements, 9, 5, 1, 1) = 0, "", OFFSET('IWP08'!Std7PayrollEmploymentRequirements, 9, 5, 1, 1))</f>
        <v/>
      </c>
      <c r="F1355" s="195" t="str">
        <f ca="1">IF(OFFSET('IWP08'!Std7PayrollEmploymentRequirements, 9, 6, 1, 1) = 0, "", OFFSET('IWP08'!Std7PayrollEmploymentRequirements, 9, 6, 1, 1))</f>
        <v/>
      </c>
      <c r="G1355" s="195" t="str">
        <f ca="1">IF(OFFSET('IWP08'!Std7PayrollEmploymentRequirements, 9, 7, 1, 1) = 0, "", OFFSET('IWP08'!Std7PayrollEmploymentRequirements, 9, 7, 1, 1))</f>
        <v/>
      </c>
      <c r="H1355" s="195" t="str">
        <f ca="1">IF(OFFSET('IWP08'!Std7PayrollEmploymentRequirements, 9, 9, 1, 1) = 0, "", OFFSET('IWP08'!Std7PayrollEmploymentRequirements, 9, 9, 1, 1))</f>
        <v/>
      </c>
      <c r="I1355" s="194" t="str">
        <f ca="1">IF(OFFSET('IWP08'!Std7PayrollEmploymentRequirements, 9, 11, 1, 1) = 0, "", OFFSET('IWP08'!Std7PayrollEmploymentRequirements, 9, 11, 1, 1))</f>
        <v/>
      </c>
    </row>
    <row r="1356" spans="1:9" s="146" customFormat="1">
      <c r="A1356" s="183" t="s">
        <v>506</v>
      </c>
      <c r="B1356" s="195" t="str">
        <f ca="1">IF(OFFSET('IWP08'!Std7PayrollEmploymentRequirements, 10, 0, 1, 1) = 0, "", OFFSET('IWP08'!Std7PayrollEmploymentRequirements, 10, 0, 1, 1))</f>
        <v/>
      </c>
      <c r="C1356" s="195" t="str">
        <f ca="1">IF(OFFSET('IWP08'!Std7PayrollEmploymentRequirements, 10, 2, 1, 1) = 0, "", OFFSET('IWP08'!Std7PayrollEmploymentRequirements, 10, 2, 1, 1))</f>
        <v/>
      </c>
      <c r="D1356" s="172">
        <f ca="1">IF(OFFSET('IWP08'!Std7PayrollEmploymentRequirements, 10, 4, 1, 1)=DATE(1900,1,0), DATE(1900,1,1), OFFSET('IWP08'!Std7PayrollEmploymentRequirements, 10, 4, 1, 1))</f>
        <v>1</v>
      </c>
      <c r="E1356" s="195" t="str">
        <f ca="1">IF(OFFSET('IWP08'!Std7PayrollEmploymentRequirements, 10, 5, 1, 1) = 0, "", OFFSET('IWP08'!Std7PayrollEmploymentRequirements, 10, 5, 1, 1))</f>
        <v/>
      </c>
      <c r="F1356" s="195" t="str">
        <f ca="1">IF(OFFSET('IWP08'!Std7PayrollEmploymentRequirements, 10, 6, 1, 1) = 0, "", OFFSET('IWP08'!Std7PayrollEmploymentRequirements, 10, 6, 1, 1))</f>
        <v/>
      </c>
      <c r="G1356" s="195" t="str">
        <f ca="1">IF(OFFSET('IWP08'!Std7PayrollEmploymentRequirements, 10, 7, 1, 1) = 0, "", OFFSET('IWP08'!Std7PayrollEmploymentRequirements, 10, 7, 1, 1))</f>
        <v/>
      </c>
      <c r="H1356" s="195" t="str">
        <f ca="1">IF(OFFSET('IWP08'!Std7PayrollEmploymentRequirements, 10, 9, 1, 1) = 0, "", OFFSET('IWP08'!Std7PayrollEmploymentRequirements, 10, 9, 1, 1))</f>
        <v/>
      </c>
      <c r="I1356" s="194" t="str">
        <f ca="1">IF(OFFSET('IWP08'!Std7PayrollEmploymentRequirements, 10, 11, 1, 1) = 0, "", OFFSET('IWP08'!Std7PayrollEmploymentRequirements, 10, 11, 1, 1))</f>
        <v/>
      </c>
    </row>
    <row r="1357" spans="1:9" s="146" customFormat="1">
      <c r="A1357" s="183" t="s">
        <v>506</v>
      </c>
      <c r="B1357" s="195" t="str">
        <f ca="1">IF(OFFSET('IWP08'!Std7PayrollEmploymentRequirements, 11, 0, 1, 1) = 0, "", OFFSET('IWP08'!Std7PayrollEmploymentRequirements, 11, 0, 1, 1))</f>
        <v/>
      </c>
      <c r="C1357" s="195" t="str">
        <f ca="1">IF(OFFSET('IWP08'!Std7PayrollEmploymentRequirements, 11, 2, 1, 1) = 0, "", OFFSET('IWP08'!Std7PayrollEmploymentRequirements, 11, 2, 1, 1))</f>
        <v/>
      </c>
      <c r="D1357" s="172">
        <f ca="1">IF(OFFSET('IWP08'!Std7PayrollEmploymentRequirements, 11, 4, 1, 1)=DATE(1900,1,0), DATE(1900,1,1), OFFSET('IWP08'!Std7PayrollEmploymentRequirements, 11, 4, 1, 1))</f>
        <v>1</v>
      </c>
      <c r="E1357" s="195" t="str">
        <f ca="1">IF(OFFSET('IWP08'!Std7PayrollEmploymentRequirements, 11, 5, 1, 1) = 0, "", OFFSET('IWP08'!Std7PayrollEmploymentRequirements, 11, 5, 1, 1))</f>
        <v/>
      </c>
      <c r="F1357" s="195" t="str">
        <f ca="1">IF(OFFSET('IWP08'!Std7PayrollEmploymentRequirements, 11, 6, 1, 1) = 0, "", OFFSET('IWP08'!Std7PayrollEmploymentRequirements, 11, 6, 1, 1))</f>
        <v/>
      </c>
      <c r="G1357" s="195" t="str">
        <f ca="1">IF(OFFSET('IWP08'!Std7PayrollEmploymentRequirements, 11, 7, 1, 1) = 0, "", OFFSET('IWP08'!Std7PayrollEmploymentRequirements, 11, 7, 1, 1))</f>
        <v/>
      </c>
      <c r="H1357" s="195" t="str">
        <f ca="1">IF(OFFSET('IWP08'!Std7PayrollEmploymentRequirements, 11, 9, 1, 1) = 0, "", OFFSET('IWP08'!Std7PayrollEmploymentRequirements, 11, 9, 1, 1))</f>
        <v/>
      </c>
      <c r="I1357" s="194" t="str">
        <f ca="1">IF(OFFSET('IWP08'!Std7PayrollEmploymentRequirements, 11, 11, 1, 1) = 0, "", OFFSET('IWP08'!Std7PayrollEmploymentRequirements, 11, 11, 1, 1))</f>
        <v/>
      </c>
    </row>
    <row r="1358" spans="1:9" s="146" customFormat="1">
      <c r="A1358" s="183" t="s">
        <v>506</v>
      </c>
      <c r="B1358" s="195" t="str">
        <f ca="1">IF(OFFSET('IWP08'!Std7PayrollEmploymentRequirements, 12, 0, 1, 1) = 0, "", OFFSET('IWP08'!Std7PayrollEmploymentRequirements, 12, 0, 1, 1))</f>
        <v/>
      </c>
      <c r="C1358" s="195" t="str">
        <f ca="1">IF(OFFSET('IWP08'!Std7PayrollEmploymentRequirements, 12, 2, 1, 1) = 0, "", OFFSET('IWP08'!Std7PayrollEmploymentRequirements, 12, 2, 1, 1))</f>
        <v/>
      </c>
      <c r="D1358" s="172">
        <f ca="1">IF(OFFSET('IWP08'!Std7PayrollEmploymentRequirements, 12, 4, 1, 1)=DATE(1900,1,0), DATE(1900,1,1), OFFSET('IWP08'!Std7PayrollEmploymentRequirements, 12, 4, 1, 1))</f>
        <v>1</v>
      </c>
      <c r="E1358" s="195" t="str">
        <f ca="1">IF(OFFSET('IWP08'!Std7PayrollEmploymentRequirements, 12, 5, 1, 1) = 0, "", OFFSET('IWP08'!Std7PayrollEmploymentRequirements, 12, 5, 1, 1))</f>
        <v/>
      </c>
      <c r="F1358" s="195" t="str">
        <f ca="1">IF(OFFSET('IWP08'!Std7PayrollEmploymentRequirements, 12, 6, 1, 1) = 0, "", OFFSET('IWP08'!Std7PayrollEmploymentRequirements, 12, 6, 1, 1))</f>
        <v/>
      </c>
      <c r="G1358" s="195" t="str">
        <f ca="1">IF(OFFSET('IWP08'!Std7PayrollEmploymentRequirements, 12, 7, 1, 1) = 0, "", OFFSET('IWP08'!Std7PayrollEmploymentRequirements, 12, 7, 1, 1))</f>
        <v/>
      </c>
      <c r="H1358" s="195" t="str">
        <f ca="1">IF(OFFSET('IWP08'!Std7PayrollEmploymentRequirements, 12, 9, 1, 1) = 0, "", OFFSET('IWP08'!Std7PayrollEmploymentRequirements, 12, 9, 1, 1))</f>
        <v/>
      </c>
      <c r="I1358" s="194" t="str">
        <f ca="1">IF(OFFSET('IWP08'!Std7PayrollEmploymentRequirements, 12, 11, 1, 1) = 0, "", OFFSET('IWP08'!Std7PayrollEmploymentRequirements, 12, 11, 1, 1))</f>
        <v/>
      </c>
    </row>
    <row r="1359" spans="1:9" s="146" customFormat="1">
      <c r="A1359" s="183" t="s">
        <v>506</v>
      </c>
      <c r="B1359" s="195" t="str">
        <f ca="1">IF(OFFSET('IWP08'!Std7PayrollEmploymentRequirements, 13, 0, 1, 1) = 0, "", OFFSET('IWP08'!Std7PayrollEmploymentRequirements, 13, 0, 1, 1))</f>
        <v/>
      </c>
      <c r="C1359" s="195" t="str">
        <f ca="1">IF(OFFSET('IWP08'!Std7PayrollEmploymentRequirements, 13, 2, 1, 1) = 0, "", OFFSET('IWP08'!Std7PayrollEmploymentRequirements, 13, 2, 1, 1))</f>
        <v/>
      </c>
      <c r="D1359" s="172">
        <f ca="1">IF(OFFSET('IWP08'!Std7PayrollEmploymentRequirements, 13, 4, 1, 1)=DATE(1900,1,0), DATE(1900,1,1), OFFSET('IWP08'!Std7PayrollEmploymentRequirements, 13, 4, 1, 1))</f>
        <v>1</v>
      </c>
      <c r="E1359" s="195" t="str">
        <f ca="1">IF(OFFSET('IWP08'!Std7PayrollEmploymentRequirements, 13, 5, 1, 1) = 0, "", OFFSET('IWP08'!Std7PayrollEmploymentRequirements, 13, 5, 1, 1))</f>
        <v/>
      </c>
      <c r="F1359" s="195" t="str">
        <f ca="1">IF(OFFSET('IWP08'!Std7PayrollEmploymentRequirements, 13, 6, 1, 1) = 0, "", OFFSET('IWP08'!Std7PayrollEmploymentRequirements, 13, 6, 1, 1))</f>
        <v/>
      </c>
      <c r="G1359" s="195" t="str">
        <f ca="1">IF(OFFSET('IWP08'!Std7PayrollEmploymentRequirements, 13, 7, 1, 1) = 0, "", OFFSET('IWP08'!Std7PayrollEmploymentRequirements, 13, 7, 1, 1))</f>
        <v/>
      </c>
      <c r="H1359" s="195" t="str">
        <f ca="1">IF(OFFSET('IWP08'!Std7PayrollEmploymentRequirements, 13, 9, 1, 1) = 0, "", OFFSET('IWP08'!Std7PayrollEmploymentRequirements, 13, 9, 1, 1))</f>
        <v/>
      </c>
      <c r="I1359" s="194" t="str">
        <f ca="1">IF(OFFSET('IWP08'!Std7PayrollEmploymentRequirements, 13, 11, 1, 1) = 0, "", OFFSET('IWP08'!Std7PayrollEmploymentRequirements, 13, 11, 1, 1))</f>
        <v/>
      </c>
    </row>
    <row r="1360" spans="1:9" s="146" customFormat="1">
      <c r="A1360" s="183" t="s">
        <v>506</v>
      </c>
      <c r="B1360" s="195" t="str">
        <f ca="1">IF(OFFSET('IWP08'!Std7PayrollEmploymentRequirements, 14, 0, 1, 1) = 0, "", OFFSET('IWP08'!Std7PayrollEmploymentRequirements, 14, 0, 1, 1))</f>
        <v/>
      </c>
      <c r="C1360" s="195" t="str">
        <f ca="1">IF(OFFSET('IWP08'!Std7PayrollEmploymentRequirements, 14, 2, 1, 1) = 0, "", OFFSET('IWP08'!Std7PayrollEmploymentRequirements, 14, 2, 1, 1))</f>
        <v/>
      </c>
      <c r="D1360" s="172">
        <f ca="1">IF(OFFSET('IWP08'!Std7PayrollEmploymentRequirements, 14, 4, 1, 1)=DATE(1900,1,0), DATE(1900,1,1), OFFSET('IWP08'!Std7PayrollEmploymentRequirements, 14, 4, 1, 1))</f>
        <v>1</v>
      </c>
      <c r="E1360" s="195" t="str">
        <f ca="1">IF(OFFSET('IWP08'!Std7PayrollEmploymentRequirements, 14, 5, 1, 1) = 0, "", OFFSET('IWP08'!Std7PayrollEmploymentRequirements, 14, 5, 1, 1))</f>
        <v/>
      </c>
      <c r="F1360" s="195" t="str">
        <f ca="1">IF(OFFSET('IWP08'!Std7PayrollEmploymentRequirements, 14, 6, 1, 1) = 0, "", OFFSET('IWP08'!Std7PayrollEmploymentRequirements, 14, 6, 1, 1))</f>
        <v/>
      </c>
      <c r="G1360" s="195" t="str">
        <f ca="1">IF(OFFSET('IWP08'!Std7PayrollEmploymentRequirements, 14, 7, 1, 1) = 0, "", OFFSET('IWP08'!Std7PayrollEmploymentRequirements, 14, 7, 1, 1))</f>
        <v/>
      </c>
      <c r="H1360" s="195" t="str">
        <f ca="1">IF(OFFSET('IWP08'!Std7PayrollEmploymentRequirements, 14, 9, 1, 1) = 0, "", OFFSET('IWP08'!Std7PayrollEmploymentRequirements, 14, 9, 1, 1))</f>
        <v/>
      </c>
      <c r="I1360" s="194" t="str">
        <f ca="1">IF(OFFSET('IWP08'!Std7PayrollEmploymentRequirements, 14, 11, 1, 1) = 0, "", OFFSET('IWP08'!Std7PayrollEmploymentRequirements, 14, 11, 1, 1))</f>
        <v/>
      </c>
    </row>
    <row r="1361" spans="1:9" s="146" customFormat="1">
      <c r="A1361" s="183" t="s">
        <v>506</v>
      </c>
      <c r="B1361" s="195" t="str">
        <f ca="1">IF(OFFSET('IWP08'!Std7PayrollEmploymentRequirements, 15, 0, 1, 1) = 0, "", OFFSET('IWP08'!Std7PayrollEmploymentRequirements, 15, 0, 1, 1))</f>
        <v/>
      </c>
      <c r="C1361" s="195" t="str">
        <f ca="1">IF(OFFSET('IWP08'!Std7PayrollEmploymentRequirements, 15, 2, 1, 1) = 0, "", OFFSET('IWP08'!Std7PayrollEmploymentRequirements, 15, 2, 1, 1))</f>
        <v/>
      </c>
      <c r="D1361" s="172">
        <f ca="1">IF(OFFSET('IWP08'!Std7PayrollEmploymentRequirements, 15, 4, 1, 1)=DATE(1900,1,0), DATE(1900,1,1), OFFSET('IWP08'!Std7PayrollEmploymentRequirements, 15, 4, 1, 1))</f>
        <v>1</v>
      </c>
      <c r="E1361" s="195" t="str">
        <f ca="1">IF(OFFSET('IWP08'!Std7PayrollEmploymentRequirements, 15, 5, 1, 1) = 0, "", OFFSET('IWP08'!Std7PayrollEmploymentRequirements, 15, 5, 1, 1))</f>
        <v/>
      </c>
      <c r="F1361" s="195" t="str">
        <f ca="1">IF(OFFSET('IWP08'!Std7PayrollEmploymentRequirements, 15, 6, 1, 1) = 0, "", OFFSET('IWP08'!Std7PayrollEmploymentRequirements, 15, 6, 1, 1))</f>
        <v/>
      </c>
      <c r="G1361" s="195" t="str">
        <f ca="1">IF(OFFSET('IWP08'!Std7PayrollEmploymentRequirements, 15, 7, 1, 1) = 0, "", OFFSET('IWP08'!Std7PayrollEmploymentRequirements, 15, 7, 1, 1))</f>
        <v/>
      </c>
      <c r="H1361" s="195" t="str">
        <f ca="1">IF(OFFSET('IWP08'!Std7PayrollEmploymentRequirements, 15, 9, 1, 1) = 0, "", OFFSET('IWP08'!Std7PayrollEmploymentRequirements, 15, 9, 1, 1))</f>
        <v/>
      </c>
      <c r="I1361" s="194" t="str">
        <f ca="1">IF(OFFSET('IWP08'!Std7PayrollEmploymentRequirements, 15, 11, 1, 1) = 0, "", OFFSET('IWP08'!Std7PayrollEmploymentRequirements, 15, 11, 1, 1))</f>
        <v/>
      </c>
    </row>
    <row r="1362" spans="1:9" s="146" customFormat="1">
      <c r="A1362" s="183" t="s">
        <v>507</v>
      </c>
      <c r="B1362" s="195" t="str">
        <f ca="1">IF(OFFSET('IWP09'!Std7PayrollEmploymentRequirements, 0, 0, 1, 1) = 0, "", OFFSET('IWP09'!Std7PayrollEmploymentRequirements, 0, 0, 1, 1))</f>
        <v/>
      </c>
      <c r="C1362" s="195" t="str">
        <f ca="1">IF(OFFSET('IWP09'!Std7PayrollEmploymentRequirements, 0, 2, 1, 1) = 0, "", OFFSET('IWP09'!Std7PayrollEmploymentRequirements, 0, 2, 1, 1))</f>
        <v/>
      </c>
      <c r="D1362" s="172">
        <f ca="1">IF(OFFSET('IWP09'!Std7PayrollEmploymentRequirements, 0, 4, 1, 1)=DATE(1900,1,0), DATE(1900,1,1), OFFSET('IWP09'!Std7PayrollEmploymentRequirements, 0, 4, 1, 1))</f>
        <v>1</v>
      </c>
      <c r="E1362" s="195" t="str">
        <f ca="1">IF(OFFSET('IWP09'!Std7PayrollEmploymentRequirements, 0, 5, 1, 1) = 0, "", OFFSET('IWP09'!Std7PayrollEmploymentRequirements, 0, 5, 1, 1))</f>
        <v/>
      </c>
      <c r="F1362" s="195" t="str">
        <f ca="1">IF(OFFSET('IWP09'!Std7PayrollEmploymentRequirements, 0, 6, 1, 1) = 0, "", OFFSET('IWP09'!Std7PayrollEmploymentRequirements, 0, 6, 1, 1))</f>
        <v/>
      </c>
      <c r="G1362" s="195" t="str">
        <f ca="1">IF(OFFSET('IWP09'!Std7PayrollEmploymentRequirements, 0, 7, 1, 1) = 0, "", OFFSET('IWP09'!Std7PayrollEmploymentRequirements, 0, 7, 1, 1))</f>
        <v/>
      </c>
      <c r="H1362" s="195" t="str">
        <f ca="1">IF(OFFSET('IWP09'!Std7PayrollEmploymentRequirements, 0, 9, 1, 1) = 0, "", OFFSET('IWP09'!Std7PayrollEmploymentRequirements, 0, 9, 1, 1))</f>
        <v/>
      </c>
      <c r="I1362" s="194" t="str">
        <f ca="1">IF(OFFSET('IWP09'!Std7PayrollEmploymentRequirements, 0, 11, 1, 1) = 0, "", OFFSET('IWP09'!Std7PayrollEmploymentRequirements, 0, 11, 1, 1))</f>
        <v/>
      </c>
    </row>
    <row r="1363" spans="1:9" s="146" customFormat="1">
      <c r="A1363" s="183" t="s">
        <v>507</v>
      </c>
      <c r="B1363" s="195" t="str">
        <f ca="1">IF(OFFSET('IWP09'!Std7PayrollEmploymentRequirements, 1, 0, 1, 1) = 0, "", OFFSET('IWP09'!Std7PayrollEmploymentRequirements, 1, 0, 1, 1))</f>
        <v/>
      </c>
      <c r="C1363" s="195" t="str">
        <f ca="1">IF(OFFSET('IWP09'!Std7PayrollEmploymentRequirements, 1, 2, 1, 1) = 0, "", OFFSET('IWP09'!Std7PayrollEmploymentRequirements, 1, 2, 1, 1))</f>
        <v/>
      </c>
      <c r="D1363" s="172">
        <f ca="1">IF(OFFSET('IWP09'!Std7PayrollEmploymentRequirements, 1, 4, 1, 1)=DATE(1900,1,0), DATE(1900,1,1), OFFSET('IWP09'!Std7PayrollEmploymentRequirements, 1, 4, 1, 1))</f>
        <v>1</v>
      </c>
      <c r="E1363" s="195" t="str">
        <f ca="1">IF(OFFSET('IWP09'!Std7PayrollEmploymentRequirements, 1, 5, 1, 1) = 0, "", OFFSET('IWP09'!Std7PayrollEmploymentRequirements, 1, 5, 1, 1))</f>
        <v/>
      </c>
      <c r="F1363" s="195" t="str">
        <f ca="1">IF(OFFSET('IWP09'!Std7PayrollEmploymentRequirements, 1, 6, 1, 1) = 0, "", OFFSET('IWP09'!Std7PayrollEmploymentRequirements, 1, 6, 1, 1))</f>
        <v/>
      </c>
      <c r="G1363" s="195" t="str">
        <f ca="1">IF(OFFSET('IWP09'!Std7PayrollEmploymentRequirements, 1, 7, 1, 1) = 0, "", OFFSET('IWP09'!Std7PayrollEmploymentRequirements, 1, 7, 1, 1))</f>
        <v/>
      </c>
      <c r="H1363" s="195" t="str">
        <f ca="1">IF(OFFSET('IWP09'!Std7PayrollEmploymentRequirements, 1, 9, 1, 1) = 0, "", OFFSET('IWP09'!Std7PayrollEmploymentRequirements, 1, 9, 1, 1))</f>
        <v/>
      </c>
      <c r="I1363" s="194" t="str">
        <f ca="1">IF(OFFSET('IWP09'!Std7PayrollEmploymentRequirements, 1, 11, 1, 1) = 0, "", OFFSET('IWP09'!Std7PayrollEmploymentRequirements, 1, 11, 1, 1))</f>
        <v/>
      </c>
    </row>
    <row r="1364" spans="1:9" s="146" customFormat="1">
      <c r="A1364" s="183" t="s">
        <v>507</v>
      </c>
      <c r="B1364" s="195" t="str">
        <f ca="1">IF(OFFSET('IWP09'!Std7PayrollEmploymentRequirements, 2, 0, 1, 1) = 0, "", OFFSET('IWP09'!Std7PayrollEmploymentRequirements, 2, 0, 1, 1))</f>
        <v/>
      </c>
      <c r="C1364" s="195" t="str">
        <f ca="1">IF(OFFSET('IWP09'!Std7PayrollEmploymentRequirements, 2, 2, 1, 1) = 0, "", OFFSET('IWP09'!Std7PayrollEmploymentRequirements, 2, 2, 1, 1))</f>
        <v/>
      </c>
      <c r="D1364" s="172">
        <f ca="1">IF(OFFSET('IWP09'!Std7PayrollEmploymentRequirements, 2, 4, 1, 1)=DATE(1900,1,0), DATE(1900,1,1), OFFSET('IWP09'!Std7PayrollEmploymentRequirements, 2, 4, 1, 1))</f>
        <v>1</v>
      </c>
      <c r="E1364" s="195" t="str">
        <f ca="1">IF(OFFSET('IWP09'!Std7PayrollEmploymentRequirements, 2, 5, 1, 1) = 0, "", OFFSET('IWP09'!Std7PayrollEmploymentRequirements, 2, 5, 1, 1))</f>
        <v/>
      </c>
      <c r="F1364" s="195" t="str">
        <f ca="1">IF(OFFSET('IWP09'!Std7PayrollEmploymentRequirements, 2, 6, 1, 1) = 0, "", OFFSET('IWP09'!Std7PayrollEmploymentRequirements, 2, 6, 1, 1))</f>
        <v/>
      </c>
      <c r="G1364" s="195" t="str">
        <f ca="1">IF(OFFSET('IWP09'!Std7PayrollEmploymentRequirements, 2, 7, 1, 1) = 0, "", OFFSET('IWP09'!Std7PayrollEmploymentRequirements, 2, 7, 1, 1))</f>
        <v/>
      </c>
      <c r="H1364" s="195" t="str">
        <f ca="1">IF(OFFSET('IWP09'!Std7PayrollEmploymentRequirements, 2, 9, 1, 1) = 0, "", OFFSET('IWP09'!Std7PayrollEmploymentRequirements, 2, 9, 1, 1))</f>
        <v/>
      </c>
      <c r="I1364" s="194" t="str">
        <f ca="1">IF(OFFSET('IWP09'!Std7PayrollEmploymentRequirements, 2, 11, 1, 1) = 0, "", OFFSET('IWP09'!Std7PayrollEmploymentRequirements, 2, 11, 1, 1))</f>
        <v/>
      </c>
    </row>
    <row r="1365" spans="1:9" s="146" customFormat="1">
      <c r="A1365" s="183" t="s">
        <v>507</v>
      </c>
      <c r="B1365" s="195" t="str">
        <f ca="1">IF(OFFSET('IWP09'!Std7PayrollEmploymentRequirements, 3, 0, 1, 1) = 0, "", OFFSET('IWP09'!Std7PayrollEmploymentRequirements, 3, 0, 1, 1))</f>
        <v/>
      </c>
      <c r="C1365" s="195" t="str">
        <f ca="1">IF(OFFSET('IWP09'!Std7PayrollEmploymentRequirements, 3, 2, 1, 1) = 0, "", OFFSET('IWP09'!Std7PayrollEmploymentRequirements, 3, 2, 1, 1))</f>
        <v/>
      </c>
      <c r="D1365" s="172">
        <f ca="1">IF(OFFSET('IWP09'!Std7PayrollEmploymentRequirements, 3, 4, 1, 1)=DATE(1900,1,0), DATE(1900,1,1), OFFSET('IWP09'!Std7PayrollEmploymentRequirements, 3, 4, 1, 1))</f>
        <v>1</v>
      </c>
      <c r="E1365" s="195" t="str">
        <f ca="1">IF(OFFSET('IWP09'!Std7PayrollEmploymentRequirements, 3, 5, 1, 1) = 0, "", OFFSET('IWP09'!Std7PayrollEmploymentRequirements, 3, 5, 1, 1))</f>
        <v/>
      </c>
      <c r="F1365" s="195" t="str">
        <f ca="1">IF(OFFSET('IWP09'!Std7PayrollEmploymentRequirements, 3, 6, 1, 1) = 0, "", OFFSET('IWP09'!Std7PayrollEmploymentRequirements, 3, 6, 1, 1))</f>
        <v/>
      </c>
      <c r="G1365" s="195" t="str">
        <f ca="1">IF(OFFSET('IWP09'!Std7PayrollEmploymentRequirements, 3, 7, 1, 1) = 0, "", OFFSET('IWP09'!Std7PayrollEmploymentRequirements, 3, 7, 1, 1))</f>
        <v/>
      </c>
      <c r="H1365" s="195" t="str">
        <f ca="1">IF(OFFSET('IWP09'!Std7PayrollEmploymentRequirements, 3, 9, 1, 1) = 0, "", OFFSET('IWP09'!Std7PayrollEmploymentRequirements, 3, 9, 1, 1))</f>
        <v/>
      </c>
      <c r="I1365" s="194" t="str">
        <f ca="1">IF(OFFSET('IWP09'!Std7PayrollEmploymentRequirements, 3, 11, 1, 1) = 0, "", OFFSET('IWP09'!Std7PayrollEmploymentRequirements, 3, 11, 1, 1))</f>
        <v/>
      </c>
    </row>
    <row r="1366" spans="1:9" s="146" customFormat="1">
      <c r="A1366" s="183" t="s">
        <v>507</v>
      </c>
      <c r="B1366" s="195" t="str">
        <f ca="1">IF(OFFSET('IWP09'!Std7PayrollEmploymentRequirements, 4, 0, 1, 1) = 0, "", OFFSET('IWP09'!Std7PayrollEmploymentRequirements, 4, 0, 1, 1))</f>
        <v/>
      </c>
      <c r="C1366" s="195" t="str">
        <f ca="1">IF(OFFSET('IWP09'!Std7PayrollEmploymentRequirements, 4, 2, 1, 1) = 0, "", OFFSET('IWP09'!Std7PayrollEmploymentRequirements, 4, 2, 1, 1))</f>
        <v/>
      </c>
      <c r="D1366" s="172">
        <f ca="1">IF(OFFSET('IWP09'!Std7PayrollEmploymentRequirements, 4, 4, 1, 1)=DATE(1900,1,0), DATE(1900,1,1), OFFSET('IWP09'!Std7PayrollEmploymentRequirements, 4, 4, 1, 1))</f>
        <v>1</v>
      </c>
      <c r="E1366" s="195" t="str">
        <f ca="1">IF(OFFSET('IWP09'!Std7PayrollEmploymentRequirements, 4, 5, 1, 1) = 0, "", OFFSET('IWP09'!Std7PayrollEmploymentRequirements, 4, 5, 1, 1))</f>
        <v/>
      </c>
      <c r="F1366" s="195" t="str">
        <f ca="1">IF(OFFSET('IWP09'!Std7PayrollEmploymentRequirements, 4, 6, 1, 1) = 0, "", OFFSET('IWP09'!Std7PayrollEmploymentRequirements, 4, 6, 1, 1))</f>
        <v/>
      </c>
      <c r="G1366" s="195" t="str">
        <f ca="1">IF(OFFSET('IWP09'!Std7PayrollEmploymentRequirements, 4, 7, 1, 1) = 0, "", OFFSET('IWP09'!Std7PayrollEmploymentRequirements, 4, 7, 1, 1))</f>
        <v/>
      </c>
      <c r="H1366" s="195" t="str">
        <f ca="1">IF(OFFSET('IWP09'!Std7PayrollEmploymentRequirements, 4, 9, 1, 1) = 0, "", OFFSET('IWP09'!Std7PayrollEmploymentRequirements, 4, 9, 1, 1))</f>
        <v/>
      </c>
      <c r="I1366" s="194" t="str">
        <f ca="1">IF(OFFSET('IWP09'!Std7PayrollEmploymentRequirements, 4, 11, 1, 1) = 0, "", OFFSET('IWP09'!Std7PayrollEmploymentRequirements, 4, 11, 1, 1))</f>
        <v/>
      </c>
    </row>
    <row r="1367" spans="1:9" s="146" customFormat="1">
      <c r="A1367" s="183" t="s">
        <v>507</v>
      </c>
      <c r="B1367" s="195" t="str">
        <f ca="1">IF(OFFSET('IWP09'!Std7PayrollEmploymentRequirements, 5, 0, 1, 1) = 0, "", OFFSET('IWP09'!Std7PayrollEmploymentRequirements, 5, 0, 1, 1))</f>
        <v/>
      </c>
      <c r="C1367" s="195" t="str">
        <f ca="1">IF(OFFSET('IWP09'!Std7PayrollEmploymentRequirements, 5, 2, 1, 1) = 0, "", OFFSET('IWP09'!Std7PayrollEmploymentRequirements, 5, 2, 1, 1))</f>
        <v/>
      </c>
      <c r="D1367" s="172">
        <f ca="1">IF(OFFSET('IWP09'!Std7PayrollEmploymentRequirements, 5, 4, 1, 1)=DATE(1900,1,0), DATE(1900,1,1), OFFSET('IWP09'!Std7PayrollEmploymentRequirements, 5, 4, 1, 1))</f>
        <v>1</v>
      </c>
      <c r="E1367" s="195" t="str">
        <f ca="1">IF(OFFSET('IWP09'!Std7PayrollEmploymentRequirements, 5, 5, 1, 1) = 0, "", OFFSET('IWP09'!Std7PayrollEmploymentRequirements, 5, 5, 1, 1))</f>
        <v/>
      </c>
      <c r="F1367" s="195" t="str">
        <f ca="1">IF(OFFSET('IWP09'!Std7PayrollEmploymentRequirements, 5, 6, 1, 1) = 0, "", OFFSET('IWP09'!Std7PayrollEmploymentRequirements, 5, 6, 1, 1))</f>
        <v/>
      </c>
      <c r="G1367" s="195" t="str">
        <f ca="1">IF(OFFSET('IWP09'!Std7PayrollEmploymentRequirements, 5, 7, 1, 1) = 0, "", OFFSET('IWP09'!Std7PayrollEmploymentRequirements, 5, 7, 1, 1))</f>
        <v/>
      </c>
      <c r="H1367" s="195" t="str">
        <f ca="1">IF(OFFSET('IWP09'!Std7PayrollEmploymentRequirements, 5, 9, 1, 1) = 0, "", OFFSET('IWP09'!Std7PayrollEmploymentRequirements, 5, 9, 1, 1))</f>
        <v/>
      </c>
      <c r="I1367" s="194" t="str">
        <f ca="1">IF(OFFSET('IWP09'!Std7PayrollEmploymentRequirements, 5, 11, 1, 1) = 0, "", OFFSET('IWP09'!Std7PayrollEmploymentRequirements, 5, 11, 1, 1))</f>
        <v/>
      </c>
    </row>
    <row r="1368" spans="1:9" s="146" customFormat="1">
      <c r="A1368" s="183" t="s">
        <v>507</v>
      </c>
      <c r="B1368" s="195" t="str">
        <f ca="1">IF(OFFSET('IWP09'!Std7PayrollEmploymentRequirements, 6, 0, 1, 1) = 0, "", OFFSET('IWP09'!Std7PayrollEmploymentRequirements, 6, 0, 1, 1))</f>
        <v/>
      </c>
      <c r="C1368" s="195" t="str">
        <f ca="1">IF(OFFSET('IWP09'!Std7PayrollEmploymentRequirements, 6, 2, 1, 1) = 0, "", OFFSET('IWP09'!Std7PayrollEmploymentRequirements, 6, 2, 1, 1))</f>
        <v/>
      </c>
      <c r="D1368" s="172">
        <f ca="1">IF(OFFSET('IWP09'!Std7PayrollEmploymentRequirements, 6, 4, 1, 1)=DATE(1900,1,0), DATE(1900,1,1), OFFSET('IWP09'!Std7PayrollEmploymentRequirements, 6, 4, 1, 1))</f>
        <v>1</v>
      </c>
      <c r="E1368" s="195" t="str">
        <f ca="1">IF(OFFSET('IWP09'!Std7PayrollEmploymentRequirements, 6, 5, 1, 1) = 0, "", OFFSET('IWP09'!Std7PayrollEmploymentRequirements, 6, 5, 1, 1))</f>
        <v/>
      </c>
      <c r="F1368" s="195" t="str">
        <f ca="1">IF(OFFSET('IWP09'!Std7PayrollEmploymentRequirements, 6, 6, 1, 1) = 0, "", OFFSET('IWP09'!Std7PayrollEmploymentRequirements, 6, 6, 1, 1))</f>
        <v/>
      </c>
      <c r="G1368" s="195" t="str">
        <f ca="1">IF(OFFSET('IWP09'!Std7PayrollEmploymentRequirements, 6, 7, 1, 1) = 0, "", OFFSET('IWP09'!Std7PayrollEmploymentRequirements, 6, 7, 1, 1))</f>
        <v/>
      </c>
      <c r="H1368" s="195" t="str">
        <f ca="1">IF(OFFSET('IWP09'!Std7PayrollEmploymentRequirements, 6, 9, 1, 1) = 0, "", OFFSET('IWP09'!Std7PayrollEmploymentRequirements, 6, 9, 1, 1))</f>
        <v/>
      </c>
      <c r="I1368" s="194" t="str">
        <f ca="1">IF(OFFSET('IWP09'!Std7PayrollEmploymentRequirements, 6, 11, 1, 1) = 0, "", OFFSET('IWP09'!Std7PayrollEmploymentRequirements, 6, 11, 1, 1))</f>
        <v/>
      </c>
    </row>
    <row r="1369" spans="1:9" s="146" customFormat="1">
      <c r="A1369" s="183" t="s">
        <v>507</v>
      </c>
      <c r="B1369" s="195" t="str">
        <f ca="1">IF(OFFSET('IWP09'!Std7PayrollEmploymentRequirements, 7, 0, 1, 1) = 0, "", OFFSET('IWP09'!Std7PayrollEmploymentRequirements, 7, 0, 1, 1))</f>
        <v/>
      </c>
      <c r="C1369" s="195" t="str">
        <f ca="1">IF(OFFSET('IWP09'!Std7PayrollEmploymentRequirements, 7, 2, 1, 1) = 0, "", OFFSET('IWP09'!Std7PayrollEmploymentRequirements, 7, 2, 1, 1))</f>
        <v/>
      </c>
      <c r="D1369" s="172">
        <f ca="1">IF(OFFSET('IWP09'!Std7PayrollEmploymentRequirements, 7, 4, 1, 1)=DATE(1900,1,0), DATE(1900,1,1), OFFSET('IWP09'!Std7PayrollEmploymentRequirements, 7, 4, 1, 1))</f>
        <v>1</v>
      </c>
      <c r="E1369" s="195" t="str">
        <f ca="1">IF(OFFSET('IWP09'!Std7PayrollEmploymentRequirements, 7, 5, 1, 1) = 0, "", OFFSET('IWP09'!Std7PayrollEmploymentRequirements, 7, 5, 1, 1))</f>
        <v/>
      </c>
      <c r="F1369" s="195" t="str">
        <f ca="1">IF(OFFSET('IWP09'!Std7PayrollEmploymentRequirements, 7, 6, 1, 1) = 0, "", OFFSET('IWP09'!Std7PayrollEmploymentRequirements, 7, 6, 1, 1))</f>
        <v/>
      </c>
      <c r="G1369" s="195" t="str">
        <f ca="1">IF(OFFSET('IWP09'!Std7PayrollEmploymentRequirements, 7, 7, 1, 1) = 0, "", OFFSET('IWP09'!Std7PayrollEmploymentRequirements, 7, 7, 1, 1))</f>
        <v/>
      </c>
      <c r="H1369" s="195" t="str">
        <f ca="1">IF(OFFSET('IWP09'!Std7PayrollEmploymentRequirements, 7, 9, 1, 1) = 0, "", OFFSET('IWP09'!Std7PayrollEmploymentRequirements, 7, 9, 1, 1))</f>
        <v/>
      </c>
      <c r="I1369" s="194" t="str">
        <f ca="1">IF(OFFSET('IWP09'!Std7PayrollEmploymentRequirements, 7, 11, 1, 1) = 0, "", OFFSET('IWP09'!Std7PayrollEmploymentRequirements, 7, 11, 1, 1))</f>
        <v/>
      </c>
    </row>
    <row r="1370" spans="1:9" s="146" customFormat="1">
      <c r="A1370" s="183" t="s">
        <v>507</v>
      </c>
      <c r="B1370" s="195" t="str">
        <f ca="1">IF(OFFSET('IWP09'!Std7PayrollEmploymentRequirements, 8, 0, 1, 1) = 0, "", OFFSET('IWP09'!Std7PayrollEmploymentRequirements, 8, 0, 1, 1))</f>
        <v/>
      </c>
      <c r="C1370" s="195" t="str">
        <f ca="1">IF(OFFSET('IWP09'!Std7PayrollEmploymentRequirements, 8, 2, 1, 1) = 0, "", OFFSET('IWP09'!Std7PayrollEmploymentRequirements, 8, 2, 1, 1))</f>
        <v/>
      </c>
      <c r="D1370" s="172">
        <f ca="1">IF(OFFSET('IWP09'!Std7PayrollEmploymentRequirements, 8, 4, 1, 1)=DATE(1900,1,0), DATE(1900,1,1), OFFSET('IWP09'!Std7PayrollEmploymentRequirements, 8, 4, 1, 1))</f>
        <v>1</v>
      </c>
      <c r="E1370" s="195" t="str">
        <f ca="1">IF(OFFSET('IWP09'!Std7PayrollEmploymentRequirements, 8, 5, 1, 1) = 0, "", OFFSET('IWP09'!Std7PayrollEmploymentRequirements, 8, 5, 1, 1))</f>
        <v/>
      </c>
      <c r="F1370" s="195" t="str">
        <f ca="1">IF(OFFSET('IWP09'!Std7PayrollEmploymentRequirements, 8, 6, 1, 1) = 0, "", OFFSET('IWP09'!Std7PayrollEmploymentRequirements, 8, 6, 1, 1))</f>
        <v/>
      </c>
      <c r="G1370" s="195" t="str">
        <f ca="1">IF(OFFSET('IWP09'!Std7PayrollEmploymentRequirements, 8, 7, 1, 1) = 0, "", OFFSET('IWP09'!Std7PayrollEmploymentRequirements, 8, 7, 1, 1))</f>
        <v/>
      </c>
      <c r="H1370" s="195" t="str">
        <f ca="1">IF(OFFSET('IWP09'!Std7PayrollEmploymentRequirements, 8, 9, 1, 1) = 0, "", OFFSET('IWP09'!Std7PayrollEmploymentRequirements, 8, 9, 1, 1))</f>
        <v/>
      </c>
      <c r="I1370" s="194" t="str">
        <f ca="1">IF(OFFSET('IWP09'!Std7PayrollEmploymentRequirements, 8, 11, 1, 1) = 0, "", OFFSET('IWP09'!Std7PayrollEmploymentRequirements, 8, 11, 1, 1))</f>
        <v/>
      </c>
    </row>
    <row r="1371" spans="1:9" s="146" customFormat="1">
      <c r="A1371" s="183" t="s">
        <v>507</v>
      </c>
      <c r="B1371" s="195" t="str">
        <f ca="1">IF(OFFSET('IWP09'!Std7PayrollEmploymentRequirements, 9, 0, 1, 1) = 0, "", OFFSET('IWP09'!Std7PayrollEmploymentRequirements, 9, 0, 1, 1))</f>
        <v/>
      </c>
      <c r="C1371" s="195" t="str">
        <f ca="1">IF(OFFSET('IWP09'!Std7PayrollEmploymentRequirements, 9, 2, 1, 1) = 0, "", OFFSET('IWP09'!Std7PayrollEmploymentRequirements, 9, 2, 1, 1))</f>
        <v/>
      </c>
      <c r="D1371" s="172">
        <f ca="1">IF(OFFSET('IWP09'!Std7PayrollEmploymentRequirements, 9, 4, 1, 1)=DATE(1900,1,0), DATE(1900,1,1), OFFSET('IWP09'!Std7PayrollEmploymentRequirements, 9, 4, 1, 1))</f>
        <v>1</v>
      </c>
      <c r="E1371" s="195" t="str">
        <f ca="1">IF(OFFSET('IWP09'!Std7PayrollEmploymentRequirements, 9, 5, 1, 1) = 0, "", OFFSET('IWP09'!Std7PayrollEmploymentRequirements, 9, 5, 1, 1))</f>
        <v/>
      </c>
      <c r="F1371" s="195" t="str">
        <f ca="1">IF(OFFSET('IWP09'!Std7PayrollEmploymentRequirements, 9, 6, 1, 1) = 0, "", OFFSET('IWP09'!Std7PayrollEmploymentRequirements, 9, 6, 1, 1))</f>
        <v/>
      </c>
      <c r="G1371" s="195" t="str">
        <f ca="1">IF(OFFSET('IWP09'!Std7PayrollEmploymentRequirements, 9, 7, 1, 1) = 0, "", OFFSET('IWP09'!Std7PayrollEmploymentRequirements, 9, 7, 1, 1))</f>
        <v/>
      </c>
      <c r="H1371" s="195" t="str">
        <f ca="1">IF(OFFSET('IWP09'!Std7PayrollEmploymentRequirements, 9, 9, 1, 1) = 0, "", OFFSET('IWP09'!Std7PayrollEmploymentRequirements, 9, 9, 1, 1))</f>
        <v/>
      </c>
      <c r="I1371" s="194" t="str">
        <f ca="1">IF(OFFSET('IWP09'!Std7PayrollEmploymentRequirements, 9, 11, 1, 1) = 0, "", OFFSET('IWP09'!Std7PayrollEmploymentRequirements, 9, 11, 1, 1))</f>
        <v/>
      </c>
    </row>
    <row r="1372" spans="1:9" s="146" customFormat="1">
      <c r="A1372" s="183" t="s">
        <v>507</v>
      </c>
      <c r="B1372" s="195" t="str">
        <f ca="1">IF(OFFSET('IWP09'!Std7PayrollEmploymentRequirements, 10, 0, 1, 1) = 0, "", OFFSET('IWP09'!Std7PayrollEmploymentRequirements, 10, 0, 1, 1))</f>
        <v/>
      </c>
      <c r="C1372" s="195" t="str">
        <f ca="1">IF(OFFSET('IWP09'!Std7PayrollEmploymentRequirements, 10, 2, 1, 1) = 0, "", OFFSET('IWP09'!Std7PayrollEmploymentRequirements, 10, 2, 1, 1))</f>
        <v/>
      </c>
      <c r="D1372" s="172">
        <f ca="1">IF(OFFSET('IWP09'!Std7PayrollEmploymentRequirements, 10, 4, 1, 1)=DATE(1900,1,0), DATE(1900,1,1), OFFSET('IWP09'!Std7PayrollEmploymentRequirements, 10, 4, 1, 1))</f>
        <v>1</v>
      </c>
      <c r="E1372" s="195" t="str">
        <f ca="1">IF(OFFSET('IWP09'!Std7PayrollEmploymentRequirements, 10, 5, 1, 1) = 0, "", OFFSET('IWP09'!Std7PayrollEmploymentRequirements, 10, 5, 1, 1))</f>
        <v/>
      </c>
      <c r="F1372" s="195" t="str">
        <f ca="1">IF(OFFSET('IWP09'!Std7PayrollEmploymentRequirements, 10, 6, 1, 1) = 0, "", OFFSET('IWP09'!Std7PayrollEmploymentRequirements, 10, 6, 1, 1))</f>
        <v/>
      </c>
      <c r="G1372" s="195" t="str">
        <f ca="1">IF(OFFSET('IWP09'!Std7PayrollEmploymentRequirements, 10, 7, 1, 1) = 0, "", OFFSET('IWP09'!Std7PayrollEmploymentRequirements, 10, 7, 1, 1))</f>
        <v/>
      </c>
      <c r="H1372" s="195" t="str">
        <f ca="1">IF(OFFSET('IWP09'!Std7PayrollEmploymentRequirements, 10, 9, 1, 1) = 0, "", OFFSET('IWP09'!Std7PayrollEmploymentRequirements, 10, 9, 1, 1))</f>
        <v/>
      </c>
      <c r="I1372" s="194" t="str">
        <f ca="1">IF(OFFSET('IWP09'!Std7PayrollEmploymentRequirements, 10, 11, 1, 1) = 0, "", OFFSET('IWP09'!Std7PayrollEmploymentRequirements, 10, 11, 1, 1))</f>
        <v/>
      </c>
    </row>
    <row r="1373" spans="1:9" s="146" customFormat="1">
      <c r="A1373" s="183" t="s">
        <v>507</v>
      </c>
      <c r="B1373" s="195" t="str">
        <f ca="1">IF(OFFSET('IWP09'!Std7PayrollEmploymentRequirements, 11, 0, 1, 1) = 0, "", OFFSET('IWP09'!Std7PayrollEmploymentRequirements, 11, 0, 1, 1))</f>
        <v/>
      </c>
      <c r="C1373" s="195" t="str">
        <f ca="1">IF(OFFSET('IWP09'!Std7PayrollEmploymentRequirements, 11, 2, 1, 1) = 0, "", OFFSET('IWP09'!Std7PayrollEmploymentRequirements, 11, 2, 1, 1))</f>
        <v/>
      </c>
      <c r="D1373" s="172">
        <f ca="1">IF(OFFSET('IWP09'!Std7PayrollEmploymentRequirements, 11, 4, 1, 1)=DATE(1900,1,0), DATE(1900,1,1), OFFSET('IWP09'!Std7PayrollEmploymentRequirements, 11, 4, 1, 1))</f>
        <v>1</v>
      </c>
      <c r="E1373" s="195" t="str">
        <f ca="1">IF(OFFSET('IWP09'!Std7PayrollEmploymentRequirements, 11, 5, 1, 1) = 0, "", OFFSET('IWP09'!Std7PayrollEmploymentRequirements, 11, 5, 1, 1))</f>
        <v/>
      </c>
      <c r="F1373" s="195" t="str">
        <f ca="1">IF(OFFSET('IWP09'!Std7PayrollEmploymentRequirements, 11, 6, 1, 1) = 0, "", OFFSET('IWP09'!Std7PayrollEmploymentRequirements, 11, 6, 1, 1))</f>
        <v/>
      </c>
      <c r="G1373" s="195" t="str">
        <f ca="1">IF(OFFSET('IWP09'!Std7PayrollEmploymentRequirements, 11, 7, 1, 1) = 0, "", OFFSET('IWP09'!Std7PayrollEmploymentRequirements, 11, 7, 1, 1))</f>
        <v/>
      </c>
      <c r="H1373" s="195" t="str">
        <f ca="1">IF(OFFSET('IWP09'!Std7PayrollEmploymentRequirements, 11, 9, 1, 1) = 0, "", OFFSET('IWP09'!Std7PayrollEmploymentRequirements, 11, 9, 1, 1))</f>
        <v/>
      </c>
      <c r="I1373" s="194" t="str">
        <f ca="1">IF(OFFSET('IWP09'!Std7PayrollEmploymentRequirements, 11, 11, 1, 1) = 0, "", OFFSET('IWP09'!Std7PayrollEmploymentRequirements, 11, 11, 1, 1))</f>
        <v/>
      </c>
    </row>
    <row r="1374" spans="1:9" s="146" customFormat="1">
      <c r="A1374" s="183" t="s">
        <v>507</v>
      </c>
      <c r="B1374" s="195" t="str">
        <f ca="1">IF(OFFSET('IWP09'!Std7PayrollEmploymentRequirements, 12, 0, 1, 1) = 0, "", OFFSET('IWP09'!Std7PayrollEmploymentRequirements, 12, 0, 1, 1))</f>
        <v/>
      </c>
      <c r="C1374" s="195" t="str">
        <f ca="1">IF(OFFSET('IWP09'!Std7PayrollEmploymentRequirements, 12, 2, 1, 1) = 0, "", OFFSET('IWP09'!Std7PayrollEmploymentRequirements, 12, 2, 1, 1))</f>
        <v/>
      </c>
      <c r="D1374" s="172">
        <f ca="1">IF(OFFSET('IWP09'!Std7PayrollEmploymentRequirements, 12, 4, 1, 1)=DATE(1900,1,0), DATE(1900,1,1), OFFSET('IWP09'!Std7PayrollEmploymentRequirements, 12, 4, 1, 1))</f>
        <v>1</v>
      </c>
      <c r="E1374" s="195" t="str">
        <f ca="1">IF(OFFSET('IWP09'!Std7PayrollEmploymentRequirements, 12, 5, 1, 1) = 0, "", OFFSET('IWP09'!Std7PayrollEmploymentRequirements, 12, 5, 1, 1))</f>
        <v/>
      </c>
      <c r="F1374" s="195" t="str">
        <f ca="1">IF(OFFSET('IWP09'!Std7PayrollEmploymentRequirements, 12, 6, 1, 1) = 0, "", OFFSET('IWP09'!Std7PayrollEmploymentRequirements, 12, 6, 1, 1))</f>
        <v/>
      </c>
      <c r="G1374" s="195" t="str">
        <f ca="1">IF(OFFSET('IWP09'!Std7PayrollEmploymentRequirements, 12, 7, 1, 1) = 0, "", OFFSET('IWP09'!Std7PayrollEmploymentRequirements, 12, 7, 1, 1))</f>
        <v/>
      </c>
      <c r="H1374" s="195" t="str">
        <f ca="1">IF(OFFSET('IWP09'!Std7PayrollEmploymentRequirements, 12, 9, 1, 1) = 0, "", OFFSET('IWP09'!Std7PayrollEmploymentRequirements, 12, 9, 1, 1))</f>
        <v/>
      </c>
      <c r="I1374" s="194" t="str">
        <f ca="1">IF(OFFSET('IWP09'!Std7PayrollEmploymentRequirements, 12, 11, 1, 1) = 0, "", OFFSET('IWP09'!Std7PayrollEmploymentRequirements, 12, 11, 1, 1))</f>
        <v/>
      </c>
    </row>
    <row r="1375" spans="1:9" s="146" customFormat="1">
      <c r="A1375" s="183" t="s">
        <v>507</v>
      </c>
      <c r="B1375" s="195" t="str">
        <f ca="1">IF(OFFSET('IWP09'!Std7PayrollEmploymentRequirements, 13, 0, 1, 1) = 0, "", OFFSET('IWP09'!Std7PayrollEmploymentRequirements, 13, 0, 1, 1))</f>
        <v/>
      </c>
      <c r="C1375" s="195" t="str">
        <f ca="1">IF(OFFSET('IWP09'!Std7PayrollEmploymentRequirements, 13, 2, 1, 1) = 0, "", OFFSET('IWP09'!Std7PayrollEmploymentRequirements, 13, 2, 1, 1))</f>
        <v/>
      </c>
      <c r="D1375" s="172">
        <f ca="1">IF(OFFSET('IWP09'!Std7PayrollEmploymentRequirements, 13, 4, 1, 1)=DATE(1900,1,0), DATE(1900,1,1), OFFSET('IWP09'!Std7PayrollEmploymentRequirements, 13, 4, 1, 1))</f>
        <v>1</v>
      </c>
      <c r="E1375" s="195" t="str">
        <f ca="1">IF(OFFSET('IWP09'!Std7PayrollEmploymentRequirements, 13, 5, 1, 1) = 0, "", OFFSET('IWP09'!Std7PayrollEmploymentRequirements, 13, 5, 1, 1))</f>
        <v/>
      </c>
      <c r="F1375" s="195" t="str">
        <f ca="1">IF(OFFSET('IWP09'!Std7PayrollEmploymentRequirements, 13, 6, 1, 1) = 0, "", OFFSET('IWP09'!Std7PayrollEmploymentRequirements, 13, 6, 1, 1))</f>
        <v/>
      </c>
      <c r="G1375" s="195" t="str">
        <f ca="1">IF(OFFSET('IWP09'!Std7PayrollEmploymentRequirements, 13, 7, 1, 1) = 0, "", OFFSET('IWP09'!Std7PayrollEmploymentRequirements, 13, 7, 1, 1))</f>
        <v/>
      </c>
      <c r="H1375" s="195" t="str">
        <f ca="1">IF(OFFSET('IWP09'!Std7PayrollEmploymentRequirements, 13, 9, 1, 1) = 0, "", OFFSET('IWP09'!Std7PayrollEmploymentRequirements, 13, 9, 1, 1))</f>
        <v/>
      </c>
      <c r="I1375" s="194" t="str">
        <f ca="1">IF(OFFSET('IWP09'!Std7PayrollEmploymentRequirements, 13, 11, 1, 1) = 0, "", OFFSET('IWP09'!Std7PayrollEmploymentRequirements, 13, 11, 1, 1))</f>
        <v/>
      </c>
    </row>
    <row r="1376" spans="1:9" s="146" customFormat="1">
      <c r="A1376" s="183" t="s">
        <v>507</v>
      </c>
      <c r="B1376" s="195" t="str">
        <f ca="1">IF(OFFSET('IWP09'!Std7PayrollEmploymentRequirements, 14, 0, 1, 1) = 0, "", OFFSET('IWP09'!Std7PayrollEmploymentRequirements, 14, 0, 1, 1))</f>
        <v/>
      </c>
      <c r="C1376" s="195" t="str">
        <f ca="1">IF(OFFSET('IWP09'!Std7PayrollEmploymentRequirements, 14, 2, 1, 1) = 0, "", OFFSET('IWP09'!Std7PayrollEmploymentRequirements, 14, 2, 1, 1))</f>
        <v/>
      </c>
      <c r="D1376" s="172">
        <f ca="1">IF(OFFSET('IWP09'!Std7PayrollEmploymentRequirements, 14, 4, 1, 1)=DATE(1900,1,0), DATE(1900,1,1), OFFSET('IWP09'!Std7PayrollEmploymentRequirements, 14, 4, 1, 1))</f>
        <v>1</v>
      </c>
      <c r="E1376" s="195" t="str">
        <f ca="1">IF(OFFSET('IWP09'!Std7PayrollEmploymentRequirements, 14, 5, 1, 1) = 0, "", OFFSET('IWP09'!Std7PayrollEmploymentRequirements, 14, 5, 1, 1))</f>
        <v/>
      </c>
      <c r="F1376" s="195" t="str">
        <f ca="1">IF(OFFSET('IWP09'!Std7PayrollEmploymentRequirements, 14, 6, 1, 1) = 0, "", OFFSET('IWP09'!Std7PayrollEmploymentRequirements, 14, 6, 1, 1))</f>
        <v/>
      </c>
      <c r="G1376" s="195" t="str">
        <f ca="1">IF(OFFSET('IWP09'!Std7PayrollEmploymentRequirements, 14, 7, 1, 1) = 0, "", OFFSET('IWP09'!Std7PayrollEmploymentRequirements, 14, 7, 1, 1))</f>
        <v/>
      </c>
      <c r="H1376" s="195" t="str">
        <f ca="1">IF(OFFSET('IWP09'!Std7PayrollEmploymentRequirements, 14, 9, 1, 1) = 0, "", OFFSET('IWP09'!Std7PayrollEmploymentRequirements, 14, 9, 1, 1))</f>
        <v/>
      </c>
      <c r="I1376" s="194" t="str">
        <f ca="1">IF(OFFSET('IWP09'!Std7PayrollEmploymentRequirements, 14, 11, 1, 1) = 0, "", OFFSET('IWP09'!Std7PayrollEmploymentRequirements, 14, 11, 1, 1))</f>
        <v/>
      </c>
    </row>
    <row r="1377" spans="1:9" s="146" customFormat="1">
      <c r="A1377" s="183" t="s">
        <v>507</v>
      </c>
      <c r="B1377" s="195" t="str">
        <f ca="1">IF(OFFSET('IWP09'!Std7PayrollEmploymentRequirements, 15, 0, 1, 1) = 0, "", OFFSET('IWP09'!Std7PayrollEmploymentRequirements, 15, 0, 1, 1))</f>
        <v/>
      </c>
      <c r="C1377" s="195" t="str">
        <f ca="1">IF(OFFSET('IWP09'!Std7PayrollEmploymentRequirements, 15, 2, 1, 1) = 0, "", OFFSET('IWP09'!Std7PayrollEmploymentRequirements, 15, 2, 1, 1))</f>
        <v/>
      </c>
      <c r="D1377" s="172">
        <f ca="1">IF(OFFSET('IWP09'!Std7PayrollEmploymentRequirements, 15, 4, 1, 1)=DATE(1900,1,0), DATE(1900,1,1), OFFSET('IWP09'!Std7PayrollEmploymentRequirements, 15, 4, 1, 1))</f>
        <v>1</v>
      </c>
      <c r="E1377" s="195" t="str">
        <f ca="1">IF(OFFSET('IWP09'!Std7PayrollEmploymentRequirements, 15, 5, 1, 1) = 0, "", OFFSET('IWP09'!Std7PayrollEmploymentRequirements, 15, 5, 1, 1))</f>
        <v/>
      </c>
      <c r="F1377" s="195" t="str">
        <f ca="1">IF(OFFSET('IWP09'!Std7PayrollEmploymentRequirements, 15, 6, 1, 1) = 0, "", OFFSET('IWP09'!Std7PayrollEmploymentRequirements, 15, 6, 1, 1))</f>
        <v/>
      </c>
      <c r="G1377" s="195" t="str">
        <f ca="1">IF(OFFSET('IWP09'!Std7PayrollEmploymentRequirements, 15, 7, 1, 1) = 0, "", OFFSET('IWP09'!Std7PayrollEmploymentRequirements, 15, 7, 1, 1))</f>
        <v/>
      </c>
      <c r="H1377" s="195" t="str">
        <f ca="1">IF(OFFSET('IWP09'!Std7PayrollEmploymentRequirements, 15, 9, 1, 1) = 0, "", OFFSET('IWP09'!Std7PayrollEmploymentRequirements, 15, 9, 1, 1))</f>
        <v/>
      </c>
      <c r="I1377" s="194" t="str">
        <f ca="1">IF(OFFSET('IWP09'!Std7PayrollEmploymentRequirements, 15, 11, 1, 1) = 0, "", OFFSET('IWP09'!Std7PayrollEmploymentRequirements, 15, 11, 1, 1))</f>
        <v/>
      </c>
    </row>
    <row r="1378" spans="1:9" s="146" customFormat="1">
      <c r="A1378" s="183" t="s">
        <v>508</v>
      </c>
      <c r="B1378" s="195" t="str">
        <f ca="1">IF(OFFSET('IWP10'!Std7PayrollEmploymentRequirements, 0, 0, 1, 1) = 0, "", OFFSET('IWP10'!Std7PayrollEmploymentRequirements, 0, 0, 1, 1))</f>
        <v/>
      </c>
      <c r="C1378" s="195" t="str">
        <f ca="1">IF(OFFSET('IWP10'!Std7PayrollEmploymentRequirements, 0, 2, 1, 1) = 0, "", OFFSET('IWP10'!Std7PayrollEmploymentRequirements, 0, 2, 1, 1))</f>
        <v/>
      </c>
      <c r="D1378" s="172">
        <f ca="1">IF(OFFSET('IWP10'!Std7PayrollEmploymentRequirements, 0, 4, 1, 1)=DATE(1900,1,0), DATE(1900,1,1), OFFSET('IWP10'!Std7PayrollEmploymentRequirements, 0, 4, 1, 1))</f>
        <v>1</v>
      </c>
      <c r="E1378" s="195" t="str">
        <f ca="1">IF(OFFSET('IWP10'!Std7PayrollEmploymentRequirements, 0, 5, 1, 1) = 0, "", OFFSET('IWP10'!Std7PayrollEmploymentRequirements, 0, 5, 1, 1))</f>
        <v/>
      </c>
      <c r="F1378" s="195" t="str">
        <f ca="1">IF(OFFSET('IWP10'!Std7PayrollEmploymentRequirements, 0, 6, 1, 1) = 0, "", OFFSET('IWP10'!Std7PayrollEmploymentRequirements, 0, 6, 1, 1))</f>
        <v/>
      </c>
      <c r="G1378" s="195" t="str">
        <f ca="1">IF(OFFSET('IWP10'!Std7PayrollEmploymentRequirements, 0, 7, 1, 1) = 0, "", OFFSET('IWP10'!Std7PayrollEmploymentRequirements, 0, 7, 1, 1))</f>
        <v/>
      </c>
      <c r="H1378" s="195" t="str">
        <f ca="1">IF(OFFSET('IWP10'!Std7PayrollEmploymentRequirements, 0, 9, 1, 1) = 0, "", OFFSET('IWP10'!Std7PayrollEmploymentRequirements, 0, 9, 1, 1))</f>
        <v/>
      </c>
      <c r="I1378" s="194" t="str">
        <f ca="1">IF(OFFSET('IWP10'!Std7PayrollEmploymentRequirements, 0, 11, 1, 1) = 0, "", OFFSET('IWP10'!Std7PayrollEmploymentRequirements, 0, 11, 1, 1))</f>
        <v/>
      </c>
    </row>
    <row r="1379" spans="1:9" s="146" customFormat="1">
      <c r="A1379" s="183" t="s">
        <v>508</v>
      </c>
      <c r="B1379" s="195" t="str">
        <f ca="1">IF(OFFSET('IWP10'!Std7PayrollEmploymentRequirements, 1, 0, 1, 1) = 0, "", OFFSET('IWP10'!Std7PayrollEmploymentRequirements, 1, 0, 1, 1))</f>
        <v/>
      </c>
      <c r="C1379" s="195" t="str">
        <f ca="1">IF(OFFSET('IWP10'!Std7PayrollEmploymentRequirements, 1, 2, 1, 1) = 0, "", OFFSET('IWP10'!Std7PayrollEmploymentRequirements, 1, 2, 1, 1))</f>
        <v/>
      </c>
      <c r="D1379" s="172">
        <f ca="1">IF(OFFSET('IWP10'!Std7PayrollEmploymentRequirements, 1, 4, 1, 1)=DATE(1900,1,0), DATE(1900,1,1), OFFSET('IWP10'!Std7PayrollEmploymentRequirements, 1, 4, 1, 1))</f>
        <v>1</v>
      </c>
      <c r="E1379" s="195" t="str">
        <f ca="1">IF(OFFSET('IWP10'!Std7PayrollEmploymentRequirements, 1, 5, 1, 1) = 0, "", OFFSET('IWP10'!Std7PayrollEmploymentRequirements, 1, 5, 1, 1))</f>
        <v/>
      </c>
      <c r="F1379" s="195" t="str">
        <f ca="1">IF(OFFSET('IWP10'!Std7PayrollEmploymentRequirements, 1, 6, 1, 1) = 0, "", OFFSET('IWP10'!Std7PayrollEmploymentRequirements, 1, 6, 1, 1))</f>
        <v/>
      </c>
      <c r="G1379" s="195" t="str">
        <f ca="1">IF(OFFSET('IWP10'!Std7PayrollEmploymentRequirements, 1, 7, 1, 1) = 0, "", OFFSET('IWP10'!Std7PayrollEmploymentRequirements, 1, 7, 1, 1))</f>
        <v/>
      </c>
      <c r="H1379" s="195" t="str">
        <f ca="1">IF(OFFSET('IWP10'!Std7PayrollEmploymentRequirements, 1, 9, 1, 1) = 0, "", OFFSET('IWP10'!Std7PayrollEmploymentRequirements, 1, 9, 1, 1))</f>
        <v/>
      </c>
      <c r="I1379" s="194" t="str">
        <f ca="1">IF(OFFSET('IWP10'!Std7PayrollEmploymentRequirements, 1, 11, 1, 1) = 0, "", OFFSET('IWP10'!Std7PayrollEmploymentRequirements, 1, 11, 1, 1))</f>
        <v/>
      </c>
    </row>
    <row r="1380" spans="1:9" s="146" customFormat="1">
      <c r="A1380" s="183" t="s">
        <v>508</v>
      </c>
      <c r="B1380" s="195" t="str">
        <f ca="1">IF(OFFSET('IWP10'!Std7PayrollEmploymentRequirements, 2, 0, 1, 1) = 0, "", OFFSET('IWP10'!Std7PayrollEmploymentRequirements, 2, 0, 1, 1))</f>
        <v/>
      </c>
      <c r="C1380" s="195" t="str">
        <f ca="1">IF(OFFSET('IWP10'!Std7PayrollEmploymentRequirements, 2, 2, 1, 1) = 0, "", OFFSET('IWP10'!Std7PayrollEmploymentRequirements, 2, 2, 1, 1))</f>
        <v/>
      </c>
      <c r="D1380" s="172">
        <f ca="1">IF(OFFSET('IWP10'!Std7PayrollEmploymentRequirements, 2, 4, 1, 1)=DATE(1900,1,0), DATE(1900,1,1), OFFSET('IWP10'!Std7PayrollEmploymentRequirements, 2, 4, 1, 1))</f>
        <v>1</v>
      </c>
      <c r="E1380" s="195" t="str">
        <f ca="1">IF(OFFSET('IWP10'!Std7PayrollEmploymentRequirements, 2, 5, 1, 1) = 0, "", OFFSET('IWP10'!Std7PayrollEmploymentRequirements, 2, 5, 1, 1))</f>
        <v/>
      </c>
      <c r="F1380" s="195" t="str">
        <f ca="1">IF(OFFSET('IWP10'!Std7PayrollEmploymentRequirements, 2, 6, 1, 1) = 0, "", OFFSET('IWP10'!Std7PayrollEmploymentRequirements, 2, 6, 1, 1))</f>
        <v/>
      </c>
      <c r="G1380" s="195" t="str">
        <f ca="1">IF(OFFSET('IWP10'!Std7PayrollEmploymentRequirements, 2, 7, 1, 1) = 0, "", OFFSET('IWP10'!Std7PayrollEmploymentRequirements, 2, 7, 1, 1))</f>
        <v/>
      </c>
      <c r="H1380" s="195" t="str">
        <f ca="1">IF(OFFSET('IWP10'!Std7PayrollEmploymentRequirements, 2, 9, 1, 1) = 0, "", OFFSET('IWP10'!Std7PayrollEmploymentRequirements, 2, 9, 1, 1))</f>
        <v/>
      </c>
      <c r="I1380" s="194" t="str">
        <f ca="1">IF(OFFSET('IWP10'!Std7PayrollEmploymentRequirements, 2, 11, 1, 1) = 0, "", OFFSET('IWP10'!Std7PayrollEmploymentRequirements, 2, 11, 1, 1))</f>
        <v/>
      </c>
    </row>
    <row r="1381" spans="1:9" s="146" customFormat="1">
      <c r="A1381" s="183" t="s">
        <v>508</v>
      </c>
      <c r="B1381" s="195" t="str">
        <f ca="1">IF(OFFSET('IWP10'!Std7PayrollEmploymentRequirements, 3, 0, 1, 1) = 0, "", OFFSET('IWP10'!Std7PayrollEmploymentRequirements, 3, 0, 1, 1))</f>
        <v/>
      </c>
      <c r="C1381" s="195" t="str">
        <f ca="1">IF(OFFSET('IWP10'!Std7PayrollEmploymentRequirements, 3, 2, 1, 1) = 0, "", OFFSET('IWP10'!Std7PayrollEmploymentRequirements, 3, 2, 1, 1))</f>
        <v/>
      </c>
      <c r="D1381" s="172">
        <f ca="1">IF(OFFSET('IWP10'!Std7PayrollEmploymentRequirements, 3, 4, 1, 1)=DATE(1900,1,0), DATE(1900,1,1), OFFSET('IWP10'!Std7PayrollEmploymentRequirements, 3, 4, 1, 1))</f>
        <v>1</v>
      </c>
      <c r="E1381" s="195" t="str">
        <f ca="1">IF(OFFSET('IWP10'!Std7PayrollEmploymentRequirements, 3, 5, 1, 1) = 0, "", OFFSET('IWP10'!Std7PayrollEmploymentRequirements, 3, 5, 1, 1))</f>
        <v/>
      </c>
      <c r="F1381" s="195" t="str">
        <f ca="1">IF(OFFSET('IWP10'!Std7PayrollEmploymentRequirements, 3, 6, 1, 1) = 0, "", OFFSET('IWP10'!Std7PayrollEmploymentRequirements, 3, 6, 1, 1))</f>
        <v/>
      </c>
      <c r="G1381" s="195" t="str">
        <f ca="1">IF(OFFSET('IWP10'!Std7PayrollEmploymentRequirements, 3, 7, 1, 1) = 0, "", OFFSET('IWP10'!Std7PayrollEmploymentRequirements, 3, 7, 1, 1))</f>
        <v/>
      </c>
      <c r="H1381" s="195" t="str">
        <f ca="1">IF(OFFSET('IWP10'!Std7PayrollEmploymentRequirements, 3, 9, 1, 1) = 0, "", OFFSET('IWP10'!Std7PayrollEmploymentRequirements, 3, 9, 1, 1))</f>
        <v/>
      </c>
      <c r="I1381" s="194" t="str">
        <f ca="1">IF(OFFSET('IWP10'!Std7PayrollEmploymentRequirements, 3, 11, 1, 1) = 0, "", OFFSET('IWP10'!Std7PayrollEmploymentRequirements, 3, 11, 1, 1))</f>
        <v/>
      </c>
    </row>
    <row r="1382" spans="1:9" s="146" customFormat="1">
      <c r="A1382" s="183" t="s">
        <v>508</v>
      </c>
      <c r="B1382" s="195" t="str">
        <f ca="1">IF(OFFSET('IWP10'!Std7PayrollEmploymentRequirements, 4, 0, 1, 1) = 0, "", OFFSET('IWP10'!Std7PayrollEmploymentRequirements, 4, 0, 1, 1))</f>
        <v/>
      </c>
      <c r="C1382" s="195" t="str">
        <f ca="1">IF(OFFSET('IWP10'!Std7PayrollEmploymentRequirements, 4, 2, 1, 1) = 0, "", OFFSET('IWP10'!Std7PayrollEmploymentRequirements, 4, 2, 1, 1))</f>
        <v/>
      </c>
      <c r="D1382" s="172">
        <f ca="1">IF(OFFSET('IWP10'!Std7PayrollEmploymentRequirements, 4, 4, 1, 1)=DATE(1900,1,0), DATE(1900,1,1), OFFSET('IWP10'!Std7PayrollEmploymentRequirements, 4, 4, 1, 1))</f>
        <v>1</v>
      </c>
      <c r="E1382" s="195" t="str">
        <f ca="1">IF(OFFSET('IWP10'!Std7PayrollEmploymentRequirements, 4, 5, 1, 1) = 0, "", OFFSET('IWP10'!Std7PayrollEmploymentRequirements, 4, 5, 1, 1))</f>
        <v/>
      </c>
      <c r="F1382" s="195" t="str">
        <f ca="1">IF(OFFSET('IWP10'!Std7PayrollEmploymentRequirements, 4, 6, 1, 1) = 0, "", OFFSET('IWP10'!Std7PayrollEmploymentRequirements, 4, 6, 1, 1))</f>
        <v/>
      </c>
      <c r="G1382" s="195" t="str">
        <f ca="1">IF(OFFSET('IWP10'!Std7PayrollEmploymentRequirements, 4, 7, 1, 1) = 0, "", OFFSET('IWP10'!Std7PayrollEmploymentRequirements, 4, 7, 1, 1))</f>
        <v/>
      </c>
      <c r="H1382" s="195" t="str">
        <f ca="1">IF(OFFSET('IWP10'!Std7PayrollEmploymentRequirements, 4, 9, 1, 1) = 0, "", OFFSET('IWP10'!Std7PayrollEmploymentRequirements, 4, 9, 1, 1))</f>
        <v/>
      </c>
      <c r="I1382" s="194" t="str">
        <f ca="1">IF(OFFSET('IWP10'!Std7PayrollEmploymentRequirements, 4, 11, 1, 1) = 0, "", OFFSET('IWP10'!Std7PayrollEmploymentRequirements, 4, 11, 1, 1))</f>
        <v/>
      </c>
    </row>
    <row r="1383" spans="1:9" s="146" customFormat="1">
      <c r="A1383" s="183" t="s">
        <v>508</v>
      </c>
      <c r="B1383" s="195" t="str">
        <f ca="1">IF(OFFSET('IWP10'!Std7PayrollEmploymentRequirements, 5, 0, 1, 1) = 0, "", OFFSET('IWP10'!Std7PayrollEmploymentRequirements, 5, 0, 1, 1))</f>
        <v/>
      </c>
      <c r="C1383" s="195" t="str">
        <f ca="1">IF(OFFSET('IWP10'!Std7PayrollEmploymentRequirements, 5, 2, 1, 1) = 0, "", OFFSET('IWP10'!Std7PayrollEmploymentRequirements, 5, 2, 1, 1))</f>
        <v/>
      </c>
      <c r="D1383" s="172">
        <f ca="1">IF(OFFSET('IWP10'!Std7PayrollEmploymentRequirements, 5, 4, 1, 1)=DATE(1900,1,0), DATE(1900,1,1), OFFSET('IWP10'!Std7PayrollEmploymentRequirements, 5, 4, 1, 1))</f>
        <v>1</v>
      </c>
      <c r="E1383" s="195" t="str">
        <f ca="1">IF(OFFSET('IWP10'!Std7PayrollEmploymentRequirements, 5, 5, 1, 1) = 0, "", OFFSET('IWP10'!Std7PayrollEmploymentRequirements, 5, 5, 1, 1))</f>
        <v/>
      </c>
      <c r="F1383" s="195" t="str">
        <f ca="1">IF(OFFSET('IWP10'!Std7PayrollEmploymentRequirements, 5, 6, 1, 1) = 0, "", OFFSET('IWP10'!Std7PayrollEmploymentRequirements, 5, 6, 1, 1))</f>
        <v/>
      </c>
      <c r="G1383" s="195" t="str">
        <f ca="1">IF(OFFSET('IWP10'!Std7PayrollEmploymentRequirements, 5, 7, 1, 1) = 0, "", OFFSET('IWP10'!Std7PayrollEmploymentRequirements, 5, 7, 1, 1))</f>
        <v/>
      </c>
      <c r="H1383" s="195" t="str">
        <f ca="1">IF(OFFSET('IWP10'!Std7PayrollEmploymentRequirements, 5, 9, 1, 1) = 0, "", OFFSET('IWP10'!Std7PayrollEmploymentRequirements, 5, 9, 1, 1))</f>
        <v/>
      </c>
      <c r="I1383" s="194" t="str">
        <f ca="1">IF(OFFSET('IWP10'!Std7PayrollEmploymentRequirements, 5, 11, 1, 1) = 0, "", OFFSET('IWP10'!Std7PayrollEmploymentRequirements, 5, 11, 1, 1))</f>
        <v/>
      </c>
    </row>
    <row r="1384" spans="1:9" s="146" customFormat="1">
      <c r="A1384" s="183" t="s">
        <v>508</v>
      </c>
      <c r="B1384" s="195" t="str">
        <f ca="1">IF(OFFSET('IWP10'!Std7PayrollEmploymentRequirements, 6, 0, 1, 1) = 0, "", OFFSET('IWP10'!Std7PayrollEmploymentRequirements, 6, 0, 1, 1))</f>
        <v/>
      </c>
      <c r="C1384" s="195" t="str">
        <f ca="1">IF(OFFSET('IWP10'!Std7PayrollEmploymentRequirements, 6, 2, 1, 1) = 0, "", OFFSET('IWP10'!Std7PayrollEmploymentRequirements, 6, 2, 1, 1))</f>
        <v/>
      </c>
      <c r="D1384" s="172">
        <f ca="1">IF(OFFSET('IWP10'!Std7PayrollEmploymentRequirements, 6, 4, 1, 1)=DATE(1900,1,0), DATE(1900,1,1), OFFSET('IWP10'!Std7PayrollEmploymentRequirements, 6, 4, 1, 1))</f>
        <v>1</v>
      </c>
      <c r="E1384" s="195" t="str">
        <f ca="1">IF(OFFSET('IWP10'!Std7PayrollEmploymentRequirements, 6, 5, 1, 1) = 0, "", OFFSET('IWP10'!Std7PayrollEmploymentRequirements, 6, 5, 1, 1))</f>
        <v/>
      </c>
      <c r="F1384" s="195" t="str">
        <f ca="1">IF(OFFSET('IWP10'!Std7PayrollEmploymentRequirements, 6, 6, 1, 1) = 0, "", OFFSET('IWP10'!Std7PayrollEmploymentRequirements, 6, 6, 1, 1))</f>
        <v/>
      </c>
      <c r="G1384" s="195" t="str">
        <f ca="1">IF(OFFSET('IWP10'!Std7PayrollEmploymentRequirements, 6, 7, 1, 1) = 0, "", OFFSET('IWP10'!Std7PayrollEmploymentRequirements, 6, 7, 1, 1))</f>
        <v/>
      </c>
      <c r="H1384" s="195" t="str">
        <f ca="1">IF(OFFSET('IWP10'!Std7PayrollEmploymentRequirements, 6, 9, 1, 1) = 0, "", OFFSET('IWP10'!Std7PayrollEmploymentRequirements, 6, 9, 1, 1))</f>
        <v/>
      </c>
      <c r="I1384" s="194" t="str">
        <f ca="1">IF(OFFSET('IWP10'!Std7PayrollEmploymentRequirements, 6, 11, 1, 1) = 0, "", OFFSET('IWP10'!Std7PayrollEmploymentRequirements, 6, 11, 1, 1))</f>
        <v/>
      </c>
    </row>
    <row r="1385" spans="1:9" s="146" customFormat="1">
      <c r="A1385" s="183" t="s">
        <v>508</v>
      </c>
      <c r="B1385" s="195" t="str">
        <f ca="1">IF(OFFSET('IWP10'!Std7PayrollEmploymentRequirements, 7, 0, 1, 1) = 0, "", OFFSET('IWP10'!Std7PayrollEmploymentRequirements, 7, 0, 1, 1))</f>
        <v/>
      </c>
      <c r="C1385" s="195" t="str">
        <f ca="1">IF(OFFSET('IWP10'!Std7PayrollEmploymentRequirements, 7, 2, 1, 1) = 0, "", OFFSET('IWP10'!Std7PayrollEmploymentRequirements, 7, 2, 1, 1))</f>
        <v/>
      </c>
      <c r="D1385" s="172">
        <f ca="1">IF(OFFSET('IWP10'!Std7PayrollEmploymentRequirements, 7, 4, 1, 1)=DATE(1900,1,0), DATE(1900,1,1), OFFSET('IWP10'!Std7PayrollEmploymentRequirements, 7, 4, 1, 1))</f>
        <v>1</v>
      </c>
      <c r="E1385" s="195" t="str">
        <f ca="1">IF(OFFSET('IWP10'!Std7PayrollEmploymentRequirements, 7, 5, 1, 1) = 0, "", OFFSET('IWP10'!Std7PayrollEmploymentRequirements, 7, 5, 1, 1))</f>
        <v/>
      </c>
      <c r="F1385" s="195" t="str">
        <f ca="1">IF(OFFSET('IWP10'!Std7PayrollEmploymentRequirements, 7, 6, 1, 1) = 0, "", OFFSET('IWP10'!Std7PayrollEmploymentRequirements, 7, 6, 1, 1))</f>
        <v/>
      </c>
      <c r="G1385" s="195" t="str">
        <f ca="1">IF(OFFSET('IWP10'!Std7PayrollEmploymentRequirements, 7, 7, 1, 1) = 0, "", OFFSET('IWP10'!Std7PayrollEmploymentRequirements, 7, 7, 1, 1))</f>
        <v/>
      </c>
      <c r="H1385" s="195" t="str">
        <f ca="1">IF(OFFSET('IWP10'!Std7PayrollEmploymentRequirements, 7, 9, 1, 1) = 0, "", OFFSET('IWP10'!Std7PayrollEmploymentRequirements, 7, 9, 1, 1))</f>
        <v/>
      </c>
      <c r="I1385" s="194" t="str">
        <f ca="1">IF(OFFSET('IWP10'!Std7PayrollEmploymentRequirements, 7, 11, 1, 1) = 0, "", OFFSET('IWP10'!Std7PayrollEmploymentRequirements, 7, 11, 1, 1))</f>
        <v/>
      </c>
    </row>
    <row r="1386" spans="1:9" s="146" customFormat="1">
      <c r="A1386" s="183" t="s">
        <v>508</v>
      </c>
      <c r="B1386" s="195" t="str">
        <f ca="1">IF(OFFSET('IWP10'!Std7PayrollEmploymentRequirements, 8, 0, 1, 1) = 0, "", OFFSET('IWP10'!Std7PayrollEmploymentRequirements, 8, 0, 1, 1))</f>
        <v/>
      </c>
      <c r="C1386" s="195" t="str">
        <f ca="1">IF(OFFSET('IWP10'!Std7PayrollEmploymentRequirements, 8, 2, 1, 1) = 0, "", OFFSET('IWP10'!Std7PayrollEmploymentRequirements, 8, 2, 1, 1))</f>
        <v/>
      </c>
      <c r="D1386" s="172">
        <f ca="1">IF(OFFSET('IWP10'!Std7PayrollEmploymentRequirements, 8, 4, 1, 1)=DATE(1900,1,0), DATE(1900,1,1), OFFSET('IWP10'!Std7PayrollEmploymentRequirements, 8, 4, 1, 1))</f>
        <v>1</v>
      </c>
      <c r="E1386" s="195" t="str">
        <f ca="1">IF(OFFSET('IWP10'!Std7PayrollEmploymentRequirements, 8, 5, 1, 1) = 0, "", OFFSET('IWP10'!Std7PayrollEmploymentRequirements, 8, 5, 1, 1))</f>
        <v/>
      </c>
      <c r="F1386" s="195" t="str">
        <f ca="1">IF(OFFSET('IWP10'!Std7PayrollEmploymentRequirements, 8, 6, 1, 1) = 0, "", OFFSET('IWP10'!Std7PayrollEmploymentRequirements, 8, 6, 1, 1))</f>
        <v/>
      </c>
      <c r="G1386" s="195" t="str">
        <f ca="1">IF(OFFSET('IWP10'!Std7PayrollEmploymentRequirements, 8, 7, 1, 1) = 0, "", OFFSET('IWP10'!Std7PayrollEmploymentRequirements, 8, 7, 1, 1))</f>
        <v/>
      </c>
      <c r="H1386" s="195" t="str">
        <f ca="1">IF(OFFSET('IWP10'!Std7PayrollEmploymentRequirements, 8, 9, 1, 1) = 0, "", OFFSET('IWP10'!Std7PayrollEmploymentRequirements, 8, 9, 1, 1))</f>
        <v/>
      </c>
      <c r="I1386" s="194" t="str">
        <f ca="1">IF(OFFSET('IWP10'!Std7PayrollEmploymentRequirements, 8, 11, 1, 1) = 0, "", OFFSET('IWP10'!Std7PayrollEmploymentRequirements, 8, 11, 1, 1))</f>
        <v/>
      </c>
    </row>
    <row r="1387" spans="1:9" s="146" customFormat="1">
      <c r="A1387" s="183" t="s">
        <v>508</v>
      </c>
      <c r="B1387" s="195" t="str">
        <f ca="1">IF(OFFSET('IWP10'!Std7PayrollEmploymentRequirements, 9, 0, 1, 1) = 0, "", OFFSET('IWP10'!Std7PayrollEmploymentRequirements, 9, 0, 1, 1))</f>
        <v/>
      </c>
      <c r="C1387" s="195" t="str">
        <f ca="1">IF(OFFSET('IWP10'!Std7PayrollEmploymentRequirements, 9, 2, 1, 1) = 0, "", OFFSET('IWP10'!Std7PayrollEmploymentRequirements, 9, 2, 1, 1))</f>
        <v/>
      </c>
      <c r="D1387" s="172">
        <f ca="1">IF(OFFSET('IWP10'!Std7PayrollEmploymentRequirements, 9, 4, 1, 1)=DATE(1900,1,0), DATE(1900,1,1), OFFSET('IWP10'!Std7PayrollEmploymentRequirements, 9, 4, 1, 1))</f>
        <v>1</v>
      </c>
      <c r="E1387" s="195" t="str">
        <f ca="1">IF(OFFSET('IWP10'!Std7PayrollEmploymentRequirements, 9, 5, 1, 1) = 0, "", OFFSET('IWP10'!Std7PayrollEmploymentRequirements, 9, 5, 1, 1))</f>
        <v/>
      </c>
      <c r="F1387" s="195" t="str">
        <f ca="1">IF(OFFSET('IWP10'!Std7PayrollEmploymentRequirements, 9, 6, 1, 1) = 0, "", OFFSET('IWP10'!Std7PayrollEmploymentRequirements, 9, 6, 1, 1))</f>
        <v/>
      </c>
      <c r="G1387" s="195" t="str">
        <f ca="1">IF(OFFSET('IWP10'!Std7PayrollEmploymentRequirements, 9, 7, 1, 1) = 0, "", OFFSET('IWP10'!Std7PayrollEmploymentRequirements, 9, 7, 1, 1))</f>
        <v/>
      </c>
      <c r="H1387" s="195" t="str">
        <f ca="1">IF(OFFSET('IWP10'!Std7PayrollEmploymentRequirements, 9, 9, 1, 1) = 0, "", OFFSET('IWP10'!Std7PayrollEmploymentRequirements, 9, 9, 1, 1))</f>
        <v/>
      </c>
      <c r="I1387" s="194" t="str">
        <f ca="1">IF(OFFSET('IWP10'!Std7PayrollEmploymentRequirements, 9, 11, 1, 1) = 0, "", OFFSET('IWP10'!Std7PayrollEmploymentRequirements, 9, 11, 1, 1))</f>
        <v/>
      </c>
    </row>
    <row r="1388" spans="1:9" s="146" customFormat="1">
      <c r="A1388" s="183" t="s">
        <v>508</v>
      </c>
      <c r="B1388" s="195" t="str">
        <f ca="1">IF(OFFSET('IWP10'!Std7PayrollEmploymentRequirements, 10, 0, 1, 1) = 0, "", OFFSET('IWP10'!Std7PayrollEmploymentRequirements, 10, 0, 1, 1))</f>
        <v/>
      </c>
      <c r="C1388" s="195" t="str">
        <f ca="1">IF(OFFSET('IWP10'!Std7PayrollEmploymentRequirements, 10, 2, 1, 1) = 0, "", OFFSET('IWP10'!Std7PayrollEmploymentRequirements, 10, 2, 1, 1))</f>
        <v/>
      </c>
      <c r="D1388" s="172">
        <f ca="1">IF(OFFSET('IWP10'!Std7PayrollEmploymentRequirements, 10, 4, 1, 1)=DATE(1900,1,0), DATE(1900,1,1), OFFSET('IWP10'!Std7PayrollEmploymentRequirements, 10, 4, 1, 1))</f>
        <v>1</v>
      </c>
      <c r="E1388" s="195" t="str">
        <f ca="1">IF(OFFSET('IWP10'!Std7PayrollEmploymentRequirements, 10, 5, 1, 1) = 0, "", OFFSET('IWP10'!Std7PayrollEmploymentRequirements, 10, 5, 1, 1))</f>
        <v/>
      </c>
      <c r="F1388" s="195" t="str">
        <f ca="1">IF(OFFSET('IWP10'!Std7PayrollEmploymentRequirements, 10, 6, 1, 1) = 0, "", OFFSET('IWP10'!Std7PayrollEmploymentRequirements, 10, 6, 1, 1))</f>
        <v/>
      </c>
      <c r="G1388" s="195" t="str">
        <f ca="1">IF(OFFSET('IWP10'!Std7PayrollEmploymentRequirements, 10, 7, 1, 1) = 0, "", OFFSET('IWP10'!Std7PayrollEmploymentRequirements, 10, 7, 1, 1))</f>
        <v/>
      </c>
      <c r="H1388" s="195" t="str">
        <f ca="1">IF(OFFSET('IWP10'!Std7PayrollEmploymentRequirements, 10, 9, 1, 1) = 0, "", OFFSET('IWP10'!Std7PayrollEmploymentRequirements, 10, 9, 1, 1))</f>
        <v/>
      </c>
      <c r="I1388" s="194" t="str">
        <f ca="1">IF(OFFSET('IWP10'!Std7PayrollEmploymentRequirements, 10, 11, 1, 1) = 0, "", OFFSET('IWP10'!Std7PayrollEmploymentRequirements, 10, 11, 1, 1))</f>
        <v/>
      </c>
    </row>
    <row r="1389" spans="1:9" s="146" customFormat="1">
      <c r="A1389" s="183" t="s">
        <v>508</v>
      </c>
      <c r="B1389" s="195" t="str">
        <f ca="1">IF(OFFSET('IWP10'!Std7PayrollEmploymentRequirements, 11, 0, 1, 1) = 0, "", OFFSET('IWP10'!Std7PayrollEmploymentRequirements, 11, 0, 1, 1))</f>
        <v/>
      </c>
      <c r="C1389" s="195" t="str">
        <f ca="1">IF(OFFSET('IWP10'!Std7PayrollEmploymentRequirements, 11, 2, 1, 1) = 0, "", OFFSET('IWP10'!Std7PayrollEmploymentRequirements, 11, 2, 1, 1))</f>
        <v/>
      </c>
      <c r="D1389" s="172">
        <f ca="1">IF(OFFSET('IWP10'!Std7PayrollEmploymentRequirements, 11, 4, 1, 1)=DATE(1900,1,0), DATE(1900,1,1), OFFSET('IWP10'!Std7PayrollEmploymentRequirements, 11, 4, 1, 1))</f>
        <v>1</v>
      </c>
      <c r="E1389" s="195" t="str">
        <f ca="1">IF(OFFSET('IWP10'!Std7PayrollEmploymentRequirements, 11, 5, 1, 1) = 0, "", OFFSET('IWP10'!Std7PayrollEmploymentRequirements, 11, 5, 1, 1))</f>
        <v/>
      </c>
      <c r="F1389" s="195" t="str">
        <f ca="1">IF(OFFSET('IWP10'!Std7PayrollEmploymentRequirements, 11, 6, 1, 1) = 0, "", OFFSET('IWP10'!Std7PayrollEmploymentRequirements, 11, 6, 1, 1))</f>
        <v/>
      </c>
      <c r="G1389" s="195" t="str">
        <f ca="1">IF(OFFSET('IWP10'!Std7PayrollEmploymentRequirements, 11, 7, 1, 1) = 0, "", OFFSET('IWP10'!Std7PayrollEmploymentRequirements, 11, 7, 1, 1))</f>
        <v/>
      </c>
      <c r="H1389" s="195" t="str">
        <f ca="1">IF(OFFSET('IWP10'!Std7PayrollEmploymentRequirements, 11, 9, 1, 1) = 0, "", OFFSET('IWP10'!Std7PayrollEmploymentRequirements, 11, 9, 1, 1))</f>
        <v/>
      </c>
      <c r="I1389" s="194" t="str">
        <f ca="1">IF(OFFSET('IWP10'!Std7PayrollEmploymentRequirements, 11, 11, 1, 1) = 0, "", OFFSET('IWP10'!Std7PayrollEmploymentRequirements, 11, 11, 1, 1))</f>
        <v/>
      </c>
    </row>
    <row r="1390" spans="1:9" s="146" customFormat="1">
      <c r="A1390" s="183" t="s">
        <v>508</v>
      </c>
      <c r="B1390" s="195" t="str">
        <f ca="1">IF(OFFSET('IWP10'!Std7PayrollEmploymentRequirements, 12, 0, 1, 1) = 0, "", OFFSET('IWP10'!Std7PayrollEmploymentRequirements, 12, 0, 1, 1))</f>
        <v/>
      </c>
      <c r="C1390" s="195" t="str">
        <f ca="1">IF(OFFSET('IWP10'!Std7PayrollEmploymentRequirements, 12, 2, 1, 1) = 0, "", OFFSET('IWP10'!Std7PayrollEmploymentRequirements, 12, 2, 1, 1))</f>
        <v/>
      </c>
      <c r="D1390" s="172">
        <f ca="1">IF(OFFSET('IWP10'!Std7PayrollEmploymentRequirements, 12, 4, 1, 1)=DATE(1900,1,0), DATE(1900,1,1), OFFSET('IWP10'!Std7PayrollEmploymentRequirements, 12, 4, 1, 1))</f>
        <v>1</v>
      </c>
      <c r="E1390" s="195" t="str">
        <f ca="1">IF(OFFSET('IWP10'!Std7PayrollEmploymentRequirements, 12, 5, 1, 1) = 0, "", OFFSET('IWP10'!Std7PayrollEmploymentRequirements, 12, 5, 1, 1))</f>
        <v/>
      </c>
      <c r="F1390" s="195" t="str">
        <f ca="1">IF(OFFSET('IWP10'!Std7PayrollEmploymentRequirements, 12, 6, 1, 1) = 0, "", OFFSET('IWP10'!Std7PayrollEmploymentRequirements, 12, 6, 1, 1))</f>
        <v/>
      </c>
      <c r="G1390" s="195" t="str">
        <f ca="1">IF(OFFSET('IWP10'!Std7PayrollEmploymentRequirements, 12, 7, 1, 1) = 0, "", OFFSET('IWP10'!Std7PayrollEmploymentRequirements, 12, 7, 1, 1))</f>
        <v/>
      </c>
      <c r="H1390" s="195" t="str">
        <f ca="1">IF(OFFSET('IWP10'!Std7PayrollEmploymentRequirements, 12, 9, 1, 1) = 0, "", OFFSET('IWP10'!Std7PayrollEmploymentRequirements, 12, 9, 1, 1))</f>
        <v/>
      </c>
      <c r="I1390" s="194" t="str">
        <f ca="1">IF(OFFSET('IWP10'!Std7PayrollEmploymentRequirements, 12, 11, 1, 1) = 0, "", OFFSET('IWP10'!Std7PayrollEmploymentRequirements, 12, 11, 1, 1))</f>
        <v/>
      </c>
    </row>
    <row r="1391" spans="1:9" s="146" customFormat="1">
      <c r="A1391" s="183" t="s">
        <v>508</v>
      </c>
      <c r="B1391" s="195" t="str">
        <f ca="1">IF(OFFSET('IWP10'!Std7PayrollEmploymentRequirements, 13, 0, 1, 1) = 0, "", OFFSET('IWP10'!Std7PayrollEmploymentRequirements, 13, 0, 1, 1))</f>
        <v/>
      </c>
      <c r="C1391" s="195" t="str">
        <f ca="1">IF(OFFSET('IWP10'!Std7PayrollEmploymentRequirements, 13, 2, 1, 1) = 0, "", OFFSET('IWP10'!Std7PayrollEmploymentRequirements, 13, 2, 1, 1))</f>
        <v/>
      </c>
      <c r="D1391" s="172">
        <f ca="1">IF(OFFSET('IWP10'!Std7PayrollEmploymentRequirements, 13, 4, 1, 1)=DATE(1900,1,0), DATE(1900,1,1), OFFSET('IWP10'!Std7PayrollEmploymentRequirements, 13, 4, 1, 1))</f>
        <v>1</v>
      </c>
      <c r="E1391" s="195" t="str">
        <f ca="1">IF(OFFSET('IWP10'!Std7PayrollEmploymentRequirements, 13, 5, 1, 1) = 0, "", OFFSET('IWP10'!Std7PayrollEmploymentRequirements, 13, 5, 1, 1))</f>
        <v/>
      </c>
      <c r="F1391" s="195" t="str">
        <f ca="1">IF(OFFSET('IWP10'!Std7PayrollEmploymentRequirements, 13, 6, 1, 1) = 0, "", OFFSET('IWP10'!Std7PayrollEmploymentRequirements, 13, 6, 1, 1))</f>
        <v/>
      </c>
      <c r="G1391" s="195" t="str">
        <f ca="1">IF(OFFSET('IWP10'!Std7PayrollEmploymentRequirements, 13, 7, 1, 1) = 0, "", OFFSET('IWP10'!Std7PayrollEmploymentRequirements, 13, 7, 1, 1))</f>
        <v/>
      </c>
      <c r="H1391" s="195" t="str">
        <f ca="1">IF(OFFSET('IWP10'!Std7PayrollEmploymentRequirements, 13, 9, 1, 1) = 0, "", OFFSET('IWP10'!Std7PayrollEmploymentRequirements, 13, 9, 1, 1))</f>
        <v/>
      </c>
      <c r="I1391" s="194" t="str">
        <f ca="1">IF(OFFSET('IWP10'!Std7PayrollEmploymentRequirements, 13, 11, 1, 1) = 0, "", OFFSET('IWP10'!Std7PayrollEmploymentRequirements, 13, 11, 1, 1))</f>
        <v/>
      </c>
    </row>
    <row r="1392" spans="1:9" s="146" customFormat="1">
      <c r="A1392" s="183" t="s">
        <v>508</v>
      </c>
      <c r="B1392" s="195" t="str">
        <f ca="1">IF(OFFSET('IWP10'!Std7PayrollEmploymentRequirements, 14, 0, 1, 1) = 0, "", OFFSET('IWP10'!Std7PayrollEmploymentRequirements, 14, 0, 1, 1))</f>
        <v/>
      </c>
      <c r="C1392" s="195" t="str">
        <f ca="1">IF(OFFSET('IWP10'!Std7PayrollEmploymentRequirements, 14, 2, 1, 1) = 0, "", OFFSET('IWP10'!Std7PayrollEmploymentRequirements, 14, 2, 1, 1))</f>
        <v/>
      </c>
      <c r="D1392" s="172">
        <f ca="1">IF(OFFSET('IWP10'!Std7PayrollEmploymentRequirements, 14, 4, 1, 1)=DATE(1900,1,0), DATE(1900,1,1), OFFSET('IWP10'!Std7PayrollEmploymentRequirements, 14, 4, 1, 1))</f>
        <v>1</v>
      </c>
      <c r="E1392" s="195" t="str">
        <f ca="1">IF(OFFSET('IWP10'!Std7PayrollEmploymentRequirements, 14, 5, 1, 1) = 0, "", OFFSET('IWP10'!Std7PayrollEmploymentRequirements, 14, 5, 1, 1))</f>
        <v/>
      </c>
      <c r="F1392" s="195" t="str">
        <f ca="1">IF(OFFSET('IWP10'!Std7PayrollEmploymentRequirements, 14, 6, 1, 1) = 0, "", OFFSET('IWP10'!Std7PayrollEmploymentRequirements, 14, 6, 1, 1))</f>
        <v/>
      </c>
      <c r="G1392" s="195" t="str">
        <f ca="1">IF(OFFSET('IWP10'!Std7PayrollEmploymentRequirements, 14, 7, 1, 1) = 0, "", OFFSET('IWP10'!Std7PayrollEmploymentRequirements, 14, 7, 1, 1))</f>
        <v/>
      </c>
      <c r="H1392" s="195" t="str">
        <f ca="1">IF(OFFSET('IWP10'!Std7PayrollEmploymentRequirements, 14, 9, 1, 1) = 0, "", OFFSET('IWP10'!Std7PayrollEmploymentRequirements, 14, 9, 1, 1))</f>
        <v/>
      </c>
      <c r="I1392" s="194" t="str">
        <f ca="1">IF(OFFSET('IWP10'!Std7PayrollEmploymentRequirements, 14, 11, 1, 1) = 0, "", OFFSET('IWP10'!Std7PayrollEmploymentRequirements, 14, 11, 1, 1))</f>
        <v/>
      </c>
    </row>
    <row r="1393" spans="1:9" s="146" customFormat="1">
      <c r="A1393" s="183" t="s">
        <v>508</v>
      </c>
      <c r="B1393" s="195" t="str">
        <f ca="1">IF(OFFSET('IWP10'!Std7PayrollEmploymentRequirements, 15, 0, 1, 1) = 0, "", OFFSET('IWP10'!Std7PayrollEmploymentRequirements, 15, 0, 1, 1))</f>
        <v/>
      </c>
      <c r="C1393" s="195" t="str">
        <f ca="1">IF(OFFSET('IWP10'!Std7PayrollEmploymentRequirements, 15, 2, 1, 1) = 0, "", OFFSET('IWP10'!Std7PayrollEmploymentRequirements, 15, 2, 1, 1))</f>
        <v/>
      </c>
      <c r="D1393" s="172">
        <f ca="1">IF(OFFSET('IWP10'!Std7PayrollEmploymentRequirements, 15, 4, 1, 1)=DATE(1900,1,0), DATE(1900,1,1), OFFSET('IWP10'!Std7PayrollEmploymentRequirements, 15, 4, 1, 1))</f>
        <v>1</v>
      </c>
      <c r="E1393" s="195" t="str">
        <f ca="1">IF(OFFSET('IWP10'!Std7PayrollEmploymentRequirements, 15, 5, 1, 1) = 0, "", OFFSET('IWP10'!Std7PayrollEmploymentRequirements, 15, 5, 1, 1))</f>
        <v/>
      </c>
      <c r="F1393" s="195" t="str">
        <f ca="1">IF(OFFSET('IWP10'!Std7PayrollEmploymentRequirements, 15, 6, 1, 1) = 0, "", OFFSET('IWP10'!Std7PayrollEmploymentRequirements, 15, 6, 1, 1))</f>
        <v/>
      </c>
      <c r="G1393" s="195" t="str">
        <f ca="1">IF(OFFSET('IWP10'!Std7PayrollEmploymentRequirements, 15, 7, 1, 1) = 0, "", OFFSET('IWP10'!Std7PayrollEmploymentRequirements, 15, 7, 1, 1))</f>
        <v/>
      </c>
      <c r="H1393" s="195" t="str">
        <f ca="1">IF(OFFSET('IWP10'!Std7PayrollEmploymentRequirements, 15, 9, 1, 1) = 0, "", OFFSET('IWP10'!Std7PayrollEmploymentRequirements, 15, 9, 1, 1))</f>
        <v/>
      </c>
      <c r="I1393" s="194" t="str">
        <f ca="1">IF(OFFSET('IWP10'!Std7PayrollEmploymentRequirements, 15, 11, 1, 1) = 0, "", OFFSET('IWP10'!Std7PayrollEmploymentRequirements, 15, 11, 1, 1))</f>
        <v/>
      </c>
    </row>
    <row r="1394" spans="1:9" s="146" customFormat="1">
      <c r="A1394" s="183" t="s">
        <v>509</v>
      </c>
      <c r="B1394" s="195" t="str">
        <f ca="1">IF(OFFSET('IWP11'!Std7PayrollEmploymentRequirements, 0, 0, 1, 1) = 0, "", OFFSET('IWP11'!Std7PayrollEmploymentRequirements, 0, 0, 1, 1))</f>
        <v/>
      </c>
      <c r="C1394" s="195" t="str">
        <f ca="1">IF(OFFSET('IWP11'!Std7PayrollEmploymentRequirements, 0, 2, 1, 1) = 0, "", OFFSET('IWP11'!Std7PayrollEmploymentRequirements, 0, 2, 1, 1))</f>
        <v/>
      </c>
      <c r="D1394" s="172">
        <f ca="1">IF(OFFSET('IWP11'!Std7PayrollEmploymentRequirements, 0, 4, 1, 1)=DATE(1900,1,0), DATE(1900,1,1), OFFSET('IWP11'!Std7PayrollEmploymentRequirements, 0, 4, 1, 1))</f>
        <v>1</v>
      </c>
      <c r="E1394" s="195" t="str">
        <f ca="1">IF(OFFSET('IWP11'!Std7PayrollEmploymentRequirements, 0, 5, 1, 1) = 0, "", OFFSET('IWP11'!Std7PayrollEmploymentRequirements, 0, 5, 1, 1))</f>
        <v/>
      </c>
      <c r="F1394" s="195" t="str">
        <f ca="1">IF(OFFSET('IWP11'!Std7PayrollEmploymentRequirements, 0, 6, 1, 1) = 0, "", OFFSET('IWP11'!Std7PayrollEmploymentRequirements, 0, 6, 1, 1))</f>
        <v/>
      </c>
      <c r="G1394" s="195" t="str">
        <f ca="1">IF(OFFSET('IWP11'!Std7PayrollEmploymentRequirements, 0, 7, 1, 1) = 0, "", OFFSET('IWP11'!Std7PayrollEmploymentRequirements, 0, 7, 1, 1))</f>
        <v/>
      </c>
      <c r="H1394" s="195" t="str">
        <f ca="1">IF(OFFSET('IWP11'!Std7PayrollEmploymentRequirements, 0, 9, 1, 1) = 0, "", OFFSET('IWP11'!Std7PayrollEmploymentRequirements, 0, 9, 1, 1))</f>
        <v/>
      </c>
      <c r="I1394" s="194" t="str">
        <f ca="1">IF(OFFSET('IWP11'!Std7PayrollEmploymentRequirements, 0, 11, 1, 1) = 0, "", OFFSET('IWP11'!Std7PayrollEmploymentRequirements, 0, 11, 1, 1))</f>
        <v/>
      </c>
    </row>
    <row r="1395" spans="1:9" s="146" customFormat="1">
      <c r="A1395" s="183" t="s">
        <v>509</v>
      </c>
      <c r="B1395" s="195" t="str">
        <f ca="1">IF(OFFSET('IWP11'!Std7PayrollEmploymentRequirements, 1, 0, 1, 1) = 0, "", OFFSET('IWP11'!Std7PayrollEmploymentRequirements, 1, 0, 1, 1))</f>
        <v/>
      </c>
      <c r="C1395" s="195" t="str">
        <f ca="1">IF(OFFSET('IWP11'!Std7PayrollEmploymentRequirements, 1, 2, 1, 1) = 0, "", OFFSET('IWP11'!Std7PayrollEmploymentRequirements, 1, 2, 1, 1))</f>
        <v/>
      </c>
      <c r="D1395" s="172">
        <f ca="1">IF(OFFSET('IWP11'!Std7PayrollEmploymentRequirements, 1, 4, 1, 1)=DATE(1900,1,0), DATE(1900,1,1), OFFSET('IWP11'!Std7PayrollEmploymentRequirements, 1, 4, 1, 1))</f>
        <v>1</v>
      </c>
      <c r="E1395" s="195" t="str">
        <f ca="1">IF(OFFSET('IWP11'!Std7PayrollEmploymentRequirements, 1, 5, 1, 1) = 0, "", OFFSET('IWP11'!Std7PayrollEmploymentRequirements, 1, 5, 1, 1))</f>
        <v/>
      </c>
      <c r="F1395" s="195" t="str">
        <f ca="1">IF(OFFSET('IWP11'!Std7PayrollEmploymentRequirements, 1, 6, 1, 1) = 0, "", OFFSET('IWP11'!Std7PayrollEmploymentRequirements, 1, 6, 1, 1))</f>
        <v/>
      </c>
      <c r="G1395" s="195" t="str">
        <f ca="1">IF(OFFSET('IWP11'!Std7PayrollEmploymentRequirements, 1, 7, 1, 1) = 0, "", OFFSET('IWP11'!Std7PayrollEmploymentRequirements, 1, 7, 1, 1))</f>
        <v/>
      </c>
      <c r="H1395" s="195" t="str">
        <f ca="1">IF(OFFSET('IWP11'!Std7PayrollEmploymentRequirements, 1, 9, 1, 1) = 0, "", OFFSET('IWP11'!Std7PayrollEmploymentRequirements, 1, 9, 1, 1))</f>
        <v/>
      </c>
      <c r="I1395" s="194" t="str">
        <f ca="1">IF(OFFSET('IWP11'!Std7PayrollEmploymentRequirements, 1, 11, 1, 1) = 0, "", OFFSET('IWP11'!Std7PayrollEmploymentRequirements, 1, 11, 1, 1))</f>
        <v/>
      </c>
    </row>
    <row r="1396" spans="1:9" s="146" customFormat="1">
      <c r="A1396" s="183" t="s">
        <v>509</v>
      </c>
      <c r="B1396" s="195" t="str">
        <f ca="1">IF(OFFSET('IWP11'!Std7PayrollEmploymentRequirements, 2, 0, 1, 1) = 0, "", OFFSET('IWP11'!Std7PayrollEmploymentRequirements, 2, 0, 1, 1))</f>
        <v/>
      </c>
      <c r="C1396" s="195" t="str">
        <f ca="1">IF(OFFSET('IWP11'!Std7PayrollEmploymentRequirements, 2, 2, 1, 1) = 0, "", OFFSET('IWP11'!Std7PayrollEmploymentRequirements, 2, 2, 1, 1))</f>
        <v/>
      </c>
      <c r="D1396" s="172">
        <f ca="1">IF(OFFSET('IWP11'!Std7PayrollEmploymentRequirements, 2, 4, 1, 1)=DATE(1900,1,0), DATE(1900,1,1), OFFSET('IWP11'!Std7PayrollEmploymentRequirements, 2, 4, 1, 1))</f>
        <v>1</v>
      </c>
      <c r="E1396" s="195" t="str">
        <f ca="1">IF(OFFSET('IWP11'!Std7PayrollEmploymentRequirements, 2, 5, 1, 1) = 0, "", OFFSET('IWP11'!Std7PayrollEmploymentRequirements, 2, 5, 1, 1))</f>
        <v/>
      </c>
      <c r="F1396" s="195" t="str">
        <f ca="1">IF(OFFSET('IWP11'!Std7PayrollEmploymentRequirements, 2, 6, 1, 1) = 0, "", OFFSET('IWP11'!Std7PayrollEmploymentRequirements, 2, 6, 1, 1))</f>
        <v/>
      </c>
      <c r="G1396" s="195" t="str">
        <f ca="1">IF(OFFSET('IWP11'!Std7PayrollEmploymentRequirements, 2, 7, 1, 1) = 0, "", OFFSET('IWP11'!Std7PayrollEmploymentRequirements, 2, 7, 1, 1))</f>
        <v/>
      </c>
      <c r="H1396" s="195" t="str">
        <f ca="1">IF(OFFSET('IWP11'!Std7PayrollEmploymentRequirements, 2, 9, 1, 1) = 0, "", OFFSET('IWP11'!Std7PayrollEmploymentRequirements, 2, 9, 1, 1))</f>
        <v/>
      </c>
      <c r="I1396" s="194" t="str">
        <f ca="1">IF(OFFSET('IWP11'!Std7PayrollEmploymentRequirements, 2, 11, 1, 1) = 0, "", OFFSET('IWP11'!Std7PayrollEmploymentRequirements, 2, 11, 1, 1))</f>
        <v/>
      </c>
    </row>
    <row r="1397" spans="1:9" s="146" customFormat="1">
      <c r="A1397" s="183" t="s">
        <v>509</v>
      </c>
      <c r="B1397" s="195" t="str">
        <f ca="1">IF(OFFSET('IWP11'!Std7PayrollEmploymentRequirements, 3, 0, 1, 1) = 0, "", OFFSET('IWP11'!Std7PayrollEmploymentRequirements, 3, 0, 1, 1))</f>
        <v/>
      </c>
      <c r="C1397" s="195" t="str">
        <f ca="1">IF(OFFSET('IWP11'!Std7PayrollEmploymentRequirements, 3, 2, 1, 1) = 0, "", OFFSET('IWP11'!Std7PayrollEmploymentRequirements, 3, 2, 1, 1))</f>
        <v/>
      </c>
      <c r="D1397" s="172">
        <f ca="1">IF(OFFSET('IWP11'!Std7PayrollEmploymentRequirements, 3, 4, 1, 1)=DATE(1900,1,0), DATE(1900,1,1), OFFSET('IWP11'!Std7PayrollEmploymentRequirements, 3, 4, 1, 1))</f>
        <v>1</v>
      </c>
      <c r="E1397" s="195" t="str">
        <f ca="1">IF(OFFSET('IWP11'!Std7PayrollEmploymentRequirements, 3, 5, 1, 1) = 0, "", OFFSET('IWP11'!Std7PayrollEmploymentRequirements, 3, 5, 1, 1))</f>
        <v/>
      </c>
      <c r="F1397" s="195" t="str">
        <f ca="1">IF(OFFSET('IWP11'!Std7PayrollEmploymentRequirements, 3, 6, 1, 1) = 0, "", OFFSET('IWP11'!Std7PayrollEmploymentRequirements, 3, 6, 1, 1))</f>
        <v/>
      </c>
      <c r="G1397" s="195" t="str">
        <f ca="1">IF(OFFSET('IWP11'!Std7PayrollEmploymentRequirements, 3, 7, 1, 1) = 0, "", OFFSET('IWP11'!Std7PayrollEmploymentRequirements, 3, 7, 1, 1))</f>
        <v/>
      </c>
      <c r="H1397" s="195" t="str">
        <f ca="1">IF(OFFSET('IWP11'!Std7PayrollEmploymentRequirements, 3, 9, 1, 1) = 0, "", OFFSET('IWP11'!Std7PayrollEmploymentRequirements, 3, 9, 1, 1))</f>
        <v/>
      </c>
      <c r="I1397" s="194" t="str">
        <f ca="1">IF(OFFSET('IWP11'!Std7PayrollEmploymentRequirements, 3, 11, 1, 1) = 0, "", OFFSET('IWP11'!Std7PayrollEmploymentRequirements, 3, 11, 1, 1))</f>
        <v/>
      </c>
    </row>
    <row r="1398" spans="1:9" s="146" customFormat="1">
      <c r="A1398" s="183" t="s">
        <v>509</v>
      </c>
      <c r="B1398" s="195" t="str">
        <f ca="1">IF(OFFSET('IWP11'!Std7PayrollEmploymentRequirements, 4, 0, 1, 1) = 0, "", OFFSET('IWP11'!Std7PayrollEmploymentRequirements, 4, 0, 1, 1))</f>
        <v/>
      </c>
      <c r="C1398" s="195" t="str">
        <f ca="1">IF(OFFSET('IWP11'!Std7PayrollEmploymentRequirements, 4, 2, 1, 1) = 0, "", OFFSET('IWP11'!Std7PayrollEmploymentRequirements, 4, 2, 1, 1))</f>
        <v/>
      </c>
      <c r="D1398" s="172">
        <f ca="1">IF(OFFSET('IWP11'!Std7PayrollEmploymentRequirements, 4, 4, 1, 1)=DATE(1900,1,0), DATE(1900,1,1), OFFSET('IWP11'!Std7PayrollEmploymentRequirements, 4, 4, 1, 1))</f>
        <v>1</v>
      </c>
      <c r="E1398" s="195" t="str">
        <f ca="1">IF(OFFSET('IWP11'!Std7PayrollEmploymentRequirements, 4, 5, 1, 1) = 0, "", OFFSET('IWP11'!Std7PayrollEmploymentRequirements, 4, 5, 1, 1))</f>
        <v/>
      </c>
      <c r="F1398" s="195" t="str">
        <f ca="1">IF(OFFSET('IWP11'!Std7PayrollEmploymentRequirements, 4, 6, 1, 1) = 0, "", OFFSET('IWP11'!Std7PayrollEmploymentRequirements, 4, 6, 1, 1))</f>
        <v/>
      </c>
      <c r="G1398" s="195" t="str">
        <f ca="1">IF(OFFSET('IWP11'!Std7PayrollEmploymentRequirements, 4, 7, 1, 1) = 0, "", OFFSET('IWP11'!Std7PayrollEmploymentRequirements, 4, 7, 1, 1))</f>
        <v/>
      </c>
      <c r="H1398" s="195" t="str">
        <f ca="1">IF(OFFSET('IWP11'!Std7PayrollEmploymentRequirements, 4, 9, 1, 1) = 0, "", OFFSET('IWP11'!Std7PayrollEmploymentRequirements, 4, 9, 1, 1))</f>
        <v/>
      </c>
      <c r="I1398" s="194" t="str">
        <f ca="1">IF(OFFSET('IWP11'!Std7PayrollEmploymentRequirements, 4, 11, 1, 1) = 0, "", OFFSET('IWP11'!Std7PayrollEmploymentRequirements, 4, 11, 1, 1))</f>
        <v/>
      </c>
    </row>
    <row r="1399" spans="1:9" s="146" customFormat="1">
      <c r="A1399" s="183" t="s">
        <v>509</v>
      </c>
      <c r="B1399" s="195" t="str">
        <f ca="1">IF(OFFSET('IWP11'!Std7PayrollEmploymentRequirements, 5, 0, 1, 1) = 0, "", OFFSET('IWP11'!Std7PayrollEmploymentRequirements, 5, 0, 1, 1))</f>
        <v/>
      </c>
      <c r="C1399" s="195" t="str">
        <f ca="1">IF(OFFSET('IWP11'!Std7PayrollEmploymentRequirements, 5, 2, 1, 1) = 0, "", OFFSET('IWP11'!Std7PayrollEmploymentRequirements, 5, 2, 1, 1))</f>
        <v/>
      </c>
      <c r="D1399" s="172">
        <f ca="1">IF(OFFSET('IWP11'!Std7PayrollEmploymentRequirements, 5, 4, 1, 1)=DATE(1900,1,0), DATE(1900,1,1), OFFSET('IWP11'!Std7PayrollEmploymentRequirements, 5, 4, 1, 1))</f>
        <v>1</v>
      </c>
      <c r="E1399" s="195" t="str">
        <f ca="1">IF(OFFSET('IWP11'!Std7PayrollEmploymentRequirements, 5, 5, 1, 1) = 0, "", OFFSET('IWP11'!Std7PayrollEmploymentRequirements, 5, 5, 1, 1))</f>
        <v/>
      </c>
      <c r="F1399" s="195" t="str">
        <f ca="1">IF(OFFSET('IWP11'!Std7PayrollEmploymentRequirements, 5, 6, 1, 1) = 0, "", OFFSET('IWP11'!Std7PayrollEmploymentRequirements, 5, 6, 1, 1))</f>
        <v/>
      </c>
      <c r="G1399" s="195" t="str">
        <f ca="1">IF(OFFSET('IWP11'!Std7PayrollEmploymentRequirements, 5, 7, 1, 1) = 0, "", OFFSET('IWP11'!Std7PayrollEmploymentRequirements, 5, 7, 1, 1))</f>
        <v/>
      </c>
      <c r="H1399" s="195" t="str">
        <f ca="1">IF(OFFSET('IWP11'!Std7PayrollEmploymentRequirements, 5, 9, 1, 1) = 0, "", OFFSET('IWP11'!Std7PayrollEmploymentRequirements, 5, 9, 1, 1))</f>
        <v/>
      </c>
      <c r="I1399" s="194" t="str">
        <f ca="1">IF(OFFSET('IWP11'!Std7PayrollEmploymentRequirements, 5, 11, 1, 1) = 0, "", OFFSET('IWP11'!Std7PayrollEmploymentRequirements, 5, 11, 1, 1))</f>
        <v/>
      </c>
    </row>
    <row r="1400" spans="1:9" s="146" customFormat="1">
      <c r="A1400" s="183" t="s">
        <v>509</v>
      </c>
      <c r="B1400" s="195" t="str">
        <f ca="1">IF(OFFSET('IWP11'!Std7PayrollEmploymentRequirements, 6, 0, 1, 1) = 0, "", OFFSET('IWP11'!Std7PayrollEmploymentRequirements, 6, 0, 1, 1))</f>
        <v/>
      </c>
      <c r="C1400" s="195" t="str">
        <f ca="1">IF(OFFSET('IWP11'!Std7PayrollEmploymentRequirements, 6, 2, 1, 1) = 0, "", OFFSET('IWP11'!Std7PayrollEmploymentRequirements, 6, 2, 1, 1))</f>
        <v/>
      </c>
      <c r="D1400" s="172">
        <f ca="1">IF(OFFSET('IWP11'!Std7PayrollEmploymentRequirements, 6, 4, 1, 1)=DATE(1900,1,0), DATE(1900,1,1), OFFSET('IWP11'!Std7PayrollEmploymentRequirements, 6, 4, 1, 1))</f>
        <v>1</v>
      </c>
      <c r="E1400" s="195" t="str">
        <f ca="1">IF(OFFSET('IWP11'!Std7PayrollEmploymentRequirements, 6, 5, 1, 1) = 0, "", OFFSET('IWP11'!Std7PayrollEmploymentRequirements, 6, 5, 1, 1))</f>
        <v/>
      </c>
      <c r="F1400" s="195" t="str">
        <f ca="1">IF(OFFSET('IWP11'!Std7PayrollEmploymentRequirements, 6, 6, 1, 1) = 0, "", OFFSET('IWP11'!Std7PayrollEmploymentRequirements, 6, 6, 1, 1))</f>
        <v/>
      </c>
      <c r="G1400" s="195" t="str">
        <f ca="1">IF(OFFSET('IWP11'!Std7PayrollEmploymentRequirements, 6, 7, 1, 1) = 0, "", OFFSET('IWP11'!Std7PayrollEmploymentRequirements, 6, 7, 1, 1))</f>
        <v/>
      </c>
      <c r="H1400" s="195" t="str">
        <f ca="1">IF(OFFSET('IWP11'!Std7PayrollEmploymentRequirements, 6, 9, 1, 1) = 0, "", OFFSET('IWP11'!Std7PayrollEmploymentRequirements, 6, 9, 1, 1))</f>
        <v/>
      </c>
      <c r="I1400" s="194" t="str">
        <f ca="1">IF(OFFSET('IWP11'!Std7PayrollEmploymentRequirements, 6, 11, 1, 1) = 0, "", OFFSET('IWP11'!Std7PayrollEmploymentRequirements, 6, 11, 1, 1))</f>
        <v/>
      </c>
    </row>
    <row r="1401" spans="1:9" s="146" customFormat="1">
      <c r="A1401" s="183" t="s">
        <v>509</v>
      </c>
      <c r="B1401" s="195" t="str">
        <f ca="1">IF(OFFSET('IWP11'!Std7PayrollEmploymentRequirements, 7, 0, 1, 1) = 0, "", OFFSET('IWP11'!Std7PayrollEmploymentRequirements, 7, 0, 1, 1))</f>
        <v/>
      </c>
      <c r="C1401" s="195" t="str">
        <f ca="1">IF(OFFSET('IWP11'!Std7PayrollEmploymentRequirements, 7, 2, 1, 1) = 0, "", OFFSET('IWP11'!Std7PayrollEmploymentRequirements, 7, 2, 1, 1))</f>
        <v/>
      </c>
      <c r="D1401" s="172">
        <f ca="1">IF(OFFSET('IWP11'!Std7PayrollEmploymentRequirements, 7, 4, 1, 1)=DATE(1900,1,0), DATE(1900,1,1), OFFSET('IWP11'!Std7PayrollEmploymentRequirements, 7, 4, 1, 1))</f>
        <v>1</v>
      </c>
      <c r="E1401" s="195" t="str">
        <f ca="1">IF(OFFSET('IWP11'!Std7PayrollEmploymentRequirements, 7, 5, 1, 1) = 0, "", OFFSET('IWP11'!Std7PayrollEmploymentRequirements, 7, 5, 1, 1))</f>
        <v/>
      </c>
      <c r="F1401" s="195" t="str">
        <f ca="1">IF(OFFSET('IWP11'!Std7PayrollEmploymentRequirements, 7, 6, 1, 1) = 0, "", OFFSET('IWP11'!Std7PayrollEmploymentRequirements, 7, 6, 1, 1))</f>
        <v/>
      </c>
      <c r="G1401" s="195" t="str">
        <f ca="1">IF(OFFSET('IWP11'!Std7PayrollEmploymentRequirements, 7, 7, 1, 1) = 0, "", OFFSET('IWP11'!Std7PayrollEmploymentRequirements, 7, 7, 1, 1))</f>
        <v/>
      </c>
      <c r="H1401" s="195" t="str">
        <f ca="1">IF(OFFSET('IWP11'!Std7PayrollEmploymentRequirements, 7, 9, 1, 1) = 0, "", OFFSET('IWP11'!Std7PayrollEmploymentRequirements, 7, 9, 1, 1))</f>
        <v/>
      </c>
      <c r="I1401" s="194" t="str">
        <f ca="1">IF(OFFSET('IWP11'!Std7PayrollEmploymentRequirements, 7, 11, 1, 1) = 0, "", OFFSET('IWP11'!Std7PayrollEmploymentRequirements, 7, 11, 1, 1))</f>
        <v/>
      </c>
    </row>
    <row r="1402" spans="1:9" s="146" customFormat="1">
      <c r="A1402" s="183" t="s">
        <v>509</v>
      </c>
      <c r="B1402" s="195" t="str">
        <f ca="1">IF(OFFSET('IWP11'!Std7PayrollEmploymentRequirements, 8, 0, 1, 1) = 0, "", OFFSET('IWP11'!Std7PayrollEmploymentRequirements, 8, 0, 1, 1))</f>
        <v/>
      </c>
      <c r="C1402" s="195" t="str">
        <f ca="1">IF(OFFSET('IWP11'!Std7PayrollEmploymentRequirements, 8, 2, 1, 1) = 0, "", OFFSET('IWP11'!Std7PayrollEmploymentRequirements, 8, 2, 1, 1))</f>
        <v/>
      </c>
      <c r="D1402" s="172">
        <f ca="1">IF(OFFSET('IWP11'!Std7PayrollEmploymentRequirements, 8, 4, 1, 1)=DATE(1900,1,0), DATE(1900,1,1), OFFSET('IWP11'!Std7PayrollEmploymentRequirements, 8, 4, 1, 1))</f>
        <v>1</v>
      </c>
      <c r="E1402" s="195" t="str">
        <f ca="1">IF(OFFSET('IWP11'!Std7PayrollEmploymentRequirements, 8, 5, 1, 1) = 0, "", OFFSET('IWP11'!Std7PayrollEmploymentRequirements, 8, 5, 1, 1))</f>
        <v/>
      </c>
      <c r="F1402" s="195" t="str">
        <f ca="1">IF(OFFSET('IWP11'!Std7PayrollEmploymentRequirements, 8, 6, 1, 1) = 0, "", OFFSET('IWP11'!Std7PayrollEmploymentRequirements, 8, 6, 1, 1))</f>
        <v/>
      </c>
      <c r="G1402" s="195" t="str">
        <f ca="1">IF(OFFSET('IWP11'!Std7PayrollEmploymentRequirements, 8, 7, 1, 1) = 0, "", OFFSET('IWP11'!Std7PayrollEmploymentRequirements, 8, 7, 1, 1))</f>
        <v/>
      </c>
      <c r="H1402" s="195" t="str">
        <f ca="1">IF(OFFSET('IWP11'!Std7PayrollEmploymentRequirements, 8, 9, 1, 1) = 0, "", OFFSET('IWP11'!Std7PayrollEmploymentRequirements, 8, 9, 1, 1))</f>
        <v/>
      </c>
      <c r="I1402" s="194" t="str">
        <f ca="1">IF(OFFSET('IWP11'!Std7PayrollEmploymentRequirements, 8, 11, 1, 1) = 0, "", OFFSET('IWP11'!Std7PayrollEmploymentRequirements, 8, 11, 1, 1))</f>
        <v/>
      </c>
    </row>
    <row r="1403" spans="1:9" s="146" customFormat="1">
      <c r="A1403" s="183" t="s">
        <v>509</v>
      </c>
      <c r="B1403" s="195" t="str">
        <f ca="1">IF(OFFSET('IWP11'!Std7PayrollEmploymentRequirements, 9, 0, 1, 1) = 0, "", OFFSET('IWP11'!Std7PayrollEmploymentRequirements, 9, 0, 1, 1))</f>
        <v/>
      </c>
      <c r="C1403" s="195" t="str">
        <f ca="1">IF(OFFSET('IWP11'!Std7PayrollEmploymentRequirements, 9, 2, 1, 1) = 0, "", OFFSET('IWP11'!Std7PayrollEmploymentRequirements, 9, 2, 1, 1))</f>
        <v/>
      </c>
      <c r="D1403" s="172">
        <f ca="1">IF(OFFSET('IWP11'!Std7PayrollEmploymentRequirements, 9, 4, 1, 1)=DATE(1900,1,0), DATE(1900,1,1), OFFSET('IWP11'!Std7PayrollEmploymentRequirements, 9, 4, 1, 1))</f>
        <v>1</v>
      </c>
      <c r="E1403" s="195" t="str">
        <f ca="1">IF(OFFSET('IWP11'!Std7PayrollEmploymentRequirements, 9, 5, 1, 1) = 0, "", OFFSET('IWP11'!Std7PayrollEmploymentRequirements, 9, 5, 1, 1))</f>
        <v/>
      </c>
      <c r="F1403" s="195" t="str">
        <f ca="1">IF(OFFSET('IWP11'!Std7PayrollEmploymentRequirements, 9, 6, 1, 1) = 0, "", OFFSET('IWP11'!Std7PayrollEmploymentRequirements, 9, 6, 1, 1))</f>
        <v/>
      </c>
      <c r="G1403" s="195" t="str">
        <f ca="1">IF(OFFSET('IWP11'!Std7PayrollEmploymentRequirements, 9, 7, 1, 1) = 0, "", OFFSET('IWP11'!Std7PayrollEmploymentRequirements, 9, 7, 1, 1))</f>
        <v/>
      </c>
      <c r="H1403" s="195" t="str">
        <f ca="1">IF(OFFSET('IWP11'!Std7PayrollEmploymentRequirements, 9, 9, 1, 1) = 0, "", OFFSET('IWP11'!Std7PayrollEmploymentRequirements, 9, 9, 1, 1))</f>
        <v/>
      </c>
      <c r="I1403" s="194" t="str">
        <f ca="1">IF(OFFSET('IWP11'!Std7PayrollEmploymentRequirements, 9, 11, 1, 1) = 0, "", OFFSET('IWP11'!Std7PayrollEmploymentRequirements, 9, 11, 1, 1))</f>
        <v/>
      </c>
    </row>
    <row r="1404" spans="1:9" s="146" customFormat="1">
      <c r="A1404" s="183" t="s">
        <v>509</v>
      </c>
      <c r="B1404" s="195" t="str">
        <f ca="1">IF(OFFSET('IWP11'!Std7PayrollEmploymentRequirements, 10, 0, 1, 1) = 0, "", OFFSET('IWP11'!Std7PayrollEmploymentRequirements, 10, 0, 1, 1))</f>
        <v/>
      </c>
      <c r="C1404" s="195" t="str">
        <f ca="1">IF(OFFSET('IWP11'!Std7PayrollEmploymentRequirements, 10, 2, 1, 1) = 0, "", OFFSET('IWP11'!Std7PayrollEmploymentRequirements, 10, 2, 1, 1))</f>
        <v/>
      </c>
      <c r="D1404" s="172">
        <f ca="1">IF(OFFSET('IWP11'!Std7PayrollEmploymentRequirements, 10, 4, 1, 1)=DATE(1900,1,0), DATE(1900,1,1), OFFSET('IWP11'!Std7PayrollEmploymentRequirements, 10, 4, 1, 1))</f>
        <v>1</v>
      </c>
      <c r="E1404" s="195" t="str">
        <f ca="1">IF(OFFSET('IWP11'!Std7PayrollEmploymentRequirements, 10, 5, 1, 1) = 0, "", OFFSET('IWP11'!Std7PayrollEmploymentRequirements, 10, 5, 1, 1))</f>
        <v/>
      </c>
      <c r="F1404" s="195" t="str">
        <f ca="1">IF(OFFSET('IWP11'!Std7PayrollEmploymentRequirements, 10, 6, 1, 1) = 0, "", OFFSET('IWP11'!Std7PayrollEmploymentRequirements, 10, 6, 1, 1))</f>
        <v/>
      </c>
      <c r="G1404" s="195" t="str">
        <f ca="1">IF(OFFSET('IWP11'!Std7PayrollEmploymentRequirements, 10, 7, 1, 1) = 0, "", OFFSET('IWP11'!Std7PayrollEmploymentRequirements, 10, 7, 1, 1))</f>
        <v/>
      </c>
      <c r="H1404" s="195" t="str">
        <f ca="1">IF(OFFSET('IWP11'!Std7PayrollEmploymentRequirements, 10, 9, 1, 1) = 0, "", OFFSET('IWP11'!Std7PayrollEmploymentRequirements, 10, 9, 1, 1))</f>
        <v/>
      </c>
      <c r="I1404" s="194" t="str">
        <f ca="1">IF(OFFSET('IWP11'!Std7PayrollEmploymentRequirements, 10, 11, 1, 1) = 0, "", OFFSET('IWP11'!Std7PayrollEmploymentRequirements, 10, 11, 1, 1))</f>
        <v/>
      </c>
    </row>
    <row r="1405" spans="1:9" s="146" customFormat="1">
      <c r="A1405" s="183" t="s">
        <v>509</v>
      </c>
      <c r="B1405" s="195" t="str">
        <f ca="1">IF(OFFSET('IWP11'!Std7PayrollEmploymentRequirements, 11, 0, 1, 1) = 0, "", OFFSET('IWP11'!Std7PayrollEmploymentRequirements, 11, 0, 1, 1))</f>
        <v/>
      </c>
      <c r="C1405" s="195" t="str">
        <f ca="1">IF(OFFSET('IWP11'!Std7PayrollEmploymentRequirements, 11, 2, 1, 1) = 0, "", OFFSET('IWP11'!Std7PayrollEmploymentRequirements, 11, 2, 1, 1))</f>
        <v/>
      </c>
      <c r="D1405" s="172">
        <f ca="1">IF(OFFSET('IWP11'!Std7PayrollEmploymentRequirements, 11, 4, 1, 1)=DATE(1900,1,0), DATE(1900,1,1), OFFSET('IWP11'!Std7PayrollEmploymentRequirements, 11, 4, 1, 1))</f>
        <v>1</v>
      </c>
      <c r="E1405" s="195" t="str">
        <f ca="1">IF(OFFSET('IWP11'!Std7PayrollEmploymentRequirements, 11, 5, 1, 1) = 0, "", OFFSET('IWP11'!Std7PayrollEmploymentRequirements, 11, 5, 1, 1))</f>
        <v/>
      </c>
      <c r="F1405" s="195" t="str">
        <f ca="1">IF(OFFSET('IWP11'!Std7PayrollEmploymentRequirements, 11, 6, 1, 1) = 0, "", OFFSET('IWP11'!Std7PayrollEmploymentRequirements, 11, 6, 1, 1))</f>
        <v/>
      </c>
      <c r="G1405" s="195" t="str">
        <f ca="1">IF(OFFSET('IWP11'!Std7PayrollEmploymentRequirements, 11, 7, 1, 1) = 0, "", OFFSET('IWP11'!Std7PayrollEmploymentRequirements, 11, 7, 1, 1))</f>
        <v/>
      </c>
      <c r="H1405" s="195" t="str">
        <f ca="1">IF(OFFSET('IWP11'!Std7PayrollEmploymentRequirements, 11, 9, 1, 1) = 0, "", OFFSET('IWP11'!Std7PayrollEmploymentRequirements, 11, 9, 1, 1))</f>
        <v/>
      </c>
      <c r="I1405" s="194" t="str">
        <f ca="1">IF(OFFSET('IWP11'!Std7PayrollEmploymentRequirements, 11, 11, 1, 1) = 0, "", OFFSET('IWP11'!Std7PayrollEmploymentRequirements, 11, 11, 1, 1))</f>
        <v/>
      </c>
    </row>
    <row r="1406" spans="1:9" s="146" customFormat="1">
      <c r="A1406" s="183" t="s">
        <v>509</v>
      </c>
      <c r="B1406" s="195" t="str">
        <f ca="1">IF(OFFSET('IWP11'!Std7PayrollEmploymentRequirements, 12, 0, 1, 1) = 0, "", OFFSET('IWP11'!Std7PayrollEmploymentRequirements, 12, 0, 1, 1))</f>
        <v/>
      </c>
      <c r="C1406" s="195" t="str">
        <f ca="1">IF(OFFSET('IWP11'!Std7PayrollEmploymentRequirements, 12, 2, 1, 1) = 0, "", OFFSET('IWP11'!Std7PayrollEmploymentRequirements, 12, 2, 1, 1))</f>
        <v/>
      </c>
      <c r="D1406" s="172">
        <f ca="1">IF(OFFSET('IWP11'!Std7PayrollEmploymentRequirements, 12, 4, 1, 1)=DATE(1900,1,0), DATE(1900,1,1), OFFSET('IWP11'!Std7PayrollEmploymentRequirements, 12, 4, 1, 1))</f>
        <v>1</v>
      </c>
      <c r="E1406" s="195" t="str">
        <f ca="1">IF(OFFSET('IWP11'!Std7PayrollEmploymentRequirements, 12, 5, 1, 1) = 0, "", OFFSET('IWP11'!Std7PayrollEmploymentRequirements, 12, 5, 1, 1))</f>
        <v/>
      </c>
      <c r="F1406" s="195" t="str">
        <f ca="1">IF(OFFSET('IWP11'!Std7PayrollEmploymentRequirements, 12, 6, 1, 1) = 0, "", OFFSET('IWP11'!Std7PayrollEmploymentRequirements, 12, 6, 1, 1))</f>
        <v/>
      </c>
      <c r="G1406" s="195" t="str">
        <f ca="1">IF(OFFSET('IWP11'!Std7PayrollEmploymentRequirements, 12, 7, 1, 1) = 0, "", OFFSET('IWP11'!Std7PayrollEmploymentRequirements, 12, 7, 1, 1))</f>
        <v/>
      </c>
      <c r="H1406" s="195" t="str">
        <f ca="1">IF(OFFSET('IWP11'!Std7PayrollEmploymentRequirements, 12, 9, 1, 1) = 0, "", OFFSET('IWP11'!Std7PayrollEmploymentRequirements, 12, 9, 1, 1))</f>
        <v/>
      </c>
      <c r="I1406" s="194" t="str">
        <f ca="1">IF(OFFSET('IWP11'!Std7PayrollEmploymentRequirements, 12, 11, 1, 1) = 0, "", OFFSET('IWP11'!Std7PayrollEmploymentRequirements, 12, 11, 1, 1))</f>
        <v/>
      </c>
    </row>
    <row r="1407" spans="1:9" s="146" customFormat="1">
      <c r="A1407" s="183" t="s">
        <v>509</v>
      </c>
      <c r="B1407" s="195" t="str">
        <f ca="1">IF(OFFSET('IWP11'!Std7PayrollEmploymentRequirements, 13, 0, 1, 1) = 0, "", OFFSET('IWP11'!Std7PayrollEmploymentRequirements, 13, 0, 1, 1))</f>
        <v/>
      </c>
      <c r="C1407" s="195" t="str">
        <f ca="1">IF(OFFSET('IWP11'!Std7PayrollEmploymentRequirements, 13, 2, 1, 1) = 0, "", OFFSET('IWP11'!Std7PayrollEmploymentRequirements, 13, 2, 1, 1))</f>
        <v/>
      </c>
      <c r="D1407" s="172">
        <f ca="1">IF(OFFSET('IWP11'!Std7PayrollEmploymentRequirements, 13, 4, 1, 1)=DATE(1900,1,0), DATE(1900,1,1), OFFSET('IWP11'!Std7PayrollEmploymentRequirements, 13, 4, 1, 1))</f>
        <v>1</v>
      </c>
      <c r="E1407" s="195" t="str">
        <f ca="1">IF(OFFSET('IWP11'!Std7PayrollEmploymentRequirements, 13, 5, 1, 1) = 0, "", OFFSET('IWP11'!Std7PayrollEmploymentRequirements, 13, 5, 1, 1))</f>
        <v/>
      </c>
      <c r="F1407" s="195" t="str">
        <f ca="1">IF(OFFSET('IWP11'!Std7PayrollEmploymentRequirements, 13, 6, 1, 1) = 0, "", OFFSET('IWP11'!Std7PayrollEmploymentRequirements, 13, 6, 1, 1))</f>
        <v/>
      </c>
      <c r="G1407" s="195" t="str">
        <f ca="1">IF(OFFSET('IWP11'!Std7PayrollEmploymentRequirements, 13, 7, 1, 1) = 0, "", OFFSET('IWP11'!Std7PayrollEmploymentRequirements, 13, 7, 1, 1))</f>
        <v/>
      </c>
      <c r="H1407" s="195" t="str">
        <f ca="1">IF(OFFSET('IWP11'!Std7PayrollEmploymentRequirements, 13, 9, 1, 1) = 0, "", OFFSET('IWP11'!Std7PayrollEmploymentRequirements, 13, 9, 1, 1))</f>
        <v/>
      </c>
      <c r="I1407" s="194" t="str">
        <f ca="1">IF(OFFSET('IWP11'!Std7PayrollEmploymentRequirements, 13, 11, 1, 1) = 0, "", OFFSET('IWP11'!Std7PayrollEmploymentRequirements, 13, 11, 1, 1))</f>
        <v/>
      </c>
    </row>
    <row r="1408" spans="1:9" s="146" customFormat="1">
      <c r="A1408" s="183" t="s">
        <v>509</v>
      </c>
      <c r="B1408" s="195" t="str">
        <f ca="1">IF(OFFSET('IWP11'!Std7PayrollEmploymentRequirements, 14, 0, 1, 1) = 0, "", OFFSET('IWP11'!Std7PayrollEmploymentRequirements, 14, 0, 1, 1))</f>
        <v/>
      </c>
      <c r="C1408" s="195" t="str">
        <f ca="1">IF(OFFSET('IWP11'!Std7PayrollEmploymentRequirements, 14, 2, 1, 1) = 0, "", OFFSET('IWP11'!Std7PayrollEmploymentRequirements, 14, 2, 1, 1))</f>
        <v/>
      </c>
      <c r="D1408" s="172">
        <f ca="1">IF(OFFSET('IWP11'!Std7PayrollEmploymentRequirements, 14, 4, 1, 1)=DATE(1900,1,0), DATE(1900,1,1), OFFSET('IWP11'!Std7PayrollEmploymentRequirements, 14, 4, 1, 1))</f>
        <v>1</v>
      </c>
      <c r="E1408" s="195" t="str">
        <f ca="1">IF(OFFSET('IWP11'!Std7PayrollEmploymentRequirements, 14, 5, 1, 1) = 0, "", OFFSET('IWP11'!Std7PayrollEmploymentRequirements, 14, 5, 1, 1))</f>
        <v/>
      </c>
      <c r="F1408" s="195" t="str">
        <f ca="1">IF(OFFSET('IWP11'!Std7PayrollEmploymentRequirements, 14, 6, 1, 1) = 0, "", OFFSET('IWP11'!Std7PayrollEmploymentRequirements, 14, 6, 1, 1))</f>
        <v/>
      </c>
      <c r="G1408" s="195" t="str">
        <f ca="1">IF(OFFSET('IWP11'!Std7PayrollEmploymentRequirements, 14, 7, 1, 1) = 0, "", OFFSET('IWP11'!Std7PayrollEmploymentRequirements, 14, 7, 1, 1))</f>
        <v/>
      </c>
      <c r="H1408" s="195" t="str">
        <f ca="1">IF(OFFSET('IWP11'!Std7PayrollEmploymentRequirements, 14, 9, 1, 1) = 0, "", OFFSET('IWP11'!Std7PayrollEmploymentRequirements, 14, 9, 1, 1))</f>
        <v/>
      </c>
      <c r="I1408" s="194" t="str">
        <f ca="1">IF(OFFSET('IWP11'!Std7PayrollEmploymentRequirements, 14, 11, 1, 1) = 0, "", OFFSET('IWP11'!Std7PayrollEmploymentRequirements, 14, 11, 1, 1))</f>
        <v/>
      </c>
    </row>
    <row r="1409" spans="1:9" s="146" customFormat="1">
      <c r="A1409" s="183" t="s">
        <v>509</v>
      </c>
      <c r="B1409" s="195" t="str">
        <f ca="1">IF(OFFSET('IWP11'!Std7PayrollEmploymentRequirements, 15, 0, 1, 1) = 0, "", OFFSET('IWP11'!Std7PayrollEmploymentRequirements, 15, 0, 1, 1))</f>
        <v/>
      </c>
      <c r="C1409" s="195" t="str">
        <f ca="1">IF(OFFSET('IWP11'!Std7PayrollEmploymentRequirements, 15, 2, 1, 1) = 0, "", OFFSET('IWP11'!Std7PayrollEmploymentRequirements, 15, 2, 1, 1))</f>
        <v/>
      </c>
      <c r="D1409" s="172">
        <f ca="1">IF(OFFSET('IWP11'!Std7PayrollEmploymentRequirements, 15, 4, 1, 1)=DATE(1900,1,0), DATE(1900,1,1), OFFSET('IWP11'!Std7PayrollEmploymentRequirements, 15, 4, 1, 1))</f>
        <v>1</v>
      </c>
      <c r="E1409" s="195" t="str">
        <f ca="1">IF(OFFSET('IWP11'!Std7PayrollEmploymentRequirements, 15, 5, 1, 1) = 0, "", OFFSET('IWP11'!Std7PayrollEmploymentRequirements, 15, 5, 1, 1))</f>
        <v/>
      </c>
      <c r="F1409" s="195" t="str">
        <f ca="1">IF(OFFSET('IWP11'!Std7PayrollEmploymentRequirements, 15, 6, 1, 1) = 0, "", OFFSET('IWP11'!Std7PayrollEmploymentRequirements, 15, 6, 1, 1))</f>
        <v/>
      </c>
      <c r="G1409" s="195" t="str">
        <f ca="1">IF(OFFSET('IWP11'!Std7PayrollEmploymentRequirements, 15, 7, 1, 1) = 0, "", OFFSET('IWP11'!Std7PayrollEmploymentRequirements, 15, 7, 1, 1))</f>
        <v/>
      </c>
      <c r="H1409" s="195" t="str">
        <f ca="1">IF(OFFSET('IWP11'!Std7PayrollEmploymentRequirements, 15, 9, 1, 1) = 0, "", OFFSET('IWP11'!Std7PayrollEmploymentRequirements, 15, 9, 1, 1))</f>
        <v/>
      </c>
      <c r="I1409" s="194" t="str">
        <f ca="1">IF(OFFSET('IWP11'!Std7PayrollEmploymentRequirements, 15, 11, 1, 1) = 0, "", OFFSET('IWP11'!Std7PayrollEmploymentRequirements, 15, 11, 1, 1))</f>
        <v/>
      </c>
    </row>
    <row r="1410" spans="1:9" s="146" customFormat="1">
      <c r="A1410" s="183" t="s">
        <v>510</v>
      </c>
      <c r="B1410" s="195" t="str">
        <f ca="1">IF(OFFSET('IWP12'!Std7PayrollEmploymentRequirements, 0, 0, 1, 1) = 0, "", OFFSET('IWP12'!Std7PayrollEmploymentRequirements, 0, 0, 1, 1))</f>
        <v/>
      </c>
      <c r="C1410" s="195" t="str">
        <f ca="1">IF(OFFSET('IWP12'!Std7PayrollEmploymentRequirements, 0, 2, 1, 1) = 0, "", OFFSET('IWP12'!Std7PayrollEmploymentRequirements, 0, 2, 1, 1))</f>
        <v/>
      </c>
      <c r="D1410" s="172">
        <f ca="1">IF(OFFSET('IWP12'!Std7PayrollEmploymentRequirements, 0, 4, 1, 1)=DATE(1900,1,0), DATE(1900,1,1), OFFSET('IWP12'!Std7PayrollEmploymentRequirements, 0, 4, 1, 1))</f>
        <v>1</v>
      </c>
      <c r="E1410" s="195" t="str">
        <f ca="1">IF(OFFSET('IWP12'!Std7PayrollEmploymentRequirements, 0, 5, 1, 1) = 0, "", OFFSET('IWP12'!Std7PayrollEmploymentRequirements, 0, 5, 1, 1))</f>
        <v/>
      </c>
      <c r="F1410" s="195" t="str">
        <f ca="1">IF(OFFSET('IWP12'!Std7PayrollEmploymentRequirements, 0, 6, 1, 1) = 0, "", OFFSET('IWP12'!Std7PayrollEmploymentRequirements, 0, 6, 1, 1))</f>
        <v/>
      </c>
      <c r="G1410" s="195" t="str">
        <f ca="1">IF(OFFSET('IWP12'!Std7PayrollEmploymentRequirements, 0, 7, 1, 1) = 0, "", OFFSET('IWP12'!Std7PayrollEmploymentRequirements, 0, 7, 1, 1))</f>
        <v/>
      </c>
      <c r="H1410" s="195" t="str">
        <f ca="1">IF(OFFSET('IWP12'!Std7PayrollEmploymentRequirements, 0, 9, 1, 1) = 0, "", OFFSET('IWP12'!Std7PayrollEmploymentRequirements, 0, 9, 1, 1))</f>
        <v/>
      </c>
      <c r="I1410" s="194" t="str">
        <f ca="1">IF(OFFSET('IWP12'!Std7PayrollEmploymentRequirements, 0, 11, 1, 1) = 0, "", OFFSET('IWP12'!Std7PayrollEmploymentRequirements, 0, 11, 1, 1))</f>
        <v/>
      </c>
    </row>
    <row r="1411" spans="1:9" s="146" customFormat="1">
      <c r="A1411" s="183" t="s">
        <v>510</v>
      </c>
      <c r="B1411" s="195" t="str">
        <f ca="1">IF(OFFSET('IWP12'!Std7PayrollEmploymentRequirements, 1, 0, 1, 1) = 0, "", OFFSET('IWP12'!Std7PayrollEmploymentRequirements, 1, 0, 1, 1))</f>
        <v/>
      </c>
      <c r="C1411" s="195" t="str">
        <f ca="1">IF(OFFSET('IWP12'!Std7PayrollEmploymentRequirements, 1, 2, 1, 1) = 0, "", OFFSET('IWP12'!Std7PayrollEmploymentRequirements, 1, 2, 1, 1))</f>
        <v/>
      </c>
      <c r="D1411" s="172">
        <f ca="1">IF(OFFSET('IWP12'!Std7PayrollEmploymentRequirements, 1, 4, 1, 1)=DATE(1900,1,0), DATE(1900,1,1), OFFSET('IWP12'!Std7PayrollEmploymentRequirements, 1, 4, 1, 1))</f>
        <v>1</v>
      </c>
      <c r="E1411" s="195" t="str">
        <f ca="1">IF(OFFSET('IWP12'!Std7PayrollEmploymentRequirements, 1, 5, 1, 1) = 0, "", OFFSET('IWP12'!Std7PayrollEmploymentRequirements, 1, 5, 1, 1))</f>
        <v/>
      </c>
      <c r="F1411" s="195" t="str">
        <f ca="1">IF(OFFSET('IWP12'!Std7PayrollEmploymentRequirements, 1, 6, 1, 1) = 0, "", OFFSET('IWP12'!Std7PayrollEmploymentRequirements, 1, 6, 1, 1))</f>
        <v/>
      </c>
      <c r="G1411" s="195" t="str">
        <f ca="1">IF(OFFSET('IWP12'!Std7PayrollEmploymentRequirements, 1, 7, 1, 1) = 0, "", OFFSET('IWP12'!Std7PayrollEmploymentRequirements, 1, 7, 1, 1))</f>
        <v/>
      </c>
      <c r="H1411" s="195" t="str">
        <f ca="1">IF(OFFSET('IWP12'!Std7PayrollEmploymentRequirements, 1, 9, 1, 1) = 0, "", OFFSET('IWP12'!Std7PayrollEmploymentRequirements, 1, 9, 1, 1))</f>
        <v/>
      </c>
      <c r="I1411" s="194" t="str">
        <f ca="1">IF(OFFSET('IWP12'!Std7PayrollEmploymentRequirements, 1, 11, 1, 1) = 0, "", OFFSET('IWP12'!Std7PayrollEmploymentRequirements, 1, 11, 1, 1))</f>
        <v/>
      </c>
    </row>
    <row r="1412" spans="1:9" s="146" customFormat="1">
      <c r="A1412" s="183" t="s">
        <v>510</v>
      </c>
      <c r="B1412" s="195" t="str">
        <f ca="1">IF(OFFSET('IWP12'!Std7PayrollEmploymentRequirements, 2, 0, 1, 1) = 0, "", OFFSET('IWP12'!Std7PayrollEmploymentRequirements, 2, 0, 1, 1))</f>
        <v/>
      </c>
      <c r="C1412" s="195" t="str">
        <f ca="1">IF(OFFSET('IWP12'!Std7PayrollEmploymentRequirements, 2, 2, 1, 1) = 0, "", OFFSET('IWP12'!Std7PayrollEmploymentRequirements, 2, 2, 1, 1))</f>
        <v/>
      </c>
      <c r="D1412" s="172">
        <f ca="1">IF(OFFSET('IWP12'!Std7PayrollEmploymentRequirements, 2, 4, 1, 1)=DATE(1900,1,0), DATE(1900,1,1), OFFSET('IWP12'!Std7PayrollEmploymentRequirements, 2, 4, 1, 1))</f>
        <v>1</v>
      </c>
      <c r="E1412" s="195" t="str">
        <f ca="1">IF(OFFSET('IWP12'!Std7PayrollEmploymentRequirements, 2, 5, 1, 1) = 0, "", OFFSET('IWP12'!Std7PayrollEmploymentRequirements, 2, 5, 1, 1))</f>
        <v/>
      </c>
      <c r="F1412" s="195" t="str">
        <f ca="1">IF(OFFSET('IWP12'!Std7PayrollEmploymentRequirements, 2, 6, 1, 1) = 0, "", OFFSET('IWP12'!Std7PayrollEmploymentRequirements, 2, 6, 1, 1))</f>
        <v/>
      </c>
      <c r="G1412" s="195" t="str">
        <f ca="1">IF(OFFSET('IWP12'!Std7PayrollEmploymentRequirements, 2, 7, 1, 1) = 0, "", OFFSET('IWP12'!Std7PayrollEmploymentRequirements, 2, 7, 1, 1))</f>
        <v/>
      </c>
      <c r="H1412" s="195" t="str">
        <f ca="1">IF(OFFSET('IWP12'!Std7PayrollEmploymentRequirements, 2, 9, 1, 1) = 0, "", OFFSET('IWP12'!Std7PayrollEmploymentRequirements, 2, 9, 1, 1))</f>
        <v/>
      </c>
      <c r="I1412" s="194" t="str">
        <f ca="1">IF(OFFSET('IWP12'!Std7PayrollEmploymentRequirements, 2, 11, 1, 1) = 0, "", OFFSET('IWP12'!Std7PayrollEmploymentRequirements, 2, 11, 1, 1))</f>
        <v/>
      </c>
    </row>
    <row r="1413" spans="1:9" s="146" customFormat="1">
      <c r="A1413" s="183" t="s">
        <v>510</v>
      </c>
      <c r="B1413" s="195" t="str">
        <f ca="1">IF(OFFSET('IWP12'!Std7PayrollEmploymentRequirements, 3, 0, 1, 1) = 0, "", OFFSET('IWP12'!Std7PayrollEmploymentRequirements, 3, 0, 1, 1))</f>
        <v/>
      </c>
      <c r="C1413" s="195" t="str">
        <f ca="1">IF(OFFSET('IWP12'!Std7PayrollEmploymentRequirements, 3, 2, 1, 1) = 0, "", OFFSET('IWP12'!Std7PayrollEmploymentRequirements, 3, 2, 1, 1))</f>
        <v/>
      </c>
      <c r="D1413" s="172">
        <f ca="1">IF(OFFSET('IWP12'!Std7PayrollEmploymentRequirements, 3, 4, 1, 1)=DATE(1900,1,0), DATE(1900,1,1), OFFSET('IWP12'!Std7PayrollEmploymentRequirements, 3, 4, 1, 1))</f>
        <v>1</v>
      </c>
      <c r="E1413" s="195" t="str">
        <f ca="1">IF(OFFSET('IWP12'!Std7PayrollEmploymentRequirements, 3, 5, 1, 1) = 0, "", OFFSET('IWP12'!Std7PayrollEmploymentRequirements, 3, 5, 1, 1))</f>
        <v/>
      </c>
      <c r="F1413" s="195" t="str">
        <f ca="1">IF(OFFSET('IWP12'!Std7PayrollEmploymentRequirements, 3, 6, 1, 1) = 0, "", OFFSET('IWP12'!Std7PayrollEmploymentRequirements, 3, 6, 1, 1))</f>
        <v/>
      </c>
      <c r="G1413" s="195" t="str">
        <f ca="1">IF(OFFSET('IWP12'!Std7PayrollEmploymentRequirements, 3, 7, 1, 1) = 0, "", OFFSET('IWP12'!Std7PayrollEmploymentRequirements, 3, 7, 1, 1))</f>
        <v/>
      </c>
      <c r="H1413" s="195" t="str">
        <f ca="1">IF(OFFSET('IWP12'!Std7PayrollEmploymentRequirements, 3, 9, 1, 1) = 0, "", OFFSET('IWP12'!Std7PayrollEmploymentRequirements, 3, 9, 1, 1))</f>
        <v/>
      </c>
      <c r="I1413" s="194" t="str">
        <f ca="1">IF(OFFSET('IWP12'!Std7PayrollEmploymentRequirements, 3, 11, 1, 1) = 0, "", OFFSET('IWP12'!Std7PayrollEmploymentRequirements, 3, 11, 1, 1))</f>
        <v/>
      </c>
    </row>
    <row r="1414" spans="1:9" s="146" customFormat="1">
      <c r="A1414" s="183" t="s">
        <v>510</v>
      </c>
      <c r="B1414" s="195" t="str">
        <f ca="1">IF(OFFSET('IWP12'!Std7PayrollEmploymentRequirements, 4, 0, 1, 1) = 0, "", OFFSET('IWP12'!Std7PayrollEmploymentRequirements, 4, 0, 1, 1))</f>
        <v/>
      </c>
      <c r="C1414" s="195" t="str">
        <f ca="1">IF(OFFSET('IWP12'!Std7PayrollEmploymentRequirements, 4, 2, 1, 1) = 0, "", OFFSET('IWP12'!Std7PayrollEmploymentRequirements, 4, 2, 1, 1))</f>
        <v/>
      </c>
      <c r="D1414" s="172">
        <f ca="1">IF(OFFSET('IWP12'!Std7PayrollEmploymentRequirements, 4, 4, 1, 1)=DATE(1900,1,0), DATE(1900,1,1), OFFSET('IWP12'!Std7PayrollEmploymentRequirements, 4, 4, 1, 1))</f>
        <v>1</v>
      </c>
      <c r="E1414" s="195" t="str">
        <f ca="1">IF(OFFSET('IWP12'!Std7PayrollEmploymentRequirements, 4, 5, 1, 1) = 0, "", OFFSET('IWP12'!Std7PayrollEmploymentRequirements, 4, 5, 1, 1))</f>
        <v/>
      </c>
      <c r="F1414" s="195" t="str">
        <f ca="1">IF(OFFSET('IWP12'!Std7PayrollEmploymentRequirements, 4, 6, 1, 1) = 0, "", OFFSET('IWP12'!Std7PayrollEmploymentRequirements, 4, 6, 1, 1))</f>
        <v/>
      </c>
      <c r="G1414" s="195" t="str">
        <f ca="1">IF(OFFSET('IWP12'!Std7PayrollEmploymentRequirements, 4, 7, 1, 1) = 0, "", OFFSET('IWP12'!Std7PayrollEmploymentRequirements, 4, 7, 1, 1))</f>
        <v/>
      </c>
      <c r="H1414" s="195" t="str">
        <f ca="1">IF(OFFSET('IWP12'!Std7PayrollEmploymentRequirements, 4, 9, 1, 1) = 0, "", OFFSET('IWP12'!Std7PayrollEmploymentRequirements, 4, 9, 1, 1))</f>
        <v/>
      </c>
      <c r="I1414" s="194" t="str">
        <f ca="1">IF(OFFSET('IWP12'!Std7PayrollEmploymentRequirements, 4, 11, 1, 1) = 0, "", OFFSET('IWP12'!Std7PayrollEmploymentRequirements, 4, 11, 1, 1))</f>
        <v/>
      </c>
    </row>
    <row r="1415" spans="1:9" s="146" customFormat="1">
      <c r="A1415" s="183" t="s">
        <v>510</v>
      </c>
      <c r="B1415" s="195" t="str">
        <f ca="1">IF(OFFSET('IWP12'!Std7PayrollEmploymentRequirements, 5, 0, 1, 1) = 0, "", OFFSET('IWP12'!Std7PayrollEmploymentRequirements, 5, 0, 1, 1))</f>
        <v/>
      </c>
      <c r="C1415" s="195" t="str">
        <f ca="1">IF(OFFSET('IWP12'!Std7PayrollEmploymentRequirements, 5, 2, 1, 1) = 0, "", OFFSET('IWP12'!Std7PayrollEmploymentRequirements, 5, 2, 1, 1))</f>
        <v/>
      </c>
      <c r="D1415" s="172">
        <f ca="1">IF(OFFSET('IWP12'!Std7PayrollEmploymentRequirements, 5, 4, 1, 1)=DATE(1900,1,0), DATE(1900,1,1), OFFSET('IWP12'!Std7PayrollEmploymentRequirements, 5, 4, 1, 1))</f>
        <v>1</v>
      </c>
      <c r="E1415" s="195" t="str">
        <f ca="1">IF(OFFSET('IWP12'!Std7PayrollEmploymentRequirements, 5, 5, 1, 1) = 0, "", OFFSET('IWP12'!Std7PayrollEmploymentRequirements, 5, 5, 1, 1))</f>
        <v/>
      </c>
      <c r="F1415" s="195" t="str">
        <f ca="1">IF(OFFSET('IWP12'!Std7PayrollEmploymentRequirements, 5, 6, 1, 1) = 0, "", OFFSET('IWP12'!Std7PayrollEmploymentRequirements, 5, 6, 1, 1))</f>
        <v/>
      </c>
      <c r="G1415" s="195" t="str">
        <f ca="1">IF(OFFSET('IWP12'!Std7PayrollEmploymentRequirements, 5, 7, 1, 1) = 0, "", OFFSET('IWP12'!Std7PayrollEmploymentRequirements, 5, 7, 1, 1))</f>
        <v/>
      </c>
      <c r="H1415" s="195" t="str">
        <f ca="1">IF(OFFSET('IWP12'!Std7PayrollEmploymentRequirements, 5, 9, 1, 1) = 0, "", OFFSET('IWP12'!Std7PayrollEmploymentRequirements, 5, 9, 1, 1))</f>
        <v/>
      </c>
      <c r="I1415" s="194" t="str">
        <f ca="1">IF(OFFSET('IWP12'!Std7PayrollEmploymentRequirements, 5, 11, 1, 1) = 0, "", OFFSET('IWP12'!Std7PayrollEmploymentRequirements, 5, 11, 1, 1))</f>
        <v/>
      </c>
    </row>
    <row r="1416" spans="1:9" s="146" customFormat="1">
      <c r="A1416" s="183" t="s">
        <v>510</v>
      </c>
      <c r="B1416" s="195" t="str">
        <f ca="1">IF(OFFSET('IWP12'!Std7PayrollEmploymentRequirements, 6, 0, 1, 1) = 0, "", OFFSET('IWP12'!Std7PayrollEmploymentRequirements, 6, 0, 1, 1))</f>
        <v/>
      </c>
      <c r="C1416" s="195" t="str">
        <f ca="1">IF(OFFSET('IWP12'!Std7PayrollEmploymentRequirements, 6, 2, 1, 1) = 0, "", OFFSET('IWP12'!Std7PayrollEmploymentRequirements, 6, 2, 1, 1))</f>
        <v/>
      </c>
      <c r="D1416" s="172">
        <f ca="1">IF(OFFSET('IWP12'!Std7PayrollEmploymentRequirements, 6, 4, 1, 1)=DATE(1900,1,0), DATE(1900,1,1), OFFSET('IWP12'!Std7PayrollEmploymentRequirements, 6, 4, 1, 1))</f>
        <v>1</v>
      </c>
      <c r="E1416" s="195" t="str">
        <f ca="1">IF(OFFSET('IWP12'!Std7PayrollEmploymentRequirements, 6, 5, 1, 1) = 0, "", OFFSET('IWP12'!Std7PayrollEmploymentRequirements, 6, 5, 1, 1))</f>
        <v/>
      </c>
      <c r="F1416" s="195" t="str">
        <f ca="1">IF(OFFSET('IWP12'!Std7PayrollEmploymentRequirements, 6, 6, 1, 1) = 0, "", OFFSET('IWP12'!Std7PayrollEmploymentRequirements, 6, 6, 1, 1))</f>
        <v/>
      </c>
      <c r="G1416" s="195" t="str">
        <f ca="1">IF(OFFSET('IWP12'!Std7PayrollEmploymentRequirements, 6, 7, 1, 1) = 0, "", OFFSET('IWP12'!Std7PayrollEmploymentRequirements, 6, 7, 1, 1))</f>
        <v/>
      </c>
      <c r="H1416" s="195" t="str">
        <f ca="1">IF(OFFSET('IWP12'!Std7PayrollEmploymentRequirements, 6, 9, 1, 1) = 0, "", OFFSET('IWP12'!Std7PayrollEmploymentRequirements, 6, 9, 1, 1))</f>
        <v/>
      </c>
      <c r="I1416" s="194" t="str">
        <f ca="1">IF(OFFSET('IWP12'!Std7PayrollEmploymentRequirements, 6, 11, 1, 1) = 0, "", OFFSET('IWP12'!Std7PayrollEmploymentRequirements, 6, 11, 1, 1))</f>
        <v/>
      </c>
    </row>
    <row r="1417" spans="1:9" s="146" customFormat="1">
      <c r="A1417" s="183" t="s">
        <v>510</v>
      </c>
      <c r="B1417" s="195" t="str">
        <f ca="1">IF(OFFSET('IWP12'!Std7PayrollEmploymentRequirements, 7, 0, 1, 1) = 0, "", OFFSET('IWP12'!Std7PayrollEmploymentRequirements, 7, 0, 1, 1))</f>
        <v/>
      </c>
      <c r="C1417" s="195" t="str">
        <f ca="1">IF(OFFSET('IWP12'!Std7PayrollEmploymentRequirements, 7, 2, 1, 1) = 0, "", OFFSET('IWP12'!Std7PayrollEmploymentRequirements, 7, 2, 1, 1))</f>
        <v/>
      </c>
      <c r="D1417" s="172">
        <f ca="1">IF(OFFSET('IWP12'!Std7PayrollEmploymentRequirements, 7, 4, 1, 1)=DATE(1900,1,0), DATE(1900,1,1), OFFSET('IWP12'!Std7PayrollEmploymentRequirements, 7, 4, 1, 1))</f>
        <v>1</v>
      </c>
      <c r="E1417" s="195" t="str">
        <f ca="1">IF(OFFSET('IWP12'!Std7PayrollEmploymentRequirements, 7, 5, 1, 1) = 0, "", OFFSET('IWP12'!Std7PayrollEmploymentRequirements, 7, 5, 1, 1))</f>
        <v/>
      </c>
      <c r="F1417" s="195" t="str">
        <f ca="1">IF(OFFSET('IWP12'!Std7PayrollEmploymentRequirements, 7, 6, 1, 1) = 0, "", OFFSET('IWP12'!Std7PayrollEmploymentRequirements, 7, 6, 1, 1))</f>
        <v/>
      </c>
      <c r="G1417" s="195" t="str">
        <f ca="1">IF(OFFSET('IWP12'!Std7PayrollEmploymentRequirements, 7, 7, 1, 1) = 0, "", OFFSET('IWP12'!Std7PayrollEmploymentRequirements, 7, 7, 1, 1))</f>
        <v/>
      </c>
      <c r="H1417" s="195" t="str">
        <f ca="1">IF(OFFSET('IWP12'!Std7PayrollEmploymentRequirements, 7, 9, 1, 1) = 0, "", OFFSET('IWP12'!Std7PayrollEmploymentRequirements, 7, 9, 1, 1))</f>
        <v/>
      </c>
      <c r="I1417" s="194" t="str">
        <f ca="1">IF(OFFSET('IWP12'!Std7PayrollEmploymentRequirements, 7, 11, 1, 1) = 0, "", OFFSET('IWP12'!Std7PayrollEmploymentRequirements, 7, 11, 1, 1))</f>
        <v/>
      </c>
    </row>
    <row r="1418" spans="1:9" s="146" customFormat="1">
      <c r="A1418" s="183" t="s">
        <v>510</v>
      </c>
      <c r="B1418" s="195" t="str">
        <f ca="1">IF(OFFSET('IWP12'!Std7PayrollEmploymentRequirements, 8, 0, 1, 1) = 0, "", OFFSET('IWP12'!Std7PayrollEmploymentRequirements, 8, 0, 1, 1))</f>
        <v/>
      </c>
      <c r="C1418" s="195" t="str">
        <f ca="1">IF(OFFSET('IWP12'!Std7PayrollEmploymentRequirements, 8, 2, 1, 1) = 0, "", OFFSET('IWP12'!Std7PayrollEmploymentRequirements, 8, 2, 1, 1))</f>
        <v/>
      </c>
      <c r="D1418" s="172">
        <f ca="1">IF(OFFSET('IWP12'!Std7PayrollEmploymentRequirements, 8, 4, 1, 1)=DATE(1900,1,0), DATE(1900,1,1), OFFSET('IWP12'!Std7PayrollEmploymentRequirements, 8, 4, 1, 1))</f>
        <v>1</v>
      </c>
      <c r="E1418" s="195" t="str">
        <f ca="1">IF(OFFSET('IWP12'!Std7PayrollEmploymentRequirements, 8, 5, 1, 1) = 0, "", OFFSET('IWP12'!Std7PayrollEmploymentRequirements, 8, 5, 1, 1))</f>
        <v/>
      </c>
      <c r="F1418" s="195" t="str">
        <f ca="1">IF(OFFSET('IWP12'!Std7PayrollEmploymentRequirements, 8, 6, 1, 1) = 0, "", OFFSET('IWP12'!Std7PayrollEmploymentRequirements, 8, 6, 1, 1))</f>
        <v/>
      </c>
      <c r="G1418" s="195" t="str">
        <f ca="1">IF(OFFSET('IWP12'!Std7PayrollEmploymentRequirements, 8, 7, 1, 1) = 0, "", OFFSET('IWP12'!Std7PayrollEmploymentRequirements, 8, 7, 1, 1))</f>
        <v/>
      </c>
      <c r="H1418" s="195" t="str">
        <f ca="1">IF(OFFSET('IWP12'!Std7PayrollEmploymentRequirements, 8, 9, 1, 1) = 0, "", OFFSET('IWP12'!Std7PayrollEmploymentRequirements, 8, 9, 1, 1))</f>
        <v/>
      </c>
      <c r="I1418" s="194" t="str">
        <f ca="1">IF(OFFSET('IWP12'!Std7PayrollEmploymentRequirements, 8, 11, 1, 1) = 0, "", OFFSET('IWP12'!Std7PayrollEmploymentRequirements, 8, 11, 1, 1))</f>
        <v/>
      </c>
    </row>
    <row r="1419" spans="1:9" s="146" customFormat="1">
      <c r="A1419" s="183" t="s">
        <v>510</v>
      </c>
      <c r="B1419" s="195" t="str">
        <f ca="1">IF(OFFSET('IWP12'!Std7PayrollEmploymentRequirements, 9, 0, 1, 1) = 0, "", OFFSET('IWP12'!Std7PayrollEmploymentRequirements, 9, 0, 1, 1))</f>
        <v/>
      </c>
      <c r="C1419" s="195" t="str">
        <f ca="1">IF(OFFSET('IWP12'!Std7PayrollEmploymentRequirements, 9, 2, 1, 1) = 0, "", OFFSET('IWP12'!Std7PayrollEmploymentRequirements, 9, 2, 1, 1))</f>
        <v/>
      </c>
      <c r="D1419" s="172">
        <f ca="1">IF(OFFSET('IWP12'!Std7PayrollEmploymentRequirements, 9, 4, 1, 1)=DATE(1900,1,0), DATE(1900,1,1), OFFSET('IWP12'!Std7PayrollEmploymentRequirements, 9, 4, 1, 1))</f>
        <v>1</v>
      </c>
      <c r="E1419" s="195" t="str">
        <f ca="1">IF(OFFSET('IWP12'!Std7PayrollEmploymentRequirements, 9, 5, 1, 1) = 0, "", OFFSET('IWP12'!Std7PayrollEmploymentRequirements, 9, 5, 1, 1))</f>
        <v/>
      </c>
      <c r="F1419" s="195" t="str">
        <f ca="1">IF(OFFSET('IWP12'!Std7PayrollEmploymentRequirements, 9, 6, 1, 1) = 0, "", OFFSET('IWP12'!Std7PayrollEmploymentRequirements, 9, 6, 1, 1))</f>
        <v/>
      </c>
      <c r="G1419" s="195" t="str">
        <f ca="1">IF(OFFSET('IWP12'!Std7PayrollEmploymentRequirements, 9, 7, 1, 1) = 0, "", OFFSET('IWP12'!Std7PayrollEmploymentRequirements, 9, 7, 1, 1))</f>
        <v/>
      </c>
      <c r="H1419" s="195" t="str">
        <f ca="1">IF(OFFSET('IWP12'!Std7PayrollEmploymentRequirements, 9, 9, 1, 1) = 0, "", OFFSET('IWP12'!Std7PayrollEmploymentRequirements, 9, 9, 1, 1))</f>
        <v/>
      </c>
      <c r="I1419" s="194" t="str">
        <f ca="1">IF(OFFSET('IWP12'!Std7PayrollEmploymentRequirements, 9, 11, 1, 1) = 0, "", OFFSET('IWP12'!Std7PayrollEmploymentRequirements, 9, 11, 1, 1))</f>
        <v/>
      </c>
    </row>
    <row r="1420" spans="1:9" s="146" customFormat="1">
      <c r="A1420" s="183" t="s">
        <v>510</v>
      </c>
      <c r="B1420" s="195" t="str">
        <f ca="1">IF(OFFSET('IWP12'!Std7PayrollEmploymentRequirements, 10, 0, 1, 1) = 0, "", OFFSET('IWP12'!Std7PayrollEmploymentRequirements, 10, 0, 1, 1))</f>
        <v/>
      </c>
      <c r="C1420" s="195" t="str">
        <f ca="1">IF(OFFSET('IWP12'!Std7PayrollEmploymentRequirements, 10, 2, 1, 1) = 0, "", OFFSET('IWP12'!Std7PayrollEmploymentRequirements, 10, 2, 1, 1))</f>
        <v/>
      </c>
      <c r="D1420" s="172">
        <f ca="1">IF(OFFSET('IWP12'!Std7PayrollEmploymentRequirements, 10, 4, 1, 1)=DATE(1900,1,0), DATE(1900,1,1), OFFSET('IWP12'!Std7PayrollEmploymentRequirements, 10, 4, 1, 1))</f>
        <v>1</v>
      </c>
      <c r="E1420" s="195" t="str">
        <f ca="1">IF(OFFSET('IWP12'!Std7PayrollEmploymentRequirements, 10, 5, 1, 1) = 0, "", OFFSET('IWP12'!Std7PayrollEmploymentRequirements, 10, 5, 1, 1))</f>
        <v/>
      </c>
      <c r="F1420" s="195" t="str">
        <f ca="1">IF(OFFSET('IWP12'!Std7PayrollEmploymentRequirements, 10, 6, 1, 1) = 0, "", OFFSET('IWP12'!Std7PayrollEmploymentRequirements, 10, 6, 1, 1))</f>
        <v/>
      </c>
      <c r="G1420" s="195" t="str">
        <f ca="1">IF(OFFSET('IWP12'!Std7PayrollEmploymentRequirements, 10, 7, 1, 1) = 0, "", OFFSET('IWP12'!Std7PayrollEmploymentRequirements, 10, 7, 1, 1))</f>
        <v/>
      </c>
      <c r="H1420" s="195" t="str">
        <f ca="1">IF(OFFSET('IWP12'!Std7PayrollEmploymentRequirements, 10, 9, 1, 1) = 0, "", OFFSET('IWP12'!Std7PayrollEmploymentRequirements, 10, 9, 1, 1))</f>
        <v/>
      </c>
      <c r="I1420" s="194" t="str">
        <f ca="1">IF(OFFSET('IWP12'!Std7PayrollEmploymentRequirements, 10, 11, 1, 1) = 0, "", OFFSET('IWP12'!Std7PayrollEmploymentRequirements, 10, 11, 1, 1))</f>
        <v/>
      </c>
    </row>
    <row r="1421" spans="1:9" s="146" customFormat="1">
      <c r="A1421" s="183" t="s">
        <v>510</v>
      </c>
      <c r="B1421" s="195" t="str">
        <f ca="1">IF(OFFSET('IWP12'!Std7PayrollEmploymentRequirements, 11, 0, 1, 1) = 0, "", OFFSET('IWP12'!Std7PayrollEmploymentRequirements, 11, 0, 1, 1))</f>
        <v/>
      </c>
      <c r="C1421" s="195" t="str">
        <f ca="1">IF(OFFSET('IWP12'!Std7PayrollEmploymentRequirements, 11, 2, 1, 1) = 0, "", OFFSET('IWP12'!Std7PayrollEmploymentRequirements, 11, 2, 1, 1))</f>
        <v/>
      </c>
      <c r="D1421" s="172">
        <f ca="1">IF(OFFSET('IWP12'!Std7PayrollEmploymentRequirements, 11, 4, 1, 1)=DATE(1900,1,0), DATE(1900,1,1), OFFSET('IWP12'!Std7PayrollEmploymentRequirements, 11, 4, 1, 1))</f>
        <v>1</v>
      </c>
      <c r="E1421" s="195" t="str">
        <f ca="1">IF(OFFSET('IWP12'!Std7PayrollEmploymentRequirements, 11, 5, 1, 1) = 0, "", OFFSET('IWP12'!Std7PayrollEmploymentRequirements, 11, 5, 1, 1))</f>
        <v/>
      </c>
      <c r="F1421" s="195" t="str">
        <f ca="1">IF(OFFSET('IWP12'!Std7PayrollEmploymentRequirements, 11, 6, 1, 1) = 0, "", OFFSET('IWP12'!Std7PayrollEmploymentRequirements, 11, 6, 1, 1))</f>
        <v/>
      </c>
      <c r="G1421" s="195" t="str">
        <f ca="1">IF(OFFSET('IWP12'!Std7PayrollEmploymentRequirements, 11, 7, 1, 1) = 0, "", OFFSET('IWP12'!Std7PayrollEmploymentRequirements, 11, 7, 1, 1))</f>
        <v/>
      </c>
      <c r="H1421" s="195" t="str">
        <f ca="1">IF(OFFSET('IWP12'!Std7PayrollEmploymentRequirements, 11, 9, 1, 1) = 0, "", OFFSET('IWP12'!Std7PayrollEmploymentRequirements, 11, 9, 1, 1))</f>
        <v/>
      </c>
      <c r="I1421" s="194" t="str">
        <f ca="1">IF(OFFSET('IWP12'!Std7PayrollEmploymentRequirements, 11, 11, 1, 1) = 0, "", OFFSET('IWP12'!Std7PayrollEmploymentRequirements, 11, 11, 1, 1))</f>
        <v/>
      </c>
    </row>
    <row r="1422" spans="1:9" s="146" customFormat="1">
      <c r="A1422" s="183" t="s">
        <v>510</v>
      </c>
      <c r="B1422" s="195" t="str">
        <f ca="1">IF(OFFSET('IWP12'!Std7PayrollEmploymentRequirements, 12, 0, 1, 1) = 0, "", OFFSET('IWP12'!Std7PayrollEmploymentRequirements, 12, 0, 1, 1))</f>
        <v/>
      </c>
      <c r="C1422" s="195" t="str">
        <f ca="1">IF(OFFSET('IWP12'!Std7PayrollEmploymentRequirements, 12, 2, 1, 1) = 0, "", OFFSET('IWP12'!Std7PayrollEmploymentRequirements, 12, 2, 1, 1))</f>
        <v/>
      </c>
      <c r="D1422" s="172">
        <f ca="1">IF(OFFSET('IWP12'!Std7PayrollEmploymentRequirements, 12, 4, 1, 1)=DATE(1900,1,0), DATE(1900,1,1), OFFSET('IWP12'!Std7PayrollEmploymentRequirements, 12, 4, 1, 1))</f>
        <v>1</v>
      </c>
      <c r="E1422" s="195" t="str">
        <f ca="1">IF(OFFSET('IWP12'!Std7PayrollEmploymentRequirements, 12, 5, 1, 1) = 0, "", OFFSET('IWP12'!Std7PayrollEmploymentRequirements, 12, 5, 1, 1))</f>
        <v/>
      </c>
      <c r="F1422" s="195" t="str">
        <f ca="1">IF(OFFSET('IWP12'!Std7PayrollEmploymentRequirements, 12, 6, 1, 1) = 0, "", OFFSET('IWP12'!Std7PayrollEmploymentRequirements, 12, 6, 1, 1))</f>
        <v/>
      </c>
      <c r="G1422" s="195" t="str">
        <f ca="1">IF(OFFSET('IWP12'!Std7PayrollEmploymentRequirements, 12, 7, 1, 1) = 0, "", OFFSET('IWP12'!Std7PayrollEmploymentRequirements, 12, 7, 1, 1))</f>
        <v/>
      </c>
      <c r="H1422" s="195" t="str">
        <f ca="1">IF(OFFSET('IWP12'!Std7PayrollEmploymentRequirements, 12, 9, 1, 1) = 0, "", OFFSET('IWP12'!Std7PayrollEmploymentRequirements, 12, 9, 1, 1))</f>
        <v/>
      </c>
      <c r="I1422" s="194" t="str">
        <f ca="1">IF(OFFSET('IWP12'!Std7PayrollEmploymentRequirements, 12, 11, 1, 1) = 0, "", OFFSET('IWP12'!Std7PayrollEmploymentRequirements, 12, 11, 1, 1))</f>
        <v/>
      </c>
    </row>
    <row r="1423" spans="1:9" s="146" customFormat="1">
      <c r="A1423" s="183" t="s">
        <v>510</v>
      </c>
      <c r="B1423" s="195" t="str">
        <f ca="1">IF(OFFSET('IWP12'!Std7PayrollEmploymentRequirements, 13, 0, 1, 1) = 0, "", OFFSET('IWP12'!Std7PayrollEmploymentRequirements, 13, 0, 1, 1))</f>
        <v/>
      </c>
      <c r="C1423" s="195" t="str">
        <f ca="1">IF(OFFSET('IWP12'!Std7PayrollEmploymentRequirements, 13, 2, 1, 1) = 0, "", OFFSET('IWP12'!Std7PayrollEmploymentRequirements, 13, 2, 1, 1))</f>
        <v/>
      </c>
      <c r="D1423" s="172">
        <f ca="1">IF(OFFSET('IWP12'!Std7PayrollEmploymentRequirements, 13, 4, 1, 1)=DATE(1900,1,0), DATE(1900,1,1), OFFSET('IWP12'!Std7PayrollEmploymentRequirements, 13, 4, 1, 1))</f>
        <v>1</v>
      </c>
      <c r="E1423" s="195" t="str">
        <f ca="1">IF(OFFSET('IWP12'!Std7PayrollEmploymentRequirements, 13, 5, 1, 1) = 0, "", OFFSET('IWP12'!Std7PayrollEmploymentRequirements, 13, 5, 1, 1))</f>
        <v/>
      </c>
      <c r="F1423" s="195" t="str">
        <f ca="1">IF(OFFSET('IWP12'!Std7PayrollEmploymentRequirements, 13, 6, 1, 1) = 0, "", OFFSET('IWP12'!Std7PayrollEmploymentRequirements, 13, 6, 1, 1))</f>
        <v/>
      </c>
      <c r="G1423" s="195" t="str">
        <f ca="1">IF(OFFSET('IWP12'!Std7PayrollEmploymentRequirements, 13, 7, 1, 1) = 0, "", OFFSET('IWP12'!Std7PayrollEmploymentRequirements, 13, 7, 1, 1))</f>
        <v/>
      </c>
      <c r="H1423" s="195" t="str">
        <f ca="1">IF(OFFSET('IWP12'!Std7PayrollEmploymentRequirements, 13, 9, 1, 1) = 0, "", OFFSET('IWP12'!Std7PayrollEmploymentRequirements, 13, 9, 1, 1))</f>
        <v/>
      </c>
      <c r="I1423" s="194" t="str">
        <f ca="1">IF(OFFSET('IWP12'!Std7PayrollEmploymentRequirements, 13, 11, 1, 1) = 0, "", OFFSET('IWP12'!Std7PayrollEmploymentRequirements, 13, 11, 1, 1))</f>
        <v/>
      </c>
    </row>
    <row r="1424" spans="1:9" s="146" customFormat="1">
      <c r="A1424" s="183" t="s">
        <v>510</v>
      </c>
      <c r="B1424" s="195" t="str">
        <f ca="1">IF(OFFSET('IWP12'!Std7PayrollEmploymentRequirements, 14, 0, 1, 1) = 0, "", OFFSET('IWP12'!Std7PayrollEmploymentRequirements, 14, 0, 1, 1))</f>
        <v/>
      </c>
      <c r="C1424" s="195" t="str">
        <f ca="1">IF(OFFSET('IWP12'!Std7PayrollEmploymentRequirements, 14, 2, 1, 1) = 0, "", OFFSET('IWP12'!Std7PayrollEmploymentRequirements, 14, 2, 1, 1))</f>
        <v/>
      </c>
      <c r="D1424" s="172">
        <f ca="1">IF(OFFSET('IWP12'!Std7PayrollEmploymentRequirements, 14, 4, 1, 1)=DATE(1900,1,0), DATE(1900,1,1), OFFSET('IWP12'!Std7PayrollEmploymentRequirements, 14, 4, 1, 1))</f>
        <v>1</v>
      </c>
      <c r="E1424" s="195" t="str">
        <f ca="1">IF(OFFSET('IWP12'!Std7PayrollEmploymentRequirements, 14, 5, 1, 1) = 0, "", OFFSET('IWP12'!Std7PayrollEmploymentRequirements, 14, 5, 1, 1))</f>
        <v/>
      </c>
      <c r="F1424" s="195" t="str">
        <f ca="1">IF(OFFSET('IWP12'!Std7PayrollEmploymentRequirements, 14, 6, 1, 1) = 0, "", OFFSET('IWP12'!Std7PayrollEmploymentRequirements, 14, 6, 1, 1))</f>
        <v/>
      </c>
      <c r="G1424" s="195" t="str">
        <f ca="1">IF(OFFSET('IWP12'!Std7PayrollEmploymentRequirements, 14, 7, 1, 1) = 0, "", OFFSET('IWP12'!Std7PayrollEmploymentRequirements, 14, 7, 1, 1))</f>
        <v/>
      </c>
      <c r="H1424" s="195" t="str">
        <f ca="1">IF(OFFSET('IWP12'!Std7PayrollEmploymentRequirements, 14, 9, 1, 1) = 0, "", OFFSET('IWP12'!Std7PayrollEmploymentRequirements, 14, 9, 1, 1))</f>
        <v/>
      </c>
      <c r="I1424" s="194" t="str">
        <f ca="1">IF(OFFSET('IWP12'!Std7PayrollEmploymentRequirements, 14, 11, 1, 1) = 0, "", OFFSET('IWP12'!Std7PayrollEmploymentRequirements, 14, 11, 1, 1))</f>
        <v/>
      </c>
    </row>
    <row r="1425" spans="1:9" s="146" customFormat="1">
      <c r="A1425" s="183" t="s">
        <v>510</v>
      </c>
      <c r="B1425" s="195" t="str">
        <f ca="1">IF(OFFSET('IWP12'!Std7PayrollEmploymentRequirements, 15, 0, 1, 1) = 0, "", OFFSET('IWP12'!Std7PayrollEmploymentRequirements, 15, 0, 1, 1))</f>
        <v/>
      </c>
      <c r="C1425" s="195" t="str">
        <f ca="1">IF(OFFSET('IWP12'!Std7PayrollEmploymentRequirements, 15, 2, 1, 1) = 0, "", OFFSET('IWP12'!Std7PayrollEmploymentRequirements, 15, 2, 1, 1))</f>
        <v/>
      </c>
      <c r="D1425" s="172">
        <f ca="1">IF(OFFSET('IWP12'!Std7PayrollEmploymentRequirements, 15, 4, 1, 1)=DATE(1900,1,0), DATE(1900,1,1), OFFSET('IWP12'!Std7PayrollEmploymentRequirements, 15, 4, 1, 1))</f>
        <v>1</v>
      </c>
      <c r="E1425" s="195" t="str">
        <f ca="1">IF(OFFSET('IWP12'!Std7PayrollEmploymentRequirements, 15, 5, 1, 1) = 0, "", OFFSET('IWP12'!Std7PayrollEmploymentRequirements, 15, 5, 1, 1))</f>
        <v/>
      </c>
      <c r="F1425" s="195" t="str">
        <f ca="1">IF(OFFSET('IWP12'!Std7PayrollEmploymentRequirements, 15, 6, 1, 1) = 0, "", OFFSET('IWP12'!Std7PayrollEmploymentRequirements, 15, 6, 1, 1))</f>
        <v/>
      </c>
      <c r="G1425" s="195" t="str">
        <f ca="1">IF(OFFSET('IWP12'!Std7PayrollEmploymentRequirements, 15, 7, 1, 1) = 0, "", OFFSET('IWP12'!Std7PayrollEmploymentRequirements, 15, 7, 1, 1))</f>
        <v/>
      </c>
      <c r="H1425" s="195" t="str">
        <f ca="1">IF(OFFSET('IWP12'!Std7PayrollEmploymentRequirements, 15, 9, 1, 1) = 0, "", OFFSET('IWP12'!Std7PayrollEmploymentRequirements, 15, 9, 1, 1))</f>
        <v/>
      </c>
      <c r="I1425" s="194" t="str">
        <f ca="1">IF(OFFSET('IWP12'!Std7PayrollEmploymentRequirements, 15, 11, 1, 1) = 0, "", OFFSET('IWP12'!Std7PayrollEmploymentRequirements, 15, 11, 1, 1))</f>
        <v/>
      </c>
    </row>
    <row r="1426" spans="1:9" s="146" customFormat="1">
      <c r="A1426" s="183" t="s">
        <v>511</v>
      </c>
      <c r="B1426" s="195" t="str">
        <f ca="1">IF(OFFSET('IWP13'!Std7PayrollEmploymentRequirements, 0, 0, 1, 1) = 0, "", OFFSET('IWP13'!Std7PayrollEmploymentRequirements, 0, 0, 1, 1))</f>
        <v/>
      </c>
      <c r="C1426" s="195" t="str">
        <f ca="1">IF(OFFSET('IWP13'!Std7PayrollEmploymentRequirements, 0, 2, 1, 1) = 0, "", OFFSET('IWP13'!Std7PayrollEmploymentRequirements, 0, 2, 1, 1))</f>
        <v/>
      </c>
      <c r="D1426" s="172">
        <f ca="1">IF(OFFSET('IWP13'!Std7PayrollEmploymentRequirements, 0, 4, 1, 1)=DATE(1900,1,0), DATE(1900,1,1), OFFSET('IWP13'!Std7PayrollEmploymentRequirements, 0, 4, 1, 1))</f>
        <v>1</v>
      </c>
      <c r="E1426" s="195" t="str">
        <f ca="1">IF(OFFSET('IWP13'!Std7PayrollEmploymentRequirements, 0, 5, 1, 1) = 0, "", OFFSET('IWP13'!Std7PayrollEmploymentRequirements, 0, 5, 1, 1))</f>
        <v/>
      </c>
      <c r="F1426" s="195" t="str">
        <f ca="1">IF(OFFSET('IWP13'!Std7PayrollEmploymentRequirements, 0, 6, 1, 1) = 0, "", OFFSET('IWP13'!Std7PayrollEmploymentRequirements, 0, 6, 1, 1))</f>
        <v/>
      </c>
      <c r="G1426" s="195" t="str">
        <f ca="1">IF(OFFSET('IWP13'!Std7PayrollEmploymentRequirements, 0, 7, 1, 1) = 0, "", OFFSET('IWP13'!Std7PayrollEmploymentRequirements, 0, 7, 1, 1))</f>
        <v/>
      </c>
      <c r="H1426" s="195" t="str">
        <f ca="1">IF(OFFSET('IWP13'!Std7PayrollEmploymentRequirements, 0, 9, 1, 1) = 0, "", OFFSET('IWP13'!Std7PayrollEmploymentRequirements, 0, 9, 1, 1))</f>
        <v/>
      </c>
      <c r="I1426" s="194" t="str">
        <f ca="1">IF(OFFSET('IWP13'!Std7PayrollEmploymentRequirements, 0, 11, 1, 1) = 0, "", OFFSET('IWP13'!Std7PayrollEmploymentRequirements, 0, 11, 1, 1))</f>
        <v/>
      </c>
    </row>
    <row r="1427" spans="1:9" s="146" customFormat="1">
      <c r="A1427" s="183" t="s">
        <v>511</v>
      </c>
      <c r="B1427" s="195" t="str">
        <f ca="1">IF(OFFSET('IWP13'!Std7PayrollEmploymentRequirements, 1, 0, 1, 1) = 0, "", OFFSET('IWP13'!Std7PayrollEmploymentRequirements, 1, 0, 1, 1))</f>
        <v/>
      </c>
      <c r="C1427" s="195" t="str">
        <f ca="1">IF(OFFSET('IWP13'!Std7PayrollEmploymentRequirements, 1, 2, 1, 1) = 0, "", OFFSET('IWP13'!Std7PayrollEmploymentRequirements, 1, 2, 1, 1))</f>
        <v/>
      </c>
      <c r="D1427" s="172">
        <f ca="1">IF(OFFSET('IWP13'!Std7PayrollEmploymentRequirements, 1, 4, 1, 1)=DATE(1900,1,0), DATE(1900,1,1), OFFSET('IWP13'!Std7PayrollEmploymentRequirements, 1, 4, 1, 1))</f>
        <v>1</v>
      </c>
      <c r="E1427" s="195" t="str">
        <f ca="1">IF(OFFSET('IWP13'!Std7PayrollEmploymentRequirements, 1, 5, 1, 1) = 0, "", OFFSET('IWP13'!Std7PayrollEmploymentRequirements, 1, 5, 1, 1))</f>
        <v/>
      </c>
      <c r="F1427" s="195" t="str">
        <f ca="1">IF(OFFSET('IWP13'!Std7PayrollEmploymentRequirements, 1, 6, 1, 1) = 0, "", OFFSET('IWP13'!Std7PayrollEmploymentRequirements, 1, 6, 1, 1))</f>
        <v/>
      </c>
      <c r="G1427" s="195" t="str">
        <f ca="1">IF(OFFSET('IWP13'!Std7PayrollEmploymentRequirements, 1, 7, 1, 1) = 0, "", OFFSET('IWP13'!Std7PayrollEmploymentRequirements, 1, 7, 1, 1))</f>
        <v/>
      </c>
      <c r="H1427" s="195" t="str">
        <f ca="1">IF(OFFSET('IWP13'!Std7PayrollEmploymentRequirements, 1, 9, 1, 1) = 0, "", OFFSET('IWP13'!Std7PayrollEmploymentRequirements, 1, 9, 1, 1))</f>
        <v/>
      </c>
      <c r="I1427" s="194" t="str">
        <f ca="1">IF(OFFSET('IWP13'!Std7PayrollEmploymentRequirements, 1, 11, 1, 1) = 0, "", OFFSET('IWP13'!Std7PayrollEmploymentRequirements, 1, 11, 1, 1))</f>
        <v/>
      </c>
    </row>
    <row r="1428" spans="1:9" s="146" customFormat="1">
      <c r="A1428" s="183" t="s">
        <v>511</v>
      </c>
      <c r="B1428" s="195" t="str">
        <f ca="1">IF(OFFSET('IWP13'!Std7PayrollEmploymentRequirements, 2, 0, 1, 1) = 0, "", OFFSET('IWP13'!Std7PayrollEmploymentRequirements, 2, 0, 1, 1))</f>
        <v/>
      </c>
      <c r="C1428" s="195" t="str">
        <f ca="1">IF(OFFSET('IWP13'!Std7PayrollEmploymentRequirements, 2, 2, 1, 1) = 0, "", OFFSET('IWP13'!Std7PayrollEmploymentRequirements, 2, 2, 1, 1))</f>
        <v/>
      </c>
      <c r="D1428" s="172">
        <f ca="1">IF(OFFSET('IWP13'!Std7PayrollEmploymentRequirements, 2, 4, 1, 1)=DATE(1900,1,0), DATE(1900,1,1), OFFSET('IWP13'!Std7PayrollEmploymentRequirements, 2, 4, 1, 1))</f>
        <v>1</v>
      </c>
      <c r="E1428" s="195" t="str">
        <f ca="1">IF(OFFSET('IWP13'!Std7PayrollEmploymentRequirements, 2, 5, 1, 1) = 0, "", OFFSET('IWP13'!Std7PayrollEmploymentRequirements, 2, 5, 1, 1))</f>
        <v/>
      </c>
      <c r="F1428" s="195" t="str">
        <f ca="1">IF(OFFSET('IWP13'!Std7PayrollEmploymentRequirements, 2, 6, 1, 1) = 0, "", OFFSET('IWP13'!Std7PayrollEmploymentRequirements, 2, 6, 1, 1))</f>
        <v/>
      </c>
      <c r="G1428" s="195" t="str">
        <f ca="1">IF(OFFSET('IWP13'!Std7PayrollEmploymentRequirements, 2, 7, 1, 1) = 0, "", OFFSET('IWP13'!Std7PayrollEmploymentRequirements, 2, 7, 1, 1))</f>
        <v/>
      </c>
      <c r="H1428" s="195" t="str">
        <f ca="1">IF(OFFSET('IWP13'!Std7PayrollEmploymentRequirements, 2, 9, 1, 1) = 0, "", OFFSET('IWP13'!Std7PayrollEmploymentRequirements, 2, 9, 1, 1))</f>
        <v/>
      </c>
      <c r="I1428" s="194" t="str">
        <f ca="1">IF(OFFSET('IWP13'!Std7PayrollEmploymentRequirements, 2, 11, 1, 1) = 0, "", OFFSET('IWP13'!Std7PayrollEmploymentRequirements, 2, 11, 1, 1))</f>
        <v/>
      </c>
    </row>
    <row r="1429" spans="1:9" s="146" customFormat="1">
      <c r="A1429" s="183" t="s">
        <v>511</v>
      </c>
      <c r="B1429" s="195" t="str">
        <f ca="1">IF(OFFSET('IWP13'!Std7PayrollEmploymentRequirements, 3, 0, 1, 1) = 0, "", OFFSET('IWP13'!Std7PayrollEmploymentRequirements, 3, 0, 1, 1))</f>
        <v/>
      </c>
      <c r="C1429" s="195" t="str">
        <f ca="1">IF(OFFSET('IWP13'!Std7PayrollEmploymentRequirements, 3, 2, 1, 1) = 0, "", OFFSET('IWP13'!Std7PayrollEmploymentRequirements, 3, 2, 1, 1))</f>
        <v/>
      </c>
      <c r="D1429" s="172">
        <f ca="1">IF(OFFSET('IWP13'!Std7PayrollEmploymentRequirements, 3, 4, 1, 1)=DATE(1900,1,0), DATE(1900,1,1), OFFSET('IWP13'!Std7PayrollEmploymentRequirements, 3, 4, 1, 1))</f>
        <v>1</v>
      </c>
      <c r="E1429" s="195" t="str">
        <f ca="1">IF(OFFSET('IWP13'!Std7PayrollEmploymentRequirements, 3, 5, 1, 1) = 0, "", OFFSET('IWP13'!Std7PayrollEmploymentRequirements, 3, 5, 1, 1))</f>
        <v/>
      </c>
      <c r="F1429" s="195" t="str">
        <f ca="1">IF(OFFSET('IWP13'!Std7PayrollEmploymentRequirements, 3, 6, 1, 1) = 0, "", OFFSET('IWP13'!Std7PayrollEmploymentRequirements, 3, 6, 1, 1))</f>
        <v/>
      </c>
      <c r="G1429" s="195" t="str">
        <f ca="1">IF(OFFSET('IWP13'!Std7PayrollEmploymentRequirements, 3, 7, 1, 1) = 0, "", OFFSET('IWP13'!Std7PayrollEmploymentRequirements, 3, 7, 1, 1))</f>
        <v/>
      </c>
      <c r="H1429" s="195" t="str">
        <f ca="1">IF(OFFSET('IWP13'!Std7PayrollEmploymentRequirements, 3, 9, 1, 1) = 0, "", OFFSET('IWP13'!Std7PayrollEmploymentRequirements, 3, 9, 1, 1))</f>
        <v/>
      </c>
      <c r="I1429" s="194" t="str">
        <f ca="1">IF(OFFSET('IWP13'!Std7PayrollEmploymentRequirements, 3, 11, 1, 1) = 0, "", OFFSET('IWP13'!Std7PayrollEmploymentRequirements, 3, 11, 1, 1))</f>
        <v/>
      </c>
    </row>
    <row r="1430" spans="1:9" s="146" customFormat="1">
      <c r="A1430" s="183" t="s">
        <v>511</v>
      </c>
      <c r="B1430" s="195" t="str">
        <f ca="1">IF(OFFSET('IWP13'!Std7PayrollEmploymentRequirements, 4, 0, 1, 1) = 0, "", OFFSET('IWP13'!Std7PayrollEmploymentRequirements, 4, 0, 1, 1))</f>
        <v/>
      </c>
      <c r="C1430" s="195" t="str">
        <f ca="1">IF(OFFSET('IWP13'!Std7PayrollEmploymentRequirements, 4, 2, 1, 1) = 0, "", OFFSET('IWP13'!Std7PayrollEmploymentRequirements, 4, 2, 1, 1))</f>
        <v/>
      </c>
      <c r="D1430" s="172">
        <f ca="1">IF(OFFSET('IWP13'!Std7PayrollEmploymentRequirements, 4, 4, 1, 1)=DATE(1900,1,0), DATE(1900,1,1), OFFSET('IWP13'!Std7PayrollEmploymentRequirements, 4, 4, 1, 1))</f>
        <v>1</v>
      </c>
      <c r="E1430" s="195" t="str">
        <f ca="1">IF(OFFSET('IWP13'!Std7PayrollEmploymentRequirements, 4, 5, 1, 1) = 0, "", OFFSET('IWP13'!Std7PayrollEmploymentRequirements, 4, 5, 1, 1))</f>
        <v/>
      </c>
      <c r="F1430" s="195" t="str">
        <f ca="1">IF(OFFSET('IWP13'!Std7PayrollEmploymentRequirements, 4, 6, 1, 1) = 0, "", OFFSET('IWP13'!Std7PayrollEmploymentRequirements, 4, 6, 1, 1))</f>
        <v/>
      </c>
      <c r="G1430" s="195" t="str">
        <f ca="1">IF(OFFSET('IWP13'!Std7PayrollEmploymentRequirements, 4, 7, 1, 1) = 0, "", OFFSET('IWP13'!Std7PayrollEmploymentRequirements, 4, 7, 1, 1))</f>
        <v/>
      </c>
      <c r="H1430" s="195" t="str">
        <f ca="1">IF(OFFSET('IWP13'!Std7PayrollEmploymentRequirements, 4, 9, 1, 1) = 0, "", OFFSET('IWP13'!Std7PayrollEmploymentRequirements, 4, 9, 1, 1))</f>
        <v/>
      </c>
      <c r="I1430" s="194" t="str">
        <f ca="1">IF(OFFSET('IWP13'!Std7PayrollEmploymentRequirements, 4, 11, 1, 1) = 0, "", OFFSET('IWP13'!Std7PayrollEmploymentRequirements, 4, 11, 1, 1))</f>
        <v/>
      </c>
    </row>
    <row r="1431" spans="1:9" s="146" customFormat="1">
      <c r="A1431" s="183" t="s">
        <v>511</v>
      </c>
      <c r="B1431" s="195" t="str">
        <f ca="1">IF(OFFSET('IWP13'!Std7PayrollEmploymentRequirements, 5, 0, 1, 1) = 0, "", OFFSET('IWP13'!Std7PayrollEmploymentRequirements, 5, 0, 1, 1))</f>
        <v/>
      </c>
      <c r="C1431" s="195" t="str">
        <f ca="1">IF(OFFSET('IWP13'!Std7PayrollEmploymentRequirements, 5, 2, 1, 1) = 0, "", OFFSET('IWP13'!Std7PayrollEmploymentRequirements, 5, 2, 1, 1))</f>
        <v/>
      </c>
      <c r="D1431" s="172">
        <f ca="1">IF(OFFSET('IWP13'!Std7PayrollEmploymentRequirements, 5, 4, 1, 1)=DATE(1900,1,0), DATE(1900,1,1), OFFSET('IWP13'!Std7PayrollEmploymentRequirements, 5, 4, 1, 1))</f>
        <v>1</v>
      </c>
      <c r="E1431" s="195" t="str">
        <f ca="1">IF(OFFSET('IWP13'!Std7PayrollEmploymentRequirements, 5, 5, 1, 1) = 0, "", OFFSET('IWP13'!Std7PayrollEmploymentRequirements, 5, 5, 1, 1))</f>
        <v/>
      </c>
      <c r="F1431" s="195" t="str">
        <f ca="1">IF(OFFSET('IWP13'!Std7PayrollEmploymentRequirements, 5, 6, 1, 1) = 0, "", OFFSET('IWP13'!Std7PayrollEmploymentRequirements, 5, 6, 1, 1))</f>
        <v/>
      </c>
      <c r="G1431" s="195" t="str">
        <f ca="1">IF(OFFSET('IWP13'!Std7PayrollEmploymentRequirements, 5, 7, 1, 1) = 0, "", OFFSET('IWP13'!Std7PayrollEmploymentRequirements, 5, 7, 1, 1))</f>
        <v/>
      </c>
      <c r="H1431" s="195" t="str">
        <f ca="1">IF(OFFSET('IWP13'!Std7PayrollEmploymentRequirements, 5, 9, 1, 1) = 0, "", OFFSET('IWP13'!Std7PayrollEmploymentRequirements, 5, 9, 1, 1))</f>
        <v/>
      </c>
      <c r="I1431" s="194" t="str">
        <f ca="1">IF(OFFSET('IWP13'!Std7PayrollEmploymentRequirements, 5, 11, 1, 1) = 0, "", OFFSET('IWP13'!Std7PayrollEmploymentRequirements, 5, 11, 1, 1))</f>
        <v/>
      </c>
    </row>
    <row r="1432" spans="1:9" s="146" customFormat="1">
      <c r="A1432" s="183" t="s">
        <v>511</v>
      </c>
      <c r="B1432" s="195" t="str">
        <f ca="1">IF(OFFSET('IWP13'!Std7PayrollEmploymentRequirements, 6, 0, 1, 1) = 0, "", OFFSET('IWP13'!Std7PayrollEmploymentRequirements, 6, 0, 1, 1))</f>
        <v/>
      </c>
      <c r="C1432" s="195" t="str">
        <f ca="1">IF(OFFSET('IWP13'!Std7PayrollEmploymentRequirements, 6, 2, 1, 1) = 0, "", OFFSET('IWP13'!Std7PayrollEmploymentRequirements, 6, 2, 1, 1))</f>
        <v/>
      </c>
      <c r="D1432" s="172">
        <f ca="1">IF(OFFSET('IWP13'!Std7PayrollEmploymentRequirements, 6, 4, 1, 1)=DATE(1900,1,0), DATE(1900,1,1), OFFSET('IWP13'!Std7PayrollEmploymentRequirements, 6, 4, 1, 1))</f>
        <v>1</v>
      </c>
      <c r="E1432" s="195" t="str">
        <f ca="1">IF(OFFSET('IWP13'!Std7PayrollEmploymentRequirements, 6, 5, 1, 1) = 0, "", OFFSET('IWP13'!Std7PayrollEmploymentRequirements, 6, 5, 1, 1))</f>
        <v/>
      </c>
      <c r="F1432" s="195" t="str">
        <f ca="1">IF(OFFSET('IWP13'!Std7PayrollEmploymentRequirements, 6, 6, 1, 1) = 0, "", OFFSET('IWP13'!Std7PayrollEmploymentRequirements, 6, 6, 1, 1))</f>
        <v/>
      </c>
      <c r="G1432" s="195" t="str">
        <f ca="1">IF(OFFSET('IWP13'!Std7PayrollEmploymentRequirements, 6, 7, 1, 1) = 0, "", OFFSET('IWP13'!Std7PayrollEmploymentRequirements, 6, 7, 1, 1))</f>
        <v/>
      </c>
      <c r="H1432" s="195" t="str">
        <f ca="1">IF(OFFSET('IWP13'!Std7PayrollEmploymentRequirements, 6, 9, 1, 1) = 0, "", OFFSET('IWP13'!Std7PayrollEmploymentRequirements, 6, 9, 1, 1))</f>
        <v/>
      </c>
      <c r="I1432" s="194" t="str">
        <f ca="1">IF(OFFSET('IWP13'!Std7PayrollEmploymentRequirements, 6, 11, 1, 1) = 0, "", OFFSET('IWP13'!Std7PayrollEmploymentRequirements, 6, 11, 1, 1))</f>
        <v/>
      </c>
    </row>
    <row r="1433" spans="1:9" s="146" customFormat="1">
      <c r="A1433" s="183" t="s">
        <v>511</v>
      </c>
      <c r="B1433" s="195" t="str">
        <f ca="1">IF(OFFSET('IWP13'!Std7PayrollEmploymentRequirements, 7, 0, 1, 1) = 0, "", OFFSET('IWP13'!Std7PayrollEmploymentRequirements, 7, 0, 1, 1))</f>
        <v/>
      </c>
      <c r="C1433" s="195" t="str">
        <f ca="1">IF(OFFSET('IWP13'!Std7PayrollEmploymentRequirements, 7, 2, 1, 1) = 0, "", OFFSET('IWP13'!Std7PayrollEmploymentRequirements, 7, 2, 1, 1))</f>
        <v/>
      </c>
      <c r="D1433" s="172">
        <f ca="1">IF(OFFSET('IWP13'!Std7PayrollEmploymentRequirements, 7, 4, 1, 1)=DATE(1900,1,0), DATE(1900,1,1), OFFSET('IWP13'!Std7PayrollEmploymentRequirements, 7, 4, 1, 1))</f>
        <v>1</v>
      </c>
      <c r="E1433" s="195" t="str">
        <f ca="1">IF(OFFSET('IWP13'!Std7PayrollEmploymentRequirements, 7, 5, 1, 1) = 0, "", OFFSET('IWP13'!Std7PayrollEmploymentRequirements, 7, 5, 1, 1))</f>
        <v/>
      </c>
      <c r="F1433" s="195" t="str">
        <f ca="1">IF(OFFSET('IWP13'!Std7PayrollEmploymentRequirements, 7, 6, 1, 1) = 0, "", OFFSET('IWP13'!Std7PayrollEmploymentRequirements, 7, 6, 1, 1))</f>
        <v/>
      </c>
      <c r="G1433" s="195" t="str">
        <f ca="1">IF(OFFSET('IWP13'!Std7PayrollEmploymentRequirements, 7, 7, 1, 1) = 0, "", OFFSET('IWP13'!Std7PayrollEmploymentRequirements, 7, 7, 1, 1))</f>
        <v/>
      </c>
      <c r="H1433" s="195" t="str">
        <f ca="1">IF(OFFSET('IWP13'!Std7PayrollEmploymentRequirements, 7, 9, 1, 1) = 0, "", OFFSET('IWP13'!Std7PayrollEmploymentRequirements, 7, 9, 1, 1))</f>
        <v/>
      </c>
      <c r="I1433" s="194" t="str">
        <f ca="1">IF(OFFSET('IWP13'!Std7PayrollEmploymentRequirements, 7, 11, 1, 1) = 0, "", OFFSET('IWP13'!Std7PayrollEmploymentRequirements, 7, 11, 1, 1))</f>
        <v/>
      </c>
    </row>
    <row r="1434" spans="1:9" s="146" customFormat="1">
      <c r="A1434" s="183" t="s">
        <v>511</v>
      </c>
      <c r="B1434" s="195" t="str">
        <f ca="1">IF(OFFSET('IWP13'!Std7PayrollEmploymentRequirements, 8, 0, 1, 1) = 0, "", OFFSET('IWP13'!Std7PayrollEmploymentRequirements, 8, 0, 1, 1))</f>
        <v/>
      </c>
      <c r="C1434" s="195" t="str">
        <f ca="1">IF(OFFSET('IWP13'!Std7PayrollEmploymentRequirements, 8, 2, 1, 1) = 0, "", OFFSET('IWP13'!Std7PayrollEmploymentRequirements, 8, 2, 1, 1))</f>
        <v/>
      </c>
      <c r="D1434" s="172">
        <f ca="1">IF(OFFSET('IWP13'!Std7PayrollEmploymentRequirements, 8, 4, 1, 1)=DATE(1900,1,0), DATE(1900,1,1), OFFSET('IWP13'!Std7PayrollEmploymentRequirements, 8, 4, 1, 1))</f>
        <v>1</v>
      </c>
      <c r="E1434" s="195" t="str">
        <f ca="1">IF(OFFSET('IWP13'!Std7PayrollEmploymentRequirements, 8, 5, 1, 1) = 0, "", OFFSET('IWP13'!Std7PayrollEmploymentRequirements, 8, 5, 1, 1))</f>
        <v/>
      </c>
      <c r="F1434" s="195" t="str">
        <f ca="1">IF(OFFSET('IWP13'!Std7PayrollEmploymentRequirements, 8, 6, 1, 1) = 0, "", OFFSET('IWP13'!Std7PayrollEmploymentRequirements, 8, 6, 1, 1))</f>
        <v/>
      </c>
      <c r="G1434" s="195" t="str">
        <f ca="1">IF(OFFSET('IWP13'!Std7PayrollEmploymentRequirements, 8, 7, 1, 1) = 0, "", OFFSET('IWP13'!Std7PayrollEmploymentRequirements, 8, 7, 1, 1))</f>
        <v/>
      </c>
      <c r="H1434" s="195" t="str">
        <f ca="1">IF(OFFSET('IWP13'!Std7PayrollEmploymentRequirements, 8, 9, 1, 1) = 0, "", OFFSET('IWP13'!Std7PayrollEmploymentRequirements, 8, 9, 1, 1))</f>
        <v/>
      </c>
      <c r="I1434" s="194" t="str">
        <f ca="1">IF(OFFSET('IWP13'!Std7PayrollEmploymentRequirements, 8, 11, 1, 1) = 0, "", OFFSET('IWP13'!Std7PayrollEmploymentRequirements, 8, 11, 1, 1))</f>
        <v/>
      </c>
    </row>
    <row r="1435" spans="1:9" s="146" customFormat="1">
      <c r="A1435" s="183" t="s">
        <v>511</v>
      </c>
      <c r="B1435" s="195" t="str">
        <f ca="1">IF(OFFSET('IWP13'!Std7PayrollEmploymentRequirements, 9, 0, 1, 1) = 0, "", OFFSET('IWP13'!Std7PayrollEmploymentRequirements, 9, 0, 1, 1))</f>
        <v/>
      </c>
      <c r="C1435" s="195" t="str">
        <f ca="1">IF(OFFSET('IWP13'!Std7PayrollEmploymentRequirements, 9, 2, 1, 1) = 0, "", OFFSET('IWP13'!Std7PayrollEmploymentRequirements, 9, 2, 1, 1))</f>
        <v/>
      </c>
      <c r="D1435" s="172">
        <f ca="1">IF(OFFSET('IWP13'!Std7PayrollEmploymentRequirements, 9, 4, 1, 1)=DATE(1900,1,0), DATE(1900,1,1), OFFSET('IWP13'!Std7PayrollEmploymentRequirements, 9, 4, 1, 1))</f>
        <v>1</v>
      </c>
      <c r="E1435" s="195" t="str">
        <f ca="1">IF(OFFSET('IWP13'!Std7PayrollEmploymentRequirements, 9, 5, 1, 1) = 0, "", OFFSET('IWP13'!Std7PayrollEmploymentRequirements, 9, 5, 1, 1))</f>
        <v/>
      </c>
      <c r="F1435" s="195" t="str">
        <f ca="1">IF(OFFSET('IWP13'!Std7PayrollEmploymentRequirements, 9, 6, 1, 1) = 0, "", OFFSET('IWP13'!Std7PayrollEmploymentRequirements, 9, 6, 1, 1))</f>
        <v/>
      </c>
      <c r="G1435" s="195" t="str">
        <f ca="1">IF(OFFSET('IWP13'!Std7PayrollEmploymentRequirements, 9, 7, 1, 1) = 0, "", OFFSET('IWP13'!Std7PayrollEmploymentRequirements, 9, 7, 1, 1))</f>
        <v/>
      </c>
      <c r="H1435" s="195" t="str">
        <f ca="1">IF(OFFSET('IWP13'!Std7PayrollEmploymentRequirements, 9, 9, 1, 1) = 0, "", OFFSET('IWP13'!Std7PayrollEmploymentRequirements, 9, 9, 1, 1))</f>
        <v/>
      </c>
      <c r="I1435" s="194" t="str">
        <f ca="1">IF(OFFSET('IWP13'!Std7PayrollEmploymentRequirements, 9, 11, 1, 1) = 0, "", OFFSET('IWP13'!Std7PayrollEmploymentRequirements, 9, 11, 1, 1))</f>
        <v/>
      </c>
    </row>
    <row r="1436" spans="1:9" s="146" customFormat="1">
      <c r="A1436" s="183" t="s">
        <v>511</v>
      </c>
      <c r="B1436" s="195" t="str">
        <f ca="1">IF(OFFSET('IWP13'!Std7PayrollEmploymentRequirements, 10, 0, 1, 1) = 0, "", OFFSET('IWP13'!Std7PayrollEmploymentRequirements, 10, 0, 1, 1))</f>
        <v/>
      </c>
      <c r="C1436" s="195" t="str">
        <f ca="1">IF(OFFSET('IWP13'!Std7PayrollEmploymentRequirements, 10, 2, 1, 1) = 0, "", OFFSET('IWP13'!Std7PayrollEmploymentRequirements, 10, 2, 1, 1))</f>
        <v/>
      </c>
      <c r="D1436" s="172">
        <f ca="1">IF(OFFSET('IWP13'!Std7PayrollEmploymentRequirements, 10, 4, 1, 1)=DATE(1900,1,0), DATE(1900,1,1), OFFSET('IWP13'!Std7PayrollEmploymentRequirements, 10, 4, 1, 1))</f>
        <v>1</v>
      </c>
      <c r="E1436" s="195" t="str">
        <f ca="1">IF(OFFSET('IWP13'!Std7PayrollEmploymentRequirements, 10, 5, 1, 1) = 0, "", OFFSET('IWP13'!Std7PayrollEmploymentRequirements, 10, 5, 1, 1))</f>
        <v/>
      </c>
      <c r="F1436" s="195" t="str">
        <f ca="1">IF(OFFSET('IWP13'!Std7PayrollEmploymentRequirements, 10, 6, 1, 1) = 0, "", OFFSET('IWP13'!Std7PayrollEmploymentRequirements, 10, 6, 1, 1))</f>
        <v/>
      </c>
      <c r="G1436" s="195" t="str">
        <f ca="1">IF(OFFSET('IWP13'!Std7PayrollEmploymentRequirements, 10, 7, 1, 1) = 0, "", OFFSET('IWP13'!Std7PayrollEmploymentRequirements, 10, 7, 1, 1))</f>
        <v/>
      </c>
      <c r="H1436" s="195" t="str">
        <f ca="1">IF(OFFSET('IWP13'!Std7PayrollEmploymentRequirements, 10, 9, 1, 1) = 0, "", OFFSET('IWP13'!Std7PayrollEmploymentRequirements, 10, 9, 1, 1))</f>
        <v/>
      </c>
      <c r="I1436" s="194" t="str">
        <f ca="1">IF(OFFSET('IWP13'!Std7PayrollEmploymentRequirements, 10, 11, 1, 1) = 0, "", OFFSET('IWP13'!Std7PayrollEmploymentRequirements, 10, 11, 1, 1))</f>
        <v/>
      </c>
    </row>
    <row r="1437" spans="1:9" s="146" customFormat="1">
      <c r="A1437" s="183" t="s">
        <v>511</v>
      </c>
      <c r="B1437" s="195" t="str">
        <f ca="1">IF(OFFSET('IWP13'!Std7PayrollEmploymentRequirements, 11, 0, 1, 1) = 0, "", OFFSET('IWP13'!Std7PayrollEmploymentRequirements, 11, 0, 1, 1))</f>
        <v/>
      </c>
      <c r="C1437" s="195" t="str">
        <f ca="1">IF(OFFSET('IWP13'!Std7PayrollEmploymentRequirements, 11, 2, 1, 1) = 0, "", OFFSET('IWP13'!Std7PayrollEmploymentRequirements, 11, 2, 1, 1))</f>
        <v/>
      </c>
      <c r="D1437" s="172">
        <f ca="1">IF(OFFSET('IWP13'!Std7PayrollEmploymentRequirements, 11, 4, 1, 1)=DATE(1900,1,0), DATE(1900,1,1), OFFSET('IWP13'!Std7PayrollEmploymentRequirements, 11, 4, 1, 1))</f>
        <v>1</v>
      </c>
      <c r="E1437" s="195" t="str">
        <f ca="1">IF(OFFSET('IWP13'!Std7PayrollEmploymentRequirements, 11, 5, 1, 1) = 0, "", OFFSET('IWP13'!Std7PayrollEmploymentRequirements, 11, 5, 1, 1))</f>
        <v/>
      </c>
      <c r="F1437" s="195" t="str">
        <f ca="1">IF(OFFSET('IWP13'!Std7PayrollEmploymentRequirements, 11, 6, 1, 1) = 0, "", OFFSET('IWP13'!Std7PayrollEmploymentRequirements, 11, 6, 1, 1))</f>
        <v/>
      </c>
      <c r="G1437" s="195" t="str">
        <f ca="1">IF(OFFSET('IWP13'!Std7PayrollEmploymentRequirements, 11, 7, 1, 1) = 0, "", OFFSET('IWP13'!Std7PayrollEmploymentRequirements, 11, 7, 1, 1))</f>
        <v/>
      </c>
      <c r="H1437" s="195" t="str">
        <f ca="1">IF(OFFSET('IWP13'!Std7PayrollEmploymentRequirements, 11, 9, 1, 1) = 0, "", OFFSET('IWP13'!Std7PayrollEmploymentRequirements, 11, 9, 1, 1))</f>
        <v/>
      </c>
      <c r="I1437" s="194" t="str">
        <f ca="1">IF(OFFSET('IWP13'!Std7PayrollEmploymentRequirements, 11, 11, 1, 1) = 0, "", OFFSET('IWP13'!Std7PayrollEmploymentRequirements, 11, 11, 1, 1))</f>
        <v/>
      </c>
    </row>
    <row r="1438" spans="1:9" s="146" customFormat="1">
      <c r="A1438" s="183" t="s">
        <v>511</v>
      </c>
      <c r="B1438" s="195" t="str">
        <f ca="1">IF(OFFSET('IWP13'!Std7PayrollEmploymentRequirements, 12, 0, 1, 1) = 0, "", OFFSET('IWP13'!Std7PayrollEmploymentRequirements, 12, 0, 1, 1))</f>
        <v/>
      </c>
      <c r="C1438" s="195" t="str">
        <f ca="1">IF(OFFSET('IWP13'!Std7PayrollEmploymentRequirements, 12, 2, 1, 1) = 0, "", OFFSET('IWP13'!Std7PayrollEmploymentRequirements, 12, 2, 1, 1))</f>
        <v/>
      </c>
      <c r="D1438" s="172">
        <f ca="1">IF(OFFSET('IWP13'!Std7PayrollEmploymentRequirements, 12, 4, 1, 1)=DATE(1900,1,0), DATE(1900,1,1), OFFSET('IWP13'!Std7PayrollEmploymentRequirements, 12, 4, 1, 1))</f>
        <v>1</v>
      </c>
      <c r="E1438" s="195" t="str">
        <f ca="1">IF(OFFSET('IWP13'!Std7PayrollEmploymentRequirements, 12, 5, 1, 1) = 0, "", OFFSET('IWP13'!Std7PayrollEmploymentRequirements, 12, 5, 1, 1))</f>
        <v/>
      </c>
      <c r="F1438" s="195" t="str">
        <f ca="1">IF(OFFSET('IWP13'!Std7PayrollEmploymentRequirements, 12, 6, 1, 1) = 0, "", OFFSET('IWP13'!Std7PayrollEmploymentRequirements, 12, 6, 1, 1))</f>
        <v/>
      </c>
      <c r="G1438" s="195" t="str">
        <f ca="1">IF(OFFSET('IWP13'!Std7PayrollEmploymentRequirements, 12, 7, 1, 1) = 0, "", OFFSET('IWP13'!Std7PayrollEmploymentRequirements, 12, 7, 1, 1))</f>
        <v/>
      </c>
      <c r="H1438" s="195" t="str">
        <f ca="1">IF(OFFSET('IWP13'!Std7PayrollEmploymentRequirements, 12, 9, 1, 1) = 0, "", OFFSET('IWP13'!Std7PayrollEmploymentRequirements, 12, 9, 1, 1))</f>
        <v/>
      </c>
      <c r="I1438" s="194" t="str">
        <f ca="1">IF(OFFSET('IWP13'!Std7PayrollEmploymentRequirements, 12, 11, 1, 1) = 0, "", OFFSET('IWP13'!Std7PayrollEmploymentRequirements, 12, 11, 1, 1))</f>
        <v/>
      </c>
    </row>
    <row r="1439" spans="1:9" s="146" customFormat="1">
      <c r="A1439" s="183" t="s">
        <v>511</v>
      </c>
      <c r="B1439" s="195" t="str">
        <f ca="1">IF(OFFSET('IWP13'!Std7PayrollEmploymentRequirements, 13, 0, 1, 1) = 0, "", OFFSET('IWP13'!Std7PayrollEmploymentRequirements, 13, 0, 1, 1))</f>
        <v/>
      </c>
      <c r="C1439" s="195" t="str">
        <f ca="1">IF(OFFSET('IWP13'!Std7PayrollEmploymentRequirements, 13, 2, 1, 1) = 0, "", OFFSET('IWP13'!Std7PayrollEmploymentRequirements, 13, 2, 1, 1))</f>
        <v/>
      </c>
      <c r="D1439" s="172">
        <f ca="1">IF(OFFSET('IWP13'!Std7PayrollEmploymentRequirements, 13, 4, 1, 1)=DATE(1900,1,0), DATE(1900,1,1), OFFSET('IWP13'!Std7PayrollEmploymentRequirements, 13, 4, 1, 1))</f>
        <v>1</v>
      </c>
      <c r="E1439" s="195" t="str">
        <f ca="1">IF(OFFSET('IWP13'!Std7PayrollEmploymentRequirements, 13, 5, 1, 1) = 0, "", OFFSET('IWP13'!Std7PayrollEmploymentRequirements, 13, 5, 1, 1))</f>
        <v/>
      </c>
      <c r="F1439" s="195" t="str">
        <f ca="1">IF(OFFSET('IWP13'!Std7PayrollEmploymentRequirements, 13, 6, 1, 1) = 0, "", OFFSET('IWP13'!Std7PayrollEmploymentRequirements, 13, 6, 1, 1))</f>
        <v/>
      </c>
      <c r="G1439" s="195" t="str">
        <f ca="1">IF(OFFSET('IWP13'!Std7PayrollEmploymentRequirements, 13, 7, 1, 1) = 0, "", OFFSET('IWP13'!Std7PayrollEmploymentRequirements, 13, 7, 1, 1))</f>
        <v/>
      </c>
      <c r="H1439" s="195" t="str">
        <f ca="1">IF(OFFSET('IWP13'!Std7PayrollEmploymentRequirements, 13, 9, 1, 1) = 0, "", OFFSET('IWP13'!Std7PayrollEmploymentRequirements, 13, 9, 1, 1))</f>
        <v/>
      </c>
      <c r="I1439" s="194" t="str">
        <f ca="1">IF(OFFSET('IWP13'!Std7PayrollEmploymentRequirements, 13, 11, 1, 1) = 0, "", OFFSET('IWP13'!Std7PayrollEmploymentRequirements, 13, 11, 1, 1))</f>
        <v/>
      </c>
    </row>
    <row r="1440" spans="1:9" s="146" customFormat="1">
      <c r="A1440" s="183" t="s">
        <v>511</v>
      </c>
      <c r="B1440" s="195" t="str">
        <f ca="1">IF(OFFSET('IWP13'!Std7PayrollEmploymentRequirements, 14, 0, 1, 1) = 0, "", OFFSET('IWP13'!Std7PayrollEmploymentRequirements, 14, 0, 1, 1))</f>
        <v/>
      </c>
      <c r="C1440" s="195" t="str">
        <f ca="1">IF(OFFSET('IWP13'!Std7PayrollEmploymentRequirements, 14, 2, 1, 1) = 0, "", OFFSET('IWP13'!Std7PayrollEmploymentRequirements, 14, 2, 1, 1))</f>
        <v/>
      </c>
      <c r="D1440" s="172">
        <f ca="1">IF(OFFSET('IWP13'!Std7PayrollEmploymentRequirements, 14, 4, 1, 1)=DATE(1900,1,0), DATE(1900,1,1), OFFSET('IWP13'!Std7PayrollEmploymentRequirements, 14, 4, 1, 1))</f>
        <v>1</v>
      </c>
      <c r="E1440" s="195" t="str">
        <f ca="1">IF(OFFSET('IWP13'!Std7PayrollEmploymentRequirements, 14, 5, 1, 1) = 0, "", OFFSET('IWP13'!Std7PayrollEmploymentRequirements, 14, 5, 1, 1))</f>
        <v/>
      </c>
      <c r="F1440" s="195" t="str">
        <f ca="1">IF(OFFSET('IWP13'!Std7PayrollEmploymentRequirements, 14, 6, 1, 1) = 0, "", OFFSET('IWP13'!Std7PayrollEmploymentRequirements, 14, 6, 1, 1))</f>
        <v/>
      </c>
      <c r="G1440" s="195" t="str">
        <f ca="1">IF(OFFSET('IWP13'!Std7PayrollEmploymentRequirements, 14, 7, 1, 1) = 0, "", OFFSET('IWP13'!Std7PayrollEmploymentRequirements, 14, 7, 1, 1))</f>
        <v/>
      </c>
      <c r="H1440" s="195" t="str">
        <f ca="1">IF(OFFSET('IWP13'!Std7PayrollEmploymentRequirements, 14, 9, 1, 1) = 0, "", OFFSET('IWP13'!Std7PayrollEmploymentRequirements, 14, 9, 1, 1))</f>
        <v/>
      </c>
      <c r="I1440" s="194" t="str">
        <f ca="1">IF(OFFSET('IWP13'!Std7PayrollEmploymentRequirements, 14, 11, 1, 1) = 0, "", OFFSET('IWP13'!Std7PayrollEmploymentRequirements, 14, 11, 1, 1))</f>
        <v/>
      </c>
    </row>
    <row r="1441" spans="1:9" s="146" customFormat="1">
      <c r="A1441" s="183" t="s">
        <v>511</v>
      </c>
      <c r="B1441" s="195" t="str">
        <f ca="1">IF(OFFSET('IWP13'!Std7PayrollEmploymentRequirements, 15, 0, 1, 1) = 0, "", OFFSET('IWP13'!Std7PayrollEmploymentRequirements, 15, 0, 1, 1))</f>
        <v/>
      </c>
      <c r="C1441" s="195" t="str">
        <f ca="1">IF(OFFSET('IWP13'!Std7PayrollEmploymentRequirements, 15, 2, 1, 1) = 0, "", OFFSET('IWP13'!Std7PayrollEmploymentRequirements, 15, 2, 1, 1))</f>
        <v/>
      </c>
      <c r="D1441" s="172">
        <f ca="1">IF(OFFSET('IWP13'!Std7PayrollEmploymentRequirements, 15, 4, 1, 1)=DATE(1900,1,0), DATE(1900,1,1), OFFSET('IWP13'!Std7PayrollEmploymentRequirements, 15, 4, 1, 1))</f>
        <v>1</v>
      </c>
      <c r="E1441" s="195" t="str">
        <f ca="1">IF(OFFSET('IWP13'!Std7PayrollEmploymentRequirements, 15, 5, 1, 1) = 0, "", OFFSET('IWP13'!Std7PayrollEmploymentRequirements, 15, 5, 1, 1))</f>
        <v/>
      </c>
      <c r="F1441" s="195" t="str">
        <f ca="1">IF(OFFSET('IWP13'!Std7PayrollEmploymentRequirements, 15, 6, 1, 1) = 0, "", OFFSET('IWP13'!Std7PayrollEmploymentRequirements, 15, 6, 1, 1))</f>
        <v/>
      </c>
      <c r="G1441" s="195" t="str">
        <f ca="1">IF(OFFSET('IWP13'!Std7PayrollEmploymentRequirements, 15, 7, 1, 1) = 0, "", OFFSET('IWP13'!Std7PayrollEmploymentRequirements, 15, 7, 1, 1))</f>
        <v/>
      </c>
      <c r="H1441" s="195" t="str">
        <f ca="1">IF(OFFSET('IWP13'!Std7PayrollEmploymentRequirements, 15, 9, 1, 1) = 0, "", OFFSET('IWP13'!Std7PayrollEmploymentRequirements, 15, 9, 1, 1))</f>
        <v/>
      </c>
      <c r="I1441" s="194" t="str">
        <f ca="1">IF(OFFSET('IWP13'!Std7PayrollEmploymentRequirements, 15, 11, 1, 1) = 0, "", OFFSET('IWP13'!Std7PayrollEmploymentRequirements, 15, 11, 1, 1))</f>
        <v/>
      </c>
    </row>
    <row r="1442" spans="1:9" s="146" customFormat="1">
      <c r="A1442" s="183" t="s">
        <v>512</v>
      </c>
      <c r="B1442" s="195" t="str">
        <f ca="1">IF(OFFSET('IWP14'!Std7PayrollEmploymentRequirements, 0, 0, 1, 1) = 0, "", OFFSET('IWP14'!Std7PayrollEmploymentRequirements, 0, 0, 1, 1))</f>
        <v/>
      </c>
      <c r="C1442" s="195" t="str">
        <f ca="1">IF(OFFSET('IWP14'!Std7PayrollEmploymentRequirements, 0, 2, 1, 1) = 0, "", OFFSET('IWP14'!Std7PayrollEmploymentRequirements, 0, 2, 1, 1))</f>
        <v/>
      </c>
      <c r="D1442" s="172">
        <f ca="1">IF(OFFSET('IWP14'!Std7PayrollEmploymentRequirements, 0, 4, 1, 1)=DATE(1900,1,0), DATE(1900,1,1), OFFSET('IWP14'!Std7PayrollEmploymentRequirements, 0, 4, 1, 1))</f>
        <v>1</v>
      </c>
      <c r="E1442" s="195" t="str">
        <f ca="1">IF(OFFSET('IWP14'!Std7PayrollEmploymentRequirements, 0, 5, 1, 1) = 0, "", OFFSET('IWP14'!Std7PayrollEmploymentRequirements, 0, 5, 1, 1))</f>
        <v/>
      </c>
      <c r="F1442" s="195" t="str">
        <f ca="1">IF(OFFSET('IWP14'!Std7PayrollEmploymentRequirements, 0, 6, 1, 1) = 0, "", OFFSET('IWP14'!Std7PayrollEmploymentRequirements, 0, 6, 1, 1))</f>
        <v/>
      </c>
      <c r="G1442" s="195" t="str">
        <f ca="1">IF(OFFSET('IWP14'!Std7PayrollEmploymentRequirements, 0, 7, 1, 1) = 0, "", OFFSET('IWP14'!Std7PayrollEmploymentRequirements, 0, 7, 1, 1))</f>
        <v/>
      </c>
      <c r="H1442" s="195" t="str">
        <f ca="1">IF(OFFSET('IWP14'!Std7PayrollEmploymentRequirements, 0, 9, 1, 1) = 0, "", OFFSET('IWP14'!Std7PayrollEmploymentRequirements, 0, 9, 1, 1))</f>
        <v/>
      </c>
      <c r="I1442" s="194" t="str">
        <f ca="1">IF(OFFSET('IWP14'!Std7PayrollEmploymentRequirements, 0, 11, 1, 1) = 0, "", OFFSET('IWP14'!Std7PayrollEmploymentRequirements, 0, 11, 1, 1))</f>
        <v/>
      </c>
    </row>
    <row r="1443" spans="1:9" s="146" customFormat="1">
      <c r="A1443" s="183" t="s">
        <v>512</v>
      </c>
      <c r="B1443" s="195" t="str">
        <f ca="1">IF(OFFSET('IWP14'!Std7PayrollEmploymentRequirements, 1, 0, 1, 1) = 0, "", OFFSET('IWP14'!Std7PayrollEmploymentRequirements, 1, 0, 1, 1))</f>
        <v/>
      </c>
      <c r="C1443" s="195" t="str">
        <f ca="1">IF(OFFSET('IWP14'!Std7PayrollEmploymentRequirements, 1, 2, 1, 1) = 0, "", OFFSET('IWP14'!Std7PayrollEmploymentRequirements, 1, 2, 1, 1))</f>
        <v/>
      </c>
      <c r="D1443" s="172">
        <f ca="1">IF(OFFSET('IWP14'!Std7PayrollEmploymentRequirements, 1, 4, 1, 1)=DATE(1900,1,0), DATE(1900,1,1), OFFSET('IWP14'!Std7PayrollEmploymentRequirements, 1, 4, 1, 1))</f>
        <v>1</v>
      </c>
      <c r="E1443" s="195" t="str">
        <f ca="1">IF(OFFSET('IWP14'!Std7PayrollEmploymentRequirements, 1, 5, 1, 1) = 0, "", OFFSET('IWP14'!Std7PayrollEmploymentRequirements, 1, 5, 1, 1))</f>
        <v/>
      </c>
      <c r="F1443" s="195" t="str">
        <f ca="1">IF(OFFSET('IWP14'!Std7PayrollEmploymentRequirements, 1, 6, 1, 1) = 0, "", OFFSET('IWP14'!Std7PayrollEmploymentRequirements, 1, 6, 1, 1))</f>
        <v/>
      </c>
      <c r="G1443" s="195" t="str">
        <f ca="1">IF(OFFSET('IWP14'!Std7PayrollEmploymentRequirements, 1, 7, 1, 1) = 0, "", OFFSET('IWP14'!Std7PayrollEmploymentRequirements, 1, 7, 1, 1))</f>
        <v/>
      </c>
      <c r="H1443" s="195" t="str">
        <f ca="1">IF(OFFSET('IWP14'!Std7PayrollEmploymentRequirements, 1, 9, 1, 1) = 0, "", OFFSET('IWP14'!Std7PayrollEmploymentRequirements, 1, 9, 1, 1))</f>
        <v/>
      </c>
      <c r="I1443" s="194" t="str">
        <f ca="1">IF(OFFSET('IWP14'!Std7PayrollEmploymentRequirements, 1, 11, 1, 1) = 0, "", OFFSET('IWP14'!Std7PayrollEmploymentRequirements, 1, 11, 1, 1))</f>
        <v/>
      </c>
    </row>
    <row r="1444" spans="1:9" s="146" customFormat="1">
      <c r="A1444" s="183" t="s">
        <v>512</v>
      </c>
      <c r="B1444" s="195" t="str">
        <f ca="1">IF(OFFSET('IWP14'!Std7PayrollEmploymentRequirements, 2, 0, 1, 1) = 0, "", OFFSET('IWP14'!Std7PayrollEmploymentRequirements, 2, 0, 1, 1))</f>
        <v/>
      </c>
      <c r="C1444" s="195" t="str">
        <f ca="1">IF(OFFSET('IWP14'!Std7PayrollEmploymentRequirements, 2, 2, 1, 1) = 0, "", OFFSET('IWP14'!Std7PayrollEmploymentRequirements, 2, 2, 1, 1))</f>
        <v/>
      </c>
      <c r="D1444" s="172">
        <f ca="1">IF(OFFSET('IWP14'!Std7PayrollEmploymentRequirements, 2, 4, 1, 1)=DATE(1900,1,0), DATE(1900,1,1), OFFSET('IWP14'!Std7PayrollEmploymentRequirements, 2, 4, 1, 1))</f>
        <v>1</v>
      </c>
      <c r="E1444" s="195" t="str">
        <f ca="1">IF(OFFSET('IWP14'!Std7PayrollEmploymentRequirements, 2, 5, 1, 1) = 0, "", OFFSET('IWP14'!Std7PayrollEmploymentRequirements, 2, 5, 1, 1))</f>
        <v/>
      </c>
      <c r="F1444" s="195" t="str">
        <f ca="1">IF(OFFSET('IWP14'!Std7PayrollEmploymentRequirements, 2, 6, 1, 1) = 0, "", OFFSET('IWP14'!Std7PayrollEmploymentRequirements, 2, 6, 1, 1))</f>
        <v/>
      </c>
      <c r="G1444" s="195" t="str">
        <f ca="1">IF(OFFSET('IWP14'!Std7PayrollEmploymentRequirements, 2, 7, 1, 1) = 0, "", OFFSET('IWP14'!Std7PayrollEmploymentRequirements, 2, 7, 1, 1))</f>
        <v/>
      </c>
      <c r="H1444" s="195" t="str">
        <f ca="1">IF(OFFSET('IWP14'!Std7PayrollEmploymentRequirements, 2, 9, 1, 1) = 0, "", OFFSET('IWP14'!Std7PayrollEmploymentRequirements, 2, 9, 1, 1))</f>
        <v/>
      </c>
      <c r="I1444" s="194" t="str">
        <f ca="1">IF(OFFSET('IWP14'!Std7PayrollEmploymentRequirements, 2, 11, 1, 1) = 0, "", OFFSET('IWP14'!Std7PayrollEmploymentRequirements, 2, 11, 1, 1))</f>
        <v/>
      </c>
    </row>
    <row r="1445" spans="1:9" s="146" customFormat="1">
      <c r="A1445" s="183" t="s">
        <v>512</v>
      </c>
      <c r="B1445" s="195" t="str">
        <f ca="1">IF(OFFSET('IWP14'!Std7PayrollEmploymentRequirements, 3, 0, 1, 1) = 0, "", OFFSET('IWP14'!Std7PayrollEmploymentRequirements, 3, 0, 1, 1))</f>
        <v/>
      </c>
      <c r="C1445" s="195" t="str">
        <f ca="1">IF(OFFSET('IWP14'!Std7PayrollEmploymentRequirements, 3, 2, 1, 1) = 0, "", OFFSET('IWP14'!Std7PayrollEmploymentRequirements, 3, 2, 1, 1))</f>
        <v/>
      </c>
      <c r="D1445" s="172">
        <f ca="1">IF(OFFSET('IWP14'!Std7PayrollEmploymentRequirements, 3, 4, 1, 1)=DATE(1900,1,0), DATE(1900,1,1), OFFSET('IWP14'!Std7PayrollEmploymentRequirements, 3, 4, 1, 1))</f>
        <v>1</v>
      </c>
      <c r="E1445" s="195" t="str">
        <f ca="1">IF(OFFSET('IWP14'!Std7PayrollEmploymentRequirements, 3, 5, 1, 1) = 0, "", OFFSET('IWP14'!Std7PayrollEmploymentRequirements, 3, 5, 1, 1))</f>
        <v/>
      </c>
      <c r="F1445" s="195" t="str">
        <f ca="1">IF(OFFSET('IWP14'!Std7PayrollEmploymentRequirements, 3, 6, 1, 1) = 0, "", OFFSET('IWP14'!Std7PayrollEmploymentRequirements, 3, 6, 1, 1))</f>
        <v/>
      </c>
      <c r="G1445" s="195" t="str">
        <f ca="1">IF(OFFSET('IWP14'!Std7PayrollEmploymentRequirements, 3, 7, 1, 1) = 0, "", OFFSET('IWP14'!Std7PayrollEmploymentRequirements, 3, 7, 1, 1))</f>
        <v/>
      </c>
      <c r="H1445" s="195" t="str">
        <f ca="1">IF(OFFSET('IWP14'!Std7PayrollEmploymentRequirements, 3, 9, 1, 1) = 0, "", OFFSET('IWP14'!Std7PayrollEmploymentRequirements, 3, 9, 1, 1))</f>
        <v/>
      </c>
      <c r="I1445" s="194" t="str">
        <f ca="1">IF(OFFSET('IWP14'!Std7PayrollEmploymentRequirements, 3, 11, 1, 1) = 0, "", OFFSET('IWP14'!Std7PayrollEmploymentRequirements, 3, 11, 1, 1))</f>
        <v/>
      </c>
    </row>
    <row r="1446" spans="1:9" s="146" customFormat="1">
      <c r="A1446" s="183" t="s">
        <v>512</v>
      </c>
      <c r="B1446" s="195" t="str">
        <f ca="1">IF(OFFSET('IWP14'!Std7PayrollEmploymentRequirements, 4, 0, 1, 1) = 0, "", OFFSET('IWP14'!Std7PayrollEmploymentRequirements, 4, 0, 1, 1))</f>
        <v/>
      </c>
      <c r="C1446" s="195" t="str">
        <f ca="1">IF(OFFSET('IWP14'!Std7PayrollEmploymentRequirements, 4, 2, 1, 1) = 0, "", OFFSET('IWP14'!Std7PayrollEmploymentRequirements, 4, 2, 1, 1))</f>
        <v/>
      </c>
      <c r="D1446" s="172">
        <f ca="1">IF(OFFSET('IWP14'!Std7PayrollEmploymentRequirements, 4, 4, 1, 1)=DATE(1900,1,0), DATE(1900,1,1), OFFSET('IWP14'!Std7PayrollEmploymentRequirements, 4, 4, 1, 1))</f>
        <v>1</v>
      </c>
      <c r="E1446" s="195" t="str">
        <f ca="1">IF(OFFSET('IWP14'!Std7PayrollEmploymentRequirements, 4, 5, 1, 1) = 0, "", OFFSET('IWP14'!Std7PayrollEmploymentRequirements, 4, 5, 1, 1))</f>
        <v/>
      </c>
      <c r="F1446" s="195" t="str">
        <f ca="1">IF(OFFSET('IWP14'!Std7PayrollEmploymentRequirements, 4, 6, 1, 1) = 0, "", OFFSET('IWP14'!Std7PayrollEmploymentRequirements, 4, 6, 1, 1))</f>
        <v/>
      </c>
      <c r="G1446" s="195" t="str">
        <f ca="1">IF(OFFSET('IWP14'!Std7PayrollEmploymentRequirements, 4, 7, 1, 1) = 0, "", OFFSET('IWP14'!Std7PayrollEmploymentRequirements, 4, 7, 1, 1))</f>
        <v/>
      </c>
      <c r="H1446" s="195" t="str">
        <f ca="1">IF(OFFSET('IWP14'!Std7PayrollEmploymentRequirements, 4, 9, 1, 1) = 0, "", OFFSET('IWP14'!Std7PayrollEmploymentRequirements, 4, 9, 1, 1))</f>
        <v/>
      </c>
      <c r="I1446" s="194" t="str">
        <f ca="1">IF(OFFSET('IWP14'!Std7PayrollEmploymentRequirements, 4, 11, 1, 1) = 0, "", OFFSET('IWP14'!Std7PayrollEmploymentRequirements, 4, 11, 1, 1))</f>
        <v/>
      </c>
    </row>
    <row r="1447" spans="1:9" s="146" customFormat="1">
      <c r="A1447" s="183" t="s">
        <v>512</v>
      </c>
      <c r="B1447" s="195" t="str">
        <f ca="1">IF(OFFSET('IWP14'!Std7PayrollEmploymentRequirements, 5, 0, 1, 1) = 0, "", OFFSET('IWP14'!Std7PayrollEmploymentRequirements, 5, 0, 1, 1))</f>
        <v/>
      </c>
      <c r="C1447" s="195" t="str">
        <f ca="1">IF(OFFSET('IWP14'!Std7PayrollEmploymentRequirements, 5, 2, 1, 1) = 0, "", OFFSET('IWP14'!Std7PayrollEmploymentRequirements, 5, 2, 1, 1))</f>
        <v/>
      </c>
      <c r="D1447" s="172">
        <f ca="1">IF(OFFSET('IWP14'!Std7PayrollEmploymentRequirements, 5, 4, 1, 1)=DATE(1900,1,0), DATE(1900,1,1), OFFSET('IWP14'!Std7PayrollEmploymentRequirements, 5, 4, 1, 1))</f>
        <v>1</v>
      </c>
      <c r="E1447" s="195" t="str">
        <f ca="1">IF(OFFSET('IWP14'!Std7PayrollEmploymentRequirements, 5, 5, 1, 1) = 0, "", OFFSET('IWP14'!Std7PayrollEmploymentRequirements, 5, 5, 1, 1))</f>
        <v/>
      </c>
      <c r="F1447" s="195" t="str">
        <f ca="1">IF(OFFSET('IWP14'!Std7PayrollEmploymentRequirements, 5, 6, 1, 1) = 0, "", OFFSET('IWP14'!Std7PayrollEmploymentRequirements, 5, 6, 1, 1))</f>
        <v/>
      </c>
      <c r="G1447" s="195" t="str">
        <f ca="1">IF(OFFSET('IWP14'!Std7PayrollEmploymentRequirements, 5, 7, 1, 1) = 0, "", OFFSET('IWP14'!Std7PayrollEmploymentRequirements, 5, 7, 1, 1))</f>
        <v/>
      </c>
      <c r="H1447" s="195" t="str">
        <f ca="1">IF(OFFSET('IWP14'!Std7PayrollEmploymentRequirements, 5, 9, 1, 1) = 0, "", OFFSET('IWP14'!Std7PayrollEmploymentRequirements, 5, 9, 1, 1))</f>
        <v/>
      </c>
      <c r="I1447" s="194" t="str">
        <f ca="1">IF(OFFSET('IWP14'!Std7PayrollEmploymentRequirements, 5, 11, 1, 1) = 0, "", OFFSET('IWP14'!Std7PayrollEmploymentRequirements, 5, 11, 1, 1))</f>
        <v/>
      </c>
    </row>
    <row r="1448" spans="1:9" s="146" customFormat="1">
      <c r="A1448" s="183" t="s">
        <v>512</v>
      </c>
      <c r="B1448" s="195" t="str">
        <f ca="1">IF(OFFSET('IWP14'!Std7PayrollEmploymentRequirements, 6, 0, 1, 1) = 0, "", OFFSET('IWP14'!Std7PayrollEmploymentRequirements, 6, 0, 1, 1))</f>
        <v/>
      </c>
      <c r="C1448" s="195" t="str">
        <f ca="1">IF(OFFSET('IWP14'!Std7PayrollEmploymentRequirements, 6, 2, 1, 1) = 0, "", OFFSET('IWP14'!Std7PayrollEmploymentRequirements, 6, 2, 1, 1))</f>
        <v/>
      </c>
      <c r="D1448" s="172">
        <f ca="1">IF(OFFSET('IWP14'!Std7PayrollEmploymentRequirements, 6, 4, 1, 1)=DATE(1900,1,0), DATE(1900,1,1), OFFSET('IWP14'!Std7PayrollEmploymentRequirements, 6, 4, 1, 1))</f>
        <v>1</v>
      </c>
      <c r="E1448" s="195" t="str">
        <f ca="1">IF(OFFSET('IWP14'!Std7PayrollEmploymentRequirements, 6, 5, 1, 1) = 0, "", OFFSET('IWP14'!Std7PayrollEmploymentRequirements, 6, 5, 1, 1))</f>
        <v/>
      </c>
      <c r="F1448" s="195" t="str">
        <f ca="1">IF(OFFSET('IWP14'!Std7PayrollEmploymentRequirements, 6, 6, 1, 1) = 0, "", OFFSET('IWP14'!Std7PayrollEmploymentRequirements, 6, 6, 1, 1))</f>
        <v/>
      </c>
      <c r="G1448" s="195" t="str">
        <f ca="1">IF(OFFSET('IWP14'!Std7PayrollEmploymentRequirements, 6, 7, 1, 1) = 0, "", OFFSET('IWP14'!Std7PayrollEmploymentRequirements, 6, 7, 1, 1))</f>
        <v/>
      </c>
      <c r="H1448" s="195" t="str">
        <f ca="1">IF(OFFSET('IWP14'!Std7PayrollEmploymentRequirements, 6, 9, 1, 1) = 0, "", OFFSET('IWP14'!Std7PayrollEmploymentRequirements, 6, 9, 1, 1))</f>
        <v/>
      </c>
      <c r="I1448" s="194" t="str">
        <f ca="1">IF(OFFSET('IWP14'!Std7PayrollEmploymentRequirements, 6, 11, 1, 1) = 0, "", OFFSET('IWP14'!Std7PayrollEmploymentRequirements, 6, 11, 1, 1))</f>
        <v/>
      </c>
    </row>
    <row r="1449" spans="1:9" s="146" customFormat="1">
      <c r="A1449" s="183" t="s">
        <v>512</v>
      </c>
      <c r="B1449" s="195" t="str">
        <f ca="1">IF(OFFSET('IWP14'!Std7PayrollEmploymentRequirements, 7, 0, 1, 1) = 0, "", OFFSET('IWP14'!Std7PayrollEmploymentRequirements, 7, 0, 1, 1))</f>
        <v/>
      </c>
      <c r="C1449" s="195" t="str">
        <f ca="1">IF(OFFSET('IWP14'!Std7PayrollEmploymentRequirements, 7, 2, 1, 1) = 0, "", OFFSET('IWP14'!Std7PayrollEmploymentRequirements, 7, 2, 1, 1))</f>
        <v/>
      </c>
      <c r="D1449" s="172">
        <f ca="1">IF(OFFSET('IWP14'!Std7PayrollEmploymentRequirements, 7, 4, 1, 1)=DATE(1900,1,0), DATE(1900,1,1), OFFSET('IWP14'!Std7PayrollEmploymentRequirements, 7, 4, 1, 1))</f>
        <v>1</v>
      </c>
      <c r="E1449" s="195" t="str">
        <f ca="1">IF(OFFSET('IWP14'!Std7PayrollEmploymentRequirements, 7, 5, 1, 1) = 0, "", OFFSET('IWP14'!Std7PayrollEmploymentRequirements, 7, 5, 1, 1))</f>
        <v/>
      </c>
      <c r="F1449" s="195" t="str">
        <f ca="1">IF(OFFSET('IWP14'!Std7PayrollEmploymentRequirements, 7, 6, 1, 1) = 0, "", OFFSET('IWP14'!Std7PayrollEmploymentRequirements, 7, 6, 1, 1))</f>
        <v/>
      </c>
      <c r="G1449" s="195" t="str">
        <f ca="1">IF(OFFSET('IWP14'!Std7PayrollEmploymentRequirements, 7, 7, 1, 1) = 0, "", OFFSET('IWP14'!Std7PayrollEmploymentRequirements, 7, 7, 1, 1))</f>
        <v/>
      </c>
      <c r="H1449" s="195" t="str">
        <f ca="1">IF(OFFSET('IWP14'!Std7PayrollEmploymentRequirements, 7, 9, 1, 1) = 0, "", OFFSET('IWP14'!Std7PayrollEmploymentRequirements, 7, 9, 1, 1))</f>
        <v/>
      </c>
      <c r="I1449" s="194" t="str">
        <f ca="1">IF(OFFSET('IWP14'!Std7PayrollEmploymentRequirements, 7, 11, 1, 1) = 0, "", OFFSET('IWP14'!Std7PayrollEmploymentRequirements, 7, 11, 1, 1))</f>
        <v/>
      </c>
    </row>
    <row r="1450" spans="1:9" s="146" customFormat="1">
      <c r="A1450" s="183" t="s">
        <v>512</v>
      </c>
      <c r="B1450" s="195" t="str">
        <f ca="1">IF(OFFSET('IWP14'!Std7PayrollEmploymentRequirements, 8, 0, 1, 1) = 0, "", OFFSET('IWP14'!Std7PayrollEmploymentRequirements, 8, 0, 1, 1))</f>
        <v/>
      </c>
      <c r="C1450" s="195" t="str">
        <f ca="1">IF(OFFSET('IWP14'!Std7PayrollEmploymentRequirements, 8, 2, 1, 1) = 0, "", OFFSET('IWP14'!Std7PayrollEmploymentRequirements, 8, 2, 1, 1))</f>
        <v/>
      </c>
      <c r="D1450" s="172">
        <f ca="1">IF(OFFSET('IWP14'!Std7PayrollEmploymentRequirements, 8, 4, 1, 1)=DATE(1900,1,0), DATE(1900,1,1), OFFSET('IWP14'!Std7PayrollEmploymentRequirements, 8, 4, 1, 1))</f>
        <v>1</v>
      </c>
      <c r="E1450" s="195" t="str">
        <f ca="1">IF(OFFSET('IWP14'!Std7PayrollEmploymentRequirements, 8, 5, 1, 1) = 0, "", OFFSET('IWP14'!Std7PayrollEmploymentRequirements, 8, 5, 1, 1))</f>
        <v/>
      </c>
      <c r="F1450" s="195" t="str">
        <f ca="1">IF(OFFSET('IWP14'!Std7PayrollEmploymentRequirements, 8, 6, 1, 1) = 0, "", OFFSET('IWP14'!Std7PayrollEmploymentRequirements, 8, 6, 1, 1))</f>
        <v/>
      </c>
      <c r="G1450" s="195" t="str">
        <f ca="1">IF(OFFSET('IWP14'!Std7PayrollEmploymentRequirements, 8, 7, 1, 1) = 0, "", OFFSET('IWP14'!Std7PayrollEmploymentRequirements, 8, 7, 1, 1))</f>
        <v/>
      </c>
      <c r="H1450" s="195" t="str">
        <f ca="1">IF(OFFSET('IWP14'!Std7PayrollEmploymentRequirements, 8, 9, 1, 1) = 0, "", OFFSET('IWP14'!Std7PayrollEmploymentRequirements, 8, 9, 1, 1))</f>
        <v/>
      </c>
      <c r="I1450" s="194" t="str">
        <f ca="1">IF(OFFSET('IWP14'!Std7PayrollEmploymentRequirements, 8, 11, 1, 1) = 0, "", OFFSET('IWP14'!Std7PayrollEmploymentRequirements, 8, 11, 1, 1))</f>
        <v/>
      </c>
    </row>
    <row r="1451" spans="1:9" s="146" customFormat="1">
      <c r="A1451" s="183" t="s">
        <v>512</v>
      </c>
      <c r="B1451" s="195" t="str">
        <f ca="1">IF(OFFSET('IWP14'!Std7PayrollEmploymentRequirements, 9, 0, 1, 1) = 0, "", OFFSET('IWP14'!Std7PayrollEmploymentRequirements, 9, 0, 1, 1))</f>
        <v/>
      </c>
      <c r="C1451" s="195" t="str">
        <f ca="1">IF(OFFSET('IWP14'!Std7PayrollEmploymentRequirements, 9, 2, 1, 1) = 0, "", OFFSET('IWP14'!Std7PayrollEmploymentRequirements, 9, 2, 1, 1))</f>
        <v/>
      </c>
      <c r="D1451" s="172">
        <f ca="1">IF(OFFSET('IWP14'!Std7PayrollEmploymentRequirements, 9, 4, 1, 1)=DATE(1900,1,0), DATE(1900,1,1), OFFSET('IWP14'!Std7PayrollEmploymentRequirements, 9, 4, 1, 1))</f>
        <v>1</v>
      </c>
      <c r="E1451" s="195" t="str">
        <f ca="1">IF(OFFSET('IWP14'!Std7PayrollEmploymentRequirements, 9, 5, 1, 1) = 0, "", OFFSET('IWP14'!Std7PayrollEmploymentRequirements, 9, 5, 1, 1))</f>
        <v/>
      </c>
      <c r="F1451" s="195" t="str">
        <f ca="1">IF(OFFSET('IWP14'!Std7PayrollEmploymentRequirements, 9, 6, 1, 1) = 0, "", OFFSET('IWP14'!Std7PayrollEmploymentRequirements, 9, 6, 1, 1))</f>
        <v/>
      </c>
      <c r="G1451" s="195" t="str">
        <f ca="1">IF(OFFSET('IWP14'!Std7PayrollEmploymentRequirements, 9, 7, 1, 1) = 0, "", OFFSET('IWP14'!Std7PayrollEmploymentRequirements, 9, 7, 1, 1))</f>
        <v/>
      </c>
      <c r="H1451" s="195" t="str">
        <f ca="1">IF(OFFSET('IWP14'!Std7PayrollEmploymentRequirements, 9, 9, 1, 1) = 0, "", OFFSET('IWP14'!Std7PayrollEmploymentRequirements, 9, 9, 1, 1))</f>
        <v/>
      </c>
      <c r="I1451" s="194" t="str">
        <f ca="1">IF(OFFSET('IWP14'!Std7PayrollEmploymentRequirements, 9, 11, 1, 1) = 0, "", OFFSET('IWP14'!Std7PayrollEmploymentRequirements, 9, 11, 1, 1))</f>
        <v/>
      </c>
    </row>
    <row r="1452" spans="1:9" s="146" customFormat="1">
      <c r="A1452" s="183" t="s">
        <v>512</v>
      </c>
      <c r="B1452" s="195" t="str">
        <f ca="1">IF(OFFSET('IWP14'!Std7PayrollEmploymentRequirements, 10, 0, 1, 1) = 0, "", OFFSET('IWP14'!Std7PayrollEmploymentRequirements, 10, 0, 1, 1))</f>
        <v/>
      </c>
      <c r="C1452" s="195" t="str">
        <f ca="1">IF(OFFSET('IWP14'!Std7PayrollEmploymentRequirements, 10, 2, 1, 1) = 0, "", OFFSET('IWP14'!Std7PayrollEmploymentRequirements, 10, 2, 1, 1))</f>
        <v/>
      </c>
      <c r="D1452" s="172">
        <f ca="1">IF(OFFSET('IWP14'!Std7PayrollEmploymentRequirements, 10, 4, 1, 1)=DATE(1900,1,0), DATE(1900,1,1), OFFSET('IWP14'!Std7PayrollEmploymentRequirements, 10, 4, 1, 1))</f>
        <v>1</v>
      </c>
      <c r="E1452" s="195" t="str">
        <f ca="1">IF(OFFSET('IWP14'!Std7PayrollEmploymentRequirements, 10, 5, 1, 1) = 0, "", OFFSET('IWP14'!Std7PayrollEmploymentRequirements, 10, 5, 1, 1))</f>
        <v/>
      </c>
      <c r="F1452" s="195" t="str">
        <f ca="1">IF(OFFSET('IWP14'!Std7PayrollEmploymentRequirements, 10, 6, 1, 1) = 0, "", OFFSET('IWP14'!Std7PayrollEmploymentRequirements, 10, 6, 1, 1))</f>
        <v/>
      </c>
      <c r="G1452" s="195" t="str">
        <f ca="1">IF(OFFSET('IWP14'!Std7PayrollEmploymentRequirements, 10, 7, 1, 1) = 0, "", OFFSET('IWP14'!Std7PayrollEmploymentRequirements, 10, 7, 1, 1))</f>
        <v/>
      </c>
      <c r="H1452" s="195" t="str">
        <f ca="1">IF(OFFSET('IWP14'!Std7PayrollEmploymentRequirements, 10, 9, 1, 1) = 0, "", OFFSET('IWP14'!Std7PayrollEmploymentRequirements, 10, 9, 1, 1))</f>
        <v/>
      </c>
      <c r="I1452" s="194" t="str">
        <f ca="1">IF(OFFSET('IWP14'!Std7PayrollEmploymentRequirements, 10, 11, 1, 1) = 0, "", OFFSET('IWP14'!Std7PayrollEmploymentRequirements, 10, 11, 1, 1))</f>
        <v/>
      </c>
    </row>
    <row r="1453" spans="1:9" s="146" customFormat="1">
      <c r="A1453" s="183" t="s">
        <v>512</v>
      </c>
      <c r="B1453" s="195" t="str">
        <f ca="1">IF(OFFSET('IWP14'!Std7PayrollEmploymentRequirements, 11, 0, 1, 1) = 0, "", OFFSET('IWP14'!Std7PayrollEmploymentRequirements, 11, 0, 1, 1))</f>
        <v/>
      </c>
      <c r="C1453" s="195" t="str">
        <f ca="1">IF(OFFSET('IWP14'!Std7PayrollEmploymentRequirements, 11, 2, 1, 1) = 0, "", OFFSET('IWP14'!Std7PayrollEmploymentRequirements, 11, 2, 1, 1))</f>
        <v/>
      </c>
      <c r="D1453" s="172">
        <f ca="1">IF(OFFSET('IWP14'!Std7PayrollEmploymentRequirements, 11, 4, 1, 1)=DATE(1900,1,0), DATE(1900,1,1), OFFSET('IWP14'!Std7PayrollEmploymentRequirements, 11, 4, 1, 1))</f>
        <v>1</v>
      </c>
      <c r="E1453" s="195" t="str">
        <f ca="1">IF(OFFSET('IWP14'!Std7PayrollEmploymentRequirements, 11, 5, 1, 1) = 0, "", OFFSET('IWP14'!Std7PayrollEmploymentRequirements, 11, 5, 1, 1))</f>
        <v/>
      </c>
      <c r="F1453" s="195" t="str">
        <f ca="1">IF(OFFSET('IWP14'!Std7PayrollEmploymentRequirements, 11, 6, 1, 1) = 0, "", OFFSET('IWP14'!Std7PayrollEmploymentRequirements, 11, 6, 1, 1))</f>
        <v/>
      </c>
      <c r="G1453" s="195" t="str">
        <f ca="1">IF(OFFSET('IWP14'!Std7PayrollEmploymentRequirements, 11, 7, 1, 1) = 0, "", OFFSET('IWP14'!Std7PayrollEmploymentRequirements, 11, 7, 1, 1))</f>
        <v/>
      </c>
      <c r="H1453" s="195" t="str">
        <f ca="1">IF(OFFSET('IWP14'!Std7PayrollEmploymentRequirements, 11, 9, 1, 1) = 0, "", OFFSET('IWP14'!Std7PayrollEmploymentRequirements, 11, 9, 1, 1))</f>
        <v/>
      </c>
      <c r="I1453" s="194" t="str">
        <f ca="1">IF(OFFSET('IWP14'!Std7PayrollEmploymentRequirements, 11, 11, 1, 1) = 0, "", OFFSET('IWP14'!Std7PayrollEmploymentRequirements, 11, 11, 1, 1))</f>
        <v/>
      </c>
    </row>
    <row r="1454" spans="1:9" s="146" customFormat="1">
      <c r="A1454" s="183" t="s">
        <v>512</v>
      </c>
      <c r="B1454" s="195" t="str">
        <f ca="1">IF(OFFSET('IWP14'!Std7PayrollEmploymentRequirements, 12, 0, 1, 1) = 0, "", OFFSET('IWP14'!Std7PayrollEmploymentRequirements, 12, 0, 1, 1))</f>
        <v/>
      </c>
      <c r="C1454" s="195" t="str">
        <f ca="1">IF(OFFSET('IWP14'!Std7PayrollEmploymentRequirements, 12, 2, 1, 1) = 0, "", OFFSET('IWP14'!Std7PayrollEmploymentRequirements, 12, 2, 1, 1))</f>
        <v/>
      </c>
      <c r="D1454" s="172">
        <f ca="1">IF(OFFSET('IWP14'!Std7PayrollEmploymentRequirements, 12, 4, 1, 1)=DATE(1900,1,0), DATE(1900,1,1), OFFSET('IWP14'!Std7PayrollEmploymentRequirements, 12, 4, 1, 1))</f>
        <v>1</v>
      </c>
      <c r="E1454" s="195" t="str">
        <f ca="1">IF(OFFSET('IWP14'!Std7PayrollEmploymentRequirements, 12, 5, 1, 1) = 0, "", OFFSET('IWP14'!Std7PayrollEmploymentRequirements, 12, 5, 1, 1))</f>
        <v/>
      </c>
      <c r="F1454" s="195" t="str">
        <f ca="1">IF(OFFSET('IWP14'!Std7PayrollEmploymentRequirements, 12, 6, 1, 1) = 0, "", OFFSET('IWP14'!Std7PayrollEmploymentRequirements, 12, 6, 1, 1))</f>
        <v/>
      </c>
      <c r="G1454" s="195" t="str">
        <f ca="1">IF(OFFSET('IWP14'!Std7PayrollEmploymentRequirements, 12, 7, 1, 1) = 0, "", OFFSET('IWP14'!Std7PayrollEmploymentRequirements, 12, 7, 1, 1))</f>
        <v/>
      </c>
      <c r="H1454" s="195" t="str">
        <f ca="1">IF(OFFSET('IWP14'!Std7PayrollEmploymentRequirements, 12, 9, 1, 1) = 0, "", OFFSET('IWP14'!Std7PayrollEmploymentRequirements, 12, 9, 1, 1))</f>
        <v/>
      </c>
      <c r="I1454" s="194" t="str">
        <f ca="1">IF(OFFSET('IWP14'!Std7PayrollEmploymentRequirements, 12, 11, 1, 1) = 0, "", OFFSET('IWP14'!Std7PayrollEmploymentRequirements, 12, 11, 1, 1))</f>
        <v/>
      </c>
    </row>
    <row r="1455" spans="1:9" s="146" customFormat="1">
      <c r="A1455" s="183" t="s">
        <v>512</v>
      </c>
      <c r="B1455" s="195" t="str">
        <f ca="1">IF(OFFSET('IWP14'!Std7PayrollEmploymentRequirements, 13, 0, 1, 1) = 0, "", OFFSET('IWP14'!Std7PayrollEmploymentRequirements, 13, 0, 1, 1))</f>
        <v/>
      </c>
      <c r="C1455" s="195" t="str">
        <f ca="1">IF(OFFSET('IWP14'!Std7PayrollEmploymentRequirements, 13, 2, 1, 1) = 0, "", OFFSET('IWP14'!Std7PayrollEmploymentRequirements, 13, 2, 1, 1))</f>
        <v/>
      </c>
      <c r="D1455" s="172">
        <f ca="1">IF(OFFSET('IWP14'!Std7PayrollEmploymentRequirements, 13, 4, 1, 1)=DATE(1900,1,0), DATE(1900,1,1), OFFSET('IWP14'!Std7PayrollEmploymentRequirements, 13, 4, 1, 1))</f>
        <v>1</v>
      </c>
      <c r="E1455" s="195" t="str">
        <f ca="1">IF(OFFSET('IWP14'!Std7PayrollEmploymentRequirements, 13, 5, 1, 1) = 0, "", OFFSET('IWP14'!Std7PayrollEmploymentRequirements, 13, 5, 1, 1))</f>
        <v/>
      </c>
      <c r="F1455" s="195" t="str">
        <f ca="1">IF(OFFSET('IWP14'!Std7PayrollEmploymentRequirements, 13, 6, 1, 1) = 0, "", OFFSET('IWP14'!Std7PayrollEmploymentRequirements, 13, 6, 1, 1))</f>
        <v/>
      </c>
      <c r="G1455" s="195" t="str">
        <f ca="1">IF(OFFSET('IWP14'!Std7PayrollEmploymentRequirements, 13, 7, 1, 1) = 0, "", OFFSET('IWP14'!Std7PayrollEmploymentRequirements, 13, 7, 1, 1))</f>
        <v/>
      </c>
      <c r="H1455" s="195" t="str">
        <f ca="1">IF(OFFSET('IWP14'!Std7PayrollEmploymentRequirements, 13, 9, 1, 1) = 0, "", OFFSET('IWP14'!Std7PayrollEmploymentRequirements, 13, 9, 1, 1))</f>
        <v/>
      </c>
      <c r="I1455" s="194" t="str">
        <f ca="1">IF(OFFSET('IWP14'!Std7PayrollEmploymentRequirements, 13, 11, 1, 1) = 0, "", OFFSET('IWP14'!Std7PayrollEmploymentRequirements, 13, 11, 1, 1))</f>
        <v/>
      </c>
    </row>
    <row r="1456" spans="1:9" s="146" customFormat="1">
      <c r="A1456" s="183" t="s">
        <v>512</v>
      </c>
      <c r="B1456" s="195" t="str">
        <f ca="1">IF(OFFSET('IWP14'!Std7PayrollEmploymentRequirements, 14, 0, 1, 1) = 0, "", OFFSET('IWP14'!Std7PayrollEmploymentRequirements, 14, 0, 1, 1))</f>
        <v/>
      </c>
      <c r="C1456" s="195" t="str">
        <f ca="1">IF(OFFSET('IWP14'!Std7PayrollEmploymentRequirements, 14, 2, 1, 1) = 0, "", OFFSET('IWP14'!Std7PayrollEmploymentRequirements, 14, 2, 1, 1))</f>
        <v/>
      </c>
      <c r="D1456" s="172">
        <f ca="1">IF(OFFSET('IWP14'!Std7PayrollEmploymentRequirements, 14, 4, 1, 1)=DATE(1900,1,0), DATE(1900,1,1), OFFSET('IWP14'!Std7PayrollEmploymentRequirements, 14, 4, 1, 1))</f>
        <v>1</v>
      </c>
      <c r="E1456" s="195" t="str">
        <f ca="1">IF(OFFSET('IWP14'!Std7PayrollEmploymentRequirements, 14, 5, 1, 1) = 0, "", OFFSET('IWP14'!Std7PayrollEmploymentRequirements, 14, 5, 1, 1))</f>
        <v/>
      </c>
      <c r="F1456" s="195" t="str">
        <f ca="1">IF(OFFSET('IWP14'!Std7PayrollEmploymentRequirements, 14, 6, 1, 1) = 0, "", OFFSET('IWP14'!Std7PayrollEmploymentRequirements, 14, 6, 1, 1))</f>
        <v/>
      </c>
      <c r="G1456" s="195" t="str">
        <f ca="1">IF(OFFSET('IWP14'!Std7PayrollEmploymentRequirements, 14, 7, 1, 1) = 0, "", OFFSET('IWP14'!Std7PayrollEmploymentRequirements, 14, 7, 1, 1))</f>
        <v/>
      </c>
      <c r="H1456" s="195" t="str">
        <f ca="1">IF(OFFSET('IWP14'!Std7PayrollEmploymentRequirements, 14, 9, 1, 1) = 0, "", OFFSET('IWP14'!Std7PayrollEmploymentRequirements, 14, 9, 1, 1))</f>
        <v/>
      </c>
      <c r="I1456" s="194" t="str">
        <f ca="1">IF(OFFSET('IWP14'!Std7PayrollEmploymentRequirements, 14, 11, 1, 1) = 0, "", OFFSET('IWP14'!Std7PayrollEmploymentRequirements, 14, 11, 1, 1))</f>
        <v/>
      </c>
    </row>
    <row r="1457" spans="1:9" s="146" customFormat="1">
      <c r="A1457" s="183" t="s">
        <v>512</v>
      </c>
      <c r="B1457" s="195" t="str">
        <f ca="1">IF(OFFSET('IWP14'!Std7PayrollEmploymentRequirements, 15, 0, 1, 1) = 0, "", OFFSET('IWP14'!Std7PayrollEmploymentRequirements, 15, 0, 1, 1))</f>
        <v/>
      </c>
      <c r="C1457" s="195" t="str">
        <f ca="1">IF(OFFSET('IWP14'!Std7PayrollEmploymentRequirements, 15, 2, 1, 1) = 0, "", OFFSET('IWP14'!Std7PayrollEmploymentRequirements, 15, 2, 1, 1))</f>
        <v/>
      </c>
      <c r="D1457" s="172">
        <f ca="1">IF(OFFSET('IWP14'!Std7PayrollEmploymentRequirements, 15, 4, 1, 1)=DATE(1900,1,0), DATE(1900,1,1), OFFSET('IWP14'!Std7PayrollEmploymentRequirements, 15, 4, 1, 1))</f>
        <v>1</v>
      </c>
      <c r="E1457" s="195" t="str">
        <f ca="1">IF(OFFSET('IWP14'!Std7PayrollEmploymentRequirements, 15, 5, 1, 1) = 0, "", OFFSET('IWP14'!Std7PayrollEmploymentRequirements, 15, 5, 1, 1))</f>
        <v/>
      </c>
      <c r="F1457" s="195" t="str">
        <f ca="1">IF(OFFSET('IWP14'!Std7PayrollEmploymentRequirements, 15, 6, 1, 1) = 0, "", OFFSET('IWP14'!Std7PayrollEmploymentRequirements, 15, 6, 1, 1))</f>
        <v/>
      </c>
      <c r="G1457" s="195" t="str">
        <f ca="1">IF(OFFSET('IWP14'!Std7PayrollEmploymentRequirements, 15, 7, 1, 1) = 0, "", OFFSET('IWP14'!Std7PayrollEmploymentRequirements, 15, 7, 1, 1))</f>
        <v/>
      </c>
      <c r="H1457" s="195" t="str">
        <f ca="1">IF(OFFSET('IWP14'!Std7PayrollEmploymentRequirements, 15, 9, 1, 1) = 0, "", OFFSET('IWP14'!Std7PayrollEmploymentRequirements, 15, 9, 1, 1))</f>
        <v/>
      </c>
      <c r="I1457" s="194" t="str">
        <f ca="1">IF(OFFSET('IWP14'!Std7PayrollEmploymentRequirements, 15, 11, 1, 1) = 0, "", OFFSET('IWP14'!Std7PayrollEmploymentRequirements, 15, 11, 1, 1))</f>
        <v/>
      </c>
    </row>
    <row r="1458" spans="1:9" s="146" customFormat="1">
      <c r="A1458" s="183" t="s">
        <v>513</v>
      </c>
      <c r="B1458" s="195" t="str">
        <f ca="1">IF(OFFSET('IWP15'!Std7PayrollEmploymentRequirements, 0, 0, 1, 1) = 0, "", OFFSET('IWP15'!Std7PayrollEmploymentRequirements, 0, 0, 1, 1))</f>
        <v/>
      </c>
      <c r="C1458" s="195" t="str">
        <f ca="1">IF(OFFSET('IWP15'!Std7PayrollEmploymentRequirements, 0, 2, 1, 1) = 0, "", OFFSET('IWP15'!Std7PayrollEmploymentRequirements, 0, 2, 1, 1))</f>
        <v/>
      </c>
      <c r="D1458" s="172">
        <f ca="1">IF(OFFSET('IWP15'!Std7PayrollEmploymentRequirements, 0, 4, 1, 1)=DATE(1900,1,0), DATE(1900,1,1), OFFSET('IWP15'!Std7PayrollEmploymentRequirements, 0, 4, 1, 1))</f>
        <v>1</v>
      </c>
      <c r="E1458" s="195" t="str">
        <f ca="1">IF(OFFSET('IWP15'!Std7PayrollEmploymentRequirements, 0, 5, 1, 1) = 0, "", OFFSET('IWP15'!Std7PayrollEmploymentRequirements, 0, 5, 1, 1))</f>
        <v/>
      </c>
      <c r="F1458" s="195" t="str">
        <f ca="1">IF(OFFSET('IWP15'!Std7PayrollEmploymentRequirements, 0, 6, 1, 1) = 0, "", OFFSET('IWP15'!Std7PayrollEmploymentRequirements, 0, 6, 1, 1))</f>
        <v/>
      </c>
      <c r="G1458" s="195" t="str">
        <f ca="1">IF(OFFSET('IWP15'!Std7PayrollEmploymentRequirements, 0, 7, 1, 1) = 0, "", OFFSET('IWP15'!Std7PayrollEmploymentRequirements, 0, 7, 1, 1))</f>
        <v/>
      </c>
      <c r="H1458" s="195" t="str">
        <f ca="1">IF(OFFSET('IWP15'!Std7PayrollEmploymentRequirements, 0, 9, 1, 1) = 0, "", OFFSET('IWP15'!Std7PayrollEmploymentRequirements, 0, 9, 1, 1))</f>
        <v/>
      </c>
      <c r="I1458" s="194" t="str">
        <f ca="1">IF(OFFSET('IWP15'!Std7PayrollEmploymentRequirements, 0, 11, 1, 1) = 0, "", OFFSET('IWP15'!Std7PayrollEmploymentRequirements, 0, 11, 1, 1))</f>
        <v/>
      </c>
    </row>
    <row r="1459" spans="1:9" s="146" customFormat="1">
      <c r="A1459" s="183" t="s">
        <v>513</v>
      </c>
      <c r="B1459" s="195" t="str">
        <f ca="1">IF(OFFSET('IWP15'!Std7PayrollEmploymentRequirements, 1, 0, 1, 1) = 0, "", OFFSET('IWP15'!Std7PayrollEmploymentRequirements, 1, 0, 1, 1))</f>
        <v/>
      </c>
      <c r="C1459" s="195" t="str">
        <f ca="1">IF(OFFSET('IWP15'!Std7PayrollEmploymentRequirements, 1, 2, 1, 1) = 0, "", OFFSET('IWP15'!Std7PayrollEmploymentRequirements, 1, 2, 1, 1))</f>
        <v/>
      </c>
      <c r="D1459" s="172">
        <f ca="1">IF(OFFSET('IWP15'!Std7PayrollEmploymentRequirements, 1, 4, 1, 1)=DATE(1900,1,0), DATE(1900,1,1), OFFSET('IWP15'!Std7PayrollEmploymentRequirements, 1, 4, 1, 1))</f>
        <v>1</v>
      </c>
      <c r="E1459" s="195" t="str">
        <f ca="1">IF(OFFSET('IWP15'!Std7PayrollEmploymentRequirements, 1, 5, 1, 1) = 0, "", OFFSET('IWP15'!Std7PayrollEmploymentRequirements, 1, 5, 1, 1))</f>
        <v/>
      </c>
      <c r="F1459" s="195" t="str">
        <f ca="1">IF(OFFSET('IWP15'!Std7PayrollEmploymentRequirements, 1, 6, 1, 1) = 0, "", OFFSET('IWP15'!Std7PayrollEmploymentRequirements, 1, 6, 1, 1))</f>
        <v/>
      </c>
      <c r="G1459" s="195" t="str">
        <f ca="1">IF(OFFSET('IWP15'!Std7PayrollEmploymentRequirements, 1, 7, 1, 1) = 0, "", OFFSET('IWP15'!Std7PayrollEmploymentRequirements, 1, 7, 1, 1))</f>
        <v/>
      </c>
      <c r="H1459" s="195" t="str">
        <f ca="1">IF(OFFSET('IWP15'!Std7PayrollEmploymentRequirements, 1, 9, 1, 1) = 0, "", OFFSET('IWP15'!Std7PayrollEmploymentRequirements, 1, 9, 1, 1))</f>
        <v/>
      </c>
      <c r="I1459" s="194" t="str">
        <f ca="1">IF(OFFSET('IWP15'!Std7PayrollEmploymentRequirements, 1, 11, 1, 1) = 0, "", OFFSET('IWP15'!Std7PayrollEmploymentRequirements, 1, 11, 1, 1))</f>
        <v/>
      </c>
    </row>
    <row r="1460" spans="1:9" s="146" customFormat="1">
      <c r="A1460" s="183" t="s">
        <v>513</v>
      </c>
      <c r="B1460" s="195" t="str">
        <f ca="1">IF(OFFSET('IWP15'!Std7PayrollEmploymentRequirements, 2, 0, 1, 1) = 0, "", OFFSET('IWP15'!Std7PayrollEmploymentRequirements, 2, 0, 1, 1))</f>
        <v/>
      </c>
      <c r="C1460" s="195" t="str">
        <f ca="1">IF(OFFSET('IWP15'!Std7PayrollEmploymentRequirements, 2, 2, 1, 1) = 0, "", OFFSET('IWP15'!Std7PayrollEmploymentRequirements, 2, 2, 1, 1))</f>
        <v/>
      </c>
      <c r="D1460" s="172">
        <f ca="1">IF(OFFSET('IWP15'!Std7PayrollEmploymentRequirements, 2, 4, 1, 1)=DATE(1900,1,0), DATE(1900,1,1), OFFSET('IWP15'!Std7PayrollEmploymentRequirements, 2, 4, 1, 1))</f>
        <v>1</v>
      </c>
      <c r="E1460" s="195" t="str">
        <f ca="1">IF(OFFSET('IWP15'!Std7PayrollEmploymentRequirements, 2, 5, 1, 1) = 0, "", OFFSET('IWP15'!Std7PayrollEmploymentRequirements, 2, 5, 1, 1))</f>
        <v/>
      </c>
      <c r="F1460" s="195" t="str">
        <f ca="1">IF(OFFSET('IWP15'!Std7PayrollEmploymentRequirements, 2, 6, 1, 1) = 0, "", OFFSET('IWP15'!Std7PayrollEmploymentRequirements, 2, 6, 1, 1))</f>
        <v/>
      </c>
      <c r="G1460" s="195" t="str">
        <f ca="1">IF(OFFSET('IWP15'!Std7PayrollEmploymentRequirements, 2, 7, 1, 1) = 0, "", OFFSET('IWP15'!Std7PayrollEmploymentRequirements, 2, 7, 1, 1))</f>
        <v/>
      </c>
      <c r="H1460" s="195" t="str">
        <f ca="1">IF(OFFSET('IWP15'!Std7PayrollEmploymentRequirements, 2, 9, 1, 1) = 0, "", OFFSET('IWP15'!Std7PayrollEmploymentRequirements, 2, 9, 1, 1))</f>
        <v/>
      </c>
      <c r="I1460" s="194" t="str">
        <f ca="1">IF(OFFSET('IWP15'!Std7PayrollEmploymentRequirements, 2, 11, 1, 1) = 0, "", OFFSET('IWP15'!Std7PayrollEmploymentRequirements, 2, 11, 1, 1))</f>
        <v/>
      </c>
    </row>
    <row r="1461" spans="1:9" s="146" customFormat="1">
      <c r="A1461" s="183" t="s">
        <v>513</v>
      </c>
      <c r="B1461" s="195" t="str">
        <f ca="1">IF(OFFSET('IWP15'!Std7PayrollEmploymentRequirements, 3, 0, 1, 1) = 0, "", OFFSET('IWP15'!Std7PayrollEmploymentRequirements, 3, 0, 1, 1))</f>
        <v/>
      </c>
      <c r="C1461" s="195" t="str">
        <f ca="1">IF(OFFSET('IWP15'!Std7PayrollEmploymentRequirements, 3, 2, 1, 1) = 0, "", OFFSET('IWP15'!Std7PayrollEmploymentRequirements, 3, 2, 1, 1))</f>
        <v/>
      </c>
      <c r="D1461" s="172">
        <f ca="1">IF(OFFSET('IWP15'!Std7PayrollEmploymentRequirements, 3, 4, 1, 1)=DATE(1900,1,0), DATE(1900,1,1), OFFSET('IWP15'!Std7PayrollEmploymentRequirements, 3, 4, 1, 1))</f>
        <v>1</v>
      </c>
      <c r="E1461" s="195" t="str">
        <f ca="1">IF(OFFSET('IWP15'!Std7PayrollEmploymentRequirements, 3, 5, 1, 1) = 0, "", OFFSET('IWP15'!Std7PayrollEmploymentRequirements, 3, 5, 1, 1))</f>
        <v/>
      </c>
      <c r="F1461" s="195" t="str">
        <f ca="1">IF(OFFSET('IWP15'!Std7PayrollEmploymentRequirements, 3, 6, 1, 1) = 0, "", OFFSET('IWP15'!Std7PayrollEmploymentRequirements, 3, 6, 1, 1))</f>
        <v/>
      </c>
      <c r="G1461" s="195" t="str">
        <f ca="1">IF(OFFSET('IWP15'!Std7PayrollEmploymentRequirements, 3, 7, 1, 1) = 0, "", OFFSET('IWP15'!Std7PayrollEmploymentRequirements, 3, 7, 1, 1))</f>
        <v/>
      </c>
      <c r="H1461" s="195" t="str">
        <f ca="1">IF(OFFSET('IWP15'!Std7PayrollEmploymentRequirements, 3, 9, 1, 1) = 0, "", OFFSET('IWP15'!Std7PayrollEmploymentRequirements, 3, 9, 1, 1))</f>
        <v/>
      </c>
      <c r="I1461" s="194" t="str">
        <f ca="1">IF(OFFSET('IWP15'!Std7PayrollEmploymentRequirements, 3, 11, 1, 1) = 0, "", OFFSET('IWP15'!Std7PayrollEmploymentRequirements, 3, 11, 1, 1))</f>
        <v/>
      </c>
    </row>
    <row r="1462" spans="1:9" s="146" customFormat="1">
      <c r="A1462" s="183" t="s">
        <v>513</v>
      </c>
      <c r="B1462" s="195" t="str">
        <f ca="1">IF(OFFSET('IWP15'!Std7PayrollEmploymentRequirements, 4, 0, 1, 1) = 0, "", OFFSET('IWP15'!Std7PayrollEmploymentRequirements, 4, 0, 1, 1))</f>
        <v/>
      </c>
      <c r="C1462" s="195" t="str">
        <f ca="1">IF(OFFSET('IWP15'!Std7PayrollEmploymentRequirements, 4, 2, 1, 1) = 0, "", OFFSET('IWP15'!Std7PayrollEmploymentRequirements, 4, 2, 1, 1))</f>
        <v/>
      </c>
      <c r="D1462" s="172">
        <f ca="1">IF(OFFSET('IWP15'!Std7PayrollEmploymentRequirements, 4, 4, 1, 1)=DATE(1900,1,0), DATE(1900,1,1), OFFSET('IWP15'!Std7PayrollEmploymentRequirements, 4, 4, 1, 1))</f>
        <v>1</v>
      </c>
      <c r="E1462" s="195" t="str">
        <f ca="1">IF(OFFSET('IWP15'!Std7PayrollEmploymentRequirements, 4, 5, 1, 1) = 0, "", OFFSET('IWP15'!Std7PayrollEmploymentRequirements, 4, 5, 1, 1))</f>
        <v/>
      </c>
      <c r="F1462" s="195" t="str">
        <f ca="1">IF(OFFSET('IWP15'!Std7PayrollEmploymentRequirements, 4, 6, 1, 1) = 0, "", OFFSET('IWP15'!Std7PayrollEmploymentRequirements, 4, 6, 1, 1))</f>
        <v/>
      </c>
      <c r="G1462" s="195" t="str">
        <f ca="1">IF(OFFSET('IWP15'!Std7PayrollEmploymentRequirements, 4, 7, 1, 1) = 0, "", OFFSET('IWP15'!Std7PayrollEmploymentRequirements, 4, 7, 1, 1))</f>
        <v/>
      </c>
      <c r="H1462" s="195" t="str">
        <f ca="1">IF(OFFSET('IWP15'!Std7PayrollEmploymentRequirements, 4, 9, 1, 1) = 0, "", OFFSET('IWP15'!Std7PayrollEmploymentRequirements, 4, 9, 1, 1))</f>
        <v/>
      </c>
      <c r="I1462" s="194" t="str">
        <f ca="1">IF(OFFSET('IWP15'!Std7PayrollEmploymentRequirements, 4, 11, 1, 1) = 0, "", OFFSET('IWP15'!Std7PayrollEmploymentRequirements, 4, 11, 1, 1))</f>
        <v/>
      </c>
    </row>
    <row r="1463" spans="1:9" s="146" customFormat="1">
      <c r="A1463" s="183" t="s">
        <v>513</v>
      </c>
      <c r="B1463" s="195" t="str">
        <f ca="1">IF(OFFSET('IWP15'!Std7PayrollEmploymentRequirements, 5, 0, 1, 1) = 0, "", OFFSET('IWP15'!Std7PayrollEmploymentRequirements, 5, 0, 1, 1))</f>
        <v/>
      </c>
      <c r="C1463" s="195" t="str">
        <f ca="1">IF(OFFSET('IWP15'!Std7PayrollEmploymentRequirements, 5, 2, 1, 1) = 0, "", OFFSET('IWP15'!Std7PayrollEmploymentRequirements, 5, 2, 1, 1))</f>
        <v/>
      </c>
      <c r="D1463" s="172">
        <f ca="1">IF(OFFSET('IWP15'!Std7PayrollEmploymentRequirements, 5, 4, 1, 1)=DATE(1900,1,0), DATE(1900,1,1), OFFSET('IWP15'!Std7PayrollEmploymentRequirements, 5, 4, 1, 1))</f>
        <v>1</v>
      </c>
      <c r="E1463" s="195" t="str">
        <f ca="1">IF(OFFSET('IWP15'!Std7PayrollEmploymentRequirements, 5, 5, 1, 1) = 0, "", OFFSET('IWP15'!Std7PayrollEmploymentRequirements, 5, 5, 1, 1))</f>
        <v/>
      </c>
      <c r="F1463" s="195" t="str">
        <f ca="1">IF(OFFSET('IWP15'!Std7PayrollEmploymentRequirements, 5, 6, 1, 1) = 0, "", OFFSET('IWP15'!Std7PayrollEmploymentRequirements, 5, 6, 1, 1))</f>
        <v/>
      </c>
      <c r="G1463" s="195" t="str">
        <f ca="1">IF(OFFSET('IWP15'!Std7PayrollEmploymentRequirements, 5, 7, 1, 1) = 0, "", OFFSET('IWP15'!Std7PayrollEmploymentRequirements, 5, 7, 1, 1))</f>
        <v/>
      </c>
      <c r="H1463" s="195" t="str">
        <f ca="1">IF(OFFSET('IWP15'!Std7PayrollEmploymentRequirements, 5, 9, 1, 1) = 0, "", OFFSET('IWP15'!Std7PayrollEmploymentRequirements, 5, 9, 1, 1))</f>
        <v/>
      </c>
      <c r="I1463" s="194" t="str">
        <f ca="1">IF(OFFSET('IWP15'!Std7PayrollEmploymentRequirements, 5, 11, 1, 1) = 0, "", OFFSET('IWP15'!Std7PayrollEmploymentRequirements, 5, 11, 1, 1))</f>
        <v/>
      </c>
    </row>
    <row r="1464" spans="1:9" s="146" customFormat="1">
      <c r="A1464" s="183" t="s">
        <v>513</v>
      </c>
      <c r="B1464" s="195" t="str">
        <f ca="1">IF(OFFSET('IWP15'!Std7PayrollEmploymentRequirements, 6, 0, 1, 1) = 0, "", OFFSET('IWP15'!Std7PayrollEmploymentRequirements, 6, 0, 1, 1))</f>
        <v/>
      </c>
      <c r="C1464" s="195" t="str">
        <f ca="1">IF(OFFSET('IWP15'!Std7PayrollEmploymentRequirements, 6, 2, 1, 1) = 0, "", OFFSET('IWP15'!Std7PayrollEmploymentRequirements, 6, 2, 1, 1))</f>
        <v/>
      </c>
      <c r="D1464" s="172">
        <f ca="1">IF(OFFSET('IWP15'!Std7PayrollEmploymentRequirements, 6, 4, 1, 1)=DATE(1900,1,0), DATE(1900,1,1), OFFSET('IWP15'!Std7PayrollEmploymentRequirements, 6, 4, 1, 1))</f>
        <v>1</v>
      </c>
      <c r="E1464" s="195" t="str">
        <f ca="1">IF(OFFSET('IWP15'!Std7PayrollEmploymentRequirements, 6, 5, 1, 1) = 0, "", OFFSET('IWP15'!Std7PayrollEmploymentRequirements, 6, 5, 1, 1))</f>
        <v/>
      </c>
      <c r="F1464" s="195" t="str">
        <f ca="1">IF(OFFSET('IWP15'!Std7PayrollEmploymentRequirements, 6, 6, 1, 1) = 0, "", OFFSET('IWP15'!Std7PayrollEmploymentRequirements, 6, 6, 1, 1))</f>
        <v/>
      </c>
      <c r="G1464" s="195" t="str">
        <f ca="1">IF(OFFSET('IWP15'!Std7PayrollEmploymentRequirements, 6, 7, 1, 1) = 0, "", OFFSET('IWP15'!Std7PayrollEmploymentRequirements, 6, 7, 1, 1))</f>
        <v/>
      </c>
      <c r="H1464" s="195" t="str">
        <f ca="1">IF(OFFSET('IWP15'!Std7PayrollEmploymentRequirements, 6, 9, 1, 1) = 0, "", OFFSET('IWP15'!Std7PayrollEmploymentRequirements, 6, 9, 1, 1))</f>
        <v/>
      </c>
      <c r="I1464" s="194" t="str">
        <f ca="1">IF(OFFSET('IWP15'!Std7PayrollEmploymentRequirements, 6, 11, 1, 1) = 0, "", OFFSET('IWP15'!Std7PayrollEmploymentRequirements, 6, 11, 1, 1))</f>
        <v/>
      </c>
    </row>
    <row r="1465" spans="1:9" s="146" customFormat="1">
      <c r="A1465" s="183" t="s">
        <v>513</v>
      </c>
      <c r="B1465" s="195" t="str">
        <f ca="1">IF(OFFSET('IWP15'!Std7PayrollEmploymentRequirements, 7, 0, 1, 1) = 0, "", OFFSET('IWP15'!Std7PayrollEmploymentRequirements, 7, 0, 1, 1))</f>
        <v/>
      </c>
      <c r="C1465" s="195" t="str">
        <f ca="1">IF(OFFSET('IWP15'!Std7PayrollEmploymentRequirements, 7, 2, 1, 1) = 0, "", OFFSET('IWP15'!Std7PayrollEmploymentRequirements, 7, 2, 1, 1))</f>
        <v/>
      </c>
      <c r="D1465" s="172">
        <f ca="1">IF(OFFSET('IWP15'!Std7PayrollEmploymentRequirements, 7, 4, 1, 1)=DATE(1900,1,0), DATE(1900,1,1), OFFSET('IWP15'!Std7PayrollEmploymentRequirements, 7, 4, 1, 1))</f>
        <v>1</v>
      </c>
      <c r="E1465" s="195" t="str">
        <f ca="1">IF(OFFSET('IWP15'!Std7PayrollEmploymentRequirements, 7, 5, 1, 1) = 0, "", OFFSET('IWP15'!Std7PayrollEmploymentRequirements, 7, 5, 1, 1))</f>
        <v/>
      </c>
      <c r="F1465" s="195" t="str">
        <f ca="1">IF(OFFSET('IWP15'!Std7PayrollEmploymentRequirements, 7, 6, 1, 1) = 0, "", OFFSET('IWP15'!Std7PayrollEmploymentRequirements, 7, 6, 1, 1))</f>
        <v/>
      </c>
      <c r="G1465" s="195" t="str">
        <f ca="1">IF(OFFSET('IWP15'!Std7PayrollEmploymentRequirements, 7, 7, 1, 1) = 0, "", OFFSET('IWP15'!Std7PayrollEmploymentRequirements, 7, 7, 1, 1))</f>
        <v/>
      </c>
      <c r="H1465" s="195" t="str">
        <f ca="1">IF(OFFSET('IWP15'!Std7PayrollEmploymentRequirements, 7, 9, 1, 1) = 0, "", OFFSET('IWP15'!Std7PayrollEmploymentRequirements, 7, 9, 1, 1))</f>
        <v/>
      </c>
      <c r="I1465" s="194" t="str">
        <f ca="1">IF(OFFSET('IWP15'!Std7PayrollEmploymentRequirements, 7, 11, 1, 1) = 0, "", OFFSET('IWP15'!Std7PayrollEmploymentRequirements, 7, 11, 1, 1))</f>
        <v/>
      </c>
    </row>
    <row r="1466" spans="1:9" s="146" customFormat="1">
      <c r="A1466" s="183" t="s">
        <v>513</v>
      </c>
      <c r="B1466" s="195" t="str">
        <f ca="1">IF(OFFSET('IWP15'!Std7PayrollEmploymentRequirements, 8, 0, 1, 1) = 0, "", OFFSET('IWP15'!Std7PayrollEmploymentRequirements, 8, 0, 1, 1))</f>
        <v/>
      </c>
      <c r="C1466" s="195" t="str">
        <f ca="1">IF(OFFSET('IWP15'!Std7PayrollEmploymentRequirements, 8, 2, 1, 1) = 0, "", OFFSET('IWP15'!Std7PayrollEmploymentRequirements, 8, 2, 1, 1))</f>
        <v/>
      </c>
      <c r="D1466" s="172">
        <f ca="1">IF(OFFSET('IWP15'!Std7PayrollEmploymentRequirements, 8, 4, 1, 1)=DATE(1900,1,0), DATE(1900,1,1), OFFSET('IWP15'!Std7PayrollEmploymentRequirements, 8, 4, 1, 1))</f>
        <v>1</v>
      </c>
      <c r="E1466" s="195" t="str">
        <f ca="1">IF(OFFSET('IWP15'!Std7PayrollEmploymentRequirements, 8, 5, 1, 1) = 0, "", OFFSET('IWP15'!Std7PayrollEmploymentRequirements, 8, 5, 1, 1))</f>
        <v/>
      </c>
      <c r="F1466" s="195" t="str">
        <f ca="1">IF(OFFSET('IWP15'!Std7PayrollEmploymentRequirements, 8, 6, 1, 1) = 0, "", OFFSET('IWP15'!Std7PayrollEmploymentRequirements, 8, 6, 1, 1))</f>
        <v/>
      </c>
      <c r="G1466" s="195" t="str">
        <f ca="1">IF(OFFSET('IWP15'!Std7PayrollEmploymentRequirements, 8, 7, 1, 1) = 0, "", OFFSET('IWP15'!Std7PayrollEmploymentRequirements, 8, 7, 1, 1))</f>
        <v/>
      </c>
      <c r="H1466" s="195" t="str">
        <f ca="1">IF(OFFSET('IWP15'!Std7PayrollEmploymentRequirements, 8, 9, 1, 1) = 0, "", OFFSET('IWP15'!Std7PayrollEmploymentRequirements, 8, 9, 1, 1))</f>
        <v/>
      </c>
      <c r="I1466" s="194" t="str">
        <f ca="1">IF(OFFSET('IWP15'!Std7PayrollEmploymentRequirements, 8, 11, 1, 1) = 0, "", OFFSET('IWP15'!Std7PayrollEmploymentRequirements, 8, 11, 1, 1))</f>
        <v/>
      </c>
    </row>
    <row r="1467" spans="1:9" s="146" customFormat="1">
      <c r="A1467" s="183" t="s">
        <v>513</v>
      </c>
      <c r="B1467" s="195" t="str">
        <f ca="1">IF(OFFSET('IWP15'!Std7PayrollEmploymentRequirements, 9, 0, 1, 1) = 0, "", OFFSET('IWP15'!Std7PayrollEmploymentRequirements, 9, 0, 1, 1))</f>
        <v/>
      </c>
      <c r="C1467" s="195" t="str">
        <f ca="1">IF(OFFSET('IWP15'!Std7PayrollEmploymentRequirements, 9, 2, 1, 1) = 0, "", OFFSET('IWP15'!Std7PayrollEmploymentRequirements, 9, 2, 1, 1))</f>
        <v/>
      </c>
      <c r="D1467" s="172">
        <f ca="1">IF(OFFSET('IWP15'!Std7PayrollEmploymentRequirements, 9, 4, 1, 1)=DATE(1900,1,0), DATE(1900,1,1), OFFSET('IWP15'!Std7PayrollEmploymentRequirements, 9, 4, 1, 1))</f>
        <v>1</v>
      </c>
      <c r="E1467" s="195" t="str">
        <f ca="1">IF(OFFSET('IWP15'!Std7PayrollEmploymentRequirements, 9, 5, 1, 1) = 0, "", OFFSET('IWP15'!Std7PayrollEmploymentRequirements, 9, 5, 1, 1))</f>
        <v/>
      </c>
      <c r="F1467" s="195" t="str">
        <f ca="1">IF(OFFSET('IWP15'!Std7PayrollEmploymentRequirements, 9, 6, 1, 1) = 0, "", OFFSET('IWP15'!Std7PayrollEmploymentRequirements, 9, 6, 1, 1))</f>
        <v/>
      </c>
      <c r="G1467" s="195" t="str">
        <f ca="1">IF(OFFSET('IWP15'!Std7PayrollEmploymentRequirements, 9, 7, 1, 1) = 0, "", OFFSET('IWP15'!Std7PayrollEmploymentRequirements, 9, 7, 1, 1))</f>
        <v/>
      </c>
      <c r="H1467" s="195" t="str">
        <f ca="1">IF(OFFSET('IWP15'!Std7PayrollEmploymentRequirements, 9, 9, 1, 1) = 0, "", OFFSET('IWP15'!Std7PayrollEmploymentRequirements, 9, 9, 1, 1))</f>
        <v/>
      </c>
      <c r="I1467" s="194" t="str">
        <f ca="1">IF(OFFSET('IWP15'!Std7PayrollEmploymentRequirements, 9, 11, 1, 1) = 0, "", OFFSET('IWP15'!Std7PayrollEmploymentRequirements, 9, 11, 1, 1))</f>
        <v/>
      </c>
    </row>
    <row r="1468" spans="1:9" s="146" customFormat="1">
      <c r="A1468" s="183" t="s">
        <v>513</v>
      </c>
      <c r="B1468" s="195" t="str">
        <f ca="1">IF(OFFSET('IWP15'!Std7PayrollEmploymentRequirements, 10, 0, 1, 1) = 0, "", OFFSET('IWP15'!Std7PayrollEmploymentRequirements, 10, 0, 1, 1))</f>
        <v/>
      </c>
      <c r="C1468" s="195" t="str">
        <f ca="1">IF(OFFSET('IWP15'!Std7PayrollEmploymentRequirements, 10, 2, 1, 1) = 0, "", OFFSET('IWP15'!Std7PayrollEmploymentRequirements, 10, 2, 1, 1))</f>
        <v/>
      </c>
      <c r="D1468" s="172">
        <f ca="1">IF(OFFSET('IWP15'!Std7PayrollEmploymentRequirements, 10, 4, 1, 1)=DATE(1900,1,0), DATE(1900,1,1), OFFSET('IWP15'!Std7PayrollEmploymentRequirements, 10, 4, 1, 1))</f>
        <v>1</v>
      </c>
      <c r="E1468" s="195" t="str">
        <f ca="1">IF(OFFSET('IWP15'!Std7PayrollEmploymentRequirements, 10, 5, 1, 1) = 0, "", OFFSET('IWP15'!Std7PayrollEmploymentRequirements, 10, 5, 1, 1))</f>
        <v/>
      </c>
      <c r="F1468" s="195" t="str">
        <f ca="1">IF(OFFSET('IWP15'!Std7PayrollEmploymentRequirements, 10, 6, 1, 1) = 0, "", OFFSET('IWP15'!Std7PayrollEmploymentRequirements, 10, 6, 1, 1))</f>
        <v/>
      </c>
      <c r="G1468" s="195" t="str">
        <f ca="1">IF(OFFSET('IWP15'!Std7PayrollEmploymentRequirements, 10, 7, 1, 1) = 0, "", OFFSET('IWP15'!Std7PayrollEmploymentRequirements, 10, 7, 1, 1))</f>
        <v/>
      </c>
      <c r="H1468" s="195" t="str">
        <f ca="1">IF(OFFSET('IWP15'!Std7PayrollEmploymentRequirements, 10, 9, 1, 1) = 0, "", OFFSET('IWP15'!Std7PayrollEmploymentRequirements, 10, 9, 1, 1))</f>
        <v/>
      </c>
      <c r="I1468" s="194" t="str">
        <f ca="1">IF(OFFSET('IWP15'!Std7PayrollEmploymentRequirements, 10, 11, 1, 1) = 0, "", OFFSET('IWP15'!Std7PayrollEmploymentRequirements, 10, 11, 1, 1))</f>
        <v/>
      </c>
    </row>
    <row r="1469" spans="1:9" s="146" customFormat="1">
      <c r="A1469" s="183" t="s">
        <v>513</v>
      </c>
      <c r="B1469" s="195" t="str">
        <f ca="1">IF(OFFSET('IWP15'!Std7PayrollEmploymentRequirements, 11, 0, 1, 1) = 0, "", OFFSET('IWP15'!Std7PayrollEmploymentRequirements, 11, 0, 1, 1))</f>
        <v/>
      </c>
      <c r="C1469" s="195" t="str">
        <f ca="1">IF(OFFSET('IWP15'!Std7PayrollEmploymentRequirements, 11, 2, 1, 1) = 0, "", OFFSET('IWP15'!Std7PayrollEmploymentRequirements, 11, 2, 1, 1))</f>
        <v/>
      </c>
      <c r="D1469" s="172">
        <f ca="1">IF(OFFSET('IWP15'!Std7PayrollEmploymentRequirements, 11, 4, 1, 1)=DATE(1900,1,0), DATE(1900,1,1), OFFSET('IWP15'!Std7PayrollEmploymentRequirements, 11, 4, 1, 1))</f>
        <v>1</v>
      </c>
      <c r="E1469" s="195" t="str">
        <f ca="1">IF(OFFSET('IWP15'!Std7PayrollEmploymentRequirements, 11, 5, 1, 1) = 0, "", OFFSET('IWP15'!Std7PayrollEmploymentRequirements, 11, 5, 1, 1))</f>
        <v/>
      </c>
      <c r="F1469" s="195" t="str">
        <f ca="1">IF(OFFSET('IWP15'!Std7PayrollEmploymentRequirements, 11, 6, 1, 1) = 0, "", OFFSET('IWP15'!Std7PayrollEmploymentRequirements, 11, 6, 1, 1))</f>
        <v/>
      </c>
      <c r="G1469" s="195" t="str">
        <f ca="1">IF(OFFSET('IWP15'!Std7PayrollEmploymentRequirements, 11, 7, 1, 1) = 0, "", OFFSET('IWP15'!Std7PayrollEmploymentRequirements, 11, 7, 1, 1))</f>
        <v/>
      </c>
      <c r="H1469" s="195" t="str">
        <f ca="1">IF(OFFSET('IWP15'!Std7PayrollEmploymentRequirements, 11, 9, 1, 1) = 0, "", OFFSET('IWP15'!Std7PayrollEmploymentRequirements, 11, 9, 1, 1))</f>
        <v/>
      </c>
      <c r="I1469" s="194" t="str">
        <f ca="1">IF(OFFSET('IWP15'!Std7PayrollEmploymentRequirements, 11, 11, 1, 1) = 0, "", OFFSET('IWP15'!Std7PayrollEmploymentRequirements, 11, 11, 1, 1))</f>
        <v/>
      </c>
    </row>
    <row r="1470" spans="1:9" s="146" customFormat="1">
      <c r="A1470" s="183" t="s">
        <v>513</v>
      </c>
      <c r="B1470" s="195" t="str">
        <f ca="1">IF(OFFSET('IWP15'!Std7PayrollEmploymentRequirements, 12, 0, 1, 1) = 0, "", OFFSET('IWP15'!Std7PayrollEmploymentRequirements, 12, 0, 1, 1))</f>
        <v/>
      </c>
      <c r="C1470" s="195" t="str">
        <f ca="1">IF(OFFSET('IWP15'!Std7PayrollEmploymentRequirements, 12, 2, 1, 1) = 0, "", OFFSET('IWP15'!Std7PayrollEmploymentRequirements, 12, 2, 1, 1))</f>
        <v/>
      </c>
      <c r="D1470" s="172">
        <f ca="1">IF(OFFSET('IWP15'!Std7PayrollEmploymentRequirements, 12, 4, 1, 1)=DATE(1900,1,0), DATE(1900,1,1), OFFSET('IWP15'!Std7PayrollEmploymentRequirements, 12, 4, 1, 1))</f>
        <v>1</v>
      </c>
      <c r="E1470" s="195" t="str">
        <f ca="1">IF(OFFSET('IWP15'!Std7PayrollEmploymentRequirements, 12, 5, 1, 1) = 0, "", OFFSET('IWP15'!Std7PayrollEmploymentRequirements, 12, 5, 1, 1))</f>
        <v/>
      </c>
      <c r="F1470" s="195" t="str">
        <f ca="1">IF(OFFSET('IWP15'!Std7PayrollEmploymentRequirements, 12, 6, 1, 1) = 0, "", OFFSET('IWP15'!Std7PayrollEmploymentRequirements, 12, 6, 1, 1))</f>
        <v/>
      </c>
      <c r="G1470" s="195" t="str">
        <f ca="1">IF(OFFSET('IWP15'!Std7PayrollEmploymentRequirements, 12, 7, 1, 1) = 0, "", OFFSET('IWP15'!Std7PayrollEmploymentRequirements, 12, 7, 1, 1))</f>
        <v/>
      </c>
      <c r="H1470" s="195" t="str">
        <f ca="1">IF(OFFSET('IWP15'!Std7PayrollEmploymentRequirements, 12, 9, 1, 1) = 0, "", OFFSET('IWP15'!Std7PayrollEmploymentRequirements, 12, 9, 1, 1))</f>
        <v/>
      </c>
      <c r="I1470" s="194" t="str">
        <f ca="1">IF(OFFSET('IWP15'!Std7PayrollEmploymentRequirements, 12, 11, 1, 1) = 0, "", OFFSET('IWP15'!Std7PayrollEmploymentRequirements, 12, 11, 1, 1))</f>
        <v/>
      </c>
    </row>
    <row r="1471" spans="1:9" s="146" customFormat="1">
      <c r="A1471" s="183" t="s">
        <v>513</v>
      </c>
      <c r="B1471" s="195" t="str">
        <f ca="1">IF(OFFSET('IWP15'!Std7PayrollEmploymentRequirements, 13, 0, 1, 1) = 0, "", OFFSET('IWP15'!Std7PayrollEmploymentRequirements, 13, 0, 1, 1))</f>
        <v/>
      </c>
      <c r="C1471" s="195" t="str">
        <f ca="1">IF(OFFSET('IWP15'!Std7PayrollEmploymentRequirements, 13, 2, 1, 1) = 0, "", OFFSET('IWP15'!Std7PayrollEmploymentRequirements, 13, 2, 1, 1))</f>
        <v/>
      </c>
      <c r="D1471" s="172">
        <f ca="1">IF(OFFSET('IWP15'!Std7PayrollEmploymentRequirements, 13, 4, 1, 1)=DATE(1900,1,0), DATE(1900,1,1), OFFSET('IWP15'!Std7PayrollEmploymentRequirements, 13, 4, 1, 1))</f>
        <v>1</v>
      </c>
      <c r="E1471" s="195" t="str">
        <f ca="1">IF(OFFSET('IWP15'!Std7PayrollEmploymentRequirements, 13, 5, 1, 1) = 0, "", OFFSET('IWP15'!Std7PayrollEmploymentRequirements, 13, 5, 1, 1))</f>
        <v/>
      </c>
      <c r="F1471" s="195" t="str">
        <f ca="1">IF(OFFSET('IWP15'!Std7PayrollEmploymentRequirements, 13, 6, 1, 1) = 0, "", OFFSET('IWP15'!Std7PayrollEmploymentRequirements, 13, 6, 1, 1))</f>
        <v/>
      </c>
      <c r="G1471" s="195" t="str">
        <f ca="1">IF(OFFSET('IWP15'!Std7PayrollEmploymentRequirements, 13, 7, 1, 1) = 0, "", OFFSET('IWP15'!Std7PayrollEmploymentRequirements, 13, 7, 1, 1))</f>
        <v/>
      </c>
      <c r="H1471" s="195" t="str">
        <f ca="1">IF(OFFSET('IWP15'!Std7PayrollEmploymentRequirements, 13, 9, 1, 1) = 0, "", OFFSET('IWP15'!Std7PayrollEmploymentRequirements, 13, 9, 1, 1))</f>
        <v/>
      </c>
      <c r="I1471" s="194" t="str">
        <f ca="1">IF(OFFSET('IWP15'!Std7PayrollEmploymentRequirements, 13, 11, 1, 1) = 0, "", OFFSET('IWP15'!Std7PayrollEmploymentRequirements, 13, 11, 1, 1))</f>
        <v/>
      </c>
    </row>
    <row r="1472" spans="1:9" s="146" customFormat="1">
      <c r="A1472" s="183" t="s">
        <v>513</v>
      </c>
      <c r="B1472" s="195" t="str">
        <f ca="1">IF(OFFSET('IWP15'!Std7PayrollEmploymentRequirements, 14, 0, 1, 1) = 0, "", OFFSET('IWP15'!Std7PayrollEmploymentRequirements, 14, 0, 1, 1))</f>
        <v/>
      </c>
      <c r="C1472" s="195" t="str">
        <f ca="1">IF(OFFSET('IWP15'!Std7PayrollEmploymentRequirements, 14, 2, 1, 1) = 0, "", OFFSET('IWP15'!Std7PayrollEmploymentRequirements, 14, 2, 1, 1))</f>
        <v/>
      </c>
      <c r="D1472" s="172">
        <f ca="1">IF(OFFSET('IWP15'!Std7PayrollEmploymentRequirements, 14, 4, 1, 1)=DATE(1900,1,0), DATE(1900,1,1), OFFSET('IWP15'!Std7PayrollEmploymentRequirements, 14, 4, 1, 1))</f>
        <v>1</v>
      </c>
      <c r="E1472" s="195" t="str">
        <f ca="1">IF(OFFSET('IWP15'!Std7PayrollEmploymentRequirements, 14, 5, 1, 1) = 0, "", OFFSET('IWP15'!Std7PayrollEmploymentRequirements, 14, 5, 1, 1))</f>
        <v/>
      </c>
      <c r="F1472" s="195" t="str">
        <f ca="1">IF(OFFSET('IWP15'!Std7PayrollEmploymentRequirements, 14, 6, 1, 1) = 0, "", OFFSET('IWP15'!Std7PayrollEmploymentRequirements, 14, 6, 1, 1))</f>
        <v/>
      </c>
      <c r="G1472" s="195" t="str">
        <f ca="1">IF(OFFSET('IWP15'!Std7PayrollEmploymentRequirements, 14, 7, 1, 1) = 0, "", OFFSET('IWP15'!Std7PayrollEmploymentRequirements, 14, 7, 1, 1))</f>
        <v/>
      </c>
      <c r="H1472" s="195" t="str">
        <f ca="1">IF(OFFSET('IWP15'!Std7PayrollEmploymentRequirements, 14, 9, 1, 1) = 0, "", OFFSET('IWP15'!Std7PayrollEmploymentRequirements, 14, 9, 1, 1))</f>
        <v/>
      </c>
      <c r="I1472" s="194" t="str">
        <f ca="1">IF(OFFSET('IWP15'!Std7PayrollEmploymentRequirements, 14, 11, 1, 1) = 0, "", OFFSET('IWP15'!Std7PayrollEmploymentRequirements, 14, 11, 1, 1))</f>
        <v/>
      </c>
    </row>
    <row r="1473" spans="1:9" s="146" customFormat="1">
      <c r="A1473" s="183" t="s">
        <v>513</v>
      </c>
      <c r="B1473" s="195" t="str">
        <f ca="1">IF(OFFSET('IWP15'!Std7PayrollEmploymentRequirements, 15, 0, 1, 1) = 0, "", OFFSET('IWP15'!Std7PayrollEmploymentRequirements, 15, 0, 1, 1))</f>
        <v/>
      </c>
      <c r="C1473" s="195" t="str">
        <f ca="1">IF(OFFSET('IWP15'!Std7PayrollEmploymentRequirements, 15, 2, 1, 1) = 0, "", OFFSET('IWP15'!Std7PayrollEmploymentRequirements, 15, 2, 1, 1))</f>
        <v/>
      </c>
      <c r="D1473" s="172">
        <f ca="1">IF(OFFSET('IWP15'!Std7PayrollEmploymentRequirements, 15, 4, 1, 1)=DATE(1900,1,0), DATE(1900,1,1), OFFSET('IWP15'!Std7PayrollEmploymentRequirements, 15, 4, 1, 1))</f>
        <v>1</v>
      </c>
      <c r="E1473" s="195" t="str">
        <f ca="1">IF(OFFSET('IWP15'!Std7PayrollEmploymentRequirements, 15, 5, 1, 1) = 0, "", OFFSET('IWP15'!Std7PayrollEmploymentRequirements, 15, 5, 1, 1))</f>
        <v/>
      </c>
      <c r="F1473" s="195" t="str">
        <f ca="1">IF(OFFSET('IWP15'!Std7PayrollEmploymentRequirements, 15, 6, 1, 1) = 0, "", OFFSET('IWP15'!Std7PayrollEmploymentRequirements, 15, 6, 1, 1))</f>
        <v/>
      </c>
      <c r="G1473" s="195" t="str">
        <f ca="1">IF(OFFSET('IWP15'!Std7PayrollEmploymentRequirements, 15, 7, 1, 1) = 0, "", OFFSET('IWP15'!Std7PayrollEmploymentRequirements, 15, 7, 1, 1))</f>
        <v/>
      </c>
      <c r="H1473" s="195" t="str">
        <f ca="1">IF(OFFSET('IWP15'!Std7PayrollEmploymentRequirements, 15, 9, 1, 1) = 0, "", OFFSET('IWP15'!Std7PayrollEmploymentRequirements, 15, 9, 1, 1))</f>
        <v/>
      </c>
      <c r="I1473" s="194" t="str">
        <f ca="1">IF(OFFSET('IWP15'!Std7PayrollEmploymentRequirements, 15, 11, 1, 1) = 0, "", OFFSET('IWP15'!Std7PayrollEmploymentRequirements, 15, 11, 1, 1))</f>
        <v/>
      </c>
    </row>
    <row r="1474" spans="1:9" s="146" customFormat="1">
      <c r="A1474" s="183" t="s">
        <v>514</v>
      </c>
      <c r="B1474" s="195" t="str">
        <f ca="1">IF(OFFSET('IWP16'!Std7PayrollEmploymentRequirements, 0, 0, 1, 1) = 0, "", OFFSET('IWP16'!Std7PayrollEmploymentRequirements, 0, 0, 1, 1))</f>
        <v/>
      </c>
      <c r="C1474" s="195" t="str">
        <f ca="1">IF(OFFSET('IWP16'!Std7PayrollEmploymentRequirements, 0, 2, 1, 1) = 0, "", OFFSET('IWP16'!Std7PayrollEmploymentRequirements, 0, 2, 1, 1))</f>
        <v/>
      </c>
      <c r="D1474" s="172">
        <f ca="1">IF(OFFSET('IWP16'!Std7PayrollEmploymentRequirements, 0, 4, 1, 1)=DATE(1900,1,0), DATE(1900,1,1), OFFSET('IWP16'!Std7PayrollEmploymentRequirements, 0, 4, 1, 1))</f>
        <v>1</v>
      </c>
      <c r="E1474" s="195" t="str">
        <f ca="1">IF(OFFSET('IWP16'!Std7PayrollEmploymentRequirements, 0, 5, 1, 1) = 0, "", OFFSET('IWP16'!Std7PayrollEmploymentRequirements, 0, 5, 1, 1))</f>
        <v/>
      </c>
      <c r="F1474" s="195" t="str">
        <f ca="1">IF(OFFSET('IWP16'!Std7PayrollEmploymentRequirements, 0, 6, 1, 1) = 0, "", OFFSET('IWP16'!Std7PayrollEmploymentRequirements, 0, 6, 1, 1))</f>
        <v/>
      </c>
      <c r="G1474" s="195" t="str">
        <f ca="1">IF(OFFSET('IWP16'!Std7PayrollEmploymentRequirements, 0, 7, 1, 1) = 0, "", OFFSET('IWP16'!Std7PayrollEmploymentRequirements, 0, 7, 1, 1))</f>
        <v/>
      </c>
      <c r="H1474" s="195" t="str">
        <f ca="1">IF(OFFSET('IWP16'!Std7PayrollEmploymentRequirements, 0, 9, 1, 1) = 0, "", OFFSET('IWP16'!Std7PayrollEmploymentRequirements, 0, 9, 1, 1))</f>
        <v/>
      </c>
      <c r="I1474" s="194" t="str">
        <f ca="1">IF(OFFSET('IWP16'!Std7PayrollEmploymentRequirements, 0, 11, 1, 1) = 0, "", OFFSET('IWP16'!Std7PayrollEmploymentRequirements, 0, 11, 1, 1))</f>
        <v/>
      </c>
    </row>
    <row r="1475" spans="1:9" s="146" customFormat="1">
      <c r="A1475" s="183" t="s">
        <v>514</v>
      </c>
      <c r="B1475" s="195" t="str">
        <f ca="1">IF(OFFSET('IWP16'!Std7PayrollEmploymentRequirements, 1, 0, 1, 1) = 0, "", OFFSET('IWP16'!Std7PayrollEmploymentRequirements, 1, 0, 1, 1))</f>
        <v/>
      </c>
      <c r="C1475" s="195" t="str">
        <f ca="1">IF(OFFSET('IWP16'!Std7PayrollEmploymentRequirements, 1, 2, 1, 1) = 0, "", OFFSET('IWP16'!Std7PayrollEmploymentRequirements, 1, 2, 1, 1))</f>
        <v/>
      </c>
      <c r="D1475" s="172">
        <f ca="1">IF(OFFSET('IWP16'!Std7PayrollEmploymentRequirements, 1, 4, 1, 1)=DATE(1900,1,0), DATE(1900,1,1), OFFSET('IWP16'!Std7PayrollEmploymentRequirements, 1, 4, 1, 1))</f>
        <v>1</v>
      </c>
      <c r="E1475" s="195" t="str">
        <f ca="1">IF(OFFSET('IWP16'!Std7PayrollEmploymentRequirements, 1, 5, 1, 1) = 0, "", OFFSET('IWP16'!Std7PayrollEmploymentRequirements, 1, 5, 1, 1))</f>
        <v/>
      </c>
      <c r="F1475" s="195" t="str">
        <f ca="1">IF(OFFSET('IWP16'!Std7PayrollEmploymentRequirements, 1, 6, 1, 1) = 0, "", OFFSET('IWP16'!Std7PayrollEmploymentRequirements, 1, 6, 1, 1))</f>
        <v/>
      </c>
      <c r="G1475" s="195" t="str">
        <f ca="1">IF(OFFSET('IWP16'!Std7PayrollEmploymentRequirements, 1, 7, 1, 1) = 0, "", OFFSET('IWP16'!Std7PayrollEmploymentRequirements, 1, 7, 1, 1))</f>
        <v/>
      </c>
      <c r="H1475" s="195" t="str">
        <f ca="1">IF(OFFSET('IWP16'!Std7PayrollEmploymentRequirements, 1, 9, 1, 1) = 0, "", OFFSET('IWP16'!Std7PayrollEmploymentRequirements, 1, 9, 1, 1))</f>
        <v/>
      </c>
      <c r="I1475" s="194" t="str">
        <f ca="1">IF(OFFSET('IWP16'!Std7PayrollEmploymentRequirements, 1, 11, 1, 1) = 0, "", OFFSET('IWP16'!Std7PayrollEmploymentRequirements, 1, 11, 1, 1))</f>
        <v/>
      </c>
    </row>
    <row r="1476" spans="1:9" s="146" customFormat="1">
      <c r="A1476" s="183" t="s">
        <v>514</v>
      </c>
      <c r="B1476" s="195" t="str">
        <f ca="1">IF(OFFSET('IWP16'!Std7PayrollEmploymentRequirements, 2, 0, 1, 1) = 0, "", OFFSET('IWP16'!Std7PayrollEmploymentRequirements, 2, 0, 1, 1))</f>
        <v/>
      </c>
      <c r="C1476" s="195" t="str">
        <f ca="1">IF(OFFSET('IWP16'!Std7PayrollEmploymentRequirements, 2, 2, 1, 1) = 0, "", OFFSET('IWP16'!Std7PayrollEmploymentRequirements, 2, 2, 1, 1))</f>
        <v/>
      </c>
      <c r="D1476" s="172">
        <f ca="1">IF(OFFSET('IWP16'!Std7PayrollEmploymentRequirements, 2, 4, 1, 1)=DATE(1900,1,0), DATE(1900,1,1), OFFSET('IWP16'!Std7PayrollEmploymentRequirements, 2, 4, 1, 1))</f>
        <v>1</v>
      </c>
      <c r="E1476" s="195" t="str">
        <f ca="1">IF(OFFSET('IWP16'!Std7PayrollEmploymentRequirements, 2, 5, 1, 1) = 0, "", OFFSET('IWP16'!Std7PayrollEmploymentRequirements, 2, 5, 1, 1))</f>
        <v/>
      </c>
      <c r="F1476" s="195" t="str">
        <f ca="1">IF(OFFSET('IWP16'!Std7PayrollEmploymentRequirements, 2, 6, 1, 1) = 0, "", OFFSET('IWP16'!Std7PayrollEmploymentRequirements, 2, 6, 1, 1))</f>
        <v/>
      </c>
      <c r="G1476" s="195" t="str">
        <f ca="1">IF(OFFSET('IWP16'!Std7PayrollEmploymentRequirements, 2, 7, 1, 1) = 0, "", OFFSET('IWP16'!Std7PayrollEmploymentRequirements, 2, 7, 1, 1))</f>
        <v/>
      </c>
      <c r="H1476" s="195" t="str">
        <f ca="1">IF(OFFSET('IWP16'!Std7PayrollEmploymentRequirements, 2, 9, 1, 1) = 0, "", OFFSET('IWP16'!Std7PayrollEmploymentRequirements, 2, 9, 1, 1))</f>
        <v/>
      </c>
      <c r="I1476" s="194" t="str">
        <f ca="1">IF(OFFSET('IWP16'!Std7PayrollEmploymentRequirements, 2, 11, 1, 1) = 0, "", OFFSET('IWP16'!Std7PayrollEmploymentRequirements, 2, 11, 1, 1))</f>
        <v/>
      </c>
    </row>
    <row r="1477" spans="1:9" s="146" customFormat="1">
      <c r="A1477" s="183" t="s">
        <v>514</v>
      </c>
      <c r="B1477" s="195" t="str">
        <f ca="1">IF(OFFSET('IWP16'!Std7PayrollEmploymentRequirements, 3, 0, 1, 1) = 0, "", OFFSET('IWP16'!Std7PayrollEmploymentRequirements, 3, 0, 1, 1))</f>
        <v/>
      </c>
      <c r="C1477" s="195" t="str">
        <f ca="1">IF(OFFSET('IWP16'!Std7PayrollEmploymentRequirements, 3, 2, 1, 1) = 0, "", OFFSET('IWP16'!Std7PayrollEmploymentRequirements, 3, 2, 1, 1))</f>
        <v/>
      </c>
      <c r="D1477" s="172">
        <f ca="1">IF(OFFSET('IWP16'!Std7PayrollEmploymentRequirements, 3, 4, 1, 1)=DATE(1900,1,0), DATE(1900,1,1), OFFSET('IWP16'!Std7PayrollEmploymentRequirements, 3, 4, 1, 1))</f>
        <v>1</v>
      </c>
      <c r="E1477" s="195" t="str">
        <f ca="1">IF(OFFSET('IWP16'!Std7PayrollEmploymentRequirements, 3, 5, 1, 1) = 0, "", OFFSET('IWP16'!Std7PayrollEmploymentRequirements, 3, 5, 1, 1))</f>
        <v/>
      </c>
      <c r="F1477" s="195" t="str">
        <f ca="1">IF(OFFSET('IWP16'!Std7PayrollEmploymentRequirements, 3, 6, 1, 1) = 0, "", OFFSET('IWP16'!Std7PayrollEmploymentRequirements, 3, 6, 1, 1))</f>
        <v/>
      </c>
      <c r="G1477" s="195" t="str">
        <f ca="1">IF(OFFSET('IWP16'!Std7PayrollEmploymentRequirements, 3, 7, 1, 1) = 0, "", OFFSET('IWP16'!Std7PayrollEmploymentRequirements, 3, 7, 1, 1))</f>
        <v/>
      </c>
      <c r="H1477" s="195" t="str">
        <f ca="1">IF(OFFSET('IWP16'!Std7PayrollEmploymentRequirements, 3, 9, 1, 1) = 0, "", OFFSET('IWP16'!Std7PayrollEmploymentRequirements, 3, 9, 1, 1))</f>
        <v/>
      </c>
      <c r="I1477" s="194" t="str">
        <f ca="1">IF(OFFSET('IWP16'!Std7PayrollEmploymentRequirements, 3, 11, 1, 1) = 0, "", OFFSET('IWP16'!Std7PayrollEmploymentRequirements, 3, 11, 1, 1))</f>
        <v/>
      </c>
    </row>
    <row r="1478" spans="1:9" s="146" customFormat="1">
      <c r="A1478" s="183" t="s">
        <v>514</v>
      </c>
      <c r="B1478" s="195" t="str">
        <f ca="1">IF(OFFSET('IWP16'!Std7PayrollEmploymentRequirements, 4, 0, 1, 1) = 0, "", OFFSET('IWP16'!Std7PayrollEmploymentRequirements, 4, 0, 1, 1))</f>
        <v/>
      </c>
      <c r="C1478" s="195" t="str">
        <f ca="1">IF(OFFSET('IWP16'!Std7PayrollEmploymentRequirements, 4, 2, 1, 1) = 0, "", OFFSET('IWP16'!Std7PayrollEmploymentRequirements, 4, 2, 1, 1))</f>
        <v/>
      </c>
      <c r="D1478" s="172">
        <f ca="1">IF(OFFSET('IWP16'!Std7PayrollEmploymentRequirements, 4, 4, 1, 1)=DATE(1900,1,0), DATE(1900,1,1), OFFSET('IWP16'!Std7PayrollEmploymentRequirements, 4, 4, 1, 1))</f>
        <v>1</v>
      </c>
      <c r="E1478" s="195" t="str">
        <f ca="1">IF(OFFSET('IWP16'!Std7PayrollEmploymentRequirements, 4, 5, 1, 1) = 0, "", OFFSET('IWP16'!Std7PayrollEmploymentRequirements, 4, 5, 1, 1))</f>
        <v/>
      </c>
      <c r="F1478" s="195" t="str">
        <f ca="1">IF(OFFSET('IWP16'!Std7PayrollEmploymentRequirements, 4, 6, 1, 1) = 0, "", OFFSET('IWP16'!Std7PayrollEmploymentRequirements, 4, 6, 1, 1))</f>
        <v/>
      </c>
      <c r="G1478" s="195" t="str">
        <f ca="1">IF(OFFSET('IWP16'!Std7PayrollEmploymentRequirements, 4, 7, 1, 1) = 0, "", OFFSET('IWP16'!Std7PayrollEmploymentRequirements, 4, 7, 1, 1))</f>
        <v/>
      </c>
      <c r="H1478" s="195" t="str">
        <f ca="1">IF(OFFSET('IWP16'!Std7PayrollEmploymentRequirements, 4, 9, 1, 1) = 0, "", OFFSET('IWP16'!Std7PayrollEmploymentRequirements, 4, 9, 1, 1))</f>
        <v/>
      </c>
      <c r="I1478" s="194" t="str">
        <f ca="1">IF(OFFSET('IWP16'!Std7PayrollEmploymentRequirements, 4, 11, 1, 1) = 0, "", OFFSET('IWP16'!Std7PayrollEmploymentRequirements, 4, 11, 1, 1))</f>
        <v/>
      </c>
    </row>
    <row r="1479" spans="1:9" s="146" customFormat="1">
      <c r="A1479" s="183" t="s">
        <v>514</v>
      </c>
      <c r="B1479" s="195" t="str">
        <f ca="1">IF(OFFSET('IWP16'!Std7PayrollEmploymentRequirements, 5, 0, 1, 1) = 0, "", OFFSET('IWP16'!Std7PayrollEmploymentRequirements, 5, 0, 1, 1))</f>
        <v/>
      </c>
      <c r="C1479" s="195" t="str">
        <f ca="1">IF(OFFSET('IWP16'!Std7PayrollEmploymentRequirements, 5, 2, 1, 1) = 0, "", OFFSET('IWP16'!Std7PayrollEmploymentRequirements, 5, 2, 1, 1))</f>
        <v/>
      </c>
      <c r="D1479" s="172">
        <f ca="1">IF(OFFSET('IWP16'!Std7PayrollEmploymentRequirements, 5, 4, 1, 1)=DATE(1900,1,0), DATE(1900,1,1), OFFSET('IWP16'!Std7PayrollEmploymentRequirements, 5, 4, 1, 1))</f>
        <v>1</v>
      </c>
      <c r="E1479" s="195" t="str">
        <f ca="1">IF(OFFSET('IWP16'!Std7PayrollEmploymentRequirements, 5, 5, 1, 1) = 0, "", OFFSET('IWP16'!Std7PayrollEmploymentRequirements, 5, 5, 1, 1))</f>
        <v/>
      </c>
      <c r="F1479" s="195" t="str">
        <f ca="1">IF(OFFSET('IWP16'!Std7PayrollEmploymentRequirements, 5, 6, 1, 1) = 0, "", OFFSET('IWP16'!Std7PayrollEmploymentRequirements, 5, 6, 1, 1))</f>
        <v/>
      </c>
      <c r="G1479" s="195" t="str">
        <f ca="1">IF(OFFSET('IWP16'!Std7PayrollEmploymentRequirements, 5, 7, 1, 1) = 0, "", OFFSET('IWP16'!Std7PayrollEmploymentRequirements, 5, 7, 1, 1))</f>
        <v/>
      </c>
      <c r="H1479" s="195" t="str">
        <f ca="1">IF(OFFSET('IWP16'!Std7PayrollEmploymentRequirements, 5, 9, 1, 1) = 0, "", OFFSET('IWP16'!Std7PayrollEmploymentRequirements, 5, 9, 1, 1))</f>
        <v/>
      </c>
      <c r="I1479" s="194" t="str">
        <f ca="1">IF(OFFSET('IWP16'!Std7PayrollEmploymentRequirements, 5, 11, 1, 1) = 0, "", OFFSET('IWP16'!Std7PayrollEmploymentRequirements, 5, 11, 1, 1))</f>
        <v/>
      </c>
    </row>
    <row r="1480" spans="1:9" s="146" customFormat="1">
      <c r="A1480" s="183" t="s">
        <v>514</v>
      </c>
      <c r="B1480" s="195" t="str">
        <f ca="1">IF(OFFSET('IWP16'!Std7PayrollEmploymentRequirements, 6, 0, 1, 1) = 0, "", OFFSET('IWP16'!Std7PayrollEmploymentRequirements, 6, 0, 1, 1))</f>
        <v/>
      </c>
      <c r="C1480" s="195" t="str">
        <f ca="1">IF(OFFSET('IWP16'!Std7PayrollEmploymentRequirements, 6, 2, 1, 1) = 0, "", OFFSET('IWP16'!Std7PayrollEmploymentRequirements, 6, 2, 1, 1))</f>
        <v/>
      </c>
      <c r="D1480" s="172">
        <f ca="1">IF(OFFSET('IWP16'!Std7PayrollEmploymentRequirements, 6, 4, 1, 1)=DATE(1900,1,0), DATE(1900,1,1), OFFSET('IWP16'!Std7PayrollEmploymentRequirements, 6, 4, 1, 1))</f>
        <v>1</v>
      </c>
      <c r="E1480" s="195" t="str">
        <f ca="1">IF(OFFSET('IWP16'!Std7PayrollEmploymentRequirements, 6, 5, 1, 1) = 0, "", OFFSET('IWP16'!Std7PayrollEmploymentRequirements, 6, 5, 1, 1))</f>
        <v/>
      </c>
      <c r="F1480" s="195" t="str">
        <f ca="1">IF(OFFSET('IWP16'!Std7PayrollEmploymentRequirements, 6, 6, 1, 1) = 0, "", OFFSET('IWP16'!Std7PayrollEmploymentRequirements, 6, 6, 1, 1))</f>
        <v/>
      </c>
      <c r="G1480" s="195" t="str">
        <f ca="1">IF(OFFSET('IWP16'!Std7PayrollEmploymentRequirements, 6, 7, 1, 1) = 0, "", OFFSET('IWP16'!Std7PayrollEmploymentRequirements, 6, 7, 1, 1))</f>
        <v/>
      </c>
      <c r="H1480" s="195" t="str">
        <f ca="1">IF(OFFSET('IWP16'!Std7PayrollEmploymentRequirements, 6, 9, 1, 1) = 0, "", OFFSET('IWP16'!Std7PayrollEmploymentRequirements, 6, 9, 1, 1))</f>
        <v/>
      </c>
      <c r="I1480" s="194" t="str">
        <f ca="1">IF(OFFSET('IWP16'!Std7PayrollEmploymentRequirements, 6, 11, 1, 1) = 0, "", OFFSET('IWP16'!Std7PayrollEmploymentRequirements, 6, 11, 1, 1))</f>
        <v/>
      </c>
    </row>
    <row r="1481" spans="1:9" s="146" customFormat="1">
      <c r="A1481" s="183" t="s">
        <v>514</v>
      </c>
      <c r="B1481" s="195" t="str">
        <f ca="1">IF(OFFSET('IWP16'!Std7PayrollEmploymentRequirements, 7, 0, 1, 1) = 0, "", OFFSET('IWP16'!Std7PayrollEmploymentRequirements, 7, 0, 1, 1))</f>
        <v/>
      </c>
      <c r="C1481" s="195" t="str">
        <f ca="1">IF(OFFSET('IWP16'!Std7PayrollEmploymentRequirements, 7, 2, 1, 1) = 0, "", OFFSET('IWP16'!Std7PayrollEmploymentRequirements, 7, 2, 1, 1))</f>
        <v/>
      </c>
      <c r="D1481" s="172">
        <f ca="1">IF(OFFSET('IWP16'!Std7PayrollEmploymentRequirements, 7, 4, 1, 1)=DATE(1900,1,0), DATE(1900,1,1), OFFSET('IWP16'!Std7PayrollEmploymentRequirements, 7, 4, 1, 1))</f>
        <v>1</v>
      </c>
      <c r="E1481" s="195" t="str">
        <f ca="1">IF(OFFSET('IWP16'!Std7PayrollEmploymentRequirements, 7, 5, 1, 1) = 0, "", OFFSET('IWP16'!Std7PayrollEmploymentRequirements, 7, 5, 1, 1))</f>
        <v/>
      </c>
      <c r="F1481" s="195" t="str">
        <f ca="1">IF(OFFSET('IWP16'!Std7PayrollEmploymentRequirements, 7, 6, 1, 1) = 0, "", OFFSET('IWP16'!Std7PayrollEmploymentRequirements, 7, 6, 1, 1))</f>
        <v/>
      </c>
      <c r="G1481" s="195" t="str">
        <f ca="1">IF(OFFSET('IWP16'!Std7PayrollEmploymentRequirements, 7, 7, 1, 1) = 0, "", OFFSET('IWP16'!Std7PayrollEmploymentRequirements, 7, 7, 1, 1))</f>
        <v/>
      </c>
      <c r="H1481" s="195" t="str">
        <f ca="1">IF(OFFSET('IWP16'!Std7PayrollEmploymentRequirements, 7, 9, 1, 1) = 0, "", OFFSET('IWP16'!Std7PayrollEmploymentRequirements, 7, 9, 1, 1))</f>
        <v/>
      </c>
      <c r="I1481" s="194" t="str">
        <f ca="1">IF(OFFSET('IWP16'!Std7PayrollEmploymentRequirements, 7, 11, 1, 1) = 0, "", OFFSET('IWP16'!Std7PayrollEmploymentRequirements, 7, 11, 1, 1))</f>
        <v/>
      </c>
    </row>
    <row r="1482" spans="1:9" s="146" customFormat="1">
      <c r="A1482" s="183" t="s">
        <v>514</v>
      </c>
      <c r="B1482" s="195" t="str">
        <f ca="1">IF(OFFSET('IWP16'!Std7PayrollEmploymentRequirements, 8, 0, 1, 1) = 0, "", OFFSET('IWP16'!Std7PayrollEmploymentRequirements, 8, 0, 1, 1))</f>
        <v/>
      </c>
      <c r="C1482" s="195" t="str">
        <f ca="1">IF(OFFSET('IWP16'!Std7PayrollEmploymentRequirements, 8, 2, 1, 1) = 0, "", OFFSET('IWP16'!Std7PayrollEmploymentRequirements, 8, 2, 1, 1))</f>
        <v/>
      </c>
      <c r="D1482" s="172">
        <f ca="1">IF(OFFSET('IWP16'!Std7PayrollEmploymentRequirements, 8, 4, 1, 1)=DATE(1900,1,0), DATE(1900,1,1), OFFSET('IWP16'!Std7PayrollEmploymentRequirements, 8, 4, 1, 1))</f>
        <v>1</v>
      </c>
      <c r="E1482" s="195" t="str">
        <f ca="1">IF(OFFSET('IWP16'!Std7PayrollEmploymentRequirements, 8, 5, 1, 1) = 0, "", OFFSET('IWP16'!Std7PayrollEmploymentRequirements, 8, 5, 1, 1))</f>
        <v/>
      </c>
      <c r="F1482" s="195" t="str">
        <f ca="1">IF(OFFSET('IWP16'!Std7PayrollEmploymentRequirements, 8, 6, 1, 1) = 0, "", OFFSET('IWP16'!Std7PayrollEmploymentRequirements, 8, 6, 1, 1))</f>
        <v/>
      </c>
      <c r="G1482" s="195" t="str">
        <f ca="1">IF(OFFSET('IWP16'!Std7PayrollEmploymentRequirements, 8, 7, 1, 1) = 0, "", OFFSET('IWP16'!Std7PayrollEmploymentRequirements, 8, 7, 1, 1))</f>
        <v/>
      </c>
      <c r="H1482" s="195" t="str">
        <f ca="1">IF(OFFSET('IWP16'!Std7PayrollEmploymentRequirements, 8, 9, 1, 1) = 0, "", OFFSET('IWP16'!Std7PayrollEmploymentRequirements, 8, 9, 1, 1))</f>
        <v/>
      </c>
      <c r="I1482" s="194" t="str">
        <f ca="1">IF(OFFSET('IWP16'!Std7PayrollEmploymentRequirements, 8, 11, 1, 1) = 0, "", OFFSET('IWP16'!Std7PayrollEmploymentRequirements, 8, 11, 1, 1))</f>
        <v/>
      </c>
    </row>
    <row r="1483" spans="1:9" s="146" customFormat="1">
      <c r="A1483" s="183" t="s">
        <v>514</v>
      </c>
      <c r="B1483" s="195" t="str">
        <f ca="1">IF(OFFSET('IWP16'!Std7PayrollEmploymentRequirements, 9, 0, 1, 1) = 0, "", OFFSET('IWP16'!Std7PayrollEmploymentRequirements, 9, 0, 1, 1))</f>
        <v/>
      </c>
      <c r="C1483" s="195" t="str">
        <f ca="1">IF(OFFSET('IWP16'!Std7PayrollEmploymentRequirements, 9, 2, 1, 1) = 0, "", OFFSET('IWP16'!Std7PayrollEmploymentRequirements, 9, 2, 1, 1))</f>
        <v/>
      </c>
      <c r="D1483" s="172">
        <f ca="1">IF(OFFSET('IWP16'!Std7PayrollEmploymentRequirements, 9, 4, 1, 1)=DATE(1900,1,0), DATE(1900,1,1), OFFSET('IWP16'!Std7PayrollEmploymentRequirements, 9, 4, 1, 1))</f>
        <v>1</v>
      </c>
      <c r="E1483" s="195" t="str">
        <f ca="1">IF(OFFSET('IWP16'!Std7PayrollEmploymentRequirements, 9, 5, 1, 1) = 0, "", OFFSET('IWP16'!Std7PayrollEmploymentRequirements, 9, 5, 1, 1))</f>
        <v/>
      </c>
      <c r="F1483" s="195" t="str">
        <f ca="1">IF(OFFSET('IWP16'!Std7PayrollEmploymentRequirements, 9, 6, 1, 1) = 0, "", OFFSET('IWP16'!Std7PayrollEmploymentRequirements, 9, 6, 1, 1))</f>
        <v/>
      </c>
      <c r="G1483" s="195" t="str">
        <f ca="1">IF(OFFSET('IWP16'!Std7PayrollEmploymentRequirements, 9, 7, 1, 1) = 0, "", OFFSET('IWP16'!Std7PayrollEmploymentRequirements, 9, 7, 1, 1))</f>
        <v/>
      </c>
      <c r="H1483" s="195" t="str">
        <f ca="1">IF(OFFSET('IWP16'!Std7PayrollEmploymentRequirements, 9, 9, 1, 1) = 0, "", OFFSET('IWP16'!Std7PayrollEmploymentRequirements, 9, 9, 1, 1))</f>
        <v/>
      </c>
      <c r="I1483" s="194" t="str">
        <f ca="1">IF(OFFSET('IWP16'!Std7PayrollEmploymentRequirements, 9, 11, 1, 1) = 0, "", OFFSET('IWP16'!Std7PayrollEmploymentRequirements, 9, 11, 1, 1))</f>
        <v/>
      </c>
    </row>
    <row r="1484" spans="1:9" s="146" customFormat="1">
      <c r="A1484" s="183" t="s">
        <v>514</v>
      </c>
      <c r="B1484" s="195" t="str">
        <f ca="1">IF(OFFSET('IWP16'!Std7PayrollEmploymentRequirements, 10, 0, 1, 1) = 0, "", OFFSET('IWP16'!Std7PayrollEmploymentRequirements, 10, 0, 1, 1))</f>
        <v/>
      </c>
      <c r="C1484" s="195" t="str">
        <f ca="1">IF(OFFSET('IWP16'!Std7PayrollEmploymentRequirements, 10, 2, 1, 1) = 0, "", OFFSET('IWP16'!Std7PayrollEmploymentRequirements, 10, 2, 1, 1))</f>
        <v/>
      </c>
      <c r="D1484" s="172">
        <f ca="1">IF(OFFSET('IWP16'!Std7PayrollEmploymentRequirements, 10, 4, 1, 1)=DATE(1900,1,0), DATE(1900,1,1), OFFSET('IWP16'!Std7PayrollEmploymentRequirements, 10, 4, 1, 1))</f>
        <v>1</v>
      </c>
      <c r="E1484" s="195" t="str">
        <f ca="1">IF(OFFSET('IWP16'!Std7PayrollEmploymentRequirements, 10, 5, 1, 1) = 0, "", OFFSET('IWP16'!Std7PayrollEmploymentRequirements, 10, 5, 1, 1))</f>
        <v/>
      </c>
      <c r="F1484" s="195" t="str">
        <f ca="1">IF(OFFSET('IWP16'!Std7PayrollEmploymentRequirements, 10, 6, 1, 1) = 0, "", OFFSET('IWP16'!Std7PayrollEmploymentRequirements, 10, 6, 1, 1))</f>
        <v/>
      </c>
      <c r="G1484" s="195" t="str">
        <f ca="1">IF(OFFSET('IWP16'!Std7PayrollEmploymentRequirements, 10, 7, 1, 1) = 0, "", OFFSET('IWP16'!Std7PayrollEmploymentRequirements, 10, 7, 1, 1))</f>
        <v/>
      </c>
      <c r="H1484" s="195" t="str">
        <f ca="1">IF(OFFSET('IWP16'!Std7PayrollEmploymentRequirements, 10, 9, 1, 1) = 0, "", OFFSET('IWP16'!Std7PayrollEmploymentRequirements, 10, 9, 1, 1))</f>
        <v/>
      </c>
      <c r="I1484" s="194" t="str">
        <f ca="1">IF(OFFSET('IWP16'!Std7PayrollEmploymentRequirements, 10, 11, 1, 1) = 0, "", OFFSET('IWP16'!Std7PayrollEmploymentRequirements, 10, 11, 1, 1))</f>
        <v/>
      </c>
    </row>
    <row r="1485" spans="1:9" s="146" customFormat="1">
      <c r="A1485" s="183" t="s">
        <v>514</v>
      </c>
      <c r="B1485" s="195" t="str">
        <f ca="1">IF(OFFSET('IWP16'!Std7PayrollEmploymentRequirements, 11, 0, 1, 1) = 0, "", OFFSET('IWP16'!Std7PayrollEmploymentRequirements, 11, 0, 1, 1))</f>
        <v/>
      </c>
      <c r="C1485" s="195" t="str">
        <f ca="1">IF(OFFSET('IWP16'!Std7PayrollEmploymentRequirements, 11, 2, 1, 1) = 0, "", OFFSET('IWP16'!Std7PayrollEmploymentRequirements, 11, 2, 1, 1))</f>
        <v/>
      </c>
      <c r="D1485" s="172">
        <f ca="1">IF(OFFSET('IWP16'!Std7PayrollEmploymentRequirements, 11, 4, 1, 1)=DATE(1900,1,0), DATE(1900,1,1), OFFSET('IWP16'!Std7PayrollEmploymentRequirements, 11, 4, 1, 1))</f>
        <v>1</v>
      </c>
      <c r="E1485" s="195" t="str">
        <f ca="1">IF(OFFSET('IWP16'!Std7PayrollEmploymentRequirements, 11, 5, 1, 1) = 0, "", OFFSET('IWP16'!Std7PayrollEmploymentRequirements, 11, 5, 1, 1))</f>
        <v/>
      </c>
      <c r="F1485" s="195" t="str">
        <f ca="1">IF(OFFSET('IWP16'!Std7PayrollEmploymentRequirements, 11, 6, 1, 1) = 0, "", OFFSET('IWP16'!Std7PayrollEmploymentRequirements, 11, 6, 1, 1))</f>
        <v/>
      </c>
      <c r="G1485" s="195" t="str">
        <f ca="1">IF(OFFSET('IWP16'!Std7PayrollEmploymentRequirements, 11, 7, 1, 1) = 0, "", OFFSET('IWP16'!Std7PayrollEmploymentRequirements, 11, 7, 1, 1))</f>
        <v/>
      </c>
      <c r="H1485" s="195" t="str">
        <f ca="1">IF(OFFSET('IWP16'!Std7PayrollEmploymentRequirements, 11, 9, 1, 1) = 0, "", OFFSET('IWP16'!Std7PayrollEmploymentRequirements, 11, 9, 1, 1))</f>
        <v/>
      </c>
      <c r="I1485" s="194" t="str">
        <f ca="1">IF(OFFSET('IWP16'!Std7PayrollEmploymentRequirements, 11, 11, 1, 1) = 0, "", OFFSET('IWP16'!Std7PayrollEmploymentRequirements, 11, 11, 1, 1))</f>
        <v/>
      </c>
    </row>
    <row r="1486" spans="1:9" s="146" customFormat="1">
      <c r="A1486" s="183" t="s">
        <v>514</v>
      </c>
      <c r="B1486" s="195" t="str">
        <f ca="1">IF(OFFSET('IWP16'!Std7PayrollEmploymentRequirements, 12, 0, 1, 1) = 0, "", OFFSET('IWP16'!Std7PayrollEmploymentRequirements, 12, 0, 1, 1))</f>
        <v/>
      </c>
      <c r="C1486" s="195" t="str">
        <f ca="1">IF(OFFSET('IWP16'!Std7PayrollEmploymentRequirements, 12, 2, 1, 1) = 0, "", OFFSET('IWP16'!Std7PayrollEmploymentRequirements, 12, 2, 1, 1))</f>
        <v/>
      </c>
      <c r="D1486" s="172">
        <f ca="1">IF(OFFSET('IWP16'!Std7PayrollEmploymentRequirements, 12, 4, 1, 1)=DATE(1900,1,0), DATE(1900,1,1), OFFSET('IWP16'!Std7PayrollEmploymentRequirements, 12, 4, 1, 1))</f>
        <v>1</v>
      </c>
      <c r="E1486" s="195" t="str">
        <f ca="1">IF(OFFSET('IWP16'!Std7PayrollEmploymentRequirements, 12, 5, 1, 1) = 0, "", OFFSET('IWP16'!Std7PayrollEmploymentRequirements, 12, 5, 1, 1))</f>
        <v/>
      </c>
      <c r="F1486" s="195" t="str">
        <f ca="1">IF(OFFSET('IWP16'!Std7PayrollEmploymentRequirements, 12, 6, 1, 1) = 0, "", OFFSET('IWP16'!Std7PayrollEmploymentRequirements, 12, 6, 1, 1))</f>
        <v/>
      </c>
      <c r="G1486" s="195" t="str">
        <f ca="1">IF(OFFSET('IWP16'!Std7PayrollEmploymentRequirements, 12, 7, 1, 1) = 0, "", OFFSET('IWP16'!Std7PayrollEmploymentRequirements, 12, 7, 1, 1))</f>
        <v/>
      </c>
      <c r="H1486" s="195" t="str">
        <f ca="1">IF(OFFSET('IWP16'!Std7PayrollEmploymentRequirements, 12, 9, 1, 1) = 0, "", OFFSET('IWP16'!Std7PayrollEmploymentRequirements, 12, 9, 1, 1))</f>
        <v/>
      </c>
      <c r="I1486" s="194" t="str">
        <f ca="1">IF(OFFSET('IWP16'!Std7PayrollEmploymentRequirements, 12, 11, 1, 1) = 0, "", OFFSET('IWP16'!Std7PayrollEmploymentRequirements, 12, 11, 1, 1))</f>
        <v/>
      </c>
    </row>
    <row r="1487" spans="1:9" s="146" customFormat="1">
      <c r="A1487" s="183" t="s">
        <v>514</v>
      </c>
      <c r="B1487" s="195" t="str">
        <f ca="1">IF(OFFSET('IWP16'!Std7PayrollEmploymentRequirements, 13, 0, 1, 1) = 0, "", OFFSET('IWP16'!Std7PayrollEmploymentRequirements, 13, 0, 1, 1))</f>
        <v/>
      </c>
      <c r="C1487" s="195" t="str">
        <f ca="1">IF(OFFSET('IWP16'!Std7PayrollEmploymentRequirements, 13, 2, 1, 1) = 0, "", OFFSET('IWP16'!Std7PayrollEmploymentRequirements, 13, 2, 1, 1))</f>
        <v/>
      </c>
      <c r="D1487" s="172">
        <f ca="1">IF(OFFSET('IWP16'!Std7PayrollEmploymentRequirements, 13, 4, 1, 1)=DATE(1900,1,0), DATE(1900,1,1), OFFSET('IWP16'!Std7PayrollEmploymentRequirements, 13, 4, 1, 1))</f>
        <v>1</v>
      </c>
      <c r="E1487" s="195" t="str">
        <f ca="1">IF(OFFSET('IWP16'!Std7PayrollEmploymentRequirements, 13, 5, 1, 1) = 0, "", OFFSET('IWP16'!Std7PayrollEmploymentRequirements, 13, 5, 1, 1))</f>
        <v/>
      </c>
      <c r="F1487" s="195" t="str">
        <f ca="1">IF(OFFSET('IWP16'!Std7PayrollEmploymentRequirements, 13, 6, 1, 1) = 0, "", OFFSET('IWP16'!Std7PayrollEmploymentRequirements, 13, 6, 1, 1))</f>
        <v/>
      </c>
      <c r="G1487" s="195" t="str">
        <f ca="1">IF(OFFSET('IWP16'!Std7PayrollEmploymentRequirements, 13, 7, 1, 1) = 0, "", OFFSET('IWP16'!Std7PayrollEmploymentRequirements, 13, 7, 1, 1))</f>
        <v/>
      </c>
      <c r="H1487" s="195" t="str">
        <f ca="1">IF(OFFSET('IWP16'!Std7PayrollEmploymentRequirements, 13, 9, 1, 1) = 0, "", OFFSET('IWP16'!Std7PayrollEmploymentRequirements, 13, 9, 1, 1))</f>
        <v/>
      </c>
      <c r="I1487" s="194" t="str">
        <f ca="1">IF(OFFSET('IWP16'!Std7PayrollEmploymentRequirements, 13, 11, 1, 1) = 0, "", OFFSET('IWP16'!Std7PayrollEmploymentRequirements, 13, 11, 1, 1))</f>
        <v/>
      </c>
    </row>
    <row r="1488" spans="1:9" s="146" customFormat="1">
      <c r="A1488" s="183" t="s">
        <v>514</v>
      </c>
      <c r="B1488" s="195" t="str">
        <f ca="1">IF(OFFSET('IWP16'!Std7PayrollEmploymentRequirements, 14, 0, 1, 1) = 0, "", OFFSET('IWP16'!Std7PayrollEmploymentRequirements, 14, 0, 1, 1))</f>
        <v/>
      </c>
      <c r="C1488" s="195" t="str">
        <f ca="1">IF(OFFSET('IWP16'!Std7PayrollEmploymentRequirements, 14, 2, 1, 1) = 0, "", OFFSET('IWP16'!Std7PayrollEmploymentRequirements, 14, 2, 1, 1))</f>
        <v/>
      </c>
      <c r="D1488" s="172">
        <f ca="1">IF(OFFSET('IWP16'!Std7PayrollEmploymentRequirements, 14, 4, 1, 1)=DATE(1900,1,0), DATE(1900,1,1), OFFSET('IWP16'!Std7PayrollEmploymentRequirements, 14, 4, 1, 1))</f>
        <v>1</v>
      </c>
      <c r="E1488" s="195" t="str">
        <f ca="1">IF(OFFSET('IWP16'!Std7PayrollEmploymentRequirements, 14, 5, 1, 1) = 0, "", OFFSET('IWP16'!Std7PayrollEmploymentRequirements, 14, 5, 1, 1))</f>
        <v/>
      </c>
      <c r="F1488" s="195" t="str">
        <f ca="1">IF(OFFSET('IWP16'!Std7PayrollEmploymentRequirements, 14, 6, 1, 1) = 0, "", OFFSET('IWP16'!Std7PayrollEmploymentRequirements, 14, 6, 1, 1))</f>
        <v/>
      </c>
      <c r="G1488" s="195" t="str">
        <f ca="1">IF(OFFSET('IWP16'!Std7PayrollEmploymentRequirements, 14, 7, 1, 1) = 0, "", OFFSET('IWP16'!Std7PayrollEmploymentRequirements, 14, 7, 1, 1))</f>
        <v/>
      </c>
      <c r="H1488" s="195" t="str">
        <f ca="1">IF(OFFSET('IWP16'!Std7PayrollEmploymentRequirements, 14, 9, 1, 1) = 0, "", OFFSET('IWP16'!Std7PayrollEmploymentRequirements, 14, 9, 1, 1))</f>
        <v/>
      </c>
      <c r="I1488" s="194" t="str">
        <f ca="1">IF(OFFSET('IWP16'!Std7PayrollEmploymentRequirements, 14, 11, 1, 1) = 0, "", OFFSET('IWP16'!Std7PayrollEmploymentRequirements, 14, 11, 1, 1))</f>
        <v/>
      </c>
    </row>
    <row r="1489" spans="1:9" s="146" customFormat="1">
      <c r="A1489" s="183" t="s">
        <v>514</v>
      </c>
      <c r="B1489" s="195" t="str">
        <f ca="1">IF(OFFSET('IWP16'!Std7PayrollEmploymentRequirements, 15, 0, 1, 1) = 0, "", OFFSET('IWP16'!Std7PayrollEmploymentRequirements, 15, 0, 1, 1))</f>
        <v/>
      </c>
      <c r="C1489" s="195" t="str">
        <f ca="1">IF(OFFSET('IWP16'!Std7PayrollEmploymentRequirements, 15, 2, 1, 1) = 0, "", OFFSET('IWP16'!Std7PayrollEmploymentRequirements, 15, 2, 1, 1))</f>
        <v/>
      </c>
      <c r="D1489" s="172">
        <f ca="1">IF(OFFSET('IWP16'!Std7PayrollEmploymentRequirements, 15, 4, 1, 1)=DATE(1900,1,0), DATE(1900,1,1), OFFSET('IWP16'!Std7PayrollEmploymentRequirements, 15, 4, 1, 1))</f>
        <v>1</v>
      </c>
      <c r="E1489" s="195" t="str">
        <f ca="1">IF(OFFSET('IWP16'!Std7PayrollEmploymentRequirements, 15, 5, 1, 1) = 0, "", OFFSET('IWP16'!Std7PayrollEmploymentRequirements, 15, 5, 1, 1))</f>
        <v/>
      </c>
      <c r="F1489" s="195" t="str">
        <f ca="1">IF(OFFSET('IWP16'!Std7PayrollEmploymentRequirements, 15, 6, 1, 1) = 0, "", OFFSET('IWP16'!Std7PayrollEmploymentRequirements, 15, 6, 1, 1))</f>
        <v/>
      </c>
      <c r="G1489" s="195" t="str">
        <f ca="1">IF(OFFSET('IWP16'!Std7PayrollEmploymentRequirements, 15, 7, 1, 1) = 0, "", OFFSET('IWP16'!Std7PayrollEmploymentRequirements, 15, 7, 1, 1))</f>
        <v/>
      </c>
      <c r="H1489" s="195" t="str">
        <f ca="1">IF(OFFSET('IWP16'!Std7PayrollEmploymentRequirements, 15, 9, 1, 1) = 0, "", OFFSET('IWP16'!Std7PayrollEmploymentRequirements, 15, 9, 1, 1))</f>
        <v/>
      </c>
      <c r="I1489" s="194" t="str">
        <f ca="1">IF(OFFSET('IWP16'!Std7PayrollEmploymentRequirements, 15, 11, 1, 1) = 0, "", OFFSET('IWP16'!Std7PayrollEmploymentRequirements, 15, 11, 1, 1))</f>
        <v/>
      </c>
    </row>
    <row r="1490" spans="1:9" s="146" customFormat="1">
      <c r="A1490" s="183" t="s">
        <v>515</v>
      </c>
      <c r="B1490" s="195" t="str">
        <f ca="1">IF(OFFSET('IWP17'!Std7PayrollEmploymentRequirements, 0, 0, 1, 1) = 0, "", OFFSET('IWP17'!Std7PayrollEmploymentRequirements, 0, 0, 1, 1))</f>
        <v/>
      </c>
      <c r="C1490" s="195" t="str">
        <f ca="1">IF(OFFSET('IWP17'!Std7PayrollEmploymentRequirements, 0, 2, 1, 1) = 0, "", OFFSET('IWP17'!Std7PayrollEmploymentRequirements, 0, 2, 1, 1))</f>
        <v/>
      </c>
      <c r="D1490" s="172">
        <f ca="1">IF(OFFSET('IWP17'!Std7PayrollEmploymentRequirements, 0, 4, 1, 1)=DATE(1900,1,0), DATE(1900,1,1), OFFSET('IWP17'!Std7PayrollEmploymentRequirements, 0, 4, 1, 1))</f>
        <v>1</v>
      </c>
      <c r="E1490" s="195" t="str">
        <f ca="1">IF(OFFSET('IWP17'!Std7PayrollEmploymentRequirements, 0, 5, 1, 1) = 0, "", OFFSET('IWP17'!Std7PayrollEmploymentRequirements, 0, 5, 1, 1))</f>
        <v/>
      </c>
      <c r="F1490" s="195" t="str">
        <f ca="1">IF(OFFSET('IWP17'!Std7PayrollEmploymentRequirements, 0, 6, 1, 1) = 0, "", OFFSET('IWP17'!Std7PayrollEmploymentRequirements, 0, 6, 1, 1))</f>
        <v/>
      </c>
      <c r="G1490" s="195" t="str">
        <f ca="1">IF(OFFSET('IWP17'!Std7PayrollEmploymentRequirements, 0, 7, 1, 1) = 0, "", OFFSET('IWP17'!Std7PayrollEmploymentRequirements, 0, 7, 1, 1))</f>
        <v/>
      </c>
      <c r="H1490" s="195" t="str">
        <f ca="1">IF(OFFSET('IWP17'!Std7PayrollEmploymentRequirements, 0, 9, 1, 1) = 0, "", OFFSET('IWP17'!Std7PayrollEmploymentRequirements, 0, 9, 1, 1))</f>
        <v/>
      </c>
      <c r="I1490" s="194" t="str">
        <f ca="1">IF(OFFSET('IWP17'!Std7PayrollEmploymentRequirements, 0, 11, 1, 1) = 0, "", OFFSET('IWP17'!Std7PayrollEmploymentRequirements, 0, 11, 1, 1))</f>
        <v/>
      </c>
    </row>
    <row r="1491" spans="1:9" s="146" customFormat="1">
      <c r="A1491" s="183" t="s">
        <v>515</v>
      </c>
      <c r="B1491" s="195" t="str">
        <f ca="1">IF(OFFSET('IWP17'!Std7PayrollEmploymentRequirements, 1, 0, 1, 1) = 0, "", OFFSET('IWP17'!Std7PayrollEmploymentRequirements, 1, 0, 1, 1))</f>
        <v/>
      </c>
      <c r="C1491" s="195" t="str">
        <f ca="1">IF(OFFSET('IWP17'!Std7PayrollEmploymentRequirements, 1, 2, 1, 1) = 0, "", OFFSET('IWP17'!Std7PayrollEmploymentRequirements, 1, 2, 1, 1))</f>
        <v/>
      </c>
      <c r="D1491" s="172">
        <f ca="1">IF(OFFSET('IWP17'!Std7PayrollEmploymentRequirements, 1, 4, 1, 1)=DATE(1900,1,0), DATE(1900,1,1), OFFSET('IWP17'!Std7PayrollEmploymentRequirements, 1, 4, 1, 1))</f>
        <v>1</v>
      </c>
      <c r="E1491" s="195" t="str">
        <f ca="1">IF(OFFSET('IWP17'!Std7PayrollEmploymentRequirements, 1, 5, 1, 1) = 0, "", OFFSET('IWP17'!Std7PayrollEmploymentRequirements, 1, 5, 1, 1))</f>
        <v/>
      </c>
      <c r="F1491" s="195" t="str">
        <f ca="1">IF(OFFSET('IWP17'!Std7PayrollEmploymentRequirements, 1, 6, 1, 1) = 0, "", OFFSET('IWP17'!Std7PayrollEmploymentRequirements, 1, 6, 1, 1))</f>
        <v/>
      </c>
      <c r="G1491" s="195" t="str">
        <f ca="1">IF(OFFSET('IWP17'!Std7PayrollEmploymentRequirements, 1, 7, 1, 1) = 0, "", OFFSET('IWP17'!Std7PayrollEmploymentRequirements, 1, 7, 1, 1))</f>
        <v/>
      </c>
      <c r="H1491" s="195" t="str">
        <f ca="1">IF(OFFSET('IWP17'!Std7PayrollEmploymentRequirements, 1, 9, 1, 1) = 0, "", OFFSET('IWP17'!Std7PayrollEmploymentRequirements, 1, 9, 1, 1))</f>
        <v/>
      </c>
      <c r="I1491" s="194" t="str">
        <f ca="1">IF(OFFSET('IWP17'!Std7PayrollEmploymentRequirements, 1, 11, 1, 1) = 0, "", OFFSET('IWP17'!Std7PayrollEmploymentRequirements, 1, 11, 1, 1))</f>
        <v/>
      </c>
    </row>
    <row r="1492" spans="1:9" s="146" customFormat="1">
      <c r="A1492" s="183" t="s">
        <v>515</v>
      </c>
      <c r="B1492" s="195" t="str">
        <f ca="1">IF(OFFSET('IWP17'!Std7PayrollEmploymentRequirements, 2, 0, 1, 1) = 0, "", OFFSET('IWP17'!Std7PayrollEmploymentRequirements, 2, 0, 1, 1))</f>
        <v/>
      </c>
      <c r="C1492" s="195" t="str">
        <f ca="1">IF(OFFSET('IWP17'!Std7PayrollEmploymentRequirements, 2, 2, 1, 1) = 0, "", OFFSET('IWP17'!Std7PayrollEmploymentRequirements, 2, 2, 1, 1))</f>
        <v/>
      </c>
      <c r="D1492" s="172">
        <f ca="1">IF(OFFSET('IWP17'!Std7PayrollEmploymentRequirements, 2, 4, 1, 1)=DATE(1900,1,0), DATE(1900,1,1), OFFSET('IWP17'!Std7PayrollEmploymentRequirements, 2, 4, 1, 1))</f>
        <v>1</v>
      </c>
      <c r="E1492" s="195" t="str">
        <f ca="1">IF(OFFSET('IWP17'!Std7PayrollEmploymentRequirements, 2, 5, 1, 1) = 0, "", OFFSET('IWP17'!Std7PayrollEmploymentRequirements, 2, 5, 1, 1))</f>
        <v/>
      </c>
      <c r="F1492" s="195" t="str">
        <f ca="1">IF(OFFSET('IWP17'!Std7PayrollEmploymentRequirements, 2, 6, 1, 1) = 0, "", OFFSET('IWP17'!Std7PayrollEmploymentRequirements, 2, 6, 1, 1))</f>
        <v/>
      </c>
      <c r="G1492" s="195" t="str">
        <f ca="1">IF(OFFSET('IWP17'!Std7PayrollEmploymentRequirements, 2, 7, 1, 1) = 0, "", OFFSET('IWP17'!Std7PayrollEmploymentRequirements, 2, 7, 1, 1))</f>
        <v/>
      </c>
      <c r="H1492" s="195" t="str">
        <f ca="1">IF(OFFSET('IWP17'!Std7PayrollEmploymentRequirements, 2, 9, 1, 1) = 0, "", OFFSET('IWP17'!Std7PayrollEmploymentRequirements, 2, 9, 1, 1))</f>
        <v/>
      </c>
      <c r="I1492" s="194" t="str">
        <f ca="1">IF(OFFSET('IWP17'!Std7PayrollEmploymentRequirements, 2, 11, 1, 1) = 0, "", OFFSET('IWP17'!Std7PayrollEmploymentRequirements, 2, 11, 1, 1))</f>
        <v/>
      </c>
    </row>
    <row r="1493" spans="1:9" s="146" customFormat="1">
      <c r="A1493" s="183" t="s">
        <v>515</v>
      </c>
      <c r="B1493" s="195" t="str">
        <f ca="1">IF(OFFSET('IWP17'!Std7PayrollEmploymentRequirements, 3, 0, 1, 1) = 0, "", OFFSET('IWP17'!Std7PayrollEmploymentRequirements, 3, 0, 1, 1))</f>
        <v/>
      </c>
      <c r="C1493" s="195" t="str">
        <f ca="1">IF(OFFSET('IWP17'!Std7PayrollEmploymentRequirements, 3, 2, 1, 1) = 0, "", OFFSET('IWP17'!Std7PayrollEmploymentRequirements, 3, 2, 1, 1))</f>
        <v/>
      </c>
      <c r="D1493" s="172">
        <f ca="1">IF(OFFSET('IWP17'!Std7PayrollEmploymentRequirements, 3, 4, 1, 1)=DATE(1900,1,0), DATE(1900,1,1), OFFSET('IWP17'!Std7PayrollEmploymentRequirements, 3, 4, 1, 1))</f>
        <v>1</v>
      </c>
      <c r="E1493" s="195" t="str">
        <f ca="1">IF(OFFSET('IWP17'!Std7PayrollEmploymentRequirements, 3, 5, 1, 1) = 0, "", OFFSET('IWP17'!Std7PayrollEmploymentRequirements, 3, 5, 1, 1))</f>
        <v/>
      </c>
      <c r="F1493" s="195" t="str">
        <f ca="1">IF(OFFSET('IWP17'!Std7PayrollEmploymentRequirements, 3, 6, 1, 1) = 0, "", OFFSET('IWP17'!Std7PayrollEmploymentRequirements, 3, 6, 1, 1))</f>
        <v/>
      </c>
      <c r="G1493" s="195" t="str">
        <f ca="1">IF(OFFSET('IWP17'!Std7PayrollEmploymentRequirements, 3, 7, 1, 1) = 0, "", OFFSET('IWP17'!Std7PayrollEmploymentRequirements, 3, 7, 1, 1))</f>
        <v/>
      </c>
      <c r="H1493" s="195" t="str">
        <f ca="1">IF(OFFSET('IWP17'!Std7PayrollEmploymentRequirements, 3, 9, 1, 1) = 0, "", OFFSET('IWP17'!Std7PayrollEmploymentRequirements, 3, 9, 1, 1))</f>
        <v/>
      </c>
      <c r="I1493" s="194" t="str">
        <f ca="1">IF(OFFSET('IWP17'!Std7PayrollEmploymentRequirements, 3, 11, 1, 1) = 0, "", OFFSET('IWP17'!Std7PayrollEmploymentRequirements, 3, 11, 1, 1))</f>
        <v/>
      </c>
    </row>
    <row r="1494" spans="1:9" s="146" customFormat="1">
      <c r="A1494" s="183" t="s">
        <v>515</v>
      </c>
      <c r="B1494" s="195" t="str">
        <f ca="1">IF(OFFSET('IWP17'!Std7PayrollEmploymentRequirements, 4, 0, 1, 1) = 0, "", OFFSET('IWP17'!Std7PayrollEmploymentRequirements, 4, 0, 1, 1))</f>
        <v/>
      </c>
      <c r="C1494" s="195" t="str">
        <f ca="1">IF(OFFSET('IWP17'!Std7PayrollEmploymentRequirements, 4, 2, 1, 1) = 0, "", OFFSET('IWP17'!Std7PayrollEmploymentRequirements, 4, 2, 1, 1))</f>
        <v/>
      </c>
      <c r="D1494" s="172">
        <f ca="1">IF(OFFSET('IWP17'!Std7PayrollEmploymentRequirements, 4, 4, 1, 1)=DATE(1900,1,0), DATE(1900,1,1), OFFSET('IWP17'!Std7PayrollEmploymentRequirements, 4, 4, 1, 1))</f>
        <v>1</v>
      </c>
      <c r="E1494" s="195" t="str">
        <f ca="1">IF(OFFSET('IWP17'!Std7PayrollEmploymentRequirements, 4, 5, 1, 1) = 0, "", OFFSET('IWP17'!Std7PayrollEmploymentRequirements, 4, 5, 1, 1))</f>
        <v/>
      </c>
      <c r="F1494" s="195" t="str">
        <f ca="1">IF(OFFSET('IWP17'!Std7PayrollEmploymentRequirements, 4, 6, 1, 1) = 0, "", OFFSET('IWP17'!Std7PayrollEmploymentRequirements, 4, 6, 1, 1))</f>
        <v/>
      </c>
      <c r="G1494" s="195" t="str">
        <f ca="1">IF(OFFSET('IWP17'!Std7PayrollEmploymentRequirements, 4, 7, 1, 1) = 0, "", OFFSET('IWP17'!Std7PayrollEmploymentRequirements, 4, 7, 1, 1))</f>
        <v/>
      </c>
      <c r="H1494" s="195" t="str">
        <f ca="1">IF(OFFSET('IWP17'!Std7PayrollEmploymentRequirements, 4, 9, 1, 1) = 0, "", OFFSET('IWP17'!Std7PayrollEmploymentRequirements, 4, 9, 1, 1))</f>
        <v/>
      </c>
      <c r="I1494" s="194" t="str">
        <f ca="1">IF(OFFSET('IWP17'!Std7PayrollEmploymentRequirements, 4, 11, 1, 1) = 0, "", OFFSET('IWP17'!Std7PayrollEmploymentRequirements, 4, 11, 1, 1))</f>
        <v/>
      </c>
    </row>
    <row r="1495" spans="1:9" s="146" customFormat="1">
      <c r="A1495" s="183" t="s">
        <v>515</v>
      </c>
      <c r="B1495" s="195" t="str">
        <f ca="1">IF(OFFSET('IWP17'!Std7PayrollEmploymentRequirements, 5, 0, 1, 1) = 0, "", OFFSET('IWP17'!Std7PayrollEmploymentRequirements, 5, 0, 1, 1))</f>
        <v/>
      </c>
      <c r="C1495" s="195" t="str">
        <f ca="1">IF(OFFSET('IWP17'!Std7PayrollEmploymentRequirements, 5, 2, 1, 1) = 0, "", OFFSET('IWP17'!Std7PayrollEmploymentRequirements, 5, 2, 1, 1))</f>
        <v/>
      </c>
      <c r="D1495" s="172">
        <f ca="1">IF(OFFSET('IWP17'!Std7PayrollEmploymentRequirements, 5, 4, 1, 1)=DATE(1900,1,0), DATE(1900,1,1), OFFSET('IWP17'!Std7PayrollEmploymentRequirements, 5, 4, 1, 1))</f>
        <v>1</v>
      </c>
      <c r="E1495" s="195" t="str">
        <f ca="1">IF(OFFSET('IWP17'!Std7PayrollEmploymentRequirements, 5, 5, 1, 1) = 0, "", OFFSET('IWP17'!Std7PayrollEmploymentRequirements, 5, 5, 1, 1))</f>
        <v/>
      </c>
      <c r="F1495" s="195" t="str">
        <f ca="1">IF(OFFSET('IWP17'!Std7PayrollEmploymentRequirements, 5, 6, 1, 1) = 0, "", OFFSET('IWP17'!Std7PayrollEmploymentRequirements, 5, 6, 1, 1))</f>
        <v/>
      </c>
      <c r="G1495" s="195" t="str">
        <f ca="1">IF(OFFSET('IWP17'!Std7PayrollEmploymentRequirements, 5, 7, 1, 1) = 0, "", OFFSET('IWP17'!Std7PayrollEmploymentRequirements, 5, 7, 1, 1))</f>
        <v/>
      </c>
      <c r="H1495" s="195" t="str">
        <f ca="1">IF(OFFSET('IWP17'!Std7PayrollEmploymentRequirements, 5, 9, 1, 1) = 0, "", OFFSET('IWP17'!Std7PayrollEmploymentRequirements, 5, 9, 1, 1))</f>
        <v/>
      </c>
      <c r="I1495" s="194" t="str">
        <f ca="1">IF(OFFSET('IWP17'!Std7PayrollEmploymentRequirements, 5, 11, 1, 1) = 0, "", OFFSET('IWP17'!Std7PayrollEmploymentRequirements, 5, 11, 1, 1))</f>
        <v/>
      </c>
    </row>
    <row r="1496" spans="1:9" s="146" customFormat="1">
      <c r="A1496" s="183" t="s">
        <v>515</v>
      </c>
      <c r="B1496" s="195" t="str">
        <f ca="1">IF(OFFSET('IWP17'!Std7PayrollEmploymentRequirements, 6, 0, 1, 1) = 0, "", OFFSET('IWP17'!Std7PayrollEmploymentRequirements, 6, 0, 1, 1))</f>
        <v/>
      </c>
      <c r="C1496" s="195" t="str">
        <f ca="1">IF(OFFSET('IWP17'!Std7PayrollEmploymentRequirements, 6, 2, 1, 1) = 0, "", OFFSET('IWP17'!Std7PayrollEmploymentRequirements, 6, 2, 1, 1))</f>
        <v/>
      </c>
      <c r="D1496" s="172">
        <f ca="1">IF(OFFSET('IWP17'!Std7PayrollEmploymentRequirements, 6, 4, 1, 1)=DATE(1900,1,0), DATE(1900,1,1), OFFSET('IWP17'!Std7PayrollEmploymentRequirements, 6, 4, 1, 1))</f>
        <v>1</v>
      </c>
      <c r="E1496" s="195" t="str">
        <f ca="1">IF(OFFSET('IWP17'!Std7PayrollEmploymentRequirements, 6, 5, 1, 1) = 0, "", OFFSET('IWP17'!Std7PayrollEmploymentRequirements, 6, 5, 1, 1))</f>
        <v/>
      </c>
      <c r="F1496" s="195" t="str">
        <f ca="1">IF(OFFSET('IWP17'!Std7PayrollEmploymentRequirements, 6, 6, 1, 1) = 0, "", OFFSET('IWP17'!Std7PayrollEmploymentRequirements, 6, 6, 1, 1))</f>
        <v/>
      </c>
      <c r="G1496" s="195" t="str">
        <f ca="1">IF(OFFSET('IWP17'!Std7PayrollEmploymentRequirements, 6, 7, 1, 1) = 0, "", OFFSET('IWP17'!Std7PayrollEmploymentRequirements, 6, 7, 1, 1))</f>
        <v/>
      </c>
      <c r="H1496" s="195" t="str">
        <f ca="1">IF(OFFSET('IWP17'!Std7PayrollEmploymentRequirements, 6, 9, 1, 1) = 0, "", OFFSET('IWP17'!Std7PayrollEmploymentRequirements, 6, 9, 1, 1))</f>
        <v/>
      </c>
      <c r="I1496" s="194" t="str">
        <f ca="1">IF(OFFSET('IWP17'!Std7PayrollEmploymentRequirements, 6, 11, 1, 1) = 0, "", OFFSET('IWP17'!Std7PayrollEmploymentRequirements, 6, 11, 1, 1))</f>
        <v/>
      </c>
    </row>
    <row r="1497" spans="1:9" s="146" customFormat="1">
      <c r="A1497" s="183" t="s">
        <v>515</v>
      </c>
      <c r="B1497" s="195" t="str">
        <f ca="1">IF(OFFSET('IWP17'!Std7PayrollEmploymentRequirements, 7, 0, 1, 1) = 0, "", OFFSET('IWP17'!Std7PayrollEmploymentRequirements, 7, 0, 1, 1))</f>
        <v/>
      </c>
      <c r="C1497" s="195" t="str">
        <f ca="1">IF(OFFSET('IWP17'!Std7PayrollEmploymentRequirements, 7, 2, 1, 1) = 0, "", OFFSET('IWP17'!Std7PayrollEmploymentRequirements, 7, 2, 1, 1))</f>
        <v/>
      </c>
      <c r="D1497" s="172">
        <f ca="1">IF(OFFSET('IWP17'!Std7PayrollEmploymentRequirements, 7, 4, 1, 1)=DATE(1900,1,0), DATE(1900,1,1), OFFSET('IWP17'!Std7PayrollEmploymentRequirements, 7, 4, 1, 1))</f>
        <v>1</v>
      </c>
      <c r="E1497" s="195" t="str">
        <f ca="1">IF(OFFSET('IWP17'!Std7PayrollEmploymentRequirements, 7, 5, 1, 1) = 0, "", OFFSET('IWP17'!Std7PayrollEmploymentRequirements, 7, 5, 1, 1))</f>
        <v/>
      </c>
      <c r="F1497" s="195" t="str">
        <f ca="1">IF(OFFSET('IWP17'!Std7PayrollEmploymentRequirements, 7, 6, 1, 1) = 0, "", OFFSET('IWP17'!Std7PayrollEmploymentRequirements, 7, 6, 1, 1))</f>
        <v/>
      </c>
      <c r="G1497" s="195" t="str">
        <f ca="1">IF(OFFSET('IWP17'!Std7PayrollEmploymentRequirements, 7, 7, 1, 1) = 0, "", OFFSET('IWP17'!Std7PayrollEmploymentRequirements, 7, 7, 1, 1))</f>
        <v/>
      </c>
      <c r="H1497" s="195" t="str">
        <f ca="1">IF(OFFSET('IWP17'!Std7PayrollEmploymentRequirements, 7, 9, 1, 1) = 0, "", OFFSET('IWP17'!Std7PayrollEmploymentRequirements, 7, 9, 1, 1))</f>
        <v/>
      </c>
      <c r="I1497" s="194" t="str">
        <f ca="1">IF(OFFSET('IWP17'!Std7PayrollEmploymentRequirements, 7, 11, 1, 1) = 0, "", OFFSET('IWP17'!Std7PayrollEmploymentRequirements, 7, 11, 1, 1))</f>
        <v/>
      </c>
    </row>
    <row r="1498" spans="1:9" s="146" customFormat="1">
      <c r="A1498" s="183" t="s">
        <v>515</v>
      </c>
      <c r="B1498" s="195" t="str">
        <f ca="1">IF(OFFSET('IWP17'!Std7PayrollEmploymentRequirements, 8, 0, 1, 1) = 0, "", OFFSET('IWP17'!Std7PayrollEmploymentRequirements, 8, 0, 1, 1))</f>
        <v/>
      </c>
      <c r="C1498" s="195" t="str">
        <f ca="1">IF(OFFSET('IWP17'!Std7PayrollEmploymentRequirements, 8, 2, 1, 1) = 0, "", OFFSET('IWP17'!Std7PayrollEmploymentRequirements, 8, 2, 1, 1))</f>
        <v/>
      </c>
      <c r="D1498" s="172">
        <f ca="1">IF(OFFSET('IWP17'!Std7PayrollEmploymentRequirements, 8, 4, 1, 1)=DATE(1900,1,0), DATE(1900,1,1), OFFSET('IWP17'!Std7PayrollEmploymentRequirements, 8, 4, 1, 1))</f>
        <v>1</v>
      </c>
      <c r="E1498" s="195" t="str">
        <f ca="1">IF(OFFSET('IWP17'!Std7PayrollEmploymentRequirements, 8, 5, 1, 1) = 0, "", OFFSET('IWP17'!Std7PayrollEmploymentRequirements, 8, 5, 1, 1))</f>
        <v/>
      </c>
      <c r="F1498" s="195" t="str">
        <f ca="1">IF(OFFSET('IWP17'!Std7PayrollEmploymentRequirements, 8, 6, 1, 1) = 0, "", OFFSET('IWP17'!Std7PayrollEmploymentRequirements, 8, 6, 1, 1))</f>
        <v/>
      </c>
      <c r="G1498" s="195" t="str">
        <f ca="1">IF(OFFSET('IWP17'!Std7PayrollEmploymentRequirements, 8, 7, 1, 1) = 0, "", OFFSET('IWP17'!Std7PayrollEmploymentRequirements, 8, 7, 1, 1))</f>
        <v/>
      </c>
      <c r="H1498" s="195" t="str">
        <f ca="1">IF(OFFSET('IWP17'!Std7PayrollEmploymentRequirements, 8, 9, 1, 1) = 0, "", OFFSET('IWP17'!Std7PayrollEmploymentRequirements, 8, 9, 1, 1))</f>
        <v/>
      </c>
      <c r="I1498" s="194" t="str">
        <f ca="1">IF(OFFSET('IWP17'!Std7PayrollEmploymentRequirements, 8, 11, 1, 1) = 0, "", OFFSET('IWP17'!Std7PayrollEmploymentRequirements, 8, 11, 1, 1))</f>
        <v/>
      </c>
    </row>
    <row r="1499" spans="1:9" s="146" customFormat="1">
      <c r="A1499" s="183" t="s">
        <v>515</v>
      </c>
      <c r="B1499" s="195" t="str">
        <f ca="1">IF(OFFSET('IWP17'!Std7PayrollEmploymentRequirements, 9, 0, 1, 1) = 0, "", OFFSET('IWP17'!Std7PayrollEmploymentRequirements, 9, 0, 1, 1))</f>
        <v/>
      </c>
      <c r="C1499" s="195" t="str">
        <f ca="1">IF(OFFSET('IWP17'!Std7PayrollEmploymentRequirements, 9, 2, 1, 1) = 0, "", OFFSET('IWP17'!Std7PayrollEmploymentRequirements, 9, 2, 1, 1))</f>
        <v/>
      </c>
      <c r="D1499" s="172">
        <f ca="1">IF(OFFSET('IWP17'!Std7PayrollEmploymentRequirements, 9, 4, 1, 1)=DATE(1900,1,0), DATE(1900,1,1), OFFSET('IWP17'!Std7PayrollEmploymentRequirements, 9, 4, 1, 1))</f>
        <v>1</v>
      </c>
      <c r="E1499" s="195" t="str">
        <f ca="1">IF(OFFSET('IWP17'!Std7PayrollEmploymentRequirements, 9, 5, 1, 1) = 0, "", OFFSET('IWP17'!Std7PayrollEmploymentRequirements, 9, 5, 1, 1))</f>
        <v/>
      </c>
      <c r="F1499" s="195" t="str">
        <f ca="1">IF(OFFSET('IWP17'!Std7PayrollEmploymentRequirements, 9, 6, 1, 1) = 0, "", OFFSET('IWP17'!Std7PayrollEmploymentRequirements, 9, 6, 1, 1))</f>
        <v/>
      </c>
      <c r="G1499" s="195" t="str">
        <f ca="1">IF(OFFSET('IWP17'!Std7PayrollEmploymentRequirements, 9, 7, 1, 1) = 0, "", OFFSET('IWP17'!Std7PayrollEmploymentRequirements, 9, 7, 1, 1))</f>
        <v/>
      </c>
      <c r="H1499" s="195" t="str">
        <f ca="1">IF(OFFSET('IWP17'!Std7PayrollEmploymentRequirements, 9, 9, 1, 1) = 0, "", OFFSET('IWP17'!Std7PayrollEmploymentRequirements, 9, 9, 1, 1))</f>
        <v/>
      </c>
      <c r="I1499" s="194" t="str">
        <f ca="1">IF(OFFSET('IWP17'!Std7PayrollEmploymentRequirements, 9, 11, 1, 1) = 0, "", OFFSET('IWP17'!Std7PayrollEmploymentRequirements, 9, 11, 1, 1))</f>
        <v/>
      </c>
    </row>
    <row r="1500" spans="1:9" s="146" customFormat="1">
      <c r="A1500" s="183" t="s">
        <v>515</v>
      </c>
      <c r="B1500" s="195" t="str">
        <f ca="1">IF(OFFSET('IWP17'!Std7PayrollEmploymentRequirements, 10, 0, 1, 1) = 0, "", OFFSET('IWP17'!Std7PayrollEmploymentRequirements, 10, 0, 1, 1))</f>
        <v/>
      </c>
      <c r="C1500" s="195" t="str">
        <f ca="1">IF(OFFSET('IWP17'!Std7PayrollEmploymentRequirements, 10, 2, 1, 1) = 0, "", OFFSET('IWP17'!Std7PayrollEmploymentRequirements, 10, 2, 1, 1))</f>
        <v/>
      </c>
      <c r="D1500" s="172">
        <f ca="1">IF(OFFSET('IWP17'!Std7PayrollEmploymentRequirements, 10, 4, 1, 1)=DATE(1900,1,0), DATE(1900,1,1), OFFSET('IWP17'!Std7PayrollEmploymentRequirements, 10, 4, 1, 1))</f>
        <v>1</v>
      </c>
      <c r="E1500" s="195" t="str">
        <f ca="1">IF(OFFSET('IWP17'!Std7PayrollEmploymentRequirements, 10, 5, 1, 1) = 0, "", OFFSET('IWP17'!Std7PayrollEmploymentRequirements, 10, 5, 1, 1))</f>
        <v/>
      </c>
      <c r="F1500" s="195" t="str">
        <f ca="1">IF(OFFSET('IWP17'!Std7PayrollEmploymentRequirements, 10, 6, 1, 1) = 0, "", OFFSET('IWP17'!Std7PayrollEmploymentRequirements, 10, 6, 1, 1))</f>
        <v/>
      </c>
      <c r="G1500" s="195" t="str">
        <f ca="1">IF(OFFSET('IWP17'!Std7PayrollEmploymentRequirements, 10, 7, 1, 1) = 0, "", OFFSET('IWP17'!Std7PayrollEmploymentRequirements, 10, 7, 1, 1))</f>
        <v/>
      </c>
      <c r="H1500" s="195" t="str">
        <f ca="1">IF(OFFSET('IWP17'!Std7PayrollEmploymentRequirements, 10, 9, 1, 1) = 0, "", OFFSET('IWP17'!Std7PayrollEmploymentRequirements, 10, 9, 1, 1))</f>
        <v/>
      </c>
      <c r="I1500" s="194" t="str">
        <f ca="1">IF(OFFSET('IWP17'!Std7PayrollEmploymentRequirements, 10, 11, 1, 1) = 0, "", OFFSET('IWP17'!Std7PayrollEmploymentRequirements, 10, 11, 1, 1))</f>
        <v/>
      </c>
    </row>
    <row r="1501" spans="1:9" s="146" customFormat="1">
      <c r="A1501" s="183" t="s">
        <v>515</v>
      </c>
      <c r="B1501" s="195" t="str">
        <f ca="1">IF(OFFSET('IWP17'!Std7PayrollEmploymentRequirements, 11, 0, 1, 1) = 0, "", OFFSET('IWP17'!Std7PayrollEmploymentRequirements, 11, 0, 1, 1))</f>
        <v/>
      </c>
      <c r="C1501" s="195" t="str">
        <f ca="1">IF(OFFSET('IWP17'!Std7PayrollEmploymentRequirements, 11, 2, 1, 1) = 0, "", OFFSET('IWP17'!Std7PayrollEmploymentRequirements, 11, 2, 1, 1))</f>
        <v/>
      </c>
      <c r="D1501" s="172">
        <f ca="1">IF(OFFSET('IWP17'!Std7PayrollEmploymentRequirements, 11, 4, 1, 1)=DATE(1900,1,0), DATE(1900,1,1), OFFSET('IWP17'!Std7PayrollEmploymentRequirements, 11, 4, 1, 1))</f>
        <v>1</v>
      </c>
      <c r="E1501" s="195" t="str">
        <f ca="1">IF(OFFSET('IWP17'!Std7PayrollEmploymentRequirements, 11, 5, 1, 1) = 0, "", OFFSET('IWP17'!Std7PayrollEmploymentRequirements, 11, 5, 1, 1))</f>
        <v/>
      </c>
      <c r="F1501" s="195" t="str">
        <f ca="1">IF(OFFSET('IWP17'!Std7PayrollEmploymentRequirements, 11, 6, 1, 1) = 0, "", OFFSET('IWP17'!Std7PayrollEmploymentRequirements, 11, 6, 1, 1))</f>
        <v/>
      </c>
      <c r="G1501" s="195" t="str">
        <f ca="1">IF(OFFSET('IWP17'!Std7PayrollEmploymentRequirements, 11, 7, 1, 1) = 0, "", OFFSET('IWP17'!Std7PayrollEmploymentRequirements, 11, 7, 1, 1))</f>
        <v/>
      </c>
      <c r="H1501" s="195" t="str">
        <f ca="1">IF(OFFSET('IWP17'!Std7PayrollEmploymentRequirements, 11, 9, 1, 1) = 0, "", OFFSET('IWP17'!Std7PayrollEmploymentRequirements, 11, 9, 1, 1))</f>
        <v/>
      </c>
      <c r="I1501" s="194" t="str">
        <f ca="1">IF(OFFSET('IWP17'!Std7PayrollEmploymentRequirements, 11, 11, 1, 1) = 0, "", OFFSET('IWP17'!Std7PayrollEmploymentRequirements, 11, 11, 1, 1))</f>
        <v/>
      </c>
    </row>
    <row r="1502" spans="1:9" s="146" customFormat="1">
      <c r="A1502" s="183" t="s">
        <v>515</v>
      </c>
      <c r="B1502" s="195" t="str">
        <f ca="1">IF(OFFSET('IWP17'!Std7PayrollEmploymentRequirements, 12, 0, 1, 1) = 0, "", OFFSET('IWP17'!Std7PayrollEmploymentRequirements, 12, 0, 1, 1))</f>
        <v/>
      </c>
      <c r="C1502" s="195" t="str">
        <f ca="1">IF(OFFSET('IWP17'!Std7PayrollEmploymentRequirements, 12, 2, 1, 1) = 0, "", OFFSET('IWP17'!Std7PayrollEmploymentRequirements, 12, 2, 1, 1))</f>
        <v/>
      </c>
      <c r="D1502" s="172">
        <f ca="1">IF(OFFSET('IWP17'!Std7PayrollEmploymentRequirements, 12, 4, 1, 1)=DATE(1900,1,0), DATE(1900,1,1), OFFSET('IWP17'!Std7PayrollEmploymentRequirements, 12, 4, 1, 1))</f>
        <v>1</v>
      </c>
      <c r="E1502" s="195" t="str">
        <f ca="1">IF(OFFSET('IWP17'!Std7PayrollEmploymentRequirements, 12, 5, 1, 1) = 0, "", OFFSET('IWP17'!Std7PayrollEmploymentRequirements, 12, 5, 1, 1))</f>
        <v/>
      </c>
      <c r="F1502" s="195" t="str">
        <f ca="1">IF(OFFSET('IWP17'!Std7PayrollEmploymentRequirements, 12, 6, 1, 1) = 0, "", OFFSET('IWP17'!Std7PayrollEmploymentRequirements, 12, 6, 1, 1))</f>
        <v/>
      </c>
      <c r="G1502" s="195" t="str">
        <f ca="1">IF(OFFSET('IWP17'!Std7PayrollEmploymentRequirements, 12, 7, 1, 1) = 0, "", OFFSET('IWP17'!Std7PayrollEmploymentRequirements, 12, 7, 1, 1))</f>
        <v/>
      </c>
      <c r="H1502" s="195" t="str">
        <f ca="1">IF(OFFSET('IWP17'!Std7PayrollEmploymentRequirements, 12, 9, 1, 1) = 0, "", OFFSET('IWP17'!Std7PayrollEmploymentRequirements, 12, 9, 1, 1))</f>
        <v/>
      </c>
      <c r="I1502" s="194" t="str">
        <f ca="1">IF(OFFSET('IWP17'!Std7PayrollEmploymentRequirements, 12, 11, 1, 1) = 0, "", OFFSET('IWP17'!Std7PayrollEmploymentRequirements, 12, 11, 1, 1))</f>
        <v/>
      </c>
    </row>
    <row r="1503" spans="1:9" s="146" customFormat="1">
      <c r="A1503" s="183" t="s">
        <v>515</v>
      </c>
      <c r="B1503" s="195" t="str">
        <f ca="1">IF(OFFSET('IWP17'!Std7PayrollEmploymentRequirements, 13, 0, 1, 1) = 0, "", OFFSET('IWP17'!Std7PayrollEmploymentRequirements, 13, 0, 1, 1))</f>
        <v/>
      </c>
      <c r="C1503" s="195" t="str">
        <f ca="1">IF(OFFSET('IWP17'!Std7PayrollEmploymentRequirements, 13, 2, 1, 1) = 0, "", OFFSET('IWP17'!Std7PayrollEmploymentRequirements, 13, 2, 1, 1))</f>
        <v/>
      </c>
      <c r="D1503" s="172">
        <f ca="1">IF(OFFSET('IWP17'!Std7PayrollEmploymentRequirements, 13, 4, 1, 1)=DATE(1900,1,0), DATE(1900,1,1), OFFSET('IWP17'!Std7PayrollEmploymentRequirements, 13, 4, 1, 1))</f>
        <v>1</v>
      </c>
      <c r="E1503" s="195" t="str">
        <f ca="1">IF(OFFSET('IWP17'!Std7PayrollEmploymentRequirements, 13, 5, 1, 1) = 0, "", OFFSET('IWP17'!Std7PayrollEmploymentRequirements, 13, 5, 1, 1))</f>
        <v/>
      </c>
      <c r="F1503" s="195" t="str">
        <f ca="1">IF(OFFSET('IWP17'!Std7PayrollEmploymentRequirements, 13, 6, 1, 1) = 0, "", OFFSET('IWP17'!Std7PayrollEmploymentRequirements, 13, 6, 1, 1))</f>
        <v/>
      </c>
      <c r="G1503" s="195" t="str">
        <f ca="1">IF(OFFSET('IWP17'!Std7PayrollEmploymentRequirements, 13, 7, 1, 1) = 0, "", OFFSET('IWP17'!Std7PayrollEmploymentRequirements, 13, 7, 1, 1))</f>
        <v/>
      </c>
      <c r="H1503" s="195" t="str">
        <f ca="1">IF(OFFSET('IWP17'!Std7PayrollEmploymentRequirements, 13, 9, 1, 1) = 0, "", OFFSET('IWP17'!Std7PayrollEmploymentRequirements, 13, 9, 1, 1))</f>
        <v/>
      </c>
      <c r="I1503" s="194" t="str">
        <f ca="1">IF(OFFSET('IWP17'!Std7PayrollEmploymentRequirements, 13, 11, 1, 1) = 0, "", OFFSET('IWP17'!Std7PayrollEmploymentRequirements, 13, 11, 1, 1))</f>
        <v/>
      </c>
    </row>
    <row r="1504" spans="1:9" s="146" customFormat="1">
      <c r="A1504" s="183" t="s">
        <v>515</v>
      </c>
      <c r="B1504" s="195" t="str">
        <f ca="1">IF(OFFSET('IWP17'!Std7PayrollEmploymentRequirements, 14, 0, 1, 1) = 0, "", OFFSET('IWP17'!Std7PayrollEmploymentRequirements, 14, 0, 1, 1))</f>
        <v/>
      </c>
      <c r="C1504" s="195" t="str">
        <f ca="1">IF(OFFSET('IWP17'!Std7PayrollEmploymentRequirements, 14, 2, 1, 1) = 0, "", OFFSET('IWP17'!Std7PayrollEmploymentRequirements, 14, 2, 1, 1))</f>
        <v/>
      </c>
      <c r="D1504" s="172">
        <f ca="1">IF(OFFSET('IWP17'!Std7PayrollEmploymentRequirements, 14, 4, 1, 1)=DATE(1900,1,0), DATE(1900,1,1), OFFSET('IWP17'!Std7PayrollEmploymentRequirements, 14, 4, 1, 1))</f>
        <v>1</v>
      </c>
      <c r="E1504" s="195" t="str">
        <f ca="1">IF(OFFSET('IWP17'!Std7PayrollEmploymentRequirements, 14, 5, 1, 1) = 0, "", OFFSET('IWP17'!Std7PayrollEmploymentRequirements, 14, 5, 1, 1))</f>
        <v/>
      </c>
      <c r="F1504" s="195" t="str">
        <f ca="1">IF(OFFSET('IWP17'!Std7PayrollEmploymentRequirements, 14, 6, 1, 1) = 0, "", OFFSET('IWP17'!Std7PayrollEmploymentRequirements, 14, 6, 1, 1))</f>
        <v/>
      </c>
      <c r="G1504" s="195" t="str">
        <f ca="1">IF(OFFSET('IWP17'!Std7PayrollEmploymentRequirements, 14, 7, 1, 1) = 0, "", OFFSET('IWP17'!Std7PayrollEmploymentRequirements, 14, 7, 1, 1))</f>
        <v/>
      </c>
      <c r="H1504" s="195" t="str">
        <f ca="1">IF(OFFSET('IWP17'!Std7PayrollEmploymentRequirements, 14, 9, 1, 1) = 0, "", OFFSET('IWP17'!Std7PayrollEmploymentRequirements, 14, 9, 1, 1))</f>
        <v/>
      </c>
      <c r="I1504" s="194" t="str">
        <f ca="1">IF(OFFSET('IWP17'!Std7PayrollEmploymentRequirements, 14, 11, 1, 1) = 0, "", OFFSET('IWP17'!Std7PayrollEmploymentRequirements, 14, 11, 1, 1))</f>
        <v/>
      </c>
    </row>
    <row r="1505" spans="1:9" s="146" customFormat="1">
      <c r="A1505" s="183" t="s">
        <v>515</v>
      </c>
      <c r="B1505" s="195" t="str">
        <f ca="1">IF(OFFSET('IWP17'!Std7PayrollEmploymentRequirements, 15, 0, 1, 1) = 0, "", OFFSET('IWP17'!Std7PayrollEmploymentRequirements, 15, 0, 1, 1))</f>
        <v/>
      </c>
      <c r="C1505" s="195" t="str">
        <f ca="1">IF(OFFSET('IWP17'!Std7PayrollEmploymentRequirements, 15, 2, 1, 1) = 0, "", OFFSET('IWP17'!Std7PayrollEmploymentRequirements, 15, 2, 1, 1))</f>
        <v/>
      </c>
      <c r="D1505" s="172">
        <f ca="1">IF(OFFSET('IWP17'!Std7PayrollEmploymentRequirements, 15, 4, 1, 1)=DATE(1900,1,0), DATE(1900,1,1), OFFSET('IWP17'!Std7PayrollEmploymentRequirements, 15, 4, 1, 1))</f>
        <v>1</v>
      </c>
      <c r="E1505" s="195" t="str">
        <f ca="1">IF(OFFSET('IWP17'!Std7PayrollEmploymentRequirements, 15, 5, 1, 1) = 0, "", OFFSET('IWP17'!Std7PayrollEmploymentRequirements, 15, 5, 1, 1))</f>
        <v/>
      </c>
      <c r="F1505" s="195" t="str">
        <f ca="1">IF(OFFSET('IWP17'!Std7PayrollEmploymentRequirements, 15, 6, 1, 1) = 0, "", OFFSET('IWP17'!Std7PayrollEmploymentRequirements, 15, 6, 1, 1))</f>
        <v/>
      </c>
      <c r="G1505" s="195" t="str">
        <f ca="1">IF(OFFSET('IWP17'!Std7PayrollEmploymentRequirements, 15, 7, 1, 1) = 0, "", OFFSET('IWP17'!Std7PayrollEmploymentRequirements, 15, 7, 1, 1))</f>
        <v/>
      </c>
      <c r="H1505" s="195" t="str">
        <f ca="1">IF(OFFSET('IWP17'!Std7PayrollEmploymentRequirements, 15, 9, 1, 1) = 0, "", OFFSET('IWP17'!Std7PayrollEmploymentRequirements, 15, 9, 1, 1))</f>
        <v/>
      </c>
      <c r="I1505" s="194" t="str">
        <f ca="1">IF(OFFSET('IWP17'!Std7PayrollEmploymentRequirements, 15, 11, 1, 1) = 0, "", OFFSET('IWP17'!Std7PayrollEmploymentRequirements, 15, 11, 1, 1))</f>
        <v/>
      </c>
    </row>
    <row r="1506" spans="1:9" s="146" customFormat="1">
      <c r="A1506" s="183" t="s">
        <v>516</v>
      </c>
      <c r="B1506" s="195" t="str">
        <f ca="1">IF(OFFSET('IWP18'!Std7PayrollEmploymentRequirements, 0, 0, 1, 1) = 0, "", OFFSET('IWP18'!Std7PayrollEmploymentRequirements, 0, 0, 1, 1))</f>
        <v/>
      </c>
      <c r="C1506" s="195" t="str">
        <f ca="1">IF(OFFSET('IWP18'!Std7PayrollEmploymentRequirements, 0, 2, 1, 1) = 0, "", OFFSET('IWP18'!Std7PayrollEmploymentRequirements, 0, 2, 1, 1))</f>
        <v/>
      </c>
      <c r="D1506" s="172">
        <f ca="1">IF(OFFSET('IWP18'!Std7PayrollEmploymentRequirements, 0, 4, 1, 1)=DATE(1900,1,0), DATE(1900,1,1), OFFSET('IWP18'!Std7PayrollEmploymentRequirements, 0, 4, 1, 1))</f>
        <v>1</v>
      </c>
      <c r="E1506" s="195" t="str">
        <f ca="1">IF(OFFSET('IWP18'!Std7PayrollEmploymentRequirements, 0, 5, 1, 1) = 0, "", OFFSET('IWP18'!Std7PayrollEmploymentRequirements, 0, 5, 1, 1))</f>
        <v/>
      </c>
      <c r="F1506" s="195" t="str">
        <f ca="1">IF(OFFSET('IWP18'!Std7PayrollEmploymentRequirements, 0, 6, 1, 1) = 0, "", OFFSET('IWP18'!Std7PayrollEmploymentRequirements, 0, 6, 1, 1))</f>
        <v/>
      </c>
      <c r="G1506" s="195" t="str">
        <f ca="1">IF(OFFSET('IWP18'!Std7PayrollEmploymentRequirements, 0, 7, 1, 1) = 0, "", OFFSET('IWP18'!Std7PayrollEmploymentRequirements, 0, 7, 1, 1))</f>
        <v/>
      </c>
      <c r="H1506" s="195" t="str">
        <f ca="1">IF(OFFSET('IWP18'!Std7PayrollEmploymentRequirements, 0, 9, 1, 1) = 0, "", OFFSET('IWP18'!Std7PayrollEmploymentRequirements, 0, 9, 1, 1))</f>
        <v/>
      </c>
      <c r="I1506" s="194" t="str">
        <f ca="1">IF(OFFSET('IWP18'!Std7PayrollEmploymentRequirements, 0, 11, 1, 1) = 0, "", OFFSET('IWP18'!Std7PayrollEmploymentRequirements, 0, 11, 1, 1))</f>
        <v/>
      </c>
    </row>
    <row r="1507" spans="1:9" s="146" customFormat="1">
      <c r="A1507" s="183" t="s">
        <v>516</v>
      </c>
      <c r="B1507" s="195" t="str">
        <f ca="1">IF(OFFSET('IWP18'!Std7PayrollEmploymentRequirements, 1, 0, 1, 1) = 0, "", OFFSET('IWP18'!Std7PayrollEmploymentRequirements, 1, 0, 1, 1))</f>
        <v/>
      </c>
      <c r="C1507" s="195" t="str">
        <f ca="1">IF(OFFSET('IWP18'!Std7PayrollEmploymentRequirements, 1, 2, 1, 1) = 0, "", OFFSET('IWP18'!Std7PayrollEmploymentRequirements, 1, 2, 1, 1))</f>
        <v/>
      </c>
      <c r="D1507" s="172">
        <f ca="1">IF(OFFSET('IWP18'!Std7PayrollEmploymentRequirements, 1, 4, 1, 1)=DATE(1900,1,0), DATE(1900,1,1), OFFSET('IWP18'!Std7PayrollEmploymentRequirements, 1, 4, 1, 1))</f>
        <v>1</v>
      </c>
      <c r="E1507" s="195" t="str">
        <f ca="1">IF(OFFSET('IWP18'!Std7PayrollEmploymentRequirements, 1, 5, 1, 1) = 0, "", OFFSET('IWP18'!Std7PayrollEmploymentRequirements, 1, 5, 1, 1))</f>
        <v/>
      </c>
      <c r="F1507" s="195" t="str">
        <f ca="1">IF(OFFSET('IWP18'!Std7PayrollEmploymentRequirements, 1, 6, 1, 1) = 0, "", OFFSET('IWP18'!Std7PayrollEmploymentRequirements, 1, 6, 1, 1))</f>
        <v/>
      </c>
      <c r="G1507" s="195" t="str">
        <f ca="1">IF(OFFSET('IWP18'!Std7PayrollEmploymentRequirements, 1, 7, 1, 1) = 0, "", OFFSET('IWP18'!Std7PayrollEmploymentRequirements, 1, 7, 1, 1))</f>
        <v/>
      </c>
      <c r="H1507" s="195" t="str">
        <f ca="1">IF(OFFSET('IWP18'!Std7PayrollEmploymentRequirements, 1, 9, 1, 1) = 0, "", OFFSET('IWP18'!Std7PayrollEmploymentRequirements, 1, 9, 1, 1))</f>
        <v/>
      </c>
      <c r="I1507" s="194" t="str">
        <f ca="1">IF(OFFSET('IWP18'!Std7PayrollEmploymentRequirements, 1, 11, 1, 1) = 0, "", OFFSET('IWP18'!Std7PayrollEmploymentRequirements, 1, 11, 1, 1))</f>
        <v/>
      </c>
    </row>
    <row r="1508" spans="1:9" s="146" customFormat="1">
      <c r="A1508" s="183" t="s">
        <v>516</v>
      </c>
      <c r="B1508" s="195" t="str">
        <f ca="1">IF(OFFSET('IWP18'!Std7PayrollEmploymentRequirements, 2, 0, 1, 1) = 0, "", OFFSET('IWP18'!Std7PayrollEmploymentRequirements, 2, 0, 1, 1))</f>
        <v/>
      </c>
      <c r="C1508" s="195" t="str">
        <f ca="1">IF(OFFSET('IWP18'!Std7PayrollEmploymentRequirements, 2, 2, 1, 1) = 0, "", OFFSET('IWP18'!Std7PayrollEmploymentRequirements, 2, 2, 1, 1))</f>
        <v/>
      </c>
      <c r="D1508" s="172">
        <f ca="1">IF(OFFSET('IWP18'!Std7PayrollEmploymentRequirements, 2, 4, 1, 1)=DATE(1900,1,0), DATE(1900,1,1), OFFSET('IWP18'!Std7PayrollEmploymentRequirements, 2, 4, 1, 1))</f>
        <v>1</v>
      </c>
      <c r="E1508" s="195" t="str">
        <f ca="1">IF(OFFSET('IWP18'!Std7PayrollEmploymentRequirements, 2, 5, 1, 1) = 0, "", OFFSET('IWP18'!Std7PayrollEmploymentRequirements, 2, 5, 1, 1))</f>
        <v/>
      </c>
      <c r="F1508" s="195" t="str">
        <f ca="1">IF(OFFSET('IWP18'!Std7PayrollEmploymentRequirements, 2, 6, 1, 1) = 0, "", OFFSET('IWP18'!Std7PayrollEmploymentRequirements, 2, 6, 1, 1))</f>
        <v/>
      </c>
      <c r="G1508" s="195" t="str">
        <f ca="1">IF(OFFSET('IWP18'!Std7PayrollEmploymentRequirements, 2, 7, 1, 1) = 0, "", OFFSET('IWP18'!Std7PayrollEmploymentRequirements, 2, 7, 1, 1))</f>
        <v/>
      </c>
      <c r="H1508" s="195" t="str">
        <f ca="1">IF(OFFSET('IWP18'!Std7PayrollEmploymentRequirements, 2, 9, 1, 1) = 0, "", OFFSET('IWP18'!Std7PayrollEmploymentRequirements, 2, 9, 1, 1))</f>
        <v/>
      </c>
      <c r="I1508" s="194" t="str">
        <f ca="1">IF(OFFSET('IWP18'!Std7PayrollEmploymentRequirements, 2, 11, 1, 1) = 0, "", OFFSET('IWP18'!Std7PayrollEmploymentRequirements, 2, 11, 1, 1))</f>
        <v/>
      </c>
    </row>
    <row r="1509" spans="1:9" s="146" customFormat="1">
      <c r="A1509" s="183" t="s">
        <v>516</v>
      </c>
      <c r="B1509" s="195" t="str">
        <f ca="1">IF(OFFSET('IWP18'!Std7PayrollEmploymentRequirements, 3, 0, 1, 1) = 0, "", OFFSET('IWP18'!Std7PayrollEmploymentRequirements, 3, 0, 1, 1))</f>
        <v/>
      </c>
      <c r="C1509" s="195" t="str">
        <f ca="1">IF(OFFSET('IWP18'!Std7PayrollEmploymentRequirements, 3, 2, 1, 1) = 0, "", OFFSET('IWP18'!Std7PayrollEmploymentRequirements, 3, 2, 1, 1))</f>
        <v/>
      </c>
      <c r="D1509" s="172">
        <f ca="1">IF(OFFSET('IWP18'!Std7PayrollEmploymentRequirements, 3, 4, 1, 1)=DATE(1900,1,0), DATE(1900,1,1), OFFSET('IWP18'!Std7PayrollEmploymentRequirements, 3, 4, 1, 1))</f>
        <v>1</v>
      </c>
      <c r="E1509" s="195" t="str">
        <f ca="1">IF(OFFSET('IWP18'!Std7PayrollEmploymentRequirements, 3, 5, 1, 1) = 0, "", OFFSET('IWP18'!Std7PayrollEmploymentRequirements, 3, 5, 1, 1))</f>
        <v/>
      </c>
      <c r="F1509" s="195" t="str">
        <f ca="1">IF(OFFSET('IWP18'!Std7PayrollEmploymentRequirements, 3, 6, 1, 1) = 0, "", OFFSET('IWP18'!Std7PayrollEmploymentRequirements, 3, 6, 1, 1))</f>
        <v/>
      </c>
      <c r="G1509" s="195" t="str">
        <f ca="1">IF(OFFSET('IWP18'!Std7PayrollEmploymentRequirements, 3, 7, 1, 1) = 0, "", OFFSET('IWP18'!Std7PayrollEmploymentRequirements, 3, 7, 1, 1))</f>
        <v/>
      </c>
      <c r="H1509" s="195" t="str">
        <f ca="1">IF(OFFSET('IWP18'!Std7PayrollEmploymentRequirements, 3, 9, 1, 1) = 0, "", OFFSET('IWP18'!Std7PayrollEmploymentRequirements, 3, 9, 1, 1))</f>
        <v/>
      </c>
      <c r="I1509" s="194" t="str">
        <f ca="1">IF(OFFSET('IWP18'!Std7PayrollEmploymentRequirements, 3, 11, 1, 1) = 0, "", OFFSET('IWP18'!Std7PayrollEmploymentRequirements, 3, 11, 1, 1))</f>
        <v/>
      </c>
    </row>
    <row r="1510" spans="1:9" s="146" customFormat="1">
      <c r="A1510" s="183" t="s">
        <v>516</v>
      </c>
      <c r="B1510" s="195" t="str">
        <f ca="1">IF(OFFSET('IWP18'!Std7PayrollEmploymentRequirements, 4, 0, 1, 1) = 0, "", OFFSET('IWP18'!Std7PayrollEmploymentRequirements, 4, 0, 1, 1))</f>
        <v/>
      </c>
      <c r="C1510" s="195" t="str">
        <f ca="1">IF(OFFSET('IWP18'!Std7PayrollEmploymentRequirements, 4, 2, 1, 1) = 0, "", OFFSET('IWP18'!Std7PayrollEmploymentRequirements, 4, 2, 1, 1))</f>
        <v/>
      </c>
      <c r="D1510" s="172">
        <f ca="1">IF(OFFSET('IWP18'!Std7PayrollEmploymentRequirements, 4, 4, 1, 1)=DATE(1900,1,0), DATE(1900,1,1), OFFSET('IWP18'!Std7PayrollEmploymentRequirements, 4, 4, 1, 1))</f>
        <v>1</v>
      </c>
      <c r="E1510" s="195" t="str">
        <f ca="1">IF(OFFSET('IWP18'!Std7PayrollEmploymentRequirements, 4, 5, 1, 1) = 0, "", OFFSET('IWP18'!Std7PayrollEmploymentRequirements, 4, 5, 1, 1))</f>
        <v/>
      </c>
      <c r="F1510" s="195" t="str">
        <f ca="1">IF(OFFSET('IWP18'!Std7PayrollEmploymentRequirements, 4, 6, 1, 1) = 0, "", OFFSET('IWP18'!Std7PayrollEmploymentRequirements, 4, 6, 1, 1))</f>
        <v/>
      </c>
      <c r="G1510" s="195" t="str">
        <f ca="1">IF(OFFSET('IWP18'!Std7PayrollEmploymentRequirements, 4, 7, 1, 1) = 0, "", OFFSET('IWP18'!Std7PayrollEmploymentRequirements, 4, 7, 1, 1))</f>
        <v/>
      </c>
      <c r="H1510" s="195" t="str">
        <f ca="1">IF(OFFSET('IWP18'!Std7PayrollEmploymentRequirements, 4, 9, 1, 1) = 0, "", OFFSET('IWP18'!Std7PayrollEmploymentRequirements, 4, 9, 1, 1))</f>
        <v/>
      </c>
      <c r="I1510" s="194" t="str">
        <f ca="1">IF(OFFSET('IWP18'!Std7PayrollEmploymentRequirements, 4, 11, 1, 1) = 0, "", OFFSET('IWP18'!Std7PayrollEmploymentRequirements, 4, 11, 1, 1))</f>
        <v/>
      </c>
    </row>
    <row r="1511" spans="1:9" s="146" customFormat="1">
      <c r="A1511" s="183" t="s">
        <v>516</v>
      </c>
      <c r="B1511" s="195" t="str">
        <f ca="1">IF(OFFSET('IWP18'!Std7PayrollEmploymentRequirements, 5, 0, 1, 1) = 0, "", OFFSET('IWP18'!Std7PayrollEmploymentRequirements, 5, 0, 1, 1))</f>
        <v/>
      </c>
      <c r="C1511" s="195" t="str">
        <f ca="1">IF(OFFSET('IWP18'!Std7PayrollEmploymentRequirements, 5, 2, 1, 1) = 0, "", OFFSET('IWP18'!Std7PayrollEmploymentRequirements, 5, 2, 1, 1))</f>
        <v/>
      </c>
      <c r="D1511" s="172">
        <f ca="1">IF(OFFSET('IWP18'!Std7PayrollEmploymentRequirements, 5, 4, 1, 1)=DATE(1900,1,0), DATE(1900,1,1), OFFSET('IWP18'!Std7PayrollEmploymentRequirements, 5, 4, 1, 1))</f>
        <v>1</v>
      </c>
      <c r="E1511" s="195" t="str">
        <f ca="1">IF(OFFSET('IWP18'!Std7PayrollEmploymentRequirements, 5, 5, 1, 1) = 0, "", OFFSET('IWP18'!Std7PayrollEmploymentRequirements, 5, 5, 1, 1))</f>
        <v/>
      </c>
      <c r="F1511" s="195" t="str">
        <f ca="1">IF(OFFSET('IWP18'!Std7PayrollEmploymentRequirements, 5, 6, 1, 1) = 0, "", OFFSET('IWP18'!Std7PayrollEmploymentRequirements, 5, 6, 1, 1))</f>
        <v/>
      </c>
      <c r="G1511" s="195" t="str">
        <f ca="1">IF(OFFSET('IWP18'!Std7PayrollEmploymentRequirements, 5, 7, 1, 1) = 0, "", OFFSET('IWP18'!Std7PayrollEmploymentRequirements, 5, 7, 1, 1))</f>
        <v/>
      </c>
      <c r="H1511" s="195" t="str">
        <f ca="1">IF(OFFSET('IWP18'!Std7PayrollEmploymentRequirements, 5, 9, 1, 1) = 0, "", OFFSET('IWP18'!Std7PayrollEmploymentRequirements, 5, 9, 1, 1))</f>
        <v/>
      </c>
      <c r="I1511" s="194" t="str">
        <f ca="1">IF(OFFSET('IWP18'!Std7PayrollEmploymentRequirements, 5, 11, 1, 1) = 0, "", OFFSET('IWP18'!Std7PayrollEmploymentRequirements, 5, 11, 1, 1))</f>
        <v/>
      </c>
    </row>
    <row r="1512" spans="1:9" s="146" customFormat="1">
      <c r="A1512" s="183" t="s">
        <v>516</v>
      </c>
      <c r="B1512" s="195" t="str">
        <f ca="1">IF(OFFSET('IWP18'!Std7PayrollEmploymentRequirements, 6, 0, 1, 1) = 0, "", OFFSET('IWP18'!Std7PayrollEmploymentRequirements, 6, 0, 1, 1))</f>
        <v/>
      </c>
      <c r="C1512" s="195" t="str">
        <f ca="1">IF(OFFSET('IWP18'!Std7PayrollEmploymentRequirements, 6, 2, 1, 1) = 0, "", OFFSET('IWP18'!Std7PayrollEmploymentRequirements, 6, 2, 1, 1))</f>
        <v/>
      </c>
      <c r="D1512" s="172">
        <f ca="1">IF(OFFSET('IWP18'!Std7PayrollEmploymentRequirements, 6, 4, 1, 1)=DATE(1900,1,0), DATE(1900,1,1), OFFSET('IWP18'!Std7PayrollEmploymentRequirements, 6, 4, 1, 1))</f>
        <v>1</v>
      </c>
      <c r="E1512" s="195" t="str">
        <f ca="1">IF(OFFSET('IWP18'!Std7PayrollEmploymentRequirements, 6, 5, 1, 1) = 0, "", OFFSET('IWP18'!Std7PayrollEmploymentRequirements, 6, 5, 1, 1))</f>
        <v/>
      </c>
      <c r="F1512" s="195" t="str">
        <f ca="1">IF(OFFSET('IWP18'!Std7PayrollEmploymentRequirements, 6, 6, 1, 1) = 0, "", OFFSET('IWP18'!Std7PayrollEmploymentRequirements, 6, 6, 1, 1))</f>
        <v/>
      </c>
      <c r="G1512" s="195" t="str">
        <f ca="1">IF(OFFSET('IWP18'!Std7PayrollEmploymentRequirements, 6, 7, 1, 1) = 0, "", OFFSET('IWP18'!Std7PayrollEmploymentRequirements, 6, 7, 1, 1))</f>
        <v/>
      </c>
      <c r="H1512" s="195" t="str">
        <f ca="1">IF(OFFSET('IWP18'!Std7PayrollEmploymentRequirements, 6, 9, 1, 1) = 0, "", OFFSET('IWP18'!Std7PayrollEmploymentRequirements, 6, 9, 1, 1))</f>
        <v/>
      </c>
      <c r="I1512" s="194" t="str">
        <f ca="1">IF(OFFSET('IWP18'!Std7PayrollEmploymentRequirements, 6, 11, 1, 1) = 0, "", OFFSET('IWP18'!Std7PayrollEmploymentRequirements, 6, 11, 1, 1))</f>
        <v/>
      </c>
    </row>
    <row r="1513" spans="1:9" s="146" customFormat="1">
      <c r="A1513" s="183" t="s">
        <v>516</v>
      </c>
      <c r="B1513" s="195" t="str">
        <f ca="1">IF(OFFSET('IWP18'!Std7PayrollEmploymentRequirements, 7, 0, 1, 1) = 0, "", OFFSET('IWP18'!Std7PayrollEmploymentRequirements, 7, 0, 1, 1))</f>
        <v/>
      </c>
      <c r="C1513" s="195" t="str">
        <f ca="1">IF(OFFSET('IWP18'!Std7PayrollEmploymentRequirements, 7, 2, 1, 1) = 0, "", OFFSET('IWP18'!Std7PayrollEmploymentRequirements, 7, 2, 1, 1))</f>
        <v/>
      </c>
      <c r="D1513" s="172">
        <f ca="1">IF(OFFSET('IWP18'!Std7PayrollEmploymentRequirements, 7, 4, 1, 1)=DATE(1900,1,0), DATE(1900,1,1), OFFSET('IWP18'!Std7PayrollEmploymentRequirements, 7, 4, 1, 1))</f>
        <v>1</v>
      </c>
      <c r="E1513" s="195" t="str">
        <f ca="1">IF(OFFSET('IWP18'!Std7PayrollEmploymentRequirements, 7, 5, 1, 1) = 0, "", OFFSET('IWP18'!Std7PayrollEmploymentRequirements, 7, 5, 1, 1))</f>
        <v/>
      </c>
      <c r="F1513" s="195" t="str">
        <f ca="1">IF(OFFSET('IWP18'!Std7PayrollEmploymentRequirements, 7, 6, 1, 1) = 0, "", OFFSET('IWP18'!Std7PayrollEmploymentRequirements, 7, 6, 1, 1))</f>
        <v/>
      </c>
      <c r="G1513" s="195" t="str">
        <f ca="1">IF(OFFSET('IWP18'!Std7PayrollEmploymentRequirements, 7, 7, 1, 1) = 0, "", OFFSET('IWP18'!Std7PayrollEmploymentRequirements, 7, 7, 1, 1))</f>
        <v/>
      </c>
      <c r="H1513" s="195" t="str">
        <f ca="1">IF(OFFSET('IWP18'!Std7PayrollEmploymentRequirements, 7, 9, 1, 1) = 0, "", OFFSET('IWP18'!Std7PayrollEmploymentRequirements, 7, 9, 1, 1))</f>
        <v/>
      </c>
      <c r="I1513" s="194" t="str">
        <f ca="1">IF(OFFSET('IWP18'!Std7PayrollEmploymentRequirements, 7, 11, 1, 1) = 0, "", OFFSET('IWP18'!Std7PayrollEmploymentRequirements, 7, 11, 1, 1))</f>
        <v/>
      </c>
    </row>
    <row r="1514" spans="1:9" s="146" customFormat="1">
      <c r="A1514" s="183" t="s">
        <v>516</v>
      </c>
      <c r="B1514" s="195" t="str">
        <f ca="1">IF(OFFSET('IWP18'!Std7PayrollEmploymentRequirements, 8, 0, 1, 1) = 0, "", OFFSET('IWP18'!Std7PayrollEmploymentRequirements, 8, 0, 1, 1))</f>
        <v/>
      </c>
      <c r="C1514" s="195" t="str">
        <f ca="1">IF(OFFSET('IWP18'!Std7PayrollEmploymentRequirements, 8, 2, 1, 1) = 0, "", OFFSET('IWP18'!Std7PayrollEmploymentRequirements, 8, 2, 1, 1))</f>
        <v/>
      </c>
      <c r="D1514" s="172">
        <f ca="1">IF(OFFSET('IWP18'!Std7PayrollEmploymentRequirements, 8, 4, 1, 1)=DATE(1900,1,0), DATE(1900,1,1), OFFSET('IWP18'!Std7PayrollEmploymentRequirements, 8, 4, 1, 1))</f>
        <v>1</v>
      </c>
      <c r="E1514" s="195" t="str">
        <f ca="1">IF(OFFSET('IWP18'!Std7PayrollEmploymentRequirements, 8, 5, 1, 1) = 0, "", OFFSET('IWP18'!Std7PayrollEmploymentRequirements, 8, 5, 1, 1))</f>
        <v/>
      </c>
      <c r="F1514" s="195" t="str">
        <f ca="1">IF(OFFSET('IWP18'!Std7PayrollEmploymentRequirements, 8, 6, 1, 1) = 0, "", OFFSET('IWP18'!Std7PayrollEmploymentRequirements, 8, 6, 1, 1))</f>
        <v/>
      </c>
      <c r="G1514" s="195" t="str">
        <f ca="1">IF(OFFSET('IWP18'!Std7PayrollEmploymentRequirements, 8, 7, 1, 1) = 0, "", OFFSET('IWP18'!Std7PayrollEmploymentRequirements, 8, 7, 1, 1))</f>
        <v/>
      </c>
      <c r="H1514" s="195" t="str">
        <f ca="1">IF(OFFSET('IWP18'!Std7PayrollEmploymentRequirements, 8, 9, 1, 1) = 0, "", OFFSET('IWP18'!Std7PayrollEmploymentRequirements, 8, 9, 1, 1))</f>
        <v/>
      </c>
      <c r="I1514" s="194" t="str">
        <f ca="1">IF(OFFSET('IWP18'!Std7PayrollEmploymentRequirements, 8, 11, 1, 1) = 0, "", OFFSET('IWP18'!Std7PayrollEmploymentRequirements, 8, 11, 1, 1))</f>
        <v/>
      </c>
    </row>
    <row r="1515" spans="1:9" s="146" customFormat="1">
      <c r="A1515" s="183" t="s">
        <v>516</v>
      </c>
      <c r="B1515" s="195" t="str">
        <f ca="1">IF(OFFSET('IWP18'!Std7PayrollEmploymentRequirements, 9, 0, 1, 1) = 0, "", OFFSET('IWP18'!Std7PayrollEmploymentRequirements, 9, 0, 1, 1))</f>
        <v/>
      </c>
      <c r="C1515" s="195" t="str">
        <f ca="1">IF(OFFSET('IWP18'!Std7PayrollEmploymentRequirements, 9, 2, 1, 1) = 0, "", OFFSET('IWP18'!Std7PayrollEmploymentRequirements, 9, 2, 1, 1))</f>
        <v/>
      </c>
      <c r="D1515" s="172">
        <f ca="1">IF(OFFSET('IWP18'!Std7PayrollEmploymentRequirements, 9, 4, 1, 1)=DATE(1900,1,0), DATE(1900,1,1), OFFSET('IWP18'!Std7PayrollEmploymentRequirements, 9, 4, 1, 1))</f>
        <v>1</v>
      </c>
      <c r="E1515" s="195" t="str">
        <f ca="1">IF(OFFSET('IWP18'!Std7PayrollEmploymentRequirements, 9, 5, 1, 1) = 0, "", OFFSET('IWP18'!Std7PayrollEmploymentRequirements, 9, 5, 1, 1))</f>
        <v/>
      </c>
      <c r="F1515" s="195" t="str">
        <f ca="1">IF(OFFSET('IWP18'!Std7PayrollEmploymentRequirements, 9, 6, 1, 1) = 0, "", OFFSET('IWP18'!Std7PayrollEmploymentRequirements, 9, 6, 1, 1))</f>
        <v/>
      </c>
      <c r="G1515" s="195" t="str">
        <f ca="1">IF(OFFSET('IWP18'!Std7PayrollEmploymentRequirements, 9, 7, 1, 1) = 0, "", OFFSET('IWP18'!Std7PayrollEmploymentRequirements, 9, 7, 1, 1))</f>
        <v/>
      </c>
      <c r="H1515" s="195" t="str">
        <f ca="1">IF(OFFSET('IWP18'!Std7PayrollEmploymentRequirements, 9, 9, 1, 1) = 0, "", OFFSET('IWP18'!Std7PayrollEmploymentRequirements, 9, 9, 1, 1))</f>
        <v/>
      </c>
      <c r="I1515" s="194" t="str">
        <f ca="1">IF(OFFSET('IWP18'!Std7PayrollEmploymentRequirements, 9, 11, 1, 1) = 0, "", OFFSET('IWP18'!Std7PayrollEmploymentRequirements, 9, 11, 1, 1))</f>
        <v/>
      </c>
    </row>
    <row r="1516" spans="1:9" s="146" customFormat="1">
      <c r="A1516" s="183" t="s">
        <v>516</v>
      </c>
      <c r="B1516" s="195" t="str">
        <f ca="1">IF(OFFSET('IWP18'!Std7PayrollEmploymentRequirements, 10, 0, 1, 1) = 0, "", OFFSET('IWP18'!Std7PayrollEmploymentRequirements, 10, 0, 1, 1))</f>
        <v/>
      </c>
      <c r="C1516" s="195" t="str">
        <f ca="1">IF(OFFSET('IWP18'!Std7PayrollEmploymentRequirements, 10, 2, 1, 1) = 0, "", OFFSET('IWP18'!Std7PayrollEmploymentRequirements, 10, 2, 1, 1))</f>
        <v/>
      </c>
      <c r="D1516" s="172">
        <f ca="1">IF(OFFSET('IWP18'!Std7PayrollEmploymentRequirements, 10, 4, 1, 1)=DATE(1900,1,0), DATE(1900,1,1), OFFSET('IWP18'!Std7PayrollEmploymentRequirements, 10, 4, 1, 1))</f>
        <v>1</v>
      </c>
      <c r="E1516" s="195" t="str">
        <f ca="1">IF(OFFSET('IWP18'!Std7PayrollEmploymentRequirements, 10, 5, 1, 1) = 0, "", OFFSET('IWP18'!Std7PayrollEmploymentRequirements, 10, 5, 1, 1))</f>
        <v/>
      </c>
      <c r="F1516" s="195" t="str">
        <f ca="1">IF(OFFSET('IWP18'!Std7PayrollEmploymentRequirements, 10, 6, 1, 1) = 0, "", OFFSET('IWP18'!Std7PayrollEmploymentRequirements, 10, 6, 1, 1))</f>
        <v/>
      </c>
      <c r="G1516" s="195" t="str">
        <f ca="1">IF(OFFSET('IWP18'!Std7PayrollEmploymentRequirements, 10, 7, 1, 1) = 0, "", OFFSET('IWP18'!Std7PayrollEmploymentRequirements, 10, 7, 1, 1))</f>
        <v/>
      </c>
      <c r="H1516" s="195" t="str">
        <f ca="1">IF(OFFSET('IWP18'!Std7PayrollEmploymentRequirements, 10, 9, 1, 1) = 0, "", OFFSET('IWP18'!Std7PayrollEmploymentRequirements, 10, 9, 1, 1))</f>
        <v/>
      </c>
      <c r="I1516" s="194" t="str">
        <f ca="1">IF(OFFSET('IWP18'!Std7PayrollEmploymentRequirements, 10, 11, 1, 1) = 0, "", OFFSET('IWP18'!Std7PayrollEmploymentRequirements, 10, 11, 1, 1))</f>
        <v/>
      </c>
    </row>
    <row r="1517" spans="1:9" s="146" customFormat="1">
      <c r="A1517" s="183" t="s">
        <v>516</v>
      </c>
      <c r="B1517" s="195" t="str">
        <f ca="1">IF(OFFSET('IWP18'!Std7PayrollEmploymentRequirements, 11, 0, 1, 1) = 0, "", OFFSET('IWP18'!Std7PayrollEmploymentRequirements, 11, 0, 1, 1))</f>
        <v/>
      </c>
      <c r="C1517" s="195" t="str">
        <f ca="1">IF(OFFSET('IWP18'!Std7PayrollEmploymentRequirements, 11, 2, 1, 1) = 0, "", OFFSET('IWP18'!Std7PayrollEmploymentRequirements, 11, 2, 1, 1))</f>
        <v/>
      </c>
      <c r="D1517" s="172">
        <f ca="1">IF(OFFSET('IWP18'!Std7PayrollEmploymentRequirements, 11, 4, 1, 1)=DATE(1900,1,0), DATE(1900,1,1), OFFSET('IWP18'!Std7PayrollEmploymentRequirements, 11, 4, 1, 1))</f>
        <v>1</v>
      </c>
      <c r="E1517" s="195" t="str">
        <f ca="1">IF(OFFSET('IWP18'!Std7PayrollEmploymentRequirements, 11, 5, 1, 1) = 0, "", OFFSET('IWP18'!Std7PayrollEmploymentRequirements, 11, 5, 1, 1))</f>
        <v/>
      </c>
      <c r="F1517" s="195" t="str">
        <f ca="1">IF(OFFSET('IWP18'!Std7PayrollEmploymentRequirements, 11, 6, 1, 1) = 0, "", OFFSET('IWP18'!Std7PayrollEmploymentRequirements, 11, 6, 1, 1))</f>
        <v/>
      </c>
      <c r="G1517" s="195" t="str">
        <f ca="1">IF(OFFSET('IWP18'!Std7PayrollEmploymentRequirements, 11, 7, 1, 1) = 0, "", OFFSET('IWP18'!Std7PayrollEmploymentRequirements, 11, 7, 1, 1))</f>
        <v/>
      </c>
      <c r="H1517" s="195" t="str">
        <f ca="1">IF(OFFSET('IWP18'!Std7PayrollEmploymentRequirements, 11, 9, 1, 1) = 0, "", OFFSET('IWP18'!Std7PayrollEmploymentRequirements, 11, 9, 1, 1))</f>
        <v/>
      </c>
      <c r="I1517" s="194" t="str">
        <f ca="1">IF(OFFSET('IWP18'!Std7PayrollEmploymentRequirements, 11, 11, 1, 1) = 0, "", OFFSET('IWP18'!Std7PayrollEmploymentRequirements, 11, 11, 1, 1))</f>
        <v/>
      </c>
    </row>
    <row r="1518" spans="1:9" s="146" customFormat="1">
      <c r="A1518" s="183" t="s">
        <v>516</v>
      </c>
      <c r="B1518" s="195" t="str">
        <f ca="1">IF(OFFSET('IWP18'!Std7PayrollEmploymentRequirements, 12, 0, 1, 1) = 0, "", OFFSET('IWP18'!Std7PayrollEmploymentRequirements, 12, 0, 1, 1))</f>
        <v/>
      </c>
      <c r="C1518" s="195" t="str">
        <f ca="1">IF(OFFSET('IWP18'!Std7PayrollEmploymentRequirements, 12, 2, 1, 1) = 0, "", OFFSET('IWP18'!Std7PayrollEmploymentRequirements, 12, 2, 1, 1))</f>
        <v/>
      </c>
      <c r="D1518" s="172">
        <f ca="1">IF(OFFSET('IWP18'!Std7PayrollEmploymentRequirements, 12, 4, 1, 1)=DATE(1900,1,0), DATE(1900,1,1), OFFSET('IWP18'!Std7PayrollEmploymentRequirements, 12, 4, 1, 1))</f>
        <v>1</v>
      </c>
      <c r="E1518" s="195" t="str">
        <f ca="1">IF(OFFSET('IWP18'!Std7PayrollEmploymentRequirements, 12, 5, 1, 1) = 0, "", OFFSET('IWP18'!Std7PayrollEmploymentRequirements, 12, 5, 1, 1))</f>
        <v/>
      </c>
      <c r="F1518" s="195" t="str">
        <f ca="1">IF(OFFSET('IWP18'!Std7PayrollEmploymentRequirements, 12, 6, 1, 1) = 0, "", OFFSET('IWP18'!Std7PayrollEmploymentRequirements, 12, 6, 1, 1))</f>
        <v/>
      </c>
      <c r="G1518" s="195" t="str">
        <f ca="1">IF(OFFSET('IWP18'!Std7PayrollEmploymentRequirements, 12, 7, 1, 1) = 0, "", OFFSET('IWP18'!Std7PayrollEmploymentRequirements, 12, 7, 1, 1))</f>
        <v/>
      </c>
      <c r="H1518" s="195" t="str">
        <f ca="1">IF(OFFSET('IWP18'!Std7PayrollEmploymentRequirements, 12, 9, 1, 1) = 0, "", OFFSET('IWP18'!Std7PayrollEmploymentRequirements, 12, 9, 1, 1))</f>
        <v/>
      </c>
      <c r="I1518" s="194" t="str">
        <f ca="1">IF(OFFSET('IWP18'!Std7PayrollEmploymentRequirements, 12, 11, 1, 1) = 0, "", OFFSET('IWP18'!Std7PayrollEmploymentRequirements, 12, 11, 1, 1))</f>
        <v/>
      </c>
    </row>
    <row r="1519" spans="1:9" s="146" customFormat="1">
      <c r="A1519" s="183" t="s">
        <v>516</v>
      </c>
      <c r="B1519" s="195" t="str">
        <f ca="1">IF(OFFSET('IWP18'!Std7PayrollEmploymentRequirements, 13, 0, 1, 1) = 0, "", OFFSET('IWP18'!Std7PayrollEmploymentRequirements, 13, 0, 1, 1))</f>
        <v/>
      </c>
      <c r="C1519" s="195" t="str">
        <f ca="1">IF(OFFSET('IWP18'!Std7PayrollEmploymentRequirements, 13, 2, 1, 1) = 0, "", OFFSET('IWP18'!Std7PayrollEmploymentRequirements, 13, 2, 1, 1))</f>
        <v/>
      </c>
      <c r="D1519" s="172">
        <f ca="1">IF(OFFSET('IWP18'!Std7PayrollEmploymentRequirements, 13, 4, 1, 1)=DATE(1900,1,0), DATE(1900,1,1), OFFSET('IWP18'!Std7PayrollEmploymentRequirements, 13, 4, 1, 1))</f>
        <v>1</v>
      </c>
      <c r="E1519" s="195" t="str">
        <f ca="1">IF(OFFSET('IWP18'!Std7PayrollEmploymentRequirements, 13, 5, 1, 1) = 0, "", OFFSET('IWP18'!Std7PayrollEmploymentRequirements, 13, 5, 1, 1))</f>
        <v/>
      </c>
      <c r="F1519" s="195" t="str">
        <f ca="1">IF(OFFSET('IWP18'!Std7PayrollEmploymentRequirements, 13, 6, 1, 1) = 0, "", OFFSET('IWP18'!Std7PayrollEmploymentRequirements, 13, 6, 1, 1))</f>
        <v/>
      </c>
      <c r="G1519" s="195" t="str">
        <f ca="1">IF(OFFSET('IWP18'!Std7PayrollEmploymentRequirements, 13, 7, 1, 1) = 0, "", OFFSET('IWP18'!Std7PayrollEmploymentRequirements, 13, 7, 1, 1))</f>
        <v/>
      </c>
      <c r="H1519" s="195" t="str">
        <f ca="1">IF(OFFSET('IWP18'!Std7PayrollEmploymentRequirements, 13, 9, 1, 1) = 0, "", OFFSET('IWP18'!Std7PayrollEmploymentRequirements, 13, 9, 1, 1))</f>
        <v/>
      </c>
      <c r="I1519" s="194" t="str">
        <f ca="1">IF(OFFSET('IWP18'!Std7PayrollEmploymentRequirements, 13, 11, 1, 1) = 0, "", OFFSET('IWP18'!Std7PayrollEmploymentRequirements, 13, 11, 1, 1))</f>
        <v/>
      </c>
    </row>
    <row r="1520" spans="1:9" s="146" customFormat="1">
      <c r="A1520" s="183" t="s">
        <v>516</v>
      </c>
      <c r="B1520" s="195" t="str">
        <f ca="1">IF(OFFSET('IWP18'!Std7PayrollEmploymentRequirements, 14, 0, 1, 1) = 0, "", OFFSET('IWP18'!Std7PayrollEmploymentRequirements, 14, 0, 1, 1))</f>
        <v/>
      </c>
      <c r="C1520" s="195" t="str">
        <f ca="1">IF(OFFSET('IWP18'!Std7PayrollEmploymentRequirements, 14, 2, 1, 1) = 0, "", OFFSET('IWP18'!Std7PayrollEmploymentRequirements, 14, 2, 1, 1))</f>
        <v/>
      </c>
      <c r="D1520" s="172">
        <f ca="1">IF(OFFSET('IWP18'!Std7PayrollEmploymentRequirements, 14, 4, 1, 1)=DATE(1900,1,0), DATE(1900,1,1), OFFSET('IWP18'!Std7PayrollEmploymentRequirements, 14, 4, 1, 1))</f>
        <v>1</v>
      </c>
      <c r="E1520" s="195" t="str">
        <f ca="1">IF(OFFSET('IWP18'!Std7PayrollEmploymentRequirements, 14, 5, 1, 1) = 0, "", OFFSET('IWP18'!Std7PayrollEmploymentRequirements, 14, 5, 1, 1))</f>
        <v/>
      </c>
      <c r="F1520" s="195" t="str">
        <f ca="1">IF(OFFSET('IWP18'!Std7PayrollEmploymentRequirements, 14, 6, 1, 1) = 0, "", OFFSET('IWP18'!Std7PayrollEmploymentRequirements, 14, 6, 1, 1))</f>
        <v/>
      </c>
      <c r="G1520" s="195" t="str">
        <f ca="1">IF(OFFSET('IWP18'!Std7PayrollEmploymentRequirements, 14, 7, 1, 1) = 0, "", OFFSET('IWP18'!Std7PayrollEmploymentRequirements, 14, 7, 1, 1))</f>
        <v/>
      </c>
      <c r="H1520" s="195" t="str">
        <f ca="1">IF(OFFSET('IWP18'!Std7PayrollEmploymentRequirements, 14, 9, 1, 1) = 0, "", OFFSET('IWP18'!Std7PayrollEmploymentRequirements, 14, 9, 1, 1))</f>
        <v/>
      </c>
      <c r="I1520" s="194" t="str">
        <f ca="1">IF(OFFSET('IWP18'!Std7PayrollEmploymentRequirements, 14, 11, 1, 1) = 0, "", OFFSET('IWP18'!Std7PayrollEmploymentRequirements, 14, 11, 1, 1))</f>
        <v/>
      </c>
    </row>
    <row r="1521" spans="1:9" s="146" customFormat="1">
      <c r="A1521" s="183" t="s">
        <v>516</v>
      </c>
      <c r="B1521" s="195" t="str">
        <f ca="1">IF(OFFSET('IWP18'!Std7PayrollEmploymentRequirements, 15, 0, 1, 1) = 0, "", OFFSET('IWP18'!Std7PayrollEmploymentRequirements, 15, 0, 1, 1))</f>
        <v/>
      </c>
      <c r="C1521" s="195" t="str">
        <f ca="1">IF(OFFSET('IWP18'!Std7PayrollEmploymentRequirements, 15, 2, 1, 1) = 0, "", OFFSET('IWP18'!Std7PayrollEmploymentRequirements, 15, 2, 1, 1))</f>
        <v/>
      </c>
      <c r="D1521" s="172">
        <f ca="1">IF(OFFSET('IWP18'!Std7PayrollEmploymentRequirements, 15, 4, 1, 1)=DATE(1900,1,0), DATE(1900,1,1), OFFSET('IWP18'!Std7PayrollEmploymentRequirements, 15, 4, 1, 1))</f>
        <v>1</v>
      </c>
      <c r="E1521" s="195" t="str">
        <f ca="1">IF(OFFSET('IWP18'!Std7PayrollEmploymentRequirements, 15, 5, 1, 1) = 0, "", OFFSET('IWP18'!Std7PayrollEmploymentRequirements, 15, 5, 1, 1))</f>
        <v/>
      </c>
      <c r="F1521" s="195" t="str">
        <f ca="1">IF(OFFSET('IWP18'!Std7PayrollEmploymentRequirements, 15, 6, 1, 1) = 0, "", OFFSET('IWP18'!Std7PayrollEmploymentRequirements, 15, 6, 1, 1))</f>
        <v/>
      </c>
      <c r="G1521" s="195" t="str">
        <f ca="1">IF(OFFSET('IWP18'!Std7PayrollEmploymentRequirements, 15, 7, 1, 1) = 0, "", OFFSET('IWP18'!Std7PayrollEmploymentRequirements, 15, 7, 1, 1))</f>
        <v/>
      </c>
      <c r="H1521" s="195" t="str">
        <f ca="1">IF(OFFSET('IWP18'!Std7PayrollEmploymentRequirements, 15, 9, 1, 1) = 0, "", OFFSET('IWP18'!Std7PayrollEmploymentRequirements, 15, 9, 1, 1))</f>
        <v/>
      </c>
      <c r="I1521" s="194" t="str">
        <f ca="1">IF(OFFSET('IWP18'!Std7PayrollEmploymentRequirements, 15, 11, 1, 1) = 0, "", OFFSET('IWP18'!Std7PayrollEmploymentRequirements, 15, 11, 1, 1))</f>
        <v/>
      </c>
    </row>
    <row r="1522" spans="1:9" s="146" customFormat="1">
      <c r="A1522" s="183" t="s">
        <v>517</v>
      </c>
      <c r="B1522" s="195" t="str">
        <f ca="1">IF(OFFSET('IWP19'!Std7PayrollEmploymentRequirements, 0, 0, 1, 1) = 0, "", OFFSET('IWP19'!Std7PayrollEmploymentRequirements, 0, 0, 1, 1))</f>
        <v/>
      </c>
      <c r="C1522" s="195" t="str">
        <f ca="1">IF(OFFSET('IWP19'!Std7PayrollEmploymentRequirements, 0, 2, 1, 1) = 0, "", OFFSET('IWP19'!Std7PayrollEmploymentRequirements, 0, 2, 1, 1))</f>
        <v/>
      </c>
      <c r="D1522" s="172">
        <f ca="1">IF(OFFSET('IWP19'!Std7PayrollEmploymentRequirements, 0, 4, 1, 1)=DATE(1900,1,0), DATE(1900,1,1), OFFSET('IWP19'!Std7PayrollEmploymentRequirements, 0, 4, 1, 1))</f>
        <v>1</v>
      </c>
      <c r="E1522" s="195" t="str">
        <f ca="1">IF(OFFSET('IWP19'!Std7PayrollEmploymentRequirements, 0, 5, 1, 1) = 0, "", OFFSET('IWP19'!Std7PayrollEmploymentRequirements, 0, 5, 1, 1))</f>
        <v/>
      </c>
      <c r="F1522" s="195" t="str">
        <f ca="1">IF(OFFSET('IWP19'!Std7PayrollEmploymentRequirements, 0, 6, 1, 1) = 0, "", OFFSET('IWP19'!Std7PayrollEmploymentRequirements, 0, 6, 1, 1))</f>
        <v/>
      </c>
      <c r="G1522" s="195" t="str">
        <f ca="1">IF(OFFSET('IWP19'!Std7PayrollEmploymentRequirements, 0, 7, 1, 1) = 0, "", OFFSET('IWP19'!Std7PayrollEmploymentRequirements, 0, 7, 1, 1))</f>
        <v/>
      </c>
      <c r="H1522" s="195" t="str">
        <f ca="1">IF(OFFSET('IWP19'!Std7PayrollEmploymentRequirements, 0, 9, 1, 1) = 0, "", OFFSET('IWP19'!Std7PayrollEmploymentRequirements, 0, 9, 1, 1))</f>
        <v/>
      </c>
      <c r="I1522" s="194" t="str">
        <f ca="1">IF(OFFSET('IWP19'!Std7PayrollEmploymentRequirements, 0, 11, 1, 1) = 0, "", OFFSET('IWP19'!Std7PayrollEmploymentRequirements, 0, 11, 1, 1))</f>
        <v/>
      </c>
    </row>
    <row r="1523" spans="1:9" s="146" customFormat="1">
      <c r="A1523" s="183" t="s">
        <v>517</v>
      </c>
      <c r="B1523" s="195" t="str">
        <f ca="1">IF(OFFSET('IWP19'!Std7PayrollEmploymentRequirements, 1, 0, 1, 1) = 0, "", OFFSET('IWP19'!Std7PayrollEmploymentRequirements, 1, 0, 1, 1))</f>
        <v/>
      </c>
      <c r="C1523" s="195" t="str">
        <f ca="1">IF(OFFSET('IWP19'!Std7PayrollEmploymentRequirements, 1, 2, 1, 1) = 0, "", OFFSET('IWP19'!Std7PayrollEmploymentRequirements, 1, 2, 1, 1))</f>
        <v/>
      </c>
      <c r="D1523" s="172">
        <f ca="1">IF(OFFSET('IWP19'!Std7PayrollEmploymentRequirements, 1, 4, 1, 1)=DATE(1900,1,0), DATE(1900,1,1), OFFSET('IWP19'!Std7PayrollEmploymentRequirements, 1, 4, 1, 1))</f>
        <v>1</v>
      </c>
      <c r="E1523" s="195" t="str">
        <f ca="1">IF(OFFSET('IWP19'!Std7PayrollEmploymentRequirements, 1, 5, 1, 1) = 0, "", OFFSET('IWP19'!Std7PayrollEmploymentRequirements, 1, 5, 1, 1))</f>
        <v/>
      </c>
      <c r="F1523" s="195" t="str">
        <f ca="1">IF(OFFSET('IWP19'!Std7PayrollEmploymentRequirements, 1, 6, 1, 1) = 0, "", OFFSET('IWP19'!Std7PayrollEmploymentRequirements, 1, 6, 1, 1))</f>
        <v/>
      </c>
      <c r="G1523" s="195" t="str">
        <f ca="1">IF(OFFSET('IWP19'!Std7PayrollEmploymentRequirements, 1, 7, 1, 1) = 0, "", OFFSET('IWP19'!Std7PayrollEmploymentRequirements, 1, 7, 1, 1))</f>
        <v/>
      </c>
      <c r="H1523" s="195" t="str">
        <f ca="1">IF(OFFSET('IWP19'!Std7PayrollEmploymentRequirements, 1, 9, 1, 1) = 0, "", OFFSET('IWP19'!Std7PayrollEmploymentRequirements, 1, 9, 1, 1))</f>
        <v/>
      </c>
      <c r="I1523" s="194" t="str">
        <f ca="1">IF(OFFSET('IWP19'!Std7PayrollEmploymentRequirements, 1, 11, 1, 1) = 0, "", OFFSET('IWP19'!Std7PayrollEmploymentRequirements, 1, 11, 1, 1))</f>
        <v/>
      </c>
    </row>
    <row r="1524" spans="1:9" s="146" customFormat="1">
      <c r="A1524" s="183" t="s">
        <v>517</v>
      </c>
      <c r="B1524" s="195" t="str">
        <f ca="1">IF(OFFSET('IWP19'!Std7PayrollEmploymentRequirements, 2, 0, 1, 1) = 0, "", OFFSET('IWP19'!Std7PayrollEmploymentRequirements, 2, 0, 1, 1))</f>
        <v/>
      </c>
      <c r="C1524" s="195" t="str">
        <f ca="1">IF(OFFSET('IWP19'!Std7PayrollEmploymentRequirements, 2, 2, 1, 1) = 0, "", OFFSET('IWP19'!Std7PayrollEmploymentRequirements, 2, 2, 1, 1))</f>
        <v/>
      </c>
      <c r="D1524" s="172">
        <f ca="1">IF(OFFSET('IWP19'!Std7PayrollEmploymentRequirements, 2, 4, 1, 1)=DATE(1900,1,0), DATE(1900,1,1), OFFSET('IWP19'!Std7PayrollEmploymentRequirements, 2, 4, 1, 1))</f>
        <v>1</v>
      </c>
      <c r="E1524" s="195" t="str">
        <f ca="1">IF(OFFSET('IWP19'!Std7PayrollEmploymentRequirements, 2, 5, 1, 1) = 0, "", OFFSET('IWP19'!Std7PayrollEmploymentRequirements, 2, 5, 1, 1))</f>
        <v/>
      </c>
      <c r="F1524" s="195" t="str">
        <f ca="1">IF(OFFSET('IWP19'!Std7PayrollEmploymentRequirements, 2, 6, 1, 1) = 0, "", OFFSET('IWP19'!Std7PayrollEmploymentRequirements, 2, 6, 1, 1))</f>
        <v/>
      </c>
      <c r="G1524" s="195" t="str">
        <f ca="1">IF(OFFSET('IWP19'!Std7PayrollEmploymentRequirements, 2, 7, 1, 1) = 0, "", OFFSET('IWP19'!Std7PayrollEmploymentRequirements, 2, 7, 1, 1))</f>
        <v/>
      </c>
      <c r="H1524" s="195" t="str">
        <f ca="1">IF(OFFSET('IWP19'!Std7PayrollEmploymentRequirements, 2, 9, 1, 1) = 0, "", OFFSET('IWP19'!Std7PayrollEmploymentRequirements, 2, 9, 1, 1))</f>
        <v/>
      </c>
      <c r="I1524" s="194" t="str">
        <f ca="1">IF(OFFSET('IWP19'!Std7PayrollEmploymentRequirements, 2, 11, 1, 1) = 0, "", OFFSET('IWP19'!Std7PayrollEmploymentRequirements, 2, 11, 1, 1))</f>
        <v/>
      </c>
    </row>
    <row r="1525" spans="1:9" s="146" customFormat="1">
      <c r="A1525" s="183" t="s">
        <v>517</v>
      </c>
      <c r="B1525" s="195" t="str">
        <f ca="1">IF(OFFSET('IWP19'!Std7PayrollEmploymentRequirements, 3, 0, 1, 1) = 0, "", OFFSET('IWP19'!Std7PayrollEmploymentRequirements, 3, 0, 1, 1))</f>
        <v/>
      </c>
      <c r="C1525" s="195" t="str">
        <f ca="1">IF(OFFSET('IWP19'!Std7PayrollEmploymentRequirements, 3, 2, 1, 1) = 0, "", OFFSET('IWP19'!Std7PayrollEmploymentRequirements, 3, 2, 1, 1))</f>
        <v/>
      </c>
      <c r="D1525" s="172">
        <f ca="1">IF(OFFSET('IWP19'!Std7PayrollEmploymentRequirements, 3, 4, 1, 1)=DATE(1900,1,0), DATE(1900,1,1), OFFSET('IWP19'!Std7PayrollEmploymentRequirements, 3, 4, 1, 1))</f>
        <v>1</v>
      </c>
      <c r="E1525" s="195" t="str">
        <f ca="1">IF(OFFSET('IWP19'!Std7PayrollEmploymentRequirements, 3, 5, 1, 1) = 0, "", OFFSET('IWP19'!Std7PayrollEmploymentRequirements, 3, 5, 1, 1))</f>
        <v/>
      </c>
      <c r="F1525" s="195" t="str">
        <f ca="1">IF(OFFSET('IWP19'!Std7PayrollEmploymentRequirements, 3, 6, 1, 1) = 0, "", OFFSET('IWP19'!Std7PayrollEmploymentRequirements, 3, 6, 1, 1))</f>
        <v/>
      </c>
      <c r="G1525" s="195" t="str">
        <f ca="1">IF(OFFSET('IWP19'!Std7PayrollEmploymentRequirements, 3, 7, 1, 1) = 0, "", OFFSET('IWP19'!Std7PayrollEmploymentRequirements, 3, 7, 1, 1))</f>
        <v/>
      </c>
      <c r="H1525" s="195" t="str">
        <f ca="1">IF(OFFSET('IWP19'!Std7PayrollEmploymentRequirements, 3, 9, 1, 1) = 0, "", OFFSET('IWP19'!Std7PayrollEmploymentRequirements, 3, 9, 1, 1))</f>
        <v/>
      </c>
      <c r="I1525" s="194" t="str">
        <f ca="1">IF(OFFSET('IWP19'!Std7PayrollEmploymentRequirements, 3, 11, 1, 1) = 0, "", OFFSET('IWP19'!Std7PayrollEmploymentRequirements, 3, 11, 1, 1))</f>
        <v/>
      </c>
    </row>
    <row r="1526" spans="1:9" s="146" customFormat="1">
      <c r="A1526" s="183" t="s">
        <v>517</v>
      </c>
      <c r="B1526" s="195" t="str">
        <f ca="1">IF(OFFSET('IWP19'!Std7PayrollEmploymentRequirements, 4, 0, 1, 1) = 0, "", OFFSET('IWP19'!Std7PayrollEmploymentRequirements, 4, 0, 1, 1))</f>
        <v/>
      </c>
      <c r="C1526" s="195" t="str">
        <f ca="1">IF(OFFSET('IWP19'!Std7PayrollEmploymentRequirements, 4, 2, 1, 1) = 0, "", OFFSET('IWP19'!Std7PayrollEmploymentRequirements, 4, 2, 1, 1))</f>
        <v/>
      </c>
      <c r="D1526" s="172">
        <f ca="1">IF(OFFSET('IWP19'!Std7PayrollEmploymentRequirements, 4, 4, 1, 1)=DATE(1900,1,0), DATE(1900,1,1), OFFSET('IWP19'!Std7PayrollEmploymentRequirements, 4, 4, 1, 1))</f>
        <v>1</v>
      </c>
      <c r="E1526" s="195" t="str">
        <f ca="1">IF(OFFSET('IWP19'!Std7PayrollEmploymentRequirements, 4, 5, 1, 1) = 0, "", OFFSET('IWP19'!Std7PayrollEmploymentRequirements, 4, 5, 1, 1))</f>
        <v/>
      </c>
      <c r="F1526" s="195" t="str">
        <f ca="1">IF(OFFSET('IWP19'!Std7PayrollEmploymentRequirements, 4, 6, 1, 1) = 0, "", OFFSET('IWP19'!Std7PayrollEmploymentRequirements, 4, 6, 1, 1))</f>
        <v/>
      </c>
      <c r="G1526" s="195" t="str">
        <f ca="1">IF(OFFSET('IWP19'!Std7PayrollEmploymentRequirements, 4, 7, 1, 1) = 0, "", OFFSET('IWP19'!Std7PayrollEmploymentRequirements, 4, 7, 1, 1))</f>
        <v/>
      </c>
      <c r="H1526" s="195" t="str">
        <f ca="1">IF(OFFSET('IWP19'!Std7PayrollEmploymentRequirements, 4, 9, 1, 1) = 0, "", OFFSET('IWP19'!Std7PayrollEmploymentRequirements, 4, 9, 1, 1))</f>
        <v/>
      </c>
      <c r="I1526" s="194" t="str">
        <f ca="1">IF(OFFSET('IWP19'!Std7PayrollEmploymentRequirements, 4, 11, 1, 1) = 0, "", OFFSET('IWP19'!Std7PayrollEmploymentRequirements, 4, 11, 1, 1))</f>
        <v/>
      </c>
    </row>
    <row r="1527" spans="1:9" s="146" customFormat="1">
      <c r="A1527" s="183" t="s">
        <v>517</v>
      </c>
      <c r="B1527" s="195" t="str">
        <f ca="1">IF(OFFSET('IWP19'!Std7PayrollEmploymentRequirements, 5, 0, 1, 1) = 0, "", OFFSET('IWP19'!Std7PayrollEmploymentRequirements, 5, 0, 1, 1))</f>
        <v/>
      </c>
      <c r="C1527" s="195" t="str">
        <f ca="1">IF(OFFSET('IWP19'!Std7PayrollEmploymentRequirements, 5, 2, 1, 1) = 0, "", OFFSET('IWP19'!Std7PayrollEmploymentRequirements, 5, 2, 1, 1))</f>
        <v/>
      </c>
      <c r="D1527" s="172">
        <f ca="1">IF(OFFSET('IWP19'!Std7PayrollEmploymentRequirements, 5, 4, 1, 1)=DATE(1900,1,0), DATE(1900,1,1), OFFSET('IWP19'!Std7PayrollEmploymentRequirements, 5, 4, 1, 1))</f>
        <v>1</v>
      </c>
      <c r="E1527" s="195" t="str">
        <f ca="1">IF(OFFSET('IWP19'!Std7PayrollEmploymentRequirements, 5, 5, 1, 1) = 0, "", OFFSET('IWP19'!Std7PayrollEmploymentRequirements, 5, 5, 1, 1))</f>
        <v/>
      </c>
      <c r="F1527" s="195" t="str">
        <f ca="1">IF(OFFSET('IWP19'!Std7PayrollEmploymentRequirements, 5, 6, 1, 1) = 0, "", OFFSET('IWP19'!Std7PayrollEmploymentRequirements, 5, 6, 1, 1))</f>
        <v/>
      </c>
      <c r="G1527" s="195" t="str">
        <f ca="1">IF(OFFSET('IWP19'!Std7PayrollEmploymentRequirements, 5, 7, 1, 1) = 0, "", OFFSET('IWP19'!Std7PayrollEmploymentRequirements, 5, 7, 1, 1))</f>
        <v/>
      </c>
      <c r="H1527" s="195" t="str">
        <f ca="1">IF(OFFSET('IWP19'!Std7PayrollEmploymentRequirements, 5, 9, 1, 1) = 0, "", OFFSET('IWP19'!Std7PayrollEmploymentRequirements, 5, 9, 1, 1))</f>
        <v/>
      </c>
      <c r="I1527" s="194" t="str">
        <f ca="1">IF(OFFSET('IWP19'!Std7PayrollEmploymentRequirements, 5, 11, 1, 1) = 0, "", OFFSET('IWP19'!Std7PayrollEmploymentRequirements, 5, 11, 1, 1))</f>
        <v/>
      </c>
    </row>
    <row r="1528" spans="1:9" s="146" customFormat="1">
      <c r="A1528" s="183" t="s">
        <v>517</v>
      </c>
      <c r="B1528" s="195" t="str">
        <f ca="1">IF(OFFSET('IWP19'!Std7PayrollEmploymentRequirements, 6, 0, 1, 1) = 0, "", OFFSET('IWP19'!Std7PayrollEmploymentRequirements, 6, 0, 1, 1))</f>
        <v/>
      </c>
      <c r="C1528" s="195" t="str">
        <f ca="1">IF(OFFSET('IWP19'!Std7PayrollEmploymentRequirements, 6, 2, 1, 1) = 0, "", OFFSET('IWP19'!Std7PayrollEmploymentRequirements, 6, 2, 1, 1))</f>
        <v/>
      </c>
      <c r="D1528" s="172">
        <f ca="1">IF(OFFSET('IWP19'!Std7PayrollEmploymentRequirements, 6, 4, 1, 1)=DATE(1900,1,0), DATE(1900,1,1), OFFSET('IWP19'!Std7PayrollEmploymentRequirements, 6, 4, 1, 1))</f>
        <v>1</v>
      </c>
      <c r="E1528" s="195" t="str">
        <f ca="1">IF(OFFSET('IWP19'!Std7PayrollEmploymentRequirements, 6, 5, 1, 1) = 0, "", OFFSET('IWP19'!Std7PayrollEmploymentRequirements, 6, 5, 1, 1))</f>
        <v/>
      </c>
      <c r="F1528" s="195" t="str">
        <f ca="1">IF(OFFSET('IWP19'!Std7PayrollEmploymentRequirements, 6, 6, 1, 1) = 0, "", OFFSET('IWP19'!Std7PayrollEmploymentRequirements, 6, 6, 1, 1))</f>
        <v/>
      </c>
      <c r="G1528" s="195" t="str">
        <f ca="1">IF(OFFSET('IWP19'!Std7PayrollEmploymentRequirements, 6, 7, 1, 1) = 0, "", OFFSET('IWP19'!Std7PayrollEmploymentRequirements, 6, 7, 1, 1))</f>
        <v/>
      </c>
      <c r="H1528" s="195" t="str">
        <f ca="1">IF(OFFSET('IWP19'!Std7PayrollEmploymentRequirements, 6, 9, 1, 1) = 0, "", OFFSET('IWP19'!Std7PayrollEmploymentRequirements, 6, 9, 1, 1))</f>
        <v/>
      </c>
      <c r="I1528" s="194" t="str">
        <f ca="1">IF(OFFSET('IWP19'!Std7PayrollEmploymentRequirements, 6, 11, 1, 1) = 0, "", OFFSET('IWP19'!Std7PayrollEmploymentRequirements, 6, 11, 1, 1))</f>
        <v/>
      </c>
    </row>
    <row r="1529" spans="1:9" s="146" customFormat="1">
      <c r="A1529" s="183" t="s">
        <v>517</v>
      </c>
      <c r="B1529" s="195" t="str">
        <f ca="1">IF(OFFSET('IWP19'!Std7PayrollEmploymentRequirements, 7, 0, 1, 1) = 0, "", OFFSET('IWP19'!Std7PayrollEmploymentRequirements, 7, 0, 1, 1))</f>
        <v/>
      </c>
      <c r="C1529" s="195" t="str">
        <f ca="1">IF(OFFSET('IWP19'!Std7PayrollEmploymentRequirements, 7, 2, 1, 1) = 0, "", OFFSET('IWP19'!Std7PayrollEmploymentRequirements, 7, 2, 1, 1))</f>
        <v/>
      </c>
      <c r="D1529" s="172">
        <f ca="1">IF(OFFSET('IWP19'!Std7PayrollEmploymentRequirements, 7, 4, 1, 1)=DATE(1900,1,0), DATE(1900,1,1), OFFSET('IWP19'!Std7PayrollEmploymentRequirements, 7, 4, 1, 1))</f>
        <v>1</v>
      </c>
      <c r="E1529" s="195" t="str">
        <f ca="1">IF(OFFSET('IWP19'!Std7PayrollEmploymentRequirements, 7, 5, 1, 1) = 0, "", OFFSET('IWP19'!Std7PayrollEmploymentRequirements, 7, 5, 1, 1))</f>
        <v/>
      </c>
      <c r="F1529" s="195" t="str">
        <f ca="1">IF(OFFSET('IWP19'!Std7PayrollEmploymentRequirements, 7, 6, 1, 1) = 0, "", OFFSET('IWP19'!Std7PayrollEmploymentRequirements, 7, 6, 1, 1))</f>
        <v/>
      </c>
      <c r="G1529" s="195" t="str">
        <f ca="1">IF(OFFSET('IWP19'!Std7PayrollEmploymentRequirements, 7, 7, 1, 1) = 0, "", OFFSET('IWP19'!Std7PayrollEmploymentRequirements, 7, 7, 1, 1))</f>
        <v/>
      </c>
      <c r="H1529" s="195" t="str">
        <f ca="1">IF(OFFSET('IWP19'!Std7PayrollEmploymentRequirements, 7, 9, 1, 1) = 0, "", OFFSET('IWP19'!Std7PayrollEmploymentRequirements, 7, 9, 1, 1))</f>
        <v/>
      </c>
      <c r="I1529" s="194" t="str">
        <f ca="1">IF(OFFSET('IWP19'!Std7PayrollEmploymentRequirements, 7, 11, 1, 1) = 0, "", OFFSET('IWP19'!Std7PayrollEmploymentRequirements, 7, 11, 1, 1))</f>
        <v/>
      </c>
    </row>
    <row r="1530" spans="1:9" s="146" customFormat="1">
      <c r="A1530" s="183" t="s">
        <v>517</v>
      </c>
      <c r="B1530" s="195" t="str">
        <f ca="1">IF(OFFSET('IWP19'!Std7PayrollEmploymentRequirements, 8, 0, 1, 1) = 0, "", OFFSET('IWP19'!Std7PayrollEmploymentRequirements, 8, 0, 1, 1))</f>
        <v/>
      </c>
      <c r="C1530" s="195" t="str">
        <f ca="1">IF(OFFSET('IWP19'!Std7PayrollEmploymentRequirements, 8, 2, 1, 1) = 0, "", OFFSET('IWP19'!Std7PayrollEmploymentRequirements, 8, 2, 1, 1))</f>
        <v/>
      </c>
      <c r="D1530" s="172">
        <f ca="1">IF(OFFSET('IWP19'!Std7PayrollEmploymentRequirements, 8, 4, 1, 1)=DATE(1900,1,0), DATE(1900,1,1), OFFSET('IWP19'!Std7PayrollEmploymentRequirements, 8, 4, 1, 1))</f>
        <v>1</v>
      </c>
      <c r="E1530" s="195" t="str">
        <f ca="1">IF(OFFSET('IWP19'!Std7PayrollEmploymentRequirements, 8, 5, 1, 1) = 0, "", OFFSET('IWP19'!Std7PayrollEmploymentRequirements, 8, 5, 1, 1))</f>
        <v/>
      </c>
      <c r="F1530" s="195" t="str">
        <f ca="1">IF(OFFSET('IWP19'!Std7PayrollEmploymentRequirements, 8, 6, 1, 1) = 0, "", OFFSET('IWP19'!Std7PayrollEmploymentRequirements, 8, 6, 1, 1))</f>
        <v/>
      </c>
      <c r="G1530" s="195" t="str">
        <f ca="1">IF(OFFSET('IWP19'!Std7PayrollEmploymentRequirements, 8, 7, 1, 1) = 0, "", OFFSET('IWP19'!Std7PayrollEmploymentRequirements, 8, 7, 1, 1))</f>
        <v/>
      </c>
      <c r="H1530" s="195" t="str">
        <f ca="1">IF(OFFSET('IWP19'!Std7PayrollEmploymentRequirements, 8, 9, 1, 1) = 0, "", OFFSET('IWP19'!Std7PayrollEmploymentRequirements, 8, 9, 1, 1))</f>
        <v/>
      </c>
      <c r="I1530" s="194" t="str">
        <f ca="1">IF(OFFSET('IWP19'!Std7PayrollEmploymentRequirements, 8, 11, 1, 1) = 0, "", OFFSET('IWP19'!Std7PayrollEmploymentRequirements, 8, 11, 1, 1))</f>
        <v/>
      </c>
    </row>
    <row r="1531" spans="1:9" s="146" customFormat="1">
      <c r="A1531" s="183" t="s">
        <v>517</v>
      </c>
      <c r="B1531" s="195" t="str">
        <f ca="1">IF(OFFSET('IWP19'!Std7PayrollEmploymentRequirements, 9, 0, 1, 1) = 0, "", OFFSET('IWP19'!Std7PayrollEmploymentRequirements, 9, 0, 1, 1))</f>
        <v/>
      </c>
      <c r="C1531" s="195" t="str">
        <f ca="1">IF(OFFSET('IWP19'!Std7PayrollEmploymentRequirements, 9, 2, 1, 1) = 0, "", OFFSET('IWP19'!Std7PayrollEmploymentRequirements, 9, 2, 1, 1))</f>
        <v/>
      </c>
      <c r="D1531" s="172">
        <f ca="1">IF(OFFSET('IWP19'!Std7PayrollEmploymentRequirements, 9, 4, 1, 1)=DATE(1900,1,0), DATE(1900,1,1), OFFSET('IWP19'!Std7PayrollEmploymentRequirements, 9, 4, 1, 1))</f>
        <v>1</v>
      </c>
      <c r="E1531" s="195" t="str">
        <f ca="1">IF(OFFSET('IWP19'!Std7PayrollEmploymentRequirements, 9, 5, 1, 1) = 0, "", OFFSET('IWP19'!Std7PayrollEmploymentRequirements, 9, 5, 1, 1))</f>
        <v/>
      </c>
      <c r="F1531" s="195" t="str">
        <f ca="1">IF(OFFSET('IWP19'!Std7PayrollEmploymentRequirements, 9, 6, 1, 1) = 0, "", OFFSET('IWP19'!Std7PayrollEmploymentRequirements, 9, 6, 1, 1))</f>
        <v/>
      </c>
      <c r="G1531" s="195" t="str">
        <f ca="1">IF(OFFSET('IWP19'!Std7PayrollEmploymentRequirements, 9, 7, 1, 1) = 0, "", OFFSET('IWP19'!Std7PayrollEmploymentRequirements, 9, 7, 1, 1))</f>
        <v/>
      </c>
      <c r="H1531" s="195" t="str">
        <f ca="1">IF(OFFSET('IWP19'!Std7PayrollEmploymentRequirements, 9, 9, 1, 1) = 0, "", OFFSET('IWP19'!Std7PayrollEmploymentRequirements, 9, 9, 1, 1))</f>
        <v/>
      </c>
      <c r="I1531" s="194" t="str">
        <f ca="1">IF(OFFSET('IWP19'!Std7PayrollEmploymentRequirements, 9, 11, 1, 1) = 0, "", OFFSET('IWP19'!Std7PayrollEmploymentRequirements, 9, 11, 1, 1))</f>
        <v/>
      </c>
    </row>
    <row r="1532" spans="1:9" s="146" customFormat="1">
      <c r="A1532" s="183" t="s">
        <v>517</v>
      </c>
      <c r="B1532" s="195" t="str">
        <f ca="1">IF(OFFSET('IWP19'!Std7PayrollEmploymentRequirements, 10, 0, 1, 1) = 0, "", OFFSET('IWP19'!Std7PayrollEmploymentRequirements, 10, 0, 1, 1))</f>
        <v/>
      </c>
      <c r="C1532" s="195" t="str">
        <f ca="1">IF(OFFSET('IWP19'!Std7PayrollEmploymentRequirements, 10, 2, 1, 1) = 0, "", OFFSET('IWP19'!Std7PayrollEmploymentRequirements, 10, 2, 1, 1))</f>
        <v/>
      </c>
      <c r="D1532" s="172">
        <f ca="1">IF(OFFSET('IWP19'!Std7PayrollEmploymentRequirements, 10, 4, 1, 1)=DATE(1900,1,0), DATE(1900,1,1), OFFSET('IWP19'!Std7PayrollEmploymentRequirements, 10, 4, 1, 1))</f>
        <v>1</v>
      </c>
      <c r="E1532" s="195" t="str">
        <f ca="1">IF(OFFSET('IWP19'!Std7PayrollEmploymentRequirements, 10, 5, 1, 1) = 0, "", OFFSET('IWP19'!Std7PayrollEmploymentRequirements, 10, 5, 1, 1))</f>
        <v/>
      </c>
      <c r="F1532" s="195" t="str">
        <f ca="1">IF(OFFSET('IWP19'!Std7PayrollEmploymentRequirements, 10, 6, 1, 1) = 0, "", OFFSET('IWP19'!Std7PayrollEmploymentRequirements, 10, 6, 1, 1))</f>
        <v/>
      </c>
      <c r="G1532" s="195" t="str">
        <f ca="1">IF(OFFSET('IWP19'!Std7PayrollEmploymentRequirements, 10, 7, 1, 1) = 0, "", OFFSET('IWP19'!Std7PayrollEmploymentRequirements, 10, 7, 1, 1))</f>
        <v/>
      </c>
      <c r="H1532" s="195" t="str">
        <f ca="1">IF(OFFSET('IWP19'!Std7PayrollEmploymentRequirements, 10, 9, 1, 1) = 0, "", OFFSET('IWP19'!Std7PayrollEmploymentRequirements, 10, 9, 1, 1))</f>
        <v/>
      </c>
      <c r="I1532" s="194" t="str">
        <f ca="1">IF(OFFSET('IWP19'!Std7PayrollEmploymentRequirements, 10, 11, 1, 1) = 0, "", OFFSET('IWP19'!Std7PayrollEmploymentRequirements, 10, 11, 1, 1))</f>
        <v/>
      </c>
    </row>
    <row r="1533" spans="1:9" s="146" customFormat="1">
      <c r="A1533" s="183" t="s">
        <v>517</v>
      </c>
      <c r="B1533" s="195" t="str">
        <f ca="1">IF(OFFSET('IWP19'!Std7PayrollEmploymentRequirements, 11, 0, 1, 1) = 0, "", OFFSET('IWP19'!Std7PayrollEmploymentRequirements, 11, 0, 1, 1))</f>
        <v/>
      </c>
      <c r="C1533" s="195" t="str">
        <f ca="1">IF(OFFSET('IWP19'!Std7PayrollEmploymentRequirements, 11, 2, 1, 1) = 0, "", OFFSET('IWP19'!Std7PayrollEmploymentRequirements, 11, 2, 1, 1))</f>
        <v/>
      </c>
      <c r="D1533" s="172">
        <f ca="1">IF(OFFSET('IWP19'!Std7PayrollEmploymentRequirements, 11, 4, 1, 1)=DATE(1900,1,0), DATE(1900,1,1), OFFSET('IWP19'!Std7PayrollEmploymentRequirements, 11, 4, 1, 1))</f>
        <v>1</v>
      </c>
      <c r="E1533" s="195" t="str">
        <f ca="1">IF(OFFSET('IWP19'!Std7PayrollEmploymentRequirements, 11, 5, 1, 1) = 0, "", OFFSET('IWP19'!Std7PayrollEmploymentRequirements, 11, 5, 1, 1))</f>
        <v/>
      </c>
      <c r="F1533" s="195" t="str">
        <f ca="1">IF(OFFSET('IWP19'!Std7PayrollEmploymentRequirements, 11, 6, 1, 1) = 0, "", OFFSET('IWP19'!Std7PayrollEmploymentRequirements, 11, 6, 1, 1))</f>
        <v/>
      </c>
      <c r="G1533" s="195" t="str">
        <f ca="1">IF(OFFSET('IWP19'!Std7PayrollEmploymentRequirements, 11, 7, 1, 1) = 0, "", OFFSET('IWP19'!Std7PayrollEmploymentRequirements, 11, 7, 1, 1))</f>
        <v/>
      </c>
      <c r="H1533" s="195" t="str">
        <f ca="1">IF(OFFSET('IWP19'!Std7PayrollEmploymentRequirements, 11, 9, 1, 1) = 0, "", OFFSET('IWP19'!Std7PayrollEmploymentRequirements, 11, 9, 1, 1))</f>
        <v/>
      </c>
      <c r="I1533" s="194" t="str">
        <f ca="1">IF(OFFSET('IWP19'!Std7PayrollEmploymentRequirements, 11, 11, 1, 1) = 0, "", OFFSET('IWP19'!Std7PayrollEmploymentRequirements, 11, 11, 1, 1))</f>
        <v/>
      </c>
    </row>
    <row r="1534" spans="1:9" s="146" customFormat="1">
      <c r="A1534" s="183" t="s">
        <v>517</v>
      </c>
      <c r="B1534" s="195" t="str">
        <f ca="1">IF(OFFSET('IWP19'!Std7PayrollEmploymentRequirements, 12, 0, 1, 1) = 0, "", OFFSET('IWP19'!Std7PayrollEmploymentRequirements, 12, 0, 1, 1))</f>
        <v/>
      </c>
      <c r="C1534" s="195" t="str">
        <f ca="1">IF(OFFSET('IWP19'!Std7PayrollEmploymentRequirements, 12, 2, 1, 1) = 0, "", OFFSET('IWP19'!Std7PayrollEmploymentRequirements, 12, 2, 1, 1))</f>
        <v/>
      </c>
      <c r="D1534" s="172">
        <f ca="1">IF(OFFSET('IWP19'!Std7PayrollEmploymentRequirements, 12, 4, 1, 1)=DATE(1900,1,0), DATE(1900,1,1), OFFSET('IWP19'!Std7PayrollEmploymentRequirements, 12, 4, 1, 1))</f>
        <v>1</v>
      </c>
      <c r="E1534" s="195" t="str">
        <f ca="1">IF(OFFSET('IWP19'!Std7PayrollEmploymentRequirements, 12, 5, 1, 1) = 0, "", OFFSET('IWP19'!Std7PayrollEmploymentRequirements, 12, 5, 1, 1))</f>
        <v/>
      </c>
      <c r="F1534" s="195" t="str">
        <f ca="1">IF(OFFSET('IWP19'!Std7PayrollEmploymentRequirements, 12, 6, 1, 1) = 0, "", OFFSET('IWP19'!Std7PayrollEmploymentRequirements, 12, 6, 1, 1))</f>
        <v/>
      </c>
      <c r="G1534" s="195" t="str">
        <f ca="1">IF(OFFSET('IWP19'!Std7PayrollEmploymentRequirements, 12, 7, 1, 1) = 0, "", OFFSET('IWP19'!Std7PayrollEmploymentRequirements, 12, 7, 1, 1))</f>
        <v/>
      </c>
      <c r="H1534" s="195" t="str">
        <f ca="1">IF(OFFSET('IWP19'!Std7PayrollEmploymentRequirements, 12, 9, 1, 1) = 0, "", OFFSET('IWP19'!Std7PayrollEmploymentRequirements, 12, 9, 1, 1))</f>
        <v/>
      </c>
      <c r="I1534" s="194" t="str">
        <f ca="1">IF(OFFSET('IWP19'!Std7PayrollEmploymentRequirements, 12, 11, 1, 1) = 0, "", OFFSET('IWP19'!Std7PayrollEmploymentRequirements, 12, 11, 1, 1))</f>
        <v/>
      </c>
    </row>
    <row r="1535" spans="1:9" s="146" customFormat="1">
      <c r="A1535" s="183" t="s">
        <v>517</v>
      </c>
      <c r="B1535" s="195" t="str">
        <f ca="1">IF(OFFSET('IWP19'!Std7PayrollEmploymentRequirements, 13, 0, 1, 1) = 0, "", OFFSET('IWP19'!Std7PayrollEmploymentRequirements, 13, 0, 1, 1))</f>
        <v/>
      </c>
      <c r="C1535" s="195" t="str">
        <f ca="1">IF(OFFSET('IWP19'!Std7PayrollEmploymentRequirements, 13, 2, 1, 1) = 0, "", OFFSET('IWP19'!Std7PayrollEmploymentRequirements, 13, 2, 1, 1))</f>
        <v/>
      </c>
      <c r="D1535" s="172">
        <f ca="1">IF(OFFSET('IWP19'!Std7PayrollEmploymentRequirements, 13, 4, 1, 1)=DATE(1900,1,0), DATE(1900,1,1), OFFSET('IWP19'!Std7PayrollEmploymentRequirements, 13, 4, 1, 1))</f>
        <v>1</v>
      </c>
      <c r="E1535" s="195" t="str">
        <f ca="1">IF(OFFSET('IWP19'!Std7PayrollEmploymentRequirements, 13, 5, 1, 1) = 0, "", OFFSET('IWP19'!Std7PayrollEmploymentRequirements, 13, 5, 1, 1))</f>
        <v/>
      </c>
      <c r="F1535" s="195" t="str">
        <f ca="1">IF(OFFSET('IWP19'!Std7PayrollEmploymentRequirements, 13, 6, 1, 1) = 0, "", OFFSET('IWP19'!Std7PayrollEmploymentRequirements, 13, 6, 1, 1))</f>
        <v/>
      </c>
      <c r="G1535" s="195" t="str">
        <f ca="1">IF(OFFSET('IWP19'!Std7PayrollEmploymentRequirements, 13, 7, 1, 1) = 0, "", OFFSET('IWP19'!Std7PayrollEmploymentRequirements, 13, 7, 1, 1))</f>
        <v/>
      </c>
      <c r="H1535" s="195" t="str">
        <f ca="1">IF(OFFSET('IWP19'!Std7PayrollEmploymentRequirements, 13, 9, 1, 1) = 0, "", OFFSET('IWP19'!Std7PayrollEmploymentRequirements, 13, 9, 1, 1))</f>
        <v/>
      </c>
      <c r="I1535" s="194" t="str">
        <f ca="1">IF(OFFSET('IWP19'!Std7PayrollEmploymentRequirements, 13, 11, 1, 1) = 0, "", OFFSET('IWP19'!Std7PayrollEmploymentRequirements, 13, 11, 1, 1))</f>
        <v/>
      </c>
    </row>
    <row r="1536" spans="1:9" s="146" customFormat="1">
      <c r="A1536" s="183" t="s">
        <v>517</v>
      </c>
      <c r="B1536" s="195" t="str">
        <f ca="1">IF(OFFSET('IWP19'!Std7PayrollEmploymentRequirements, 14, 0, 1, 1) = 0, "", OFFSET('IWP19'!Std7PayrollEmploymentRequirements, 14, 0, 1, 1))</f>
        <v/>
      </c>
      <c r="C1536" s="195" t="str">
        <f ca="1">IF(OFFSET('IWP19'!Std7PayrollEmploymentRequirements, 14, 2, 1, 1) = 0, "", OFFSET('IWP19'!Std7PayrollEmploymentRequirements, 14, 2, 1, 1))</f>
        <v/>
      </c>
      <c r="D1536" s="172">
        <f ca="1">IF(OFFSET('IWP19'!Std7PayrollEmploymentRequirements, 14, 4, 1, 1)=DATE(1900,1,0), DATE(1900,1,1), OFFSET('IWP19'!Std7PayrollEmploymentRequirements, 14, 4, 1, 1))</f>
        <v>1</v>
      </c>
      <c r="E1536" s="195" t="str">
        <f ca="1">IF(OFFSET('IWP19'!Std7PayrollEmploymentRequirements, 14, 5, 1, 1) = 0, "", OFFSET('IWP19'!Std7PayrollEmploymentRequirements, 14, 5, 1, 1))</f>
        <v/>
      </c>
      <c r="F1536" s="195" t="str">
        <f ca="1">IF(OFFSET('IWP19'!Std7PayrollEmploymentRequirements, 14, 6, 1, 1) = 0, "", OFFSET('IWP19'!Std7PayrollEmploymentRequirements, 14, 6, 1, 1))</f>
        <v/>
      </c>
      <c r="G1536" s="195" t="str">
        <f ca="1">IF(OFFSET('IWP19'!Std7PayrollEmploymentRequirements, 14, 7, 1, 1) = 0, "", OFFSET('IWP19'!Std7PayrollEmploymentRequirements, 14, 7, 1, 1))</f>
        <v/>
      </c>
      <c r="H1536" s="195" t="str">
        <f ca="1">IF(OFFSET('IWP19'!Std7PayrollEmploymentRequirements, 14, 9, 1, 1) = 0, "", OFFSET('IWP19'!Std7PayrollEmploymentRequirements, 14, 9, 1, 1))</f>
        <v/>
      </c>
      <c r="I1536" s="194" t="str">
        <f ca="1">IF(OFFSET('IWP19'!Std7PayrollEmploymentRequirements, 14, 11, 1, 1) = 0, "", OFFSET('IWP19'!Std7PayrollEmploymentRequirements, 14, 11, 1, 1))</f>
        <v/>
      </c>
    </row>
    <row r="1537" spans="1:9" s="146" customFormat="1">
      <c r="A1537" s="183" t="s">
        <v>517</v>
      </c>
      <c r="B1537" s="195" t="str">
        <f ca="1">IF(OFFSET('IWP19'!Std7PayrollEmploymentRequirements, 15, 0, 1, 1) = 0, "", OFFSET('IWP19'!Std7PayrollEmploymentRequirements, 15, 0, 1, 1))</f>
        <v/>
      </c>
      <c r="C1537" s="195" t="str">
        <f ca="1">IF(OFFSET('IWP19'!Std7PayrollEmploymentRequirements, 15, 2, 1, 1) = 0, "", OFFSET('IWP19'!Std7PayrollEmploymentRequirements, 15, 2, 1, 1))</f>
        <v/>
      </c>
      <c r="D1537" s="172">
        <f ca="1">IF(OFFSET('IWP19'!Std7PayrollEmploymentRequirements, 15, 4, 1, 1)=DATE(1900,1,0), DATE(1900,1,1), OFFSET('IWP19'!Std7PayrollEmploymentRequirements, 15, 4, 1, 1))</f>
        <v>1</v>
      </c>
      <c r="E1537" s="195" t="str">
        <f ca="1">IF(OFFSET('IWP19'!Std7PayrollEmploymentRequirements, 15, 5, 1, 1) = 0, "", OFFSET('IWP19'!Std7PayrollEmploymentRequirements, 15, 5, 1, 1))</f>
        <v/>
      </c>
      <c r="F1537" s="195" t="str">
        <f ca="1">IF(OFFSET('IWP19'!Std7PayrollEmploymentRequirements, 15, 6, 1, 1) = 0, "", OFFSET('IWP19'!Std7PayrollEmploymentRequirements, 15, 6, 1, 1))</f>
        <v/>
      </c>
      <c r="G1537" s="195" t="str">
        <f ca="1">IF(OFFSET('IWP19'!Std7PayrollEmploymentRequirements, 15, 7, 1, 1) = 0, "", OFFSET('IWP19'!Std7PayrollEmploymentRequirements, 15, 7, 1, 1))</f>
        <v/>
      </c>
      <c r="H1537" s="195" t="str">
        <f ca="1">IF(OFFSET('IWP19'!Std7PayrollEmploymentRequirements, 15, 9, 1, 1) = 0, "", OFFSET('IWP19'!Std7PayrollEmploymentRequirements, 15, 9, 1, 1))</f>
        <v/>
      </c>
      <c r="I1537" s="194" t="str">
        <f ca="1">IF(OFFSET('IWP19'!Std7PayrollEmploymentRequirements, 15, 11, 1, 1) = 0, "", OFFSET('IWP19'!Std7PayrollEmploymentRequirements, 15, 11, 1, 1))</f>
        <v/>
      </c>
    </row>
    <row r="1538" spans="1:9" s="146" customFormat="1">
      <c r="A1538" s="183" t="s">
        <v>518</v>
      </c>
      <c r="B1538" s="195" t="str">
        <f ca="1">IF(OFFSET('IWP20'!Std7PayrollEmploymentRequirements, 0, 0, 1, 1) = 0, "", OFFSET('IWP20'!Std7PayrollEmploymentRequirements, 0, 0, 1, 1))</f>
        <v/>
      </c>
      <c r="C1538" s="195" t="str">
        <f ca="1">IF(OFFSET('IWP20'!Std7PayrollEmploymentRequirements, 0, 2, 1, 1) = 0, "", OFFSET('IWP20'!Std7PayrollEmploymentRequirements, 0, 2, 1, 1))</f>
        <v/>
      </c>
      <c r="D1538" s="172">
        <f ca="1">IF(OFFSET('IWP20'!Std7PayrollEmploymentRequirements, 0, 4, 1, 1)=DATE(1900,1,0), DATE(1900,1,1), OFFSET('IWP20'!Std7PayrollEmploymentRequirements, 0, 4, 1, 1))</f>
        <v>1</v>
      </c>
      <c r="E1538" s="195" t="str">
        <f ca="1">IF(OFFSET('IWP20'!Std7PayrollEmploymentRequirements, 0, 5, 1, 1) = 0, "", OFFSET('IWP20'!Std7PayrollEmploymentRequirements, 0, 5, 1, 1))</f>
        <v/>
      </c>
      <c r="F1538" s="195" t="str">
        <f ca="1">IF(OFFSET('IWP20'!Std7PayrollEmploymentRequirements, 0, 6, 1, 1) = 0, "", OFFSET('IWP20'!Std7PayrollEmploymentRequirements, 0, 6, 1, 1))</f>
        <v/>
      </c>
      <c r="G1538" s="195" t="str">
        <f ca="1">IF(OFFSET('IWP20'!Std7PayrollEmploymentRequirements, 0, 7, 1, 1) = 0, "", OFFSET('IWP20'!Std7PayrollEmploymentRequirements, 0, 7, 1, 1))</f>
        <v/>
      </c>
      <c r="H1538" s="195" t="str">
        <f ca="1">IF(OFFSET('IWP20'!Std7PayrollEmploymentRequirements, 0, 9, 1, 1) = 0, "", OFFSET('IWP20'!Std7PayrollEmploymentRequirements, 0, 9, 1, 1))</f>
        <v/>
      </c>
      <c r="I1538" s="194" t="str">
        <f ca="1">IF(OFFSET('IWP20'!Std7PayrollEmploymentRequirements, 0, 11, 1, 1) = 0, "", OFFSET('IWP20'!Std7PayrollEmploymentRequirements, 0, 11, 1, 1))</f>
        <v/>
      </c>
    </row>
    <row r="1539" spans="1:9" s="146" customFormat="1">
      <c r="A1539" s="183" t="s">
        <v>518</v>
      </c>
      <c r="B1539" s="195" t="str">
        <f ca="1">IF(OFFSET('IWP20'!Std7PayrollEmploymentRequirements, 1, 0, 1, 1) = 0, "", OFFSET('IWP20'!Std7PayrollEmploymentRequirements, 1, 0, 1, 1))</f>
        <v/>
      </c>
      <c r="C1539" s="195" t="str">
        <f ca="1">IF(OFFSET('IWP20'!Std7PayrollEmploymentRequirements, 1, 2, 1, 1) = 0, "", OFFSET('IWP20'!Std7PayrollEmploymentRequirements, 1, 2, 1, 1))</f>
        <v/>
      </c>
      <c r="D1539" s="172">
        <f ca="1">IF(OFFSET('IWP20'!Std7PayrollEmploymentRequirements, 1, 4, 1, 1)=DATE(1900,1,0), DATE(1900,1,1), OFFSET('IWP20'!Std7PayrollEmploymentRequirements, 1, 4, 1, 1))</f>
        <v>1</v>
      </c>
      <c r="E1539" s="195" t="str">
        <f ca="1">IF(OFFSET('IWP20'!Std7PayrollEmploymentRequirements, 1, 5, 1, 1) = 0, "", OFFSET('IWP20'!Std7PayrollEmploymentRequirements, 1, 5, 1, 1))</f>
        <v/>
      </c>
      <c r="F1539" s="195" t="str">
        <f ca="1">IF(OFFSET('IWP20'!Std7PayrollEmploymentRequirements, 1, 6, 1, 1) = 0, "", OFFSET('IWP20'!Std7PayrollEmploymentRequirements, 1, 6, 1, 1))</f>
        <v/>
      </c>
      <c r="G1539" s="195" t="str">
        <f ca="1">IF(OFFSET('IWP20'!Std7PayrollEmploymentRequirements, 1, 7, 1, 1) = 0, "", OFFSET('IWP20'!Std7PayrollEmploymentRequirements, 1, 7, 1, 1))</f>
        <v/>
      </c>
      <c r="H1539" s="195" t="str">
        <f ca="1">IF(OFFSET('IWP20'!Std7PayrollEmploymentRequirements, 1, 9, 1, 1) = 0, "", OFFSET('IWP20'!Std7PayrollEmploymentRequirements, 1, 9, 1, 1))</f>
        <v/>
      </c>
      <c r="I1539" s="194" t="str">
        <f ca="1">IF(OFFSET('IWP20'!Std7PayrollEmploymentRequirements, 1, 11, 1, 1) = 0, "", OFFSET('IWP20'!Std7PayrollEmploymentRequirements, 1, 11, 1, 1))</f>
        <v/>
      </c>
    </row>
    <row r="1540" spans="1:9" s="146" customFormat="1">
      <c r="A1540" s="183" t="s">
        <v>518</v>
      </c>
      <c r="B1540" s="195" t="str">
        <f ca="1">IF(OFFSET('IWP20'!Std7PayrollEmploymentRequirements, 2, 0, 1, 1) = 0, "", OFFSET('IWP20'!Std7PayrollEmploymentRequirements, 2, 0, 1, 1))</f>
        <v/>
      </c>
      <c r="C1540" s="195" t="str">
        <f ca="1">IF(OFFSET('IWP20'!Std7PayrollEmploymentRequirements, 2, 2, 1, 1) = 0, "", OFFSET('IWP20'!Std7PayrollEmploymentRequirements, 2, 2, 1, 1))</f>
        <v/>
      </c>
      <c r="D1540" s="172">
        <f ca="1">IF(OFFSET('IWP20'!Std7PayrollEmploymentRequirements, 2, 4, 1, 1)=DATE(1900,1,0), DATE(1900,1,1), OFFSET('IWP20'!Std7PayrollEmploymentRequirements, 2, 4, 1, 1))</f>
        <v>1</v>
      </c>
      <c r="E1540" s="195" t="str">
        <f ca="1">IF(OFFSET('IWP20'!Std7PayrollEmploymentRequirements, 2, 5, 1, 1) = 0, "", OFFSET('IWP20'!Std7PayrollEmploymentRequirements, 2, 5, 1, 1))</f>
        <v/>
      </c>
      <c r="F1540" s="195" t="str">
        <f ca="1">IF(OFFSET('IWP20'!Std7PayrollEmploymentRequirements, 2, 6, 1, 1) = 0, "", OFFSET('IWP20'!Std7PayrollEmploymentRequirements, 2, 6, 1, 1))</f>
        <v/>
      </c>
      <c r="G1540" s="195" t="str">
        <f ca="1">IF(OFFSET('IWP20'!Std7PayrollEmploymentRequirements, 2, 7, 1, 1) = 0, "", OFFSET('IWP20'!Std7PayrollEmploymentRequirements, 2, 7, 1, 1))</f>
        <v/>
      </c>
      <c r="H1540" s="195" t="str">
        <f ca="1">IF(OFFSET('IWP20'!Std7PayrollEmploymentRequirements, 2, 9, 1, 1) = 0, "", OFFSET('IWP20'!Std7PayrollEmploymentRequirements, 2, 9, 1, 1))</f>
        <v/>
      </c>
      <c r="I1540" s="194" t="str">
        <f ca="1">IF(OFFSET('IWP20'!Std7PayrollEmploymentRequirements, 2, 11, 1, 1) = 0, "", OFFSET('IWP20'!Std7PayrollEmploymentRequirements, 2, 11, 1, 1))</f>
        <v/>
      </c>
    </row>
    <row r="1541" spans="1:9" s="146" customFormat="1">
      <c r="A1541" s="183" t="s">
        <v>518</v>
      </c>
      <c r="B1541" s="195" t="str">
        <f ca="1">IF(OFFSET('IWP20'!Std7PayrollEmploymentRequirements, 3, 0, 1, 1) = 0, "", OFFSET('IWP20'!Std7PayrollEmploymentRequirements, 3, 0, 1, 1))</f>
        <v/>
      </c>
      <c r="C1541" s="195" t="str">
        <f ca="1">IF(OFFSET('IWP20'!Std7PayrollEmploymentRequirements, 3, 2, 1, 1) = 0, "", OFFSET('IWP20'!Std7PayrollEmploymentRequirements, 3, 2, 1, 1))</f>
        <v/>
      </c>
      <c r="D1541" s="172">
        <f ca="1">IF(OFFSET('IWP20'!Std7PayrollEmploymentRequirements, 3, 4, 1, 1)=DATE(1900,1,0), DATE(1900,1,1), OFFSET('IWP20'!Std7PayrollEmploymentRequirements, 3, 4, 1, 1))</f>
        <v>1</v>
      </c>
      <c r="E1541" s="195" t="str">
        <f ca="1">IF(OFFSET('IWP20'!Std7PayrollEmploymentRequirements, 3, 5, 1, 1) = 0, "", OFFSET('IWP20'!Std7PayrollEmploymentRequirements, 3, 5, 1, 1))</f>
        <v/>
      </c>
      <c r="F1541" s="195" t="str">
        <f ca="1">IF(OFFSET('IWP20'!Std7PayrollEmploymentRequirements, 3, 6, 1, 1) = 0, "", OFFSET('IWP20'!Std7PayrollEmploymentRequirements, 3, 6, 1, 1))</f>
        <v/>
      </c>
      <c r="G1541" s="195" t="str">
        <f ca="1">IF(OFFSET('IWP20'!Std7PayrollEmploymentRequirements, 3, 7, 1, 1) = 0, "", OFFSET('IWP20'!Std7PayrollEmploymentRequirements, 3, 7, 1, 1))</f>
        <v/>
      </c>
      <c r="H1541" s="195" t="str">
        <f ca="1">IF(OFFSET('IWP20'!Std7PayrollEmploymentRequirements, 3, 9, 1, 1) = 0, "", OFFSET('IWP20'!Std7PayrollEmploymentRequirements, 3, 9, 1, 1))</f>
        <v/>
      </c>
      <c r="I1541" s="194" t="str">
        <f ca="1">IF(OFFSET('IWP20'!Std7PayrollEmploymentRequirements, 3, 11, 1, 1) = 0, "", OFFSET('IWP20'!Std7PayrollEmploymentRequirements, 3, 11, 1, 1))</f>
        <v/>
      </c>
    </row>
    <row r="1542" spans="1:9" s="146" customFormat="1">
      <c r="A1542" s="183" t="s">
        <v>518</v>
      </c>
      <c r="B1542" s="195" t="str">
        <f ca="1">IF(OFFSET('IWP20'!Std7PayrollEmploymentRequirements, 4, 0, 1, 1) = 0, "", OFFSET('IWP20'!Std7PayrollEmploymentRequirements, 4, 0, 1, 1))</f>
        <v/>
      </c>
      <c r="C1542" s="195" t="str">
        <f ca="1">IF(OFFSET('IWP20'!Std7PayrollEmploymentRequirements, 4, 2, 1, 1) = 0, "", OFFSET('IWP20'!Std7PayrollEmploymentRequirements, 4, 2, 1, 1))</f>
        <v/>
      </c>
      <c r="D1542" s="172">
        <f ca="1">IF(OFFSET('IWP20'!Std7PayrollEmploymentRequirements, 4, 4, 1, 1)=DATE(1900,1,0), DATE(1900,1,1), OFFSET('IWP20'!Std7PayrollEmploymentRequirements, 4, 4, 1, 1))</f>
        <v>1</v>
      </c>
      <c r="E1542" s="195" t="str">
        <f ca="1">IF(OFFSET('IWP20'!Std7PayrollEmploymentRequirements, 4, 5, 1, 1) = 0, "", OFFSET('IWP20'!Std7PayrollEmploymentRequirements, 4, 5, 1, 1))</f>
        <v/>
      </c>
      <c r="F1542" s="195" t="str">
        <f ca="1">IF(OFFSET('IWP20'!Std7PayrollEmploymentRequirements, 4, 6, 1, 1) = 0, "", OFFSET('IWP20'!Std7PayrollEmploymentRequirements, 4, 6, 1, 1))</f>
        <v/>
      </c>
      <c r="G1542" s="195" t="str">
        <f ca="1">IF(OFFSET('IWP20'!Std7PayrollEmploymentRequirements, 4, 7, 1, 1) = 0, "", OFFSET('IWP20'!Std7PayrollEmploymentRequirements, 4, 7, 1, 1))</f>
        <v/>
      </c>
      <c r="H1542" s="195" t="str">
        <f ca="1">IF(OFFSET('IWP20'!Std7PayrollEmploymentRequirements, 4, 9, 1, 1) = 0, "", OFFSET('IWP20'!Std7PayrollEmploymentRequirements, 4, 9, 1, 1))</f>
        <v/>
      </c>
      <c r="I1542" s="194" t="str">
        <f ca="1">IF(OFFSET('IWP20'!Std7PayrollEmploymentRequirements, 4, 11, 1, 1) = 0, "", OFFSET('IWP20'!Std7PayrollEmploymentRequirements, 4, 11, 1, 1))</f>
        <v/>
      </c>
    </row>
    <row r="1543" spans="1:9" s="146" customFormat="1">
      <c r="A1543" s="183" t="s">
        <v>518</v>
      </c>
      <c r="B1543" s="195" t="str">
        <f ca="1">IF(OFFSET('IWP20'!Std7PayrollEmploymentRequirements, 5, 0, 1, 1) = 0, "", OFFSET('IWP20'!Std7PayrollEmploymentRequirements, 5, 0, 1, 1))</f>
        <v/>
      </c>
      <c r="C1543" s="195" t="str">
        <f ca="1">IF(OFFSET('IWP20'!Std7PayrollEmploymentRequirements, 5, 2, 1, 1) = 0, "", OFFSET('IWP20'!Std7PayrollEmploymentRequirements, 5, 2, 1, 1))</f>
        <v/>
      </c>
      <c r="D1543" s="172">
        <f ca="1">IF(OFFSET('IWP20'!Std7PayrollEmploymentRequirements, 5, 4, 1, 1)=DATE(1900,1,0), DATE(1900,1,1), OFFSET('IWP20'!Std7PayrollEmploymentRequirements, 5, 4, 1, 1))</f>
        <v>1</v>
      </c>
      <c r="E1543" s="195" t="str">
        <f ca="1">IF(OFFSET('IWP20'!Std7PayrollEmploymentRequirements, 5, 5, 1, 1) = 0, "", OFFSET('IWP20'!Std7PayrollEmploymentRequirements, 5, 5, 1, 1))</f>
        <v/>
      </c>
      <c r="F1543" s="195" t="str">
        <f ca="1">IF(OFFSET('IWP20'!Std7PayrollEmploymentRequirements, 5, 6, 1, 1) = 0, "", OFFSET('IWP20'!Std7PayrollEmploymentRequirements, 5, 6, 1, 1))</f>
        <v/>
      </c>
      <c r="G1543" s="195" t="str">
        <f ca="1">IF(OFFSET('IWP20'!Std7PayrollEmploymentRequirements, 5, 7, 1, 1) = 0, "", OFFSET('IWP20'!Std7PayrollEmploymentRequirements, 5, 7, 1, 1))</f>
        <v/>
      </c>
      <c r="H1543" s="195" t="str">
        <f ca="1">IF(OFFSET('IWP20'!Std7PayrollEmploymentRequirements, 5, 9, 1, 1) = 0, "", OFFSET('IWP20'!Std7PayrollEmploymentRequirements, 5, 9, 1, 1))</f>
        <v/>
      </c>
      <c r="I1543" s="194" t="str">
        <f ca="1">IF(OFFSET('IWP20'!Std7PayrollEmploymentRequirements, 5, 11, 1, 1) = 0, "", OFFSET('IWP20'!Std7PayrollEmploymentRequirements, 5, 11, 1, 1))</f>
        <v/>
      </c>
    </row>
    <row r="1544" spans="1:9" s="146" customFormat="1">
      <c r="A1544" s="183" t="s">
        <v>518</v>
      </c>
      <c r="B1544" s="195" t="str">
        <f ca="1">IF(OFFSET('IWP20'!Std7PayrollEmploymentRequirements, 6, 0, 1, 1) = 0, "", OFFSET('IWP20'!Std7PayrollEmploymentRequirements, 6, 0, 1, 1))</f>
        <v/>
      </c>
      <c r="C1544" s="195" t="str">
        <f ca="1">IF(OFFSET('IWP20'!Std7PayrollEmploymentRequirements, 6, 2, 1, 1) = 0, "", OFFSET('IWP20'!Std7PayrollEmploymentRequirements, 6, 2, 1, 1))</f>
        <v/>
      </c>
      <c r="D1544" s="172">
        <f ca="1">IF(OFFSET('IWP20'!Std7PayrollEmploymentRequirements, 6, 4, 1, 1)=DATE(1900,1,0), DATE(1900,1,1), OFFSET('IWP20'!Std7PayrollEmploymentRequirements, 6, 4, 1, 1))</f>
        <v>1</v>
      </c>
      <c r="E1544" s="195" t="str">
        <f ca="1">IF(OFFSET('IWP20'!Std7PayrollEmploymentRequirements, 6, 5, 1, 1) = 0, "", OFFSET('IWP20'!Std7PayrollEmploymentRequirements, 6, 5, 1, 1))</f>
        <v/>
      </c>
      <c r="F1544" s="195" t="str">
        <f ca="1">IF(OFFSET('IWP20'!Std7PayrollEmploymentRequirements, 6, 6, 1, 1) = 0, "", OFFSET('IWP20'!Std7PayrollEmploymentRequirements, 6, 6, 1, 1))</f>
        <v/>
      </c>
      <c r="G1544" s="195" t="str">
        <f ca="1">IF(OFFSET('IWP20'!Std7PayrollEmploymentRequirements, 6, 7, 1, 1) = 0, "", OFFSET('IWP20'!Std7PayrollEmploymentRequirements, 6, 7, 1, 1))</f>
        <v/>
      </c>
      <c r="H1544" s="195" t="str">
        <f ca="1">IF(OFFSET('IWP20'!Std7PayrollEmploymentRequirements, 6, 9, 1, 1) = 0, "", OFFSET('IWP20'!Std7PayrollEmploymentRequirements, 6, 9, 1, 1))</f>
        <v/>
      </c>
      <c r="I1544" s="194" t="str">
        <f ca="1">IF(OFFSET('IWP20'!Std7PayrollEmploymentRequirements, 6, 11, 1, 1) = 0, "", OFFSET('IWP20'!Std7PayrollEmploymentRequirements, 6, 11, 1, 1))</f>
        <v/>
      </c>
    </row>
    <row r="1545" spans="1:9" s="146" customFormat="1">
      <c r="A1545" s="183" t="s">
        <v>518</v>
      </c>
      <c r="B1545" s="195" t="str">
        <f ca="1">IF(OFFSET('IWP20'!Std7PayrollEmploymentRequirements, 7, 0, 1, 1) = 0, "", OFFSET('IWP20'!Std7PayrollEmploymentRequirements, 7, 0, 1, 1))</f>
        <v/>
      </c>
      <c r="C1545" s="195" t="str">
        <f ca="1">IF(OFFSET('IWP20'!Std7PayrollEmploymentRequirements, 7, 2, 1, 1) = 0, "", OFFSET('IWP20'!Std7PayrollEmploymentRequirements, 7, 2, 1, 1))</f>
        <v/>
      </c>
      <c r="D1545" s="172">
        <f ca="1">IF(OFFSET('IWP20'!Std7PayrollEmploymentRequirements, 7, 4, 1, 1)=DATE(1900,1,0), DATE(1900,1,1), OFFSET('IWP20'!Std7PayrollEmploymentRequirements, 7, 4, 1, 1))</f>
        <v>1</v>
      </c>
      <c r="E1545" s="195" t="str">
        <f ca="1">IF(OFFSET('IWP20'!Std7PayrollEmploymentRequirements, 7, 5, 1, 1) = 0, "", OFFSET('IWP20'!Std7PayrollEmploymentRequirements, 7, 5, 1, 1))</f>
        <v/>
      </c>
      <c r="F1545" s="195" t="str">
        <f ca="1">IF(OFFSET('IWP20'!Std7PayrollEmploymentRequirements, 7, 6, 1, 1) = 0, "", OFFSET('IWP20'!Std7PayrollEmploymentRequirements, 7, 6, 1, 1))</f>
        <v/>
      </c>
      <c r="G1545" s="195" t="str">
        <f ca="1">IF(OFFSET('IWP20'!Std7PayrollEmploymentRequirements, 7, 7, 1, 1) = 0, "", OFFSET('IWP20'!Std7PayrollEmploymentRequirements, 7, 7, 1, 1))</f>
        <v/>
      </c>
      <c r="H1545" s="195" t="str">
        <f ca="1">IF(OFFSET('IWP20'!Std7PayrollEmploymentRequirements, 7, 9, 1, 1) = 0, "", OFFSET('IWP20'!Std7PayrollEmploymentRequirements, 7, 9, 1, 1))</f>
        <v/>
      </c>
      <c r="I1545" s="194" t="str">
        <f ca="1">IF(OFFSET('IWP20'!Std7PayrollEmploymentRequirements, 7, 11, 1, 1) = 0, "", OFFSET('IWP20'!Std7PayrollEmploymentRequirements, 7, 11, 1, 1))</f>
        <v/>
      </c>
    </row>
    <row r="1546" spans="1:9" s="146" customFormat="1">
      <c r="A1546" s="183" t="s">
        <v>518</v>
      </c>
      <c r="B1546" s="195" t="str">
        <f ca="1">IF(OFFSET('IWP20'!Std7PayrollEmploymentRequirements, 8, 0, 1, 1) = 0, "", OFFSET('IWP20'!Std7PayrollEmploymentRequirements, 8, 0, 1, 1))</f>
        <v/>
      </c>
      <c r="C1546" s="195" t="str">
        <f ca="1">IF(OFFSET('IWP20'!Std7PayrollEmploymentRequirements, 8, 2, 1, 1) = 0, "", OFFSET('IWP20'!Std7PayrollEmploymentRequirements, 8, 2, 1, 1))</f>
        <v/>
      </c>
      <c r="D1546" s="172">
        <f ca="1">IF(OFFSET('IWP20'!Std7PayrollEmploymentRequirements, 8, 4, 1, 1)=DATE(1900,1,0), DATE(1900,1,1), OFFSET('IWP20'!Std7PayrollEmploymentRequirements, 8, 4, 1, 1))</f>
        <v>1</v>
      </c>
      <c r="E1546" s="195" t="str">
        <f ca="1">IF(OFFSET('IWP20'!Std7PayrollEmploymentRequirements, 8, 5, 1, 1) = 0, "", OFFSET('IWP20'!Std7PayrollEmploymentRequirements, 8, 5, 1, 1))</f>
        <v/>
      </c>
      <c r="F1546" s="195" t="str">
        <f ca="1">IF(OFFSET('IWP20'!Std7PayrollEmploymentRequirements, 8, 6, 1, 1) = 0, "", OFFSET('IWP20'!Std7PayrollEmploymentRequirements, 8, 6, 1, 1))</f>
        <v/>
      </c>
      <c r="G1546" s="195" t="str">
        <f ca="1">IF(OFFSET('IWP20'!Std7PayrollEmploymentRequirements, 8, 7, 1, 1) = 0, "", OFFSET('IWP20'!Std7PayrollEmploymentRequirements, 8, 7, 1, 1))</f>
        <v/>
      </c>
      <c r="H1546" s="195" t="str">
        <f ca="1">IF(OFFSET('IWP20'!Std7PayrollEmploymentRequirements, 8, 9, 1, 1) = 0, "", OFFSET('IWP20'!Std7PayrollEmploymentRequirements, 8, 9, 1, 1))</f>
        <v/>
      </c>
      <c r="I1546" s="194" t="str">
        <f ca="1">IF(OFFSET('IWP20'!Std7PayrollEmploymentRequirements, 8, 11, 1, 1) = 0, "", OFFSET('IWP20'!Std7PayrollEmploymentRequirements, 8, 11, 1, 1))</f>
        <v/>
      </c>
    </row>
    <row r="1547" spans="1:9" s="146" customFormat="1">
      <c r="A1547" s="183" t="s">
        <v>518</v>
      </c>
      <c r="B1547" s="195" t="str">
        <f ca="1">IF(OFFSET('IWP20'!Std7PayrollEmploymentRequirements, 9, 0, 1, 1) = 0, "", OFFSET('IWP20'!Std7PayrollEmploymentRequirements, 9, 0, 1, 1))</f>
        <v/>
      </c>
      <c r="C1547" s="195" t="str">
        <f ca="1">IF(OFFSET('IWP20'!Std7PayrollEmploymentRequirements, 9, 2, 1, 1) = 0, "", OFFSET('IWP20'!Std7PayrollEmploymentRequirements, 9, 2, 1, 1))</f>
        <v/>
      </c>
      <c r="D1547" s="172">
        <f ca="1">IF(OFFSET('IWP20'!Std7PayrollEmploymentRequirements, 9, 4, 1, 1)=DATE(1900,1,0), DATE(1900,1,1), OFFSET('IWP20'!Std7PayrollEmploymentRequirements, 9, 4, 1, 1))</f>
        <v>1</v>
      </c>
      <c r="E1547" s="195" t="str">
        <f ca="1">IF(OFFSET('IWP20'!Std7PayrollEmploymentRequirements, 9, 5, 1, 1) = 0, "", OFFSET('IWP20'!Std7PayrollEmploymentRequirements, 9, 5, 1, 1))</f>
        <v/>
      </c>
      <c r="F1547" s="195" t="str">
        <f ca="1">IF(OFFSET('IWP20'!Std7PayrollEmploymentRequirements, 9, 6, 1, 1) = 0, "", OFFSET('IWP20'!Std7PayrollEmploymentRequirements, 9, 6, 1, 1))</f>
        <v/>
      </c>
      <c r="G1547" s="195" t="str">
        <f ca="1">IF(OFFSET('IWP20'!Std7PayrollEmploymentRequirements, 9, 7, 1, 1) = 0, "", OFFSET('IWP20'!Std7PayrollEmploymentRequirements, 9, 7, 1, 1))</f>
        <v/>
      </c>
      <c r="H1547" s="195" t="str">
        <f ca="1">IF(OFFSET('IWP20'!Std7PayrollEmploymentRequirements, 9, 9, 1, 1) = 0, "", OFFSET('IWP20'!Std7PayrollEmploymentRequirements, 9, 9, 1, 1))</f>
        <v/>
      </c>
      <c r="I1547" s="194" t="str">
        <f ca="1">IF(OFFSET('IWP20'!Std7PayrollEmploymentRequirements, 9, 11, 1, 1) = 0, "", OFFSET('IWP20'!Std7PayrollEmploymentRequirements, 9, 11, 1, 1))</f>
        <v/>
      </c>
    </row>
    <row r="1548" spans="1:9" s="146" customFormat="1">
      <c r="A1548" s="183" t="s">
        <v>518</v>
      </c>
      <c r="B1548" s="195" t="str">
        <f ca="1">IF(OFFSET('IWP20'!Std7PayrollEmploymentRequirements, 10, 0, 1, 1) = 0, "", OFFSET('IWP20'!Std7PayrollEmploymentRequirements, 10, 0, 1, 1))</f>
        <v/>
      </c>
      <c r="C1548" s="195" t="str">
        <f ca="1">IF(OFFSET('IWP20'!Std7PayrollEmploymentRequirements, 10, 2, 1, 1) = 0, "", OFFSET('IWP20'!Std7PayrollEmploymentRequirements, 10, 2, 1, 1))</f>
        <v/>
      </c>
      <c r="D1548" s="172">
        <f ca="1">IF(OFFSET('IWP20'!Std7PayrollEmploymentRequirements, 10, 4, 1, 1)=DATE(1900,1,0), DATE(1900,1,1), OFFSET('IWP20'!Std7PayrollEmploymentRequirements, 10, 4, 1, 1))</f>
        <v>1</v>
      </c>
      <c r="E1548" s="195" t="str">
        <f ca="1">IF(OFFSET('IWP20'!Std7PayrollEmploymentRequirements, 10, 5, 1, 1) = 0, "", OFFSET('IWP20'!Std7PayrollEmploymentRequirements, 10, 5, 1, 1))</f>
        <v/>
      </c>
      <c r="F1548" s="195" t="str">
        <f ca="1">IF(OFFSET('IWP20'!Std7PayrollEmploymentRequirements, 10, 6, 1, 1) = 0, "", OFFSET('IWP20'!Std7PayrollEmploymentRequirements, 10, 6, 1, 1))</f>
        <v/>
      </c>
      <c r="G1548" s="195" t="str">
        <f ca="1">IF(OFFSET('IWP20'!Std7PayrollEmploymentRequirements, 10, 7, 1, 1) = 0, "", OFFSET('IWP20'!Std7PayrollEmploymentRequirements, 10, 7, 1, 1))</f>
        <v/>
      </c>
      <c r="H1548" s="195" t="str">
        <f ca="1">IF(OFFSET('IWP20'!Std7PayrollEmploymentRequirements, 10, 9, 1, 1) = 0, "", OFFSET('IWP20'!Std7PayrollEmploymentRequirements, 10, 9, 1, 1))</f>
        <v/>
      </c>
      <c r="I1548" s="194" t="str">
        <f ca="1">IF(OFFSET('IWP20'!Std7PayrollEmploymentRequirements, 10, 11, 1, 1) = 0, "", OFFSET('IWP20'!Std7PayrollEmploymentRequirements, 10, 11, 1, 1))</f>
        <v/>
      </c>
    </row>
    <row r="1549" spans="1:9" s="146" customFormat="1">
      <c r="A1549" s="183" t="s">
        <v>518</v>
      </c>
      <c r="B1549" s="195" t="str">
        <f ca="1">IF(OFFSET('IWP20'!Std7PayrollEmploymentRequirements, 11, 0, 1, 1) = 0, "", OFFSET('IWP20'!Std7PayrollEmploymentRequirements, 11, 0, 1, 1))</f>
        <v/>
      </c>
      <c r="C1549" s="195" t="str">
        <f ca="1">IF(OFFSET('IWP20'!Std7PayrollEmploymentRequirements, 11, 2, 1, 1) = 0, "", OFFSET('IWP20'!Std7PayrollEmploymentRequirements, 11, 2, 1, 1))</f>
        <v/>
      </c>
      <c r="D1549" s="172">
        <f ca="1">IF(OFFSET('IWP20'!Std7PayrollEmploymentRequirements, 11, 4, 1, 1)=DATE(1900,1,0), DATE(1900,1,1), OFFSET('IWP20'!Std7PayrollEmploymentRequirements, 11, 4, 1, 1))</f>
        <v>1</v>
      </c>
      <c r="E1549" s="195" t="str">
        <f ca="1">IF(OFFSET('IWP20'!Std7PayrollEmploymentRequirements, 11, 5, 1, 1) = 0, "", OFFSET('IWP20'!Std7PayrollEmploymentRequirements, 11, 5, 1, 1))</f>
        <v/>
      </c>
      <c r="F1549" s="195" t="str">
        <f ca="1">IF(OFFSET('IWP20'!Std7PayrollEmploymentRequirements, 11, 6, 1, 1) = 0, "", OFFSET('IWP20'!Std7PayrollEmploymentRequirements, 11, 6, 1, 1))</f>
        <v/>
      </c>
      <c r="G1549" s="195" t="str">
        <f ca="1">IF(OFFSET('IWP20'!Std7PayrollEmploymentRequirements, 11, 7, 1, 1) = 0, "", OFFSET('IWP20'!Std7PayrollEmploymentRequirements, 11, 7, 1, 1))</f>
        <v/>
      </c>
      <c r="H1549" s="195" t="str">
        <f ca="1">IF(OFFSET('IWP20'!Std7PayrollEmploymentRequirements, 11, 9, 1, 1) = 0, "", OFFSET('IWP20'!Std7PayrollEmploymentRequirements, 11, 9, 1, 1))</f>
        <v/>
      </c>
      <c r="I1549" s="194" t="str">
        <f ca="1">IF(OFFSET('IWP20'!Std7PayrollEmploymentRequirements, 11, 11, 1, 1) = 0, "", OFFSET('IWP20'!Std7PayrollEmploymentRequirements, 11, 11, 1, 1))</f>
        <v/>
      </c>
    </row>
    <row r="1550" spans="1:9" s="146" customFormat="1">
      <c r="A1550" s="183" t="s">
        <v>518</v>
      </c>
      <c r="B1550" s="195" t="str">
        <f ca="1">IF(OFFSET('IWP20'!Std7PayrollEmploymentRequirements, 12, 0, 1, 1) = 0, "", OFFSET('IWP20'!Std7PayrollEmploymentRequirements, 12, 0, 1, 1))</f>
        <v/>
      </c>
      <c r="C1550" s="195" t="str">
        <f ca="1">IF(OFFSET('IWP20'!Std7PayrollEmploymentRequirements, 12, 2, 1, 1) = 0, "", OFFSET('IWP20'!Std7PayrollEmploymentRequirements, 12, 2, 1, 1))</f>
        <v/>
      </c>
      <c r="D1550" s="172">
        <f ca="1">IF(OFFSET('IWP20'!Std7PayrollEmploymentRequirements, 12, 4, 1, 1)=DATE(1900,1,0), DATE(1900,1,1), OFFSET('IWP20'!Std7PayrollEmploymentRequirements, 12, 4, 1, 1))</f>
        <v>1</v>
      </c>
      <c r="E1550" s="195" t="str">
        <f ca="1">IF(OFFSET('IWP20'!Std7PayrollEmploymentRequirements, 12, 5, 1, 1) = 0, "", OFFSET('IWP20'!Std7PayrollEmploymentRequirements, 12, 5, 1, 1))</f>
        <v/>
      </c>
      <c r="F1550" s="195" t="str">
        <f ca="1">IF(OFFSET('IWP20'!Std7PayrollEmploymentRequirements, 12, 6, 1, 1) = 0, "", OFFSET('IWP20'!Std7PayrollEmploymentRequirements, 12, 6, 1, 1))</f>
        <v/>
      </c>
      <c r="G1550" s="195" t="str">
        <f ca="1">IF(OFFSET('IWP20'!Std7PayrollEmploymentRequirements, 12, 7, 1, 1) = 0, "", OFFSET('IWP20'!Std7PayrollEmploymentRequirements, 12, 7, 1, 1))</f>
        <v/>
      </c>
      <c r="H1550" s="195" t="str">
        <f ca="1">IF(OFFSET('IWP20'!Std7PayrollEmploymentRequirements, 12, 9, 1, 1) = 0, "", OFFSET('IWP20'!Std7PayrollEmploymentRequirements, 12, 9, 1, 1))</f>
        <v/>
      </c>
      <c r="I1550" s="194" t="str">
        <f ca="1">IF(OFFSET('IWP20'!Std7PayrollEmploymentRequirements, 12, 11, 1, 1) = 0, "", OFFSET('IWP20'!Std7PayrollEmploymentRequirements, 12, 11, 1, 1))</f>
        <v/>
      </c>
    </row>
    <row r="1551" spans="1:9" s="146" customFormat="1">
      <c r="A1551" s="183" t="s">
        <v>518</v>
      </c>
      <c r="B1551" s="195" t="str">
        <f ca="1">IF(OFFSET('IWP20'!Std7PayrollEmploymentRequirements, 13, 0, 1, 1) = 0, "", OFFSET('IWP20'!Std7PayrollEmploymentRequirements, 13, 0, 1, 1))</f>
        <v/>
      </c>
      <c r="C1551" s="195" t="str">
        <f ca="1">IF(OFFSET('IWP20'!Std7PayrollEmploymentRequirements, 13, 2, 1, 1) = 0, "", OFFSET('IWP20'!Std7PayrollEmploymentRequirements, 13, 2, 1, 1))</f>
        <v/>
      </c>
      <c r="D1551" s="172">
        <f ca="1">IF(OFFSET('IWP20'!Std7PayrollEmploymentRequirements, 13, 4, 1, 1)=DATE(1900,1,0), DATE(1900,1,1), OFFSET('IWP20'!Std7PayrollEmploymentRequirements, 13, 4, 1, 1))</f>
        <v>1</v>
      </c>
      <c r="E1551" s="195" t="str">
        <f ca="1">IF(OFFSET('IWP20'!Std7PayrollEmploymentRequirements, 13, 5, 1, 1) = 0, "", OFFSET('IWP20'!Std7PayrollEmploymentRequirements, 13, 5, 1, 1))</f>
        <v/>
      </c>
      <c r="F1551" s="195" t="str">
        <f ca="1">IF(OFFSET('IWP20'!Std7PayrollEmploymentRequirements, 13, 6, 1, 1) = 0, "", OFFSET('IWP20'!Std7PayrollEmploymentRequirements, 13, 6, 1, 1))</f>
        <v/>
      </c>
      <c r="G1551" s="195" t="str">
        <f ca="1">IF(OFFSET('IWP20'!Std7PayrollEmploymentRequirements, 13, 7, 1, 1) = 0, "", OFFSET('IWP20'!Std7PayrollEmploymentRequirements, 13, 7, 1, 1))</f>
        <v/>
      </c>
      <c r="H1551" s="195" t="str">
        <f ca="1">IF(OFFSET('IWP20'!Std7PayrollEmploymentRequirements, 13, 9, 1, 1) = 0, "", OFFSET('IWP20'!Std7PayrollEmploymentRequirements, 13, 9, 1, 1))</f>
        <v/>
      </c>
      <c r="I1551" s="194" t="str">
        <f ca="1">IF(OFFSET('IWP20'!Std7PayrollEmploymentRequirements, 13, 11, 1, 1) = 0, "", OFFSET('IWP20'!Std7PayrollEmploymentRequirements, 13, 11, 1, 1))</f>
        <v/>
      </c>
    </row>
    <row r="1552" spans="1:9" s="146" customFormat="1">
      <c r="A1552" s="183" t="s">
        <v>518</v>
      </c>
      <c r="B1552" s="195" t="str">
        <f ca="1">IF(OFFSET('IWP20'!Std7PayrollEmploymentRequirements, 14, 0, 1, 1) = 0, "", OFFSET('IWP20'!Std7PayrollEmploymentRequirements, 14, 0, 1, 1))</f>
        <v/>
      </c>
      <c r="C1552" s="195" t="str">
        <f ca="1">IF(OFFSET('IWP20'!Std7PayrollEmploymentRequirements, 14, 2, 1, 1) = 0, "", OFFSET('IWP20'!Std7PayrollEmploymentRequirements, 14, 2, 1, 1))</f>
        <v/>
      </c>
      <c r="D1552" s="172">
        <f ca="1">IF(OFFSET('IWP20'!Std7PayrollEmploymentRequirements, 14, 4, 1, 1)=DATE(1900,1,0), DATE(1900,1,1), OFFSET('IWP20'!Std7PayrollEmploymentRequirements, 14, 4, 1, 1))</f>
        <v>1</v>
      </c>
      <c r="E1552" s="195" t="str">
        <f ca="1">IF(OFFSET('IWP20'!Std7PayrollEmploymentRequirements, 14, 5, 1, 1) = 0, "", OFFSET('IWP20'!Std7PayrollEmploymentRequirements, 14, 5, 1, 1))</f>
        <v/>
      </c>
      <c r="F1552" s="195" t="str">
        <f ca="1">IF(OFFSET('IWP20'!Std7PayrollEmploymentRequirements, 14, 6, 1, 1) = 0, "", OFFSET('IWP20'!Std7PayrollEmploymentRequirements, 14, 6, 1, 1))</f>
        <v/>
      </c>
      <c r="G1552" s="195" t="str">
        <f ca="1">IF(OFFSET('IWP20'!Std7PayrollEmploymentRequirements, 14, 7, 1, 1) = 0, "", OFFSET('IWP20'!Std7PayrollEmploymentRequirements, 14, 7, 1, 1))</f>
        <v/>
      </c>
      <c r="H1552" s="195" t="str">
        <f ca="1">IF(OFFSET('IWP20'!Std7PayrollEmploymentRequirements, 14, 9, 1, 1) = 0, "", OFFSET('IWP20'!Std7PayrollEmploymentRequirements, 14, 9, 1, 1))</f>
        <v/>
      </c>
      <c r="I1552" s="194" t="str">
        <f ca="1">IF(OFFSET('IWP20'!Std7PayrollEmploymentRequirements, 14, 11, 1, 1) = 0, "", OFFSET('IWP20'!Std7PayrollEmploymentRequirements, 14, 11, 1, 1))</f>
        <v/>
      </c>
    </row>
    <row r="1553" spans="1:9" s="146" customFormat="1">
      <c r="A1553" s="183" t="s">
        <v>518</v>
      </c>
      <c r="B1553" s="195" t="str">
        <f ca="1">IF(OFFSET('IWP20'!Std7PayrollEmploymentRequirements, 15, 0, 1, 1) = 0, "", OFFSET('IWP20'!Std7PayrollEmploymentRequirements, 15, 0, 1, 1))</f>
        <v/>
      </c>
      <c r="C1553" s="195" t="str">
        <f ca="1">IF(OFFSET('IWP20'!Std7PayrollEmploymentRequirements, 15, 2, 1, 1) = 0, "", OFFSET('IWP20'!Std7PayrollEmploymentRequirements, 15, 2, 1, 1))</f>
        <v/>
      </c>
      <c r="D1553" s="172">
        <f ca="1">IF(OFFSET('IWP20'!Std7PayrollEmploymentRequirements, 15, 4, 1, 1)=DATE(1900,1,0), DATE(1900,1,1), OFFSET('IWP20'!Std7PayrollEmploymentRequirements, 15, 4, 1, 1))</f>
        <v>1</v>
      </c>
      <c r="E1553" s="195" t="str">
        <f ca="1">IF(OFFSET('IWP20'!Std7PayrollEmploymentRequirements, 15, 5, 1, 1) = 0, "", OFFSET('IWP20'!Std7PayrollEmploymentRequirements, 15, 5, 1, 1))</f>
        <v/>
      </c>
      <c r="F1553" s="195" t="str">
        <f ca="1">IF(OFFSET('IWP20'!Std7PayrollEmploymentRequirements, 15, 6, 1, 1) = 0, "", OFFSET('IWP20'!Std7PayrollEmploymentRequirements, 15, 6, 1, 1))</f>
        <v/>
      </c>
      <c r="G1553" s="195" t="str">
        <f ca="1">IF(OFFSET('IWP20'!Std7PayrollEmploymentRequirements, 15, 7, 1, 1) = 0, "", OFFSET('IWP20'!Std7PayrollEmploymentRequirements, 15, 7, 1, 1))</f>
        <v/>
      </c>
      <c r="H1553" s="195" t="str">
        <f ca="1">IF(OFFSET('IWP20'!Std7PayrollEmploymentRequirements, 15, 9, 1, 1) = 0, "", OFFSET('IWP20'!Std7PayrollEmploymentRequirements, 15, 9, 1, 1))</f>
        <v/>
      </c>
      <c r="I1553" s="194" t="str">
        <f ca="1">IF(OFFSET('IWP20'!Std7PayrollEmploymentRequirements, 15, 11, 1, 1) = 0, "", OFFSET('IWP20'!Std7PayrollEmploymentRequirements, 15, 11, 1, 1))</f>
        <v/>
      </c>
    </row>
    <row r="1554" spans="1:9" s="146" customFormat="1">
      <c r="A1554" s="183" t="s">
        <v>519</v>
      </c>
      <c r="B1554" s="195" t="str">
        <f ca="1">IF(OFFSET('IWP21'!Std7PayrollEmploymentRequirements, 0, 0, 1, 1) = 0, "", OFFSET('IWP21'!Std7PayrollEmploymentRequirements, 0, 0, 1, 1))</f>
        <v/>
      </c>
      <c r="C1554" s="195" t="str">
        <f ca="1">IF(OFFSET('IWP21'!Std7PayrollEmploymentRequirements, 0, 2, 1, 1) = 0, "", OFFSET('IWP21'!Std7PayrollEmploymentRequirements, 0, 2, 1, 1))</f>
        <v/>
      </c>
      <c r="D1554" s="172">
        <f ca="1">IF(OFFSET('IWP21'!Std7PayrollEmploymentRequirements, 0, 4, 1, 1)=DATE(1900,1,0), DATE(1900,1,1), OFFSET('IWP21'!Std7PayrollEmploymentRequirements, 0, 4, 1, 1))</f>
        <v>1</v>
      </c>
      <c r="E1554" s="195" t="str">
        <f ca="1">IF(OFFSET('IWP21'!Std7PayrollEmploymentRequirements, 0, 5, 1, 1) = 0, "", OFFSET('IWP21'!Std7PayrollEmploymentRequirements, 0, 5, 1, 1))</f>
        <v/>
      </c>
      <c r="F1554" s="195" t="str">
        <f ca="1">IF(OFFSET('IWP21'!Std7PayrollEmploymentRequirements, 0, 6, 1, 1) = 0, "", OFFSET('IWP21'!Std7PayrollEmploymentRequirements, 0, 6, 1, 1))</f>
        <v/>
      </c>
      <c r="G1554" s="195" t="str">
        <f ca="1">IF(OFFSET('IWP21'!Std7PayrollEmploymentRequirements, 0, 7, 1, 1) = 0, "", OFFSET('IWP21'!Std7PayrollEmploymentRequirements, 0, 7, 1, 1))</f>
        <v/>
      </c>
      <c r="H1554" s="195" t="str">
        <f ca="1">IF(OFFSET('IWP21'!Std7PayrollEmploymentRequirements, 0, 9, 1, 1) = 0, "", OFFSET('IWP21'!Std7PayrollEmploymentRequirements, 0, 9, 1, 1))</f>
        <v/>
      </c>
      <c r="I1554" s="194" t="str">
        <f ca="1">IF(OFFSET('IWP21'!Std7PayrollEmploymentRequirements, 0, 11, 1, 1) = 0, "", OFFSET('IWP21'!Std7PayrollEmploymentRequirements, 0, 11, 1, 1))</f>
        <v/>
      </c>
    </row>
    <row r="1555" spans="1:9" s="146" customFormat="1">
      <c r="A1555" s="183" t="s">
        <v>519</v>
      </c>
      <c r="B1555" s="195" t="str">
        <f ca="1">IF(OFFSET('IWP21'!Std7PayrollEmploymentRequirements, 1, 0, 1, 1) = 0, "", OFFSET('IWP21'!Std7PayrollEmploymentRequirements, 1, 0, 1, 1))</f>
        <v/>
      </c>
      <c r="C1555" s="195" t="str">
        <f ca="1">IF(OFFSET('IWP21'!Std7PayrollEmploymentRequirements, 1, 2, 1, 1) = 0, "", OFFSET('IWP21'!Std7PayrollEmploymentRequirements, 1, 2, 1, 1))</f>
        <v/>
      </c>
      <c r="D1555" s="172">
        <f ca="1">IF(OFFSET('IWP21'!Std7PayrollEmploymentRequirements, 1, 4, 1, 1)=DATE(1900,1,0), DATE(1900,1,1), OFFSET('IWP21'!Std7PayrollEmploymentRequirements, 1, 4, 1, 1))</f>
        <v>1</v>
      </c>
      <c r="E1555" s="195" t="str">
        <f ca="1">IF(OFFSET('IWP21'!Std7PayrollEmploymentRequirements, 1, 5, 1, 1) = 0, "", OFFSET('IWP21'!Std7PayrollEmploymentRequirements, 1, 5, 1, 1))</f>
        <v/>
      </c>
      <c r="F1555" s="195" t="str">
        <f ca="1">IF(OFFSET('IWP21'!Std7PayrollEmploymentRequirements, 1, 6, 1, 1) = 0, "", OFFSET('IWP21'!Std7PayrollEmploymentRequirements, 1, 6, 1, 1))</f>
        <v/>
      </c>
      <c r="G1555" s="195" t="str">
        <f ca="1">IF(OFFSET('IWP21'!Std7PayrollEmploymentRequirements, 1, 7, 1, 1) = 0, "", OFFSET('IWP21'!Std7PayrollEmploymentRequirements, 1, 7, 1, 1))</f>
        <v/>
      </c>
      <c r="H1555" s="195" t="str">
        <f ca="1">IF(OFFSET('IWP21'!Std7PayrollEmploymentRequirements, 1, 9, 1, 1) = 0, "", OFFSET('IWP21'!Std7PayrollEmploymentRequirements, 1, 9, 1, 1))</f>
        <v/>
      </c>
      <c r="I1555" s="194" t="str">
        <f ca="1">IF(OFFSET('IWP21'!Std7PayrollEmploymentRequirements, 1, 11, 1, 1) = 0, "", OFFSET('IWP21'!Std7PayrollEmploymentRequirements, 1, 11, 1, 1))</f>
        <v/>
      </c>
    </row>
    <row r="1556" spans="1:9" s="146" customFormat="1">
      <c r="A1556" s="183" t="s">
        <v>519</v>
      </c>
      <c r="B1556" s="195" t="str">
        <f ca="1">IF(OFFSET('IWP21'!Std7PayrollEmploymentRequirements, 2, 0, 1, 1) = 0, "", OFFSET('IWP21'!Std7PayrollEmploymentRequirements, 2, 0, 1, 1))</f>
        <v/>
      </c>
      <c r="C1556" s="195" t="str">
        <f ca="1">IF(OFFSET('IWP21'!Std7PayrollEmploymentRequirements, 2, 2, 1, 1) = 0, "", OFFSET('IWP21'!Std7PayrollEmploymentRequirements, 2, 2, 1, 1))</f>
        <v/>
      </c>
      <c r="D1556" s="172">
        <f ca="1">IF(OFFSET('IWP21'!Std7PayrollEmploymentRequirements, 2, 4, 1, 1)=DATE(1900,1,0), DATE(1900,1,1), OFFSET('IWP21'!Std7PayrollEmploymentRequirements, 2, 4, 1, 1))</f>
        <v>1</v>
      </c>
      <c r="E1556" s="195" t="str">
        <f ca="1">IF(OFFSET('IWP21'!Std7PayrollEmploymentRequirements, 2, 5, 1, 1) = 0, "", OFFSET('IWP21'!Std7PayrollEmploymentRequirements, 2, 5, 1, 1))</f>
        <v/>
      </c>
      <c r="F1556" s="195" t="str">
        <f ca="1">IF(OFFSET('IWP21'!Std7PayrollEmploymentRequirements, 2, 6, 1, 1) = 0, "", OFFSET('IWP21'!Std7PayrollEmploymentRequirements, 2, 6, 1, 1))</f>
        <v/>
      </c>
      <c r="G1556" s="195" t="str">
        <f ca="1">IF(OFFSET('IWP21'!Std7PayrollEmploymentRequirements, 2, 7, 1, 1) = 0, "", OFFSET('IWP21'!Std7PayrollEmploymentRequirements, 2, 7, 1, 1))</f>
        <v/>
      </c>
      <c r="H1556" s="195" t="str">
        <f ca="1">IF(OFFSET('IWP21'!Std7PayrollEmploymentRequirements, 2, 9, 1, 1) = 0, "", OFFSET('IWP21'!Std7PayrollEmploymentRequirements, 2, 9, 1, 1))</f>
        <v/>
      </c>
      <c r="I1556" s="194" t="str">
        <f ca="1">IF(OFFSET('IWP21'!Std7PayrollEmploymentRequirements, 2, 11, 1, 1) = 0, "", OFFSET('IWP21'!Std7PayrollEmploymentRequirements, 2, 11, 1, 1))</f>
        <v/>
      </c>
    </row>
    <row r="1557" spans="1:9" s="146" customFormat="1">
      <c r="A1557" s="183" t="s">
        <v>519</v>
      </c>
      <c r="B1557" s="195" t="str">
        <f ca="1">IF(OFFSET('IWP21'!Std7PayrollEmploymentRequirements, 3, 0, 1, 1) = 0, "", OFFSET('IWP21'!Std7PayrollEmploymentRequirements, 3, 0, 1, 1))</f>
        <v/>
      </c>
      <c r="C1557" s="195" t="str">
        <f ca="1">IF(OFFSET('IWP21'!Std7PayrollEmploymentRequirements, 3, 2, 1, 1) = 0, "", OFFSET('IWP21'!Std7PayrollEmploymentRequirements, 3, 2, 1, 1))</f>
        <v/>
      </c>
      <c r="D1557" s="172">
        <f ca="1">IF(OFFSET('IWP21'!Std7PayrollEmploymentRequirements, 3, 4, 1, 1)=DATE(1900,1,0), DATE(1900,1,1), OFFSET('IWP21'!Std7PayrollEmploymentRequirements, 3, 4, 1, 1))</f>
        <v>1</v>
      </c>
      <c r="E1557" s="195" t="str">
        <f ca="1">IF(OFFSET('IWP21'!Std7PayrollEmploymentRequirements, 3, 5, 1, 1) = 0, "", OFFSET('IWP21'!Std7PayrollEmploymentRequirements, 3, 5, 1, 1))</f>
        <v/>
      </c>
      <c r="F1557" s="195" t="str">
        <f ca="1">IF(OFFSET('IWP21'!Std7PayrollEmploymentRequirements, 3, 6, 1, 1) = 0, "", OFFSET('IWP21'!Std7PayrollEmploymentRequirements, 3, 6, 1, 1))</f>
        <v/>
      </c>
      <c r="G1557" s="195" t="str">
        <f ca="1">IF(OFFSET('IWP21'!Std7PayrollEmploymentRequirements, 3, 7, 1, 1) = 0, "", OFFSET('IWP21'!Std7PayrollEmploymentRequirements, 3, 7, 1, 1))</f>
        <v/>
      </c>
      <c r="H1557" s="195" t="str">
        <f ca="1">IF(OFFSET('IWP21'!Std7PayrollEmploymentRequirements, 3, 9, 1, 1) = 0, "", OFFSET('IWP21'!Std7PayrollEmploymentRequirements, 3, 9, 1, 1))</f>
        <v/>
      </c>
      <c r="I1557" s="194" t="str">
        <f ca="1">IF(OFFSET('IWP21'!Std7PayrollEmploymentRequirements, 3, 11, 1, 1) = 0, "", OFFSET('IWP21'!Std7PayrollEmploymentRequirements, 3, 11, 1, 1))</f>
        <v/>
      </c>
    </row>
    <row r="1558" spans="1:9" s="146" customFormat="1">
      <c r="A1558" s="183" t="s">
        <v>519</v>
      </c>
      <c r="B1558" s="195" t="str">
        <f ca="1">IF(OFFSET('IWP21'!Std7PayrollEmploymentRequirements, 4, 0, 1, 1) = 0, "", OFFSET('IWP21'!Std7PayrollEmploymentRequirements, 4, 0, 1, 1))</f>
        <v/>
      </c>
      <c r="C1558" s="195" t="str">
        <f ca="1">IF(OFFSET('IWP21'!Std7PayrollEmploymentRequirements, 4, 2, 1, 1) = 0, "", OFFSET('IWP21'!Std7PayrollEmploymentRequirements, 4, 2, 1, 1))</f>
        <v/>
      </c>
      <c r="D1558" s="172">
        <f ca="1">IF(OFFSET('IWP21'!Std7PayrollEmploymentRequirements, 4, 4, 1, 1)=DATE(1900,1,0), DATE(1900,1,1), OFFSET('IWP21'!Std7PayrollEmploymentRequirements, 4, 4, 1, 1))</f>
        <v>1</v>
      </c>
      <c r="E1558" s="195" t="str">
        <f ca="1">IF(OFFSET('IWP21'!Std7PayrollEmploymentRequirements, 4, 5, 1, 1) = 0, "", OFFSET('IWP21'!Std7PayrollEmploymentRequirements, 4, 5, 1, 1))</f>
        <v/>
      </c>
      <c r="F1558" s="195" t="str">
        <f ca="1">IF(OFFSET('IWP21'!Std7PayrollEmploymentRequirements, 4, 6, 1, 1) = 0, "", OFFSET('IWP21'!Std7PayrollEmploymentRequirements, 4, 6, 1, 1))</f>
        <v/>
      </c>
      <c r="G1558" s="195" t="str">
        <f ca="1">IF(OFFSET('IWP21'!Std7PayrollEmploymentRequirements, 4, 7, 1, 1) = 0, "", OFFSET('IWP21'!Std7PayrollEmploymentRequirements, 4, 7, 1, 1))</f>
        <v/>
      </c>
      <c r="H1558" s="195" t="str">
        <f ca="1">IF(OFFSET('IWP21'!Std7PayrollEmploymentRequirements, 4, 9, 1, 1) = 0, "", OFFSET('IWP21'!Std7PayrollEmploymentRequirements, 4, 9, 1, 1))</f>
        <v/>
      </c>
      <c r="I1558" s="194" t="str">
        <f ca="1">IF(OFFSET('IWP21'!Std7PayrollEmploymentRequirements, 4, 11, 1, 1) = 0, "", OFFSET('IWP21'!Std7PayrollEmploymentRequirements, 4, 11, 1, 1))</f>
        <v/>
      </c>
    </row>
    <row r="1559" spans="1:9" s="146" customFormat="1">
      <c r="A1559" s="183" t="s">
        <v>519</v>
      </c>
      <c r="B1559" s="195" t="str">
        <f ca="1">IF(OFFSET('IWP21'!Std7PayrollEmploymentRequirements, 5, 0, 1, 1) = 0, "", OFFSET('IWP21'!Std7PayrollEmploymentRequirements, 5, 0, 1, 1))</f>
        <v/>
      </c>
      <c r="C1559" s="195" t="str">
        <f ca="1">IF(OFFSET('IWP21'!Std7PayrollEmploymentRequirements, 5, 2, 1, 1) = 0, "", OFFSET('IWP21'!Std7PayrollEmploymentRequirements, 5, 2, 1, 1))</f>
        <v/>
      </c>
      <c r="D1559" s="172">
        <f ca="1">IF(OFFSET('IWP21'!Std7PayrollEmploymentRequirements, 5, 4, 1, 1)=DATE(1900,1,0), DATE(1900,1,1), OFFSET('IWP21'!Std7PayrollEmploymentRequirements, 5, 4, 1, 1))</f>
        <v>1</v>
      </c>
      <c r="E1559" s="195" t="str">
        <f ca="1">IF(OFFSET('IWP21'!Std7PayrollEmploymentRequirements, 5, 5, 1, 1) = 0, "", OFFSET('IWP21'!Std7PayrollEmploymentRequirements, 5, 5, 1, 1))</f>
        <v/>
      </c>
      <c r="F1559" s="195" t="str">
        <f ca="1">IF(OFFSET('IWP21'!Std7PayrollEmploymentRequirements, 5, 6, 1, 1) = 0, "", OFFSET('IWP21'!Std7PayrollEmploymentRequirements, 5, 6, 1, 1))</f>
        <v/>
      </c>
      <c r="G1559" s="195" t="str">
        <f ca="1">IF(OFFSET('IWP21'!Std7PayrollEmploymentRequirements, 5, 7, 1, 1) = 0, "", OFFSET('IWP21'!Std7PayrollEmploymentRequirements, 5, 7, 1, 1))</f>
        <v/>
      </c>
      <c r="H1559" s="195" t="str">
        <f ca="1">IF(OFFSET('IWP21'!Std7PayrollEmploymentRequirements, 5, 9, 1, 1) = 0, "", OFFSET('IWP21'!Std7PayrollEmploymentRequirements, 5, 9, 1, 1))</f>
        <v/>
      </c>
      <c r="I1559" s="194" t="str">
        <f ca="1">IF(OFFSET('IWP21'!Std7PayrollEmploymentRequirements, 5, 11, 1, 1) = 0, "", OFFSET('IWP21'!Std7PayrollEmploymentRequirements, 5, 11, 1, 1))</f>
        <v/>
      </c>
    </row>
    <row r="1560" spans="1:9" s="146" customFormat="1">
      <c r="A1560" s="183" t="s">
        <v>519</v>
      </c>
      <c r="B1560" s="195" t="str">
        <f ca="1">IF(OFFSET('IWP21'!Std7PayrollEmploymentRequirements, 6, 0, 1, 1) = 0, "", OFFSET('IWP21'!Std7PayrollEmploymentRequirements, 6, 0, 1, 1))</f>
        <v/>
      </c>
      <c r="C1560" s="195" t="str">
        <f ca="1">IF(OFFSET('IWP21'!Std7PayrollEmploymentRequirements, 6, 2, 1, 1) = 0, "", OFFSET('IWP21'!Std7PayrollEmploymentRequirements, 6, 2, 1, 1))</f>
        <v/>
      </c>
      <c r="D1560" s="172">
        <f ca="1">IF(OFFSET('IWP21'!Std7PayrollEmploymentRequirements, 6, 4, 1, 1)=DATE(1900,1,0), DATE(1900,1,1), OFFSET('IWP21'!Std7PayrollEmploymentRequirements, 6, 4, 1, 1))</f>
        <v>1</v>
      </c>
      <c r="E1560" s="195" t="str">
        <f ca="1">IF(OFFSET('IWP21'!Std7PayrollEmploymentRequirements, 6, 5, 1, 1) = 0, "", OFFSET('IWP21'!Std7PayrollEmploymentRequirements, 6, 5, 1, 1))</f>
        <v/>
      </c>
      <c r="F1560" s="195" t="str">
        <f ca="1">IF(OFFSET('IWP21'!Std7PayrollEmploymentRequirements, 6, 6, 1, 1) = 0, "", OFFSET('IWP21'!Std7PayrollEmploymentRequirements, 6, 6, 1, 1))</f>
        <v/>
      </c>
      <c r="G1560" s="195" t="str">
        <f ca="1">IF(OFFSET('IWP21'!Std7PayrollEmploymentRequirements, 6, 7, 1, 1) = 0, "", OFFSET('IWP21'!Std7PayrollEmploymentRequirements, 6, 7, 1, 1))</f>
        <v/>
      </c>
      <c r="H1560" s="195" t="str">
        <f ca="1">IF(OFFSET('IWP21'!Std7PayrollEmploymentRequirements, 6, 9, 1, 1) = 0, "", OFFSET('IWP21'!Std7PayrollEmploymentRequirements, 6, 9, 1, 1))</f>
        <v/>
      </c>
      <c r="I1560" s="194" t="str">
        <f ca="1">IF(OFFSET('IWP21'!Std7PayrollEmploymentRequirements, 6, 11, 1, 1) = 0, "", OFFSET('IWP21'!Std7PayrollEmploymentRequirements, 6, 11, 1, 1))</f>
        <v/>
      </c>
    </row>
    <row r="1561" spans="1:9" s="146" customFormat="1">
      <c r="A1561" s="183" t="s">
        <v>519</v>
      </c>
      <c r="B1561" s="195" t="str">
        <f ca="1">IF(OFFSET('IWP21'!Std7PayrollEmploymentRequirements, 7, 0, 1, 1) = 0, "", OFFSET('IWP21'!Std7PayrollEmploymentRequirements, 7, 0, 1, 1))</f>
        <v/>
      </c>
      <c r="C1561" s="195" t="str">
        <f ca="1">IF(OFFSET('IWP21'!Std7PayrollEmploymentRequirements, 7, 2, 1, 1) = 0, "", OFFSET('IWP21'!Std7PayrollEmploymentRequirements, 7, 2, 1, 1))</f>
        <v/>
      </c>
      <c r="D1561" s="172">
        <f ca="1">IF(OFFSET('IWP21'!Std7PayrollEmploymentRequirements, 7, 4, 1, 1)=DATE(1900,1,0), DATE(1900,1,1), OFFSET('IWP21'!Std7PayrollEmploymentRequirements, 7, 4, 1, 1))</f>
        <v>1</v>
      </c>
      <c r="E1561" s="195" t="str">
        <f ca="1">IF(OFFSET('IWP21'!Std7PayrollEmploymentRequirements, 7, 5, 1, 1) = 0, "", OFFSET('IWP21'!Std7PayrollEmploymentRequirements, 7, 5, 1, 1))</f>
        <v/>
      </c>
      <c r="F1561" s="195" t="str">
        <f ca="1">IF(OFFSET('IWP21'!Std7PayrollEmploymentRequirements, 7, 6, 1, 1) = 0, "", OFFSET('IWP21'!Std7PayrollEmploymentRequirements, 7, 6, 1, 1))</f>
        <v/>
      </c>
      <c r="G1561" s="195" t="str">
        <f ca="1">IF(OFFSET('IWP21'!Std7PayrollEmploymentRequirements, 7, 7, 1, 1) = 0, "", OFFSET('IWP21'!Std7PayrollEmploymentRequirements, 7, 7, 1, 1))</f>
        <v/>
      </c>
      <c r="H1561" s="195" t="str">
        <f ca="1">IF(OFFSET('IWP21'!Std7PayrollEmploymentRequirements, 7, 9, 1, 1) = 0, "", OFFSET('IWP21'!Std7PayrollEmploymentRequirements, 7, 9, 1, 1))</f>
        <v/>
      </c>
      <c r="I1561" s="194" t="str">
        <f ca="1">IF(OFFSET('IWP21'!Std7PayrollEmploymentRequirements, 7, 11, 1, 1) = 0, "", OFFSET('IWP21'!Std7PayrollEmploymentRequirements, 7, 11, 1, 1))</f>
        <v/>
      </c>
    </row>
    <row r="1562" spans="1:9" s="146" customFormat="1">
      <c r="A1562" s="183" t="s">
        <v>519</v>
      </c>
      <c r="B1562" s="195" t="str">
        <f ca="1">IF(OFFSET('IWP21'!Std7PayrollEmploymentRequirements, 8, 0, 1, 1) = 0, "", OFFSET('IWP21'!Std7PayrollEmploymentRequirements, 8, 0, 1, 1))</f>
        <v/>
      </c>
      <c r="C1562" s="195" t="str">
        <f ca="1">IF(OFFSET('IWP21'!Std7PayrollEmploymentRequirements, 8, 2, 1, 1) = 0, "", OFFSET('IWP21'!Std7PayrollEmploymentRequirements, 8, 2, 1, 1))</f>
        <v/>
      </c>
      <c r="D1562" s="172">
        <f ca="1">IF(OFFSET('IWP21'!Std7PayrollEmploymentRequirements, 8, 4, 1, 1)=DATE(1900,1,0), DATE(1900,1,1), OFFSET('IWP21'!Std7PayrollEmploymentRequirements, 8, 4, 1, 1))</f>
        <v>1</v>
      </c>
      <c r="E1562" s="195" t="str">
        <f ca="1">IF(OFFSET('IWP21'!Std7PayrollEmploymentRequirements, 8, 5, 1, 1) = 0, "", OFFSET('IWP21'!Std7PayrollEmploymentRequirements, 8, 5, 1, 1))</f>
        <v/>
      </c>
      <c r="F1562" s="195" t="str">
        <f ca="1">IF(OFFSET('IWP21'!Std7PayrollEmploymentRequirements, 8, 6, 1, 1) = 0, "", OFFSET('IWP21'!Std7PayrollEmploymentRequirements, 8, 6, 1, 1))</f>
        <v/>
      </c>
      <c r="G1562" s="195" t="str">
        <f ca="1">IF(OFFSET('IWP21'!Std7PayrollEmploymentRequirements, 8, 7, 1, 1) = 0, "", OFFSET('IWP21'!Std7PayrollEmploymentRequirements, 8, 7, 1, 1))</f>
        <v/>
      </c>
      <c r="H1562" s="195" t="str">
        <f ca="1">IF(OFFSET('IWP21'!Std7PayrollEmploymentRequirements, 8, 9, 1, 1) = 0, "", OFFSET('IWP21'!Std7PayrollEmploymentRequirements, 8, 9, 1, 1))</f>
        <v/>
      </c>
      <c r="I1562" s="194" t="str">
        <f ca="1">IF(OFFSET('IWP21'!Std7PayrollEmploymentRequirements, 8, 11, 1, 1) = 0, "", OFFSET('IWP21'!Std7PayrollEmploymentRequirements, 8, 11, 1, 1))</f>
        <v/>
      </c>
    </row>
    <row r="1563" spans="1:9" s="146" customFormat="1">
      <c r="A1563" s="183" t="s">
        <v>519</v>
      </c>
      <c r="B1563" s="195" t="str">
        <f ca="1">IF(OFFSET('IWP21'!Std7PayrollEmploymentRequirements, 9, 0, 1, 1) = 0, "", OFFSET('IWP21'!Std7PayrollEmploymentRequirements, 9, 0, 1, 1))</f>
        <v/>
      </c>
      <c r="C1563" s="195" t="str">
        <f ca="1">IF(OFFSET('IWP21'!Std7PayrollEmploymentRequirements, 9, 2, 1, 1) = 0, "", OFFSET('IWP21'!Std7PayrollEmploymentRequirements, 9, 2, 1, 1))</f>
        <v/>
      </c>
      <c r="D1563" s="172">
        <f ca="1">IF(OFFSET('IWP21'!Std7PayrollEmploymentRequirements, 9, 4, 1, 1)=DATE(1900,1,0), DATE(1900,1,1), OFFSET('IWP21'!Std7PayrollEmploymentRequirements, 9, 4, 1, 1))</f>
        <v>1</v>
      </c>
      <c r="E1563" s="195" t="str">
        <f ca="1">IF(OFFSET('IWP21'!Std7PayrollEmploymentRequirements, 9, 5, 1, 1) = 0, "", OFFSET('IWP21'!Std7PayrollEmploymentRequirements, 9, 5, 1, 1))</f>
        <v/>
      </c>
      <c r="F1563" s="195" t="str">
        <f ca="1">IF(OFFSET('IWP21'!Std7PayrollEmploymentRequirements, 9, 6, 1, 1) = 0, "", OFFSET('IWP21'!Std7PayrollEmploymentRequirements, 9, 6, 1, 1))</f>
        <v/>
      </c>
      <c r="G1563" s="195" t="str">
        <f ca="1">IF(OFFSET('IWP21'!Std7PayrollEmploymentRequirements, 9, 7, 1, 1) = 0, "", OFFSET('IWP21'!Std7PayrollEmploymentRequirements, 9, 7, 1, 1))</f>
        <v/>
      </c>
      <c r="H1563" s="195" t="str">
        <f ca="1">IF(OFFSET('IWP21'!Std7PayrollEmploymentRequirements, 9, 9, 1, 1) = 0, "", OFFSET('IWP21'!Std7PayrollEmploymentRequirements, 9, 9, 1, 1))</f>
        <v/>
      </c>
      <c r="I1563" s="194" t="str">
        <f ca="1">IF(OFFSET('IWP21'!Std7PayrollEmploymentRequirements, 9, 11, 1, 1) = 0, "", OFFSET('IWP21'!Std7PayrollEmploymentRequirements, 9, 11, 1, 1))</f>
        <v/>
      </c>
    </row>
    <row r="1564" spans="1:9" s="146" customFormat="1">
      <c r="A1564" s="183" t="s">
        <v>519</v>
      </c>
      <c r="B1564" s="195" t="str">
        <f ca="1">IF(OFFSET('IWP21'!Std7PayrollEmploymentRequirements, 10, 0, 1, 1) = 0, "", OFFSET('IWP21'!Std7PayrollEmploymentRequirements, 10, 0, 1, 1))</f>
        <v/>
      </c>
      <c r="C1564" s="195" t="str">
        <f ca="1">IF(OFFSET('IWP21'!Std7PayrollEmploymentRequirements, 10, 2, 1, 1) = 0, "", OFFSET('IWP21'!Std7PayrollEmploymentRequirements, 10, 2, 1, 1))</f>
        <v/>
      </c>
      <c r="D1564" s="172">
        <f ca="1">IF(OFFSET('IWP21'!Std7PayrollEmploymentRequirements, 10, 4, 1, 1)=DATE(1900,1,0), DATE(1900,1,1), OFFSET('IWP21'!Std7PayrollEmploymentRequirements, 10, 4, 1, 1))</f>
        <v>1</v>
      </c>
      <c r="E1564" s="195" t="str">
        <f ca="1">IF(OFFSET('IWP21'!Std7PayrollEmploymentRequirements, 10, 5, 1, 1) = 0, "", OFFSET('IWP21'!Std7PayrollEmploymentRequirements, 10, 5, 1, 1))</f>
        <v/>
      </c>
      <c r="F1564" s="195" t="str">
        <f ca="1">IF(OFFSET('IWP21'!Std7PayrollEmploymentRequirements, 10, 6, 1, 1) = 0, "", OFFSET('IWP21'!Std7PayrollEmploymentRequirements, 10, 6, 1, 1))</f>
        <v/>
      </c>
      <c r="G1564" s="195" t="str">
        <f ca="1">IF(OFFSET('IWP21'!Std7PayrollEmploymentRequirements, 10, 7, 1, 1) = 0, "", OFFSET('IWP21'!Std7PayrollEmploymentRequirements, 10, 7, 1, 1))</f>
        <v/>
      </c>
      <c r="H1564" s="195" t="str">
        <f ca="1">IF(OFFSET('IWP21'!Std7PayrollEmploymentRequirements, 10, 9, 1, 1) = 0, "", OFFSET('IWP21'!Std7PayrollEmploymentRequirements, 10, 9, 1, 1))</f>
        <v/>
      </c>
      <c r="I1564" s="194" t="str">
        <f ca="1">IF(OFFSET('IWP21'!Std7PayrollEmploymentRequirements, 10, 11, 1, 1) = 0, "", OFFSET('IWP21'!Std7PayrollEmploymentRequirements, 10, 11, 1, 1))</f>
        <v/>
      </c>
    </row>
    <row r="1565" spans="1:9" s="146" customFormat="1">
      <c r="A1565" s="183" t="s">
        <v>519</v>
      </c>
      <c r="B1565" s="195" t="str">
        <f ca="1">IF(OFFSET('IWP21'!Std7PayrollEmploymentRequirements, 11, 0, 1, 1) = 0, "", OFFSET('IWP21'!Std7PayrollEmploymentRequirements, 11, 0, 1, 1))</f>
        <v/>
      </c>
      <c r="C1565" s="195" t="str">
        <f ca="1">IF(OFFSET('IWP21'!Std7PayrollEmploymentRequirements, 11, 2, 1, 1) = 0, "", OFFSET('IWP21'!Std7PayrollEmploymentRequirements, 11, 2, 1, 1))</f>
        <v/>
      </c>
      <c r="D1565" s="172">
        <f ca="1">IF(OFFSET('IWP21'!Std7PayrollEmploymentRequirements, 11, 4, 1, 1)=DATE(1900,1,0), DATE(1900,1,1), OFFSET('IWP21'!Std7PayrollEmploymentRequirements, 11, 4, 1, 1))</f>
        <v>1</v>
      </c>
      <c r="E1565" s="195" t="str">
        <f ca="1">IF(OFFSET('IWP21'!Std7PayrollEmploymentRequirements, 11, 5, 1, 1) = 0, "", OFFSET('IWP21'!Std7PayrollEmploymentRequirements, 11, 5, 1, 1))</f>
        <v/>
      </c>
      <c r="F1565" s="195" t="str">
        <f ca="1">IF(OFFSET('IWP21'!Std7PayrollEmploymentRequirements, 11, 6, 1, 1) = 0, "", OFFSET('IWP21'!Std7PayrollEmploymentRequirements, 11, 6, 1, 1))</f>
        <v/>
      </c>
      <c r="G1565" s="195" t="str">
        <f ca="1">IF(OFFSET('IWP21'!Std7PayrollEmploymentRequirements, 11, 7, 1, 1) = 0, "", OFFSET('IWP21'!Std7PayrollEmploymentRequirements, 11, 7, 1, 1))</f>
        <v/>
      </c>
      <c r="H1565" s="195" t="str">
        <f ca="1">IF(OFFSET('IWP21'!Std7PayrollEmploymentRequirements, 11, 9, 1, 1) = 0, "", OFFSET('IWP21'!Std7PayrollEmploymentRequirements, 11, 9, 1, 1))</f>
        <v/>
      </c>
      <c r="I1565" s="194" t="str">
        <f ca="1">IF(OFFSET('IWP21'!Std7PayrollEmploymentRequirements, 11, 11, 1, 1) = 0, "", OFFSET('IWP21'!Std7PayrollEmploymentRequirements, 11, 11, 1, 1))</f>
        <v/>
      </c>
    </row>
    <row r="1566" spans="1:9" s="146" customFormat="1">
      <c r="A1566" s="183" t="s">
        <v>519</v>
      </c>
      <c r="B1566" s="195" t="str">
        <f ca="1">IF(OFFSET('IWP21'!Std7PayrollEmploymentRequirements, 12, 0, 1, 1) = 0, "", OFFSET('IWP21'!Std7PayrollEmploymentRequirements, 12, 0, 1, 1))</f>
        <v/>
      </c>
      <c r="C1566" s="195" t="str">
        <f ca="1">IF(OFFSET('IWP21'!Std7PayrollEmploymentRequirements, 12, 2, 1, 1) = 0, "", OFFSET('IWP21'!Std7PayrollEmploymentRequirements, 12, 2, 1, 1))</f>
        <v/>
      </c>
      <c r="D1566" s="172">
        <f ca="1">IF(OFFSET('IWP21'!Std7PayrollEmploymentRequirements, 12, 4, 1, 1)=DATE(1900,1,0), DATE(1900,1,1), OFFSET('IWP21'!Std7PayrollEmploymentRequirements, 12, 4, 1, 1))</f>
        <v>1</v>
      </c>
      <c r="E1566" s="195" t="str">
        <f ca="1">IF(OFFSET('IWP21'!Std7PayrollEmploymentRequirements, 12, 5, 1, 1) = 0, "", OFFSET('IWP21'!Std7PayrollEmploymentRequirements, 12, 5, 1, 1))</f>
        <v/>
      </c>
      <c r="F1566" s="195" t="str">
        <f ca="1">IF(OFFSET('IWP21'!Std7PayrollEmploymentRequirements, 12, 6, 1, 1) = 0, "", OFFSET('IWP21'!Std7PayrollEmploymentRequirements, 12, 6, 1, 1))</f>
        <v/>
      </c>
      <c r="G1566" s="195" t="str">
        <f ca="1">IF(OFFSET('IWP21'!Std7PayrollEmploymentRequirements, 12, 7, 1, 1) = 0, "", OFFSET('IWP21'!Std7PayrollEmploymentRequirements, 12, 7, 1, 1))</f>
        <v/>
      </c>
      <c r="H1566" s="195" t="str">
        <f ca="1">IF(OFFSET('IWP21'!Std7PayrollEmploymentRequirements, 12, 9, 1, 1) = 0, "", OFFSET('IWP21'!Std7PayrollEmploymentRequirements, 12, 9, 1, 1))</f>
        <v/>
      </c>
      <c r="I1566" s="194" t="str">
        <f ca="1">IF(OFFSET('IWP21'!Std7PayrollEmploymentRequirements, 12, 11, 1, 1) = 0, "", OFFSET('IWP21'!Std7PayrollEmploymentRequirements, 12, 11, 1, 1))</f>
        <v/>
      </c>
    </row>
    <row r="1567" spans="1:9" s="146" customFormat="1">
      <c r="A1567" s="183" t="s">
        <v>519</v>
      </c>
      <c r="B1567" s="195" t="str">
        <f ca="1">IF(OFFSET('IWP21'!Std7PayrollEmploymentRequirements, 13, 0, 1, 1) = 0, "", OFFSET('IWP21'!Std7PayrollEmploymentRequirements, 13, 0, 1, 1))</f>
        <v/>
      </c>
      <c r="C1567" s="195" t="str">
        <f ca="1">IF(OFFSET('IWP21'!Std7PayrollEmploymentRequirements, 13, 2, 1, 1) = 0, "", OFFSET('IWP21'!Std7PayrollEmploymentRequirements, 13, 2, 1, 1))</f>
        <v/>
      </c>
      <c r="D1567" s="172">
        <f ca="1">IF(OFFSET('IWP21'!Std7PayrollEmploymentRequirements, 13, 4, 1, 1)=DATE(1900,1,0), DATE(1900,1,1), OFFSET('IWP21'!Std7PayrollEmploymentRequirements, 13, 4, 1, 1))</f>
        <v>1</v>
      </c>
      <c r="E1567" s="195" t="str">
        <f ca="1">IF(OFFSET('IWP21'!Std7PayrollEmploymentRequirements, 13, 5, 1, 1) = 0, "", OFFSET('IWP21'!Std7PayrollEmploymentRequirements, 13, 5, 1, 1))</f>
        <v/>
      </c>
      <c r="F1567" s="195" t="str">
        <f ca="1">IF(OFFSET('IWP21'!Std7PayrollEmploymentRequirements, 13, 6, 1, 1) = 0, "", OFFSET('IWP21'!Std7PayrollEmploymentRequirements, 13, 6, 1, 1))</f>
        <v/>
      </c>
      <c r="G1567" s="195" t="str">
        <f ca="1">IF(OFFSET('IWP21'!Std7PayrollEmploymentRequirements, 13, 7, 1, 1) = 0, "", OFFSET('IWP21'!Std7PayrollEmploymentRequirements, 13, 7, 1, 1))</f>
        <v/>
      </c>
      <c r="H1567" s="195" t="str">
        <f ca="1">IF(OFFSET('IWP21'!Std7PayrollEmploymentRequirements, 13, 9, 1, 1) = 0, "", OFFSET('IWP21'!Std7PayrollEmploymentRequirements, 13, 9, 1, 1))</f>
        <v/>
      </c>
      <c r="I1567" s="194" t="str">
        <f ca="1">IF(OFFSET('IWP21'!Std7PayrollEmploymentRequirements, 13, 11, 1, 1) = 0, "", OFFSET('IWP21'!Std7PayrollEmploymentRequirements, 13, 11, 1, 1))</f>
        <v/>
      </c>
    </row>
    <row r="1568" spans="1:9" s="146" customFormat="1">
      <c r="A1568" s="183" t="s">
        <v>519</v>
      </c>
      <c r="B1568" s="195" t="str">
        <f ca="1">IF(OFFSET('IWP21'!Std7PayrollEmploymentRequirements, 14, 0, 1, 1) = 0, "", OFFSET('IWP21'!Std7PayrollEmploymentRequirements, 14, 0, 1, 1))</f>
        <v/>
      </c>
      <c r="C1568" s="195" t="str">
        <f ca="1">IF(OFFSET('IWP21'!Std7PayrollEmploymentRequirements, 14, 2, 1, 1) = 0, "", OFFSET('IWP21'!Std7PayrollEmploymentRequirements, 14, 2, 1, 1))</f>
        <v/>
      </c>
      <c r="D1568" s="172">
        <f ca="1">IF(OFFSET('IWP21'!Std7PayrollEmploymentRequirements, 14, 4, 1, 1)=DATE(1900,1,0), DATE(1900,1,1), OFFSET('IWP21'!Std7PayrollEmploymentRequirements, 14, 4, 1, 1))</f>
        <v>1</v>
      </c>
      <c r="E1568" s="195" t="str">
        <f ca="1">IF(OFFSET('IWP21'!Std7PayrollEmploymentRequirements, 14, 5, 1, 1) = 0, "", OFFSET('IWP21'!Std7PayrollEmploymentRequirements, 14, 5, 1, 1))</f>
        <v/>
      </c>
      <c r="F1568" s="195" t="str">
        <f ca="1">IF(OFFSET('IWP21'!Std7PayrollEmploymentRequirements, 14, 6, 1, 1) = 0, "", OFFSET('IWP21'!Std7PayrollEmploymentRequirements, 14, 6, 1, 1))</f>
        <v/>
      </c>
      <c r="G1568" s="195" t="str">
        <f ca="1">IF(OFFSET('IWP21'!Std7PayrollEmploymentRequirements, 14, 7, 1, 1) = 0, "", OFFSET('IWP21'!Std7PayrollEmploymentRequirements, 14, 7, 1, 1))</f>
        <v/>
      </c>
      <c r="H1568" s="195" t="str">
        <f ca="1">IF(OFFSET('IWP21'!Std7PayrollEmploymentRequirements, 14, 9, 1, 1) = 0, "", OFFSET('IWP21'!Std7PayrollEmploymentRequirements, 14, 9, 1, 1))</f>
        <v/>
      </c>
      <c r="I1568" s="194" t="str">
        <f ca="1">IF(OFFSET('IWP21'!Std7PayrollEmploymentRequirements, 14, 11, 1, 1) = 0, "", OFFSET('IWP21'!Std7PayrollEmploymentRequirements, 14, 11, 1, 1))</f>
        <v/>
      </c>
    </row>
    <row r="1569" spans="1:9" s="146" customFormat="1">
      <c r="A1569" s="183" t="s">
        <v>519</v>
      </c>
      <c r="B1569" s="195" t="str">
        <f ca="1">IF(OFFSET('IWP21'!Std7PayrollEmploymentRequirements, 15, 0, 1, 1) = 0, "", OFFSET('IWP21'!Std7PayrollEmploymentRequirements, 15, 0, 1, 1))</f>
        <v/>
      </c>
      <c r="C1569" s="195" t="str">
        <f ca="1">IF(OFFSET('IWP21'!Std7PayrollEmploymentRequirements, 15, 2, 1, 1) = 0, "", OFFSET('IWP21'!Std7PayrollEmploymentRequirements, 15, 2, 1, 1))</f>
        <v/>
      </c>
      <c r="D1569" s="172">
        <f ca="1">IF(OFFSET('IWP21'!Std7PayrollEmploymentRequirements, 15, 4, 1, 1)=DATE(1900,1,0), DATE(1900,1,1), OFFSET('IWP21'!Std7PayrollEmploymentRequirements, 15, 4, 1, 1))</f>
        <v>1</v>
      </c>
      <c r="E1569" s="195" t="str">
        <f ca="1">IF(OFFSET('IWP21'!Std7PayrollEmploymentRequirements, 15, 5, 1, 1) = 0, "", OFFSET('IWP21'!Std7PayrollEmploymentRequirements, 15, 5, 1, 1))</f>
        <v/>
      </c>
      <c r="F1569" s="195" t="str">
        <f ca="1">IF(OFFSET('IWP21'!Std7PayrollEmploymentRequirements, 15, 6, 1, 1) = 0, "", OFFSET('IWP21'!Std7PayrollEmploymentRequirements, 15, 6, 1, 1))</f>
        <v/>
      </c>
      <c r="G1569" s="195" t="str">
        <f ca="1">IF(OFFSET('IWP21'!Std7PayrollEmploymentRequirements, 15, 7, 1, 1) = 0, "", OFFSET('IWP21'!Std7PayrollEmploymentRequirements, 15, 7, 1, 1))</f>
        <v/>
      </c>
      <c r="H1569" s="195" t="str">
        <f ca="1">IF(OFFSET('IWP21'!Std7PayrollEmploymentRequirements, 15, 9, 1, 1) = 0, "", OFFSET('IWP21'!Std7PayrollEmploymentRequirements, 15, 9, 1, 1))</f>
        <v/>
      </c>
      <c r="I1569" s="194" t="str">
        <f ca="1">IF(OFFSET('IWP21'!Std7PayrollEmploymentRequirements, 15, 11, 1, 1) = 0, "", OFFSET('IWP21'!Std7PayrollEmploymentRequirements, 15, 11, 1, 1))</f>
        <v/>
      </c>
    </row>
    <row r="1570" spans="1:9" s="146" customFormat="1">
      <c r="A1570" s="183" t="s">
        <v>520</v>
      </c>
      <c r="B1570" s="195" t="str">
        <f ca="1">IF(OFFSET('IWP22'!Std7PayrollEmploymentRequirements, 0, 0, 1, 1) = 0, "", OFFSET('IWP22'!Std7PayrollEmploymentRequirements, 0, 0, 1, 1))</f>
        <v/>
      </c>
      <c r="C1570" s="195" t="str">
        <f ca="1">IF(OFFSET('IWP22'!Std7PayrollEmploymentRequirements, 0, 2, 1, 1) = 0, "", OFFSET('IWP22'!Std7PayrollEmploymentRequirements, 0, 2, 1, 1))</f>
        <v/>
      </c>
      <c r="D1570" s="172">
        <f ca="1">IF(OFFSET('IWP22'!Std7PayrollEmploymentRequirements, 0, 4, 1, 1)=DATE(1900,1,0), DATE(1900,1,1), OFFSET('IWP22'!Std7PayrollEmploymentRequirements, 0, 4, 1, 1))</f>
        <v>1</v>
      </c>
      <c r="E1570" s="195" t="str">
        <f ca="1">IF(OFFSET('IWP22'!Std7PayrollEmploymentRequirements, 0, 5, 1, 1) = 0, "", OFFSET('IWP22'!Std7PayrollEmploymentRequirements, 0, 5, 1, 1))</f>
        <v/>
      </c>
      <c r="F1570" s="195" t="str">
        <f ca="1">IF(OFFSET('IWP22'!Std7PayrollEmploymentRequirements, 0, 6, 1, 1) = 0, "", OFFSET('IWP22'!Std7PayrollEmploymentRequirements, 0, 6, 1, 1))</f>
        <v/>
      </c>
      <c r="G1570" s="195" t="str">
        <f ca="1">IF(OFFSET('IWP22'!Std7PayrollEmploymentRequirements, 0, 7, 1, 1) = 0, "", OFFSET('IWP22'!Std7PayrollEmploymentRequirements, 0, 7, 1, 1))</f>
        <v/>
      </c>
      <c r="H1570" s="195" t="str">
        <f ca="1">IF(OFFSET('IWP22'!Std7PayrollEmploymentRequirements, 0, 9, 1, 1) = 0, "", OFFSET('IWP22'!Std7PayrollEmploymentRequirements, 0, 9, 1, 1))</f>
        <v/>
      </c>
      <c r="I1570" s="194" t="str">
        <f ca="1">IF(OFFSET('IWP22'!Std7PayrollEmploymentRequirements, 0, 11, 1, 1) = 0, "", OFFSET('IWP22'!Std7PayrollEmploymentRequirements, 0, 11, 1, 1))</f>
        <v/>
      </c>
    </row>
    <row r="1571" spans="1:9" s="146" customFormat="1">
      <c r="A1571" s="183" t="s">
        <v>520</v>
      </c>
      <c r="B1571" s="195" t="str">
        <f ca="1">IF(OFFSET('IWP22'!Std7PayrollEmploymentRequirements, 1, 0, 1, 1) = 0, "", OFFSET('IWP22'!Std7PayrollEmploymentRequirements, 1, 0, 1, 1))</f>
        <v/>
      </c>
      <c r="C1571" s="195" t="str">
        <f ca="1">IF(OFFSET('IWP22'!Std7PayrollEmploymentRequirements, 1, 2, 1, 1) = 0, "", OFFSET('IWP22'!Std7PayrollEmploymentRequirements, 1, 2, 1, 1))</f>
        <v/>
      </c>
      <c r="D1571" s="172">
        <f ca="1">IF(OFFSET('IWP22'!Std7PayrollEmploymentRequirements, 1, 4, 1, 1)=DATE(1900,1,0), DATE(1900,1,1), OFFSET('IWP22'!Std7PayrollEmploymentRequirements, 1, 4, 1, 1))</f>
        <v>1</v>
      </c>
      <c r="E1571" s="195" t="str">
        <f ca="1">IF(OFFSET('IWP22'!Std7PayrollEmploymentRequirements, 1, 5, 1, 1) = 0, "", OFFSET('IWP22'!Std7PayrollEmploymentRequirements, 1, 5, 1, 1))</f>
        <v/>
      </c>
      <c r="F1571" s="195" t="str">
        <f ca="1">IF(OFFSET('IWP22'!Std7PayrollEmploymentRequirements, 1, 6, 1, 1) = 0, "", OFFSET('IWP22'!Std7PayrollEmploymentRequirements, 1, 6, 1, 1))</f>
        <v/>
      </c>
      <c r="G1571" s="195" t="str">
        <f ca="1">IF(OFFSET('IWP22'!Std7PayrollEmploymentRequirements, 1, 7, 1, 1) = 0, "", OFFSET('IWP22'!Std7PayrollEmploymentRequirements, 1, 7, 1, 1))</f>
        <v/>
      </c>
      <c r="H1571" s="195" t="str">
        <f ca="1">IF(OFFSET('IWP22'!Std7PayrollEmploymentRequirements, 1, 9, 1, 1) = 0, "", OFFSET('IWP22'!Std7PayrollEmploymentRequirements, 1, 9, 1, 1))</f>
        <v/>
      </c>
      <c r="I1571" s="194" t="str">
        <f ca="1">IF(OFFSET('IWP22'!Std7PayrollEmploymentRequirements, 1, 11, 1, 1) = 0, "", OFFSET('IWP22'!Std7PayrollEmploymentRequirements, 1, 11, 1, 1))</f>
        <v/>
      </c>
    </row>
    <row r="1572" spans="1:9" s="146" customFormat="1">
      <c r="A1572" s="183" t="s">
        <v>520</v>
      </c>
      <c r="B1572" s="195" t="str">
        <f ca="1">IF(OFFSET('IWP22'!Std7PayrollEmploymentRequirements, 2, 0, 1, 1) = 0, "", OFFSET('IWP22'!Std7PayrollEmploymentRequirements, 2, 0, 1, 1))</f>
        <v/>
      </c>
      <c r="C1572" s="195" t="str">
        <f ca="1">IF(OFFSET('IWP22'!Std7PayrollEmploymentRequirements, 2, 2, 1, 1) = 0, "", OFFSET('IWP22'!Std7PayrollEmploymentRequirements, 2, 2, 1, 1))</f>
        <v/>
      </c>
      <c r="D1572" s="172">
        <f ca="1">IF(OFFSET('IWP22'!Std7PayrollEmploymentRequirements, 2, 4, 1, 1)=DATE(1900,1,0), DATE(1900,1,1), OFFSET('IWP22'!Std7PayrollEmploymentRequirements, 2, 4, 1, 1))</f>
        <v>1</v>
      </c>
      <c r="E1572" s="195" t="str">
        <f ca="1">IF(OFFSET('IWP22'!Std7PayrollEmploymentRequirements, 2, 5, 1, 1) = 0, "", OFFSET('IWP22'!Std7PayrollEmploymentRequirements, 2, 5, 1, 1))</f>
        <v/>
      </c>
      <c r="F1572" s="195" t="str">
        <f ca="1">IF(OFFSET('IWP22'!Std7PayrollEmploymentRequirements, 2, 6, 1, 1) = 0, "", OFFSET('IWP22'!Std7PayrollEmploymentRequirements, 2, 6, 1, 1))</f>
        <v/>
      </c>
      <c r="G1572" s="195" t="str">
        <f ca="1">IF(OFFSET('IWP22'!Std7PayrollEmploymentRequirements, 2, 7, 1, 1) = 0, "", OFFSET('IWP22'!Std7PayrollEmploymentRequirements, 2, 7, 1, 1))</f>
        <v/>
      </c>
      <c r="H1572" s="195" t="str">
        <f ca="1">IF(OFFSET('IWP22'!Std7PayrollEmploymentRequirements, 2, 9, 1, 1) = 0, "", OFFSET('IWP22'!Std7PayrollEmploymentRequirements, 2, 9, 1, 1))</f>
        <v/>
      </c>
      <c r="I1572" s="194" t="str">
        <f ca="1">IF(OFFSET('IWP22'!Std7PayrollEmploymentRequirements, 2, 11, 1, 1) = 0, "", OFFSET('IWP22'!Std7PayrollEmploymentRequirements, 2, 11, 1, 1))</f>
        <v/>
      </c>
    </row>
    <row r="1573" spans="1:9" s="146" customFormat="1">
      <c r="A1573" s="183" t="s">
        <v>520</v>
      </c>
      <c r="B1573" s="195" t="str">
        <f ca="1">IF(OFFSET('IWP22'!Std7PayrollEmploymentRequirements, 3, 0, 1, 1) = 0, "", OFFSET('IWP22'!Std7PayrollEmploymentRequirements, 3, 0, 1, 1))</f>
        <v/>
      </c>
      <c r="C1573" s="195" t="str">
        <f ca="1">IF(OFFSET('IWP22'!Std7PayrollEmploymentRequirements, 3, 2, 1, 1) = 0, "", OFFSET('IWP22'!Std7PayrollEmploymentRequirements, 3, 2, 1, 1))</f>
        <v/>
      </c>
      <c r="D1573" s="172">
        <f ca="1">IF(OFFSET('IWP22'!Std7PayrollEmploymentRequirements, 3, 4, 1, 1)=DATE(1900,1,0), DATE(1900,1,1), OFFSET('IWP22'!Std7PayrollEmploymentRequirements, 3, 4, 1, 1))</f>
        <v>1</v>
      </c>
      <c r="E1573" s="195" t="str">
        <f ca="1">IF(OFFSET('IWP22'!Std7PayrollEmploymentRequirements, 3, 5, 1, 1) = 0, "", OFFSET('IWP22'!Std7PayrollEmploymentRequirements, 3, 5, 1, 1))</f>
        <v/>
      </c>
      <c r="F1573" s="195" t="str">
        <f ca="1">IF(OFFSET('IWP22'!Std7PayrollEmploymentRequirements, 3, 6, 1, 1) = 0, "", OFFSET('IWP22'!Std7PayrollEmploymentRequirements, 3, 6, 1, 1))</f>
        <v/>
      </c>
      <c r="G1573" s="195" t="str">
        <f ca="1">IF(OFFSET('IWP22'!Std7PayrollEmploymentRequirements, 3, 7, 1, 1) = 0, "", OFFSET('IWP22'!Std7PayrollEmploymentRequirements, 3, 7, 1, 1))</f>
        <v/>
      </c>
      <c r="H1573" s="195" t="str">
        <f ca="1">IF(OFFSET('IWP22'!Std7PayrollEmploymentRequirements, 3, 9, 1, 1) = 0, "", OFFSET('IWP22'!Std7PayrollEmploymentRequirements, 3, 9, 1, 1))</f>
        <v/>
      </c>
      <c r="I1573" s="194" t="str">
        <f ca="1">IF(OFFSET('IWP22'!Std7PayrollEmploymentRequirements, 3, 11, 1, 1) = 0, "", OFFSET('IWP22'!Std7PayrollEmploymentRequirements, 3, 11, 1, 1))</f>
        <v/>
      </c>
    </row>
    <row r="1574" spans="1:9" s="146" customFormat="1">
      <c r="A1574" s="183" t="s">
        <v>520</v>
      </c>
      <c r="B1574" s="195" t="str">
        <f ca="1">IF(OFFSET('IWP22'!Std7PayrollEmploymentRequirements, 4, 0, 1, 1) = 0, "", OFFSET('IWP22'!Std7PayrollEmploymentRequirements, 4, 0, 1, 1))</f>
        <v/>
      </c>
      <c r="C1574" s="195" t="str">
        <f ca="1">IF(OFFSET('IWP22'!Std7PayrollEmploymentRequirements, 4, 2, 1, 1) = 0, "", OFFSET('IWP22'!Std7PayrollEmploymentRequirements, 4, 2, 1, 1))</f>
        <v/>
      </c>
      <c r="D1574" s="172">
        <f ca="1">IF(OFFSET('IWP22'!Std7PayrollEmploymentRequirements, 4, 4, 1, 1)=DATE(1900,1,0), DATE(1900,1,1), OFFSET('IWP22'!Std7PayrollEmploymentRequirements, 4, 4, 1, 1))</f>
        <v>1</v>
      </c>
      <c r="E1574" s="195" t="str">
        <f ca="1">IF(OFFSET('IWP22'!Std7PayrollEmploymentRequirements, 4, 5, 1, 1) = 0, "", OFFSET('IWP22'!Std7PayrollEmploymentRequirements, 4, 5, 1, 1))</f>
        <v/>
      </c>
      <c r="F1574" s="195" t="str">
        <f ca="1">IF(OFFSET('IWP22'!Std7PayrollEmploymentRequirements, 4, 6, 1, 1) = 0, "", OFFSET('IWP22'!Std7PayrollEmploymentRequirements, 4, 6, 1, 1))</f>
        <v/>
      </c>
      <c r="G1574" s="195" t="str">
        <f ca="1">IF(OFFSET('IWP22'!Std7PayrollEmploymentRequirements, 4, 7, 1, 1) = 0, "", OFFSET('IWP22'!Std7PayrollEmploymentRequirements, 4, 7, 1, 1))</f>
        <v/>
      </c>
      <c r="H1574" s="195" t="str">
        <f ca="1">IF(OFFSET('IWP22'!Std7PayrollEmploymentRequirements, 4, 9, 1, 1) = 0, "", OFFSET('IWP22'!Std7PayrollEmploymentRequirements, 4, 9, 1, 1))</f>
        <v/>
      </c>
      <c r="I1574" s="194" t="str">
        <f ca="1">IF(OFFSET('IWP22'!Std7PayrollEmploymentRequirements, 4, 11, 1, 1) = 0, "", OFFSET('IWP22'!Std7PayrollEmploymentRequirements, 4, 11, 1, 1))</f>
        <v/>
      </c>
    </row>
    <row r="1575" spans="1:9" s="146" customFormat="1">
      <c r="A1575" s="183" t="s">
        <v>520</v>
      </c>
      <c r="B1575" s="195" t="str">
        <f ca="1">IF(OFFSET('IWP22'!Std7PayrollEmploymentRequirements, 5, 0, 1, 1) = 0, "", OFFSET('IWP22'!Std7PayrollEmploymentRequirements, 5, 0, 1, 1))</f>
        <v/>
      </c>
      <c r="C1575" s="195" t="str">
        <f ca="1">IF(OFFSET('IWP22'!Std7PayrollEmploymentRequirements, 5, 2, 1, 1) = 0, "", OFFSET('IWP22'!Std7PayrollEmploymentRequirements, 5, 2, 1, 1))</f>
        <v/>
      </c>
      <c r="D1575" s="172">
        <f ca="1">IF(OFFSET('IWP22'!Std7PayrollEmploymentRequirements, 5, 4, 1, 1)=DATE(1900,1,0), DATE(1900,1,1), OFFSET('IWP22'!Std7PayrollEmploymentRequirements, 5, 4, 1, 1))</f>
        <v>1</v>
      </c>
      <c r="E1575" s="195" t="str">
        <f ca="1">IF(OFFSET('IWP22'!Std7PayrollEmploymentRequirements, 5, 5, 1, 1) = 0, "", OFFSET('IWP22'!Std7PayrollEmploymentRequirements, 5, 5, 1, 1))</f>
        <v/>
      </c>
      <c r="F1575" s="195" t="str">
        <f ca="1">IF(OFFSET('IWP22'!Std7PayrollEmploymentRequirements, 5, 6, 1, 1) = 0, "", OFFSET('IWP22'!Std7PayrollEmploymentRequirements, 5, 6, 1, 1))</f>
        <v/>
      </c>
      <c r="G1575" s="195" t="str">
        <f ca="1">IF(OFFSET('IWP22'!Std7PayrollEmploymentRequirements, 5, 7, 1, 1) = 0, "", OFFSET('IWP22'!Std7PayrollEmploymentRequirements, 5, 7, 1, 1))</f>
        <v/>
      </c>
      <c r="H1575" s="195" t="str">
        <f ca="1">IF(OFFSET('IWP22'!Std7PayrollEmploymentRequirements, 5, 9, 1, 1) = 0, "", OFFSET('IWP22'!Std7PayrollEmploymentRequirements, 5, 9, 1, 1))</f>
        <v/>
      </c>
      <c r="I1575" s="194" t="str">
        <f ca="1">IF(OFFSET('IWP22'!Std7PayrollEmploymentRequirements, 5, 11, 1, 1) = 0, "", OFFSET('IWP22'!Std7PayrollEmploymentRequirements, 5, 11, 1, 1))</f>
        <v/>
      </c>
    </row>
    <row r="1576" spans="1:9" s="146" customFormat="1">
      <c r="A1576" s="183" t="s">
        <v>520</v>
      </c>
      <c r="B1576" s="195" t="str">
        <f ca="1">IF(OFFSET('IWP22'!Std7PayrollEmploymentRequirements, 6, 0, 1, 1) = 0, "", OFFSET('IWP22'!Std7PayrollEmploymentRequirements, 6, 0, 1, 1))</f>
        <v/>
      </c>
      <c r="C1576" s="195" t="str">
        <f ca="1">IF(OFFSET('IWP22'!Std7PayrollEmploymentRequirements, 6, 2, 1, 1) = 0, "", OFFSET('IWP22'!Std7PayrollEmploymentRequirements, 6, 2, 1, 1))</f>
        <v/>
      </c>
      <c r="D1576" s="172">
        <f ca="1">IF(OFFSET('IWP22'!Std7PayrollEmploymentRequirements, 6, 4, 1, 1)=DATE(1900,1,0), DATE(1900,1,1), OFFSET('IWP22'!Std7PayrollEmploymentRequirements, 6, 4, 1, 1))</f>
        <v>1</v>
      </c>
      <c r="E1576" s="195" t="str">
        <f ca="1">IF(OFFSET('IWP22'!Std7PayrollEmploymentRequirements, 6, 5, 1, 1) = 0, "", OFFSET('IWP22'!Std7PayrollEmploymentRequirements, 6, 5, 1, 1))</f>
        <v/>
      </c>
      <c r="F1576" s="195" t="str">
        <f ca="1">IF(OFFSET('IWP22'!Std7PayrollEmploymentRequirements, 6, 6, 1, 1) = 0, "", OFFSET('IWP22'!Std7PayrollEmploymentRequirements, 6, 6, 1, 1))</f>
        <v/>
      </c>
      <c r="G1576" s="195" t="str">
        <f ca="1">IF(OFFSET('IWP22'!Std7PayrollEmploymentRequirements, 6, 7, 1, 1) = 0, "", OFFSET('IWP22'!Std7PayrollEmploymentRequirements, 6, 7, 1, 1))</f>
        <v/>
      </c>
      <c r="H1576" s="195" t="str">
        <f ca="1">IF(OFFSET('IWP22'!Std7PayrollEmploymentRequirements, 6, 9, 1, 1) = 0, "", OFFSET('IWP22'!Std7PayrollEmploymentRequirements, 6, 9, 1, 1))</f>
        <v/>
      </c>
      <c r="I1576" s="194" t="str">
        <f ca="1">IF(OFFSET('IWP22'!Std7PayrollEmploymentRequirements, 6, 11, 1, 1) = 0, "", OFFSET('IWP22'!Std7PayrollEmploymentRequirements, 6, 11, 1, 1))</f>
        <v/>
      </c>
    </row>
    <row r="1577" spans="1:9" s="146" customFormat="1">
      <c r="A1577" s="183" t="s">
        <v>520</v>
      </c>
      <c r="B1577" s="195" t="str">
        <f ca="1">IF(OFFSET('IWP22'!Std7PayrollEmploymentRequirements, 7, 0, 1, 1) = 0, "", OFFSET('IWP22'!Std7PayrollEmploymentRequirements, 7, 0, 1, 1))</f>
        <v/>
      </c>
      <c r="C1577" s="195" t="str">
        <f ca="1">IF(OFFSET('IWP22'!Std7PayrollEmploymentRequirements, 7, 2, 1, 1) = 0, "", OFFSET('IWP22'!Std7PayrollEmploymentRequirements, 7, 2, 1, 1))</f>
        <v/>
      </c>
      <c r="D1577" s="172">
        <f ca="1">IF(OFFSET('IWP22'!Std7PayrollEmploymentRequirements, 7, 4, 1, 1)=DATE(1900,1,0), DATE(1900,1,1), OFFSET('IWP22'!Std7PayrollEmploymentRequirements, 7, 4, 1, 1))</f>
        <v>1</v>
      </c>
      <c r="E1577" s="195" t="str">
        <f ca="1">IF(OFFSET('IWP22'!Std7PayrollEmploymentRequirements, 7, 5, 1, 1) = 0, "", OFFSET('IWP22'!Std7PayrollEmploymentRequirements, 7, 5, 1, 1))</f>
        <v/>
      </c>
      <c r="F1577" s="195" t="str">
        <f ca="1">IF(OFFSET('IWP22'!Std7PayrollEmploymentRequirements, 7, 6, 1, 1) = 0, "", OFFSET('IWP22'!Std7PayrollEmploymentRequirements, 7, 6, 1, 1))</f>
        <v/>
      </c>
      <c r="G1577" s="195" t="str">
        <f ca="1">IF(OFFSET('IWP22'!Std7PayrollEmploymentRequirements, 7, 7, 1, 1) = 0, "", OFFSET('IWP22'!Std7PayrollEmploymentRequirements, 7, 7, 1, 1))</f>
        <v/>
      </c>
      <c r="H1577" s="195" t="str">
        <f ca="1">IF(OFFSET('IWP22'!Std7PayrollEmploymentRequirements, 7, 9, 1, 1) = 0, "", OFFSET('IWP22'!Std7PayrollEmploymentRequirements, 7, 9, 1, 1))</f>
        <v/>
      </c>
      <c r="I1577" s="194" t="str">
        <f ca="1">IF(OFFSET('IWP22'!Std7PayrollEmploymentRequirements, 7, 11, 1, 1) = 0, "", OFFSET('IWP22'!Std7PayrollEmploymentRequirements, 7, 11, 1, 1))</f>
        <v/>
      </c>
    </row>
    <row r="1578" spans="1:9" s="146" customFormat="1">
      <c r="A1578" s="183" t="s">
        <v>520</v>
      </c>
      <c r="B1578" s="195" t="str">
        <f ca="1">IF(OFFSET('IWP22'!Std7PayrollEmploymentRequirements, 8, 0, 1, 1) = 0, "", OFFSET('IWP22'!Std7PayrollEmploymentRequirements, 8, 0, 1, 1))</f>
        <v/>
      </c>
      <c r="C1578" s="195" t="str">
        <f ca="1">IF(OFFSET('IWP22'!Std7PayrollEmploymentRequirements, 8, 2, 1, 1) = 0, "", OFFSET('IWP22'!Std7PayrollEmploymentRequirements, 8, 2, 1, 1))</f>
        <v/>
      </c>
      <c r="D1578" s="172">
        <f ca="1">IF(OFFSET('IWP22'!Std7PayrollEmploymentRequirements, 8, 4, 1, 1)=DATE(1900,1,0), DATE(1900,1,1), OFFSET('IWP22'!Std7PayrollEmploymentRequirements, 8, 4, 1, 1))</f>
        <v>1</v>
      </c>
      <c r="E1578" s="195" t="str">
        <f ca="1">IF(OFFSET('IWP22'!Std7PayrollEmploymentRequirements, 8, 5, 1, 1) = 0, "", OFFSET('IWP22'!Std7PayrollEmploymentRequirements, 8, 5, 1, 1))</f>
        <v/>
      </c>
      <c r="F1578" s="195" t="str">
        <f ca="1">IF(OFFSET('IWP22'!Std7PayrollEmploymentRequirements, 8, 6, 1, 1) = 0, "", OFFSET('IWP22'!Std7PayrollEmploymentRequirements, 8, 6, 1, 1))</f>
        <v/>
      </c>
      <c r="G1578" s="195" t="str">
        <f ca="1">IF(OFFSET('IWP22'!Std7PayrollEmploymentRequirements, 8, 7, 1, 1) = 0, "", OFFSET('IWP22'!Std7PayrollEmploymentRequirements, 8, 7, 1, 1))</f>
        <v/>
      </c>
      <c r="H1578" s="195" t="str">
        <f ca="1">IF(OFFSET('IWP22'!Std7PayrollEmploymentRequirements, 8, 9, 1, 1) = 0, "", OFFSET('IWP22'!Std7PayrollEmploymentRequirements, 8, 9, 1, 1))</f>
        <v/>
      </c>
      <c r="I1578" s="194" t="str">
        <f ca="1">IF(OFFSET('IWP22'!Std7PayrollEmploymentRequirements, 8, 11, 1, 1) = 0, "", OFFSET('IWP22'!Std7PayrollEmploymentRequirements, 8, 11, 1, 1))</f>
        <v/>
      </c>
    </row>
    <row r="1579" spans="1:9" s="146" customFormat="1">
      <c r="A1579" s="183" t="s">
        <v>520</v>
      </c>
      <c r="B1579" s="195" t="str">
        <f ca="1">IF(OFFSET('IWP22'!Std7PayrollEmploymentRequirements, 9, 0, 1, 1) = 0, "", OFFSET('IWP22'!Std7PayrollEmploymentRequirements, 9, 0, 1, 1))</f>
        <v/>
      </c>
      <c r="C1579" s="195" t="str">
        <f ca="1">IF(OFFSET('IWP22'!Std7PayrollEmploymentRequirements, 9, 2, 1, 1) = 0, "", OFFSET('IWP22'!Std7PayrollEmploymentRequirements, 9, 2, 1, 1))</f>
        <v/>
      </c>
      <c r="D1579" s="172">
        <f ca="1">IF(OFFSET('IWP22'!Std7PayrollEmploymentRequirements, 9, 4, 1, 1)=DATE(1900,1,0), DATE(1900,1,1), OFFSET('IWP22'!Std7PayrollEmploymentRequirements, 9, 4, 1, 1))</f>
        <v>1</v>
      </c>
      <c r="E1579" s="195" t="str">
        <f ca="1">IF(OFFSET('IWP22'!Std7PayrollEmploymentRequirements, 9, 5, 1, 1) = 0, "", OFFSET('IWP22'!Std7PayrollEmploymentRequirements, 9, 5, 1, 1))</f>
        <v/>
      </c>
      <c r="F1579" s="195" t="str">
        <f ca="1">IF(OFFSET('IWP22'!Std7PayrollEmploymentRequirements, 9, 6, 1, 1) = 0, "", OFFSET('IWP22'!Std7PayrollEmploymentRequirements, 9, 6, 1, 1))</f>
        <v/>
      </c>
      <c r="G1579" s="195" t="str">
        <f ca="1">IF(OFFSET('IWP22'!Std7PayrollEmploymentRequirements, 9, 7, 1, 1) = 0, "", OFFSET('IWP22'!Std7PayrollEmploymentRequirements, 9, 7, 1, 1))</f>
        <v/>
      </c>
      <c r="H1579" s="195" t="str">
        <f ca="1">IF(OFFSET('IWP22'!Std7PayrollEmploymentRequirements, 9, 9, 1, 1) = 0, "", OFFSET('IWP22'!Std7PayrollEmploymentRequirements, 9, 9, 1, 1))</f>
        <v/>
      </c>
      <c r="I1579" s="194" t="str">
        <f ca="1">IF(OFFSET('IWP22'!Std7PayrollEmploymentRequirements, 9, 11, 1, 1) = 0, "", OFFSET('IWP22'!Std7PayrollEmploymentRequirements, 9, 11, 1, 1))</f>
        <v/>
      </c>
    </row>
    <row r="1580" spans="1:9" s="146" customFormat="1">
      <c r="A1580" s="183" t="s">
        <v>520</v>
      </c>
      <c r="B1580" s="195" t="str">
        <f ca="1">IF(OFFSET('IWP22'!Std7PayrollEmploymentRequirements, 10, 0, 1, 1) = 0, "", OFFSET('IWP22'!Std7PayrollEmploymentRequirements, 10, 0, 1, 1))</f>
        <v/>
      </c>
      <c r="C1580" s="195" t="str">
        <f ca="1">IF(OFFSET('IWP22'!Std7PayrollEmploymentRequirements, 10, 2, 1, 1) = 0, "", OFFSET('IWP22'!Std7PayrollEmploymentRequirements, 10, 2, 1, 1))</f>
        <v/>
      </c>
      <c r="D1580" s="172">
        <f ca="1">IF(OFFSET('IWP22'!Std7PayrollEmploymentRequirements, 10, 4, 1, 1)=DATE(1900,1,0), DATE(1900,1,1), OFFSET('IWP22'!Std7PayrollEmploymentRequirements, 10, 4, 1, 1))</f>
        <v>1</v>
      </c>
      <c r="E1580" s="195" t="str">
        <f ca="1">IF(OFFSET('IWP22'!Std7PayrollEmploymentRequirements, 10, 5, 1, 1) = 0, "", OFFSET('IWP22'!Std7PayrollEmploymentRequirements, 10, 5, 1, 1))</f>
        <v/>
      </c>
      <c r="F1580" s="195" t="str">
        <f ca="1">IF(OFFSET('IWP22'!Std7PayrollEmploymentRequirements, 10, 6, 1, 1) = 0, "", OFFSET('IWP22'!Std7PayrollEmploymentRequirements, 10, 6, 1, 1))</f>
        <v/>
      </c>
      <c r="G1580" s="195" t="str">
        <f ca="1">IF(OFFSET('IWP22'!Std7PayrollEmploymentRequirements, 10, 7, 1, 1) = 0, "", OFFSET('IWP22'!Std7PayrollEmploymentRequirements, 10, 7, 1, 1))</f>
        <v/>
      </c>
      <c r="H1580" s="195" t="str">
        <f ca="1">IF(OFFSET('IWP22'!Std7PayrollEmploymentRequirements, 10, 9, 1, 1) = 0, "", OFFSET('IWP22'!Std7PayrollEmploymentRequirements, 10, 9, 1, 1))</f>
        <v/>
      </c>
      <c r="I1580" s="194" t="str">
        <f ca="1">IF(OFFSET('IWP22'!Std7PayrollEmploymentRequirements, 10, 11, 1, 1) = 0, "", OFFSET('IWP22'!Std7PayrollEmploymentRequirements, 10, 11, 1, 1))</f>
        <v/>
      </c>
    </row>
    <row r="1581" spans="1:9" s="146" customFormat="1">
      <c r="A1581" s="183" t="s">
        <v>520</v>
      </c>
      <c r="B1581" s="195" t="str">
        <f ca="1">IF(OFFSET('IWP22'!Std7PayrollEmploymentRequirements, 11, 0, 1, 1) = 0, "", OFFSET('IWP22'!Std7PayrollEmploymentRequirements, 11, 0, 1, 1))</f>
        <v/>
      </c>
      <c r="C1581" s="195" t="str">
        <f ca="1">IF(OFFSET('IWP22'!Std7PayrollEmploymentRequirements, 11, 2, 1, 1) = 0, "", OFFSET('IWP22'!Std7PayrollEmploymentRequirements, 11, 2, 1, 1))</f>
        <v/>
      </c>
      <c r="D1581" s="172">
        <f ca="1">IF(OFFSET('IWP22'!Std7PayrollEmploymentRequirements, 11, 4, 1, 1)=DATE(1900,1,0), DATE(1900,1,1), OFFSET('IWP22'!Std7PayrollEmploymentRequirements, 11, 4, 1, 1))</f>
        <v>1</v>
      </c>
      <c r="E1581" s="195" t="str">
        <f ca="1">IF(OFFSET('IWP22'!Std7PayrollEmploymentRequirements, 11, 5, 1, 1) = 0, "", OFFSET('IWP22'!Std7PayrollEmploymentRequirements, 11, 5, 1, 1))</f>
        <v/>
      </c>
      <c r="F1581" s="195" t="str">
        <f ca="1">IF(OFFSET('IWP22'!Std7PayrollEmploymentRequirements, 11, 6, 1, 1) = 0, "", OFFSET('IWP22'!Std7PayrollEmploymentRequirements, 11, 6, 1, 1))</f>
        <v/>
      </c>
      <c r="G1581" s="195" t="str">
        <f ca="1">IF(OFFSET('IWP22'!Std7PayrollEmploymentRequirements, 11, 7, 1, 1) = 0, "", OFFSET('IWP22'!Std7PayrollEmploymentRequirements, 11, 7, 1, 1))</f>
        <v/>
      </c>
      <c r="H1581" s="195" t="str">
        <f ca="1">IF(OFFSET('IWP22'!Std7PayrollEmploymentRequirements, 11, 9, 1, 1) = 0, "", OFFSET('IWP22'!Std7PayrollEmploymentRequirements, 11, 9, 1, 1))</f>
        <v/>
      </c>
      <c r="I1581" s="194" t="str">
        <f ca="1">IF(OFFSET('IWP22'!Std7PayrollEmploymentRequirements, 11, 11, 1, 1) = 0, "", OFFSET('IWP22'!Std7PayrollEmploymentRequirements, 11, 11, 1, 1))</f>
        <v/>
      </c>
    </row>
    <row r="1582" spans="1:9" s="146" customFormat="1">
      <c r="A1582" s="183" t="s">
        <v>520</v>
      </c>
      <c r="B1582" s="195" t="str">
        <f ca="1">IF(OFFSET('IWP22'!Std7PayrollEmploymentRequirements, 12, 0, 1, 1) = 0, "", OFFSET('IWP22'!Std7PayrollEmploymentRequirements, 12, 0, 1, 1))</f>
        <v/>
      </c>
      <c r="C1582" s="195" t="str">
        <f ca="1">IF(OFFSET('IWP22'!Std7PayrollEmploymentRequirements, 12, 2, 1, 1) = 0, "", OFFSET('IWP22'!Std7PayrollEmploymentRequirements, 12, 2, 1, 1))</f>
        <v/>
      </c>
      <c r="D1582" s="172">
        <f ca="1">IF(OFFSET('IWP22'!Std7PayrollEmploymentRequirements, 12, 4, 1, 1)=DATE(1900,1,0), DATE(1900,1,1), OFFSET('IWP22'!Std7PayrollEmploymentRequirements, 12, 4, 1, 1))</f>
        <v>1</v>
      </c>
      <c r="E1582" s="195" t="str">
        <f ca="1">IF(OFFSET('IWP22'!Std7PayrollEmploymentRequirements, 12, 5, 1, 1) = 0, "", OFFSET('IWP22'!Std7PayrollEmploymentRequirements, 12, 5, 1, 1))</f>
        <v/>
      </c>
      <c r="F1582" s="195" t="str">
        <f ca="1">IF(OFFSET('IWP22'!Std7PayrollEmploymentRequirements, 12, 6, 1, 1) = 0, "", OFFSET('IWP22'!Std7PayrollEmploymentRequirements, 12, 6, 1, 1))</f>
        <v/>
      </c>
      <c r="G1582" s="195" t="str">
        <f ca="1">IF(OFFSET('IWP22'!Std7PayrollEmploymentRequirements, 12, 7, 1, 1) = 0, "", OFFSET('IWP22'!Std7PayrollEmploymentRequirements, 12, 7, 1, 1))</f>
        <v/>
      </c>
      <c r="H1582" s="195" t="str">
        <f ca="1">IF(OFFSET('IWP22'!Std7PayrollEmploymentRequirements, 12, 9, 1, 1) = 0, "", OFFSET('IWP22'!Std7PayrollEmploymentRequirements, 12, 9, 1, 1))</f>
        <v/>
      </c>
      <c r="I1582" s="194" t="str">
        <f ca="1">IF(OFFSET('IWP22'!Std7PayrollEmploymentRequirements, 12, 11, 1, 1) = 0, "", OFFSET('IWP22'!Std7PayrollEmploymentRequirements, 12, 11, 1, 1))</f>
        <v/>
      </c>
    </row>
    <row r="1583" spans="1:9" s="146" customFormat="1">
      <c r="A1583" s="183" t="s">
        <v>520</v>
      </c>
      <c r="B1583" s="195" t="str">
        <f ca="1">IF(OFFSET('IWP22'!Std7PayrollEmploymentRequirements, 13, 0, 1, 1) = 0, "", OFFSET('IWP22'!Std7PayrollEmploymentRequirements, 13, 0, 1, 1))</f>
        <v/>
      </c>
      <c r="C1583" s="195" t="str">
        <f ca="1">IF(OFFSET('IWP22'!Std7PayrollEmploymentRequirements, 13, 2, 1, 1) = 0, "", OFFSET('IWP22'!Std7PayrollEmploymentRequirements, 13, 2, 1, 1))</f>
        <v/>
      </c>
      <c r="D1583" s="172">
        <f ca="1">IF(OFFSET('IWP22'!Std7PayrollEmploymentRequirements, 13, 4, 1, 1)=DATE(1900,1,0), DATE(1900,1,1), OFFSET('IWP22'!Std7PayrollEmploymentRequirements, 13, 4, 1, 1))</f>
        <v>1</v>
      </c>
      <c r="E1583" s="195" t="str">
        <f ca="1">IF(OFFSET('IWP22'!Std7PayrollEmploymentRequirements, 13, 5, 1, 1) = 0, "", OFFSET('IWP22'!Std7PayrollEmploymentRequirements, 13, 5, 1, 1))</f>
        <v/>
      </c>
      <c r="F1583" s="195" t="str">
        <f ca="1">IF(OFFSET('IWP22'!Std7PayrollEmploymentRequirements, 13, 6, 1, 1) = 0, "", OFFSET('IWP22'!Std7PayrollEmploymentRequirements, 13, 6, 1, 1))</f>
        <v/>
      </c>
      <c r="G1583" s="195" t="str">
        <f ca="1">IF(OFFSET('IWP22'!Std7PayrollEmploymentRequirements, 13, 7, 1, 1) = 0, "", OFFSET('IWP22'!Std7PayrollEmploymentRequirements, 13, 7, 1, 1))</f>
        <v/>
      </c>
      <c r="H1583" s="195" t="str">
        <f ca="1">IF(OFFSET('IWP22'!Std7PayrollEmploymentRequirements, 13, 9, 1, 1) = 0, "", OFFSET('IWP22'!Std7PayrollEmploymentRequirements, 13, 9, 1, 1))</f>
        <v/>
      </c>
      <c r="I1583" s="194" t="str">
        <f ca="1">IF(OFFSET('IWP22'!Std7PayrollEmploymentRequirements, 13, 11, 1, 1) = 0, "", OFFSET('IWP22'!Std7PayrollEmploymentRequirements, 13, 11, 1, 1))</f>
        <v/>
      </c>
    </row>
    <row r="1584" spans="1:9" s="146" customFormat="1">
      <c r="A1584" s="183" t="s">
        <v>520</v>
      </c>
      <c r="B1584" s="195" t="str">
        <f ca="1">IF(OFFSET('IWP22'!Std7PayrollEmploymentRequirements, 14, 0, 1, 1) = 0, "", OFFSET('IWP22'!Std7PayrollEmploymentRequirements, 14, 0, 1, 1))</f>
        <v/>
      </c>
      <c r="C1584" s="195" t="str">
        <f ca="1">IF(OFFSET('IWP22'!Std7PayrollEmploymentRequirements, 14, 2, 1, 1) = 0, "", OFFSET('IWP22'!Std7PayrollEmploymentRequirements, 14, 2, 1, 1))</f>
        <v/>
      </c>
      <c r="D1584" s="172">
        <f ca="1">IF(OFFSET('IWP22'!Std7PayrollEmploymentRequirements, 14, 4, 1, 1)=DATE(1900,1,0), DATE(1900,1,1), OFFSET('IWP22'!Std7PayrollEmploymentRequirements, 14, 4, 1, 1))</f>
        <v>1</v>
      </c>
      <c r="E1584" s="195" t="str">
        <f ca="1">IF(OFFSET('IWP22'!Std7PayrollEmploymentRequirements, 14, 5, 1, 1) = 0, "", OFFSET('IWP22'!Std7PayrollEmploymentRequirements, 14, 5, 1, 1))</f>
        <v/>
      </c>
      <c r="F1584" s="195" t="str">
        <f ca="1">IF(OFFSET('IWP22'!Std7PayrollEmploymentRequirements, 14, 6, 1, 1) = 0, "", OFFSET('IWP22'!Std7PayrollEmploymentRequirements, 14, 6, 1, 1))</f>
        <v/>
      </c>
      <c r="G1584" s="195" t="str">
        <f ca="1">IF(OFFSET('IWP22'!Std7PayrollEmploymentRequirements, 14, 7, 1, 1) = 0, "", OFFSET('IWP22'!Std7PayrollEmploymentRequirements, 14, 7, 1, 1))</f>
        <v/>
      </c>
      <c r="H1584" s="195" t="str">
        <f ca="1">IF(OFFSET('IWP22'!Std7PayrollEmploymentRequirements, 14, 9, 1, 1) = 0, "", OFFSET('IWP22'!Std7PayrollEmploymentRequirements, 14, 9, 1, 1))</f>
        <v/>
      </c>
      <c r="I1584" s="194" t="str">
        <f ca="1">IF(OFFSET('IWP22'!Std7PayrollEmploymentRequirements, 14, 11, 1, 1) = 0, "", OFFSET('IWP22'!Std7PayrollEmploymentRequirements, 14, 11, 1, 1))</f>
        <v/>
      </c>
    </row>
    <row r="1585" spans="1:9" s="146" customFormat="1">
      <c r="A1585" s="183" t="s">
        <v>520</v>
      </c>
      <c r="B1585" s="195" t="str">
        <f ca="1">IF(OFFSET('IWP22'!Std7PayrollEmploymentRequirements, 15, 0, 1, 1) = 0, "", OFFSET('IWP22'!Std7PayrollEmploymentRequirements, 15, 0, 1, 1))</f>
        <v/>
      </c>
      <c r="C1585" s="195" t="str">
        <f ca="1">IF(OFFSET('IWP22'!Std7PayrollEmploymentRequirements, 15, 2, 1, 1) = 0, "", OFFSET('IWP22'!Std7PayrollEmploymentRequirements, 15, 2, 1, 1))</f>
        <v/>
      </c>
      <c r="D1585" s="172">
        <f ca="1">IF(OFFSET('IWP22'!Std7PayrollEmploymentRequirements, 15, 4, 1, 1)=DATE(1900,1,0), DATE(1900,1,1), OFFSET('IWP22'!Std7PayrollEmploymentRequirements, 15, 4, 1, 1))</f>
        <v>1</v>
      </c>
      <c r="E1585" s="195" t="str">
        <f ca="1">IF(OFFSET('IWP22'!Std7PayrollEmploymentRequirements, 15, 5, 1, 1) = 0, "", OFFSET('IWP22'!Std7PayrollEmploymentRequirements, 15, 5, 1, 1))</f>
        <v/>
      </c>
      <c r="F1585" s="195" t="str">
        <f ca="1">IF(OFFSET('IWP22'!Std7PayrollEmploymentRequirements, 15, 6, 1, 1) = 0, "", OFFSET('IWP22'!Std7PayrollEmploymentRequirements, 15, 6, 1, 1))</f>
        <v/>
      </c>
      <c r="G1585" s="195" t="str">
        <f ca="1">IF(OFFSET('IWP22'!Std7PayrollEmploymentRequirements, 15, 7, 1, 1) = 0, "", OFFSET('IWP22'!Std7PayrollEmploymentRequirements, 15, 7, 1, 1))</f>
        <v/>
      </c>
      <c r="H1585" s="195" t="str">
        <f ca="1">IF(OFFSET('IWP22'!Std7PayrollEmploymentRequirements, 15, 9, 1, 1) = 0, "", OFFSET('IWP22'!Std7PayrollEmploymentRequirements, 15, 9, 1, 1))</f>
        <v/>
      </c>
      <c r="I1585" s="194" t="str">
        <f ca="1">IF(OFFSET('IWP22'!Std7PayrollEmploymentRequirements, 15, 11, 1, 1) = 0, "", OFFSET('IWP22'!Std7PayrollEmploymentRequirements, 15, 11, 1, 1))</f>
        <v/>
      </c>
    </row>
    <row r="1586" spans="1:9" s="146" customFormat="1">
      <c r="A1586" s="183" t="s">
        <v>521</v>
      </c>
      <c r="B1586" s="195" t="str">
        <f ca="1">IF(OFFSET('IWP23'!Std7PayrollEmploymentRequirements, 0, 0, 1, 1) = 0, "", OFFSET('IWP23'!Std7PayrollEmploymentRequirements, 0, 0, 1, 1))</f>
        <v/>
      </c>
      <c r="C1586" s="195" t="str">
        <f ca="1">IF(OFFSET('IWP23'!Std7PayrollEmploymentRequirements, 0, 2, 1, 1) = 0, "", OFFSET('IWP23'!Std7PayrollEmploymentRequirements, 0, 2, 1, 1))</f>
        <v/>
      </c>
      <c r="D1586" s="172">
        <f ca="1">IF(OFFSET('IWP23'!Std7PayrollEmploymentRequirements, 0, 4, 1, 1)=DATE(1900,1,0), DATE(1900,1,1), OFFSET('IWP23'!Std7PayrollEmploymentRequirements, 0, 4, 1, 1))</f>
        <v>1</v>
      </c>
      <c r="E1586" s="195" t="str">
        <f ca="1">IF(OFFSET('IWP23'!Std7PayrollEmploymentRequirements, 0, 5, 1, 1) = 0, "", OFFSET('IWP23'!Std7PayrollEmploymentRequirements, 0, 5, 1, 1))</f>
        <v/>
      </c>
      <c r="F1586" s="195" t="str">
        <f ca="1">IF(OFFSET('IWP23'!Std7PayrollEmploymentRequirements, 0, 6, 1, 1) = 0, "", OFFSET('IWP23'!Std7PayrollEmploymentRequirements, 0, 6, 1, 1))</f>
        <v/>
      </c>
      <c r="G1586" s="195" t="str">
        <f ca="1">IF(OFFSET('IWP23'!Std7PayrollEmploymentRequirements, 0, 7, 1, 1) = 0, "", OFFSET('IWP23'!Std7PayrollEmploymentRequirements, 0, 7, 1, 1))</f>
        <v/>
      </c>
      <c r="H1586" s="195" t="str">
        <f ca="1">IF(OFFSET('IWP23'!Std7PayrollEmploymentRequirements, 0, 9, 1, 1) = 0, "", OFFSET('IWP23'!Std7PayrollEmploymentRequirements, 0, 9, 1, 1))</f>
        <v/>
      </c>
      <c r="I1586" s="194" t="str">
        <f ca="1">IF(OFFSET('IWP23'!Std7PayrollEmploymentRequirements, 0, 11, 1, 1) = 0, "", OFFSET('IWP23'!Std7PayrollEmploymentRequirements, 0, 11, 1, 1))</f>
        <v/>
      </c>
    </row>
    <row r="1587" spans="1:9" s="146" customFormat="1">
      <c r="A1587" s="183" t="s">
        <v>521</v>
      </c>
      <c r="B1587" s="195" t="str">
        <f ca="1">IF(OFFSET('IWP23'!Std7PayrollEmploymentRequirements, 1, 0, 1, 1) = 0, "", OFFSET('IWP23'!Std7PayrollEmploymentRequirements, 1, 0, 1, 1))</f>
        <v/>
      </c>
      <c r="C1587" s="195" t="str">
        <f ca="1">IF(OFFSET('IWP23'!Std7PayrollEmploymentRequirements, 1, 2, 1, 1) = 0, "", OFFSET('IWP23'!Std7PayrollEmploymentRequirements, 1, 2, 1, 1))</f>
        <v/>
      </c>
      <c r="D1587" s="172">
        <f ca="1">IF(OFFSET('IWP23'!Std7PayrollEmploymentRequirements, 1, 4, 1, 1)=DATE(1900,1,0), DATE(1900,1,1), OFFSET('IWP23'!Std7PayrollEmploymentRequirements, 1, 4, 1, 1))</f>
        <v>1</v>
      </c>
      <c r="E1587" s="195" t="str">
        <f ca="1">IF(OFFSET('IWP23'!Std7PayrollEmploymentRequirements, 1, 5, 1, 1) = 0, "", OFFSET('IWP23'!Std7PayrollEmploymentRequirements, 1, 5, 1, 1))</f>
        <v/>
      </c>
      <c r="F1587" s="195" t="str">
        <f ca="1">IF(OFFSET('IWP23'!Std7PayrollEmploymentRequirements, 1, 6, 1, 1) = 0, "", OFFSET('IWP23'!Std7PayrollEmploymentRequirements, 1, 6, 1, 1))</f>
        <v/>
      </c>
      <c r="G1587" s="195" t="str">
        <f ca="1">IF(OFFSET('IWP23'!Std7PayrollEmploymentRequirements, 1, 7, 1, 1) = 0, "", OFFSET('IWP23'!Std7PayrollEmploymentRequirements, 1, 7, 1, 1))</f>
        <v/>
      </c>
      <c r="H1587" s="195" t="str">
        <f ca="1">IF(OFFSET('IWP23'!Std7PayrollEmploymentRequirements, 1, 9, 1, 1) = 0, "", OFFSET('IWP23'!Std7PayrollEmploymentRequirements, 1, 9, 1, 1))</f>
        <v/>
      </c>
      <c r="I1587" s="194" t="str">
        <f ca="1">IF(OFFSET('IWP23'!Std7PayrollEmploymentRequirements, 1, 11, 1, 1) = 0, "", OFFSET('IWP23'!Std7PayrollEmploymentRequirements, 1, 11, 1, 1))</f>
        <v/>
      </c>
    </row>
    <row r="1588" spans="1:9" s="146" customFormat="1">
      <c r="A1588" s="183" t="s">
        <v>521</v>
      </c>
      <c r="B1588" s="195" t="str">
        <f ca="1">IF(OFFSET('IWP23'!Std7PayrollEmploymentRequirements, 2, 0, 1, 1) = 0, "", OFFSET('IWP23'!Std7PayrollEmploymentRequirements, 2, 0, 1, 1))</f>
        <v/>
      </c>
      <c r="C1588" s="195" t="str">
        <f ca="1">IF(OFFSET('IWP23'!Std7PayrollEmploymentRequirements, 2, 2, 1, 1) = 0, "", OFFSET('IWP23'!Std7PayrollEmploymentRequirements, 2, 2, 1, 1))</f>
        <v/>
      </c>
      <c r="D1588" s="172">
        <f ca="1">IF(OFFSET('IWP23'!Std7PayrollEmploymentRequirements, 2, 4, 1, 1)=DATE(1900,1,0), DATE(1900,1,1), OFFSET('IWP23'!Std7PayrollEmploymentRequirements, 2, 4, 1, 1))</f>
        <v>1</v>
      </c>
      <c r="E1588" s="195" t="str">
        <f ca="1">IF(OFFSET('IWP23'!Std7PayrollEmploymentRequirements, 2, 5, 1, 1) = 0, "", OFFSET('IWP23'!Std7PayrollEmploymentRequirements, 2, 5, 1, 1))</f>
        <v/>
      </c>
      <c r="F1588" s="195" t="str">
        <f ca="1">IF(OFFSET('IWP23'!Std7PayrollEmploymentRequirements, 2, 6, 1, 1) = 0, "", OFFSET('IWP23'!Std7PayrollEmploymentRequirements, 2, 6, 1, 1))</f>
        <v/>
      </c>
      <c r="G1588" s="195" t="str">
        <f ca="1">IF(OFFSET('IWP23'!Std7PayrollEmploymentRequirements, 2, 7, 1, 1) = 0, "", OFFSET('IWP23'!Std7PayrollEmploymentRequirements, 2, 7, 1, 1))</f>
        <v/>
      </c>
      <c r="H1588" s="195" t="str">
        <f ca="1">IF(OFFSET('IWP23'!Std7PayrollEmploymentRequirements, 2, 9, 1, 1) = 0, "", OFFSET('IWP23'!Std7PayrollEmploymentRequirements, 2, 9, 1, 1))</f>
        <v/>
      </c>
      <c r="I1588" s="194" t="str">
        <f ca="1">IF(OFFSET('IWP23'!Std7PayrollEmploymentRequirements, 2, 11, 1, 1) = 0, "", OFFSET('IWP23'!Std7PayrollEmploymentRequirements, 2, 11, 1, 1))</f>
        <v/>
      </c>
    </row>
    <row r="1589" spans="1:9" s="146" customFormat="1">
      <c r="A1589" s="183" t="s">
        <v>521</v>
      </c>
      <c r="B1589" s="195" t="str">
        <f ca="1">IF(OFFSET('IWP23'!Std7PayrollEmploymentRequirements, 3, 0, 1, 1) = 0, "", OFFSET('IWP23'!Std7PayrollEmploymentRequirements, 3, 0, 1, 1))</f>
        <v/>
      </c>
      <c r="C1589" s="195" t="str">
        <f ca="1">IF(OFFSET('IWP23'!Std7PayrollEmploymentRequirements, 3, 2, 1, 1) = 0, "", OFFSET('IWP23'!Std7PayrollEmploymentRequirements, 3, 2, 1, 1))</f>
        <v/>
      </c>
      <c r="D1589" s="172">
        <f ca="1">IF(OFFSET('IWP23'!Std7PayrollEmploymentRequirements, 3, 4, 1, 1)=DATE(1900,1,0), DATE(1900,1,1), OFFSET('IWP23'!Std7PayrollEmploymentRequirements, 3, 4, 1, 1))</f>
        <v>1</v>
      </c>
      <c r="E1589" s="195" t="str">
        <f ca="1">IF(OFFSET('IWP23'!Std7PayrollEmploymentRequirements, 3, 5, 1, 1) = 0, "", OFFSET('IWP23'!Std7PayrollEmploymentRequirements, 3, 5, 1, 1))</f>
        <v/>
      </c>
      <c r="F1589" s="195" t="str">
        <f ca="1">IF(OFFSET('IWP23'!Std7PayrollEmploymentRequirements, 3, 6, 1, 1) = 0, "", OFFSET('IWP23'!Std7PayrollEmploymentRequirements, 3, 6, 1, 1))</f>
        <v/>
      </c>
      <c r="G1589" s="195" t="str">
        <f ca="1">IF(OFFSET('IWP23'!Std7PayrollEmploymentRequirements, 3, 7, 1, 1) = 0, "", OFFSET('IWP23'!Std7PayrollEmploymentRequirements, 3, 7, 1, 1))</f>
        <v/>
      </c>
      <c r="H1589" s="195" t="str">
        <f ca="1">IF(OFFSET('IWP23'!Std7PayrollEmploymentRequirements, 3, 9, 1, 1) = 0, "", OFFSET('IWP23'!Std7PayrollEmploymentRequirements, 3, 9, 1, 1))</f>
        <v/>
      </c>
      <c r="I1589" s="194" t="str">
        <f ca="1">IF(OFFSET('IWP23'!Std7PayrollEmploymentRequirements, 3, 11, 1, 1) = 0, "", OFFSET('IWP23'!Std7PayrollEmploymentRequirements, 3, 11, 1, 1))</f>
        <v/>
      </c>
    </row>
    <row r="1590" spans="1:9" s="146" customFormat="1">
      <c r="A1590" s="183" t="s">
        <v>521</v>
      </c>
      <c r="B1590" s="195" t="str">
        <f ca="1">IF(OFFSET('IWP23'!Std7PayrollEmploymentRequirements, 4, 0, 1, 1) = 0, "", OFFSET('IWP23'!Std7PayrollEmploymentRequirements, 4, 0, 1, 1))</f>
        <v/>
      </c>
      <c r="C1590" s="195" t="str">
        <f ca="1">IF(OFFSET('IWP23'!Std7PayrollEmploymentRequirements, 4, 2, 1, 1) = 0, "", OFFSET('IWP23'!Std7PayrollEmploymentRequirements, 4, 2, 1, 1))</f>
        <v/>
      </c>
      <c r="D1590" s="172">
        <f ca="1">IF(OFFSET('IWP23'!Std7PayrollEmploymentRequirements, 4, 4, 1, 1)=DATE(1900,1,0), DATE(1900,1,1), OFFSET('IWP23'!Std7PayrollEmploymentRequirements, 4, 4, 1, 1))</f>
        <v>1</v>
      </c>
      <c r="E1590" s="195" t="str">
        <f ca="1">IF(OFFSET('IWP23'!Std7PayrollEmploymentRequirements, 4, 5, 1, 1) = 0, "", OFFSET('IWP23'!Std7PayrollEmploymentRequirements, 4, 5, 1, 1))</f>
        <v/>
      </c>
      <c r="F1590" s="195" t="str">
        <f ca="1">IF(OFFSET('IWP23'!Std7PayrollEmploymentRequirements, 4, 6, 1, 1) = 0, "", OFFSET('IWP23'!Std7PayrollEmploymentRequirements, 4, 6, 1, 1))</f>
        <v/>
      </c>
      <c r="G1590" s="195" t="str">
        <f ca="1">IF(OFFSET('IWP23'!Std7PayrollEmploymentRequirements, 4, 7, 1, 1) = 0, "", OFFSET('IWP23'!Std7PayrollEmploymentRequirements, 4, 7, 1, 1))</f>
        <v/>
      </c>
      <c r="H1590" s="195" t="str">
        <f ca="1">IF(OFFSET('IWP23'!Std7PayrollEmploymentRequirements, 4, 9, 1, 1) = 0, "", OFFSET('IWP23'!Std7PayrollEmploymentRequirements, 4, 9, 1, 1))</f>
        <v/>
      </c>
      <c r="I1590" s="194" t="str">
        <f ca="1">IF(OFFSET('IWP23'!Std7PayrollEmploymentRequirements, 4, 11, 1, 1) = 0, "", OFFSET('IWP23'!Std7PayrollEmploymentRequirements, 4, 11, 1, 1))</f>
        <v/>
      </c>
    </row>
    <row r="1591" spans="1:9" s="146" customFormat="1">
      <c r="A1591" s="183" t="s">
        <v>521</v>
      </c>
      <c r="B1591" s="195" t="str">
        <f ca="1">IF(OFFSET('IWP23'!Std7PayrollEmploymentRequirements, 5, 0, 1, 1) = 0, "", OFFSET('IWP23'!Std7PayrollEmploymentRequirements, 5, 0, 1, 1))</f>
        <v/>
      </c>
      <c r="C1591" s="195" t="str">
        <f ca="1">IF(OFFSET('IWP23'!Std7PayrollEmploymentRequirements, 5, 2, 1, 1) = 0, "", OFFSET('IWP23'!Std7PayrollEmploymentRequirements, 5, 2, 1, 1))</f>
        <v/>
      </c>
      <c r="D1591" s="172">
        <f ca="1">IF(OFFSET('IWP23'!Std7PayrollEmploymentRequirements, 5, 4, 1, 1)=DATE(1900,1,0), DATE(1900,1,1), OFFSET('IWP23'!Std7PayrollEmploymentRequirements, 5, 4, 1, 1))</f>
        <v>1</v>
      </c>
      <c r="E1591" s="195" t="str">
        <f ca="1">IF(OFFSET('IWP23'!Std7PayrollEmploymentRequirements, 5, 5, 1, 1) = 0, "", OFFSET('IWP23'!Std7PayrollEmploymentRequirements, 5, 5, 1, 1))</f>
        <v/>
      </c>
      <c r="F1591" s="195" t="str">
        <f ca="1">IF(OFFSET('IWP23'!Std7PayrollEmploymentRequirements, 5, 6, 1, 1) = 0, "", OFFSET('IWP23'!Std7PayrollEmploymentRequirements, 5, 6, 1, 1))</f>
        <v/>
      </c>
      <c r="G1591" s="195" t="str">
        <f ca="1">IF(OFFSET('IWP23'!Std7PayrollEmploymentRequirements, 5, 7, 1, 1) = 0, "", OFFSET('IWP23'!Std7PayrollEmploymentRequirements, 5, 7, 1, 1))</f>
        <v/>
      </c>
      <c r="H1591" s="195" t="str">
        <f ca="1">IF(OFFSET('IWP23'!Std7PayrollEmploymentRequirements, 5, 9, 1, 1) = 0, "", OFFSET('IWP23'!Std7PayrollEmploymentRequirements, 5, 9, 1, 1))</f>
        <v/>
      </c>
      <c r="I1591" s="194" t="str">
        <f ca="1">IF(OFFSET('IWP23'!Std7PayrollEmploymentRequirements, 5, 11, 1, 1) = 0, "", OFFSET('IWP23'!Std7PayrollEmploymentRequirements, 5, 11, 1, 1))</f>
        <v/>
      </c>
    </row>
    <row r="1592" spans="1:9" s="146" customFormat="1">
      <c r="A1592" s="183" t="s">
        <v>521</v>
      </c>
      <c r="B1592" s="195" t="str">
        <f ca="1">IF(OFFSET('IWP23'!Std7PayrollEmploymentRequirements, 6, 0, 1, 1) = 0, "", OFFSET('IWP23'!Std7PayrollEmploymentRequirements, 6, 0, 1, 1))</f>
        <v/>
      </c>
      <c r="C1592" s="195" t="str">
        <f ca="1">IF(OFFSET('IWP23'!Std7PayrollEmploymentRequirements, 6, 2, 1, 1) = 0, "", OFFSET('IWP23'!Std7PayrollEmploymentRequirements, 6, 2, 1, 1))</f>
        <v/>
      </c>
      <c r="D1592" s="172">
        <f ca="1">IF(OFFSET('IWP23'!Std7PayrollEmploymentRequirements, 6, 4, 1, 1)=DATE(1900,1,0), DATE(1900,1,1), OFFSET('IWP23'!Std7PayrollEmploymentRequirements, 6, 4, 1, 1))</f>
        <v>1</v>
      </c>
      <c r="E1592" s="195" t="str">
        <f ca="1">IF(OFFSET('IWP23'!Std7PayrollEmploymentRequirements, 6, 5, 1, 1) = 0, "", OFFSET('IWP23'!Std7PayrollEmploymentRequirements, 6, 5, 1, 1))</f>
        <v/>
      </c>
      <c r="F1592" s="195" t="str">
        <f ca="1">IF(OFFSET('IWP23'!Std7PayrollEmploymentRequirements, 6, 6, 1, 1) = 0, "", OFFSET('IWP23'!Std7PayrollEmploymentRequirements, 6, 6, 1, 1))</f>
        <v/>
      </c>
      <c r="G1592" s="195" t="str">
        <f ca="1">IF(OFFSET('IWP23'!Std7PayrollEmploymentRequirements, 6, 7, 1, 1) = 0, "", OFFSET('IWP23'!Std7PayrollEmploymentRequirements, 6, 7, 1, 1))</f>
        <v/>
      </c>
      <c r="H1592" s="195" t="str">
        <f ca="1">IF(OFFSET('IWP23'!Std7PayrollEmploymentRequirements, 6, 9, 1, 1) = 0, "", OFFSET('IWP23'!Std7PayrollEmploymentRequirements, 6, 9, 1, 1))</f>
        <v/>
      </c>
      <c r="I1592" s="194" t="str">
        <f ca="1">IF(OFFSET('IWP23'!Std7PayrollEmploymentRequirements, 6, 11, 1, 1) = 0, "", OFFSET('IWP23'!Std7PayrollEmploymentRequirements, 6, 11, 1, 1))</f>
        <v/>
      </c>
    </row>
    <row r="1593" spans="1:9" s="146" customFormat="1">
      <c r="A1593" s="183" t="s">
        <v>521</v>
      </c>
      <c r="B1593" s="195" t="str">
        <f ca="1">IF(OFFSET('IWP23'!Std7PayrollEmploymentRequirements, 7, 0, 1, 1) = 0, "", OFFSET('IWP23'!Std7PayrollEmploymentRequirements, 7, 0, 1, 1))</f>
        <v/>
      </c>
      <c r="C1593" s="195" t="str">
        <f ca="1">IF(OFFSET('IWP23'!Std7PayrollEmploymentRequirements, 7, 2, 1, 1) = 0, "", OFFSET('IWP23'!Std7PayrollEmploymentRequirements, 7, 2, 1, 1))</f>
        <v/>
      </c>
      <c r="D1593" s="172">
        <f ca="1">IF(OFFSET('IWP23'!Std7PayrollEmploymentRequirements, 7, 4, 1, 1)=DATE(1900,1,0), DATE(1900,1,1), OFFSET('IWP23'!Std7PayrollEmploymentRequirements, 7, 4, 1, 1))</f>
        <v>1</v>
      </c>
      <c r="E1593" s="195" t="str">
        <f ca="1">IF(OFFSET('IWP23'!Std7PayrollEmploymentRequirements, 7, 5, 1, 1) = 0, "", OFFSET('IWP23'!Std7PayrollEmploymentRequirements, 7, 5, 1, 1))</f>
        <v/>
      </c>
      <c r="F1593" s="195" t="str">
        <f ca="1">IF(OFFSET('IWP23'!Std7PayrollEmploymentRequirements, 7, 6, 1, 1) = 0, "", OFFSET('IWP23'!Std7PayrollEmploymentRequirements, 7, 6, 1, 1))</f>
        <v/>
      </c>
      <c r="G1593" s="195" t="str">
        <f ca="1">IF(OFFSET('IWP23'!Std7PayrollEmploymentRequirements, 7, 7, 1, 1) = 0, "", OFFSET('IWP23'!Std7PayrollEmploymentRequirements, 7, 7, 1, 1))</f>
        <v/>
      </c>
      <c r="H1593" s="195" t="str">
        <f ca="1">IF(OFFSET('IWP23'!Std7PayrollEmploymentRequirements, 7, 9, 1, 1) = 0, "", OFFSET('IWP23'!Std7PayrollEmploymentRequirements, 7, 9, 1, 1))</f>
        <v/>
      </c>
      <c r="I1593" s="194" t="str">
        <f ca="1">IF(OFFSET('IWP23'!Std7PayrollEmploymentRequirements, 7, 11, 1, 1) = 0, "", OFFSET('IWP23'!Std7PayrollEmploymentRequirements, 7, 11, 1, 1))</f>
        <v/>
      </c>
    </row>
    <row r="1594" spans="1:9" s="146" customFormat="1">
      <c r="A1594" s="183" t="s">
        <v>521</v>
      </c>
      <c r="B1594" s="195" t="str">
        <f ca="1">IF(OFFSET('IWP23'!Std7PayrollEmploymentRequirements, 8, 0, 1, 1) = 0, "", OFFSET('IWP23'!Std7PayrollEmploymentRequirements, 8, 0, 1, 1))</f>
        <v/>
      </c>
      <c r="C1594" s="195" t="str">
        <f ca="1">IF(OFFSET('IWP23'!Std7PayrollEmploymentRequirements, 8, 2, 1, 1) = 0, "", OFFSET('IWP23'!Std7PayrollEmploymentRequirements, 8, 2, 1, 1))</f>
        <v/>
      </c>
      <c r="D1594" s="172">
        <f ca="1">IF(OFFSET('IWP23'!Std7PayrollEmploymentRequirements, 8, 4, 1, 1)=DATE(1900,1,0), DATE(1900,1,1), OFFSET('IWP23'!Std7PayrollEmploymentRequirements, 8, 4, 1, 1))</f>
        <v>1</v>
      </c>
      <c r="E1594" s="195" t="str">
        <f ca="1">IF(OFFSET('IWP23'!Std7PayrollEmploymentRequirements, 8, 5, 1, 1) = 0, "", OFFSET('IWP23'!Std7PayrollEmploymentRequirements, 8, 5, 1, 1))</f>
        <v/>
      </c>
      <c r="F1594" s="195" t="str">
        <f ca="1">IF(OFFSET('IWP23'!Std7PayrollEmploymentRequirements, 8, 6, 1, 1) = 0, "", OFFSET('IWP23'!Std7PayrollEmploymentRequirements, 8, 6, 1, 1))</f>
        <v/>
      </c>
      <c r="G1594" s="195" t="str">
        <f ca="1">IF(OFFSET('IWP23'!Std7PayrollEmploymentRequirements, 8, 7, 1, 1) = 0, "", OFFSET('IWP23'!Std7PayrollEmploymentRequirements, 8, 7, 1, 1))</f>
        <v/>
      </c>
      <c r="H1594" s="195" t="str">
        <f ca="1">IF(OFFSET('IWP23'!Std7PayrollEmploymentRequirements, 8, 9, 1, 1) = 0, "", OFFSET('IWP23'!Std7PayrollEmploymentRequirements, 8, 9, 1, 1))</f>
        <v/>
      </c>
      <c r="I1594" s="194" t="str">
        <f ca="1">IF(OFFSET('IWP23'!Std7PayrollEmploymentRequirements, 8, 11, 1, 1) = 0, "", OFFSET('IWP23'!Std7PayrollEmploymentRequirements, 8, 11, 1, 1))</f>
        <v/>
      </c>
    </row>
    <row r="1595" spans="1:9" s="146" customFormat="1">
      <c r="A1595" s="183" t="s">
        <v>521</v>
      </c>
      <c r="B1595" s="195" t="str">
        <f ca="1">IF(OFFSET('IWP23'!Std7PayrollEmploymentRequirements, 9, 0, 1, 1) = 0, "", OFFSET('IWP23'!Std7PayrollEmploymentRequirements, 9, 0, 1, 1))</f>
        <v/>
      </c>
      <c r="C1595" s="195" t="str">
        <f ca="1">IF(OFFSET('IWP23'!Std7PayrollEmploymentRequirements, 9, 2, 1, 1) = 0, "", OFFSET('IWP23'!Std7PayrollEmploymentRequirements, 9, 2, 1, 1))</f>
        <v/>
      </c>
      <c r="D1595" s="172">
        <f ca="1">IF(OFFSET('IWP23'!Std7PayrollEmploymentRequirements, 9, 4, 1, 1)=DATE(1900,1,0), DATE(1900,1,1), OFFSET('IWP23'!Std7PayrollEmploymentRequirements, 9, 4, 1, 1))</f>
        <v>1</v>
      </c>
      <c r="E1595" s="195" t="str">
        <f ca="1">IF(OFFSET('IWP23'!Std7PayrollEmploymentRequirements, 9, 5, 1, 1) = 0, "", OFFSET('IWP23'!Std7PayrollEmploymentRequirements, 9, 5, 1, 1))</f>
        <v/>
      </c>
      <c r="F1595" s="195" t="str">
        <f ca="1">IF(OFFSET('IWP23'!Std7PayrollEmploymentRequirements, 9, 6, 1, 1) = 0, "", OFFSET('IWP23'!Std7PayrollEmploymentRequirements, 9, 6, 1, 1))</f>
        <v/>
      </c>
      <c r="G1595" s="195" t="str">
        <f ca="1">IF(OFFSET('IWP23'!Std7PayrollEmploymentRequirements, 9, 7, 1, 1) = 0, "", OFFSET('IWP23'!Std7PayrollEmploymentRequirements, 9, 7, 1, 1))</f>
        <v/>
      </c>
      <c r="H1595" s="195" t="str">
        <f ca="1">IF(OFFSET('IWP23'!Std7PayrollEmploymentRequirements, 9, 9, 1, 1) = 0, "", OFFSET('IWP23'!Std7PayrollEmploymentRequirements, 9, 9, 1, 1))</f>
        <v/>
      </c>
      <c r="I1595" s="194" t="str">
        <f ca="1">IF(OFFSET('IWP23'!Std7PayrollEmploymentRequirements, 9, 11, 1, 1) = 0, "", OFFSET('IWP23'!Std7PayrollEmploymentRequirements, 9, 11, 1, 1))</f>
        <v/>
      </c>
    </row>
    <row r="1596" spans="1:9" s="146" customFormat="1">
      <c r="A1596" s="183" t="s">
        <v>521</v>
      </c>
      <c r="B1596" s="195" t="str">
        <f ca="1">IF(OFFSET('IWP23'!Std7PayrollEmploymentRequirements, 10, 0, 1, 1) = 0, "", OFFSET('IWP23'!Std7PayrollEmploymentRequirements, 10, 0, 1, 1))</f>
        <v/>
      </c>
      <c r="C1596" s="195" t="str">
        <f ca="1">IF(OFFSET('IWP23'!Std7PayrollEmploymentRequirements, 10, 2, 1, 1) = 0, "", OFFSET('IWP23'!Std7PayrollEmploymentRequirements, 10, 2, 1, 1))</f>
        <v/>
      </c>
      <c r="D1596" s="172">
        <f ca="1">IF(OFFSET('IWP23'!Std7PayrollEmploymentRequirements, 10, 4, 1, 1)=DATE(1900,1,0), DATE(1900,1,1), OFFSET('IWP23'!Std7PayrollEmploymentRequirements, 10, 4, 1, 1))</f>
        <v>1</v>
      </c>
      <c r="E1596" s="195" t="str">
        <f ca="1">IF(OFFSET('IWP23'!Std7PayrollEmploymentRequirements, 10, 5, 1, 1) = 0, "", OFFSET('IWP23'!Std7PayrollEmploymentRequirements, 10, 5, 1, 1))</f>
        <v/>
      </c>
      <c r="F1596" s="195" t="str">
        <f ca="1">IF(OFFSET('IWP23'!Std7PayrollEmploymentRequirements, 10, 6, 1, 1) = 0, "", OFFSET('IWP23'!Std7PayrollEmploymentRequirements, 10, 6, 1, 1))</f>
        <v/>
      </c>
      <c r="G1596" s="195" t="str">
        <f ca="1">IF(OFFSET('IWP23'!Std7PayrollEmploymentRequirements, 10, 7, 1, 1) = 0, "", OFFSET('IWP23'!Std7PayrollEmploymentRequirements, 10, 7, 1, 1))</f>
        <v/>
      </c>
      <c r="H1596" s="195" t="str">
        <f ca="1">IF(OFFSET('IWP23'!Std7PayrollEmploymentRequirements, 10, 9, 1, 1) = 0, "", OFFSET('IWP23'!Std7PayrollEmploymentRequirements, 10, 9, 1, 1))</f>
        <v/>
      </c>
      <c r="I1596" s="194" t="str">
        <f ca="1">IF(OFFSET('IWP23'!Std7PayrollEmploymentRequirements, 10, 11, 1, 1) = 0, "", OFFSET('IWP23'!Std7PayrollEmploymentRequirements, 10, 11, 1, 1))</f>
        <v/>
      </c>
    </row>
    <row r="1597" spans="1:9" s="146" customFormat="1">
      <c r="A1597" s="183" t="s">
        <v>521</v>
      </c>
      <c r="B1597" s="195" t="str">
        <f ca="1">IF(OFFSET('IWP23'!Std7PayrollEmploymentRequirements, 11, 0, 1, 1) = 0, "", OFFSET('IWP23'!Std7PayrollEmploymentRequirements, 11, 0, 1, 1))</f>
        <v/>
      </c>
      <c r="C1597" s="195" t="str">
        <f ca="1">IF(OFFSET('IWP23'!Std7PayrollEmploymentRequirements, 11, 2, 1, 1) = 0, "", OFFSET('IWP23'!Std7PayrollEmploymentRequirements, 11, 2, 1, 1))</f>
        <v/>
      </c>
      <c r="D1597" s="172">
        <f ca="1">IF(OFFSET('IWP23'!Std7PayrollEmploymentRequirements, 11, 4, 1, 1)=DATE(1900,1,0), DATE(1900,1,1), OFFSET('IWP23'!Std7PayrollEmploymentRequirements, 11, 4, 1, 1))</f>
        <v>1</v>
      </c>
      <c r="E1597" s="195" t="str">
        <f ca="1">IF(OFFSET('IWP23'!Std7PayrollEmploymentRequirements, 11, 5, 1, 1) = 0, "", OFFSET('IWP23'!Std7PayrollEmploymentRequirements, 11, 5, 1, 1))</f>
        <v/>
      </c>
      <c r="F1597" s="195" t="str">
        <f ca="1">IF(OFFSET('IWP23'!Std7PayrollEmploymentRequirements, 11, 6, 1, 1) = 0, "", OFFSET('IWP23'!Std7PayrollEmploymentRequirements, 11, 6, 1, 1))</f>
        <v/>
      </c>
      <c r="G1597" s="195" t="str">
        <f ca="1">IF(OFFSET('IWP23'!Std7PayrollEmploymentRequirements, 11, 7, 1, 1) = 0, "", OFFSET('IWP23'!Std7PayrollEmploymentRequirements, 11, 7, 1, 1))</f>
        <v/>
      </c>
      <c r="H1597" s="195" t="str">
        <f ca="1">IF(OFFSET('IWP23'!Std7PayrollEmploymentRequirements, 11, 9, 1, 1) = 0, "", OFFSET('IWP23'!Std7PayrollEmploymentRequirements, 11, 9, 1, 1))</f>
        <v/>
      </c>
      <c r="I1597" s="194" t="str">
        <f ca="1">IF(OFFSET('IWP23'!Std7PayrollEmploymentRequirements, 11, 11, 1, 1) = 0, "", OFFSET('IWP23'!Std7PayrollEmploymentRequirements, 11, 11, 1, 1))</f>
        <v/>
      </c>
    </row>
    <row r="1598" spans="1:9" s="146" customFormat="1">
      <c r="A1598" s="183" t="s">
        <v>521</v>
      </c>
      <c r="B1598" s="195" t="str">
        <f ca="1">IF(OFFSET('IWP23'!Std7PayrollEmploymentRequirements, 12, 0, 1, 1) = 0, "", OFFSET('IWP23'!Std7PayrollEmploymentRequirements, 12, 0, 1, 1))</f>
        <v/>
      </c>
      <c r="C1598" s="195" t="str">
        <f ca="1">IF(OFFSET('IWP23'!Std7PayrollEmploymentRequirements, 12, 2, 1, 1) = 0, "", OFFSET('IWP23'!Std7PayrollEmploymentRequirements, 12, 2, 1, 1))</f>
        <v/>
      </c>
      <c r="D1598" s="172">
        <f ca="1">IF(OFFSET('IWP23'!Std7PayrollEmploymentRequirements, 12, 4, 1, 1)=DATE(1900,1,0), DATE(1900,1,1), OFFSET('IWP23'!Std7PayrollEmploymentRequirements, 12, 4, 1, 1))</f>
        <v>1</v>
      </c>
      <c r="E1598" s="195" t="str">
        <f ca="1">IF(OFFSET('IWP23'!Std7PayrollEmploymentRequirements, 12, 5, 1, 1) = 0, "", OFFSET('IWP23'!Std7PayrollEmploymentRequirements, 12, 5, 1, 1))</f>
        <v/>
      </c>
      <c r="F1598" s="195" t="str">
        <f ca="1">IF(OFFSET('IWP23'!Std7PayrollEmploymentRequirements, 12, 6, 1, 1) = 0, "", OFFSET('IWP23'!Std7PayrollEmploymentRequirements, 12, 6, 1, 1))</f>
        <v/>
      </c>
      <c r="G1598" s="195" t="str">
        <f ca="1">IF(OFFSET('IWP23'!Std7PayrollEmploymentRequirements, 12, 7, 1, 1) = 0, "", OFFSET('IWP23'!Std7PayrollEmploymentRequirements, 12, 7, 1, 1))</f>
        <v/>
      </c>
      <c r="H1598" s="195" t="str">
        <f ca="1">IF(OFFSET('IWP23'!Std7PayrollEmploymentRequirements, 12, 9, 1, 1) = 0, "", OFFSET('IWP23'!Std7PayrollEmploymentRequirements, 12, 9, 1, 1))</f>
        <v/>
      </c>
      <c r="I1598" s="194" t="str">
        <f ca="1">IF(OFFSET('IWP23'!Std7PayrollEmploymentRequirements, 12, 11, 1, 1) = 0, "", OFFSET('IWP23'!Std7PayrollEmploymentRequirements, 12, 11, 1, 1))</f>
        <v/>
      </c>
    </row>
    <row r="1599" spans="1:9" s="146" customFormat="1">
      <c r="A1599" s="183" t="s">
        <v>521</v>
      </c>
      <c r="B1599" s="195" t="str">
        <f ca="1">IF(OFFSET('IWP23'!Std7PayrollEmploymentRequirements, 13, 0, 1, 1) = 0, "", OFFSET('IWP23'!Std7PayrollEmploymentRequirements, 13, 0, 1, 1))</f>
        <v/>
      </c>
      <c r="C1599" s="195" t="str">
        <f ca="1">IF(OFFSET('IWP23'!Std7PayrollEmploymentRequirements, 13, 2, 1, 1) = 0, "", OFFSET('IWP23'!Std7PayrollEmploymentRequirements, 13, 2, 1, 1))</f>
        <v/>
      </c>
      <c r="D1599" s="172">
        <f ca="1">IF(OFFSET('IWP23'!Std7PayrollEmploymentRequirements, 13, 4, 1, 1)=DATE(1900,1,0), DATE(1900,1,1), OFFSET('IWP23'!Std7PayrollEmploymentRequirements, 13, 4, 1, 1))</f>
        <v>1</v>
      </c>
      <c r="E1599" s="195" t="str">
        <f ca="1">IF(OFFSET('IWP23'!Std7PayrollEmploymentRequirements, 13, 5, 1, 1) = 0, "", OFFSET('IWP23'!Std7PayrollEmploymentRequirements, 13, 5, 1, 1))</f>
        <v/>
      </c>
      <c r="F1599" s="195" t="str">
        <f ca="1">IF(OFFSET('IWP23'!Std7PayrollEmploymentRequirements, 13, 6, 1, 1) = 0, "", OFFSET('IWP23'!Std7PayrollEmploymentRequirements, 13, 6, 1, 1))</f>
        <v/>
      </c>
      <c r="G1599" s="195" t="str">
        <f ca="1">IF(OFFSET('IWP23'!Std7PayrollEmploymentRequirements, 13, 7, 1, 1) = 0, "", OFFSET('IWP23'!Std7PayrollEmploymentRequirements, 13, 7, 1, 1))</f>
        <v/>
      </c>
      <c r="H1599" s="195" t="str">
        <f ca="1">IF(OFFSET('IWP23'!Std7PayrollEmploymentRequirements, 13, 9, 1, 1) = 0, "", OFFSET('IWP23'!Std7PayrollEmploymentRequirements, 13, 9, 1, 1))</f>
        <v/>
      </c>
      <c r="I1599" s="194" t="str">
        <f ca="1">IF(OFFSET('IWP23'!Std7PayrollEmploymentRequirements, 13, 11, 1, 1) = 0, "", OFFSET('IWP23'!Std7PayrollEmploymentRequirements, 13, 11, 1, 1))</f>
        <v/>
      </c>
    </row>
    <row r="1600" spans="1:9" s="146" customFormat="1">
      <c r="A1600" s="183" t="s">
        <v>521</v>
      </c>
      <c r="B1600" s="195" t="str">
        <f ca="1">IF(OFFSET('IWP23'!Std7PayrollEmploymentRequirements, 14, 0, 1, 1) = 0, "", OFFSET('IWP23'!Std7PayrollEmploymentRequirements, 14, 0, 1, 1))</f>
        <v/>
      </c>
      <c r="C1600" s="195" t="str">
        <f ca="1">IF(OFFSET('IWP23'!Std7PayrollEmploymentRequirements, 14, 2, 1, 1) = 0, "", OFFSET('IWP23'!Std7PayrollEmploymentRequirements, 14, 2, 1, 1))</f>
        <v/>
      </c>
      <c r="D1600" s="172">
        <f ca="1">IF(OFFSET('IWP23'!Std7PayrollEmploymentRequirements, 14, 4, 1, 1)=DATE(1900,1,0), DATE(1900,1,1), OFFSET('IWP23'!Std7PayrollEmploymentRequirements, 14, 4, 1, 1))</f>
        <v>1</v>
      </c>
      <c r="E1600" s="195" t="str">
        <f ca="1">IF(OFFSET('IWP23'!Std7PayrollEmploymentRequirements, 14, 5, 1, 1) = 0, "", OFFSET('IWP23'!Std7PayrollEmploymentRequirements, 14, 5, 1, 1))</f>
        <v/>
      </c>
      <c r="F1600" s="195" t="str">
        <f ca="1">IF(OFFSET('IWP23'!Std7PayrollEmploymentRequirements, 14, 6, 1, 1) = 0, "", OFFSET('IWP23'!Std7PayrollEmploymentRequirements, 14, 6, 1, 1))</f>
        <v/>
      </c>
      <c r="G1600" s="195" t="str">
        <f ca="1">IF(OFFSET('IWP23'!Std7PayrollEmploymentRequirements, 14, 7, 1, 1) = 0, "", OFFSET('IWP23'!Std7PayrollEmploymentRequirements, 14, 7, 1, 1))</f>
        <v/>
      </c>
      <c r="H1600" s="195" t="str">
        <f ca="1">IF(OFFSET('IWP23'!Std7PayrollEmploymentRequirements, 14, 9, 1, 1) = 0, "", OFFSET('IWP23'!Std7PayrollEmploymentRequirements, 14, 9, 1, 1))</f>
        <v/>
      </c>
      <c r="I1600" s="194" t="str">
        <f ca="1">IF(OFFSET('IWP23'!Std7PayrollEmploymentRequirements, 14, 11, 1, 1) = 0, "", OFFSET('IWP23'!Std7PayrollEmploymentRequirements, 14, 11, 1, 1))</f>
        <v/>
      </c>
    </row>
    <row r="1601" spans="1:9" s="146" customFormat="1">
      <c r="A1601" s="183" t="s">
        <v>521</v>
      </c>
      <c r="B1601" s="195" t="str">
        <f ca="1">IF(OFFSET('IWP23'!Std7PayrollEmploymentRequirements, 15, 0, 1, 1) = 0, "", OFFSET('IWP23'!Std7PayrollEmploymentRequirements, 15, 0, 1, 1))</f>
        <v/>
      </c>
      <c r="C1601" s="195" t="str">
        <f ca="1">IF(OFFSET('IWP23'!Std7PayrollEmploymentRequirements, 15, 2, 1, 1) = 0, "", OFFSET('IWP23'!Std7PayrollEmploymentRequirements, 15, 2, 1, 1))</f>
        <v/>
      </c>
      <c r="D1601" s="172">
        <f ca="1">IF(OFFSET('IWP23'!Std7PayrollEmploymentRequirements, 15, 4, 1, 1)=DATE(1900,1,0), DATE(1900,1,1), OFFSET('IWP23'!Std7PayrollEmploymentRequirements, 15, 4, 1, 1))</f>
        <v>1</v>
      </c>
      <c r="E1601" s="195" t="str">
        <f ca="1">IF(OFFSET('IWP23'!Std7PayrollEmploymentRequirements, 15, 5, 1, 1) = 0, "", OFFSET('IWP23'!Std7PayrollEmploymentRequirements, 15, 5, 1, 1))</f>
        <v/>
      </c>
      <c r="F1601" s="195" t="str">
        <f ca="1">IF(OFFSET('IWP23'!Std7PayrollEmploymentRequirements, 15, 6, 1, 1) = 0, "", OFFSET('IWP23'!Std7PayrollEmploymentRequirements, 15, 6, 1, 1))</f>
        <v/>
      </c>
      <c r="G1601" s="195" t="str">
        <f ca="1">IF(OFFSET('IWP23'!Std7PayrollEmploymentRequirements, 15, 7, 1, 1) = 0, "", OFFSET('IWP23'!Std7PayrollEmploymentRequirements, 15, 7, 1, 1))</f>
        <v/>
      </c>
      <c r="H1601" s="195" t="str">
        <f ca="1">IF(OFFSET('IWP23'!Std7PayrollEmploymentRequirements, 15, 9, 1, 1) = 0, "", OFFSET('IWP23'!Std7PayrollEmploymentRequirements, 15, 9, 1, 1))</f>
        <v/>
      </c>
      <c r="I1601" s="194" t="str">
        <f ca="1">IF(OFFSET('IWP23'!Std7PayrollEmploymentRequirements, 15, 11, 1, 1) = 0, "", OFFSET('IWP23'!Std7PayrollEmploymentRequirements, 15, 11, 1, 1))</f>
        <v/>
      </c>
    </row>
    <row r="1602" spans="1:9" s="146" customFormat="1">
      <c r="A1602" s="183" t="s">
        <v>522</v>
      </c>
      <c r="B1602" s="195" t="str">
        <f ca="1">IF(OFFSET('IWP24'!Std7PayrollEmploymentRequirements, 0, 0, 1, 1) = 0, "", OFFSET('IWP24'!Std7PayrollEmploymentRequirements, 0, 0, 1, 1))</f>
        <v/>
      </c>
      <c r="C1602" s="195" t="str">
        <f ca="1">IF(OFFSET('IWP24'!Std7PayrollEmploymentRequirements, 0, 2, 1, 1) = 0, "", OFFSET('IWP24'!Std7PayrollEmploymentRequirements, 0, 2, 1, 1))</f>
        <v/>
      </c>
      <c r="D1602" s="172">
        <f ca="1">IF(OFFSET('IWP24'!Std7PayrollEmploymentRequirements, 0, 4, 1, 1)=DATE(1900,1,0), DATE(1900,1,1), OFFSET('IWP24'!Std7PayrollEmploymentRequirements, 0, 4, 1, 1))</f>
        <v>1</v>
      </c>
      <c r="E1602" s="195" t="str">
        <f ca="1">IF(OFFSET('IWP24'!Std7PayrollEmploymentRequirements, 0, 5, 1, 1) = 0, "", OFFSET('IWP24'!Std7PayrollEmploymentRequirements, 0, 5, 1, 1))</f>
        <v/>
      </c>
      <c r="F1602" s="195" t="str">
        <f ca="1">IF(OFFSET('IWP24'!Std7PayrollEmploymentRequirements, 0, 6, 1, 1) = 0, "", OFFSET('IWP24'!Std7PayrollEmploymentRequirements, 0, 6, 1, 1))</f>
        <v/>
      </c>
      <c r="G1602" s="195" t="str">
        <f ca="1">IF(OFFSET('IWP24'!Std7PayrollEmploymentRequirements, 0, 7, 1, 1) = 0, "", OFFSET('IWP24'!Std7PayrollEmploymentRequirements, 0, 7, 1, 1))</f>
        <v/>
      </c>
      <c r="H1602" s="195" t="str">
        <f ca="1">IF(OFFSET('IWP24'!Std7PayrollEmploymentRequirements, 0, 9, 1, 1) = 0, "", OFFSET('IWP24'!Std7PayrollEmploymentRequirements, 0, 9, 1, 1))</f>
        <v/>
      </c>
      <c r="I1602" s="194" t="str">
        <f ca="1">IF(OFFSET('IWP24'!Std7PayrollEmploymentRequirements, 0, 11, 1, 1) = 0, "", OFFSET('IWP24'!Std7PayrollEmploymentRequirements, 0, 11, 1, 1))</f>
        <v/>
      </c>
    </row>
    <row r="1603" spans="1:9" s="146" customFormat="1">
      <c r="A1603" s="183" t="s">
        <v>522</v>
      </c>
      <c r="B1603" s="195" t="str">
        <f ca="1">IF(OFFSET('IWP24'!Std7PayrollEmploymentRequirements, 1, 0, 1, 1) = 0, "", OFFSET('IWP24'!Std7PayrollEmploymentRequirements, 1, 0, 1, 1))</f>
        <v/>
      </c>
      <c r="C1603" s="195" t="str">
        <f ca="1">IF(OFFSET('IWP24'!Std7PayrollEmploymentRequirements, 1, 2, 1, 1) = 0, "", OFFSET('IWP24'!Std7PayrollEmploymentRequirements, 1, 2, 1, 1))</f>
        <v/>
      </c>
      <c r="D1603" s="172">
        <f ca="1">IF(OFFSET('IWP24'!Std7PayrollEmploymentRequirements, 1, 4, 1, 1)=DATE(1900,1,0), DATE(1900,1,1), OFFSET('IWP24'!Std7PayrollEmploymentRequirements, 1, 4, 1, 1))</f>
        <v>1</v>
      </c>
      <c r="E1603" s="195" t="str">
        <f ca="1">IF(OFFSET('IWP24'!Std7PayrollEmploymentRequirements, 1, 5, 1, 1) = 0, "", OFFSET('IWP24'!Std7PayrollEmploymentRequirements, 1, 5, 1, 1))</f>
        <v/>
      </c>
      <c r="F1603" s="195" t="str">
        <f ca="1">IF(OFFSET('IWP24'!Std7PayrollEmploymentRequirements, 1, 6, 1, 1) = 0, "", OFFSET('IWP24'!Std7PayrollEmploymentRequirements, 1, 6, 1, 1))</f>
        <v/>
      </c>
      <c r="G1603" s="195" t="str">
        <f ca="1">IF(OFFSET('IWP24'!Std7PayrollEmploymentRequirements, 1, 7, 1, 1) = 0, "", OFFSET('IWP24'!Std7PayrollEmploymentRequirements, 1, 7, 1, 1))</f>
        <v/>
      </c>
      <c r="H1603" s="195" t="str">
        <f ca="1">IF(OFFSET('IWP24'!Std7PayrollEmploymentRequirements, 1, 9, 1, 1) = 0, "", OFFSET('IWP24'!Std7PayrollEmploymentRequirements, 1, 9, 1, 1))</f>
        <v/>
      </c>
      <c r="I1603" s="194" t="str">
        <f ca="1">IF(OFFSET('IWP24'!Std7PayrollEmploymentRequirements, 1, 11, 1, 1) = 0, "", OFFSET('IWP24'!Std7PayrollEmploymentRequirements, 1, 11, 1, 1))</f>
        <v/>
      </c>
    </row>
    <row r="1604" spans="1:9" s="146" customFormat="1">
      <c r="A1604" s="183" t="s">
        <v>522</v>
      </c>
      <c r="B1604" s="195" t="str">
        <f ca="1">IF(OFFSET('IWP24'!Std7PayrollEmploymentRequirements, 2, 0, 1, 1) = 0, "", OFFSET('IWP24'!Std7PayrollEmploymentRequirements, 2, 0, 1, 1))</f>
        <v/>
      </c>
      <c r="C1604" s="195" t="str">
        <f ca="1">IF(OFFSET('IWP24'!Std7PayrollEmploymentRequirements, 2, 2, 1, 1) = 0, "", OFFSET('IWP24'!Std7PayrollEmploymentRequirements, 2, 2, 1, 1))</f>
        <v/>
      </c>
      <c r="D1604" s="172">
        <f ca="1">IF(OFFSET('IWP24'!Std7PayrollEmploymentRequirements, 2, 4, 1, 1)=DATE(1900,1,0), DATE(1900,1,1), OFFSET('IWP24'!Std7PayrollEmploymentRequirements, 2, 4, 1, 1))</f>
        <v>1</v>
      </c>
      <c r="E1604" s="195" t="str">
        <f ca="1">IF(OFFSET('IWP24'!Std7PayrollEmploymentRequirements, 2, 5, 1, 1) = 0, "", OFFSET('IWP24'!Std7PayrollEmploymentRequirements, 2, 5, 1, 1))</f>
        <v/>
      </c>
      <c r="F1604" s="195" t="str">
        <f ca="1">IF(OFFSET('IWP24'!Std7PayrollEmploymentRequirements, 2, 6, 1, 1) = 0, "", OFFSET('IWP24'!Std7PayrollEmploymentRequirements, 2, 6, 1, 1))</f>
        <v/>
      </c>
      <c r="G1604" s="195" t="str">
        <f ca="1">IF(OFFSET('IWP24'!Std7PayrollEmploymentRequirements, 2, 7, 1, 1) = 0, "", OFFSET('IWP24'!Std7PayrollEmploymentRequirements, 2, 7, 1, 1))</f>
        <v/>
      </c>
      <c r="H1604" s="195" t="str">
        <f ca="1">IF(OFFSET('IWP24'!Std7PayrollEmploymentRequirements, 2, 9, 1, 1) = 0, "", OFFSET('IWP24'!Std7PayrollEmploymentRequirements, 2, 9, 1, 1))</f>
        <v/>
      </c>
      <c r="I1604" s="194" t="str">
        <f ca="1">IF(OFFSET('IWP24'!Std7PayrollEmploymentRequirements, 2, 11, 1, 1) = 0, "", OFFSET('IWP24'!Std7PayrollEmploymentRequirements, 2, 11, 1, 1))</f>
        <v/>
      </c>
    </row>
    <row r="1605" spans="1:9" s="146" customFormat="1">
      <c r="A1605" s="183" t="s">
        <v>522</v>
      </c>
      <c r="B1605" s="195" t="str">
        <f ca="1">IF(OFFSET('IWP24'!Std7PayrollEmploymentRequirements, 3, 0, 1, 1) = 0, "", OFFSET('IWP24'!Std7PayrollEmploymentRequirements, 3, 0, 1, 1))</f>
        <v/>
      </c>
      <c r="C1605" s="195" t="str">
        <f ca="1">IF(OFFSET('IWP24'!Std7PayrollEmploymentRequirements, 3, 2, 1, 1) = 0, "", OFFSET('IWP24'!Std7PayrollEmploymentRequirements, 3, 2, 1, 1))</f>
        <v/>
      </c>
      <c r="D1605" s="172">
        <f ca="1">IF(OFFSET('IWP24'!Std7PayrollEmploymentRequirements, 3, 4, 1, 1)=DATE(1900,1,0), DATE(1900,1,1), OFFSET('IWP24'!Std7PayrollEmploymentRequirements, 3, 4, 1, 1))</f>
        <v>1</v>
      </c>
      <c r="E1605" s="195" t="str">
        <f ca="1">IF(OFFSET('IWP24'!Std7PayrollEmploymentRequirements, 3, 5, 1, 1) = 0, "", OFFSET('IWP24'!Std7PayrollEmploymentRequirements, 3, 5, 1, 1))</f>
        <v/>
      </c>
      <c r="F1605" s="195" t="str">
        <f ca="1">IF(OFFSET('IWP24'!Std7PayrollEmploymentRequirements, 3, 6, 1, 1) = 0, "", OFFSET('IWP24'!Std7PayrollEmploymentRequirements, 3, 6, 1, 1))</f>
        <v/>
      </c>
      <c r="G1605" s="195" t="str">
        <f ca="1">IF(OFFSET('IWP24'!Std7PayrollEmploymentRequirements, 3, 7, 1, 1) = 0, "", OFFSET('IWP24'!Std7PayrollEmploymentRequirements, 3, 7, 1, 1))</f>
        <v/>
      </c>
      <c r="H1605" s="195" t="str">
        <f ca="1">IF(OFFSET('IWP24'!Std7PayrollEmploymentRequirements, 3, 9, 1, 1) = 0, "", OFFSET('IWP24'!Std7PayrollEmploymentRequirements, 3, 9, 1, 1))</f>
        <v/>
      </c>
      <c r="I1605" s="194" t="str">
        <f ca="1">IF(OFFSET('IWP24'!Std7PayrollEmploymentRequirements, 3, 11, 1, 1) = 0, "", OFFSET('IWP24'!Std7PayrollEmploymentRequirements, 3, 11, 1, 1))</f>
        <v/>
      </c>
    </row>
    <row r="1606" spans="1:9" s="146" customFormat="1">
      <c r="A1606" s="183" t="s">
        <v>522</v>
      </c>
      <c r="B1606" s="195" t="str">
        <f ca="1">IF(OFFSET('IWP24'!Std7PayrollEmploymentRequirements, 4, 0, 1, 1) = 0, "", OFFSET('IWP24'!Std7PayrollEmploymentRequirements, 4, 0, 1, 1))</f>
        <v/>
      </c>
      <c r="C1606" s="195" t="str">
        <f ca="1">IF(OFFSET('IWP24'!Std7PayrollEmploymentRequirements, 4, 2, 1, 1) = 0, "", OFFSET('IWP24'!Std7PayrollEmploymentRequirements, 4, 2, 1, 1))</f>
        <v/>
      </c>
      <c r="D1606" s="172">
        <f ca="1">IF(OFFSET('IWP24'!Std7PayrollEmploymentRequirements, 4, 4, 1, 1)=DATE(1900,1,0), DATE(1900,1,1), OFFSET('IWP24'!Std7PayrollEmploymentRequirements, 4, 4, 1, 1))</f>
        <v>1</v>
      </c>
      <c r="E1606" s="195" t="str">
        <f ca="1">IF(OFFSET('IWP24'!Std7PayrollEmploymentRequirements, 4, 5, 1, 1) = 0, "", OFFSET('IWP24'!Std7PayrollEmploymentRequirements, 4, 5, 1, 1))</f>
        <v/>
      </c>
      <c r="F1606" s="195" t="str">
        <f ca="1">IF(OFFSET('IWP24'!Std7PayrollEmploymentRequirements, 4, 6, 1, 1) = 0, "", OFFSET('IWP24'!Std7PayrollEmploymentRequirements, 4, 6, 1, 1))</f>
        <v/>
      </c>
      <c r="G1606" s="195" t="str">
        <f ca="1">IF(OFFSET('IWP24'!Std7PayrollEmploymentRequirements, 4, 7, 1, 1) = 0, "", OFFSET('IWP24'!Std7PayrollEmploymentRequirements, 4, 7, 1, 1))</f>
        <v/>
      </c>
      <c r="H1606" s="195" t="str">
        <f ca="1">IF(OFFSET('IWP24'!Std7PayrollEmploymentRequirements, 4, 9, 1, 1) = 0, "", OFFSET('IWP24'!Std7PayrollEmploymentRequirements, 4, 9, 1, 1))</f>
        <v/>
      </c>
      <c r="I1606" s="194" t="str">
        <f ca="1">IF(OFFSET('IWP24'!Std7PayrollEmploymentRequirements, 4, 11, 1, 1) = 0, "", OFFSET('IWP24'!Std7PayrollEmploymentRequirements, 4, 11, 1, 1))</f>
        <v/>
      </c>
    </row>
    <row r="1607" spans="1:9" s="146" customFormat="1">
      <c r="A1607" s="183" t="s">
        <v>522</v>
      </c>
      <c r="B1607" s="195" t="str">
        <f ca="1">IF(OFFSET('IWP24'!Std7PayrollEmploymentRequirements, 5, 0, 1, 1) = 0, "", OFFSET('IWP24'!Std7PayrollEmploymentRequirements, 5, 0, 1, 1))</f>
        <v/>
      </c>
      <c r="C1607" s="195" t="str">
        <f ca="1">IF(OFFSET('IWP24'!Std7PayrollEmploymentRequirements, 5, 2, 1, 1) = 0, "", OFFSET('IWP24'!Std7PayrollEmploymentRequirements, 5, 2, 1, 1))</f>
        <v/>
      </c>
      <c r="D1607" s="172">
        <f ca="1">IF(OFFSET('IWP24'!Std7PayrollEmploymentRequirements, 5, 4, 1, 1)=DATE(1900,1,0), DATE(1900,1,1), OFFSET('IWP24'!Std7PayrollEmploymentRequirements, 5, 4, 1, 1))</f>
        <v>1</v>
      </c>
      <c r="E1607" s="195" t="str">
        <f ca="1">IF(OFFSET('IWP24'!Std7PayrollEmploymentRequirements, 5, 5, 1, 1) = 0, "", OFFSET('IWP24'!Std7PayrollEmploymentRequirements, 5, 5, 1, 1))</f>
        <v/>
      </c>
      <c r="F1607" s="195" t="str">
        <f ca="1">IF(OFFSET('IWP24'!Std7PayrollEmploymentRequirements, 5, 6, 1, 1) = 0, "", OFFSET('IWP24'!Std7PayrollEmploymentRequirements, 5, 6, 1, 1))</f>
        <v/>
      </c>
      <c r="G1607" s="195" t="str">
        <f ca="1">IF(OFFSET('IWP24'!Std7PayrollEmploymentRequirements, 5, 7, 1, 1) = 0, "", OFFSET('IWP24'!Std7PayrollEmploymentRequirements, 5, 7, 1, 1))</f>
        <v/>
      </c>
      <c r="H1607" s="195" t="str">
        <f ca="1">IF(OFFSET('IWP24'!Std7PayrollEmploymentRequirements, 5, 9, 1, 1) = 0, "", OFFSET('IWP24'!Std7PayrollEmploymentRequirements, 5, 9, 1, 1))</f>
        <v/>
      </c>
      <c r="I1607" s="194" t="str">
        <f ca="1">IF(OFFSET('IWP24'!Std7PayrollEmploymentRequirements, 5, 11, 1, 1) = 0, "", OFFSET('IWP24'!Std7PayrollEmploymentRequirements, 5, 11, 1, 1))</f>
        <v/>
      </c>
    </row>
    <row r="1608" spans="1:9" s="146" customFormat="1">
      <c r="A1608" s="183" t="s">
        <v>522</v>
      </c>
      <c r="B1608" s="195" t="str">
        <f ca="1">IF(OFFSET('IWP24'!Std7PayrollEmploymentRequirements, 6, 0, 1, 1) = 0, "", OFFSET('IWP24'!Std7PayrollEmploymentRequirements, 6, 0, 1, 1))</f>
        <v/>
      </c>
      <c r="C1608" s="195" t="str">
        <f ca="1">IF(OFFSET('IWP24'!Std7PayrollEmploymentRequirements, 6, 2, 1, 1) = 0, "", OFFSET('IWP24'!Std7PayrollEmploymentRequirements, 6, 2, 1, 1))</f>
        <v/>
      </c>
      <c r="D1608" s="172">
        <f ca="1">IF(OFFSET('IWP24'!Std7PayrollEmploymentRequirements, 6, 4, 1, 1)=DATE(1900,1,0), DATE(1900,1,1), OFFSET('IWP24'!Std7PayrollEmploymentRequirements, 6, 4, 1, 1))</f>
        <v>1</v>
      </c>
      <c r="E1608" s="195" t="str">
        <f ca="1">IF(OFFSET('IWP24'!Std7PayrollEmploymentRequirements, 6, 5, 1, 1) = 0, "", OFFSET('IWP24'!Std7PayrollEmploymentRequirements, 6, 5, 1, 1))</f>
        <v/>
      </c>
      <c r="F1608" s="195" t="str">
        <f ca="1">IF(OFFSET('IWP24'!Std7PayrollEmploymentRequirements, 6, 6, 1, 1) = 0, "", OFFSET('IWP24'!Std7PayrollEmploymentRequirements, 6, 6, 1, 1))</f>
        <v/>
      </c>
      <c r="G1608" s="195" t="str">
        <f ca="1">IF(OFFSET('IWP24'!Std7PayrollEmploymentRequirements, 6, 7, 1, 1) = 0, "", OFFSET('IWP24'!Std7PayrollEmploymentRequirements, 6, 7, 1, 1))</f>
        <v/>
      </c>
      <c r="H1608" s="195" t="str">
        <f ca="1">IF(OFFSET('IWP24'!Std7PayrollEmploymentRequirements, 6, 9, 1, 1) = 0, "", OFFSET('IWP24'!Std7PayrollEmploymentRequirements, 6, 9, 1, 1))</f>
        <v/>
      </c>
      <c r="I1608" s="194" t="str">
        <f ca="1">IF(OFFSET('IWP24'!Std7PayrollEmploymentRequirements, 6, 11, 1, 1) = 0, "", OFFSET('IWP24'!Std7PayrollEmploymentRequirements, 6, 11, 1, 1))</f>
        <v/>
      </c>
    </row>
    <row r="1609" spans="1:9" s="146" customFormat="1">
      <c r="A1609" s="183" t="s">
        <v>522</v>
      </c>
      <c r="B1609" s="195" t="str">
        <f ca="1">IF(OFFSET('IWP24'!Std7PayrollEmploymentRequirements, 7, 0, 1, 1) = 0, "", OFFSET('IWP24'!Std7PayrollEmploymentRequirements, 7, 0, 1, 1))</f>
        <v/>
      </c>
      <c r="C1609" s="195" t="str">
        <f ca="1">IF(OFFSET('IWP24'!Std7PayrollEmploymentRequirements, 7, 2, 1, 1) = 0, "", OFFSET('IWP24'!Std7PayrollEmploymentRequirements, 7, 2, 1, 1))</f>
        <v/>
      </c>
      <c r="D1609" s="172">
        <f ca="1">IF(OFFSET('IWP24'!Std7PayrollEmploymentRequirements, 7, 4, 1, 1)=DATE(1900,1,0), DATE(1900,1,1), OFFSET('IWP24'!Std7PayrollEmploymentRequirements, 7, 4, 1, 1))</f>
        <v>1</v>
      </c>
      <c r="E1609" s="195" t="str">
        <f ca="1">IF(OFFSET('IWP24'!Std7PayrollEmploymentRequirements, 7, 5, 1, 1) = 0, "", OFFSET('IWP24'!Std7PayrollEmploymentRequirements, 7, 5, 1, 1))</f>
        <v/>
      </c>
      <c r="F1609" s="195" t="str">
        <f ca="1">IF(OFFSET('IWP24'!Std7PayrollEmploymentRequirements, 7, 6, 1, 1) = 0, "", OFFSET('IWP24'!Std7PayrollEmploymentRequirements, 7, 6, 1, 1))</f>
        <v/>
      </c>
      <c r="G1609" s="195" t="str">
        <f ca="1">IF(OFFSET('IWP24'!Std7PayrollEmploymentRequirements, 7, 7, 1, 1) = 0, "", OFFSET('IWP24'!Std7PayrollEmploymentRequirements, 7, 7, 1, 1))</f>
        <v/>
      </c>
      <c r="H1609" s="195" t="str">
        <f ca="1">IF(OFFSET('IWP24'!Std7PayrollEmploymentRequirements, 7, 9, 1, 1) = 0, "", OFFSET('IWP24'!Std7PayrollEmploymentRequirements, 7, 9, 1, 1))</f>
        <v/>
      </c>
      <c r="I1609" s="194" t="str">
        <f ca="1">IF(OFFSET('IWP24'!Std7PayrollEmploymentRequirements, 7, 11, 1, 1) = 0, "", OFFSET('IWP24'!Std7PayrollEmploymentRequirements, 7, 11, 1, 1))</f>
        <v/>
      </c>
    </row>
    <row r="1610" spans="1:9" s="146" customFormat="1">
      <c r="A1610" s="183" t="s">
        <v>522</v>
      </c>
      <c r="B1610" s="195" t="str">
        <f ca="1">IF(OFFSET('IWP24'!Std7PayrollEmploymentRequirements, 8, 0, 1, 1) = 0, "", OFFSET('IWP24'!Std7PayrollEmploymentRequirements, 8, 0, 1, 1))</f>
        <v/>
      </c>
      <c r="C1610" s="195" t="str">
        <f ca="1">IF(OFFSET('IWP24'!Std7PayrollEmploymentRequirements, 8, 2, 1, 1) = 0, "", OFFSET('IWP24'!Std7PayrollEmploymentRequirements, 8, 2, 1, 1))</f>
        <v/>
      </c>
      <c r="D1610" s="172">
        <f ca="1">IF(OFFSET('IWP24'!Std7PayrollEmploymentRequirements, 8, 4, 1, 1)=DATE(1900,1,0), DATE(1900,1,1), OFFSET('IWP24'!Std7PayrollEmploymentRequirements, 8, 4, 1, 1))</f>
        <v>1</v>
      </c>
      <c r="E1610" s="195" t="str">
        <f ca="1">IF(OFFSET('IWP24'!Std7PayrollEmploymentRequirements, 8, 5, 1, 1) = 0, "", OFFSET('IWP24'!Std7PayrollEmploymentRequirements, 8, 5, 1, 1))</f>
        <v/>
      </c>
      <c r="F1610" s="195" t="str">
        <f ca="1">IF(OFFSET('IWP24'!Std7PayrollEmploymentRequirements, 8, 6, 1, 1) = 0, "", OFFSET('IWP24'!Std7PayrollEmploymentRequirements, 8, 6, 1, 1))</f>
        <v/>
      </c>
      <c r="G1610" s="195" t="str">
        <f ca="1">IF(OFFSET('IWP24'!Std7PayrollEmploymentRequirements, 8, 7, 1, 1) = 0, "", OFFSET('IWP24'!Std7PayrollEmploymentRequirements, 8, 7, 1, 1))</f>
        <v/>
      </c>
      <c r="H1610" s="195" t="str">
        <f ca="1">IF(OFFSET('IWP24'!Std7PayrollEmploymentRequirements, 8, 9, 1, 1) = 0, "", OFFSET('IWP24'!Std7PayrollEmploymentRequirements, 8, 9, 1, 1))</f>
        <v/>
      </c>
      <c r="I1610" s="194" t="str">
        <f ca="1">IF(OFFSET('IWP24'!Std7PayrollEmploymentRequirements, 8, 11, 1, 1) = 0, "", OFFSET('IWP24'!Std7PayrollEmploymentRequirements, 8, 11, 1, 1))</f>
        <v/>
      </c>
    </row>
    <row r="1611" spans="1:9" s="146" customFormat="1">
      <c r="A1611" s="183" t="s">
        <v>522</v>
      </c>
      <c r="B1611" s="195" t="str">
        <f ca="1">IF(OFFSET('IWP24'!Std7PayrollEmploymentRequirements, 9, 0, 1, 1) = 0, "", OFFSET('IWP24'!Std7PayrollEmploymentRequirements, 9, 0, 1, 1))</f>
        <v/>
      </c>
      <c r="C1611" s="195" t="str">
        <f ca="1">IF(OFFSET('IWP24'!Std7PayrollEmploymentRequirements, 9, 2, 1, 1) = 0, "", OFFSET('IWP24'!Std7PayrollEmploymentRequirements, 9, 2, 1, 1))</f>
        <v/>
      </c>
      <c r="D1611" s="172">
        <f ca="1">IF(OFFSET('IWP24'!Std7PayrollEmploymentRequirements, 9, 4, 1, 1)=DATE(1900,1,0), DATE(1900,1,1), OFFSET('IWP24'!Std7PayrollEmploymentRequirements, 9, 4, 1, 1))</f>
        <v>1</v>
      </c>
      <c r="E1611" s="195" t="str">
        <f ca="1">IF(OFFSET('IWP24'!Std7PayrollEmploymentRequirements, 9, 5, 1, 1) = 0, "", OFFSET('IWP24'!Std7PayrollEmploymentRequirements, 9, 5, 1, 1))</f>
        <v/>
      </c>
      <c r="F1611" s="195" t="str">
        <f ca="1">IF(OFFSET('IWP24'!Std7PayrollEmploymentRequirements, 9, 6, 1, 1) = 0, "", OFFSET('IWP24'!Std7PayrollEmploymentRequirements, 9, 6, 1, 1))</f>
        <v/>
      </c>
      <c r="G1611" s="195" t="str">
        <f ca="1">IF(OFFSET('IWP24'!Std7PayrollEmploymentRequirements, 9, 7, 1, 1) = 0, "", OFFSET('IWP24'!Std7PayrollEmploymentRequirements, 9, 7, 1, 1))</f>
        <v/>
      </c>
      <c r="H1611" s="195" t="str">
        <f ca="1">IF(OFFSET('IWP24'!Std7PayrollEmploymentRequirements, 9, 9, 1, 1) = 0, "", OFFSET('IWP24'!Std7PayrollEmploymentRequirements, 9, 9, 1, 1))</f>
        <v/>
      </c>
      <c r="I1611" s="194" t="str">
        <f ca="1">IF(OFFSET('IWP24'!Std7PayrollEmploymentRequirements, 9, 11, 1, 1) = 0, "", OFFSET('IWP24'!Std7PayrollEmploymentRequirements, 9, 11, 1, 1))</f>
        <v/>
      </c>
    </row>
    <row r="1612" spans="1:9" s="146" customFormat="1">
      <c r="A1612" s="183" t="s">
        <v>522</v>
      </c>
      <c r="B1612" s="195" t="str">
        <f ca="1">IF(OFFSET('IWP24'!Std7PayrollEmploymentRequirements, 10, 0, 1, 1) = 0, "", OFFSET('IWP24'!Std7PayrollEmploymentRequirements, 10, 0, 1, 1))</f>
        <v/>
      </c>
      <c r="C1612" s="195" t="str">
        <f ca="1">IF(OFFSET('IWP24'!Std7PayrollEmploymentRequirements, 10, 2, 1, 1) = 0, "", OFFSET('IWP24'!Std7PayrollEmploymentRequirements, 10, 2, 1, 1))</f>
        <v/>
      </c>
      <c r="D1612" s="172">
        <f ca="1">IF(OFFSET('IWP24'!Std7PayrollEmploymentRequirements, 10, 4, 1, 1)=DATE(1900,1,0), DATE(1900,1,1), OFFSET('IWP24'!Std7PayrollEmploymentRequirements, 10, 4, 1, 1))</f>
        <v>1</v>
      </c>
      <c r="E1612" s="195" t="str">
        <f ca="1">IF(OFFSET('IWP24'!Std7PayrollEmploymentRequirements, 10, 5, 1, 1) = 0, "", OFFSET('IWP24'!Std7PayrollEmploymentRequirements, 10, 5, 1, 1))</f>
        <v/>
      </c>
      <c r="F1612" s="195" t="str">
        <f ca="1">IF(OFFSET('IWP24'!Std7PayrollEmploymentRequirements, 10, 6, 1, 1) = 0, "", OFFSET('IWP24'!Std7PayrollEmploymentRequirements, 10, 6, 1, 1))</f>
        <v/>
      </c>
      <c r="G1612" s="195" t="str">
        <f ca="1">IF(OFFSET('IWP24'!Std7PayrollEmploymentRequirements, 10, 7, 1, 1) = 0, "", OFFSET('IWP24'!Std7PayrollEmploymentRequirements, 10, 7, 1, 1))</f>
        <v/>
      </c>
      <c r="H1612" s="195" t="str">
        <f ca="1">IF(OFFSET('IWP24'!Std7PayrollEmploymentRequirements, 10, 9, 1, 1) = 0, "", OFFSET('IWP24'!Std7PayrollEmploymentRequirements, 10, 9, 1, 1))</f>
        <v/>
      </c>
      <c r="I1612" s="194" t="str">
        <f ca="1">IF(OFFSET('IWP24'!Std7PayrollEmploymentRequirements, 10, 11, 1, 1) = 0, "", OFFSET('IWP24'!Std7PayrollEmploymentRequirements, 10, 11, 1, 1))</f>
        <v/>
      </c>
    </row>
    <row r="1613" spans="1:9" s="146" customFormat="1">
      <c r="A1613" s="183" t="s">
        <v>522</v>
      </c>
      <c r="B1613" s="195" t="str">
        <f ca="1">IF(OFFSET('IWP24'!Std7PayrollEmploymentRequirements, 11, 0, 1, 1) = 0, "", OFFSET('IWP24'!Std7PayrollEmploymentRequirements, 11, 0, 1, 1))</f>
        <v/>
      </c>
      <c r="C1613" s="195" t="str">
        <f ca="1">IF(OFFSET('IWP24'!Std7PayrollEmploymentRequirements, 11, 2, 1, 1) = 0, "", OFFSET('IWP24'!Std7PayrollEmploymentRequirements, 11, 2, 1, 1))</f>
        <v/>
      </c>
      <c r="D1613" s="172">
        <f ca="1">IF(OFFSET('IWP24'!Std7PayrollEmploymentRequirements, 11, 4, 1, 1)=DATE(1900,1,0), DATE(1900,1,1), OFFSET('IWP24'!Std7PayrollEmploymentRequirements, 11, 4, 1, 1))</f>
        <v>1</v>
      </c>
      <c r="E1613" s="195" t="str">
        <f ca="1">IF(OFFSET('IWP24'!Std7PayrollEmploymentRequirements, 11, 5, 1, 1) = 0, "", OFFSET('IWP24'!Std7PayrollEmploymentRequirements, 11, 5, 1, 1))</f>
        <v/>
      </c>
      <c r="F1613" s="195" t="str">
        <f ca="1">IF(OFFSET('IWP24'!Std7PayrollEmploymentRequirements, 11, 6, 1, 1) = 0, "", OFFSET('IWP24'!Std7PayrollEmploymentRequirements, 11, 6, 1, 1))</f>
        <v/>
      </c>
      <c r="G1613" s="195" t="str">
        <f ca="1">IF(OFFSET('IWP24'!Std7PayrollEmploymentRequirements, 11, 7, 1, 1) = 0, "", OFFSET('IWP24'!Std7PayrollEmploymentRequirements, 11, 7, 1, 1))</f>
        <v/>
      </c>
      <c r="H1613" s="195" t="str">
        <f ca="1">IF(OFFSET('IWP24'!Std7PayrollEmploymentRequirements, 11, 9, 1, 1) = 0, "", OFFSET('IWP24'!Std7PayrollEmploymentRequirements, 11, 9, 1, 1))</f>
        <v/>
      </c>
      <c r="I1613" s="194" t="str">
        <f ca="1">IF(OFFSET('IWP24'!Std7PayrollEmploymentRequirements, 11, 11, 1, 1) = 0, "", OFFSET('IWP24'!Std7PayrollEmploymentRequirements, 11, 11, 1, 1))</f>
        <v/>
      </c>
    </row>
    <row r="1614" spans="1:9" s="146" customFormat="1">
      <c r="A1614" s="183" t="s">
        <v>522</v>
      </c>
      <c r="B1614" s="195" t="str">
        <f ca="1">IF(OFFSET('IWP24'!Std7PayrollEmploymentRequirements, 12, 0, 1, 1) = 0, "", OFFSET('IWP24'!Std7PayrollEmploymentRequirements, 12, 0, 1, 1))</f>
        <v/>
      </c>
      <c r="C1614" s="195" t="str">
        <f ca="1">IF(OFFSET('IWP24'!Std7PayrollEmploymentRequirements, 12, 2, 1, 1) = 0, "", OFFSET('IWP24'!Std7PayrollEmploymentRequirements, 12, 2, 1, 1))</f>
        <v/>
      </c>
      <c r="D1614" s="172">
        <f ca="1">IF(OFFSET('IWP24'!Std7PayrollEmploymentRequirements, 12, 4, 1, 1)=DATE(1900,1,0), DATE(1900,1,1), OFFSET('IWP24'!Std7PayrollEmploymentRequirements, 12, 4, 1, 1))</f>
        <v>1</v>
      </c>
      <c r="E1614" s="195" t="str">
        <f ca="1">IF(OFFSET('IWP24'!Std7PayrollEmploymentRequirements, 12, 5, 1, 1) = 0, "", OFFSET('IWP24'!Std7PayrollEmploymentRequirements, 12, 5, 1, 1))</f>
        <v/>
      </c>
      <c r="F1614" s="195" t="str">
        <f ca="1">IF(OFFSET('IWP24'!Std7PayrollEmploymentRequirements, 12, 6, 1, 1) = 0, "", OFFSET('IWP24'!Std7PayrollEmploymentRequirements, 12, 6, 1, 1))</f>
        <v/>
      </c>
      <c r="G1614" s="195" t="str">
        <f ca="1">IF(OFFSET('IWP24'!Std7PayrollEmploymentRequirements, 12, 7, 1, 1) = 0, "", OFFSET('IWP24'!Std7PayrollEmploymentRequirements, 12, 7, 1, 1))</f>
        <v/>
      </c>
      <c r="H1614" s="195" t="str">
        <f ca="1">IF(OFFSET('IWP24'!Std7PayrollEmploymentRequirements, 12, 9, 1, 1) = 0, "", OFFSET('IWP24'!Std7PayrollEmploymentRequirements, 12, 9, 1, 1))</f>
        <v/>
      </c>
      <c r="I1614" s="194" t="str">
        <f ca="1">IF(OFFSET('IWP24'!Std7PayrollEmploymentRequirements, 12, 11, 1, 1) = 0, "", OFFSET('IWP24'!Std7PayrollEmploymentRequirements, 12, 11, 1, 1))</f>
        <v/>
      </c>
    </row>
    <row r="1615" spans="1:9" s="146" customFormat="1">
      <c r="A1615" s="183" t="s">
        <v>522</v>
      </c>
      <c r="B1615" s="195" t="str">
        <f ca="1">IF(OFFSET('IWP24'!Std7PayrollEmploymentRequirements, 13, 0, 1, 1) = 0, "", OFFSET('IWP24'!Std7PayrollEmploymentRequirements, 13, 0, 1, 1))</f>
        <v/>
      </c>
      <c r="C1615" s="195" t="str">
        <f ca="1">IF(OFFSET('IWP24'!Std7PayrollEmploymentRequirements, 13, 2, 1, 1) = 0, "", OFFSET('IWP24'!Std7PayrollEmploymentRequirements, 13, 2, 1, 1))</f>
        <v/>
      </c>
      <c r="D1615" s="172">
        <f ca="1">IF(OFFSET('IWP24'!Std7PayrollEmploymentRequirements, 13, 4, 1, 1)=DATE(1900,1,0), DATE(1900,1,1), OFFSET('IWP24'!Std7PayrollEmploymentRequirements, 13, 4, 1, 1))</f>
        <v>1</v>
      </c>
      <c r="E1615" s="195" t="str">
        <f ca="1">IF(OFFSET('IWP24'!Std7PayrollEmploymentRequirements, 13, 5, 1, 1) = 0, "", OFFSET('IWP24'!Std7PayrollEmploymentRequirements, 13, 5, 1, 1))</f>
        <v/>
      </c>
      <c r="F1615" s="195" t="str">
        <f ca="1">IF(OFFSET('IWP24'!Std7PayrollEmploymentRequirements, 13, 6, 1, 1) = 0, "", OFFSET('IWP24'!Std7PayrollEmploymentRequirements, 13, 6, 1, 1))</f>
        <v/>
      </c>
      <c r="G1615" s="195" t="str">
        <f ca="1">IF(OFFSET('IWP24'!Std7PayrollEmploymentRequirements, 13, 7, 1, 1) = 0, "", OFFSET('IWP24'!Std7PayrollEmploymentRequirements, 13, 7, 1, 1))</f>
        <v/>
      </c>
      <c r="H1615" s="195" t="str">
        <f ca="1">IF(OFFSET('IWP24'!Std7PayrollEmploymentRequirements, 13, 9, 1, 1) = 0, "", OFFSET('IWP24'!Std7PayrollEmploymentRequirements, 13, 9, 1, 1))</f>
        <v/>
      </c>
      <c r="I1615" s="194" t="str">
        <f ca="1">IF(OFFSET('IWP24'!Std7PayrollEmploymentRequirements, 13, 11, 1, 1) = 0, "", OFFSET('IWP24'!Std7PayrollEmploymentRequirements, 13, 11, 1, 1))</f>
        <v/>
      </c>
    </row>
    <row r="1616" spans="1:9" s="146" customFormat="1">
      <c r="A1616" s="183" t="s">
        <v>522</v>
      </c>
      <c r="B1616" s="195" t="str">
        <f ca="1">IF(OFFSET('IWP24'!Std7PayrollEmploymentRequirements, 14, 0, 1, 1) = 0, "", OFFSET('IWP24'!Std7PayrollEmploymentRequirements, 14, 0, 1, 1))</f>
        <v/>
      </c>
      <c r="C1616" s="195" t="str">
        <f ca="1">IF(OFFSET('IWP24'!Std7PayrollEmploymentRequirements, 14, 2, 1, 1) = 0, "", OFFSET('IWP24'!Std7PayrollEmploymentRequirements, 14, 2, 1, 1))</f>
        <v/>
      </c>
      <c r="D1616" s="172">
        <f ca="1">IF(OFFSET('IWP24'!Std7PayrollEmploymentRequirements, 14, 4, 1, 1)=DATE(1900,1,0), DATE(1900,1,1), OFFSET('IWP24'!Std7PayrollEmploymentRequirements, 14, 4, 1, 1))</f>
        <v>1</v>
      </c>
      <c r="E1616" s="195" t="str">
        <f ca="1">IF(OFFSET('IWP24'!Std7PayrollEmploymentRequirements, 14, 5, 1, 1) = 0, "", OFFSET('IWP24'!Std7PayrollEmploymentRequirements, 14, 5, 1, 1))</f>
        <v/>
      </c>
      <c r="F1616" s="195" t="str">
        <f ca="1">IF(OFFSET('IWP24'!Std7PayrollEmploymentRequirements, 14, 6, 1, 1) = 0, "", OFFSET('IWP24'!Std7PayrollEmploymentRequirements, 14, 6, 1, 1))</f>
        <v/>
      </c>
      <c r="G1616" s="195" t="str">
        <f ca="1">IF(OFFSET('IWP24'!Std7PayrollEmploymentRequirements, 14, 7, 1, 1) = 0, "", OFFSET('IWP24'!Std7PayrollEmploymentRequirements, 14, 7, 1, 1))</f>
        <v/>
      </c>
      <c r="H1616" s="195" t="str">
        <f ca="1">IF(OFFSET('IWP24'!Std7PayrollEmploymentRequirements, 14, 9, 1, 1) = 0, "", OFFSET('IWP24'!Std7PayrollEmploymentRequirements, 14, 9, 1, 1))</f>
        <v/>
      </c>
      <c r="I1616" s="194" t="str">
        <f ca="1">IF(OFFSET('IWP24'!Std7PayrollEmploymentRequirements, 14, 11, 1, 1) = 0, "", OFFSET('IWP24'!Std7PayrollEmploymentRequirements, 14, 11, 1, 1))</f>
        <v/>
      </c>
    </row>
    <row r="1617" spans="1:9" s="146" customFormat="1">
      <c r="A1617" s="183" t="s">
        <v>522</v>
      </c>
      <c r="B1617" s="195" t="str">
        <f ca="1">IF(OFFSET('IWP24'!Std7PayrollEmploymentRequirements, 15, 0, 1, 1) = 0, "", OFFSET('IWP24'!Std7PayrollEmploymentRequirements, 15, 0, 1, 1))</f>
        <v/>
      </c>
      <c r="C1617" s="195" t="str">
        <f ca="1">IF(OFFSET('IWP24'!Std7PayrollEmploymentRequirements, 15, 2, 1, 1) = 0, "", OFFSET('IWP24'!Std7PayrollEmploymentRequirements, 15, 2, 1, 1))</f>
        <v/>
      </c>
      <c r="D1617" s="172">
        <f ca="1">IF(OFFSET('IWP24'!Std7PayrollEmploymentRequirements, 15, 4, 1, 1)=DATE(1900,1,0), DATE(1900,1,1), OFFSET('IWP24'!Std7PayrollEmploymentRequirements, 15, 4, 1, 1))</f>
        <v>1</v>
      </c>
      <c r="E1617" s="195" t="str">
        <f ca="1">IF(OFFSET('IWP24'!Std7PayrollEmploymentRequirements, 15, 5, 1, 1) = 0, "", OFFSET('IWP24'!Std7PayrollEmploymentRequirements, 15, 5, 1, 1))</f>
        <v/>
      </c>
      <c r="F1617" s="195" t="str">
        <f ca="1">IF(OFFSET('IWP24'!Std7PayrollEmploymentRequirements, 15, 6, 1, 1) = 0, "", OFFSET('IWP24'!Std7PayrollEmploymentRequirements, 15, 6, 1, 1))</f>
        <v/>
      </c>
      <c r="G1617" s="195" t="str">
        <f ca="1">IF(OFFSET('IWP24'!Std7PayrollEmploymentRequirements, 15, 7, 1, 1) = 0, "", OFFSET('IWP24'!Std7PayrollEmploymentRequirements, 15, 7, 1, 1))</f>
        <v/>
      </c>
      <c r="H1617" s="195" t="str">
        <f ca="1">IF(OFFSET('IWP24'!Std7PayrollEmploymentRequirements, 15, 9, 1, 1) = 0, "", OFFSET('IWP24'!Std7PayrollEmploymentRequirements, 15, 9, 1, 1))</f>
        <v/>
      </c>
      <c r="I1617" s="194" t="str">
        <f ca="1">IF(OFFSET('IWP24'!Std7PayrollEmploymentRequirements, 15, 11, 1, 1) = 0, "", OFFSET('IWP24'!Std7PayrollEmploymentRequirements, 15, 11, 1, 1))</f>
        <v/>
      </c>
    </row>
    <row r="1618" spans="1:9" s="146" customFormat="1">
      <c r="A1618" s="183" t="s">
        <v>523</v>
      </c>
      <c r="B1618" s="195" t="str">
        <f ca="1">IF(OFFSET('IWP25'!Std7PayrollEmploymentRequirements, 0, 0, 1, 1) = 0, "", OFFSET('IWP25'!Std7PayrollEmploymentRequirements, 0, 0, 1, 1))</f>
        <v/>
      </c>
      <c r="C1618" s="195" t="str">
        <f ca="1">IF(OFFSET('IWP25'!Std7PayrollEmploymentRequirements, 0, 2, 1, 1) = 0, "", OFFSET('IWP25'!Std7PayrollEmploymentRequirements, 0, 2, 1, 1))</f>
        <v/>
      </c>
      <c r="D1618" s="172">
        <f ca="1">IF(OFFSET('IWP25'!Std7PayrollEmploymentRequirements, 0, 4, 1, 1)=DATE(1900,1,0), DATE(1900,1,1), OFFSET('IWP25'!Std7PayrollEmploymentRequirements, 0, 4, 1, 1))</f>
        <v>1</v>
      </c>
      <c r="E1618" s="195" t="str">
        <f ca="1">IF(OFFSET('IWP25'!Std7PayrollEmploymentRequirements, 0, 5, 1, 1) = 0, "", OFFSET('IWP25'!Std7PayrollEmploymentRequirements, 0, 5, 1, 1))</f>
        <v/>
      </c>
      <c r="F1618" s="195" t="str">
        <f ca="1">IF(OFFSET('IWP25'!Std7PayrollEmploymentRequirements, 0, 6, 1, 1) = 0, "", OFFSET('IWP25'!Std7PayrollEmploymentRequirements, 0, 6, 1, 1))</f>
        <v/>
      </c>
      <c r="G1618" s="195" t="str">
        <f ca="1">IF(OFFSET('IWP25'!Std7PayrollEmploymentRequirements, 0, 7, 1, 1) = 0, "", OFFSET('IWP25'!Std7PayrollEmploymentRequirements, 0, 7, 1, 1))</f>
        <v/>
      </c>
      <c r="H1618" s="195" t="str">
        <f ca="1">IF(OFFSET('IWP25'!Std7PayrollEmploymentRequirements, 0, 9, 1, 1) = 0, "", OFFSET('IWP25'!Std7PayrollEmploymentRequirements, 0, 9, 1, 1))</f>
        <v/>
      </c>
      <c r="I1618" s="194" t="str">
        <f ca="1">IF(OFFSET('IWP25'!Std7PayrollEmploymentRequirements, 0, 11, 1, 1) = 0, "", OFFSET('IWP25'!Std7PayrollEmploymentRequirements, 0, 11, 1, 1))</f>
        <v/>
      </c>
    </row>
    <row r="1619" spans="1:9" s="146" customFormat="1">
      <c r="A1619" s="183" t="s">
        <v>523</v>
      </c>
      <c r="B1619" s="195" t="str">
        <f ca="1">IF(OFFSET('IWP25'!Std7PayrollEmploymentRequirements, 1, 0, 1, 1) = 0, "", OFFSET('IWP25'!Std7PayrollEmploymentRequirements, 1, 0, 1, 1))</f>
        <v/>
      </c>
      <c r="C1619" s="195" t="str">
        <f ca="1">IF(OFFSET('IWP25'!Std7PayrollEmploymentRequirements, 1, 2, 1, 1) = 0, "", OFFSET('IWP25'!Std7PayrollEmploymentRequirements, 1, 2, 1, 1))</f>
        <v/>
      </c>
      <c r="D1619" s="172">
        <f ca="1">IF(OFFSET('IWP25'!Std7PayrollEmploymentRequirements, 1, 4, 1, 1)=DATE(1900,1,0), DATE(1900,1,1), OFFSET('IWP25'!Std7PayrollEmploymentRequirements, 1, 4, 1, 1))</f>
        <v>1</v>
      </c>
      <c r="E1619" s="195" t="str">
        <f ca="1">IF(OFFSET('IWP25'!Std7PayrollEmploymentRequirements, 1, 5, 1, 1) = 0, "", OFFSET('IWP25'!Std7PayrollEmploymentRequirements, 1, 5, 1, 1))</f>
        <v/>
      </c>
      <c r="F1619" s="195" t="str">
        <f ca="1">IF(OFFSET('IWP25'!Std7PayrollEmploymentRequirements, 1, 6, 1, 1) = 0, "", OFFSET('IWP25'!Std7PayrollEmploymentRequirements, 1, 6, 1, 1))</f>
        <v/>
      </c>
      <c r="G1619" s="195" t="str">
        <f ca="1">IF(OFFSET('IWP25'!Std7PayrollEmploymentRequirements, 1, 7, 1, 1) = 0, "", OFFSET('IWP25'!Std7PayrollEmploymentRequirements, 1, 7, 1, 1))</f>
        <v/>
      </c>
      <c r="H1619" s="195" t="str">
        <f ca="1">IF(OFFSET('IWP25'!Std7PayrollEmploymentRequirements, 1, 9, 1, 1) = 0, "", OFFSET('IWP25'!Std7PayrollEmploymentRequirements, 1, 9, 1, 1))</f>
        <v/>
      </c>
      <c r="I1619" s="194" t="str">
        <f ca="1">IF(OFFSET('IWP25'!Std7PayrollEmploymentRequirements, 1, 11, 1, 1) = 0, "", OFFSET('IWP25'!Std7PayrollEmploymentRequirements, 1, 11, 1, 1))</f>
        <v/>
      </c>
    </row>
    <row r="1620" spans="1:9" s="146" customFormat="1">
      <c r="A1620" s="183" t="s">
        <v>523</v>
      </c>
      <c r="B1620" s="195" t="str">
        <f ca="1">IF(OFFSET('IWP25'!Std7PayrollEmploymentRequirements, 2, 0, 1, 1) = 0, "", OFFSET('IWP25'!Std7PayrollEmploymentRequirements, 2, 0, 1, 1))</f>
        <v/>
      </c>
      <c r="C1620" s="195" t="str">
        <f ca="1">IF(OFFSET('IWP25'!Std7PayrollEmploymentRequirements, 2, 2, 1, 1) = 0, "", OFFSET('IWP25'!Std7PayrollEmploymentRequirements, 2, 2, 1, 1))</f>
        <v/>
      </c>
      <c r="D1620" s="172">
        <f ca="1">IF(OFFSET('IWP25'!Std7PayrollEmploymentRequirements, 2, 4, 1, 1)=DATE(1900,1,0), DATE(1900,1,1), OFFSET('IWP25'!Std7PayrollEmploymentRequirements, 2, 4, 1, 1))</f>
        <v>1</v>
      </c>
      <c r="E1620" s="195" t="str">
        <f ca="1">IF(OFFSET('IWP25'!Std7PayrollEmploymentRequirements, 2, 5, 1, 1) = 0, "", OFFSET('IWP25'!Std7PayrollEmploymentRequirements, 2, 5, 1, 1))</f>
        <v/>
      </c>
      <c r="F1620" s="195" t="str">
        <f ca="1">IF(OFFSET('IWP25'!Std7PayrollEmploymentRequirements, 2, 6, 1, 1) = 0, "", OFFSET('IWP25'!Std7PayrollEmploymentRequirements, 2, 6, 1, 1))</f>
        <v/>
      </c>
      <c r="G1620" s="195" t="str">
        <f ca="1">IF(OFFSET('IWP25'!Std7PayrollEmploymentRequirements, 2, 7, 1, 1) = 0, "", OFFSET('IWP25'!Std7PayrollEmploymentRequirements, 2, 7, 1, 1))</f>
        <v/>
      </c>
      <c r="H1620" s="195" t="str">
        <f ca="1">IF(OFFSET('IWP25'!Std7PayrollEmploymentRequirements, 2, 9, 1, 1) = 0, "", OFFSET('IWP25'!Std7PayrollEmploymentRequirements, 2, 9, 1, 1))</f>
        <v/>
      </c>
      <c r="I1620" s="194" t="str">
        <f ca="1">IF(OFFSET('IWP25'!Std7PayrollEmploymentRequirements, 2, 11, 1, 1) = 0, "", OFFSET('IWP25'!Std7PayrollEmploymentRequirements, 2, 11, 1, 1))</f>
        <v/>
      </c>
    </row>
    <row r="1621" spans="1:9" s="146" customFormat="1">
      <c r="A1621" s="183" t="s">
        <v>523</v>
      </c>
      <c r="B1621" s="195" t="str">
        <f ca="1">IF(OFFSET('IWP25'!Std7PayrollEmploymentRequirements, 3, 0, 1, 1) = 0, "", OFFSET('IWP25'!Std7PayrollEmploymentRequirements, 3, 0, 1, 1))</f>
        <v/>
      </c>
      <c r="C1621" s="195" t="str">
        <f ca="1">IF(OFFSET('IWP25'!Std7PayrollEmploymentRequirements, 3, 2, 1, 1) = 0, "", OFFSET('IWP25'!Std7PayrollEmploymentRequirements, 3, 2, 1, 1))</f>
        <v/>
      </c>
      <c r="D1621" s="172">
        <f ca="1">IF(OFFSET('IWP25'!Std7PayrollEmploymentRequirements, 3, 4, 1, 1)=DATE(1900,1,0), DATE(1900,1,1), OFFSET('IWP25'!Std7PayrollEmploymentRequirements, 3, 4, 1, 1))</f>
        <v>1</v>
      </c>
      <c r="E1621" s="195" t="str">
        <f ca="1">IF(OFFSET('IWP25'!Std7PayrollEmploymentRequirements, 3, 5, 1, 1) = 0, "", OFFSET('IWP25'!Std7PayrollEmploymentRequirements, 3, 5, 1, 1))</f>
        <v/>
      </c>
      <c r="F1621" s="195" t="str">
        <f ca="1">IF(OFFSET('IWP25'!Std7PayrollEmploymentRequirements, 3, 6, 1, 1) = 0, "", OFFSET('IWP25'!Std7PayrollEmploymentRequirements, 3, 6, 1, 1))</f>
        <v/>
      </c>
      <c r="G1621" s="195" t="str">
        <f ca="1">IF(OFFSET('IWP25'!Std7PayrollEmploymentRequirements, 3, 7, 1, 1) = 0, "", OFFSET('IWP25'!Std7PayrollEmploymentRequirements, 3, 7, 1, 1))</f>
        <v/>
      </c>
      <c r="H1621" s="195" t="str">
        <f ca="1">IF(OFFSET('IWP25'!Std7PayrollEmploymentRequirements, 3, 9, 1, 1) = 0, "", OFFSET('IWP25'!Std7PayrollEmploymentRequirements, 3, 9, 1, 1))</f>
        <v/>
      </c>
      <c r="I1621" s="194" t="str">
        <f ca="1">IF(OFFSET('IWP25'!Std7PayrollEmploymentRequirements, 3, 11, 1, 1) = 0, "", OFFSET('IWP25'!Std7PayrollEmploymentRequirements, 3, 11, 1, 1))</f>
        <v/>
      </c>
    </row>
    <row r="1622" spans="1:9" s="146" customFormat="1">
      <c r="A1622" s="183" t="s">
        <v>523</v>
      </c>
      <c r="B1622" s="195" t="str">
        <f ca="1">IF(OFFSET('IWP25'!Std7PayrollEmploymentRequirements, 4, 0, 1, 1) = 0, "", OFFSET('IWP25'!Std7PayrollEmploymentRequirements, 4, 0, 1, 1))</f>
        <v/>
      </c>
      <c r="C1622" s="195" t="str">
        <f ca="1">IF(OFFSET('IWP25'!Std7PayrollEmploymentRequirements, 4, 2, 1, 1) = 0, "", OFFSET('IWP25'!Std7PayrollEmploymentRequirements, 4, 2, 1, 1))</f>
        <v/>
      </c>
      <c r="D1622" s="172">
        <f ca="1">IF(OFFSET('IWP25'!Std7PayrollEmploymentRequirements, 4, 4, 1, 1)=DATE(1900,1,0), DATE(1900,1,1), OFFSET('IWP25'!Std7PayrollEmploymentRequirements, 4, 4, 1, 1))</f>
        <v>1</v>
      </c>
      <c r="E1622" s="195" t="str">
        <f ca="1">IF(OFFSET('IWP25'!Std7PayrollEmploymentRequirements, 4, 5, 1, 1) = 0, "", OFFSET('IWP25'!Std7PayrollEmploymentRequirements, 4, 5, 1, 1))</f>
        <v/>
      </c>
      <c r="F1622" s="195" t="str">
        <f ca="1">IF(OFFSET('IWP25'!Std7PayrollEmploymentRequirements, 4, 6, 1, 1) = 0, "", OFFSET('IWP25'!Std7PayrollEmploymentRequirements, 4, 6, 1, 1))</f>
        <v/>
      </c>
      <c r="G1622" s="195" t="str">
        <f ca="1">IF(OFFSET('IWP25'!Std7PayrollEmploymentRequirements, 4, 7, 1, 1) = 0, "", OFFSET('IWP25'!Std7PayrollEmploymentRequirements, 4, 7, 1, 1))</f>
        <v/>
      </c>
      <c r="H1622" s="195" t="str">
        <f ca="1">IF(OFFSET('IWP25'!Std7PayrollEmploymentRequirements, 4, 9, 1, 1) = 0, "", OFFSET('IWP25'!Std7PayrollEmploymentRequirements, 4, 9, 1, 1))</f>
        <v/>
      </c>
      <c r="I1622" s="194" t="str">
        <f ca="1">IF(OFFSET('IWP25'!Std7PayrollEmploymentRequirements, 4, 11, 1, 1) = 0, "", OFFSET('IWP25'!Std7PayrollEmploymentRequirements, 4, 11, 1, 1))</f>
        <v/>
      </c>
    </row>
    <row r="1623" spans="1:9" s="146" customFormat="1">
      <c r="A1623" s="183" t="s">
        <v>523</v>
      </c>
      <c r="B1623" s="195" t="str">
        <f ca="1">IF(OFFSET('IWP25'!Std7PayrollEmploymentRequirements, 5, 0, 1, 1) = 0, "", OFFSET('IWP25'!Std7PayrollEmploymentRequirements, 5, 0, 1, 1))</f>
        <v/>
      </c>
      <c r="C1623" s="195" t="str">
        <f ca="1">IF(OFFSET('IWP25'!Std7PayrollEmploymentRequirements, 5, 2, 1, 1) = 0, "", OFFSET('IWP25'!Std7PayrollEmploymentRequirements, 5, 2, 1, 1))</f>
        <v/>
      </c>
      <c r="D1623" s="172">
        <f ca="1">IF(OFFSET('IWP25'!Std7PayrollEmploymentRequirements, 5, 4, 1, 1)=DATE(1900,1,0), DATE(1900,1,1), OFFSET('IWP25'!Std7PayrollEmploymentRequirements, 5, 4, 1, 1))</f>
        <v>1</v>
      </c>
      <c r="E1623" s="195" t="str">
        <f ca="1">IF(OFFSET('IWP25'!Std7PayrollEmploymentRequirements, 5, 5, 1, 1) = 0, "", OFFSET('IWP25'!Std7PayrollEmploymentRequirements, 5, 5, 1, 1))</f>
        <v/>
      </c>
      <c r="F1623" s="195" t="str">
        <f ca="1">IF(OFFSET('IWP25'!Std7PayrollEmploymentRequirements, 5, 6, 1, 1) = 0, "", OFFSET('IWP25'!Std7PayrollEmploymentRequirements, 5, 6, 1, 1))</f>
        <v/>
      </c>
      <c r="G1623" s="195" t="str">
        <f ca="1">IF(OFFSET('IWP25'!Std7PayrollEmploymentRequirements, 5, 7, 1, 1) = 0, "", OFFSET('IWP25'!Std7PayrollEmploymentRequirements, 5, 7, 1, 1))</f>
        <v/>
      </c>
      <c r="H1623" s="195" t="str">
        <f ca="1">IF(OFFSET('IWP25'!Std7PayrollEmploymentRequirements, 5, 9, 1, 1) = 0, "", OFFSET('IWP25'!Std7PayrollEmploymentRequirements, 5, 9, 1, 1))</f>
        <v/>
      </c>
      <c r="I1623" s="194" t="str">
        <f ca="1">IF(OFFSET('IWP25'!Std7PayrollEmploymentRequirements, 5, 11, 1, 1) = 0, "", OFFSET('IWP25'!Std7PayrollEmploymentRequirements, 5, 11, 1, 1))</f>
        <v/>
      </c>
    </row>
    <row r="1624" spans="1:9" s="146" customFormat="1">
      <c r="A1624" s="183" t="s">
        <v>523</v>
      </c>
      <c r="B1624" s="195" t="str">
        <f ca="1">IF(OFFSET('IWP25'!Std7PayrollEmploymentRequirements, 6, 0, 1, 1) = 0, "", OFFSET('IWP25'!Std7PayrollEmploymentRequirements, 6, 0, 1, 1))</f>
        <v/>
      </c>
      <c r="C1624" s="195" t="str">
        <f ca="1">IF(OFFSET('IWP25'!Std7PayrollEmploymentRequirements, 6, 2, 1, 1) = 0, "", OFFSET('IWP25'!Std7PayrollEmploymentRequirements, 6, 2, 1, 1))</f>
        <v/>
      </c>
      <c r="D1624" s="172">
        <f ca="1">IF(OFFSET('IWP25'!Std7PayrollEmploymentRequirements, 6, 4, 1, 1)=DATE(1900,1,0), DATE(1900,1,1), OFFSET('IWP25'!Std7PayrollEmploymentRequirements, 6, 4, 1, 1))</f>
        <v>1</v>
      </c>
      <c r="E1624" s="195" t="str">
        <f ca="1">IF(OFFSET('IWP25'!Std7PayrollEmploymentRequirements, 6, 5, 1, 1) = 0, "", OFFSET('IWP25'!Std7PayrollEmploymentRequirements, 6, 5, 1, 1))</f>
        <v/>
      </c>
      <c r="F1624" s="195" t="str">
        <f ca="1">IF(OFFSET('IWP25'!Std7PayrollEmploymentRequirements, 6, 6, 1, 1) = 0, "", OFFSET('IWP25'!Std7PayrollEmploymentRequirements, 6, 6, 1, 1))</f>
        <v/>
      </c>
      <c r="G1624" s="195" t="str">
        <f ca="1">IF(OFFSET('IWP25'!Std7PayrollEmploymentRequirements, 6, 7, 1, 1) = 0, "", OFFSET('IWP25'!Std7PayrollEmploymentRequirements, 6, 7, 1, 1))</f>
        <v/>
      </c>
      <c r="H1624" s="195" t="str">
        <f ca="1">IF(OFFSET('IWP25'!Std7PayrollEmploymentRequirements, 6, 9, 1, 1) = 0, "", OFFSET('IWP25'!Std7PayrollEmploymentRequirements, 6, 9, 1, 1))</f>
        <v/>
      </c>
      <c r="I1624" s="194" t="str">
        <f ca="1">IF(OFFSET('IWP25'!Std7PayrollEmploymentRequirements, 6, 11, 1, 1) = 0, "", OFFSET('IWP25'!Std7PayrollEmploymentRequirements, 6, 11, 1, 1))</f>
        <v/>
      </c>
    </row>
    <row r="1625" spans="1:9" s="146" customFormat="1">
      <c r="A1625" s="183" t="s">
        <v>523</v>
      </c>
      <c r="B1625" s="195" t="str">
        <f ca="1">IF(OFFSET('IWP25'!Std7PayrollEmploymentRequirements, 7, 0, 1, 1) = 0, "", OFFSET('IWP25'!Std7PayrollEmploymentRequirements, 7, 0, 1, 1))</f>
        <v/>
      </c>
      <c r="C1625" s="195" t="str">
        <f ca="1">IF(OFFSET('IWP25'!Std7PayrollEmploymentRequirements, 7, 2, 1, 1) = 0, "", OFFSET('IWP25'!Std7PayrollEmploymentRequirements, 7, 2, 1, 1))</f>
        <v/>
      </c>
      <c r="D1625" s="172">
        <f ca="1">IF(OFFSET('IWP25'!Std7PayrollEmploymentRequirements, 7, 4, 1, 1)=DATE(1900,1,0), DATE(1900,1,1), OFFSET('IWP25'!Std7PayrollEmploymentRequirements, 7, 4, 1, 1))</f>
        <v>1</v>
      </c>
      <c r="E1625" s="195" t="str">
        <f ca="1">IF(OFFSET('IWP25'!Std7PayrollEmploymentRequirements, 7, 5, 1, 1) = 0, "", OFFSET('IWP25'!Std7PayrollEmploymentRequirements, 7, 5, 1, 1))</f>
        <v/>
      </c>
      <c r="F1625" s="195" t="str">
        <f ca="1">IF(OFFSET('IWP25'!Std7PayrollEmploymentRequirements, 7, 6, 1, 1) = 0, "", OFFSET('IWP25'!Std7PayrollEmploymentRequirements, 7, 6, 1, 1))</f>
        <v/>
      </c>
      <c r="G1625" s="195" t="str">
        <f ca="1">IF(OFFSET('IWP25'!Std7PayrollEmploymentRequirements, 7, 7, 1, 1) = 0, "", OFFSET('IWP25'!Std7PayrollEmploymentRequirements, 7, 7, 1, 1))</f>
        <v/>
      </c>
      <c r="H1625" s="195" t="str">
        <f ca="1">IF(OFFSET('IWP25'!Std7PayrollEmploymentRequirements, 7, 9, 1, 1) = 0, "", OFFSET('IWP25'!Std7PayrollEmploymentRequirements, 7, 9, 1, 1))</f>
        <v/>
      </c>
      <c r="I1625" s="194" t="str">
        <f ca="1">IF(OFFSET('IWP25'!Std7PayrollEmploymentRequirements, 7, 11, 1, 1) = 0, "", OFFSET('IWP25'!Std7PayrollEmploymentRequirements, 7, 11, 1, 1))</f>
        <v/>
      </c>
    </row>
    <row r="1626" spans="1:9" s="146" customFormat="1">
      <c r="A1626" s="183" t="s">
        <v>523</v>
      </c>
      <c r="B1626" s="195" t="str">
        <f ca="1">IF(OFFSET('IWP25'!Std7PayrollEmploymentRequirements, 8, 0, 1, 1) = 0, "", OFFSET('IWP25'!Std7PayrollEmploymentRequirements, 8, 0, 1, 1))</f>
        <v/>
      </c>
      <c r="C1626" s="195" t="str">
        <f ca="1">IF(OFFSET('IWP25'!Std7PayrollEmploymentRequirements, 8, 2, 1, 1) = 0, "", OFFSET('IWP25'!Std7PayrollEmploymentRequirements, 8, 2, 1, 1))</f>
        <v/>
      </c>
      <c r="D1626" s="172">
        <f ca="1">IF(OFFSET('IWP25'!Std7PayrollEmploymentRequirements, 8, 4, 1, 1)=DATE(1900,1,0), DATE(1900,1,1), OFFSET('IWP25'!Std7PayrollEmploymentRequirements, 8, 4, 1, 1))</f>
        <v>1</v>
      </c>
      <c r="E1626" s="195" t="str">
        <f ca="1">IF(OFFSET('IWP25'!Std7PayrollEmploymentRequirements, 8, 5, 1, 1) = 0, "", OFFSET('IWP25'!Std7PayrollEmploymentRequirements, 8, 5, 1, 1))</f>
        <v/>
      </c>
      <c r="F1626" s="195" t="str">
        <f ca="1">IF(OFFSET('IWP25'!Std7PayrollEmploymentRequirements, 8, 6, 1, 1) = 0, "", OFFSET('IWP25'!Std7PayrollEmploymentRequirements, 8, 6, 1, 1))</f>
        <v/>
      </c>
      <c r="G1626" s="195" t="str">
        <f ca="1">IF(OFFSET('IWP25'!Std7PayrollEmploymentRequirements, 8, 7, 1, 1) = 0, "", OFFSET('IWP25'!Std7PayrollEmploymentRequirements, 8, 7, 1, 1))</f>
        <v/>
      </c>
      <c r="H1626" s="195" t="str">
        <f ca="1">IF(OFFSET('IWP25'!Std7PayrollEmploymentRequirements, 8, 9, 1, 1) = 0, "", OFFSET('IWP25'!Std7PayrollEmploymentRequirements, 8, 9, 1, 1))</f>
        <v/>
      </c>
      <c r="I1626" s="194" t="str">
        <f ca="1">IF(OFFSET('IWP25'!Std7PayrollEmploymentRequirements, 8, 11, 1, 1) = 0, "", OFFSET('IWP25'!Std7PayrollEmploymentRequirements, 8, 11, 1, 1))</f>
        <v/>
      </c>
    </row>
    <row r="1627" spans="1:9" s="146" customFormat="1">
      <c r="A1627" s="183" t="s">
        <v>523</v>
      </c>
      <c r="B1627" s="195" t="str">
        <f ca="1">IF(OFFSET('IWP25'!Std7PayrollEmploymentRequirements, 9, 0, 1, 1) = 0, "", OFFSET('IWP25'!Std7PayrollEmploymentRequirements, 9, 0, 1, 1))</f>
        <v/>
      </c>
      <c r="C1627" s="195" t="str">
        <f ca="1">IF(OFFSET('IWP25'!Std7PayrollEmploymentRequirements, 9, 2, 1, 1) = 0, "", OFFSET('IWP25'!Std7PayrollEmploymentRequirements, 9, 2, 1, 1))</f>
        <v/>
      </c>
      <c r="D1627" s="172">
        <f ca="1">IF(OFFSET('IWP25'!Std7PayrollEmploymentRequirements, 9, 4, 1, 1)=DATE(1900,1,0), DATE(1900,1,1), OFFSET('IWP25'!Std7PayrollEmploymentRequirements, 9, 4, 1, 1))</f>
        <v>1</v>
      </c>
      <c r="E1627" s="195" t="str">
        <f ca="1">IF(OFFSET('IWP25'!Std7PayrollEmploymentRequirements, 9, 5, 1, 1) = 0, "", OFFSET('IWP25'!Std7PayrollEmploymentRequirements, 9, 5, 1, 1))</f>
        <v/>
      </c>
      <c r="F1627" s="195" t="str">
        <f ca="1">IF(OFFSET('IWP25'!Std7PayrollEmploymentRequirements, 9, 6, 1, 1) = 0, "", OFFSET('IWP25'!Std7PayrollEmploymentRequirements, 9, 6, 1, 1))</f>
        <v/>
      </c>
      <c r="G1627" s="195" t="str">
        <f ca="1">IF(OFFSET('IWP25'!Std7PayrollEmploymentRequirements, 9, 7, 1, 1) = 0, "", OFFSET('IWP25'!Std7PayrollEmploymentRequirements, 9, 7, 1, 1))</f>
        <v/>
      </c>
      <c r="H1627" s="195" t="str">
        <f ca="1">IF(OFFSET('IWP25'!Std7PayrollEmploymentRequirements, 9, 9, 1, 1) = 0, "", OFFSET('IWP25'!Std7PayrollEmploymentRequirements, 9, 9, 1, 1))</f>
        <v/>
      </c>
      <c r="I1627" s="194" t="str">
        <f ca="1">IF(OFFSET('IWP25'!Std7PayrollEmploymentRequirements, 9, 11, 1, 1) = 0, "", OFFSET('IWP25'!Std7PayrollEmploymentRequirements, 9, 11, 1, 1))</f>
        <v/>
      </c>
    </row>
    <row r="1628" spans="1:9" s="146" customFormat="1">
      <c r="A1628" s="183" t="s">
        <v>523</v>
      </c>
      <c r="B1628" s="195" t="str">
        <f ca="1">IF(OFFSET('IWP25'!Std7PayrollEmploymentRequirements, 10, 0, 1, 1) = 0, "", OFFSET('IWP25'!Std7PayrollEmploymentRequirements, 10, 0, 1, 1))</f>
        <v/>
      </c>
      <c r="C1628" s="195" t="str">
        <f ca="1">IF(OFFSET('IWP25'!Std7PayrollEmploymentRequirements, 10, 2, 1, 1) = 0, "", OFFSET('IWP25'!Std7PayrollEmploymentRequirements, 10, 2, 1, 1))</f>
        <v/>
      </c>
      <c r="D1628" s="172">
        <f ca="1">IF(OFFSET('IWP25'!Std7PayrollEmploymentRequirements, 10, 4, 1, 1)=DATE(1900,1,0), DATE(1900,1,1), OFFSET('IWP25'!Std7PayrollEmploymentRequirements, 10, 4, 1, 1))</f>
        <v>1</v>
      </c>
      <c r="E1628" s="195" t="str">
        <f ca="1">IF(OFFSET('IWP25'!Std7PayrollEmploymentRequirements, 10, 5, 1, 1) = 0, "", OFFSET('IWP25'!Std7PayrollEmploymentRequirements, 10, 5, 1, 1))</f>
        <v/>
      </c>
      <c r="F1628" s="195" t="str">
        <f ca="1">IF(OFFSET('IWP25'!Std7PayrollEmploymentRequirements, 10, 6, 1, 1) = 0, "", OFFSET('IWP25'!Std7PayrollEmploymentRequirements, 10, 6, 1, 1))</f>
        <v/>
      </c>
      <c r="G1628" s="195" t="str">
        <f ca="1">IF(OFFSET('IWP25'!Std7PayrollEmploymentRequirements, 10, 7, 1, 1) = 0, "", OFFSET('IWP25'!Std7PayrollEmploymentRequirements, 10, 7, 1, 1))</f>
        <v/>
      </c>
      <c r="H1628" s="195" t="str">
        <f ca="1">IF(OFFSET('IWP25'!Std7PayrollEmploymentRequirements, 10, 9, 1, 1) = 0, "", OFFSET('IWP25'!Std7PayrollEmploymentRequirements, 10, 9, 1, 1))</f>
        <v/>
      </c>
      <c r="I1628" s="194" t="str">
        <f ca="1">IF(OFFSET('IWP25'!Std7PayrollEmploymentRequirements, 10, 11, 1, 1) = 0, "", OFFSET('IWP25'!Std7PayrollEmploymentRequirements, 10, 11, 1, 1))</f>
        <v/>
      </c>
    </row>
    <row r="1629" spans="1:9" s="146" customFormat="1">
      <c r="A1629" s="183" t="s">
        <v>523</v>
      </c>
      <c r="B1629" s="195" t="str">
        <f ca="1">IF(OFFSET('IWP25'!Std7PayrollEmploymentRequirements, 11, 0, 1, 1) = 0, "", OFFSET('IWP25'!Std7PayrollEmploymentRequirements, 11, 0, 1, 1))</f>
        <v/>
      </c>
      <c r="C1629" s="195" t="str">
        <f ca="1">IF(OFFSET('IWP25'!Std7PayrollEmploymentRequirements, 11, 2, 1, 1) = 0, "", OFFSET('IWP25'!Std7PayrollEmploymentRequirements, 11, 2, 1, 1))</f>
        <v/>
      </c>
      <c r="D1629" s="172">
        <f ca="1">IF(OFFSET('IWP25'!Std7PayrollEmploymentRequirements, 11, 4, 1, 1)=DATE(1900,1,0), DATE(1900,1,1), OFFSET('IWP25'!Std7PayrollEmploymentRequirements, 11, 4, 1, 1))</f>
        <v>1</v>
      </c>
      <c r="E1629" s="195" t="str">
        <f ca="1">IF(OFFSET('IWP25'!Std7PayrollEmploymentRequirements, 11, 5, 1, 1) = 0, "", OFFSET('IWP25'!Std7PayrollEmploymentRequirements, 11, 5, 1, 1))</f>
        <v/>
      </c>
      <c r="F1629" s="195" t="str">
        <f ca="1">IF(OFFSET('IWP25'!Std7PayrollEmploymentRequirements, 11, 6, 1, 1) = 0, "", OFFSET('IWP25'!Std7PayrollEmploymentRequirements, 11, 6, 1, 1))</f>
        <v/>
      </c>
      <c r="G1629" s="195" t="str">
        <f ca="1">IF(OFFSET('IWP25'!Std7PayrollEmploymentRequirements, 11, 7, 1, 1) = 0, "", OFFSET('IWP25'!Std7PayrollEmploymentRequirements, 11, 7, 1, 1))</f>
        <v/>
      </c>
      <c r="H1629" s="195" t="str">
        <f ca="1">IF(OFFSET('IWP25'!Std7PayrollEmploymentRequirements, 11, 9, 1, 1) = 0, "", OFFSET('IWP25'!Std7PayrollEmploymentRequirements, 11, 9, 1, 1))</f>
        <v/>
      </c>
      <c r="I1629" s="194" t="str">
        <f ca="1">IF(OFFSET('IWP25'!Std7PayrollEmploymentRequirements, 11, 11, 1, 1) = 0, "", OFFSET('IWP25'!Std7PayrollEmploymentRequirements, 11, 11, 1, 1))</f>
        <v/>
      </c>
    </row>
    <row r="1630" spans="1:9" s="146" customFormat="1">
      <c r="A1630" s="183" t="s">
        <v>523</v>
      </c>
      <c r="B1630" s="195" t="str">
        <f ca="1">IF(OFFSET('IWP25'!Std7PayrollEmploymentRequirements, 12, 0, 1, 1) = 0, "", OFFSET('IWP25'!Std7PayrollEmploymentRequirements, 12, 0, 1, 1))</f>
        <v/>
      </c>
      <c r="C1630" s="195" t="str">
        <f ca="1">IF(OFFSET('IWP25'!Std7PayrollEmploymentRequirements, 12, 2, 1, 1) = 0, "", OFFSET('IWP25'!Std7PayrollEmploymentRequirements, 12, 2, 1, 1))</f>
        <v/>
      </c>
      <c r="D1630" s="172">
        <f ca="1">IF(OFFSET('IWP25'!Std7PayrollEmploymentRequirements, 12, 4, 1, 1)=DATE(1900,1,0), DATE(1900,1,1), OFFSET('IWP25'!Std7PayrollEmploymentRequirements, 12, 4, 1, 1))</f>
        <v>1</v>
      </c>
      <c r="E1630" s="195" t="str">
        <f ca="1">IF(OFFSET('IWP25'!Std7PayrollEmploymentRequirements, 12, 5, 1, 1) = 0, "", OFFSET('IWP25'!Std7PayrollEmploymentRequirements, 12, 5, 1, 1))</f>
        <v/>
      </c>
      <c r="F1630" s="195" t="str">
        <f ca="1">IF(OFFSET('IWP25'!Std7PayrollEmploymentRequirements, 12, 6, 1, 1) = 0, "", OFFSET('IWP25'!Std7PayrollEmploymentRequirements, 12, 6, 1, 1))</f>
        <v/>
      </c>
      <c r="G1630" s="195" t="str">
        <f ca="1">IF(OFFSET('IWP25'!Std7PayrollEmploymentRequirements, 12, 7, 1, 1) = 0, "", OFFSET('IWP25'!Std7PayrollEmploymentRequirements, 12, 7, 1, 1))</f>
        <v/>
      </c>
      <c r="H1630" s="195" t="str">
        <f ca="1">IF(OFFSET('IWP25'!Std7PayrollEmploymentRequirements, 12, 9, 1, 1) = 0, "", OFFSET('IWP25'!Std7PayrollEmploymentRequirements, 12, 9, 1, 1))</f>
        <v/>
      </c>
      <c r="I1630" s="194" t="str">
        <f ca="1">IF(OFFSET('IWP25'!Std7PayrollEmploymentRequirements, 12, 11, 1, 1) = 0, "", OFFSET('IWP25'!Std7PayrollEmploymentRequirements, 12, 11, 1, 1))</f>
        <v/>
      </c>
    </row>
    <row r="1631" spans="1:9" s="146" customFormat="1">
      <c r="A1631" s="183" t="s">
        <v>523</v>
      </c>
      <c r="B1631" s="195" t="str">
        <f ca="1">IF(OFFSET('IWP25'!Std7PayrollEmploymentRequirements, 13, 0, 1, 1) = 0, "", OFFSET('IWP25'!Std7PayrollEmploymentRequirements, 13, 0, 1, 1))</f>
        <v/>
      </c>
      <c r="C1631" s="195" t="str">
        <f ca="1">IF(OFFSET('IWP25'!Std7PayrollEmploymentRequirements, 13, 2, 1, 1) = 0, "", OFFSET('IWP25'!Std7PayrollEmploymentRequirements, 13, 2, 1, 1))</f>
        <v/>
      </c>
      <c r="D1631" s="172">
        <f ca="1">IF(OFFSET('IWP25'!Std7PayrollEmploymentRequirements, 13, 4, 1, 1)=DATE(1900,1,0), DATE(1900,1,1), OFFSET('IWP25'!Std7PayrollEmploymentRequirements, 13, 4, 1, 1))</f>
        <v>1</v>
      </c>
      <c r="E1631" s="195" t="str">
        <f ca="1">IF(OFFSET('IWP25'!Std7PayrollEmploymentRequirements, 13, 5, 1, 1) = 0, "", OFFSET('IWP25'!Std7PayrollEmploymentRequirements, 13, 5, 1, 1))</f>
        <v/>
      </c>
      <c r="F1631" s="195" t="str">
        <f ca="1">IF(OFFSET('IWP25'!Std7PayrollEmploymentRequirements, 13, 6, 1, 1) = 0, "", OFFSET('IWP25'!Std7PayrollEmploymentRequirements, 13, 6, 1, 1))</f>
        <v/>
      </c>
      <c r="G1631" s="195" t="str">
        <f ca="1">IF(OFFSET('IWP25'!Std7PayrollEmploymentRequirements, 13, 7, 1, 1) = 0, "", OFFSET('IWP25'!Std7PayrollEmploymentRequirements, 13, 7, 1, 1))</f>
        <v/>
      </c>
      <c r="H1631" s="195" t="str">
        <f ca="1">IF(OFFSET('IWP25'!Std7PayrollEmploymentRequirements, 13, 9, 1, 1) = 0, "", OFFSET('IWP25'!Std7PayrollEmploymentRequirements, 13, 9, 1, 1))</f>
        <v/>
      </c>
      <c r="I1631" s="194" t="str">
        <f ca="1">IF(OFFSET('IWP25'!Std7PayrollEmploymentRequirements, 13, 11, 1, 1) = 0, "", OFFSET('IWP25'!Std7PayrollEmploymentRequirements, 13, 11, 1, 1))</f>
        <v/>
      </c>
    </row>
    <row r="1632" spans="1:9" s="146" customFormat="1">
      <c r="A1632" s="183" t="s">
        <v>523</v>
      </c>
      <c r="B1632" s="195" t="str">
        <f ca="1">IF(OFFSET('IWP25'!Std7PayrollEmploymentRequirements, 14, 0, 1, 1) = 0, "", OFFSET('IWP25'!Std7PayrollEmploymentRequirements, 14, 0, 1, 1))</f>
        <v/>
      </c>
      <c r="C1632" s="195" t="str">
        <f ca="1">IF(OFFSET('IWP25'!Std7PayrollEmploymentRequirements, 14, 2, 1, 1) = 0, "", OFFSET('IWP25'!Std7PayrollEmploymentRequirements, 14, 2, 1, 1))</f>
        <v/>
      </c>
      <c r="D1632" s="172">
        <f ca="1">IF(OFFSET('IWP25'!Std7PayrollEmploymentRequirements, 14, 4, 1, 1)=DATE(1900,1,0), DATE(1900,1,1), OFFSET('IWP25'!Std7PayrollEmploymentRequirements, 14, 4, 1, 1))</f>
        <v>1</v>
      </c>
      <c r="E1632" s="195" t="str">
        <f ca="1">IF(OFFSET('IWP25'!Std7PayrollEmploymentRequirements, 14, 5, 1, 1) = 0, "", OFFSET('IWP25'!Std7PayrollEmploymentRequirements, 14, 5, 1, 1))</f>
        <v/>
      </c>
      <c r="F1632" s="195" t="str">
        <f ca="1">IF(OFFSET('IWP25'!Std7PayrollEmploymentRequirements, 14, 6, 1, 1) = 0, "", OFFSET('IWP25'!Std7PayrollEmploymentRequirements, 14, 6, 1, 1))</f>
        <v/>
      </c>
      <c r="G1632" s="195" t="str">
        <f ca="1">IF(OFFSET('IWP25'!Std7PayrollEmploymentRequirements, 14, 7, 1, 1) = 0, "", OFFSET('IWP25'!Std7PayrollEmploymentRequirements, 14, 7, 1, 1))</f>
        <v/>
      </c>
      <c r="H1632" s="195" t="str">
        <f ca="1">IF(OFFSET('IWP25'!Std7PayrollEmploymentRequirements, 14, 9, 1, 1) = 0, "", OFFSET('IWP25'!Std7PayrollEmploymentRequirements, 14, 9, 1, 1))</f>
        <v/>
      </c>
      <c r="I1632" s="194" t="str">
        <f ca="1">IF(OFFSET('IWP25'!Std7PayrollEmploymentRequirements, 14, 11, 1, 1) = 0, "", OFFSET('IWP25'!Std7PayrollEmploymentRequirements, 14, 11, 1, 1))</f>
        <v/>
      </c>
    </row>
    <row r="1633" spans="1:9" s="146" customFormat="1">
      <c r="A1633" s="183" t="s">
        <v>523</v>
      </c>
      <c r="B1633" s="195" t="str">
        <f ca="1">IF(OFFSET('IWP25'!Std7PayrollEmploymentRequirements, 15, 0, 1, 1) = 0, "", OFFSET('IWP25'!Std7PayrollEmploymentRequirements, 15, 0, 1, 1))</f>
        <v/>
      </c>
      <c r="C1633" s="195" t="str">
        <f ca="1">IF(OFFSET('IWP25'!Std7PayrollEmploymentRequirements, 15, 2, 1, 1) = 0, "", OFFSET('IWP25'!Std7PayrollEmploymentRequirements, 15, 2, 1, 1))</f>
        <v/>
      </c>
      <c r="D1633" s="172">
        <f ca="1">IF(OFFSET('IWP25'!Std7PayrollEmploymentRequirements, 15, 4, 1, 1)=DATE(1900,1,0), DATE(1900,1,1), OFFSET('IWP25'!Std7PayrollEmploymentRequirements, 15, 4, 1, 1))</f>
        <v>1</v>
      </c>
      <c r="E1633" s="195" t="str">
        <f ca="1">IF(OFFSET('IWP25'!Std7PayrollEmploymentRequirements, 15, 5, 1, 1) = 0, "", OFFSET('IWP25'!Std7PayrollEmploymentRequirements, 15, 5, 1, 1))</f>
        <v/>
      </c>
      <c r="F1633" s="195" t="str">
        <f ca="1">IF(OFFSET('IWP25'!Std7PayrollEmploymentRequirements, 15, 6, 1, 1) = 0, "", OFFSET('IWP25'!Std7PayrollEmploymentRequirements, 15, 6, 1, 1))</f>
        <v/>
      </c>
      <c r="G1633" s="195" t="str">
        <f ca="1">IF(OFFSET('IWP25'!Std7PayrollEmploymentRequirements, 15, 7, 1, 1) = 0, "", OFFSET('IWP25'!Std7PayrollEmploymentRequirements, 15, 7, 1, 1))</f>
        <v/>
      </c>
      <c r="H1633" s="195" t="str">
        <f ca="1">IF(OFFSET('IWP25'!Std7PayrollEmploymentRequirements, 15, 9, 1, 1) = 0, "", OFFSET('IWP25'!Std7PayrollEmploymentRequirements, 15, 9, 1, 1))</f>
        <v/>
      </c>
      <c r="I1633" s="194" t="str">
        <f ca="1">IF(OFFSET('IWP25'!Std7PayrollEmploymentRequirements, 15, 11, 1, 1) = 0, "", OFFSET('IWP25'!Std7PayrollEmploymentRequirements, 15, 11, 1, 1))</f>
        <v/>
      </c>
    </row>
    <row r="1634" spans="1:9" s="146" customFormat="1">
      <c r="A1634" s="183" t="s">
        <v>524</v>
      </c>
      <c r="B1634" s="195" t="str">
        <f ca="1">IF(OFFSET('IWP26'!Std7PayrollEmploymentRequirements, 0, 0, 1, 1) = 0, "", OFFSET('IWP26'!Std7PayrollEmploymentRequirements, 0, 0, 1, 1))</f>
        <v/>
      </c>
      <c r="C1634" s="195" t="str">
        <f ca="1">IF(OFFSET('IWP26'!Std7PayrollEmploymentRequirements, 0, 2, 1, 1) = 0, "", OFFSET('IWP26'!Std7PayrollEmploymentRequirements, 0, 2, 1, 1))</f>
        <v/>
      </c>
      <c r="D1634" s="172">
        <f ca="1">IF(OFFSET('IWP26'!Std7PayrollEmploymentRequirements, 0, 4, 1, 1)=DATE(1900,1,0), DATE(1900,1,1), OFFSET('IWP26'!Std7PayrollEmploymentRequirements, 0, 4, 1, 1))</f>
        <v>1</v>
      </c>
      <c r="E1634" s="195" t="str">
        <f ca="1">IF(OFFSET('IWP26'!Std7PayrollEmploymentRequirements, 0, 5, 1, 1) = 0, "", OFFSET('IWP26'!Std7PayrollEmploymentRequirements, 0, 5, 1, 1))</f>
        <v/>
      </c>
      <c r="F1634" s="195" t="str">
        <f ca="1">IF(OFFSET('IWP26'!Std7PayrollEmploymentRequirements, 0, 6, 1, 1) = 0, "", OFFSET('IWP26'!Std7PayrollEmploymentRequirements, 0, 6, 1, 1))</f>
        <v/>
      </c>
      <c r="G1634" s="195" t="str">
        <f ca="1">IF(OFFSET('IWP26'!Std7PayrollEmploymentRequirements, 0, 7, 1, 1) = 0, "", OFFSET('IWP26'!Std7PayrollEmploymentRequirements, 0, 7, 1, 1))</f>
        <v/>
      </c>
      <c r="H1634" s="195" t="str">
        <f ca="1">IF(OFFSET('IWP26'!Std7PayrollEmploymentRequirements, 0, 9, 1, 1) = 0, "", OFFSET('IWP26'!Std7PayrollEmploymentRequirements, 0, 9, 1, 1))</f>
        <v/>
      </c>
      <c r="I1634" s="194" t="str">
        <f ca="1">IF(OFFSET('IWP26'!Std7PayrollEmploymentRequirements, 0, 11, 1, 1) = 0, "", OFFSET('IWP26'!Std7PayrollEmploymentRequirements, 0, 11, 1, 1))</f>
        <v/>
      </c>
    </row>
    <row r="1635" spans="1:9" s="146" customFormat="1">
      <c r="A1635" s="183" t="s">
        <v>524</v>
      </c>
      <c r="B1635" s="195" t="str">
        <f ca="1">IF(OFFSET('IWP26'!Std7PayrollEmploymentRequirements, 1, 0, 1, 1) = 0, "", OFFSET('IWP26'!Std7PayrollEmploymentRequirements, 1, 0, 1, 1))</f>
        <v/>
      </c>
      <c r="C1635" s="195" t="str">
        <f ca="1">IF(OFFSET('IWP26'!Std7PayrollEmploymentRequirements, 1, 2, 1, 1) = 0, "", OFFSET('IWP26'!Std7PayrollEmploymentRequirements, 1, 2, 1, 1))</f>
        <v/>
      </c>
      <c r="D1635" s="172">
        <f ca="1">IF(OFFSET('IWP26'!Std7PayrollEmploymentRequirements, 1, 4, 1, 1)=DATE(1900,1,0), DATE(1900,1,1), OFFSET('IWP26'!Std7PayrollEmploymentRequirements, 1, 4, 1, 1))</f>
        <v>1</v>
      </c>
      <c r="E1635" s="195" t="str">
        <f ca="1">IF(OFFSET('IWP26'!Std7PayrollEmploymentRequirements, 1, 5, 1, 1) = 0, "", OFFSET('IWP26'!Std7PayrollEmploymentRequirements, 1, 5, 1, 1))</f>
        <v/>
      </c>
      <c r="F1635" s="195" t="str">
        <f ca="1">IF(OFFSET('IWP26'!Std7PayrollEmploymentRequirements, 1, 6, 1, 1) = 0, "", OFFSET('IWP26'!Std7PayrollEmploymentRequirements, 1, 6, 1, 1))</f>
        <v/>
      </c>
      <c r="G1635" s="195" t="str">
        <f ca="1">IF(OFFSET('IWP26'!Std7PayrollEmploymentRequirements, 1, 7, 1, 1) = 0, "", OFFSET('IWP26'!Std7PayrollEmploymentRequirements, 1, 7, 1, 1))</f>
        <v/>
      </c>
      <c r="H1635" s="195" t="str">
        <f ca="1">IF(OFFSET('IWP26'!Std7PayrollEmploymentRequirements, 1, 9, 1, 1) = 0, "", OFFSET('IWP26'!Std7PayrollEmploymentRequirements, 1, 9, 1, 1))</f>
        <v/>
      </c>
      <c r="I1635" s="194" t="str">
        <f ca="1">IF(OFFSET('IWP26'!Std7PayrollEmploymentRequirements, 1, 11, 1, 1) = 0, "", OFFSET('IWP26'!Std7PayrollEmploymentRequirements, 1, 11, 1, 1))</f>
        <v/>
      </c>
    </row>
    <row r="1636" spans="1:9" s="146" customFormat="1">
      <c r="A1636" s="183" t="s">
        <v>524</v>
      </c>
      <c r="B1636" s="195" t="str">
        <f ca="1">IF(OFFSET('IWP26'!Std7PayrollEmploymentRequirements, 2, 0, 1, 1) = 0, "", OFFSET('IWP26'!Std7PayrollEmploymentRequirements, 2, 0, 1, 1))</f>
        <v/>
      </c>
      <c r="C1636" s="195" t="str">
        <f ca="1">IF(OFFSET('IWP26'!Std7PayrollEmploymentRequirements, 2, 2, 1, 1) = 0, "", OFFSET('IWP26'!Std7PayrollEmploymentRequirements, 2, 2, 1, 1))</f>
        <v/>
      </c>
      <c r="D1636" s="172">
        <f ca="1">IF(OFFSET('IWP26'!Std7PayrollEmploymentRequirements, 2, 4, 1, 1)=DATE(1900,1,0), DATE(1900,1,1), OFFSET('IWP26'!Std7PayrollEmploymentRequirements, 2, 4, 1, 1))</f>
        <v>1</v>
      </c>
      <c r="E1636" s="195" t="str">
        <f ca="1">IF(OFFSET('IWP26'!Std7PayrollEmploymentRequirements, 2, 5, 1, 1) = 0, "", OFFSET('IWP26'!Std7PayrollEmploymentRequirements, 2, 5, 1, 1))</f>
        <v/>
      </c>
      <c r="F1636" s="195" t="str">
        <f ca="1">IF(OFFSET('IWP26'!Std7PayrollEmploymentRequirements, 2, 6, 1, 1) = 0, "", OFFSET('IWP26'!Std7PayrollEmploymentRequirements, 2, 6, 1, 1))</f>
        <v/>
      </c>
      <c r="G1636" s="195" t="str">
        <f ca="1">IF(OFFSET('IWP26'!Std7PayrollEmploymentRequirements, 2, 7, 1, 1) = 0, "", OFFSET('IWP26'!Std7PayrollEmploymentRequirements, 2, 7, 1, 1))</f>
        <v/>
      </c>
      <c r="H1636" s="195" t="str">
        <f ca="1">IF(OFFSET('IWP26'!Std7PayrollEmploymentRequirements, 2, 9, 1, 1) = 0, "", OFFSET('IWP26'!Std7PayrollEmploymentRequirements, 2, 9, 1, 1))</f>
        <v/>
      </c>
      <c r="I1636" s="194" t="str">
        <f ca="1">IF(OFFSET('IWP26'!Std7PayrollEmploymentRequirements, 2, 11, 1, 1) = 0, "", OFFSET('IWP26'!Std7PayrollEmploymentRequirements, 2, 11, 1, 1))</f>
        <v/>
      </c>
    </row>
    <row r="1637" spans="1:9" s="146" customFormat="1">
      <c r="A1637" s="183" t="s">
        <v>524</v>
      </c>
      <c r="B1637" s="195" t="str">
        <f ca="1">IF(OFFSET('IWP26'!Std7PayrollEmploymentRequirements, 3, 0, 1, 1) = 0, "", OFFSET('IWP26'!Std7PayrollEmploymentRequirements, 3, 0, 1, 1))</f>
        <v/>
      </c>
      <c r="C1637" s="195" t="str">
        <f ca="1">IF(OFFSET('IWP26'!Std7PayrollEmploymentRequirements, 3, 2, 1, 1) = 0, "", OFFSET('IWP26'!Std7PayrollEmploymentRequirements, 3, 2, 1, 1))</f>
        <v/>
      </c>
      <c r="D1637" s="172">
        <f ca="1">IF(OFFSET('IWP26'!Std7PayrollEmploymentRequirements, 3, 4, 1, 1)=DATE(1900,1,0), DATE(1900,1,1), OFFSET('IWP26'!Std7PayrollEmploymentRequirements, 3, 4, 1, 1))</f>
        <v>1</v>
      </c>
      <c r="E1637" s="195" t="str">
        <f ca="1">IF(OFFSET('IWP26'!Std7PayrollEmploymentRequirements, 3, 5, 1, 1) = 0, "", OFFSET('IWP26'!Std7PayrollEmploymentRequirements, 3, 5, 1, 1))</f>
        <v/>
      </c>
      <c r="F1637" s="195" t="str">
        <f ca="1">IF(OFFSET('IWP26'!Std7PayrollEmploymentRequirements, 3, 6, 1, 1) = 0, "", OFFSET('IWP26'!Std7PayrollEmploymentRequirements, 3, 6, 1, 1))</f>
        <v/>
      </c>
      <c r="G1637" s="195" t="str">
        <f ca="1">IF(OFFSET('IWP26'!Std7PayrollEmploymentRequirements, 3, 7, 1, 1) = 0, "", OFFSET('IWP26'!Std7PayrollEmploymentRequirements, 3, 7, 1, 1))</f>
        <v/>
      </c>
      <c r="H1637" s="195" t="str">
        <f ca="1">IF(OFFSET('IWP26'!Std7PayrollEmploymentRequirements, 3, 9, 1, 1) = 0, "", OFFSET('IWP26'!Std7PayrollEmploymentRequirements, 3, 9, 1, 1))</f>
        <v/>
      </c>
      <c r="I1637" s="194" t="str">
        <f ca="1">IF(OFFSET('IWP26'!Std7PayrollEmploymentRequirements, 3, 11, 1, 1) = 0, "", OFFSET('IWP26'!Std7PayrollEmploymentRequirements, 3, 11, 1, 1))</f>
        <v/>
      </c>
    </row>
    <row r="1638" spans="1:9" s="146" customFormat="1">
      <c r="A1638" s="183" t="s">
        <v>524</v>
      </c>
      <c r="B1638" s="195" t="str">
        <f ca="1">IF(OFFSET('IWP26'!Std7PayrollEmploymentRequirements, 4, 0, 1, 1) = 0, "", OFFSET('IWP26'!Std7PayrollEmploymentRequirements, 4, 0, 1, 1))</f>
        <v/>
      </c>
      <c r="C1638" s="195" t="str">
        <f ca="1">IF(OFFSET('IWP26'!Std7PayrollEmploymentRequirements, 4, 2, 1, 1) = 0, "", OFFSET('IWP26'!Std7PayrollEmploymentRequirements, 4, 2, 1, 1))</f>
        <v/>
      </c>
      <c r="D1638" s="172">
        <f ca="1">IF(OFFSET('IWP26'!Std7PayrollEmploymentRequirements, 4, 4, 1, 1)=DATE(1900,1,0), DATE(1900,1,1), OFFSET('IWP26'!Std7PayrollEmploymentRequirements, 4, 4, 1, 1))</f>
        <v>1</v>
      </c>
      <c r="E1638" s="195" t="str">
        <f ca="1">IF(OFFSET('IWP26'!Std7PayrollEmploymentRequirements, 4, 5, 1, 1) = 0, "", OFFSET('IWP26'!Std7PayrollEmploymentRequirements, 4, 5, 1, 1))</f>
        <v/>
      </c>
      <c r="F1638" s="195" t="str">
        <f ca="1">IF(OFFSET('IWP26'!Std7PayrollEmploymentRequirements, 4, 6, 1, 1) = 0, "", OFFSET('IWP26'!Std7PayrollEmploymentRequirements, 4, 6, 1, 1))</f>
        <v/>
      </c>
      <c r="G1638" s="195" t="str">
        <f ca="1">IF(OFFSET('IWP26'!Std7PayrollEmploymentRequirements, 4, 7, 1, 1) = 0, "", OFFSET('IWP26'!Std7PayrollEmploymentRequirements, 4, 7, 1, 1))</f>
        <v/>
      </c>
      <c r="H1638" s="195" t="str">
        <f ca="1">IF(OFFSET('IWP26'!Std7PayrollEmploymentRequirements, 4, 9, 1, 1) = 0, "", OFFSET('IWP26'!Std7PayrollEmploymentRequirements, 4, 9, 1, 1))</f>
        <v/>
      </c>
      <c r="I1638" s="194" t="str">
        <f ca="1">IF(OFFSET('IWP26'!Std7PayrollEmploymentRequirements, 4, 11, 1, 1) = 0, "", OFFSET('IWP26'!Std7PayrollEmploymentRequirements, 4, 11, 1, 1))</f>
        <v/>
      </c>
    </row>
    <row r="1639" spans="1:9" s="146" customFormat="1">
      <c r="A1639" s="183" t="s">
        <v>524</v>
      </c>
      <c r="B1639" s="195" t="str">
        <f ca="1">IF(OFFSET('IWP26'!Std7PayrollEmploymentRequirements, 5, 0, 1, 1) = 0, "", OFFSET('IWP26'!Std7PayrollEmploymentRequirements, 5, 0, 1, 1))</f>
        <v/>
      </c>
      <c r="C1639" s="195" t="str">
        <f ca="1">IF(OFFSET('IWP26'!Std7PayrollEmploymentRequirements, 5, 2, 1, 1) = 0, "", OFFSET('IWP26'!Std7PayrollEmploymentRequirements, 5, 2, 1, 1))</f>
        <v/>
      </c>
      <c r="D1639" s="172">
        <f ca="1">IF(OFFSET('IWP26'!Std7PayrollEmploymentRequirements, 5, 4, 1, 1)=DATE(1900,1,0), DATE(1900,1,1), OFFSET('IWP26'!Std7PayrollEmploymentRequirements, 5, 4, 1, 1))</f>
        <v>1</v>
      </c>
      <c r="E1639" s="195" t="str">
        <f ca="1">IF(OFFSET('IWP26'!Std7PayrollEmploymentRequirements, 5, 5, 1, 1) = 0, "", OFFSET('IWP26'!Std7PayrollEmploymentRequirements, 5, 5, 1, 1))</f>
        <v/>
      </c>
      <c r="F1639" s="195" t="str">
        <f ca="1">IF(OFFSET('IWP26'!Std7PayrollEmploymentRequirements, 5, 6, 1, 1) = 0, "", OFFSET('IWP26'!Std7PayrollEmploymentRequirements, 5, 6, 1, 1))</f>
        <v/>
      </c>
      <c r="G1639" s="195" t="str">
        <f ca="1">IF(OFFSET('IWP26'!Std7PayrollEmploymentRequirements, 5, 7, 1, 1) = 0, "", OFFSET('IWP26'!Std7PayrollEmploymentRequirements, 5, 7, 1, 1))</f>
        <v/>
      </c>
      <c r="H1639" s="195" t="str">
        <f ca="1">IF(OFFSET('IWP26'!Std7PayrollEmploymentRequirements, 5, 9, 1, 1) = 0, "", OFFSET('IWP26'!Std7PayrollEmploymentRequirements, 5, 9, 1, 1))</f>
        <v/>
      </c>
      <c r="I1639" s="194" t="str">
        <f ca="1">IF(OFFSET('IWP26'!Std7PayrollEmploymentRequirements, 5, 11, 1, 1) = 0, "", OFFSET('IWP26'!Std7PayrollEmploymentRequirements, 5, 11, 1, 1))</f>
        <v/>
      </c>
    </row>
    <row r="1640" spans="1:9" s="146" customFormat="1">
      <c r="A1640" s="183" t="s">
        <v>524</v>
      </c>
      <c r="B1640" s="195" t="str">
        <f ca="1">IF(OFFSET('IWP26'!Std7PayrollEmploymentRequirements, 6, 0, 1, 1) = 0, "", OFFSET('IWP26'!Std7PayrollEmploymentRequirements, 6, 0, 1, 1))</f>
        <v/>
      </c>
      <c r="C1640" s="195" t="str">
        <f ca="1">IF(OFFSET('IWP26'!Std7PayrollEmploymentRequirements, 6, 2, 1, 1) = 0, "", OFFSET('IWP26'!Std7PayrollEmploymentRequirements, 6, 2, 1, 1))</f>
        <v/>
      </c>
      <c r="D1640" s="172">
        <f ca="1">IF(OFFSET('IWP26'!Std7PayrollEmploymentRequirements, 6, 4, 1, 1)=DATE(1900,1,0), DATE(1900,1,1), OFFSET('IWP26'!Std7PayrollEmploymentRequirements, 6, 4, 1, 1))</f>
        <v>1</v>
      </c>
      <c r="E1640" s="195" t="str">
        <f ca="1">IF(OFFSET('IWP26'!Std7PayrollEmploymentRequirements, 6, 5, 1, 1) = 0, "", OFFSET('IWP26'!Std7PayrollEmploymentRequirements, 6, 5, 1, 1))</f>
        <v/>
      </c>
      <c r="F1640" s="195" t="str">
        <f ca="1">IF(OFFSET('IWP26'!Std7PayrollEmploymentRequirements, 6, 6, 1, 1) = 0, "", OFFSET('IWP26'!Std7PayrollEmploymentRequirements, 6, 6, 1, 1))</f>
        <v/>
      </c>
      <c r="G1640" s="195" t="str">
        <f ca="1">IF(OFFSET('IWP26'!Std7PayrollEmploymentRequirements, 6, 7, 1, 1) = 0, "", OFFSET('IWP26'!Std7PayrollEmploymentRequirements, 6, 7, 1, 1))</f>
        <v/>
      </c>
      <c r="H1640" s="195" t="str">
        <f ca="1">IF(OFFSET('IWP26'!Std7PayrollEmploymentRequirements, 6, 9, 1, 1) = 0, "", OFFSET('IWP26'!Std7PayrollEmploymentRequirements, 6, 9, 1, 1))</f>
        <v/>
      </c>
      <c r="I1640" s="194" t="str">
        <f ca="1">IF(OFFSET('IWP26'!Std7PayrollEmploymentRequirements, 6, 11, 1, 1) = 0, "", OFFSET('IWP26'!Std7PayrollEmploymentRequirements, 6, 11, 1, 1))</f>
        <v/>
      </c>
    </row>
    <row r="1641" spans="1:9" s="146" customFormat="1">
      <c r="A1641" s="183" t="s">
        <v>524</v>
      </c>
      <c r="B1641" s="195" t="str">
        <f ca="1">IF(OFFSET('IWP26'!Std7PayrollEmploymentRequirements, 7, 0, 1, 1) = 0, "", OFFSET('IWP26'!Std7PayrollEmploymentRequirements, 7, 0, 1, 1))</f>
        <v/>
      </c>
      <c r="C1641" s="195" t="str">
        <f ca="1">IF(OFFSET('IWP26'!Std7PayrollEmploymentRequirements, 7, 2, 1, 1) = 0, "", OFFSET('IWP26'!Std7PayrollEmploymentRequirements, 7, 2, 1, 1))</f>
        <v/>
      </c>
      <c r="D1641" s="172">
        <f ca="1">IF(OFFSET('IWP26'!Std7PayrollEmploymentRequirements, 7, 4, 1, 1)=DATE(1900,1,0), DATE(1900,1,1), OFFSET('IWP26'!Std7PayrollEmploymentRequirements, 7, 4, 1, 1))</f>
        <v>1</v>
      </c>
      <c r="E1641" s="195" t="str">
        <f ca="1">IF(OFFSET('IWP26'!Std7PayrollEmploymentRequirements, 7, 5, 1, 1) = 0, "", OFFSET('IWP26'!Std7PayrollEmploymentRequirements, 7, 5, 1, 1))</f>
        <v/>
      </c>
      <c r="F1641" s="195" t="str">
        <f ca="1">IF(OFFSET('IWP26'!Std7PayrollEmploymentRequirements, 7, 6, 1, 1) = 0, "", OFFSET('IWP26'!Std7PayrollEmploymentRequirements, 7, 6, 1, 1))</f>
        <v/>
      </c>
      <c r="G1641" s="195" t="str">
        <f ca="1">IF(OFFSET('IWP26'!Std7PayrollEmploymentRequirements, 7, 7, 1, 1) = 0, "", OFFSET('IWP26'!Std7PayrollEmploymentRequirements, 7, 7, 1, 1))</f>
        <v/>
      </c>
      <c r="H1641" s="195" t="str">
        <f ca="1">IF(OFFSET('IWP26'!Std7PayrollEmploymentRequirements, 7, 9, 1, 1) = 0, "", OFFSET('IWP26'!Std7PayrollEmploymentRequirements, 7, 9, 1, 1))</f>
        <v/>
      </c>
      <c r="I1641" s="194" t="str">
        <f ca="1">IF(OFFSET('IWP26'!Std7PayrollEmploymentRequirements, 7, 11, 1, 1) = 0, "", OFFSET('IWP26'!Std7PayrollEmploymentRequirements, 7, 11, 1, 1))</f>
        <v/>
      </c>
    </row>
    <row r="1642" spans="1:9" s="146" customFormat="1">
      <c r="A1642" s="183" t="s">
        <v>524</v>
      </c>
      <c r="B1642" s="195" t="str">
        <f ca="1">IF(OFFSET('IWP26'!Std7PayrollEmploymentRequirements, 8, 0, 1, 1) = 0, "", OFFSET('IWP26'!Std7PayrollEmploymentRequirements, 8, 0, 1, 1))</f>
        <v/>
      </c>
      <c r="C1642" s="195" t="str">
        <f ca="1">IF(OFFSET('IWP26'!Std7PayrollEmploymentRequirements, 8, 2, 1, 1) = 0, "", OFFSET('IWP26'!Std7PayrollEmploymentRequirements, 8, 2, 1, 1))</f>
        <v/>
      </c>
      <c r="D1642" s="172">
        <f ca="1">IF(OFFSET('IWP26'!Std7PayrollEmploymentRequirements, 8, 4, 1, 1)=DATE(1900,1,0), DATE(1900,1,1), OFFSET('IWP26'!Std7PayrollEmploymentRequirements, 8, 4, 1, 1))</f>
        <v>1</v>
      </c>
      <c r="E1642" s="195" t="str">
        <f ca="1">IF(OFFSET('IWP26'!Std7PayrollEmploymentRequirements, 8, 5, 1, 1) = 0, "", OFFSET('IWP26'!Std7PayrollEmploymentRequirements, 8, 5, 1, 1))</f>
        <v/>
      </c>
      <c r="F1642" s="195" t="str">
        <f ca="1">IF(OFFSET('IWP26'!Std7PayrollEmploymentRequirements, 8, 6, 1, 1) = 0, "", OFFSET('IWP26'!Std7PayrollEmploymentRequirements, 8, 6, 1, 1))</f>
        <v/>
      </c>
      <c r="G1642" s="195" t="str">
        <f ca="1">IF(OFFSET('IWP26'!Std7PayrollEmploymentRequirements, 8, 7, 1, 1) = 0, "", OFFSET('IWP26'!Std7PayrollEmploymentRequirements, 8, 7, 1, 1))</f>
        <v/>
      </c>
      <c r="H1642" s="195" t="str">
        <f ca="1">IF(OFFSET('IWP26'!Std7PayrollEmploymentRequirements, 8, 9, 1, 1) = 0, "", OFFSET('IWP26'!Std7PayrollEmploymentRequirements, 8, 9, 1, 1))</f>
        <v/>
      </c>
      <c r="I1642" s="194" t="str">
        <f ca="1">IF(OFFSET('IWP26'!Std7PayrollEmploymentRequirements, 8, 11, 1, 1) = 0, "", OFFSET('IWP26'!Std7PayrollEmploymentRequirements, 8, 11, 1, 1))</f>
        <v/>
      </c>
    </row>
    <row r="1643" spans="1:9" s="146" customFormat="1">
      <c r="A1643" s="183" t="s">
        <v>524</v>
      </c>
      <c r="B1643" s="195" t="str">
        <f ca="1">IF(OFFSET('IWP26'!Std7PayrollEmploymentRequirements, 9, 0, 1, 1) = 0, "", OFFSET('IWP26'!Std7PayrollEmploymentRequirements, 9, 0, 1, 1))</f>
        <v/>
      </c>
      <c r="C1643" s="195" t="str">
        <f ca="1">IF(OFFSET('IWP26'!Std7PayrollEmploymentRequirements, 9, 2, 1, 1) = 0, "", OFFSET('IWP26'!Std7PayrollEmploymentRequirements, 9, 2, 1, 1))</f>
        <v/>
      </c>
      <c r="D1643" s="172">
        <f ca="1">IF(OFFSET('IWP26'!Std7PayrollEmploymentRequirements, 9, 4, 1, 1)=DATE(1900,1,0), DATE(1900,1,1), OFFSET('IWP26'!Std7PayrollEmploymentRequirements, 9, 4, 1, 1))</f>
        <v>1</v>
      </c>
      <c r="E1643" s="195" t="str">
        <f ca="1">IF(OFFSET('IWP26'!Std7PayrollEmploymentRequirements, 9, 5, 1, 1) = 0, "", OFFSET('IWP26'!Std7PayrollEmploymentRequirements, 9, 5, 1, 1))</f>
        <v/>
      </c>
      <c r="F1643" s="195" t="str">
        <f ca="1">IF(OFFSET('IWP26'!Std7PayrollEmploymentRequirements, 9, 6, 1, 1) = 0, "", OFFSET('IWP26'!Std7PayrollEmploymentRequirements, 9, 6, 1, 1))</f>
        <v/>
      </c>
      <c r="G1643" s="195" t="str">
        <f ca="1">IF(OFFSET('IWP26'!Std7PayrollEmploymentRequirements, 9, 7, 1, 1) = 0, "", OFFSET('IWP26'!Std7PayrollEmploymentRequirements, 9, 7, 1, 1))</f>
        <v/>
      </c>
      <c r="H1643" s="195" t="str">
        <f ca="1">IF(OFFSET('IWP26'!Std7PayrollEmploymentRequirements, 9, 9, 1, 1) = 0, "", OFFSET('IWP26'!Std7PayrollEmploymentRequirements, 9, 9, 1, 1))</f>
        <v/>
      </c>
      <c r="I1643" s="194" t="str">
        <f ca="1">IF(OFFSET('IWP26'!Std7PayrollEmploymentRequirements, 9, 11, 1, 1) = 0, "", OFFSET('IWP26'!Std7PayrollEmploymentRequirements, 9, 11, 1, 1))</f>
        <v/>
      </c>
    </row>
    <row r="1644" spans="1:9" s="146" customFormat="1">
      <c r="A1644" s="183" t="s">
        <v>524</v>
      </c>
      <c r="B1644" s="195" t="str">
        <f ca="1">IF(OFFSET('IWP26'!Std7PayrollEmploymentRequirements, 10, 0, 1, 1) = 0, "", OFFSET('IWP26'!Std7PayrollEmploymentRequirements, 10, 0, 1, 1))</f>
        <v/>
      </c>
      <c r="C1644" s="195" t="str">
        <f ca="1">IF(OFFSET('IWP26'!Std7PayrollEmploymentRequirements, 10, 2, 1, 1) = 0, "", OFFSET('IWP26'!Std7PayrollEmploymentRequirements, 10, 2, 1, 1))</f>
        <v/>
      </c>
      <c r="D1644" s="172">
        <f ca="1">IF(OFFSET('IWP26'!Std7PayrollEmploymentRequirements, 10, 4, 1, 1)=DATE(1900,1,0), DATE(1900,1,1), OFFSET('IWP26'!Std7PayrollEmploymentRequirements, 10, 4, 1, 1))</f>
        <v>1</v>
      </c>
      <c r="E1644" s="195" t="str">
        <f ca="1">IF(OFFSET('IWP26'!Std7PayrollEmploymentRequirements, 10, 5, 1, 1) = 0, "", OFFSET('IWP26'!Std7PayrollEmploymentRequirements, 10, 5, 1, 1))</f>
        <v/>
      </c>
      <c r="F1644" s="195" t="str">
        <f ca="1">IF(OFFSET('IWP26'!Std7PayrollEmploymentRequirements, 10, 6, 1, 1) = 0, "", OFFSET('IWP26'!Std7PayrollEmploymentRequirements, 10, 6, 1, 1))</f>
        <v/>
      </c>
      <c r="G1644" s="195" t="str">
        <f ca="1">IF(OFFSET('IWP26'!Std7PayrollEmploymentRequirements, 10, 7, 1, 1) = 0, "", OFFSET('IWP26'!Std7PayrollEmploymentRequirements, 10, 7, 1, 1))</f>
        <v/>
      </c>
      <c r="H1644" s="195" t="str">
        <f ca="1">IF(OFFSET('IWP26'!Std7PayrollEmploymentRequirements, 10, 9, 1, 1) = 0, "", OFFSET('IWP26'!Std7PayrollEmploymentRequirements, 10, 9, 1, 1))</f>
        <v/>
      </c>
      <c r="I1644" s="194" t="str">
        <f ca="1">IF(OFFSET('IWP26'!Std7PayrollEmploymentRequirements, 10, 11, 1, 1) = 0, "", OFFSET('IWP26'!Std7PayrollEmploymentRequirements, 10, 11, 1, 1))</f>
        <v/>
      </c>
    </row>
    <row r="1645" spans="1:9" s="146" customFormat="1">
      <c r="A1645" s="183" t="s">
        <v>524</v>
      </c>
      <c r="B1645" s="195" t="str">
        <f ca="1">IF(OFFSET('IWP26'!Std7PayrollEmploymentRequirements, 11, 0, 1, 1) = 0, "", OFFSET('IWP26'!Std7PayrollEmploymentRequirements, 11, 0, 1, 1))</f>
        <v/>
      </c>
      <c r="C1645" s="195" t="str">
        <f ca="1">IF(OFFSET('IWP26'!Std7PayrollEmploymentRequirements, 11, 2, 1, 1) = 0, "", OFFSET('IWP26'!Std7PayrollEmploymentRequirements, 11, 2, 1, 1))</f>
        <v/>
      </c>
      <c r="D1645" s="172">
        <f ca="1">IF(OFFSET('IWP26'!Std7PayrollEmploymentRequirements, 11, 4, 1, 1)=DATE(1900,1,0), DATE(1900,1,1), OFFSET('IWP26'!Std7PayrollEmploymentRequirements, 11, 4, 1, 1))</f>
        <v>1</v>
      </c>
      <c r="E1645" s="195" t="str">
        <f ca="1">IF(OFFSET('IWP26'!Std7PayrollEmploymentRequirements, 11, 5, 1, 1) = 0, "", OFFSET('IWP26'!Std7PayrollEmploymentRequirements, 11, 5, 1, 1))</f>
        <v/>
      </c>
      <c r="F1645" s="195" t="str">
        <f ca="1">IF(OFFSET('IWP26'!Std7PayrollEmploymentRequirements, 11, 6, 1, 1) = 0, "", OFFSET('IWP26'!Std7PayrollEmploymentRequirements, 11, 6, 1, 1))</f>
        <v/>
      </c>
      <c r="G1645" s="195" t="str">
        <f ca="1">IF(OFFSET('IWP26'!Std7PayrollEmploymentRequirements, 11, 7, 1, 1) = 0, "", OFFSET('IWP26'!Std7PayrollEmploymentRequirements, 11, 7, 1, 1))</f>
        <v/>
      </c>
      <c r="H1645" s="195" t="str">
        <f ca="1">IF(OFFSET('IWP26'!Std7PayrollEmploymentRequirements, 11, 9, 1, 1) = 0, "", OFFSET('IWP26'!Std7PayrollEmploymentRequirements, 11, 9, 1, 1))</f>
        <v/>
      </c>
      <c r="I1645" s="194" t="str">
        <f ca="1">IF(OFFSET('IWP26'!Std7PayrollEmploymentRequirements, 11, 11, 1, 1) = 0, "", OFFSET('IWP26'!Std7PayrollEmploymentRequirements, 11, 11, 1, 1))</f>
        <v/>
      </c>
    </row>
    <row r="1646" spans="1:9" s="146" customFormat="1">
      <c r="A1646" s="183" t="s">
        <v>524</v>
      </c>
      <c r="B1646" s="195" t="str">
        <f ca="1">IF(OFFSET('IWP26'!Std7PayrollEmploymentRequirements, 12, 0, 1, 1) = 0, "", OFFSET('IWP26'!Std7PayrollEmploymentRequirements, 12, 0, 1, 1))</f>
        <v/>
      </c>
      <c r="C1646" s="195" t="str">
        <f ca="1">IF(OFFSET('IWP26'!Std7PayrollEmploymentRequirements, 12, 2, 1, 1) = 0, "", OFFSET('IWP26'!Std7PayrollEmploymentRequirements, 12, 2, 1, 1))</f>
        <v/>
      </c>
      <c r="D1646" s="172">
        <f ca="1">IF(OFFSET('IWP26'!Std7PayrollEmploymentRequirements, 12, 4, 1, 1)=DATE(1900,1,0), DATE(1900,1,1), OFFSET('IWP26'!Std7PayrollEmploymentRequirements, 12, 4, 1, 1))</f>
        <v>1</v>
      </c>
      <c r="E1646" s="195" t="str">
        <f ca="1">IF(OFFSET('IWP26'!Std7PayrollEmploymentRequirements, 12, 5, 1, 1) = 0, "", OFFSET('IWP26'!Std7PayrollEmploymentRequirements, 12, 5, 1, 1))</f>
        <v/>
      </c>
      <c r="F1646" s="195" t="str">
        <f ca="1">IF(OFFSET('IWP26'!Std7PayrollEmploymentRequirements, 12, 6, 1, 1) = 0, "", OFFSET('IWP26'!Std7PayrollEmploymentRequirements, 12, 6, 1, 1))</f>
        <v/>
      </c>
      <c r="G1646" s="195" t="str">
        <f ca="1">IF(OFFSET('IWP26'!Std7PayrollEmploymentRequirements, 12, 7, 1, 1) = 0, "", OFFSET('IWP26'!Std7PayrollEmploymentRequirements, 12, 7, 1, 1))</f>
        <v/>
      </c>
      <c r="H1646" s="195" t="str">
        <f ca="1">IF(OFFSET('IWP26'!Std7PayrollEmploymentRequirements, 12, 9, 1, 1) = 0, "", OFFSET('IWP26'!Std7PayrollEmploymentRequirements, 12, 9, 1, 1))</f>
        <v/>
      </c>
      <c r="I1646" s="194" t="str">
        <f ca="1">IF(OFFSET('IWP26'!Std7PayrollEmploymentRequirements, 12, 11, 1, 1) = 0, "", OFFSET('IWP26'!Std7PayrollEmploymentRequirements, 12, 11, 1, 1))</f>
        <v/>
      </c>
    </row>
    <row r="1647" spans="1:9" s="146" customFormat="1">
      <c r="A1647" s="183" t="s">
        <v>524</v>
      </c>
      <c r="B1647" s="195" t="str">
        <f ca="1">IF(OFFSET('IWP26'!Std7PayrollEmploymentRequirements, 13, 0, 1, 1) = 0, "", OFFSET('IWP26'!Std7PayrollEmploymentRequirements, 13, 0, 1, 1))</f>
        <v/>
      </c>
      <c r="C1647" s="195" t="str">
        <f ca="1">IF(OFFSET('IWP26'!Std7PayrollEmploymentRequirements, 13, 2, 1, 1) = 0, "", OFFSET('IWP26'!Std7PayrollEmploymentRequirements, 13, 2, 1, 1))</f>
        <v/>
      </c>
      <c r="D1647" s="172">
        <f ca="1">IF(OFFSET('IWP26'!Std7PayrollEmploymentRequirements, 13, 4, 1, 1)=DATE(1900,1,0), DATE(1900,1,1), OFFSET('IWP26'!Std7PayrollEmploymentRequirements, 13, 4, 1, 1))</f>
        <v>1</v>
      </c>
      <c r="E1647" s="195" t="str">
        <f ca="1">IF(OFFSET('IWP26'!Std7PayrollEmploymentRequirements, 13, 5, 1, 1) = 0, "", OFFSET('IWP26'!Std7PayrollEmploymentRequirements, 13, 5, 1, 1))</f>
        <v/>
      </c>
      <c r="F1647" s="195" t="str">
        <f ca="1">IF(OFFSET('IWP26'!Std7PayrollEmploymentRequirements, 13, 6, 1, 1) = 0, "", OFFSET('IWP26'!Std7PayrollEmploymentRequirements, 13, 6, 1, 1))</f>
        <v/>
      </c>
      <c r="G1647" s="195" t="str">
        <f ca="1">IF(OFFSET('IWP26'!Std7PayrollEmploymentRequirements, 13, 7, 1, 1) = 0, "", OFFSET('IWP26'!Std7PayrollEmploymentRequirements, 13, 7, 1, 1))</f>
        <v/>
      </c>
      <c r="H1647" s="195" t="str">
        <f ca="1">IF(OFFSET('IWP26'!Std7PayrollEmploymentRequirements, 13, 9, 1, 1) = 0, "", OFFSET('IWP26'!Std7PayrollEmploymentRequirements, 13, 9, 1, 1))</f>
        <v/>
      </c>
      <c r="I1647" s="194" t="str">
        <f ca="1">IF(OFFSET('IWP26'!Std7PayrollEmploymentRequirements, 13, 11, 1, 1) = 0, "", OFFSET('IWP26'!Std7PayrollEmploymentRequirements, 13, 11, 1, 1))</f>
        <v/>
      </c>
    </row>
    <row r="1648" spans="1:9" s="146" customFormat="1">
      <c r="A1648" s="183" t="s">
        <v>524</v>
      </c>
      <c r="B1648" s="195" t="str">
        <f ca="1">IF(OFFSET('IWP26'!Std7PayrollEmploymentRequirements, 14, 0, 1, 1) = 0, "", OFFSET('IWP26'!Std7PayrollEmploymentRequirements, 14, 0, 1, 1))</f>
        <v/>
      </c>
      <c r="C1648" s="195" t="str">
        <f ca="1">IF(OFFSET('IWP26'!Std7PayrollEmploymentRequirements, 14, 2, 1, 1) = 0, "", OFFSET('IWP26'!Std7PayrollEmploymentRequirements, 14, 2, 1, 1))</f>
        <v/>
      </c>
      <c r="D1648" s="172">
        <f ca="1">IF(OFFSET('IWP26'!Std7PayrollEmploymentRequirements, 14, 4, 1, 1)=DATE(1900,1,0), DATE(1900,1,1), OFFSET('IWP26'!Std7PayrollEmploymentRequirements, 14, 4, 1, 1))</f>
        <v>1</v>
      </c>
      <c r="E1648" s="195" t="str">
        <f ca="1">IF(OFFSET('IWP26'!Std7PayrollEmploymentRequirements, 14, 5, 1, 1) = 0, "", OFFSET('IWP26'!Std7PayrollEmploymentRequirements, 14, 5, 1, 1))</f>
        <v/>
      </c>
      <c r="F1648" s="195" t="str">
        <f ca="1">IF(OFFSET('IWP26'!Std7PayrollEmploymentRequirements, 14, 6, 1, 1) = 0, "", OFFSET('IWP26'!Std7PayrollEmploymentRequirements, 14, 6, 1, 1))</f>
        <v/>
      </c>
      <c r="G1648" s="195" t="str">
        <f ca="1">IF(OFFSET('IWP26'!Std7PayrollEmploymentRequirements, 14, 7, 1, 1) = 0, "", OFFSET('IWP26'!Std7PayrollEmploymentRequirements, 14, 7, 1, 1))</f>
        <v/>
      </c>
      <c r="H1648" s="195" t="str">
        <f ca="1">IF(OFFSET('IWP26'!Std7PayrollEmploymentRequirements, 14, 9, 1, 1) = 0, "", OFFSET('IWP26'!Std7PayrollEmploymentRequirements, 14, 9, 1, 1))</f>
        <v/>
      </c>
      <c r="I1648" s="194" t="str">
        <f ca="1">IF(OFFSET('IWP26'!Std7PayrollEmploymentRequirements, 14, 11, 1, 1) = 0, "", OFFSET('IWP26'!Std7PayrollEmploymentRequirements, 14, 11, 1, 1))</f>
        <v/>
      </c>
    </row>
    <row r="1649" spans="1:9" s="146" customFormat="1">
      <c r="A1649" s="183" t="s">
        <v>524</v>
      </c>
      <c r="B1649" s="195" t="str">
        <f ca="1">IF(OFFSET('IWP26'!Std7PayrollEmploymentRequirements, 15, 0, 1, 1) = 0, "", OFFSET('IWP26'!Std7PayrollEmploymentRequirements, 15, 0, 1, 1))</f>
        <v/>
      </c>
      <c r="C1649" s="195" t="str">
        <f ca="1">IF(OFFSET('IWP26'!Std7PayrollEmploymentRequirements, 15, 2, 1, 1) = 0, "", OFFSET('IWP26'!Std7PayrollEmploymentRequirements, 15, 2, 1, 1))</f>
        <v/>
      </c>
      <c r="D1649" s="172">
        <f ca="1">IF(OFFSET('IWP26'!Std7PayrollEmploymentRequirements, 15, 4, 1, 1)=DATE(1900,1,0), DATE(1900,1,1), OFFSET('IWP26'!Std7PayrollEmploymentRequirements, 15, 4, 1, 1))</f>
        <v>1</v>
      </c>
      <c r="E1649" s="195" t="str">
        <f ca="1">IF(OFFSET('IWP26'!Std7PayrollEmploymentRequirements, 15, 5, 1, 1) = 0, "", OFFSET('IWP26'!Std7PayrollEmploymentRequirements, 15, 5, 1, 1))</f>
        <v/>
      </c>
      <c r="F1649" s="195" t="str">
        <f ca="1">IF(OFFSET('IWP26'!Std7PayrollEmploymentRequirements, 15, 6, 1, 1) = 0, "", OFFSET('IWP26'!Std7PayrollEmploymentRequirements, 15, 6, 1, 1))</f>
        <v/>
      </c>
      <c r="G1649" s="195" t="str">
        <f ca="1">IF(OFFSET('IWP26'!Std7PayrollEmploymentRequirements, 15, 7, 1, 1) = 0, "", OFFSET('IWP26'!Std7PayrollEmploymentRequirements, 15, 7, 1, 1))</f>
        <v/>
      </c>
      <c r="H1649" s="195" t="str">
        <f ca="1">IF(OFFSET('IWP26'!Std7PayrollEmploymentRequirements, 15, 9, 1, 1) = 0, "", OFFSET('IWP26'!Std7PayrollEmploymentRequirements, 15, 9, 1, 1))</f>
        <v/>
      </c>
      <c r="I1649" s="194" t="str">
        <f ca="1">IF(OFFSET('IWP26'!Std7PayrollEmploymentRequirements, 15, 11, 1, 1) = 0, "", OFFSET('IWP26'!Std7PayrollEmploymentRequirements, 15, 11, 1, 1))</f>
        <v/>
      </c>
    </row>
    <row r="1650" spans="1:9" s="146" customFormat="1">
      <c r="A1650" s="183" t="s">
        <v>525</v>
      </c>
      <c r="B1650" s="195" t="str">
        <f ca="1">IF(OFFSET('IWP27'!Std7PayrollEmploymentRequirements, 0, 0, 1, 1) = 0, "", OFFSET('IWP27'!Std7PayrollEmploymentRequirements, 0, 0, 1, 1))</f>
        <v/>
      </c>
      <c r="C1650" s="195" t="str">
        <f ca="1">IF(OFFSET('IWP27'!Std7PayrollEmploymentRequirements, 0, 2, 1, 1) = 0, "", OFFSET('IWP27'!Std7PayrollEmploymentRequirements, 0, 2, 1, 1))</f>
        <v/>
      </c>
      <c r="D1650" s="172">
        <f ca="1">IF(OFFSET('IWP27'!Std7PayrollEmploymentRequirements, 0, 4, 1, 1)=DATE(1900,1,0), DATE(1900,1,1), OFFSET('IWP27'!Std7PayrollEmploymentRequirements, 0, 4, 1, 1))</f>
        <v>1</v>
      </c>
      <c r="E1650" s="195" t="str">
        <f ca="1">IF(OFFSET('IWP27'!Std7PayrollEmploymentRequirements, 0, 5, 1, 1) = 0, "", OFFSET('IWP27'!Std7PayrollEmploymentRequirements, 0, 5, 1, 1))</f>
        <v/>
      </c>
      <c r="F1650" s="195" t="str">
        <f ca="1">IF(OFFSET('IWP27'!Std7PayrollEmploymentRequirements, 0, 6, 1, 1) = 0, "", OFFSET('IWP27'!Std7PayrollEmploymentRequirements, 0, 6, 1, 1))</f>
        <v/>
      </c>
      <c r="G1650" s="195" t="str">
        <f ca="1">IF(OFFSET('IWP27'!Std7PayrollEmploymentRequirements, 0, 7, 1, 1) = 0, "", OFFSET('IWP27'!Std7PayrollEmploymentRequirements, 0, 7, 1, 1))</f>
        <v/>
      </c>
      <c r="H1650" s="195" t="str">
        <f ca="1">IF(OFFSET('IWP27'!Std7PayrollEmploymentRequirements, 0, 9, 1, 1) = 0, "", OFFSET('IWP27'!Std7PayrollEmploymentRequirements, 0, 9, 1, 1))</f>
        <v/>
      </c>
      <c r="I1650" s="194" t="str">
        <f ca="1">IF(OFFSET('IWP27'!Std7PayrollEmploymentRequirements, 0, 11, 1, 1) = 0, "", OFFSET('IWP27'!Std7PayrollEmploymentRequirements, 0, 11, 1, 1))</f>
        <v/>
      </c>
    </row>
    <row r="1651" spans="1:9" s="146" customFormat="1">
      <c r="A1651" s="183" t="s">
        <v>525</v>
      </c>
      <c r="B1651" s="195" t="str">
        <f ca="1">IF(OFFSET('IWP27'!Std7PayrollEmploymentRequirements, 1, 0, 1, 1) = 0, "", OFFSET('IWP27'!Std7PayrollEmploymentRequirements, 1, 0, 1, 1))</f>
        <v/>
      </c>
      <c r="C1651" s="195" t="str">
        <f ca="1">IF(OFFSET('IWP27'!Std7PayrollEmploymentRequirements, 1, 2, 1, 1) = 0, "", OFFSET('IWP27'!Std7PayrollEmploymentRequirements, 1, 2, 1, 1))</f>
        <v/>
      </c>
      <c r="D1651" s="172">
        <f ca="1">IF(OFFSET('IWP27'!Std7PayrollEmploymentRequirements, 1, 4, 1, 1)=DATE(1900,1,0), DATE(1900,1,1), OFFSET('IWP27'!Std7PayrollEmploymentRequirements, 1, 4, 1, 1))</f>
        <v>1</v>
      </c>
      <c r="E1651" s="195" t="str">
        <f ca="1">IF(OFFSET('IWP27'!Std7PayrollEmploymentRequirements, 1, 5, 1, 1) = 0, "", OFFSET('IWP27'!Std7PayrollEmploymentRequirements, 1, 5, 1, 1))</f>
        <v/>
      </c>
      <c r="F1651" s="195" t="str">
        <f ca="1">IF(OFFSET('IWP27'!Std7PayrollEmploymentRequirements, 1, 6, 1, 1) = 0, "", OFFSET('IWP27'!Std7PayrollEmploymentRequirements, 1, 6, 1, 1))</f>
        <v/>
      </c>
      <c r="G1651" s="195" t="str">
        <f ca="1">IF(OFFSET('IWP27'!Std7PayrollEmploymentRequirements, 1, 7, 1, 1) = 0, "", OFFSET('IWP27'!Std7PayrollEmploymentRequirements, 1, 7, 1, 1))</f>
        <v/>
      </c>
      <c r="H1651" s="195" t="str">
        <f ca="1">IF(OFFSET('IWP27'!Std7PayrollEmploymentRequirements, 1, 9, 1, 1) = 0, "", OFFSET('IWP27'!Std7PayrollEmploymentRequirements, 1, 9, 1, 1))</f>
        <v/>
      </c>
      <c r="I1651" s="194" t="str">
        <f ca="1">IF(OFFSET('IWP27'!Std7PayrollEmploymentRequirements, 1, 11, 1, 1) = 0, "", OFFSET('IWP27'!Std7PayrollEmploymentRequirements, 1, 11, 1, 1))</f>
        <v/>
      </c>
    </row>
    <row r="1652" spans="1:9" s="146" customFormat="1">
      <c r="A1652" s="183" t="s">
        <v>525</v>
      </c>
      <c r="B1652" s="195" t="str">
        <f ca="1">IF(OFFSET('IWP27'!Std7PayrollEmploymentRequirements, 2, 0, 1, 1) = 0, "", OFFSET('IWP27'!Std7PayrollEmploymentRequirements, 2, 0, 1, 1))</f>
        <v/>
      </c>
      <c r="C1652" s="195" t="str">
        <f ca="1">IF(OFFSET('IWP27'!Std7PayrollEmploymentRequirements, 2, 2, 1, 1) = 0, "", OFFSET('IWP27'!Std7PayrollEmploymentRequirements, 2, 2, 1, 1))</f>
        <v/>
      </c>
      <c r="D1652" s="172">
        <f ca="1">IF(OFFSET('IWP27'!Std7PayrollEmploymentRequirements, 2, 4, 1, 1)=DATE(1900,1,0), DATE(1900,1,1), OFFSET('IWP27'!Std7PayrollEmploymentRequirements, 2, 4, 1, 1))</f>
        <v>1</v>
      </c>
      <c r="E1652" s="195" t="str">
        <f ca="1">IF(OFFSET('IWP27'!Std7PayrollEmploymentRequirements, 2, 5, 1, 1) = 0, "", OFFSET('IWP27'!Std7PayrollEmploymentRequirements, 2, 5, 1, 1))</f>
        <v/>
      </c>
      <c r="F1652" s="195" t="str">
        <f ca="1">IF(OFFSET('IWP27'!Std7PayrollEmploymentRequirements, 2, 6, 1, 1) = 0, "", OFFSET('IWP27'!Std7PayrollEmploymentRequirements, 2, 6, 1, 1))</f>
        <v/>
      </c>
      <c r="G1652" s="195" t="str">
        <f ca="1">IF(OFFSET('IWP27'!Std7PayrollEmploymentRequirements, 2, 7, 1, 1) = 0, "", OFFSET('IWP27'!Std7PayrollEmploymentRequirements, 2, 7, 1, 1))</f>
        <v/>
      </c>
      <c r="H1652" s="195" t="str">
        <f ca="1">IF(OFFSET('IWP27'!Std7PayrollEmploymentRequirements, 2, 9, 1, 1) = 0, "", OFFSET('IWP27'!Std7PayrollEmploymentRequirements, 2, 9, 1, 1))</f>
        <v/>
      </c>
      <c r="I1652" s="194" t="str">
        <f ca="1">IF(OFFSET('IWP27'!Std7PayrollEmploymentRequirements, 2, 11, 1, 1) = 0, "", OFFSET('IWP27'!Std7PayrollEmploymentRequirements, 2, 11, 1, 1))</f>
        <v/>
      </c>
    </row>
    <row r="1653" spans="1:9" s="146" customFormat="1">
      <c r="A1653" s="183" t="s">
        <v>525</v>
      </c>
      <c r="B1653" s="195" t="str">
        <f ca="1">IF(OFFSET('IWP27'!Std7PayrollEmploymentRequirements, 3, 0, 1, 1) = 0, "", OFFSET('IWP27'!Std7PayrollEmploymentRequirements, 3, 0, 1, 1))</f>
        <v/>
      </c>
      <c r="C1653" s="195" t="str">
        <f ca="1">IF(OFFSET('IWP27'!Std7PayrollEmploymentRequirements, 3, 2, 1, 1) = 0, "", OFFSET('IWP27'!Std7PayrollEmploymentRequirements, 3, 2, 1, 1))</f>
        <v/>
      </c>
      <c r="D1653" s="172">
        <f ca="1">IF(OFFSET('IWP27'!Std7PayrollEmploymentRequirements, 3, 4, 1, 1)=DATE(1900,1,0), DATE(1900,1,1), OFFSET('IWP27'!Std7PayrollEmploymentRequirements, 3, 4, 1, 1))</f>
        <v>1</v>
      </c>
      <c r="E1653" s="195" t="str">
        <f ca="1">IF(OFFSET('IWP27'!Std7PayrollEmploymentRequirements, 3, 5, 1, 1) = 0, "", OFFSET('IWP27'!Std7PayrollEmploymentRequirements, 3, 5, 1, 1))</f>
        <v/>
      </c>
      <c r="F1653" s="195" t="str">
        <f ca="1">IF(OFFSET('IWP27'!Std7PayrollEmploymentRequirements, 3, 6, 1, 1) = 0, "", OFFSET('IWP27'!Std7PayrollEmploymentRequirements, 3, 6, 1, 1))</f>
        <v/>
      </c>
      <c r="G1653" s="195" t="str">
        <f ca="1">IF(OFFSET('IWP27'!Std7PayrollEmploymentRequirements, 3, 7, 1, 1) = 0, "", OFFSET('IWP27'!Std7PayrollEmploymentRequirements, 3, 7, 1, 1))</f>
        <v/>
      </c>
      <c r="H1653" s="195" t="str">
        <f ca="1">IF(OFFSET('IWP27'!Std7PayrollEmploymentRequirements, 3, 9, 1, 1) = 0, "", OFFSET('IWP27'!Std7PayrollEmploymentRequirements, 3, 9, 1, 1))</f>
        <v/>
      </c>
      <c r="I1653" s="194" t="str">
        <f ca="1">IF(OFFSET('IWP27'!Std7PayrollEmploymentRequirements, 3, 11, 1, 1) = 0, "", OFFSET('IWP27'!Std7PayrollEmploymentRequirements, 3, 11, 1, 1))</f>
        <v/>
      </c>
    </row>
    <row r="1654" spans="1:9" s="146" customFormat="1">
      <c r="A1654" s="183" t="s">
        <v>525</v>
      </c>
      <c r="B1654" s="195" t="str">
        <f ca="1">IF(OFFSET('IWP27'!Std7PayrollEmploymentRequirements, 4, 0, 1, 1) = 0, "", OFFSET('IWP27'!Std7PayrollEmploymentRequirements, 4, 0, 1, 1))</f>
        <v/>
      </c>
      <c r="C1654" s="195" t="str">
        <f ca="1">IF(OFFSET('IWP27'!Std7PayrollEmploymentRequirements, 4, 2, 1, 1) = 0, "", OFFSET('IWP27'!Std7PayrollEmploymentRequirements, 4, 2, 1, 1))</f>
        <v/>
      </c>
      <c r="D1654" s="172">
        <f ca="1">IF(OFFSET('IWP27'!Std7PayrollEmploymentRequirements, 4, 4, 1, 1)=DATE(1900,1,0), DATE(1900,1,1), OFFSET('IWP27'!Std7PayrollEmploymentRequirements, 4, 4, 1, 1))</f>
        <v>1</v>
      </c>
      <c r="E1654" s="195" t="str">
        <f ca="1">IF(OFFSET('IWP27'!Std7PayrollEmploymentRequirements, 4, 5, 1, 1) = 0, "", OFFSET('IWP27'!Std7PayrollEmploymentRequirements, 4, 5, 1, 1))</f>
        <v/>
      </c>
      <c r="F1654" s="195" t="str">
        <f ca="1">IF(OFFSET('IWP27'!Std7PayrollEmploymentRequirements, 4, 6, 1, 1) = 0, "", OFFSET('IWP27'!Std7PayrollEmploymentRequirements, 4, 6, 1, 1))</f>
        <v/>
      </c>
      <c r="G1654" s="195" t="str">
        <f ca="1">IF(OFFSET('IWP27'!Std7PayrollEmploymentRequirements, 4, 7, 1, 1) = 0, "", OFFSET('IWP27'!Std7PayrollEmploymentRequirements, 4, 7, 1, 1))</f>
        <v/>
      </c>
      <c r="H1654" s="195" t="str">
        <f ca="1">IF(OFFSET('IWP27'!Std7PayrollEmploymentRequirements, 4, 9, 1, 1) = 0, "", OFFSET('IWP27'!Std7PayrollEmploymentRequirements, 4, 9, 1, 1))</f>
        <v/>
      </c>
      <c r="I1654" s="194" t="str">
        <f ca="1">IF(OFFSET('IWP27'!Std7PayrollEmploymentRequirements, 4, 11, 1, 1) = 0, "", OFFSET('IWP27'!Std7PayrollEmploymentRequirements, 4, 11, 1, 1))</f>
        <v/>
      </c>
    </row>
    <row r="1655" spans="1:9" s="146" customFormat="1">
      <c r="A1655" s="183" t="s">
        <v>525</v>
      </c>
      <c r="B1655" s="195" t="str">
        <f ca="1">IF(OFFSET('IWP27'!Std7PayrollEmploymentRequirements, 5, 0, 1, 1) = 0, "", OFFSET('IWP27'!Std7PayrollEmploymentRequirements, 5, 0, 1, 1))</f>
        <v/>
      </c>
      <c r="C1655" s="195" t="str">
        <f ca="1">IF(OFFSET('IWP27'!Std7PayrollEmploymentRequirements, 5, 2, 1, 1) = 0, "", OFFSET('IWP27'!Std7PayrollEmploymentRequirements, 5, 2, 1, 1))</f>
        <v/>
      </c>
      <c r="D1655" s="172">
        <f ca="1">IF(OFFSET('IWP27'!Std7PayrollEmploymentRequirements, 5, 4, 1, 1)=DATE(1900,1,0), DATE(1900,1,1), OFFSET('IWP27'!Std7PayrollEmploymentRequirements, 5, 4, 1, 1))</f>
        <v>1</v>
      </c>
      <c r="E1655" s="195" t="str">
        <f ca="1">IF(OFFSET('IWP27'!Std7PayrollEmploymentRequirements, 5, 5, 1, 1) = 0, "", OFFSET('IWP27'!Std7PayrollEmploymentRequirements, 5, 5, 1, 1))</f>
        <v/>
      </c>
      <c r="F1655" s="195" t="str">
        <f ca="1">IF(OFFSET('IWP27'!Std7PayrollEmploymentRequirements, 5, 6, 1, 1) = 0, "", OFFSET('IWP27'!Std7PayrollEmploymentRequirements, 5, 6, 1, 1))</f>
        <v/>
      </c>
      <c r="G1655" s="195" t="str">
        <f ca="1">IF(OFFSET('IWP27'!Std7PayrollEmploymentRequirements, 5, 7, 1, 1) = 0, "", OFFSET('IWP27'!Std7PayrollEmploymentRequirements, 5, 7, 1, 1))</f>
        <v/>
      </c>
      <c r="H1655" s="195" t="str">
        <f ca="1">IF(OFFSET('IWP27'!Std7PayrollEmploymentRequirements, 5, 9, 1, 1) = 0, "", OFFSET('IWP27'!Std7PayrollEmploymentRequirements, 5, 9, 1, 1))</f>
        <v/>
      </c>
      <c r="I1655" s="194" t="str">
        <f ca="1">IF(OFFSET('IWP27'!Std7PayrollEmploymentRequirements, 5, 11, 1, 1) = 0, "", OFFSET('IWP27'!Std7PayrollEmploymentRequirements, 5, 11, 1, 1))</f>
        <v/>
      </c>
    </row>
    <row r="1656" spans="1:9" s="146" customFormat="1">
      <c r="A1656" s="183" t="s">
        <v>525</v>
      </c>
      <c r="B1656" s="195" t="str">
        <f ca="1">IF(OFFSET('IWP27'!Std7PayrollEmploymentRequirements, 6, 0, 1, 1) = 0, "", OFFSET('IWP27'!Std7PayrollEmploymentRequirements, 6, 0, 1, 1))</f>
        <v/>
      </c>
      <c r="C1656" s="195" t="str">
        <f ca="1">IF(OFFSET('IWP27'!Std7PayrollEmploymentRequirements, 6, 2, 1, 1) = 0, "", OFFSET('IWP27'!Std7PayrollEmploymentRequirements, 6, 2, 1, 1))</f>
        <v/>
      </c>
      <c r="D1656" s="172">
        <f ca="1">IF(OFFSET('IWP27'!Std7PayrollEmploymentRequirements, 6, 4, 1, 1)=DATE(1900,1,0), DATE(1900,1,1), OFFSET('IWP27'!Std7PayrollEmploymentRequirements, 6, 4, 1, 1))</f>
        <v>1</v>
      </c>
      <c r="E1656" s="195" t="str">
        <f ca="1">IF(OFFSET('IWP27'!Std7PayrollEmploymentRequirements, 6, 5, 1, 1) = 0, "", OFFSET('IWP27'!Std7PayrollEmploymentRequirements, 6, 5, 1, 1))</f>
        <v/>
      </c>
      <c r="F1656" s="195" t="str">
        <f ca="1">IF(OFFSET('IWP27'!Std7PayrollEmploymentRequirements, 6, 6, 1, 1) = 0, "", OFFSET('IWP27'!Std7PayrollEmploymentRequirements, 6, 6, 1, 1))</f>
        <v/>
      </c>
      <c r="G1656" s="195" t="str">
        <f ca="1">IF(OFFSET('IWP27'!Std7PayrollEmploymentRequirements, 6, 7, 1, 1) = 0, "", OFFSET('IWP27'!Std7PayrollEmploymentRequirements, 6, 7, 1, 1))</f>
        <v/>
      </c>
      <c r="H1656" s="195" t="str">
        <f ca="1">IF(OFFSET('IWP27'!Std7PayrollEmploymentRequirements, 6, 9, 1, 1) = 0, "", OFFSET('IWP27'!Std7PayrollEmploymentRequirements, 6, 9, 1, 1))</f>
        <v/>
      </c>
      <c r="I1656" s="194" t="str">
        <f ca="1">IF(OFFSET('IWP27'!Std7PayrollEmploymentRequirements, 6, 11, 1, 1) = 0, "", OFFSET('IWP27'!Std7PayrollEmploymentRequirements, 6, 11, 1, 1))</f>
        <v/>
      </c>
    </row>
    <row r="1657" spans="1:9" s="146" customFormat="1">
      <c r="A1657" s="183" t="s">
        <v>525</v>
      </c>
      <c r="B1657" s="195" t="str">
        <f ca="1">IF(OFFSET('IWP27'!Std7PayrollEmploymentRequirements, 7, 0, 1, 1) = 0, "", OFFSET('IWP27'!Std7PayrollEmploymentRequirements, 7, 0, 1, 1))</f>
        <v/>
      </c>
      <c r="C1657" s="195" t="str">
        <f ca="1">IF(OFFSET('IWP27'!Std7PayrollEmploymentRequirements, 7, 2, 1, 1) = 0, "", OFFSET('IWP27'!Std7PayrollEmploymentRequirements, 7, 2, 1, 1))</f>
        <v/>
      </c>
      <c r="D1657" s="172">
        <f ca="1">IF(OFFSET('IWP27'!Std7PayrollEmploymentRequirements, 7, 4, 1, 1)=DATE(1900,1,0), DATE(1900,1,1), OFFSET('IWP27'!Std7PayrollEmploymentRequirements, 7, 4, 1, 1))</f>
        <v>1</v>
      </c>
      <c r="E1657" s="195" t="str">
        <f ca="1">IF(OFFSET('IWP27'!Std7PayrollEmploymentRequirements, 7, 5, 1, 1) = 0, "", OFFSET('IWP27'!Std7PayrollEmploymentRequirements, 7, 5, 1, 1))</f>
        <v/>
      </c>
      <c r="F1657" s="195" t="str">
        <f ca="1">IF(OFFSET('IWP27'!Std7PayrollEmploymentRequirements, 7, 6, 1, 1) = 0, "", OFFSET('IWP27'!Std7PayrollEmploymentRequirements, 7, 6, 1, 1))</f>
        <v/>
      </c>
      <c r="G1657" s="195" t="str">
        <f ca="1">IF(OFFSET('IWP27'!Std7PayrollEmploymentRequirements, 7, 7, 1, 1) = 0, "", OFFSET('IWP27'!Std7PayrollEmploymentRequirements, 7, 7, 1, 1))</f>
        <v/>
      </c>
      <c r="H1657" s="195" t="str">
        <f ca="1">IF(OFFSET('IWP27'!Std7PayrollEmploymentRequirements, 7, 9, 1, 1) = 0, "", OFFSET('IWP27'!Std7PayrollEmploymentRequirements, 7, 9, 1, 1))</f>
        <v/>
      </c>
      <c r="I1657" s="194" t="str">
        <f ca="1">IF(OFFSET('IWP27'!Std7PayrollEmploymentRequirements, 7, 11, 1, 1) = 0, "", OFFSET('IWP27'!Std7PayrollEmploymentRequirements, 7, 11, 1, 1))</f>
        <v/>
      </c>
    </row>
    <row r="1658" spans="1:9" s="146" customFormat="1">
      <c r="A1658" s="183" t="s">
        <v>525</v>
      </c>
      <c r="B1658" s="195" t="str">
        <f ca="1">IF(OFFSET('IWP27'!Std7PayrollEmploymentRequirements, 8, 0, 1, 1) = 0, "", OFFSET('IWP27'!Std7PayrollEmploymentRequirements, 8, 0, 1, 1))</f>
        <v/>
      </c>
      <c r="C1658" s="195" t="str">
        <f ca="1">IF(OFFSET('IWP27'!Std7PayrollEmploymentRequirements, 8, 2, 1, 1) = 0, "", OFFSET('IWP27'!Std7PayrollEmploymentRequirements, 8, 2, 1, 1))</f>
        <v/>
      </c>
      <c r="D1658" s="172">
        <f ca="1">IF(OFFSET('IWP27'!Std7PayrollEmploymentRequirements, 8, 4, 1, 1)=DATE(1900,1,0), DATE(1900,1,1), OFFSET('IWP27'!Std7PayrollEmploymentRequirements, 8, 4, 1, 1))</f>
        <v>1</v>
      </c>
      <c r="E1658" s="195" t="str">
        <f ca="1">IF(OFFSET('IWP27'!Std7PayrollEmploymentRequirements, 8, 5, 1, 1) = 0, "", OFFSET('IWP27'!Std7PayrollEmploymentRequirements, 8, 5, 1, 1))</f>
        <v/>
      </c>
      <c r="F1658" s="195" t="str">
        <f ca="1">IF(OFFSET('IWP27'!Std7PayrollEmploymentRequirements, 8, 6, 1, 1) = 0, "", OFFSET('IWP27'!Std7PayrollEmploymentRequirements, 8, 6, 1, 1))</f>
        <v/>
      </c>
      <c r="G1658" s="195" t="str">
        <f ca="1">IF(OFFSET('IWP27'!Std7PayrollEmploymentRequirements, 8, 7, 1, 1) = 0, "", OFFSET('IWP27'!Std7PayrollEmploymentRequirements, 8, 7, 1, 1))</f>
        <v/>
      </c>
      <c r="H1658" s="195" t="str">
        <f ca="1">IF(OFFSET('IWP27'!Std7PayrollEmploymentRequirements, 8, 9, 1, 1) = 0, "", OFFSET('IWP27'!Std7PayrollEmploymentRequirements, 8, 9, 1, 1))</f>
        <v/>
      </c>
      <c r="I1658" s="194" t="str">
        <f ca="1">IF(OFFSET('IWP27'!Std7PayrollEmploymentRequirements, 8, 11, 1, 1) = 0, "", OFFSET('IWP27'!Std7PayrollEmploymentRequirements, 8, 11, 1, 1))</f>
        <v/>
      </c>
    </row>
    <row r="1659" spans="1:9" s="146" customFormat="1">
      <c r="A1659" s="183" t="s">
        <v>525</v>
      </c>
      <c r="B1659" s="195" t="str">
        <f ca="1">IF(OFFSET('IWP27'!Std7PayrollEmploymentRequirements, 9, 0, 1, 1) = 0, "", OFFSET('IWP27'!Std7PayrollEmploymentRequirements, 9, 0, 1, 1))</f>
        <v/>
      </c>
      <c r="C1659" s="195" t="str">
        <f ca="1">IF(OFFSET('IWP27'!Std7PayrollEmploymentRequirements, 9, 2, 1, 1) = 0, "", OFFSET('IWP27'!Std7PayrollEmploymentRequirements, 9, 2, 1, 1))</f>
        <v/>
      </c>
      <c r="D1659" s="172">
        <f ca="1">IF(OFFSET('IWP27'!Std7PayrollEmploymentRequirements, 9, 4, 1, 1)=DATE(1900,1,0), DATE(1900,1,1), OFFSET('IWP27'!Std7PayrollEmploymentRequirements, 9, 4, 1, 1))</f>
        <v>1</v>
      </c>
      <c r="E1659" s="195" t="str">
        <f ca="1">IF(OFFSET('IWP27'!Std7PayrollEmploymentRequirements, 9, 5, 1, 1) = 0, "", OFFSET('IWP27'!Std7PayrollEmploymentRequirements, 9, 5, 1, 1))</f>
        <v/>
      </c>
      <c r="F1659" s="195" t="str">
        <f ca="1">IF(OFFSET('IWP27'!Std7PayrollEmploymentRequirements, 9, 6, 1, 1) = 0, "", OFFSET('IWP27'!Std7PayrollEmploymentRequirements, 9, 6, 1, 1))</f>
        <v/>
      </c>
      <c r="G1659" s="195" t="str">
        <f ca="1">IF(OFFSET('IWP27'!Std7PayrollEmploymentRequirements, 9, 7, 1, 1) = 0, "", OFFSET('IWP27'!Std7PayrollEmploymentRequirements, 9, 7, 1, 1))</f>
        <v/>
      </c>
      <c r="H1659" s="195" t="str">
        <f ca="1">IF(OFFSET('IWP27'!Std7PayrollEmploymentRequirements, 9, 9, 1, 1) = 0, "", OFFSET('IWP27'!Std7PayrollEmploymentRequirements, 9, 9, 1, 1))</f>
        <v/>
      </c>
      <c r="I1659" s="194" t="str">
        <f ca="1">IF(OFFSET('IWP27'!Std7PayrollEmploymentRequirements, 9, 11, 1, 1) = 0, "", OFFSET('IWP27'!Std7PayrollEmploymentRequirements, 9, 11, 1, 1))</f>
        <v/>
      </c>
    </row>
    <row r="1660" spans="1:9" s="146" customFormat="1">
      <c r="A1660" s="183" t="s">
        <v>525</v>
      </c>
      <c r="B1660" s="195" t="str">
        <f ca="1">IF(OFFSET('IWP27'!Std7PayrollEmploymentRequirements, 10, 0, 1, 1) = 0, "", OFFSET('IWP27'!Std7PayrollEmploymentRequirements, 10, 0, 1, 1))</f>
        <v/>
      </c>
      <c r="C1660" s="195" t="str">
        <f ca="1">IF(OFFSET('IWP27'!Std7PayrollEmploymentRequirements, 10, 2, 1, 1) = 0, "", OFFSET('IWP27'!Std7PayrollEmploymentRequirements, 10, 2, 1, 1))</f>
        <v/>
      </c>
      <c r="D1660" s="172">
        <f ca="1">IF(OFFSET('IWP27'!Std7PayrollEmploymentRequirements, 10, 4, 1, 1)=DATE(1900,1,0), DATE(1900,1,1), OFFSET('IWP27'!Std7PayrollEmploymentRequirements, 10, 4, 1, 1))</f>
        <v>1</v>
      </c>
      <c r="E1660" s="195" t="str">
        <f ca="1">IF(OFFSET('IWP27'!Std7PayrollEmploymentRequirements, 10, 5, 1, 1) = 0, "", OFFSET('IWP27'!Std7PayrollEmploymentRequirements, 10, 5, 1, 1))</f>
        <v/>
      </c>
      <c r="F1660" s="195" t="str">
        <f ca="1">IF(OFFSET('IWP27'!Std7PayrollEmploymentRequirements, 10, 6, 1, 1) = 0, "", OFFSET('IWP27'!Std7PayrollEmploymentRequirements, 10, 6, 1, 1))</f>
        <v/>
      </c>
      <c r="G1660" s="195" t="str">
        <f ca="1">IF(OFFSET('IWP27'!Std7PayrollEmploymentRequirements, 10, 7, 1, 1) = 0, "", OFFSET('IWP27'!Std7PayrollEmploymentRequirements, 10, 7, 1, 1))</f>
        <v/>
      </c>
      <c r="H1660" s="195" t="str">
        <f ca="1">IF(OFFSET('IWP27'!Std7PayrollEmploymentRequirements, 10, 9, 1, 1) = 0, "", OFFSET('IWP27'!Std7PayrollEmploymentRequirements, 10, 9, 1, 1))</f>
        <v/>
      </c>
      <c r="I1660" s="194" t="str">
        <f ca="1">IF(OFFSET('IWP27'!Std7PayrollEmploymentRequirements, 10, 11, 1, 1) = 0, "", OFFSET('IWP27'!Std7PayrollEmploymentRequirements, 10, 11, 1, 1))</f>
        <v/>
      </c>
    </row>
    <row r="1661" spans="1:9" s="146" customFormat="1">
      <c r="A1661" s="183" t="s">
        <v>525</v>
      </c>
      <c r="B1661" s="195" t="str">
        <f ca="1">IF(OFFSET('IWP27'!Std7PayrollEmploymentRequirements, 11, 0, 1, 1) = 0, "", OFFSET('IWP27'!Std7PayrollEmploymentRequirements, 11, 0, 1, 1))</f>
        <v/>
      </c>
      <c r="C1661" s="195" t="str">
        <f ca="1">IF(OFFSET('IWP27'!Std7PayrollEmploymentRequirements, 11, 2, 1, 1) = 0, "", OFFSET('IWP27'!Std7PayrollEmploymentRequirements, 11, 2, 1, 1))</f>
        <v/>
      </c>
      <c r="D1661" s="172">
        <f ca="1">IF(OFFSET('IWP27'!Std7PayrollEmploymentRequirements, 11, 4, 1, 1)=DATE(1900,1,0), DATE(1900,1,1), OFFSET('IWP27'!Std7PayrollEmploymentRequirements, 11, 4, 1, 1))</f>
        <v>1</v>
      </c>
      <c r="E1661" s="195" t="str">
        <f ca="1">IF(OFFSET('IWP27'!Std7PayrollEmploymentRequirements, 11, 5, 1, 1) = 0, "", OFFSET('IWP27'!Std7PayrollEmploymentRequirements, 11, 5, 1, 1))</f>
        <v/>
      </c>
      <c r="F1661" s="195" t="str">
        <f ca="1">IF(OFFSET('IWP27'!Std7PayrollEmploymentRequirements, 11, 6, 1, 1) = 0, "", OFFSET('IWP27'!Std7PayrollEmploymentRequirements, 11, 6, 1, 1))</f>
        <v/>
      </c>
      <c r="G1661" s="195" t="str">
        <f ca="1">IF(OFFSET('IWP27'!Std7PayrollEmploymentRequirements, 11, 7, 1, 1) = 0, "", OFFSET('IWP27'!Std7PayrollEmploymentRequirements, 11, 7, 1, 1))</f>
        <v/>
      </c>
      <c r="H1661" s="195" t="str">
        <f ca="1">IF(OFFSET('IWP27'!Std7PayrollEmploymentRequirements, 11, 9, 1, 1) = 0, "", OFFSET('IWP27'!Std7PayrollEmploymentRequirements, 11, 9, 1, 1))</f>
        <v/>
      </c>
      <c r="I1661" s="194" t="str">
        <f ca="1">IF(OFFSET('IWP27'!Std7PayrollEmploymentRequirements, 11, 11, 1, 1) = 0, "", OFFSET('IWP27'!Std7PayrollEmploymentRequirements, 11, 11, 1, 1))</f>
        <v/>
      </c>
    </row>
    <row r="1662" spans="1:9" s="146" customFormat="1">
      <c r="A1662" s="183" t="s">
        <v>525</v>
      </c>
      <c r="B1662" s="195" t="str">
        <f ca="1">IF(OFFSET('IWP27'!Std7PayrollEmploymentRequirements, 12, 0, 1, 1) = 0, "", OFFSET('IWP27'!Std7PayrollEmploymentRequirements, 12, 0, 1, 1))</f>
        <v/>
      </c>
      <c r="C1662" s="195" t="str">
        <f ca="1">IF(OFFSET('IWP27'!Std7PayrollEmploymentRequirements, 12, 2, 1, 1) = 0, "", OFFSET('IWP27'!Std7PayrollEmploymentRequirements, 12, 2, 1, 1))</f>
        <v/>
      </c>
      <c r="D1662" s="172">
        <f ca="1">IF(OFFSET('IWP27'!Std7PayrollEmploymentRequirements, 12, 4, 1, 1)=DATE(1900,1,0), DATE(1900,1,1), OFFSET('IWP27'!Std7PayrollEmploymentRequirements, 12, 4, 1, 1))</f>
        <v>1</v>
      </c>
      <c r="E1662" s="195" t="str">
        <f ca="1">IF(OFFSET('IWP27'!Std7PayrollEmploymentRequirements, 12, 5, 1, 1) = 0, "", OFFSET('IWP27'!Std7PayrollEmploymentRequirements, 12, 5, 1, 1))</f>
        <v/>
      </c>
      <c r="F1662" s="195" t="str">
        <f ca="1">IF(OFFSET('IWP27'!Std7PayrollEmploymentRequirements, 12, 6, 1, 1) = 0, "", OFFSET('IWP27'!Std7PayrollEmploymentRequirements, 12, 6, 1, 1))</f>
        <v/>
      </c>
      <c r="G1662" s="195" t="str">
        <f ca="1">IF(OFFSET('IWP27'!Std7PayrollEmploymentRequirements, 12, 7, 1, 1) = 0, "", OFFSET('IWP27'!Std7PayrollEmploymentRequirements, 12, 7, 1, 1))</f>
        <v/>
      </c>
      <c r="H1662" s="195" t="str">
        <f ca="1">IF(OFFSET('IWP27'!Std7PayrollEmploymentRequirements, 12, 9, 1, 1) = 0, "", OFFSET('IWP27'!Std7PayrollEmploymentRequirements, 12, 9, 1, 1))</f>
        <v/>
      </c>
      <c r="I1662" s="194" t="str">
        <f ca="1">IF(OFFSET('IWP27'!Std7PayrollEmploymentRequirements, 12, 11, 1, 1) = 0, "", OFFSET('IWP27'!Std7PayrollEmploymentRequirements, 12, 11, 1, 1))</f>
        <v/>
      </c>
    </row>
    <row r="1663" spans="1:9" s="146" customFormat="1">
      <c r="A1663" s="183" t="s">
        <v>525</v>
      </c>
      <c r="B1663" s="195" t="str">
        <f ca="1">IF(OFFSET('IWP27'!Std7PayrollEmploymentRequirements, 13, 0, 1, 1) = 0, "", OFFSET('IWP27'!Std7PayrollEmploymentRequirements, 13, 0, 1, 1))</f>
        <v/>
      </c>
      <c r="C1663" s="195" t="str">
        <f ca="1">IF(OFFSET('IWP27'!Std7PayrollEmploymentRequirements, 13, 2, 1, 1) = 0, "", OFFSET('IWP27'!Std7PayrollEmploymentRequirements, 13, 2, 1, 1))</f>
        <v/>
      </c>
      <c r="D1663" s="172">
        <f ca="1">IF(OFFSET('IWP27'!Std7PayrollEmploymentRequirements, 13, 4, 1, 1)=DATE(1900,1,0), DATE(1900,1,1), OFFSET('IWP27'!Std7PayrollEmploymentRequirements, 13, 4, 1, 1))</f>
        <v>1</v>
      </c>
      <c r="E1663" s="195" t="str">
        <f ca="1">IF(OFFSET('IWP27'!Std7PayrollEmploymentRequirements, 13, 5, 1, 1) = 0, "", OFFSET('IWP27'!Std7PayrollEmploymentRequirements, 13, 5, 1, 1))</f>
        <v/>
      </c>
      <c r="F1663" s="195" t="str">
        <f ca="1">IF(OFFSET('IWP27'!Std7PayrollEmploymentRequirements, 13, 6, 1, 1) = 0, "", OFFSET('IWP27'!Std7PayrollEmploymentRequirements, 13, 6, 1, 1))</f>
        <v/>
      </c>
      <c r="G1663" s="195" t="str">
        <f ca="1">IF(OFFSET('IWP27'!Std7PayrollEmploymentRequirements, 13, 7, 1, 1) = 0, "", OFFSET('IWP27'!Std7PayrollEmploymentRequirements, 13, 7, 1, 1))</f>
        <v/>
      </c>
      <c r="H1663" s="195" t="str">
        <f ca="1">IF(OFFSET('IWP27'!Std7PayrollEmploymentRequirements, 13, 9, 1, 1) = 0, "", OFFSET('IWP27'!Std7PayrollEmploymentRequirements, 13, 9, 1, 1))</f>
        <v/>
      </c>
      <c r="I1663" s="194" t="str">
        <f ca="1">IF(OFFSET('IWP27'!Std7PayrollEmploymentRequirements, 13, 11, 1, 1) = 0, "", OFFSET('IWP27'!Std7PayrollEmploymentRequirements, 13, 11, 1, 1))</f>
        <v/>
      </c>
    </row>
    <row r="1664" spans="1:9" s="146" customFormat="1">
      <c r="A1664" s="183" t="s">
        <v>525</v>
      </c>
      <c r="B1664" s="195" t="str">
        <f ca="1">IF(OFFSET('IWP27'!Std7PayrollEmploymentRequirements, 14, 0, 1, 1) = 0, "", OFFSET('IWP27'!Std7PayrollEmploymentRequirements, 14, 0, 1, 1))</f>
        <v/>
      </c>
      <c r="C1664" s="195" t="str">
        <f ca="1">IF(OFFSET('IWP27'!Std7PayrollEmploymentRequirements, 14, 2, 1, 1) = 0, "", OFFSET('IWP27'!Std7PayrollEmploymentRequirements, 14, 2, 1, 1))</f>
        <v/>
      </c>
      <c r="D1664" s="172">
        <f ca="1">IF(OFFSET('IWP27'!Std7PayrollEmploymentRequirements, 14, 4, 1, 1)=DATE(1900,1,0), DATE(1900,1,1), OFFSET('IWP27'!Std7PayrollEmploymentRequirements, 14, 4, 1, 1))</f>
        <v>1</v>
      </c>
      <c r="E1664" s="195" t="str">
        <f ca="1">IF(OFFSET('IWP27'!Std7PayrollEmploymentRequirements, 14, 5, 1, 1) = 0, "", OFFSET('IWP27'!Std7PayrollEmploymentRequirements, 14, 5, 1, 1))</f>
        <v/>
      </c>
      <c r="F1664" s="195" t="str">
        <f ca="1">IF(OFFSET('IWP27'!Std7PayrollEmploymentRequirements, 14, 6, 1, 1) = 0, "", OFFSET('IWP27'!Std7PayrollEmploymentRequirements, 14, 6, 1, 1))</f>
        <v/>
      </c>
      <c r="G1664" s="195" t="str">
        <f ca="1">IF(OFFSET('IWP27'!Std7PayrollEmploymentRequirements, 14, 7, 1, 1) = 0, "", OFFSET('IWP27'!Std7PayrollEmploymentRequirements, 14, 7, 1, 1))</f>
        <v/>
      </c>
      <c r="H1664" s="195" t="str">
        <f ca="1">IF(OFFSET('IWP27'!Std7PayrollEmploymentRequirements, 14, 9, 1, 1) = 0, "", OFFSET('IWP27'!Std7PayrollEmploymentRequirements, 14, 9, 1, 1))</f>
        <v/>
      </c>
      <c r="I1664" s="194" t="str">
        <f ca="1">IF(OFFSET('IWP27'!Std7PayrollEmploymentRequirements, 14, 11, 1, 1) = 0, "", OFFSET('IWP27'!Std7PayrollEmploymentRequirements, 14, 11, 1, 1))</f>
        <v/>
      </c>
    </row>
    <row r="1665" spans="1:9" s="146" customFormat="1">
      <c r="A1665" s="183" t="s">
        <v>525</v>
      </c>
      <c r="B1665" s="195" t="str">
        <f ca="1">IF(OFFSET('IWP27'!Std7PayrollEmploymentRequirements, 15, 0, 1, 1) = 0, "", OFFSET('IWP27'!Std7PayrollEmploymentRequirements, 15, 0, 1, 1))</f>
        <v/>
      </c>
      <c r="C1665" s="195" t="str">
        <f ca="1">IF(OFFSET('IWP27'!Std7PayrollEmploymentRequirements, 15, 2, 1, 1) = 0, "", OFFSET('IWP27'!Std7PayrollEmploymentRequirements, 15, 2, 1, 1))</f>
        <v/>
      </c>
      <c r="D1665" s="172">
        <f ca="1">IF(OFFSET('IWP27'!Std7PayrollEmploymentRequirements, 15, 4, 1, 1)=DATE(1900,1,0), DATE(1900,1,1), OFFSET('IWP27'!Std7PayrollEmploymentRequirements, 15, 4, 1, 1))</f>
        <v>1</v>
      </c>
      <c r="E1665" s="195" t="str">
        <f ca="1">IF(OFFSET('IWP27'!Std7PayrollEmploymentRequirements, 15, 5, 1, 1) = 0, "", OFFSET('IWP27'!Std7PayrollEmploymentRequirements, 15, 5, 1, 1))</f>
        <v/>
      </c>
      <c r="F1665" s="195" t="str">
        <f ca="1">IF(OFFSET('IWP27'!Std7PayrollEmploymentRequirements, 15, 6, 1, 1) = 0, "", OFFSET('IWP27'!Std7PayrollEmploymentRequirements, 15, 6, 1, 1))</f>
        <v/>
      </c>
      <c r="G1665" s="195" t="str">
        <f ca="1">IF(OFFSET('IWP27'!Std7PayrollEmploymentRequirements, 15, 7, 1, 1) = 0, "", OFFSET('IWP27'!Std7PayrollEmploymentRequirements, 15, 7, 1, 1))</f>
        <v/>
      </c>
      <c r="H1665" s="195" t="str">
        <f ca="1">IF(OFFSET('IWP27'!Std7PayrollEmploymentRequirements, 15, 9, 1, 1) = 0, "", OFFSET('IWP27'!Std7PayrollEmploymentRequirements, 15, 9, 1, 1))</f>
        <v/>
      </c>
      <c r="I1665" s="194" t="str">
        <f ca="1">IF(OFFSET('IWP27'!Std7PayrollEmploymentRequirements, 15, 11, 1, 1) = 0, "", OFFSET('IWP27'!Std7PayrollEmploymentRequirements, 15, 11, 1, 1))</f>
        <v/>
      </c>
    </row>
    <row r="1666" spans="1:9" s="146" customFormat="1">
      <c r="A1666" s="183" t="s">
        <v>526</v>
      </c>
      <c r="B1666" s="195" t="str">
        <f ca="1">IF(OFFSET('IWP28'!Std7PayrollEmploymentRequirements, 0, 0, 1, 1) = 0, "", OFFSET('IWP28'!Std7PayrollEmploymentRequirements, 0, 0, 1, 1))</f>
        <v/>
      </c>
      <c r="C1666" s="195" t="str">
        <f ca="1">IF(OFFSET('IWP28'!Std7PayrollEmploymentRequirements, 0, 2, 1, 1) = 0, "", OFFSET('IWP28'!Std7PayrollEmploymentRequirements, 0, 2, 1, 1))</f>
        <v/>
      </c>
      <c r="D1666" s="172">
        <f ca="1">IF(OFFSET('IWP28'!Std7PayrollEmploymentRequirements, 0, 4, 1, 1)=DATE(1900,1,0), DATE(1900,1,1), OFFSET('IWP28'!Std7PayrollEmploymentRequirements, 0, 4, 1, 1))</f>
        <v>1</v>
      </c>
      <c r="E1666" s="195" t="str">
        <f ca="1">IF(OFFSET('IWP28'!Std7PayrollEmploymentRequirements, 0, 5, 1, 1) = 0, "", OFFSET('IWP28'!Std7PayrollEmploymentRequirements, 0, 5, 1, 1))</f>
        <v/>
      </c>
      <c r="F1666" s="195" t="str">
        <f ca="1">IF(OFFSET('IWP28'!Std7PayrollEmploymentRequirements, 0, 6, 1, 1) = 0, "", OFFSET('IWP28'!Std7PayrollEmploymentRequirements, 0, 6, 1, 1))</f>
        <v/>
      </c>
      <c r="G1666" s="195" t="str">
        <f ca="1">IF(OFFSET('IWP28'!Std7PayrollEmploymentRequirements, 0, 7, 1, 1) = 0, "", OFFSET('IWP28'!Std7PayrollEmploymentRequirements, 0, 7, 1, 1))</f>
        <v/>
      </c>
      <c r="H1666" s="195" t="str">
        <f ca="1">IF(OFFSET('IWP28'!Std7PayrollEmploymentRequirements, 0, 9, 1, 1) = 0, "", OFFSET('IWP28'!Std7PayrollEmploymentRequirements, 0, 9, 1, 1))</f>
        <v/>
      </c>
      <c r="I1666" s="194" t="str">
        <f ca="1">IF(OFFSET('IWP28'!Std7PayrollEmploymentRequirements, 0, 11, 1, 1) = 0, "", OFFSET('IWP28'!Std7PayrollEmploymentRequirements, 0, 11, 1, 1))</f>
        <v/>
      </c>
    </row>
    <row r="1667" spans="1:9" s="146" customFormat="1">
      <c r="A1667" s="183" t="s">
        <v>526</v>
      </c>
      <c r="B1667" s="195" t="str">
        <f ca="1">IF(OFFSET('IWP28'!Std7PayrollEmploymentRequirements, 1, 0, 1, 1) = 0, "", OFFSET('IWP28'!Std7PayrollEmploymentRequirements, 1, 0, 1, 1))</f>
        <v/>
      </c>
      <c r="C1667" s="195" t="str">
        <f ca="1">IF(OFFSET('IWP28'!Std7PayrollEmploymentRequirements, 1, 2, 1, 1) = 0, "", OFFSET('IWP28'!Std7PayrollEmploymentRequirements, 1, 2, 1, 1))</f>
        <v/>
      </c>
      <c r="D1667" s="172">
        <f ca="1">IF(OFFSET('IWP28'!Std7PayrollEmploymentRequirements, 1, 4, 1, 1)=DATE(1900,1,0), DATE(1900,1,1), OFFSET('IWP28'!Std7PayrollEmploymentRequirements, 1, 4, 1, 1))</f>
        <v>1</v>
      </c>
      <c r="E1667" s="195" t="str">
        <f ca="1">IF(OFFSET('IWP28'!Std7PayrollEmploymentRequirements, 1, 5, 1, 1) = 0, "", OFFSET('IWP28'!Std7PayrollEmploymentRequirements, 1, 5, 1, 1))</f>
        <v/>
      </c>
      <c r="F1667" s="195" t="str">
        <f ca="1">IF(OFFSET('IWP28'!Std7PayrollEmploymentRequirements, 1, 6, 1, 1) = 0, "", OFFSET('IWP28'!Std7PayrollEmploymentRequirements, 1, 6, 1, 1))</f>
        <v/>
      </c>
      <c r="G1667" s="195" t="str">
        <f ca="1">IF(OFFSET('IWP28'!Std7PayrollEmploymentRequirements, 1, 7, 1, 1) = 0, "", OFFSET('IWP28'!Std7PayrollEmploymentRequirements, 1, 7, 1, 1))</f>
        <v/>
      </c>
      <c r="H1667" s="195" t="str">
        <f ca="1">IF(OFFSET('IWP28'!Std7PayrollEmploymentRequirements, 1, 9, 1, 1) = 0, "", OFFSET('IWP28'!Std7PayrollEmploymentRequirements, 1, 9, 1, 1))</f>
        <v/>
      </c>
      <c r="I1667" s="194" t="str">
        <f ca="1">IF(OFFSET('IWP28'!Std7PayrollEmploymentRequirements, 1, 11, 1, 1) = 0, "", OFFSET('IWP28'!Std7PayrollEmploymentRequirements, 1, 11, 1, 1))</f>
        <v/>
      </c>
    </row>
    <row r="1668" spans="1:9" s="146" customFormat="1">
      <c r="A1668" s="183" t="s">
        <v>526</v>
      </c>
      <c r="B1668" s="195" t="str">
        <f ca="1">IF(OFFSET('IWP28'!Std7PayrollEmploymentRequirements, 2, 0, 1, 1) = 0, "", OFFSET('IWP28'!Std7PayrollEmploymentRequirements, 2, 0, 1, 1))</f>
        <v/>
      </c>
      <c r="C1668" s="195" t="str">
        <f ca="1">IF(OFFSET('IWP28'!Std7PayrollEmploymentRequirements, 2, 2, 1, 1) = 0, "", OFFSET('IWP28'!Std7PayrollEmploymentRequirements, 2, 2, 1, 1))</f>
        <v/>
      </c>
      <c r="D1668" s="172">
        <f ca="1">IF(OFFSET('IWP28'!Std7PayrollEmploymentRequirements, 2, 4, 1, 1)=DATE(1900,1,0), DATE(1900,1,1), OFFSET('IWP28'!Std7PayrollEmploymentRequirements, 2, 4, 1, 1))</f>
        <v>1</v>
      </c>
      <c r="E1668" s="195" t="str">
        <f ca="1">IF(OFFSET('IWP28'!Std7PayrollEmploymentRequirements, 2, 5, 1, 1) = 0, "", OFFSET('IWP28'!Std7PayrollEmploymentRequirements, 2, 5, 1, 1))</f>
        <v/>
      </c>
      <c r="F1668" s="195" t="str">
        <f ca="1">IF(OFFSET('IWP28'!Std7PayrollEmploymentRequirements, 2, 6, 1, 1) = 0, "", OFFSET('IWP28'!Std7PayrollEmploymentRequirements, 2, 6, 1, 1))</f>
        <v/>
      </c>
      <c r="G1668" s="195" t="str">
        <f ca="1">IF(OFFSET('IWP28'!Std7PayrollEmploymentRequirements, 2, 7, 1, 1) = 0, "", OFFSET('IWP28'!Std7PayrollEmploymentRequirements, 2, 7, 1, 1))</f>
        <v/>
      </c>
      <c r="H1668" s="195" t="str">
        <f ca="1">IF(OFFSET('IWP28'!Std7PayrollEmploymentRequirements, 2, 9, 1, 1) = 0, "", OFFSET('IWP28'!Std7PayrollEmploymentRequirements, 2, 9, 1, 1))</f>
        <v/>
      </c>
      <c r="I1668" s="194" t="str">
        <f ca="1">IF(OFFSET('IWP28'!Std7PayrollEmploymentRequirements, 2, 11, 1, 1) = 0, "", OFFSET('IWP28'!Std7PayrollEmploymentRequirements, 2, 11, 1, 1))</f>
        <v/>
      </c>
    </row>
    <row r="1669" spans="1:9" s="146" customFormat="1">
      <c r="A1669" s="183" t="s">
        <v>526</v>
      </c>
      <c r="B1669" s="195" t="str">
        <f ca="1">IF(OFFSET('IWP28'!Std7PayrollEmploymentRequirements, 3, 0, 1, 1) = 0, "", OFFSET('IWP28'!Std7PayrollEmploymentRequirements, 3, 0, 1, 1))</f>
        <v/>
      </c>
      <c r="C1669" s="195" t="str">
        <f ca="1">IF(OFFSET('IWP28'!Std7PayrollEmploymentRequirements, 3, 2, 1, 1) = 0, "", OFFSET('IWP28'!Std7PayrollEmploymentRequirements, 3, 2, 1, 1))</f>
        <v/>
      </c>
      <c r="D1669" s="172">
        <f ca="1">IF(OFFSET('IWP28'!Std7PayrollEmploymentRequirements, 3, 4, 1, 1)=DATE(1900,1,0), DATE(1900,1,1), OFFSET('IWP28'!Std7PayrollEmploymentRequirements, 3, 4, 1, 1))</f>
        <v>1</v>
      </c>
      <c r="E1669" s="195" t="str">
        <f ca="1">IF(OFFSET('IWP28'!Std7PayrollEmploymentRequirements, 3, 5, 1, 1) = 0, "", OFFSET('IWP28'!Std7PayrollEmploymentRequirements, 3, 5, 1, 1))</f>
        <v/>
      </c>
      <c r="F1669" s="195" t="str">
        <f ca="1">IF(OFFSET('IWP28'!Std7PayrollEmploymentRequirements, 3, 6, 1, 1) = 0, "", OFFSET('IWP28'!Std7PayrollEmploymentRequirements, 3, 6, 1, 1))</f>
        <v/>
      </c>
      <c r="G1669" s="195" t="str">
        <f ca="1">IF(OFFSET('IWP28'!Std7PayrollEmploymentRequirements, 3, 7, 1, 1) = 0, "", OFFSET('IWP28'!Std7PayrollEmploymentRequirements, 3, 7, 1, 1))</f>
        <v/>
      </c>
      <c r="H1669" s="195" t="str">
        <f ca="1">IF(OFFSET('IWP28'!Std7PayrollEmploymentRequirements, 3, 9, 1, 1) = 0, "", OFFSET('IWP28'!Std7PayrollEmploymentRequirements, 3, 9, 1, 1))</f>
        <v/>
      </c>
      <c r="I1669" s="194" t="str">
        <f ca="1">IF(OFFSET('IWP28'!Std7PayrollEmploymentRequirements, 3, 11, 1, 1) = 0, "", OFFSET('IWP28'!Std7PayrollEmploymentRequirements, 3, 11, 1, 1))</f>
        <v/>
      </c>
    </row>
    <row r="1670" spans="1:9" s="146" customFormat="1">
      <c r="A1670" s="183" t="s">
        <v>526</v>
      </c>
      <c r="B1670" s="195" t="str">
        <f ca="1">IF(OFFSET('IWP28'!Std7PayrollEmploymentRequirements, 4, 0, 1, 1) = 0, "", OFFSET('IWP28'!Std7PayrollEmploymentRequirements, 4, 0, 1, 1))</f>
        <v/>
      </c>
      <c r="C1670" s="195" t="str">
        <f ca="1">IF(OFFSET('IWP28'!Std7PayrollEmploymentRequirements, 4, 2, 1, 1) = 0, "", OFFSET('IWP28'!Std7PayrollEmploymentRequirements, 4, 2, 1, 1))</f>
        <v/>
      </c>
      <c r="D1670" s="172">
        <f ca="1">IF(OFFSET('IWP28'!Std7PayrollEmploymentRequirements, 4, 4, 1, 1)=DATE(1900,1,0), DATE(1900,1,1), OFFSET('IWP28'!Std7PayrollEmploymentRequirements, 4, 4, 1, 1))</f>
        <v>1</v>
      </c>
      <c r="E1670" s="195" t="str">
        <f ca="1">IF(OFFSET('IWP28'!Std7PayrollEmploymentRequirements, 4, 5, 1, 1) = 0, "", OFFSET('IWP28'!Std7PayrollEmploymentRequirements, 4, 5, 1, 1))</f>
        <v/>
      </c>
      <c r="F1670" s="195" t="str">
        <f ca="1">IF(OFFSET('IWP28'!Std7PayrollEmploymentRequirements, 4, 6, 1, 1) = 0, "", OFFSET('IWP28'!Std7PayrollEmploymentRequirements, 4, 6, 1, 1))</f>
        <v/>
      </c>
      <c r="G1670" s="195" t="str">
        <f ca="1">IF(OFFSET('IWP28'!Std7PayrollEmploymentRequirements, 4, 7, 1, 1) = 0, "", OFFSET('IWP28'!Std7PayrollEmploymentRequirements, 4, 7, 1, 1))</f>
        <v/>
      </c>
      <c r="H1670" s="195" t="str">
        <f ca="1">IF(OFFSET('IWP28'!Std7PayrollEmploymentRequirements, 4, 9, 1, 1) = 0, "", OFFSET('IWP28'!Std7PayrollEmploymentRequirements, 4, 9, 1, 1))</f>
        <v/>
      </c>
      <c r="I1670" s="194" t="str">
        <f ca="1">IF(OFFSET('IWP28'!Std7PayrollEmploymentRequirements, 4, 11, 1, 1) = 0, "", OFFSET('IWP28'!Std7PayrollEmploymentRequirements, 4, 11, 1, 1))</f>
        <v/>
      </c>
    </row>
    <row r="1671" spans="1:9" s="146" customFormat="1">
      <c r="A1671" s="183" t="s">
        <v>526</v>
      </c>
      <c r="B1671" s="195" t="str">
        <f ca="1">IF(OFFSET('IWP28'!Std7PayrollEmploymentRequirements, 5, 0, 1, 1) = 0, "", OFFSET('IWP28'!Std7PayrollEmploymentRequirements, 5, 0, 1, 1))</f>
        <v/>
      </c>
      <c r="C1671" s="195" t="str">
        <f ca="1">IF(OFFSET('IWP28'!Std7PayrollEmploymentRequirements, 5, 2, 1, 1) = 0, "", OFFSET('IWP28'!Std7PayrollEmploymentRequirements, 5, 2, 1, 1))</f>
        <v/>
      </c>
      <c r="D1671" s="172">
        <f ca="1">IF(OFFSET('IWP28'!Std7PayrollEmploymentRequirements, 5, 4, 1, 1)=DATE(1900,1,0), DATE(1900,1,1), OFFSET('IWP28'!Std7PayrollEmploymentRequirements, 5, 4, 1, 1))</f>
        <v>1</v>
      </c>
      <c r="E1671" s="195" t="str">
        <f ca="1">IF(OFFSET('IWP28'!Std7PayrollEmploymentRequirements, 5, 5, 1, 1) = 0, "", OFFSET('IWP28'!Std7PayrollEmploymentRequirements, 5, 5, 1, 1))</f>
        <v/>
      </c>
      <c r="F1671" s="195" t="str">
        <f ca="1">IF(OFFSET('IWP28'!Std7PayrollEmploymentRequirements, 5, 6, 1, 1) = 0, "", OFFSET('IWP28'!Std7PayrollEmploymentRequirements, 5, 6, 1, 1))</f>
        <v/>
      </c>
      <c r="G1671" s="195" t="str">
        <f ca="1">IF(OFFSET('IWP28'!Std7PayrollEmploymentRequirements, 5, 7, 1, 1) = 0, "", OFFSET('IWP28'!Std7PayrollEmploymentRequirements, 5, 7, 1, 1))</f>
        <v/>
      </c>
      <c r="H1671" s="195" t="str">
        <f ca="1">IF(OFFSET('IWP28'!Std7PayrollEmploymentRequirements, 5, 9, 1, 1) = 0, "", OFFSET('IWP28'!Std7PayrollEmploymentRequirements, 5, 9, 1, 1))</f>
        <v/>
      </c>
      <c r="I1671" s="194" t="str">
        <f ca="1">IF(OFFSET('IWP28'!Std7PayrollEmploymentRequirements, 5, 11, 1, 1) = 0, "", OFFSET('IWP28'!Std7PayrollEmploymentRequirements, 5, 11, 1, 1))</f>
        <v/>
      </c>
    </row>
    <row r="1672" spans="1:9" s="146" customFormat="1">
      <c r="A1672" s="183" t="s">
        <v>526</v>
      </c>
      <c r="B1672" s="195" t="str">
        <f ca="1">IF(OFFSET('IWP28'!Std7PayrollEmploymentRequirements, 6, 0, 1, 1) = 0, "", OFFSET('IWP28'!Std7PayrollEmploymentRequirements, 6, 0, 1, 1))</f>
        <v/>
      </c>
      <c r="C1672" s="195" t="str">
        <f ca="1">IF(OFFSET('IWP28'!Std7PayrollEmploymentRequirements, 6, 2, 1, 1) = 0, "", OFFSET('IWP28'!Std7PayrollEmploymentRequirements, 6, 2, 1, 1))</f>
        <v/>
      </c>
      <c r="D1672" s="172">
        <f ca="1">IF(OFFSET('IWP28'!Std7PayrollEmploymentRequirements, 6, 4, 1, 1)=DATE(1900,1,0), DATE(1900,1,1), OFFSET('IWP28'!Std7PayrollEmploymentRequirements, 6, 4, 1, 1))</f>
        <v>1</v>
      </c>
      <c r="E1672" s="195" t="str">
        <f ca="1">IF(OFFSET('IWP28'!Std7PayrollEmploymentRequirements, 6, 5, 1, 1) = 0, "", OFFSET('IWP28'!Std7PayrollEmploymentRequirements, 6, 5, 1, 1))</f>
        <v/>
      </c>
      <c r="F1672" s="195" t="str">
        <f ca="1">IF(OFFSET('IWP28'!Std7PayrollEmploymentRequirements, 6, 6, 1, 1) = 0, "", OFFSET('IWP28'!Std7PayrollEmploymentRequirements, 6, 6, 1, 1))</f>
        <v/>
      </c>
      <c r="G1672" s="195" t="str">
        <f ca="1">IF(OFFSET('IWP28'!Std7PayrollEmploymentRequirements, 6, 7, 1, 1) = 0, "", OFFSET('IWP28'!Std7PayrollEmploymentRequirements, 6, 7, 1, 1))</f>
        <v/>
      </c>
      <c r="H1672" s="195" t="str">
        <f ca="1">IF(OFFSET('IWP28'!Std7PayrollEmploymentRequirements, 6, 9, 1, 1) = 0, "", OFFSET('IWP28'!Std7PayrollEmploymentRequirements, 6, 9, 1, 1))</f>
        <v/>
      </c>
      <c r="I1672" s="194" t="str">
        <f ca="1">IF(OFFSET('IWP28'!Std7PayrollEmploymentRequirements, 6, 11, 1, 1) = 0, "", OFFSET('IWP28'!Std7PayrollEmploymentRequirements, 6, 11, 1, 1))</f>
        <v/>
      </c>
    </row>
    <row r="1673" spans="1:9" s="146" customFormat="1">
      <c r="A1673" s="183" t="s">
        <v>526</v>
      </c>
      <c r="B1673" s="195" t="str">
        <f ca="1">IF(OFFSET('IWP28'!Std7PayrollEmploymentRequirements, 7, 0, 1, 1) = 0, "", OFFSET('IWP28'!Std7PayrollEmploymentRequirements, 7, 0, 1, 1))</f>
        <v/>
      </c>
      <c r="C1673" s="195" t="str">
        <f ca="1">IF(OFFSET('IWP28'!Std7PayrollEmploymentRequirements, 7, 2, 1, 1) = 0, "", OFFSET('IWP28'!Std7PayrollEmploymentRequirements, 7, 2, 1, 1))</f>
        <v/>
      </c>
      <c r="D1673" s="172">
        <f ca="1">IF(OFFSET('IWP28'!Std7PayrollEmploymentRequirements, 7, 4, 1, 1)=DATE(1900,1,0), DATE(1900,1,1), OFFSET('IWP28'!Std7PayrollEmploymentRequirements, 7, 4, 1, 1))</f>
        <v>1</v>
      </c>
      <c r="E1673" s="195" t="str">
        <f ca="1">IF(OFFSET('IWP28'!Std7PayrollEmploymentRequirements, 7, 5, 1, 1) = 0, "", OFFSET('IWP28'!Std7PayrollEmploymentRequirements, 7, 5, 1, 1))</f>
        <v/>
      </c>
      <c r="F1673" s="195" t="str">
        <f ca="1">IF(OFFSET('IWP28'!Std7PayrollEmploymentRequirements, 7, 6, 1, 1) = 0, "", OFFSET('IWP28'!Std7PayrollEmploymentRequirements, 7, 6, 1, 1))</f>
        <v/>
      </c>
      <c r="G1673" s="195" t="str">
        <f ca="1">IF(OFFSET('IWP28'!Std7PayrollEmploymentRequirements, 7, 7, 1, 1) = 0, "", OFFSET('IWP28'!Std7PayrollEmploymentRequirements, 7, 7, 1, 1))</f>
        <v/>
      </c>
      <c r="H1673" s="195" t="str">
        <f ca="1">IF(OFFSET('IWP28'!Std7PayrollEmploymentRequirements, 7, 9, 1, 1) = 0, "", OFFSET('IWP28'!Std7PayrollEmploymentRequirements, 7, 9, 1, 1))</f>
        <v/>
      </c>
      <c r="I1673" s="194" t="str">
        <f ca="1">IF(OFFSET('IWP28'!Std7PayrollEmploymentRequirements, 7, 11, 1, 1) = 0, "", OFFSET('IWP28'!Std7PayrollEmploymentRequirements, 7, 11, 1, 1))</f>
        <v/>
      </c>
    </row>
    <row r="1674" spans="1:9" s="146" customFormat="1">
      <c r="A1674" s="183" t="s">
        <v>526</v>
      </c>
      <c r="B1674" s="195" t="str">
        <f ca="1">IF(OFFSET('IWP28'!Std7PayrollEmploymentRequirements, 8, 0, 1, 1) = 0, "", OFFSET('IWP28'!Std7PayrollEmploymentRequirements, 8, 0, 1, 1))</f>
        <v/>
      </c>
      <c r="C1674" s="195" t="str">
        <f ca="1">IF(OFFSET('IWP28'!Std7PayrollEmploymentRequirements, 8, 2, 1, 1) = 0, "", OFFSET('IWP28'!Std7PayrollEmploymentRequirements, 8, 2, 1, 1))</f>
        <v/>
      </c>
      <c r="D1674" s="172">
        <f ca="1">IF(OFFSET('IWP28'!Std7PayrollEmploymentRequirements, 8, 4, 1, 1)=DATE(1900,1,0), DATE(1900,1,1), OFFSET('IWP28'!Std7PayrollEmploymentRequirements, 8, 4, 1, 1))</f>
        <v>1</v>
      </c>
      <c r="E1674" s="195" t="str">
        <f ca="1">IF(OFFSET('IWP28'!Std7PayrollEmploymentRequirements, 8, 5, 1, 1) = 0, "", OFFSET('IWP28'!Std7PayrollEmploymentRequirements, 8, 5, 1, 1))</f>
        <v/>
      </c>
      <c r="F1674" s="195" t="str">
        <f ca="1">IF(OFFSET('IWP28'!Std7PayrollEmploymentRequirements, 8, 6, 1, 1) = 0, "", OFFSET('IWP28'!Std7PayrollEmploymentRequirements, 8, 6, 1, 1))</f>
        <v/>
      </c>
      <c r="G1674" s="195" t="str">
        <f ca="1">IF(OFFSET('IWP28'!Std7PayrollEmploymentRequirements, 8, 7, 1, 1) = 0, "", OFFSET('IWP28'!Std7PayrollEmploymentRequirements, 8, 7, 1, 1))</f>
        <v/>
      </c>
      <c r="H1674" s="195" t="str">
        <f ca="1">IF(OFFSET('IWP28'!Std7PayrollEmploymentRequirements, 8, 9, 1, 1) = 0, "", OFFSET('IWP28'!Std7PayrollEmploymentRequirements, 8, 9, 1, 1))</f>
        <v/>
      </c>
      <c r="I1674" s="194" t="str">
        <f ca="1">IF(OFFSET('IWP28'!Std7PayrollEmploymentRequirements, 8, 11, 1, 1) = 0, "", OFFSET('IWP28'!Std7PayrollEmploymentRequirements, 8, 11, 1, 1))</f>
        <v/>
      </c>
    </row>
    <row r="1675" spans="1:9" s="146" customFormat="1">
      <c r="A1675" s="183" t="s">
        <v>526</v>
      </c>
      <c r="B1675" s="195" t="str">
        <f ca="1">IF(OFFSET('IWP28'!Std7PayrollEmploymentRequirements, 9, 0, 1, 1) = 0, "", OFFSET('IWP28'!Std7PayrollEmploymentRequirements, 9, 0, 1, 1))</f>
        <v/>
      </c>
      <c r="C1675" s="195" t="str">
        <f ca="1">IF(OFFSET('IWP28'!Std7PayrollEmploymentRequirements, 9, 2, 1, 1) = 0, "", OFFSET('IWP28'!Std7PayrollEmploymentRequirements, 9, 2, 1, 1))</f>
        <v/>
      </c>
      <c r="D1675" s="172">
        <f ca="1">IF(OFFSET('IWP28'!Std7PayrollEmploymentRequirements, 9, 4, 1, 1)=DATE(1900,1,0), DATE(1900,1,1), OFFSET('IWP28'!Std7PayrollEmploymentRequirements, 9, 4, 1, 1))</f>
        <v>1</v>
      </c>
      <c r="E1675" s="195" t="str">
        <f ca="1">IF(OFFSET('IWP28'!Std7PayrollEmploymentRequirements, 9, 5, 1, 1) = 0, "", OFFSET('IWP28'!Std7PayrollEmploymentRequirements, 9, 5, 1, 1))</f>
        <v/>
      </c>
      <c r="F1675" s="195" t="str">
        <f ca="1">IF(OFFSET('IWP28'!Std7PayrollEmploymentRequirements, 9, 6, 1, 1) = 0, "", OFFSET('IWP28'!Std7PayrollEmploymentRequirements, 9, 6, 1, 1))</f>
        <v/>
      </c>
      <c r="G1675" s="195" t="str">
        <f ca="1">IF(OFFSET('IWP28'!Std7PayrollEmploymentRequirements, 9, 7, 1, 1) = 0, "", OFFSET('IWP28'!Std7PayrollEmploymentRequirements, 9, 7, 1, 1))</f>
        <v/>
      </c>
      <c r="H1675" s="195" t="str">
        <f ca="1">IF(OFFSET('IWP28'!Std7PayrollEmploymentRequirements, 9, 9, 1, 1) = 0, "", OFFSET('IWP28'!Std7PayrollEmploymentRequirements, 9, 9, 1, 1))</f>
        <v/>
      </c>
      <c r="I1675" s="194" t="str">
        <f ca="1">IF(OFFSET('IWP28'!Std7PayrollEmploymentRequirements, 9, 11, 1, 1) = 0, "", OFFSET('IWP28'!Std7PayrollEmploymentRequirements, 9, 11, 1, 1))</f>
        <v/>
      </c>
    </row>
    <row r="1676" spans="1:9" s="146" customFormat="1">
      <c r="A1676" s="183" t="s">
        <v>526</v>
      </c>
      <c r="B1676" s="195" t="str">
        <f ca="1">IF(OFFSET('IWP28'!Std7PayrollEmploymentRequirements, 10, 0, 1, 1) = 0, "", OFFSET('IWP28'!Std7PayrollEmploymentRequirements, 10, 0, 1, 1))</f>
        <v/>
      </c>
      <c r="C1676" s="195" t="str">
        <f ca="1">IF(OFFSET('IWP28'!Std7PayrollEmploymentRequirements, 10, 2, 1, 1) = 0, "", OFFSET('IWP28'!Std7PayrollEmploymentRequirements, 10, 2, 1, 1))</f>
        <v/>
      </c>
      <c r="D1676" s="172">
        <f ca="1">IF(OFFSET('IWP28'!Std7PayrollEmploymentRequirements, 10, 4, 1, 1)=DATE(1900,1,0), DATE(1900,1,1), OFFSET('IWP28'!Std7PayrollEmploymentRequirements, 10, 4, 1, 1))</f>
        <v>1</v>
      </c>
      <c r="E1676" s="195" t="str">
        <f ca="1">IF(OFFSET('IWP28'!Std7PayrollEmploymentRequirements, 10, 5, 1, 1) = 0, "", OFFSET('IWP28'!Std7PayrollEmploymentRequirements, 10, 5, 1, 1))</f>
        <v/>
      </c>
      <c r="F1676" s="195" t="str">
        <f ca="1">IF(OFFSET('IWP28'!Std7PayrollEmploymentRequirements, 10, 6, 1, 1) = 0, "", OFFSET('IWP28'!Std7PayrollEmploymentRequirements, 10, 6, 1, 1))</f>
        <v/>
      </c>
      <c r="G1676" s="195" t="str">
        <f ca="1">IF(OFFSET('IWP28'!Std7PayrollEmploymentRequirements, 10, 7, 1, 1) = 0, "", OFFSET('IWP28'!Std7PayrollEmploymentRequirements, 10, 7, 1, 1))</f>
        <v/>
      </c>
      <c r="H1676" s="195" t="str">
        <f ca="1">IF(OFFSET('IWP28'!Std7PayrollEmploymentRequirements, 10, 9, 1, 1) = 0, "", OFFSET('IWP28'!Std7PayrollEmploymentRequirements, 10, 9, 1, 1))</f>
        <v/>
      </c>
      <c r="I1676" s="194" t="str">
        <f ca="1">IF(OFFSET('IWP28'!Std7PayrollEmploymentRequirements, 10, 11, 1, 1) = 0, "", OFFSET('IWP28'!Std7PayrollEmploymentRequirements, 10, 11, 1, 1))</f>
        <v/>
      </c>
    </row>
    <row r="1677" spans="1:9" s="146" customFormat="1">
      <c r="A1677" s="183" t="s">
        <v>526</v>
      </c>
      <c r="B1677" s="195" t="str">
        <f ca="1">IF(OFFSET('IWP28'!Std7PayrollEmploymentRequirements, 11, 0, 1, 1) = 0, "", OFFSET('IWP28'!Std7PayrollEmploymentRequirements, 11, 0, 1, 1))</f>
        <v/>
      </c>
      <c r="C1677" s="195" t="str">
        <f ca="1">IF(OFFSET('IWP28'!Std7PayrollEmploymentRequirements, 11, 2, 1, 1) = 0, "", OFFSET('IWP28'!Std7PayrollEmploymentRequirements, 11, 2, 1, 1))</f>
        <v/>
      </c>
      <c r="D1677" s="172">
        <f ca="1">IF(OFFSET('IWP28'!Std7PayrollEmploymentRequirements, 11, 4, 1, 1)=DATE(1900,1,0), DATE(1900,1,1), OFFSET('IWP28'!Std7PayrollEmploymentRequirements, 11, 4, 1, 1))</f>
        <v>1</v>
      </c>
      <c r="E1677" s="195" t="str">
        <f ca="1">IF(OFFSET('IWP28'!Std7PayrollEmploymentRequirements, 11, 5, 1, 1) = 0, "", OFFSET('IWP28'!Std7PayrollEmploymentRequirements, 11, 5, 1, 1))</f>
        <v/>
      </c>
      <c r="F1677" s="195" t="str">
        <f ca="1">IF(OFFSET('IWP28'!Std7PayrollEmploymentRequirements, 11, 6, 1, 1) = 0, "", OFFSET('IWP28'!Std7PayrollEmploymentRequirements, 11, 6, 1, 1))</f>
        <v/>
      </c>
      <c r="G1677" s="195" t="str">
        <f ca="1">IF(OFFSET('IWP28'!Std7PayrollEmploymentRequirements, 11, 7, 1, 1) = 0, "", OFFSET('IWP28'!Std7PayrollEmploymentRequirements, 11, 7, 1, 1))</f>
        <v/>
      </c>
      <c r="H1677" s="195" t="str">
        <f ca="1">IF(OFFSET('IWP28'!Std7PayrollEmploymentRequirements, 11, 9, 1, 1) = 0, "", OFFSET('IWP28'!Std7PayrollEmploymentRequirements, 11, 9, 1, 1))</f>
        <v/>
      </c>
      <c r="I1677" s="194" t="str">
        <f ca="1">IF(OFFSET('IWP28'!Std7PayrollEmploymentRequirements, 11, 11, 1, 1) = 0, "", OFFSET('IWP28'!Std7PayrollEmploymentRequirements, 11, 11, 1, 1))</f>
        <v/>
      </c>
    </row>
    <row r="1678" spans="1:9" s="146" customFormat="1">
      <c r="A1678" s="183" t="s">
        <v>526</v>
      </c>
      <c r="B1678" s="195" t="str">
        <f ca="1">IF(OFFSET('IWP28'!Std7PayrollEmploymentRequirements, 12, 0, 1, 1) = 0, "", OFFSET('IWP28'!Std7PayrollEmploymentRequirements, 12, 0, 1, 1))</f>
        <v/>
      </c>
      <c r="C1678" s="195" t="str">
        <f ca="1">IF(OFFSET('IWP28'!Std7PayrollEmploymentRequirements, 12, 2, 1, 1) = 0, "", OFFSET('IWP28'!Std7PayrollEmploymentRequirements, 12, 2, 1, 1))</f>
        <v/>
      </c>
      <c r="D1678" s="172">
        <f ca="1">IF(OFFSET('IWP28'!Std7PayrollEmploymentRequirements, 12, 4, 1, 1)=DATE(1900,1,0), DATE(1900,1,1), OFFSET('IWP28'!Std7PayrollEmploymentRequirements, 12, 4, 1, 1))</f>
        <v>1</v>
      </c>
      <c r="E1678" s="195" t="str">
        <f ca="1">IF(OFFSET('IWP28'!Std7PayrollEmploymentRequirements, 12, 5, 1, 1) = 0, "", OFFSET('IWP28'!Std7PayrollEmploymentRequirements, 12, 5, 1, 1))</f>
        <v/>
      </c>
      <c r="F1678" s="195" t="str">
        <f ca="1">IF(OFFSET('IWP28'!Std7PayrollEmploymentRequirements, 12, 6, 1, 1) = 0, "", OFFSET('IWP28'!Std7PayrollEmploymentRequirements, 12, 6, 1, 1))</f>
        <v/>
      </c>
      <c r="G1678" s="195" t="str">
        <f ca="1">IF(OFFSET('IWP28'!Std7PayrollEmploymentRequirements, 12, 7, 1, 1) = 0, "", OFFSET('IWP28'!Std7PayrollEmploymentRequirements, 12, 7, 1, 1))</f>
        <v/>
      </c>
      <c r="H1678" s="195" t="str">
        <f ca="1">IF(OFFSET('IWP28'!Std7PayrollEmploymentRequirements, 12, 9, 1, 1) = 0, "", OFFSET('IWP28'!Std7PayrollEmploymentRequirements, 12, 9, 1, 1))</f>
        <v/>
      </c>
      <c r="I1678" s="194" t="str">
        <f ca="1">IF(OFFSET('IWP28'!Std7PayrollEmploymentRequirements, 12, 11, 1, 1) = 0, "", OFFSET('IWP28'!Std7PayrollEmploymentRequirements, 12, 11, 1, 1))</f>
        <v/>
      </c>
    </row>
    <row r="1679" spans="1:9" s="146" customFormat="1">
      <c r="A1679" s="183" t="s">
        <v>526</v>
      </c>
      <c r="B1679" s="195" t="str">
        <f ca="1">IF(OFFSET('IWP28'!Std7PayrollEmploymentRequirements, 13, 0, 1, 1) = 0, "", OFFSET('IWP28'!Std7PayrollEmploymentRequirements, 13, 0, 1, 1))</f>
        <v/>
      </c>
      <c r="C1679" s="195" t="str">
        <f ca="1">IF(OFFSET('IWP28'!Std7PayrollEmploymentRequirements, 13, 2, 1, 1) = 0, "", OFFSET('IWP28'!Std7PayrollEmploymentRequirements, 13, 2, 1, 1))</f>
        <v/>
      </c>
      <c r="D1679" s="172">
        <f ca="1">IF(OFFSET('IWP28'!Std7PayrollEmploymentRequirements, 13, 4, 1, 1)=DATE(1900,1,0), DATE(1900,1,1), OFFSET('IWP28'!Std7PayrollEmploymentRequirements, 13, 4, 1, 1))</f>
        <v>1</v>
      </c>
      <c r="E1679" s="195" t="str">
        <f ca="1">IF(OFFSET('IWP28'!Std7PayrollEmploymentRequirements, 13, 5, 1, 1) = 0, "", OFFSET('IWP28'!Std7PayrollEmploymentRequirements, 13, 5, 1, 1))</f>
        <v/>
      </c>
      <c r="F1679" s="195" t="str">
        <f ca="1">IF(OFFSET('IWP28'!Std7PayrollEmploymentRequirements, 13, 6, 1, 1) = 0, "", OFFSET('IWP28'!Std7PayrollEmploymentRequirements, 13, 6, 1, 1))</f>
        <v/>
      </c>
      <c r="G1679" s="195" t="str">
        <f ca="1">IF(OFFSET('IWP28'!Std7PayrollEmploymentRequirements, 13, 7, 1, 1) = 0, "", OFFSET('IWP28'!Std7PayrollEmploymentRequirements, 13, 7, 1, 1))</f>
        <v/>
      </c>
      <c r="H1679" s="195" t="str">
        <f ca="1">IF(OFFSET('IWP28'!Std7PayrollEmploymentRequirements, 13, 9, 1, 1) = 0, "", OFFSET('IWP28'!Std7PayrollEmploymentRequirements, 13, 9, 1, 1))</f>
        <v/>
      </c>
      <c r="I1679" s="194" t="str">
        <f ca="1">IF(OFFSET('IWP28'!Std7PayrollEmploymentRequirements, 13, 11, 1, 1) = 0, "", OFFSET('IWP28'!Std7PayrollEmploymentRequirements, 13, 11, 1, 1))</f>
        <v/>
      </c>
    </row>
    <row r="1680" spans="1:9" s="146" customFormat="1">
      <c r="A1680" s="183" t="s">
        <v>526</v>
      </c>
      <c r="B1680" s="195" t="str">
        <f ca="1">IF(OFFSET('IWP28'!Std7PayrollEmploymentRequirements, 14, 0, 1, 1) = 0, "", OFFSET('IWP28'!Std7PayrollEmploymentRequirements, 14, 0, 1, 1))</f>
        <v/>
      </c>
      <c r="C1680" s="195" t="str">
        <f ca="1">IF(OFFSET('IWP28'!Std7PayrollEmploymentRequirements, 14, 2, 1, 1) = 0, "", OFFSET('IWP28'!Std7PayrollEmploymentRequirements, 14, 2, 1, 1))</f>
        <v/>
      </c>
      <c r="D1680" s="172">
        <f ca="1">IF(OFFSET('IWP28'!Std7PayrollEmploymentRequirements, 14, 4, 1, 1)=DATE(1900,1,0), DATE(1900,1,1), OFFSET('IWP28'!Std7PayrollEmploymentRequirements, 14, 4, 1, 1))</f>
        <v>1</v>
      </c>
      <c r="E1680" s="195" t="str">
        <f ca="1">IF(OFFSET('IWP28'!Std7PayrollEmploymentRequirements, 14, 5, 1, 1) = 0, "", OFFSET('IWP28'!Std7PayrollEmploymentRequirements, 14, 5, 1, 1))</f>
        <v/>
      </c>
      <c r="F1680" s="195" t="str">
        <f ca="1">IF(OFFSET('IWP28'!Std7PayrollEmploymentRequirements, 14, 6, 1, 1) = 0, "", OFFSET('IWP28'!Std7PayrollEmploymentRequirements, 14, 6, 1, 1))</f>
        <v/>
      </c>
      <c r="G1680" s="195" t="str">
        <f ca="1">IF(OFFSET('IWP28'!Std7PayrollEmploymentRequirements, 14, 7, 1, 1) = 0, "", OFFSET('IWP28'!Std7PayrollEmploymentRequirements, 14, 7, 1, 1))</f>
        <v/>
      </c>
      <c r="H1680" s="195" t="str">
        <f ca="1">IF(OFFSET('IWP28'!Std7PayrollEmploymentRequirements, 14, 9, 1, 1) = 0, "", OFFSET('IWP28'!Std7PayrollEmploymentRequirements, 14, 9, 1, 1))</f>
        <v/>
      </c>
      <c r="I1680" s="194" t="str">
        <f ca="1">IF(OFFSET('IWP28'!Std7PayrollEmploymentRequirements, 14, 11, 1, 1) = 0, "", OFFSET('IWP28'!Std7PayrollEmploymentRequirements, 14, 11, 1, 1))</f>
        <v/>
      </c>
    </row>
    <row r="1681" spans="1:9" s="146" customFormat="1">
      <c r="A1681" s="183" t="s">
        <v>526</v>
      </c>
      <c r="B1681" s="195" t="str">
        <f ca="1">IF(OFFSET('IWP28'!Std7PayrollEmploymentRequirements, 15, 0, 1, 1) = 0, "", OFFSET('IWP28'!Std7PayrollEmploymentRequirements, 15, 0, 1, 1))</f>
        <v/>
      </c>
      <c r="C1681" s="195" t="str">
        <f ca="1">IF(OFFSET('IWP28'!Std7PayrollEmploymentRequirements, 15, 2, 1, 1) = 0, "", OFFSET('IWP28'!Std7PayrollEmploymentRequirements, 15, 2, 1, 1))</f>
        <v/>
      </c>
      <c r="D1681" s="172">
        <f ca="1">IF(OFFSET('IWP28'!Std7PayrollEmploymentRequirements, 15, 4, 1, 1)=DATE(1900,1,0), DATE(1900,1,1), OFFSET('IWP28'!Std7PayrollEmploymentRequirements, 15, 4, 1, 1))</f>
        <v>1</v>
      </c>
      <c r="E1681" s="195" t="str">
        <f ca="1">IF(OFFSET('IWP28'!Std7PayrollEmploymentRequirements, 15, 5, 1, 1) = 0, "", OFFSET('IWP28'!Std7PayrollEmploymentRequirements, 15, 5, 1, 1))</f>
        <v/>
      </c>
      <c r="F1681" s="195" t="str">
        <f ca="1">IF(OFFSET('IWP28'!Std7PayrollEmploymentRequirements, 15, 6, 1, 1) = 0, "", OFFSET('IWP28'!Std7PayrollEmploymentRequirements, 15, 6, 1, 1))</f>
        <v/>
      </c>
      <c r="G1681" s="195" t="str">
        <f ca="1">IF(OFFSET('IWP28'!Std7PayrollEmploymentRequirements, 15, 7, 1, 1) = 0, "", OFFSET('IWP28'!Std7PayrollEmploymentRequirements, 15, 7, 1, 1))</f>
        <v/>
      </c>
      <c r="H1681" s="195" t="str">
        <f ca="1">IF(OFFSET('IWP28'!Std7PayrollEmploymentRequirements, 15, 9, 1, 1) = 0, "", OFFSET('IWP28'!Std7PayrollEmploymentRequirements, 15, 9, 1, 1))</f>
        <v/>
      </c>
      <c r="I1681" s="194" t="str">
        <f ca="1">IF(OFFSET('IWP28'!Std7PayrollEmploymentRequirements, 15, 11, 1, 1) = 0, "", OFFSET('IWP28'!Std7PayrollEmploymentRequirements, 15, 11, 1, 1))</f>
        <v/>
      </c>
    </row>
    <row r="1682" spans="1:9" s="146" customFormat="1">
      <c r="A1682" s="183" t="s">
        <v>527</v>
      </c>
      <c r="B1682" s="195" t="str">
        <f ca="1">IF(OFFSET('IWP29'!Std7PayrollEmploymentRequirements, 0, 0, 1, 1) = 0, "", OFFSET('IWP29'!Std7PayrollEmploymentRequirements, 0, 0, 1, 1))</f>
        <v/>
      </c>
      <c r="C1682" s="195" t="str">
        <f ca="1">IF(OFFSET('IWP29'!Std7PayrollEmploymentRequirements, 0, 2, 1, 1) = 0, "", OFFSET('IWP29'!Std7PayrollEmploymentRequirements, 0, 2, 1, 1))</f>
        <v/>
      </c>
      <c r="D1682" s="172">
        <f ca="1">IF(OFFSET('IWP29'!Std7PayrollEmploymentRequirements, 0, 4, 1, 1)=DATE(1900,1,0), DATE(1900,1,1), OFFSET('IWP29'!Std7PayrollEmploymentRequirements, 0, 4, 1, 1))</f>
        <v>1</v>
      </c>
      <c r="E1682" s="195" t="str">
        <f ca="1">IF(OFFSET('IWP29'!Std7PayrollEmploymentRequirements, 0, 5, 1, 1) = 0, "", OFFSET('IWP29'!Std7PayrollEmploymentRequirements, 0, 5, 1, 1))</f>
        <v/>
      </c>
      <c r="F1682" s="195" t="str">
        <f ca="1">IF(OFFSET('IWP29'!Std7PayrollEmploymentRequirements, 0, 6, 1, 1) = 0, "", OFFSET('IWP29'!Std7PayrollEmploymentRequirements, 0, 6, 1, 1))</f>
        <v/>
      </c>
      <c r="G1682" s="195" t="str">
        <f ca="1">IF(OFFSET('IWP29'!Std7PayrollEmploymentRequirements, 0, 7, 1, 1) = 0, "", OFFSET('IWP29'!Std7PayrollEmploymentRequirements, 0, 7, 1, 1))</f>
        <v/>
      </c>
      <c r="H1682" s="195" t="str">
        <f ca="1">IF(OFFSET('IWP29'!Std7PayrollEmploymentRequirements, 0, 9, 1, 1) = 0, "", OFFSET('IWP29'!Std7PayrollEmploymentRequirements, 0, 9, 1, 1))</f>
        <v/>
      </c>
      <c r="I1682" s="194" t="str">
        <f ca="1">IF(OFFSET('IWP29'!Std7PayrollEmploymentRequirements, 0, 11, 1, 1) = 0, "", OFFSET('IWP29'!Std7PayrollEmploymentRequirements, 0, 11, 1, 1))</f>
        <v/>
      </c>
    </row>
    <row r="1683" spans="1:9" s="146" customFormat="1">
      <c r="A1683" s="183" t="s">
        <v>527</v>
      </c>
      <c r="B1683" s="195" t="str">
        <f ca="1">IF(OFFSET('IWP29'!Std7PayrollEmploymentRequirements, 1, 0, 1, 1) = 0, "", OFFSET('IWP29'!Std7PayrollEmploymentRequirements, 1, 0, 1, 1))</f>
        <v/>
      </c>
      <c r="C1683" s="195" t="str">
        <f ca="1">IF(OFFSET('IWP29'!Std7PayrollEmploymentRequirements, 1, 2, 1, 1) = 0, "", OFFSET('IWP29'!Std7PayrollEmploymentRequirements, 1, 2, 1, 1))</f>
        <v/>
      </c>
      <c r="D1683" s="172">
        <f ca="1">IF(OFFSET('IWP29'!Std7PayrollEmploymentRequirements, 1, 4, 1, 1)=DATE(1900,1,0), DATE(1900,1,1), OFFSET('IWP29'!Std7PayrollEmploymentRequirements, 1, 4, 1, 1))</f>
        <v>1</v>
      </c>
      <c r="E1683" s="195" t="str">
        <f ca="1">IF(OFFSET('IWP29'!Std7PayrollEmploymentRequirements, 1, 5, 1, 1) = 0, "", OFFSET('IWP29'!Std7PayrollEmploymentRequirements, 1, 5, 1, 1))</f>
        <v/>
      </c>
      <c r="F1683" s="195" t="str">
        <f ca="1">IF(OFFSET('IWP29'!Std7PayrollEmploymentRequirements, 1, 6, 1, 1) = 0, "", OFFSET('IWP29'!Std7PayrollEmploymentRequirements, 1, 6, 1, 1))</f>
        <v/>
      </c>
      <c r="G1683" s="195" t="str">
        <f ca="1">IF(OFFSET('IWP29'!Std7PayrollEmploymentRequirements, 1, 7, 1, 1) = 0, "", OFFSET('IWP29'!Std7PayrollEmploymentRequirements, 1, 7, 1, 1))</f>
        <v/>
      </c>
      <c r="H1683" s="195" t="str">
        <f ca="1">IF(OFFSET('IWP29'!Std7PayrollEmploymentRequirements, 1, 9, 1, 1) = 0, "", OFFSET('IWP29'!Std7PayrollEmploymentRequirements, 1, 9, 1, 1))</f>
        <v/>
      </c>
      <c r="I1683" s="194" t="str">
        <f ca="1">IF(OFFSET('IWP29'!Std7PayrollEmploymentRequirements, 1, 11, 1, 1) = 0, "", OFFSET('IWP29'!Std7PayrollEmploymentRequirements, 1, 11, 1, 1))</f>
        <v/>
      </c>
    </row>
    <row r="1684" spans="1:9" s="146" customFormat="1">
      <c r="A1684" s="183" t="s">
        <v>527</v>
      </c>
      <c r="B1684" s="195" t="str">
        <f ca="1">IF(OFFSET('IWP29'!Std7PayrollEmploymentRequirements, 2, 0, 1, 1) = 0, "", OFFSET('IWP29'!Std7PayrollEmploymentRequirements, 2, 0, 1, 1))</f>
        <v/>
      </c>
      <c r="C1684" s="195" t="str">
        <f ca="1">IF(OFFSET('IWP29'!Std7PayrollEmploymentRequirements, 2, 2, 1, 1) = 0, "", OFFSET('IWP29'!Std7PayrollEmploymentRequirements, 2, 2, 1, 1))</f>
        <v/>
      </c>
      <c r="D1684" s="172">
        <f ca="1">IF(OFFSET('IWP29'!Std7PayrollEmploymentRequirements, 2, 4, 1, 1)=DATE(1900,1,0), DATE(1900,1,1), OFFSET('IWP29'!Std7PayrollEmploymentRequirements, 2, 4, 1, 1))</f>
        <v>1</v>
      </c>
      <c r="E1684" s="195" t="str">
        <f ca="1">IF(OFFSET('IWP29'!Std7PayrollEmploymentRequirements, 2, 5, 1, 1) = 0, "", OFFSET('IWP29'!Std7PayrollEmploymentRequirements, 2, 5, 1, 1))</f>
        <v/>
      </c>
      <c r="F1684" s="195" t="str">
        <f ca="1">IF(OFFSET('IWP29'!Std7PayrollEmploymentRequirements, 2, 6, 1, 1) = 0, "", OFFSET('IWP29'!Std7PayrollEmploymentRequirements, 2, 6, 1, 1))</f>
        <v/>
      </c>
      <c r="G1684" s="195" t="str">
        <f ca="1">IF(OFFSET('IWP29'!Std7PayrollEmploymentRequirements, 2, 7, 1, 1) = 0, "", OFFSET('IWP29'!Std7PayrollEmploymentRequirements, 2, 7, 1, 1))</f>
        <v/>
      </c>
      <c r="H1684" s="195" t="str">
        <f ca="1">IF(OFFSET('IWP29'!Std7PayrollEmploymentRequirements, 2, 9, 1, 1) = 0, "", OFFSET('IWP29'!Std7PayrollEmploymentRequirements, 2, 9, 1, 1))</f>
        <v/>
      </c>
      <c r="I1684" s="194" t="str">
        <f ca="1">IF(OFFSET('IWP29'!Std7PayrollEmploymentRequirements, 2, 11, 1, 1) = 0, "", OFFSET('IWP29'!Std7PayrollEmploymentRequirements, 2, 11, 1, 1))</f>
        <v/>
      </c>
    </row>
    <row r="1685" spans="1:9" s="146" customFormat="1">
      <c r="A1685" s="183" t="s">
        <v>527</v>
      </c>
      <c r="B1685" s="195" t="str">
        <f ca="1">IF(OFFSET('IWP29'!Std7PayrollEmploymentRequirements, 3, 0, 1, 1) = 0, "", OFFSET('IWP29'!Std7PayrollEmploymentRequirements, 3, 0, 1, 1))</f>
        <v/>
      </c>
      <c r="C1685" s="195" t="str">
        <f ca="1">IF(OFFSET('IWP29'!Std7PayrollEmploymentRequirements, 3, 2, 1, 1) = 0, "", OFFSET('IWP29'!Std7PayrollEmploymentRequirements, 3, 2, 1, 1))</f>
        <v/>
      </c>
      <c r="D1685" s="172">
        <f ca="1">IF(OFFSET('IWP29'!Std7PayrollEmploymentRequirements, 3, 4, 1, 1)=DATE(1900,1,0), DATE(1900,1,1), OFFSET('IWP29'!Std7PayrollEmploymentRequirements, 3, 4, 1, 1))</f>
        <v>1</v>
      </c>
      <c r="E1685" s="195" t="str">
        <f ca="1">IF(OFFSET('IWP29'!Std7PayrollEmploymentRequirements, 3, 5, 1, 1) = 0, "", OFFSET('IWP29'!Std7PayrollEmploymentRequirements, 3, 5, 1, 1))</f>
        <v/>
      </c>
      <c r="F1685" s="195" t="str">
        <f ca="1">IF(OFFSET('IWP29'!Std7PayrollEmploymentRequirements, 3, 6, 1, 1) = 0, "", OFFSET('IWP29'!Std7PayrollEmploymentRequirements, 3, 6, 1, 1))</f>
        <v/>
      </c>
      <c r="G1685" s="195" t="str">
        <f ca="1">IF(OFFSET('IWP29'!Std7PayrollEmploymentRequirements, 3, 7, 1, 1) = 0, "", OFFSET('IWP29'!Std7PayrollEmploymentRequirements, 3, 7, 1, 1))</f>
        <v/>
      </c>
      <c r="H1685" s="195" t="str">
        <f ca="1">IF(OFFSET('IWP29'!Std7PayrollEmploymentRequirements, 3, 9, 1, 1) = 0, "", OFFSET('IWP29'!Std7PayrollEmploymentRequirements, 3, 9, 1, 1))</f>
        <v/>
      </c>
      <c r="I1685" s="194" t="str">
        <f ca="1">IF(OFFSET('IWP29'!Std7PayrollEmploymentRequirements, 3, 11, 1, 1) = 0, "", OFFSET('IWP29'!Std7PayrollEmploymentRequirements, 3, 11, 1, 1))</f>
        <v/>
      </c>
    </row>
    <row r="1686" spans="1:9" s="146" customFormat="1">
      <c r="A1686" s="183" t="s">
        <v>527</v>
      </c>
      <c r="B1686" s="195" t="str">
        <f ca="1">IF(OFFSET('IWP29'!Std7PayrollEmploymentRequirements, 4, 0, 1, 1) = 0, "", OFFSET('IWP29'!Std7PayrollEmploymentRequirements, 4, 0, 1, 1))</f>
        <v/>
      </c>
      <c r="C1686" s="195" t="str">
        <f ca="1">IF(OFFSET('IWP29'!Std7PayrollEmploymentRequirements, 4, 2, 1, 1) = 0, "", OFFSET('IWP29'!Std7PayrollEmploymentRequirements, 4, 2, 1, 1))</f>
        <v/>
      </c>
      <c r="D1686" s="172">
        <f ca="1">IF(OFFSET('IWP29'!Std7PayrollEmploymentRequirements, 4, 4, 1, 1)=DATE(1900,1,0), DATE(1900,1,1), OFFSET('IWP29'!Std7PayrollEmploymentRequirements, 4, 4, 1, 1))</f>
        <v>1</v>
      </c>
      <c r="E1686" s="195" t="str">
        <f ca="1">IF(OFFSET('IWP29'!Std7PayrollEmploymentRequirements, 4, 5, 1, 1) = 0, "", OFFSET('IWP29'!Std7PayrollEmploymentRequirements, 4, 5, 1, 1))</f>
        <v/>
      </c>
      <c r="F1686" s="195" t="str">
        <f ca="1">IF(OFFSET('IWP29'!Std7PayrollEmploymentRequirements, 4, 6, 1, 1) = 0, "", OFFSET('IWP29'!Std7PayrollEmploymentRequirements, 4, 6, 1, 1))</f>
        <v/>
      </c>
      <c r="G1686" s="195" t="str">
        <f ca="1">IF(OFFSET('IWP29'!Std7PayrollEmploymentRequirements, 4, 7, 1, 1) = 0, "", OFFSET('IWP29'!Std7PayrollEmploymentRequirements, 4, 7, 1, 1))</f>
        <v/>
      </c>
      <c r="H1686" s="195" t="str">
        <f ca="1">IF(OFFSET('IWP29'!Std7PayrollEmploymentRequirements, 4, 9, 1, 1) = 0, "", OFFSET('IWP29'!Std7PayrollEmploymentRequirements, 4, 9, 1, 1))</f>
        <v/>
      </c>
      <c r="I1686" s="194" t="str">
        <f ca="1">IF(OFFSET('IWP29'!Std7PayrollEmploymentRequirements, 4, 11, 1, 1) = 0, "", OFFSET('IWP29'!Std7PayrollEmploymentRequirements, 4, 11, 1, 1))</f>
        <v/>
      </c>
    </row>
    <row r="1687" spans="1:9" s="146" customFormat="1">
      <c r="A1687" s="183" t="s">
        <v>527</v>
      </c>
      <c r="B1687" s="195" t="str">
        <f ca="1">IF(OFFSET('IWP29'!Std7PayrollEmploymentRequirements, 5, 0, 1, 1) = 0, "", OFFSET('IWP29'!Std7PayrollEmploymentRequirements, 5, 0, 1, 1))</f>
        <v/>
      </c>
      <c r="C1687" s="195" t="str">
        <f ca="1">IF(OFFSET('IWP29'!Std7PayrollEmploymentRequirements, 5, 2, 1, 1) = 0, "", OFFSET('IWP29'!Std7PayrollEmploymentRequirements, 5, 2, 1, 1))</f>
        <v/>
      </c>
      <c r="D1687" s="172">
        <f ca="1">IF(OFFSET('IWP29'!Std7PayrollEmploymentRequirements, 5, 4, 1, 1)=DATE(1900,1,0), DATE(1900,1,1), OFFSET('IWP29'!Std7PayrollEmploymentRequirements, 5, 4, 1, 1))</f>
        <v>1</v>
      </c>
      <c r="E1687" s="195" t="str">
        <f ca="1">IF(OFFSET('IWP29'!Std7PayrollEmploymentRequirements, 5, 5, 1, 1) = 0, "", OFFSET('IWP29'!Std7PayrollEmploymentRequirements, 5, 5, 1, 1))</f>
        <v/>
      </c>
      <c r="F1687" s="195" t="str">
        <f ca="1">IF(OFFSET('IWP29'!Std7PayrollEmploymentRequirements, 5, 6, 1, 1) = 0, "", OFFSET('IWP29'!Std7PayrollEmploymentRequirements, 5, 6, 1, 1))</f>
        <v/>
      </c>
      <c r="G1687" s="195" t="str">
        <f ca="1">IF(OFFSET('IWP29'!Std7PayrollEmploymentRequirements, 5, 7, 1, 1) = 0, "", OFFSET('IWP29'!Std7PayrollEmploymentRequirements, 5, 7, 1, 1))</f>
        <v/>
      </c>
      <c r="H1687" s="195" t="str">
        <f ca="1">IF(OFFSET('IWP29'!Std7PayrollEmploymentRequirements, 5, 9, 1, 1) = 0, "", OFFSET('IWP29'!Std7PayrollEmploymentRequirements, 5, 9, 1, 1))</f>
        <v/>
      </c>
      <c r="I1687" s="194" t="str">
        <f ca="1">IF(OFFSET('IWP29'!Std7PayrollEmploymentRequirements, 5, 11, 1, 1) = 0, "", OFFSET('IWP29'!Std7PayrollEmploymentRequirements, 5, 11, 1, 1))</f>
        <v/>
      </c>
    </row>
    <row r="1688" spans="1:9" s="146" customFormat="1">
      <c r="A1688" s="183" t="s">
        <v>527</v>
      </c>
      <c r="B1688" s="195" t="str">
        <f ca="1">IF(OFFSET('IWP29'!Std7PayrollEmploymentRequirements, 6, 0, 1, 1) = 0, "", OFFSET('IWP29'!Std7PayrollEmploymentRequirements, 6, 0, 1, 1))</f>
        <v/>
      </c>
      <c r="C1688" s="195" t="str">
        <f ca="1">IF(OFFSET('IWP29'!Std7PayrollEmploymentRequirements, 6, 2, 1, 1) = 0, "", OFFSET('IWP29'!Std7PayrollEmploymentRequirements, 6, 2, 1, 1))</f>
        <v/>
      </c>
      <c r="D1688" s="172">
        <f ca="1">IF(OFFSET('IWP29'!Std7PayrollEmploymentRequirements, 6, 4, 1, 1)=DATE(1900,1,0), DATE(1900,1,1), OFFSET('IWP29'!Std7PayrollEmploymentRequirements, 6, 4, 1, 1))</f>
        <v>1</v>
      </c>
      <c r="E1688" s="195" t="str">
        <f ca="1">IF(OFFSET('IWP29'!Std7PayrollEmploymentRequirements, 6, 5, 1, 1) = 0, "", OFFSET('IWP29'!Std7PayrollEmploymentRequirements, 6, 5, 1, 1))</f>
        <v/>
      </c>
      <c r="F1688" s="195" t="str">
        <f ca="1">IF(OFFSET('IWP29'!Std7PayrollEmploymentRequirements, 6, 6, 1, 1) = 0, "", OFFSET('IWP29'!Std7PayrollEmploymentRequirements, 6, 6, 1, 1))</f>
        <v/>
      </c>
      <c r="G1688" s="195" t="str">
        <f ca="1">IF(OFFSET('IWP29'!Std7PayrollEmploymentRequirements, 6, 7, 1, 1) = 0, "", OFFSET('IWP29'!Std7PayrollEmploymentRequirements, 6, 7, 1, 1))</f>
        <v/>
      </c>
      <c r="H1688" s="195" t="str">
        <f ca="1">IF(OFFSET('IWP29'!Std7PayrollEmploymentRequirements, 6, 9, 1, 1) = 0, "", OFFSET('IWP29'!Std7PayrollEmploymentRequirements, 6, 9, 1, 1))</f>
        <v/>
      </c>
      <c r="I1688" s="194" t="str">
        <f ca="1">IF(OFFSET('IWP29'!Std7PayrollEmploymentRequirements, 6, 11, 1, 1) = 0, "", OFFSET('IWP29'!Std7PayrollEmploymentRequirements, 6, 11, 1, 1))</f>
        <v/>
      </c>
    </row>
    <row r="1689" spans="1:9" s="146" customFormat="1">
      <c r="A1689" s="183" t="s">
        <v>527</v>
      </c>
      <c r="B1689" s="195" t="str">
        <f ca="1">IF(OFFSET('IWP29'!Std7PayrollEmploymentRequirements, 7, 0, 1, 1) = 0, "", OFFSET('IWP29'!Std7PayrollEmploymentRequirements, 7, 0, 1, 1))</f>
        <v/>
      </c>
      <c r="C1689" s="195" t="str">
        <f ca="1">IF(OFFSET('IWP29'!Std7PayrollEmploymentRequirements, 7, 2, 1, 1) = 0, "", OFFSET('IWP29'!Std7PayrollEmploymentRequirements, 7, 2, 1, 1))</f>
        <v/>
      </c>
      <c r="D1689" s="172">
        <f ca="1">IF(OFFSET('IWP29'!Std7PayrollEmploymentRequirements, 7, 4, 1, 1)=DATE(1900,1,0), DATE(1900,1,1), OFFSET('IWP29'!Std7PayrollEmploymentRequirements, 7, 4, 1, 1))</f>
        <v>1</v>
      </c>
      <c r="E1689" s="195" t="str">
        <f ca="1">IF(OFFSET('IWP29'!Std7PayrollEmploymentRequirements, 7, 5, 1, 1) = 0, "", OFFSET('IWP29'!Std7PayrollEmploymentRequirements, 7, 5, 1, 1))</f>
        <v/>
      </c>
      <c r="F1689" s="195" t="str">
        <f ca="1">IF(OFFSET('IWP29'!Std7PayrollEmploymentRequirements, 7, 6, 1, 1) = 0, "", OFFSET('IWP29'!Std7PayrollEmploymentRequirements, 7, 6, 1, 1))</f>
        <v/>
      </c>
      <c r="G1689" s="195" t="str">
        <f ca="1">IF(OFFSET('IWP29'!Std7PayrollEmploymentRequirements, 7, 7, 1, 1) = 0, "", OFFSET('IWP29'!Std7PayrollEmploymentRequirements, 7, 7, 1, 1))</f>
        <v/>
      </c>
      <c r="H1689" s="195" t="str">
        <f ca="1">IF(OFFSET('IWP29'!Std7PayrollEmploymentRequirements, 7, 9, 1, 1) = 0, "", OFFSET('IWP29'!Std7PayrollEmploymentRequirements, 7, 9, 1, 1))</f>
        <v/>
      </c>
      <c r="I1689" s="194" t="str">
        <f ca="1">IF(OFFSET('IWP29'!Std7PayrollEmploymentRequirements, 7, 11, 1, 1) = 0, "", OFFSET('IWP29'!Std7PayrollEmploymentRequirements, 7, 11, 1, 1))</f>
        <v/>
      </c>
    </row>
    <row r="1690" spans="1:9" s="146" customFormat="1">
      <c r="A1690" s="183" t="s">
        <v>527</v>
      </c>
      <c r="B1690" s="195" t="str">
        <f ca="1">IF(OFFSET('IWP29'!Std7PayrollEmploymentRequirements, 8, 0, 1, 1) = 0, "", OFFSET('IWP29'!Std7PayrollEmploymentRequirements, 8, 0, 1, 1))</f>
        <v/>
      </c>
      <c r="C1690" s="195" t="str">
        <f ca="1">IF(OFFSET('IWP29'!Std7PayrollEmploymentRequirements, 8, 2, 1, 1) = 0, "", OFFSET('IWP29'!Std7PayrollEmploymentRequirements, 8, 2, 1, 1))</f>
        <v/>
      </c>
      <c r="D1690" s="172">
        <f ca="1">IF(OFFSET('IWP29'!Std7PayrollEmploymentRequirements, 8, 4, 1, 1)=DATE(1900,1,0), DATE(1900,1,1), OFFSET('IWP29'!Std7PayrollEmploymentRequirements, 8, 4, 1, 1))</f>
        <v>1</v>
      </c>
      <c r="E1690" s="195" t="str">
        <f ca="1">IF(OFFSET('IWP29'!Std7PayrollEmploymentRequirements, 8, 5, 1, 1) = 0, "", OFFSET('IWP29'!Std7PayrollEmploymentRequirements, 8, 5, 1, 1))</f>
        <v/>
      </c>
      <c r="F1690" s="195" t="str">
        <f ca="1">IF(OFFSET('IWP29'!Std7PayrollEmploymentRequirements, 8, 6, 1, 1) = 0, "", OFFSET('IWP29'!Std7PayrollEmploymentRequirements, 8, 6, 1, 1))</f>
        <v/>
      </c>
      <c r="G1690" s="195" t="str">
        <f ca="1">IF(OFFSET('IWP29'!Std7PayrollEmploymentRequirements, 8, 7, 1, 1) = 0, "", OFFSET('IWP29'!Std7PayrollEmploymentRequirements, 8, 7, 1, 1))</f>
        <v/>
      </c>
      <c r="H1690" s="195" t="str">
        <f ca="1">IF(OFFSET('IWP29'!Std7PayrollEmploymentRequirements, 8, 9, 1, 1) = 0, "", OFFSET('IWP29'!Std7PayrollEmploymentRequirements, 8, 9, 1, 1))</f>
        <v/>
      </c>
      <c r="I1690" s="194" t="str">
        <f ca="1">IF(OFFSET('IWP29'!Std7PayrollEmploymentRequirements, 8, 11, 1, 1) = 0, "", OFFSET('IWP29'!Std7PayrollEmploymentRequirements, 8, 11, 1, 1))</f>
        <v/>
      </c>
    </row>
    <row r="1691" spans="1:9" s="146" customFormat="1">
      <c r="A1691" s="183" t="s">
        <v>527</v>
      </c>
      <c r="B1691" s="195" t="str">
        <f ca="1">IF(OFFSET('IWP29'!Std7PayrollEmploymentRequirements, 9, 0, 1, 1) = 0, "", OFFSET('IWP29'!Std7PayrollEmploymentRequirements, 9, 0, 1, 1))</f>
        <v/>
      </c>
      <c r="C1691" s="195" t="str">
        <f ca="1">IF(OFFSET('IWP29'!Std7PayrollEmploymentRequirements, 9, 2, 1, 1) = 0, "", OFFSET('IWP29'!Std7PayrollEmploymentRequirements, 9, 2, 1, 1))</f>
        <v/>
      </c>
      <c r="D1691" s="172">
        <f ca="1">IF(OFFSET('IWP29'!Std7PayrollEmploymentRequirements, 9, 4, 1, 1)=DATE(1900,1,0), DATE(1900,1,1), OFFSET('IWP29'!Std7PayrollEmploymentRequirements, 9, 4, 1, 1))</f>
        <v>1</v>
      </c>
      <c r="E1691" s="195" t="str">
        <f ca="1">IF(OFFSET('IWP29'!Std7PayrollEmploymentRequirements, 9, 5, 1, 1) = 0, "", OFFSET('IWP29'!Std7PayrollEmploymentRequirements, 9, 5, 1, 1))</f>
        <v/>
      </c>
      <c r="F1691" s="195" t="str">
        <f ca="1">IF(OFFSET('IWP29'!Std7PayrollEmploymentRequirements, 9, 6, 1, 1) = 0, "", OFFSET('IWP29'!Std7PayrollEmploymentRequirements, 9, 6, 1, 1))</f>
        <v/>
      </c>
      <c r="G1691" s="195" t="str">
        <f ca="1">IF(OFFSET('IWP29'!Std7PayrollEmploymentRequirements, 9, 7, 1, 1) = 0, "", OFFSET('IWP29'!Std7PayrollEmploymentRequirements, 9, 7, 1, 1))</f>
        <v/>
      </c>
      <c r="H1691" s="195" t="str">
        <f ca="1">IF(OFFSET('IWP29'!Std7PayrollEmploymentRequirements, 9, 9, 1, 1) = 0, "", OFFSET('IWP29'!Std7PayrollEmploymentRequirements, 9, 9, 1, 1))</f>
        <v/>
      </c>
      <c r="I1691" s="194" t="str">
        <f ca="1">IF(OFFSET('IWP29'!Std7PayrollEmploymentRequirements, 9, 11, 1, 1) = 0, "", OFFSET('IWP29'!Std7PayrollEmploymentRequirements, 9, 11, 1, 1))</f>
        <v/>
      </c>
    </row>
    <row r="1692" spans="1:9" s="146" customFormat="1">
      <c r="A1692" s="183" t="s">
        <v>527</v>
      </c>
      <c r="B1692" s="195" t="str">
        <f ca="1">IF(OFFSET('IWP29'!Std7PayrollEmploymentRequirements, 10, 0, 1, 1) = 0, "", OFFSET('IWP29'!Std7PayrollEmploymentRequirements, 10, 0, 1, 1))</f>
        <v/>
      </c>
      <c r="C1692" s="195" t="str">
        <f ca="1">IF(OFFSET('IWP29'!Std7PayrollEmploymentRequirements, 10, 2, 1, 1) = 0, "", OFFSET('IWP29'!Std7PayrollEmploymentRequirements, 10, 2, 1, 1))</f>
        <v/>
      </c>
      <c r="D1692" s="172">
        <f ca="1">IF(OFFSET('IWP29'!Std7PayrollEmploymentRequirements, 10, 4, 1, 1)=DATE(1900,1,0), DATE(1900,1,1), OFFSET('IWP29'!Std7PayrollEmploymentRequirements, 10, 4, 1, 1))</f>
        <v>1</v>
      </c>
      <c r="E1692" s="195" t="str">
        <f ca="1">IF(OFFSET('IWP29'!Std7PayrollEmploymentRequirements, 10, 5, 1, 1) = 0, "", OFFSET('IWP29'!Std7PayrollEmploymentRequirements, 10, 5, 1, 1))</f>
        <v/>
      </c>
      <c r="F1692" s="195" t="str">
        <f ca="1">IF(OFFSET('IWP29'!Std7PayrollEmploymentRequirements, 10, 6, 1, 1) = 0, "", OFFSET('IWP29'!Std7PayrollEmploymentRequirements, 10, 6, 1, 1))</f>
        <v/>
      </c>
      <c r="G1692" s="195" t="str">
        <f ca="1">IF(OFFSET('IWP29'!Std7PayrollEmploymentRequirements, 10, 7, 1, 1) = 0, "", OFFSET('IWP29'!Std7PayrollEmploymentRequirements, 10, 7, 1, 1))</f>
        <v/>
      </c>
      <c r="H1692" s="195" t="str">
        <f ca="1">IF(OFFSET('IWP29'!Std7PayrollEmploymentRequirements, 10, 9, 1, 1) = 0, "", OFFSET('IWP29'!Std7PayrollEmploymentRequirements, 10, 9, 1, 1))</f>
        <v/>
      </c>
      <c r="I1692" s="194" t="str">
        <f ca="1">IF(OFFSET('IWP29'!Std7PayrollEmploymentRequirements, 10, 11, 1, 1) = 0, "", OFFSET('IWP29'!Std7PayrollEmploymentRequirements, 10, 11, 1, 1))</f>
        <v/>
      </c>
    </row>
    <row r="1693" spans="1:9" s="146" customFormat="1">
      <c r="A1693" s="183" t="s">
        <v>527</v>
      </c>
      <c r="B1693" s="195" t="str">
        <f ca="1">IF(OFFSET('IWP29'!Std7PayrollEmploymentRequirements, 11, 0, 1, 1) = 0, "", OFFSET('IWP29'!Std7PayrollEmploymentRequirements, 11, 0, 1, 1))</f>
        <v/>
      </c>
      <c r="C1693" s="195" t="str">
        <f ca="1">IF(OFFSET('IWP29'!Std7PayrollEmploymentRequirements, 11, 2, 1, 1) = 0, "", OFFSET('IWP29'!Std7PayrollEmploymentRequirements, 11, 2, 1, 1))</f>
        <v/>
      </c>
      <c r="D1693" s="172">
        <f ca="1">IF(OFFSET('IWP29'!Std7PayrollEmploymentRequirements, 11, 4, 1, 1)=DATE(1900,1,0), DATE(1900,1,1), OFFSET('IWP29'!Std7PayrollEmploymentRequirements, 11, 4, 1, 1))</f>
        <v>1</v>
      </c>
      <c r="E1693" s="195" t="str">
        <f ca="1">IF(OFFSET('IWP29'!Std7PayrollEmploymentRequirements, 11, 5, 1, 1) = 0, "", OFFSET('IWP29'!Std7PayrollEmploymentRequirements, 11, 5, 1, 1))</f>
        <v/>
      </c>
      <c r="F1693" s="195" t="str">
        <f ca="1">IF(OFFSET('IWP29'!Std7PayrollEmploymentRequirements, 11, 6, 1, 1) = 0, "", OFFSET('IWP29'!Std7PayrollEmploymentRequirements, 11, 6, 1, 1))</f>
        <v/>
      </c>
      <c r="G1693" s="195" t="str">
        <f ca="1">IF(OFFSET('IWP29'!Std7PayrollEmploymentRequirements, 11, 7, 1, 1) = 0, "", OFFSET('IWP29'!Std7PayrollEmploymentRequirements, 11, 7, 1, 1))</f>
        <v/>
      </c>
      <c r="H1693" s="195" t="str">
        <f ca="1">IF(OFFSET('IWP29'!Std7PayrollEmploymentRequirements, 11, 9, 1, 1) = 0, "", OFFSET('IWP29'!Std7PayrollEmploymentRequirements, 11, 9, 1, 1))</f>
        <v/>
      </c>
      <c r="I1693" s="194" t="str">
        <f ca="1">IF(OFFSET('IWP29'!Std7PayrollEmploymentRequirements, 11, 11, 1, 1) = 0, "", OFFSET('IWP29'!Std7PayrollEmploymentRequirements, 11, 11, 1, 1))</f>
        <v/>
      </c>
    </row>
    <row r="1694" spans="1:9" s="146" customFormat="1">
      <c r="A1694" s="183" t="s">
        <v>527</v>
      </c>
      <c r="B1694" s="195" t="str">
        <f ca="1">IF(OFFSET('IWP29'!Std7PayrollEmploymentRequirements, 12, 0, 1, 1) = 0, "", OFFSET('IWP29'!Std7PayrollEmploymentRequirements, 12, 0, 1, 1))</f>
        <v/>
      </c>
      <c r="C1694" s="195" t="str">
        <f ca="1">IF(OFFSET('IWP29'!Std7PayrollEmploymentRequirements, 12, 2, 1, 1) = 0, "", OFFSET('IWP29'!Std7PayrollEmploymentRequirements, 12, 2, 1, 1))</f>
        <v/>
      </c>
      <c r="D1694" s="172">
        <f ca="1">IF(OFFSET('IWP29'!Std7PayrollEmploymentRequirements, 12, 4, 1, 1)=DATE(1900,1,0), DATE(1900,1,1), OFFSET('IWP29'!Std7PayrollEmploymentRequirements, 12, 4, 1, 1))</f>
        <v>1</v>
      </c>
      <c r="E1694" s="195" t="str">
        <f ca="1">IF(OFFSET('IWP29'!Std7PayrollEmploymentRequirements, 12, 5, 1, 1) = 0, "", OFFSET('IWP29'!Std7PayrollEmploymentRequirements, 12, 5, 1, 1))</f>
        <v/>
      </c>
      <c r="F1694" s="195" t="str">
        <f ca="1">IF(OFFSET('IWP29'!Std7PayrollEmploymentRequirements, 12, 6, 1, 1) = 0, "", OFFSET('IWP29'!Std7PayrollEmploymentRequirements, 12, 6, 1, 1))</f>
        <v/>
      </c>
      <c r="G1694" s="195" t="str">
        <f ca="1">IF(OFFSET('IWP29'!Std7PayrollEmploymentRequirements, 12, 7, 1, 1) = 0, "", OFFSET('IWP29'!Std7PayrollEmploymentRequirements, 12, 7, 1, 1))</f>
        <v/>
      </c>
      <c r="H1694" s="195" t="str">
        <f ca="1">IF(OFFSET('IWP29'!Std7PayrollEmploymentRequirements, 12, 9, 1, 1) = 0, "", OFFSET('IWP29'!Std7PayrollEmploymentRequirements, 12, 9, 1, 1))</f>
        <v/>
      </c>
      <c r="I1694" s="194" t="str">
        <f ca="1">IF(OFFSET('IWP29'!Std7PayrollEmploymentRequirements, 12, 11, 1, 1) = 0, "", OFFSET('IWP29'!Std7PayrollEmploymentRequirements, 12, 11, 1, 1))</f>
        <v/>
      </c>
    </row>
    <row r="1695" spans="1:9" s="146" customFormat="1">
      <c r="A1695" s="183" t="s">
        <v>527</v>
      </c>
      <c r="B1695" s="195" t="str">
        <f ca="1">IF(OFFSET('IWP29'!Std7PayrollEmploymentRequirements, 13, 0, 1, 1) = 0, "", OFFSET('IWP29'!Std7PayrollEmploymentRequirements, 13, 0, 1, 1))</f>
        <v/>
      </c>
      <c r="C1695" s="195" t="str">
        <f ca="1">IF(OFFSET('IWP29'!Std7PayrollEmploymentRequirements, 13, 2, 1, 1) = 0, "", OFFSET('IWP29'!Std7PayrollEmploymentRequirements, 13, 2, 1, 1))</f>
        <v/>
      </c>
      <c r="D1695" s="172">
        <f ca="1">IF(OFFSET('IWP29'!Std7PayrollEmploymentRequirements, 13, 4, 1, 1)=DATE(1900,1,0), DATE(1900,1,1), OFFSET('IWP29'!Std7PayrollEmploymentRequirements, 13, 4, 1, 1))</f>
        <v>1</v>
      </c>
      <c r="E1695" s="195" t="str">
        <f ca="1">IF(OFFSET('IWP29'!Std7PayrollEmploymentRequirements, 13, 5, 1, 1) = 0, "", OFFSET('IWP29'!Std7PayrollEmploymentRequirements, 13, 5, 1, 1))</f>
        <v/>
      </c>
      <c r="F1695" s="195" t="str">
        <f ca="1">IF(OFFSET('IWP29'!Std7PayrollEmploymentRequirements, 13, 6, 1, 1) = 0, "", OFFSET('IWP29'!Std7PayrollEmploymentRequirements, 13, 6, 1, 1))</f>
        <v/>
      </c>
      <c r="G1695" s="195" t="str">
        <f ca="1">IF(OFFSET('IWP29'!Std7PayrollEmploymentRequirements, 13, 7, 1, 1) = 0, "", OFFSET('IWP29'!Std7PayrollEmploymentRequirements, 13, 7, 1, 1))</f>
        <v/>
      </c>
      <c r="H1695" s="195" t="str">
        <f ca="1">IF(OFFSET('IWP29'!Std7PayrollEmploymentRequirements, 13, 9, 1, 1) = 0, "", OFFSET('IWP29'!Std7PayrollEmploymentRequirements, 13, 9, 1, 1))</f>
        <v/>
      </c>
      <c r="I1695" s="194" t="str">
        <f ca="1">IF(OFFSET('IWP29'!Std7PayrollEmploymentRequirements, 13, 11, 1, 1) = 0, "", OFFSET('IWP29'!Std7PayrollEmploymentRequirements, 13, 11, 1, 1))</f>
        <v/>
      </c>
    </row>
    <row r="1696" spans="1:9" s="146" customFormat="1">
      <c r="A1696" s="183" t="s">
        <v>527</v>
      </c>
      <c r="B1696" s="195" t="str">
        <f ca="1">IF(OFFSET('IWP29'!Std7PayrollEmploymentRequirements, 14, 0, 1, 1) = 0, "", OFFSET('IWP29'!Std7PayrollEmploymentRequirements, 14, 0, 1, 1))</f>
        <v/>
      </c>
      <c r="C1696" s="195" t="str">
        <f ca="1">IF(OFFSET('IWP29'!Std7PayrollEmploymentRequirements, 14, 2, 1, 1) = 0, "", OFFSET('IWP29'!Std7PayrollEmploymentRequirements, 14, 2, 1, 1))</f>
        <v/>
      </c>
      <c r="D1696" s="172">
        <f ca="1">IF(OFFSET('IWP29'!Std7PayrollEmploymentRequirements, 14, 4, 1, 1)=DATE(1900,1,0), DATE(1900,1,1), OFFSET('IWP29'!Std7PayrollEmploymentRequirements, 14, 4, 1, 1))</f>
        <v>1</v>
      </c>
      <c r="E1696" s="195" t="str">
        <f ca="1">IF(OFFSET('IWP29'!Std7PayrollEmploymentRequirements, 14, 5, 1, 1) = 0, "", OFFSET('IWP29'!Std7PayrollEmploymentRequirements, 14, 5, 1, 1))</f>
        <v/>
      </c>
      <c r="F1696" s="195" t="str">
        <f ca="1">IF(OFFSET('IWP29'!Std7PayrollEmploymentRequirements, 14, 6, 1, 1) = 0, "", OFFSET('IWP29'!Std7PayrollEmploymentRequirements, 14, 6, 1, 1))</f>
        <v/>
      </c>
      <c r="G1696" s="195" t="str">
        <f ca="1">IF(OFFSET('IWP29'!Std7PayrollEmploymentRequirements, 14, 7, 1, 1) = 0, "", OFFSET('IWP29'!Std7PayrollEmploymentRequirements, 14, 7, 1, 1))</f>
        <v/>
      </c>
      <c r="H1696" s="195" t="str">
        <f ca="1">IF(OFFSET('IWP29'!Std7PayrollEmploymentRequirements, 14, 9, 1, 1) = 0, "", OFFSET('IWP29'!Std7PayrollEmploymentRequirements, 14, 9, 1, 1))</f>
        <v/>
      </c>
      <c r="I1696" s="194" t="str">
        <f ca="1">IF(OFFSET('IWP29'!Std7PayrollEmploymentRequirements, 14, 11, 1, 1) = 0, "", OFFSET('IWP29'!Std7PayrollEmploymentRequirements, 14, 11, 1, 1))</f>
        <v/>
      </c>
    </row>
    <row r="1697" spans="1:9" s="146" customFormat="1">
      <c r="A1697" s="183" t="s">
        <v>527</v>
      </c>
      <c r="B1697" s="195" t="str">
        <f ca="1">IF(OFFSET('IWP29'!Std7PayrollEmploymentRequirements, 15, 0, 1, 1) = 0, "", OFFSET('IWP29'!Std7PayrollEmploymentRequirements, 15, 0, 1, 1))</f>
        <v/>
      </c>
      <c r="C1697" s="195" t="str">
        <f ca="1">IF(OFFSET('IWP29'!Std7PayrollEmploymentRequirements, 15, 2, 1, 1) = 0, "", OFFSET('IWP29'!Std7PayrollEmploymentRequirements, 15, 2, 1, 1))</f>
        <v/>
      </c>
      <c r="D1697" s="172">
        <f ca="1">IF(OFFSET('IWP29'!Std7PayrollEmploymentRequirements, 15, 4, 1, 1)=DATE(1900,1,0), DATE(1900,1,1), OFFSET('IWP29'!Std7PayrollEmploymentRequirements, 15, 4, 1, 1))</f>
        <v>1</v>
      </c>
      <c r="E1697" s="195" t="str">
        <f ca="1">IF(OFFSET('IWP29'!Std7PayrollEmploymentRequirements, 15, 5, 1, 1) = 0, "", OFFSET('IWP29'!Std7PayrollEmploymentRequirements, 15, 5, 1, 1))</f>
        <v/>
      </c>
      <c r="F1697" s="195" t="str">
        <f ca="1">IF(OFFSET('IWP29'!Std7PayrollEmploymentRequirements, 15, 6, 1, 1) = 0, "", OFFSET('IWP29'!Std7PayrollEmploymentRequirements, 15, 6, 1, 1))</f>
        <v/>
      </c>
      <c r="G1697" s="195" t="str">
        <f ca="1">IF(OFFSET('IWP29'!Std7PayrollEmploymentRequirements, 15, 7, 1, 1) = 0, "", OFFSET('IWP29'!Std7PayrollEmploymentRequirements, 15, 7, 1, 1))</f>
        <v/>
      </c>
      <c r="H1697" s="195" t="str">
        <f ca="1">IF(OFFSET('IWP29'!Std7PayrollEmploymentRequirements, 15, 9, 1, 1) = 0, "", OFFSET('IWP29'!Std7PayrollEmploymentRequirements, 15, 9, 1, 1))</f>
        <v/>
      </c>
      <c r="I1697" s="194" t="str">
        <f ca="1">IF(OFFSET('IWP29'!Std7PayrollEmploymentRequirements, 15, 11, 1, 1) = 0, "", OFFSET('IWP29'!Std7PayrollEmploymentRequirements, 15, 11, 1, 1))</f>
        <v/>
      </c>
    </row>
    <row r="1698" spans="1:9" s="146" customFormat="1">
      <c r="A1698" s="183" t="s">
        <v>528</v>
      </c>
      <c r="B1698" s="195" t="str">
        <f ca="1">IF(OFFSET('IWP30'!Std7PayrollEmploymentRequirements, 0, 0, 1, 1) = 0, "", OFFSET('IWP30'!Std7PayrollEmploymentRequirements, 0, 0, 1, 1))</f>
        <v/>
      </c>
      <c r="C1698" s="195" t="str">
        <f ca="1">IF(OFFSET('IWP30'!Std7PayrollEmploymentRequirements, 0, 2, 1, 1) = 0, "", OFFSET('IWP30'!Std7PayrollEmploymentRequirements, 0, 2, 1, 1))</f>
        <v/>
      </c>
      <c r="D1698" s="172">
        <f ca="1">IF(OFFSET('IWP30'!Std7PayrollEmploymentRequirements, 0, 4, 1, 1)=DATE(1900,1,0), DATE(1900,1,1), OFFSET('IWP30'!Std7PayrollEmploymentRequirements, 0, 4, 1, 1))</f>
        <v>1</v>
      </c>
      <c r="E1698" s="195" t="str">
        <f ca="1">IF(OFFSET('IWP30'!Std7PayrollEmploymentRequirements, 0, 5, 1, 1) = 0, "", OFFSET('IWP30'!Std7PayrollEmploymentRequirements, 0, 5, 1, 1))</f>
        <v/>
      </c>
      <c r="F1698" s="195" t="str">
        <f ca="1">IF(OFFSET('IWP30'!Std7PayrollEmploymentRequirements, 0, 6, 1, 1) = 0, "", OFFSET('IWP30'!Std7PayrollEmploymentRequirements, 0, 6, 1, 1))</f>
        <v/>
      </c>
      <c r="G1698" s="195" t="str">
        <f ca="1">IF(OFFSET('IWP30'!Std7PayrollEmploymentRequirements, 0, 7, 1, 1) = 0, "", OFFSET('IWP30'!Std7PayrollEmploymentRequirements, 0, 7, 1, 1))</f>
        <v/>
      </c>
      <c r="H1698" s="195" t="str">
        <f ca="1">IF(OFFSET('IWP30'!Std7PayrollEmploymentRequirements, 0, 9, 1, 1) = 0, "", OFFSET('IWP30'!Std7PayrollEmploymentRequirements, 0, 9, 1, 1))</f>
        <v/>
      </c>
      <c r="I1698" s="194" t="str">
        <f ca="1">IF(OFFSET('IWP30'!Std7PayrollEmploymentRequirements, 0, 11, 1, 1) = 0, "", OFFSET('IWP30'!Std7PayrollEmploymentRequirements, 0, 11, 1, 1))</f>
        <v/>
      </c>
    </row>
    <row r="1699" spans="1:9" s="146" customFormat="1">
      <c r="A1699" s="183" t="s">
        <v>528</v>
      </c>
      <c r="B1699" s="195" t="str">
        <f ca="1">IF(OFFSET('IWP30'!Std7PayrollEmploymentRequirements, 1, 0, 1, 1) = 0, "", OFFSET('IWP30'!Std7PayrollEmploymentRequirements, 1, 0, 1, 1))</f>
        <v/>
      </c>
      <c r="C1699" s="195" t="str">
        <f ca="1">IF(OFFSET('IWP30'!Std7PayrollEmploymentRequirements, 1, 2, 1, 1) = 0, "", OFFSET('IWP30'!Std7PayrollEmploymentRequirements, 1, 2, 1, 1))</f>
        <v/>
      </c>
      <c r="D1699" s="172">
        <f ca="1">IF(OFFSET('IWP30'!Std7PayrollEmploymentRequirements, 1, 4, 1, 1)=DATE(1900,1,0), DATE(1900,1,1), OFFSET('IWP30'!Std7PayrollEmploymentRequirements, 1, 4, 1, 1))</f>
        <v>1</v>
      </c>
      <c r="E1699" s="195" t="str">
        <f ca="1">IF(OFFSET('IWP30'!Std7PayrollEmploymentRequirements, 1, 5, 1, 1) = 0, "", OFFSET('IWP30'!Std7PayrollEmploymentRequirements, 1, 5, 1, 1))</f>
        <v/>
      </c>
      <c r="F1699" s="195" t="str">
        <f ca="1">IF(OFFSET('IWP30'!Std7PayrollEmploymentRequirements, 1, 6, 1, 1) = 0, "", OFFSET('IWP30'!Std7PayrollEmploymentRequirements, 1, 6, 1, 1))</f>
        <v/>
      </c>
      <c r="G1699" s="195" t="str">
        <f ca="1">IF(OFFSET('IWP30'!Std7PayrollEmploymentRequirements, 1, 7, 1, 1) = 0, "", OFFSET('IWP30'!Std7PayrollEmploymentRequirements, 1, 7, 1, 1))</f>
        <v/>
      </c>
      <c r="H1699" s="195" t="str">
        <f ca="1">IF(OFFSET('IWP30'!Std7PayrollEmploymentRequirements, 1, 9, 1, 1) = 0, "", OFFSET('IWP30'!Std7PayrollEmploymentRequirements, 1, 9, 1, 1))</f>
        <v/>
      </c>
      <c r="I1699" s="194" t="str">
        <f ca="1">IF(OFFSET('IWP30'!Std7PayrollEmploymentRequirements, 1, 11, 1, 1) = 0, "", OFFSET('IWP30'!Std7PayrollEmploymentRequirements, 1, 11, 1, 1))</f>
        <v/>
      </c>
    </row>
    <row r="1700" spans="1:9" s="146" customFormat="1">
      <c r="A1700" s="183" t="s">
        <v>528</v>
      </c>
      <c r="B1700" s="195" t="str">
        <f ca="1">IF(OFFSET('IWP30'!Std7PayrollEmploymentRequirements, 2, 0, 1, 1) = 0, "", OFFSET('IWP30'!Std7PayrollEmploymentRequirements, 2, 0, 1, 1))</f>
        <v/>
      </c>
      <c r="C1700" s="195" t="str">
        <f ca="1">IF(OFFSET('IWP30'!Std7PayrollEmploymentRequirements, 2, 2, 1, 1) = 0, "", OFFSET('IWP30'!Std7PayrollEmploymentRequirements, 2, 2, 1, 1))</f>
        <v/>
      </c>
      <c r="D1700" s="172">
        <f ca="1">IF(OFFSET('IWP30'!Std7PayrollEmploymentRequirements, 2, 4, 1, 1)=DATE(1900,1,0), DATE(1900,1,1), OFFSET('IWP30'!Std7PayrollEmploymentRequirements, 2, 4, 1, 1))</f>
        <v>1</v>
      </c>
      <c r="E1700" s="195" t="str">
        <f ca="1">IF(OFFSET('IWP30'!Std7PayrollEmploymentRequirements, 2, 5, 1, 1) = 0, "", OFFSET('IWP30'!Std7PayrollEmploymentRequirements, 2, 5, 1, 1))</f>
        <v/>
      </c>
      <c r="F1700" s="195" t="str">
        <f ca="1">IF(OFFSET('IWP30'!Std7PayrollEmploymentRequirements, 2, 6, 1, 1) = 0, "", OFFSET('IWP30'!Std7PayrollEmploymentRequirements, 2, 6, 1, 1))</f>
        <v/>
      </c>
      <c r="G1700" s="195" t="str">
        <f ca="1">IF(OFFSET('IWP30'!Std7PayrollEmploymentRequirements, 2, 7, 1, 1) = 0, "", OFFSET('IWP30'!Std7PayrollEmploymentRequirements, 2, 7, 1, 1))</f>
        <v/>
      </c>
      <c r="H1700" s="195" t="str">
        <f ca="1">IF(OFFSET('IWP30'!Std7PayrollEmploymentRequirements, 2, 9, 1, 1) = 0, "", OFFSET('IWP30'!Std7PayrollEmploymentRequirements, 2, 9, 1, 1))</f>
        <v/>
      </c>
      <c r="I1700" s="194" t="str">
        <f ca="1">IF(OFFSET('IWP30'!Std7PayrollEmploymentRequirements, 2, 11, 1, 1) = 0, "", OFFSET('IWP30'!Std7PayrollEmploymentRequirements, 2, 11, 1, 1))</f>
        <v/>
      </c>
    </row>
    <row r="1701" spans="1:9" s="146" customFormat="1">
      <c r="A1701" s="183" t="s">
        <v>528</v>
      </c>
      <c r="B1701" s="195" t="str">
        <f ca="1">IF(OFFSET('IWP30'!Std7PayrollEmploymentRequirements, 3, 0, 1, 1) = 0, "", OFFSET('IWP30'!Std7PayrollEmploymentRequirements, 3, 0, 1, 1))</f>
        <v/>
      </c>
      <c r="C1701" s="195" t="str">
        <f ca="1">IF(OFFSET('IWP30'!Std7PayrollEmploymentRequirements, 3, 2, 1, 1) = 0, "", OFFSET('IWP30'!Std7PayrollEmploymentRequirements, 3, 2, 1, 1))</f>
        <v/>
      </c>
      <c r="D1701" s="172">
        <f ca="1">IF(OFFSET('IWP30'!Std7PayrollEmploymentRequirements, 3, 4, 1, 1)=DATE(1900,1,0), DATE(1900,1,1), OFFSET('IWP30'!Std7PayrollEmploymentRequirements, 3, 4, 1, 1))</f>
        <v>1</v>
      </c>
      <c r="E1701" s="195" t="str">
        <f ca="1">IF(OFFSET('IWP30'!Std7PayrollEmploymentRequirements, 3, 5, 1, 1) = 0, "", OFFSET('IWP30'!Std7PayrollEmploymentRequirements, 3, 5, 1, 1))</f>
        <v/>
      </c>
      <c r="F1701" s="195" t="str">
        <f ca="1">IF(OFFSET('IWP30'!Std7PayrollEmploymentRequirements, 3, 6, 1, 1) = 0, "", OFFSET('IWP30'!Std7PayrollEmploymentRequirements, 3, 6, 1, 1))</f>
        <v/>
      </c>
      <c r="G1701" s="195" t="str">
        <f ca="1">IF(OFFSET('IWP30'!Std7PayrollEmploymentRequirements, 3, 7, 1, 1) = 0, "", OFFSET('IWP30'!Std7PayrollEmploymentRequirements, 3, 7, 1, 1))</f>
        <v/>
      </c>
      <c r="H1701" s="195" t="str">
        <f ca="1">IF(OFFSET('IWP30'!Std7PayrollEmploymentRequirements, 3, 9, 1, 1) = 0, "", OFFSET('IWP30'!Std7PayrollEmploymentRequirements, 3, 9, 1, 1))</f>
        <v/>
      </c>
      <c r="I1701" s="194" t="str">
        <f ca="1">IF(OFFSET('IWP30'!Std7PayrollEmploymentRequirements, 3, 11, 1, 1) = 0, "", OFFSET('IWP30'!Std7PayrollEmploymentRequirements, 3, 11, 1, 1))</f>
        <v/>
      </c>
    </row>
    <row r="1702" spans="1:9" s="146" customFormat="1">
      <c r="A1702" s="183" t="s">
        <v>528</v>
      </c>
      <c r="B1702" s="195" t="str">
        <f ca="1">IF(OFFSET('IWP30'!Std7PayrollEmploymentRequirements, 4, 0, 1, 1) = 0, "", OFFSET('IWP30'!Std7PayrollEmploymentRequirements, 4, 0, 1, 1))</f>
        <v/>
      </c>
      <c r="C1702" s="195" t="str">
        <f ca="1">IF(OFFSET('IWP30'!Std7PayrollEmploymentRequirements, 4, 2, 1, 1) = 0, "", OFFSET('IWP30'!Std7PayrollEmploymentRequirements, 4, 2, 1, 1))</f>
        <v/>
      </c>
      <c r="D1702" s="172">
        <f ca="1">IF(OFFSET('IWP30'!Std7PayrollEmploymentRequirements, 4, 4, 1, 1)=DATE(1900,1,0), DATE(1900,1,1), OFFSET('IWP30'!Std7PayrollEmploymentRequirements, 4, 4, 1, 1))</f>
        <v>1</v>
      </c>
      <c r="E1702" s="195" t="str">
        <f ca="1">IF(OFFSET('IWP30'!Std7PayrollEmploymentRequirements, 4, 5, 1, 1) = 0, "", OFFSET('IWP30'!Std7PayrollEmploymentRequirements, 4, 5, 1, 1))</f>
        <v/>
      </c>
      <c r="F1702" s="195" t="str">
        <f ca="1">IF(OFFSET('IWP30'!Std7PayrollEmploymentRequirements, 4, 6, 1, 1) = 0, "", OFFSET('IWP30'!Std7PayrollEmploymentRequirements, 4, 6, 1, 1))</f>
        <v/>
      </c>
      <c r="G1702" s="195" t="str">
        <f ca="1">IF(OFFSET('IWP30'!Std7PayrollEmploymentRequirements, 4, 7, 1, 1) = 0, "", OFFSET('IWP30'!Std7PayrollEmploymentRequirements, 4, 7, 1, 1))</f>
        <v/>
      </c>
      <c r="H1702" s="195" t="str">
        <f ca="1">IF(OFFSET('IWP30'!Std7PayrollEmploymentRequirements, 4, 9, 1, 1) = 0, "", OFFSET('IWP30'!Std7PayrollEmploymentRequirements, 4, 9, 1, 1))</f>
        <v/>
      </c>
      <c r="I1702" s="194" t="str">
        <f ca="1">IF(OFFSET('IWP30'!Std7PayrollEmploymentRequirements, 4, 11, 1, 1) = 0, "", OFFSET('IWP30'!Std7PayrollEmploymentRequirements, 4, 11, 1, 1))</f>
        <v/>
      </c>
    </row>
    <row r="1703" spans="1:9" s="146" customFormat="1">
      <c r="A1703" s="183" t="s">
        <v>528</v>
      </c>
      <c r="B1703" s="195" t="str">
        <f ca="1">IF(OFFSET('IWP30'!Std7PayrollEmploymentRequirements, 5, 0, 1, 1) = 0, "", OFFSET('IWP30'!Std7PayrollEmploymentRequirements, 5, 0, 1, 1))</f>
        <v/>
      </c>
      <c r="C1703" s="195" t="str">
        <f ca="1">IF(OFFSET('IWP30'!Std7PayrollEmploymentRequirements, 5, 2, 1, 1) = 0, "", OFFSET('IWP30'!Std7PayrollEmploymentRequirements, 5, 2, 1, 1))</f>
        <v/>
      </c>
      <c r="D1703" s="172">
        <f ca="1">IF(OFFSET('IWP30'!Std7PayrollEmploymentRequirements, 5, 4, 1, 1)=DATE(1900,1,0), DATE(1900,1,1), OFFSET('IWP30'!Std7PayrollEmploymentRequirements, 5, 4, 1, 1))</f>
        <v>1</v>
      </c>
      <c r="E1703" s="195" t="str">
        <f ca="1">IF(OFFSET('IWP30'!Std7PayrollEmploymentRequirements, 5, 5, 1, 1) = 0, "", OFFSET('IWP30'!Std7PayrollEmploymentRequirements, 5, 5, 1, 1))</f>
        <v/>
      </c>
      <c r="F1703" s="195" t="str">
        <f ca="1">IF(OFFSET('IWP30'!Std7PayrollEmploymentRequirements, 5, 6, 1, 1) = 0, "", OFFSET('IWP30'!Std7PayrollEmploymentRequirements, 5, 6, 1, 1))</f>
        <v/>
      </c>
      <c r="G1703" s="195" t="str">
        <f ca="1">IF(OFFSET('IWP30'!Std7PayrollEmploymentRequirements, 5, 7, 1, 1) = 0, "", OFFSET('IWP30'!Std7PayrollEmploymentRequirements, 5, 7, 1, 1))</f>
        <v/>
      </c>
      <c r="H1703" s="195" t="str">
        <f ca="1">IF(OFFSET('IWP30'!Std7PayrollEmploymentRequirements, 5, 9, 1, 1) = 0, "", OFFSET('IWP30'!Std7PayrollEmploymentRequirements, 5, 9, 1, 1))</f>
        <v/>
      </c>
      <c r="I1703" s="194" t="str">
        <f ca="1">IF(OFFSET('IWP30'!Std7PayrollEmploymentRequirements, 5, 11, 1, 1) = 0, "", OFFSET('IWP30'!Std7PayrollEmploymentRequirements, 5, 11, 1, 1))</f>
        <v/>
      </c>
    </row>
    <row r="1704" spans="1:9" s="146" customFormat="1">
      <c r="A1704" s="183" t="s">
        <v>528</v>
      </c>
      <c r="B1704" s="195" t="str">
        <f ca="1">IF(OFFSET('IWP30'!Std7PayrollEmploymentRequirements, 6, 0, 1, 1) = 0, "", OFFSET('IWP30'!Std7PayrollEmploymentRequirements, 6, 0, 1, 1))</f>
        <v/>
      </c>
      <c r="C1704" s="195" t="str">
        <f ca="1">IF(OFFSET('IWP30'!Std7PayrollEmploymentRequirements, 6, 2, 1, 1) = 0, "", OFFSET('IWP30'!Std7PayrollEmploymentRequirements, 6, 2, 1, 1))</f>
        <v/>
      </c>
      <c r="D1704" s="172">
        <f ca="1">IF(OFFSET('IWP30'!Std7PayrollEmploymentRequirements, 6, 4, 1, 1)=DATE(1900,1,0), DATE(1900,1,1), OFFSET('IWP30'!Std7PayrollEmploymentRequirements, 6, 4, 1, 1))</f>
        <v>1</v>
      </c>
      <c r="E1704" s="195" t="str">
        <f ca="1">IF(OFFSET('IWP30'!Std7PayrollEmploymentRequirements, 6, 5, 1, 1) = 0, "", OFFSET('IWP30'!Std7PayrollEmploymentRequirements, 6, 5, 1, 1))</f>
        <v/>
      </c>
      <c r="F1704" s="195" t="str">
        <f ca="1">IF(OFFSET('IWP30'!Std7PayrollEmploymentRequirements, 6, 6, 1, 1) = 0, "", OFFSET('IWP30'!Std7PayrollEmploymentRequirements, 6, 6, 1, 1))</f>
        <v/>
      </c>
      <c r="G1704" s="195" t="str">
        <f ca="1">IF(OFFSET('IWP30'!Std7PayrollEmploymentRequirements, 6, 7, 1, 1) = 0, "", OFFSET('IWP30'!Std7PayrollEmploymentRequirements, 6, 7, 1, 1))</f>
        <v/>
      </c>
      <c r="H1704" s="195" t="str">
        <f ca="1">IF(OFFSET('IWP30'!Std7PayrollEmploymentRequirements, 6, 9, 1, 1) = 0, "", OFFSET('IWP30'!Std7PayrollEmploymentRequirements, 6, 9, 1, 1))</f>
        <v/>
      </c>
      <c r="I1704" s="194" t="str">
        <f ca="1">IF(OFFSET('IWP30'!Std7PayrollEmploymentRequirements, 6, 11, 1, 1) = 0, "", OFFSET('IWP30'!Std7PayrollEmploymentRequirements, 6, 11, 1, 1))</f>
        <v/>
      </c>
    </row>
    <row r="1705" spans="1:9" s="146" customFormat="1">
      <c r="A1705" s="183" t="s">
        <v>528</v>
      </c>
      <c r="B1705" s="195" t="str">
        <f ca="1">IF(OFFSET('IWP30'!Std7PayrollEmploymentRequirements, 7, 0, 1, 1) = 0, "", OFFSET('IWP30'!Std7PayrollEmploymentRequirements, 7, 0, 1, 1))</f>
        <v/>
      </c>
      <c r="C1705" s="195" t="str">
        <f ca="1">IF(OFFSET('IWP30'!Std7PayrollEmploymentRequirements, 7, 2, 1, 1) = 0, "", OFFSET('IWP30'!Std7PayrollEmploymentRequirements, 7, 2, 1, 1))</f>
        <v/>
      </c>
      <c r="D1705" s="172">
        <f ca="1">IF(OFFSET('IWP30'!Std7PayrollEmploymentRequirements, 7, 4, 1, 1)=DATE(1900,1,0), DATE(1900,1,1), OFFSET('IWP30'!Std7PayrollEmploymentRequirements, 7, 4, 1, 1))</f>
        <v>1</v>
      </c>
      <c r="E1705" s="195" t="str">
        <f ca="1">IF(OFFSET('IWP30'!Std7PayrollEmploymentRequirements, 7, 5, 1, 1) = 0, "", OFFSET('IWP30'!Std7PayrollEmploymentRequirements, 7, 5, 1, 1))</f>
        <v/>
      </c>
      <c r="F1705" s="195" t="str">
        <f ca="1">IF(OFFSET('IWP30'!Std7PayrollEmploymentRequirements, 7, 6, 1, 1) = 0, "", OFFSET('IWP30'!Std7PayrollEmploymentRequirements, 7, 6, 1, 1))</f>
        <v/>
      </c>
      <c r="G1705" s="195" t="str">
        <f ca="1">IF(OFFSET('IWP30'!Std7PayrollEmploymentRequirements, 7, 7, 1, 1) = 0, "", OFFSET('IWP30'!Std7PayrollEmploymentRequirements, 7, 7, 1, 1))</f>
        <v/>
      </c>
      <c r="H1705" s="195" t="str">
        <f ca="1">IF(OFFSET('IWP30'!Std7PayrollEmploymentRequirements, 7, 9, 1, 1) = 0, "", OFFSET('IWP30'!Std7PayrollEmploymentRequirements, 7, 9, 1, 1))</f>
        <v/>
      </c>
      <c r="I1705" s="194" t="str">
        <f ca="1">IF(OFFSET('IWP30'!Std7PayrollEmploymentRequirements, 7, 11, 1, 1) = 0, "", OFFSET('IWP30'!Std7PayrollEmploymentRequirements, 7, 11, 1, 1))</f>
        <v/>
      </c>
    </row>
    <row r="1706" spans="1:9" s="146" customFormat="1">
      <c r="A1706" s="183" t="s">
        <v>528</v>
      </c>
      <c r="B1706" s="195" t="str">
        <f ca="1">IF(OFFSET('IWP30'!Std7PayrollEmploymentRequirements, 8, 0, 1, 1) = 0, "", OFFSET('IWP30'!Std7PayrollEmploymentRequirements, 8, 0, 1, 1))</f>
        <v/>
      </c>
      <c r="C1706" s="195" t="str">
        <f ca="1">IF(OFFSET('IWP30'!Std7PayrollEmploymentRequirements, 8, 2, 1, 1) = 0, "", OFFSET('IWP30'!Std7PayrollEmploymentRequirements, 8, 2, 1, 1))</f>
        <v/>
      </c>
      <c r="D1706" s="172">
        <f ca="1">IF(OFFSET('IWP30'!Std7PayrollEmploymentRequirements, 8, 4, 1, 1)=DATE(1900,1,0), DATE(1900,1,1), OFFSET('IWP30'!Std7PayrollEmploymentRequirements, 8, 4, 1, 1))</f>
        <v>1</v>
      </c>
      <c r="E1706" s="195" t="str">
        <f ca="1">IF(OFFSET('IWP30'!Std7PayrollEmploymentRequirements, 8, 5, 1, 1) = 0, "", OFFSET('IWP30'!Std7PayrollEmploymentRequirements, 8, 5, 1, 1))</f>
        <v/>
      </c>
      <c r="F1706" s="195" t="str">
        <f ca="1">IF(OFFSET('IWP30'!Std7PayrollEmploymentRequirements, 8, 6, 1, 1) = 0, "", OFFSET('IWP30'!Std7PayrollEmploymentRequirements, 8, 6, 1, 1))</f>
        <v/>
      </c>
      <c r="G1706" s="195" t="str">
        <f ca="1">IF(OFFSET('IWP30'!Std7PayrollEmploymentRequirements, 8, 7, 1, 1) = 0, "", OFFSET('IWP30'!Std7PayrollEmploymentRequirements, 8, 7, 1, 1))</f>
        <v/>
      </c>
      <c r="H1706" s="195" t="str">
        <f ca="1">IF(OFFSET('IWP30'!Std7PayrollEmploymentRequirements, 8, 9, 1, 1) = 0, "", OFFSET('IWP30'!Std7PayrollEmploymentRequirements, 8, 9, 1, 1))</f>
        <v/>
      </c>
      <c r="I1706" s="194" t="str">
        <f ca="1">IF(OFFSET('IWP30'!Std7PayrollEmploymentRequirements, 8, 11, 1, 1) = 0, "", OFFSET('IWP30'!Std7PayrollEmploymentRequirements, 8, 11, 1, 1))</f>
        <v/>
      </c>
    </row>
    <row r="1707" spans="1:9" s="146" customFormat="1">
      <c r="A1707" s="183" t="s">
        <v>528</v>
      </c>
      <c r="B1707" s="195" t="str">
        <f ca="1">IF(OFFSET('IWP30'!Std7PayrollEmploymentRequirements, 9, 0, 1, 1) = 0, "", OFFSET('IWP30'!Std7PayrollEmploymentRequirements, 9, 0, 1, 1))</f>
        <v/>
      </c>
      <c r="C1707" s="195" t="str">
        <f ca="1">IF(OFFSET('IWP30'!Std7PayrollEmploymentRequirements, 9, 2, 1, 1) = 0, "", OFFSET('IWP30'!Std7PayrollEmploymentRequirements, 9, 2, 1, 1))</f>
        <v/>
      </c>
      <c r="D1707" s="172">
        <f ca="1">IF(OFFSET('IWP30'!Std7PayrollEmploymentRequirements, 9, 4, 1, 1)=DATE(1900,1,0), DATE(1900,1,1), OFFSET('IWP30'!Std7PayrollEmploymentRequirements, 9, 4, 1, 1))</f>
        <v>1</v>
      </c>
      <c r="E1707" s="195" t="str">
        <f ca="1">IF(OFFSET('IWP30'!Std7PayrollEmploymentRequirements, 9, 5, 1, 1) = 0, "", OFFSET('IWP30'!Std7PayrollEmploymentRequirements, 9, 5, 1, 1))</f>
        <v/>
      </c>
      <c r="F1707" s="195" t="str">
        <f ca="1">IF(OFFSET('IWP30'!Std7PayrollEmploymentRequirements, 9, 6, 1, 1) = 0, "", OFFSET('IWP30'!Std7PayrollEmploymentRequirements, 9, 6, 1, 1))</f>
        <v/>
      </c>
      <c r="G1707" s="195" t="str">
        <f ca="1">IF(OFFSET('IWP30'!Std7PayrollEmploymentRequirements, 9, 7, 1, 1) = 0, "", OFFSET('IWP30'!Std7PayrollEmploymentRequirements, 9, 7, 1, 1))</f>
        <v/>
      </c>
      <c r="H1707" s="195" t="str">
        <f ca="1">IF(OFFSET('IWP30'!Std7PayrollEmploymentRequirements, 9, 9, 1, 1) = 0, "", OFFSET('IWP30'!Std7PayrollEmploymentRequirements, 9, 9, 1, 1))</f>
        <v/>
      </c>
      <c r="I1707" s="194" t="str">
        <f ca="1">IF(OFFSET('IWP30'!Std7PayrollEmploymentRequirements, 9, 11, 1, 1) = 0, "", OFFSET('IWP30'!Std7PayrollEmploymentRequirements, 9, 11, 1, 1))</f>
        <v/>
      </c>
    </row>
    <row r="1708" spans="1:9" s="146" customFormat="1">
      <c r="A1708" s="183" t="s">
        <v>528</v>
      </c>
      <c r="B1708" s="195" t="str">
        <f ca="1">IF(OFFSET('IWP30'!Std7PayrollEmploymentRequirements, 10, 0, 1, 1) = 0, "", OFFSET('IWP30'!Std7PayrollEmploymentRequirements, 10, 0, 1, 1))</f>
        <v/>
      </c>
      <c r="C1708" s="195" t="str">
        <f ca="1">IF(OFFSET('IWP30'!Std7PayrollEmploymentRequirements, 10, 2, 1, 1) = 0, "", OFFSET('IWP30'!Std7PayrollEmploymentRequirements, 10, 2, 1, 1))</f>
        <v/>
      </c>
      <c r="D1708" s="172">
        <f ca="1">IF(OFFSET('IWP30'!Std7PayrollEmploymentRequirements, 10, 4, 1, 1)=DATE(1900,1,0), DATE(1900,1,1), OFFSET('IWP30'!Std7PayrollEmploymentRequirements, 10, 4, 1, 1))</f>
        <v>1</v>
      </c>
      <c r="E1708" s="195" t="str">
        <f ca="1">IF(OFFSET('IWP30'!Std7PayrollEmploymentRequirements, 10, 5, 1, 1) = 0, "", OFFSET('IWP30'!Std7PayrollEmploymentRequirements, 10, 5, 1, 1))</f>
        <v/>
      </c>
      <c r="F1708" s="195" t="str">
        <f ca="1">IF(OFFSET('IWP30'!Std7PayrollEmploymentRequirements, 10, 6, 1, 1) = 0, "", OFFSET('IWP30'!Std7PayrollEmploymentRequirements, 10, 6, 1, 1))</f>
        <v/>
      </c>
      <c r="G1708" s="195" t="str">
        <f ca="1">IF(OFFSET('IWP30'!Std7PayrollEmploymentRequirements, 10, 7, 1, 1) = 0, "", OFFSET('IWP30'!Std7PayrollEmploymentRequirements, 10, 7, 1, 1))</f>
        <v/>
      </c>
      <c r="H1708" s="195" t="str">
        <f ca="1">IF(OFFSET('IWP30'!Std7PayrollEmploymentRequirements, 10, 9, 1, 1) = 0, "", OFFSET('IWP30'!Std7PayrollEmploymentRequirements, 10, 9, 1, 1))</f>
        <v/>
      </c>
      <c r="I1708" s="194" t="str">
        <f ca="1">IF(OFFSET('IWP30'!Std7PayrollEmploymentRequirements, 10, 11, 1, 1) = 0, "", OFFSET('IWP30'!Std7PayrollEmploymentRequirements, 10, 11, 1, 1))</f>
        <v/>
      </c>
    </row>
    <row r="1709" spans="1:9" s="146" customFormat="1">
      <c r="A1709" s="183" t="s">
        <v>528</v>
      </c>
      <c r="B1709" s="195" t="str">
        <f ca="1">IF(OFFSET('IWP30'!Std7PayrollEmploymentRequirements, 11, 0, 1, 1) = 0, "", OFFSET('IWP30'!Std7PayrollEmploymentRequirements, 11, 0, 1, 1))</f>
        <v/>
      </c>
      <c r="C1709" s="195" t="str">
        <f ca="1">IF(OFFSET('IWP30'!Std7PayrollEmploymentRequirements, 11, 2, 1, 1) = 0, "", OFFSET('IWP30'!Std7PayrollEmploymentRequirements, 11, 2, 1, 1))</f>
        <v/>
      </c>
      <c r="D1709" s="172">
        <f ca="1">IF(OFFSET('IWP30'!Std7PayrollEmploymentRequirements, 11, 4, 1, 1)=DATE(1900,1,0), DATE(1900,1,1), OFFSET('IWP30'!Std7PayrollEmploymentRequirements, 11, 4, 1, 1))</f>
        <v>1</v>
      </c>
      <c r="E1709" s="195" t="str">
        <f ca="1">IF(OFFSET('IWP30'!Std7PayrollEmploymentRequirements, 11, 5, 1, 1) = 0, "", OFFSET('IWP30'!Std7PayrollEmploymentRequirements, 11, 5, 1, 1))</f>
        <v/>
      </c>
      <c r="F1709" s="195" t="str">
        <f ca="1">IF(OFFSET('IWP30'!Std7PayrollEmploymentRequirements, 11, 6, 1, 1) = 0, "", OFFSET('IWP30'!Std7PayrollEmploymentRequirements, 11, 6, 1, 1))</f>
        <v/>
      </c>
      <c r="G1709" s="195" t="str">
        <f ca="1">IF(OFFSET('IWP30'!Std7PayrollEmploymentRequirements, 11, 7, 1, 1) = 0, "", OFFSET('IWP30'!Std7PayrollEmploymentRequirements, 11, 7, 1, 1))</f>
        <v/>
      </c>
      <c r="H1709" s="195" t="str">
        <f ca="1">IF(OFFSET('IWP30'!Std7PayrollEmploymentRequirements, 11, 9, 1, 1) = 0, "", OFFSET('IWP30'!Std7PayrollEmploymentRequirements, 11, 9, 1, 1))</f>
        <v/>
      </c>
      <c r="I1709" s="194" t="str">
        <f ca="1">IF(OFFSET('IWP30'!Std7PayrollEmploymentRequirements, 11, 11, 1, 1) = 0, "", OFFSET('IWP30'!Std7PayrollEmploymentRequirements, 11, 11, 1, 1))</f>
        <v/>
      </c>
    </row>
    <row r="1710" spans="1:9" s="146" customFormat="1">
      <c r="A1710" s="183" t="s">
        <v>528</v>
      </c>
      <c r="B1710" s="195" t="str">
        <f ca="1">IF(OFFSET('IWP30'!Std7PayrollEmploymentRequirements, 12, 0, 1, 1) = 0, "", OFFSET('IWP30'!Std7PayrollEmploymentRequirements, 12, 0, 1, 1))</f>
        <v/>
      </c>
      <c r="C1710" s="195" t="str">
        <f ca="1">IF(OFFSET('IWP30'!Std7PayrollEmploymentRequirements, 12, 2, 1, 1) = 0, "", OFFSET('IWP30'!Std7PayrollEmploymentRequirements, 12, 2, 1, 1))</f>
        <v/>
      </c>
      <c r="D1710" s="172">
        <f ca="1">IF(OFFSET('IWP30'!Std7PayrollEmploymentRequirements, 12, 4, 1, 1)=DATE(1900,1,0), DATE(1900,1,1), OFFSET('IWP30'!Std7PayrollEmploymentRequirements, 12, 4, 1, 1))</f>
        <v>1</v>
      </c>
      <c r="E1710" s="195" t="str">
        <f ca="1">IF(OFFSET('IWP30'!Std7PayrollEmploymentRequirements, 12, 5, 1, 1) = 0, "", OFFSET('IWP30'!Std7PayrollEmploymentRequirements, 12, 5, 1, 1))</f>
        <v/>
      </c>
      <c r="F1710" s="195" t="str">
        <f ca="1">IF(OFFSET('IWP30'!Std7PayrollEmploymentRequirements, 12, 6, 1, 1) = 0, "", OFFSET('IWP30'!Std7PayrollEmploymentRequirements, 12, 6, 1, 1))</f>
        <v/>
      </c>
      <c r="G1710" s="195" t="str">
        <f ca="1">IF(OFFSET('IWP30'!Std7PayrollEmploymentRequirements, 12, 7, 1, 1) = 0, "", OFFSET('IWP30'!Std7PayrollEmploymentRequirements, 12, 7, 1, 1))</f>
        <v/>
      </c>
      <c r="H1710" s="195" t="str">
        <f ca="1">IF(OFFSET('IWP30'!Std7PayrollEmploymentRequirements, 12, 9, 1, 1) = 0, "", OFFSET('IWP30'!Std7PayrollEmploymentRequirements, 12, 9, 1, 1))</f>
        <v/>
      </c>
      <c r="I1710" s="194" t="str">
        <f ca="1">IF(OFFSET('IWP30'!Std7PayrollEmploymentRequirements, 12, 11, 1, 1) = 0, "", OFFSET('IWP30'!Std7PayrollEmploymentRequirements, 12, 11, 1, 1))</f>
        <v/>
      </c>
    </row>
    <row r="1711" spans="1:9" s="146" customFormat="1">
      <c r="A1711" s="183" t="s">
        <v>528</v>
      </c>
      <c r="B1711" s="195" t="str">
        <f ca="1">IF(OFFSET('IWP30'!Std7PayrollEmploymentRequirements, 13, 0, 1, 1) = 0, "", OFFSET('IWP30'!Std7PayrollEmploymentRequirements, 13, 0, 1, 1))</f>
        <v/>
      </c>
      <c r="C1711" s="195" t="str">
        <f ca="1">IF(OFFSET('IWP30'!Std7PayrollEmploymentRequirements, 13, 2, 1, 1) = 0, "", OFFSET('IWP30'!Std7PayrollEmploymentRequirements, 13, 2, 1, 1))</f>
        <v/>
      </c>
      <c r="D1711" s="172">
        <f ca="1">IF(OFFSET('IWP30'!Std7PayrollEmploymentRequirements, 13, 4, 1, 1)=DATE(1900,1,0), DATE(1900,1,1), OFFSET('IWP30'!Std7PayrollEmploymentRequirements, 13, 4, 1, 1))</f>
        <v>1</v>
      </c>
      <c r="E1711" s="195" t="str">
        <f ca="1">IF(OFFSET('IWP30'!Std7PayrollEmploymentRequirements, 13, 5, 1, 1) = 0, "", OFFSET('IWP30'!Std7PayrollEmploymentRequirements, 13, 5, 1, 1))</f>
        <v/>
      </c>
      <c r="F1711" s="195" t="str">
        <f ca="1">IF(OFFSET('IWP30'!Std7PayrollEmploymentRequirements, 13, 6, 1, 1) = 0, "", OFFSET('IWP30'!Std7PayrollEmploymentRequirements, 13, 6, 1, 1))</f>
        <v/>
      </c>
      <c r="G1711" s="195" t="str">
        <f ca="1">IF(OFFSET('IWP30'!Std7PayrollEmploymentRequirements, 13, 7, 1, 1) = 0, "", OFFSET('IWP30'!Std7PayrollEmploymentRequirements, 13, 7, 1, 1))</f>
        <v/>
      </c>
      <c r="H1711" s="195" t="str">
        <f ca="1">IF(OFFSET('IWP30'!Std7PayrollEmploymentRequirements, 13, 9, 1, 1) = 0, "", OFFSET('IWP30'!Std7PayrollEmploymentRequirements, 13, 9, 1, 1))</f>
        <v/>
      </c>
      <c r="I1711" s="194" t="str">
        <f ca="1">IF(OFFSET('IWP30'!Std7PayrollEmploymentRequirements, 13, 11, 1, 1) = 0, "", OFFSET('IWP30'!Std7PayrollEmploymentRequirements, 13, 11, 1, 1))</f>
        <v/>
      </c>
    </row>
    <row r="1712" spans="1:9" s="146" customFormat="1">
      <c r="A1712" s="183" t="s">
        <v>528</v>
      </c>
      <c r="B1712" s="195" t="str">
        <f ca="1">IF(OFFSET('IWP30'!Std7PayrollEmploymentRequirements, 14, 0, 1, 1) = 0, "", OFFSET('IWP30'!Std7PayrollEmploymentRequirements, 14, 0, 1, 1))</f>
        <v/>
      </c>
      <c r="C1712" s="195" t="str">
        <f ca="1">IF(OFFSET('IWP30'!Std7PayrollEmploymentRequirements, 14, 2, 1, 1) = 0, "", OFFSET('IWP30'!Std7PayrollEmploymentRequirements, 14, 2, 1, 1))</f>
        <v/>
      </c>
      <c r="D1712" s="172">
        <f ca="1">IF(OFFSET('IWP30'!Std7PayrollEmploymentRequirements, 14, 4, 1, 1)=DATE(1900,1,0), DATE(1900,1,1), OFFSET('IWP30'!Std7PayrollEmploymentRequirements, 14, 4, 1, 1))</f>
        <v>1</v>
      </c>
      <c r="E1712" s="195" t="str">
        <f ca="1">IF(OFFSET('IWP30'!Std7PayrollEmploymentRequirements, 14, 5, 1, 1) = 0, "", OFFSET('IWP30'!Std7PayrollEmploymentRequirements, 14, 5, 1, 1))</f>
        <v/>
      </c>
      <c r="F1712" s="195" t="str">
        <f ca="1">IF(OFFSET('IWP30'!Std7PayrollEmploymentRequirements, 14, 6, 1, 1) = 0, "", OFFSET('IWP30'!Std7PayrollEmploymentRequirements, 14, 6, 1, 1))</f>
        <v/>
      </c>
      <c r="G1712" s="195" t="str">
        <f ca="1">IF(OFFSET('IWP30'!Std7PayrollEmploymentRequirements, 14, 7, 1, 1) = 0, "", OFFSET('IWP30'!Std7PayrollEmploymentRequirements, 14, 7, 1, 1))</f>
        <v/>
      </c>
      <c r="H1712" s="195" t="str">
        <f ca="1">IF(OFFSET('IWP30'!Std7PayrollEmploymentRequirements, 14, 9, 1, 1) = 0, "", OFFSET('IWP30'!Std7PayrollEmploymentRequirements, 14, 9, 1, 1))</f>
        <v/>
      </c>
      <c r="I1712" s="194" t="str">
        <f ca="1">IF(OFFSET('IWP30'!Std7PayrollEmploymentRequirements, 14, 11, 1, 1) = 0, "", OFFSET('IWP30'!Std7PayrollEmploymentRequirements, 14, 11, 1, 1))</f>
        <v/>
      </c>
    </row>
    <row r="1713" spans="1:9" s="146" customFormat="1" ht="15.75" thickBot="1">
      <c r="A1713" s="184" t="s">
        <v>528</v>
      </c>
      <c r="B1713" s="182" t="str">
        <f ca="1">IF(OFFSET('IWP30'!Std7PayrollEmploymentRequirements, 15, 0, 1, 1) = 0, "", OFFSET('IWP30'!Std7PayrollEmploymentRequirements, 15, 0, 1, 1))</f>
        <v/>
      </c>
      <c r="C1713" s="182" t="str">
        <f ca="1">IF(OFFSET('IWP30'!Std7PayrollEmploymentRequirements, 15, 2, 1, 1) = 0, "", OFFSET('IWP30'!Std7PayrollEmploymentRequirements, 15, 2, 1, 1))</f>
        <v/>
      </c>
      <c r="D1713" s="178">
        <f ca="1">IF(OFFSET('IWP30'!Std7PayrollEmploymentRequirements, 15, 4, 1, 1)=DATE(1900,1,0), DATE(1900,1,1), OFFSET('IWP30'!Std7PayrollEmploymentRequirements, 15, 4, 1, 1))</f>
        <v>1</v>
      </c>
      <c r="E1713" s="182" t="str">
        <f ca="1">IF(OFFSET('IWP30'!Std7PayrollEmploymentRequirements, 15, 5, 1, 1) = 0, "", OFFSET('IWP30'!Std7PayrollEmploymentRequirements, 15, 5, 1, 1))</f>
        <v/>
      </c>
      <c r="F1713" s="182" t="str">
        <f ca="1">IF(OFFSET('IWP30'!Std7PayrollEmploymentRequirements, 15, 6, 1, 1) = 0, "", OFFSET('IWP30'!Std7PayrollEmploymentRequirements, 15, 6, 1, 1))</f>
        <v/>
      </c>
      <c r="G1713" s="182" t="str">
        <f ca="1">IF(OFFSET('IWP30'!Std7PayrollEmploymentRequirements, 15, 7, 1, 1) = 0, "", OFFSET('IWP30'!Std7PayrollEmploymentRequirements, 15, 7, 1, 1))</f>
        <v/>
      </c>
      <c r="H1713" s="182" t="str">
        <f ca="1">IF(OFFSET('IWP30'!Std7PayrollEmploymentRequirements, 15, 9, 1, 1) = 0, "", OFFSET('IWP30'!Std7PayrollEmploymentRequirements, 15, 9, 1, 1))</f>
        <v/>
      </c>
      <c r="I1713" s="186" t="str">
        <f ca="1">IF(OFFSET('IWP30'!Std7PayrollEmploymentRequirements, 15, 11, 1, 1) = 0, "", OFFSET('IWP30'!Std7PayrollEmploymentRequirements, 15, 11, 1, 1))</f>
        <v/>
      </c>
    </row>
    <row r="1715" spans="1:9" ht="15.75" thickBot="1">
      <c r="A1715" s="168" t="s">
        <v>566</v>
      </c>
    </row>
    <row r="1716" spans="1:9" s="107" customFormat="1" ht="45">
      <c r="A1716" s="170" t="s">
        <v>443</v>
      </c>
      <c r="B1716" s="171" t="s">
        <v>548</v>
      </c>
      <c r="C1716" s="171" t="s">
        <v>564</v>
      </c>
      <c r="D1716" s="173" t="s">
        <v>565</v>
      </c>
    </row>
    <row r="1717" spans="1:9">
      <c r="A1717" s="193" t="s">
        <v>499</v>
      </c>
      <c r="B1717" s="196">
        <v>1</v>
      </c>
      <c r="C1717" s="195" t="str">
        <f ca="1">IF(OFFSET('IWP01'!Std8dot1ReportingRequirements, 0, 0, 1, 1) = 0, "", OFFSET('IWP01'!Std8dot1ReportingRequirements, 0, 0, 1, 1))</f>
        <v/>
      </c>
      <c r="D1717" s="194" t="str">
        <f ca="1">IF(OFFSET('IWP01'!Std8dot1ReportingRequirements, 0, 1, 1, 1) = 0, "", OFFSET('IWP01'!Std8dot1ReportingRequirements, 0, 1, 1, 1))</f>
        <v/>
      </c>
    </row>
    <row r="1718" spans="1:9">
      <c r="A1718" s="193" t="s">
        <v>499</v>
      </c>
      <c r="B1718" s="196">
        <v>2</v>
      </c>
      <c r="C1718" s="195" t="str">
        <f ca="1">IF(OFFSET('IWP01'!Std8dot1ReportingRequirements, 1, 0, 1, 1) = 0, "", OFFSET('IWP01'!Std8dot1ReportingRequirements, 1, 0, 1, 1))</f>
        <v/>
      </c>
      <c r="D1718" s="194" t="str">
        <f ca="1">IF(OFFSET('IWP01'!Std8dot1ReportingRequirements, 1, 1, 1, 1) = 0, "", OFFSET('IWP01'!Std8dot1ReportingRequirements, 1, 1, 1, 1))</f>
        <v/>
      </c>
    </row>
    <row r="1719" spans="1:9">
      <c r="A1719" s="193" t="s">
        <v>499</v>
      </c>
      <c r="B1719" s="196">
        <v>3</v>
      </c>
      <c r="C1719" s="195" t="str">
        <f ca="1">IF(OFFSET('IWP01'!Std8dot1ReportingRequirements, 2, 0, 1, 1) = 0, "", OFFSET('IWP01'!Std8dot1ReportingRequirements, 2, 0, 1, 1))</f>
        <v/>
      </c>
      <c r="D1719" s="194" t="str">
        <f ca="1">IF(OFFSET('IWP01'!Std8dot1ReportingRequirements, 2, 1, 1, 1) = 0, "", OFFSET('IWP01'!Std8dot1ReportingRequirements, 2, 1, 1, 1))</f>
        <v/>
      </c>
    </row>
    <row r="1720" spans="1:9">
      <c r="A1720" s="193" t="s">
        <v>499</v>
      </c>
      <c r="B1720" s="196">
        <v>4</v>
      </c>
      <c r="C1720" s="195" t="str">
        <f ca="1">IF(OFFSET('IWP01'!Std8dot1ReportingRequirements, 3, 0, 1, 1) = 0, "", OFFSET('IWP01'!Std8dot1ReportingRequirements, 3, 0, 1, 1))</f>
        <v/>
      </c>
      <c r="D1720" s="194" t="str">
        <f ca="1">IF(OFFSET('IWP01'!Std8dot1ReportingRequirements, 3, 1, 1, 1) = 0, "", OFFSET('IWP01'!Std8dot1ReportingRequirements, 3, 1, 1, 1))</f>
        <v/>
      </c>
    </row>
    <row r="1721" spans="1:9" s="105" customFormat="1">
      <c r="A1721" s="193" t="s">
        <v>500</v>
      </c>
      <c r="B1721" s="196">
        <v>1</v>
      </c>
      <c r="C1721" s="195" t="str">
        <f ca="1">IF(OFFSET('IWP02'!Std8dot1ReportingRequirements, 0, 0, 1, 1) = 0, "", OFFSET('IWP02'!Std8dot1ReportingRequirements, 0, 0, 1, 1))</f>
        <v/>
      </c>
      <c r="D1721" s="194" t="str">
        <f ca="1">IF(OFFSET('IWP02'!Std8dot1ReportingRequirements, 0, 1, 1, 1) = 0, "", OFFSET('IWP02'!Std8dot1ReportingRequirements, 0, 1, 1, 1))</f>
        <v/>
      </c>
    </row>
    <row r="1722" spans="1:9" s="105" customFormat="1">
      <c r="A1722" s="193" t="s">
        <v>500</v>
      </c>
      <c r="B1722" s="196">
        <v>2</v>
      </c>
      <c r="C1722" s="195" t="str">
        <f ca="1">IF(OFFSET('IWP02'!Std8dot1ReportingRequirements, 1, 0, 1, 1) = 0, "", OFFSET('IWP02'!Std8dot1ReportingRequirements, 1, 0, 1, 1))</f>
        <v/>
      </c>
      <c r="D1722" s="194" t="str">
        <f ca="1">IF(OFFSET('IWP02'!Std8dot1ReportingRequirements, 1, 1, 1, 1) = 0, "", OFFSET('IWP02'!Std8dot1ReportingRequirements, 1, 1, 1, 1))</f>
        <v/>
      </c>
    </row>
    <row r="1723" spans="1:9" s="105" customFormat="1">
      <c r="A1723" s="193" t="s">
        <v>500</v>
      </c>
      <c r="B1723" s="196">
        <v>3</v>
      </c>
      <c r="C1723" s="195" t="str">
        <f ca="1">IF(OFFSET('IWP02'!Std8dot1ReportingRequirements, 2, 0, 1, 1) = 0, "", OFFSET('IWP02'!Std8dot1ReportingRequirements, 2, 0, 1, 1))</f>
        <v/>
      </c>
      <c r="D1723" s="194" t="str">
        <f ca="1">IF(OFFSET('IWP02'!Std8dot1ReportingRequirements, 2, 1, 1, 1) = 0, "", OFFSET('IWP02'!Std8dot1ReportingRequirements, 2, 1, 1, 1))</f>
        <v/>
      </c>
    </row>
    <row r="1724" spans="1:9" s="105" customFormat="1">
      <c r="A1724" s="193" t="s">
        <v>500</v>
      </c>
      <c r="B1724" s="196">
        <v>4</v>
      </c>
      <c r="C1724" s="195" t="str">
        <f ca="1">IF(OFFSET('IWP02'!Std8dot1ReportingRequirements, 3, 0, 1, 1) = 0, "", OFFSET('IWP02'!Std8dot1ReportingRequirements, 3, 0, 1, 1))</f>
        <v/>
      </c>
      <c r="D1724" s="194" t="str">
        <f ca="1">IF(OFFSET('IWP02'!Std8dot1ReportingRequirements, 3, 1, 1, 1) = 0, "", OFFSET('IWP02'!Std8dot1ReportingRequirements, 3, 1, 1, 1))</f>
        <v/>
      </c>
    </row>
    <row r="1725" spans="1:9" s="105" customFormat="1">
      <c r="A1725" s="193" t="s">
        <v>501</v>
      </c>
      <c r="B1725" s="196">
        <v>1</v>
      </c>
      <c r="C1725" s="195" t="str">
        <f ca="1">IF(OFFSET('IWP03'!Std8dot1ReportingRequirements, 0, 0, 1, 1) = 0, "", OFFSET('IWP03'!Std8dot1ReportingRequirements, 0, 0, 1, 1))</f>
        <v/>
      </c>
      <c r="D1725" s="194" t="str">
        <f ca="1">IF(OFFSET('IWP03'!Std8dot1ReportingRequirements, 0, 1, 1, 1) = 0, "", OFFSET('IWP03'!Std8dot1ReportingRequirements, 0, 1, 1, 1))</f>
        <v/>
      </c>
    </row>
    <row r="1726" spans="1:9" s="105" customFormat="1">
      <c r="A1726" s="193" t="s">
        <v>501</v>
      </c>
      <c r="B1726" s="196">
        <v>2</v>
      </c>
      <c r="C1726" s="195" t="str">
        <f ca="1">IF(OFFSET('IWP03'!Std8dot1ReportingRequirements, 1, 0, 1, 1) = 0, "", OFFSET('IWP03'!Std8dot1ReportingRequirements, 1, 0, 1, 1))</f>
        <v/>
      </c>
      <c r="D1726" s="194" t="str">
        <f ca="1">IF(OFFSET('IWP03'!Std8dot1ReportingRequirements, 1, 1, 1, 1) = 0, "", OFFSET('IWP03'!Std8dot1ReportingRequirements, 1, 1, 1, 1))</f>
        <v/>
      </c>
    </row>
    <row r="1727" spans="1:9" s="105" customFormat="1">
      <c r="A1727" s="193" t="s">
        <v>501</v>
      </c>
      <c r="B1727" s="196">
        <v>3</v>
      </c>
      <c r="C1727" s="195" t="str">
        <f ca="1">IF(OFFSET('IWP03'!Std8dot1ReportingRequirements, 2, 0, 1, 1) = 0, "", OFFSET('IWP03'!Std8dot1ReportingRequirements, 2, 0, 1, 1))</f>
        <v/>
      </c>
      <c r="D1727" s="194" t="str">
        <f ca="1">IF(OFFSET('IWP03'!Std8dot1ReportingRequirements, 2, 1, 1, 1) = 0, "", OFFSET('IWP03'!Std8dot1ReportingRequirements, 2, 1, 1, 1))</f>
        <v/>
      </c>
    </row>
    <row r="1728" spans="1:9" s="105" customFormat="1">
      <c r="A1728" s="193" t="s">
        <v>501</v>
      </c>
      <c r="B1728" s="196">
        <v>4</v>
      </c>
      <c r="C1728" s="195" t="str">
        <f ca="1">IF(OFFSET('IWP03'!Std8dot1ReportingRequirements, 3, 0, 1, 1) = 0, "", OFFSET('IWP03'!Std8dot1ReportingRequirements, 3, 0, 1, 1))</f>
        <v/>
      </c>
      <c r="D1728" s="194" t="str">
        <f ca="1">IF(OFFSET('IWP03'!Std8dot1ReportingRequirements, 3, 1, 1, 1) = 0, "", OFFSET('IWP03'!Std8dot1ReportingRequirements, 3, 1, 1, 1))</f>
        <v/>
      </c>
    </row>
    <row r="1729" spans="1:4" s="146" customFormat="1">
      <c r="A1729" s="193" t="s">
        <v>502</v>
      </c>
      <c r="B1729" s="196">
        <v>1</v>
      </c>
      <c r="C1729" s="195" t="str">
        <f ca="1">IF(OFFSET('IWP04'!Std8dot1ReportingRequirements, 0, 0, 1, 1) = 0, "", OFFSET('IWP04'!Std8dot1ReportingRequirements, 0, 0, 1, 1))</f>
        <v/>
      </c>
      <c r="D1729" s="194" t="str">
        <f ca="1">IF(OFFSET('IWP04'!Std8dot1ReportingRequirements, 0, 1, 1, 1) = 0, "", OFFSET('IWP04'!Std8dot1ReportingRequirements, 0, 1, 1, 1))</f>
        <v/>
      </c>
    </row>
    <row r="1730" spans="1:4" s="146" customFormat="1">
      <c r="A1730" s="193" t="s">
        <v>502</v>
      </c>
      <c r="B1730" s="196">
        <v>2</v>
      </c>
      <c r="C1730" s="195" t="str">
        <f ca="1">IF(OFFSET('IWP04'!Std8dot1ReportingRequirements, 1, 0, 1, 1) = 0, "", OFFSET('IWP04'!Std8dot1ReportingRequirements, 1, 0, 1, 1))</f>
        <v/>
      </c>
      <c r="D1730" s="194" t="str">
        <f ca="1">IF(OFFSET('IWP04'!Std8dot1ReportingRequirements, 1, 1, 1, 1) = 0, "", OFFSET('IWP04'!Std8dot1ReportingRequirements, 1, 1, 1, 1))</f>
        <v/>
      </c>
    </row>
    <row r="1731" spans="1:4" s="146" customFormat="1">
      <c r="A1731" s="193" t="s">
        <v>502</v>
      </c>
      <c r="B1731" s="196">
        <v>3</v>
      </c>
      <c r="C1731" s="195" t="str">
        <f ca="1">IF(OFFSET('IWP04'!Std8dot1ReportingRequirements, 2, 0, 1, 1) = 0, "", OFFSET('IWP04'!Std8dot1ReportingRequirements, 2, 0, 1, 1))</f>
        <v/>
      </c>
      <c r="D1731" s="194" t="str">
        <f ca="1">IF(OFFSET('IWP04'!Std8dot1ReportingRequirements, 2, 1, 1, 1) = 0, "", OFFSET('IWP04'!Std8dot1ReportingRequirements, 2, 1, 1, 1))</f>
        <v/>
      </c>
    </row>
    <row r="1732" spans="1:4" s="146" customFormat="1">
      <c r="A1732" s="193" t="s">
        <v>502</v>
      </c>
      <c r="B1732" s="196">
        <v>4</v>
      </c>
      <c r="C1732" s="195" t="str">
        <f ca="1">IF(OFFSET('IWP04'!Std8dot1ReportingRequirements, 3, 0, 1, 1) = 0, "", OFFSET('IWP04'!Std8dot1ReportingRequirements, 3, 0, 1, 1))</f>
        <v/>
      </c>
      <c r="D1732" s="194" t="str">
        <f ca="1">IF(OFFSET('IWP04'!Std8dot1ReportingRequirements, 3, 1, 1, 1) = 0, "", OFFSET('IWP04'!Std8dot1ReportingRequirements, 3, 1, 1, 1))</f>
        <v/>
      </c>
    </row>
    <row r="1733" spans="1:4" s="146" customFormat="1">
      <c r="A1733" s="193" t="s">
        <v>503</v>
      </c>
      <c r="B1733" s="196">
        <v>1</v>
      </c>
      <c r="C1733" s="195" t="str">
        <f ca="1">IF(OFFSET('IWP05'!Std8dot1ReportingRequirements, 0, 0, 1, 1) = 0, "", OFFSET('IWP05'!Std8dot1ReportingRequirements, 0, 0, 1, 1))</f>
        <v/>
      </c>
      <c r="D1733" s="194" t="str">
        <f ca="1">IF(OFFSET('IWP05'!Std8dot1ReportingRequirements, 0, 1, 1, 1) = 0, "", OFFSET('IWP05'!Std8dot1ReportingRequirements, 0, 1, 1, 1))</f>
        <v/>
      </c>
    </row>
    <row r="1734" spans="1:4" s="146" customFormat="1">
      <c r="A1734" s="193" t="s">
        <v>503</v>
      </c>
      <c r="B1734" s="196">
        <v>2</v>
      </c>
      <c r="C1734" s="195" t="str">
        <f ca="1">IF(OFFSET('IWP05'!Std8dot1ReportingRequirements, 1, 0, 1, 1) = 0, "", OFFSET('IWP05'!Std8dot1ReportingRequirements, 1, 0, 1, 1))</f>
        <v/>
      </c>
      <c r="D1734" s="194" t="str">
        <f ca="1">IF(OFFSET('IWP05'!Std8dot1ReportingRequirements, 1, 1, 1, 1) = 0, "", OFFSET('IWP05'!Std8dot1ReportingRequirements, 1, 1, 1, 1))</f>
        <v/>
      </c>
    </row>
    <row r="1735" spans="1:4" s="146" customFormat="1">
      <c r="A1735" s="193" t="s">
        <v>503</v>
      </c>
      <c r="B1735" s="196">
        <v>3</v>
      </c>
      <c r="C1735" s="195" t="str">
        <f ca="1">IF(OFFSET('IWP05'!Std8dot1ReportingRequirements, 2, 0, 1, 1) = 0, "", OFFSET('IWP05'!Std8dot1ReportingRequirements, 2, 0, 1, 1))</f>
        <v/>
      </c>
      <c r="D1735" s="194" t="str">
        <f ca="1">IF(OFFSET('IWP05'!Std8dot1ReportingRequirements, 2, 1, 1, 1) = 0, "", OFFSET('IWP05'!Std8dot1ReportingRequirements, 2, 1, 1, 1))</f>
        <v/>
      </c>
    </row>
    <row r="1736" spans="1:4" s="146" customFormat="1">
      <c r="A1736" s="193" t="s">
        <v>503</v>
      </c>
      <c r="B1736" s="196">
        <v>4</v>
      </c>
      <c r="C1736" s="195" t="str">
        <f ca="1">IF(OFFSET('IWP05'!Std8dot1ReportingRequirements, 3, 0, 1, 1) = 0, "", OFFSET('IWP05'!Std8dot1ReportingRequirements, 3, 0, 1, 1))</f>
        <v/>
      </c>
      <c r="D1736" s="194" t="str">
        <f ca="1">IF(OFFSET('IWP05'!Std8dot1ReportingRequirements, 3, 1, 1, 1) = 0, "", OFFSET('IWP05'!Std8dot1ReportingRequirements, 3, 1, 1, 1))</f>
        <v/>
      </c>
    </row>
    <row r="1737" spans="1:4" s="146" customFormat="1">
      <c r="A1737" s="193" t="s">
        <v>504</v>
      </c>
      <c r="B1737" s="196">
        <v>1</v>
      </c>
      <c r="C1737" s="195" t="str">
        <f ca="1">IF(OFFSET('IWP06'!Std8dot1ReportingRequirements, 0, 0, 1, 1) = 0, "", OFFSET('IWP06'!Std8dot1ReportingRequirements, 0, 0, 1, 1))</f>
        <v/>
      </c>
      <c r="D1737" s="194" t="str">
        <f ca="1">IF(OFFSET('IWP06'!Std8dot1ReportingRequirements, 0, 1, 1, 1) = 0, "", OFFSET('IWP06'!Std8dot1ReportingRequirements, 0, 1, 1, 1))</f>
        <v/>
      </c>
    </row>
    <row r="1738" spans="1:4" s="146" customFormat="1">
      <c r="A1738" s="193" t="s">
        <v>504</v>
      </c>
      <c r="B1738" s="196">
        <v>2</v>
      </c>
      <c r="C1738" s="195" t="str">
        <f ca="1">IF(OFFSET('IWP06'!Std8dot1ReportingRequirements, 1, 0, 1, 1) = 0, "", OFFSET('IWP06'!Std8dot1ReportingRequirements, 1, 0, 1, 1))</f>
        <v/>
      </c>
      <c r="D1738" s="194" t="str">
        <f ca="1">IF(OFFSET('IWP06'!Std8dot1ReportingRequirements, 1, 1, 1, 1) = 0, "", OFFSET('IWP06'!Std8dot1ReportingRequirements, 1, 1, 1, 1))</f>
        <v/>
      </c>
    </row>
    <row r="1739" spans="1:4" s="146" customFormat="1">
      <c r="A1739" s="193" t="s">
        <v>504</v>
      </c>
      <c r="B1739" s="196">
        <v>3</v>
      </c>
      <c r="C1739" s="195" t="str">
        <f ca="1">IF(OFFSET('IWP06'!Std8dot1ReportingRequirements, 2, 0, 1, 1) = 0, "", OFFSET('IWP06'!Std8dot1ReportingRequirements, 2, 0, 1, 1))</f>
        <v/>
      </c>
      <c r="D1739" s="194" t="str">
        <f ca="1">IF(OFFSET('IWP06'!Std8dot1ReportingRequirements, 2, 1, 1, 1) = 0, "", OFFSET('IWP06'!Std8dot1ReportingRequirements, 2, 1, 1, 1))</f>
        <v/>
      </c>
    </row>
    <row r="1740" spans="1:4" s="146" customFormat="1">
      <c r="A1740" s="193" t="s">
        <v>504</v>
      </c>
      <c r="B1740" s="196">
        <v>4</v>
      </c>
      <c r="C1740" s="195" t="str">
        <f ca="1">IF(OFFSET('IWP06'!Std8dot1ReportingRequirements, 3, 0, 1, 1) = 0, "", OFFSET('IWP06'!Std8dot1ReportingRequirements, 3, 0, 1, 1))</f>
        <v/>
      </c>
      <c r="D1740" s="194" t="str">
        <f ca="1">IF(OFFSET('IWP06'!Std8dot1ReportingRequirements, 3, 1, 1, 1) = 0, "", OFFSET('IWP06'!Std8dot1ReportingRequirements, 3, 1, 1, 1))</f>
        <v/>
      </c>
    </row>
    <row r="1741" spans="1:4" s="146" customFormat="1">
      <c r="A1741" s="193" t="s">
        <v>505</v>
      </c>
      <c r="B1741" s="196">
        <v>1</v>
      </c>
      <c r="C1741" s="195" t="str">
        <f ca="1">IF(OFFSET('IWP07'!Std8dot1ReportingRequirements, 0, 0, 1, 1) = 0, "", OFFSET('IWP07'!Std8dot1ReportingRequirements, 0, 0, 1, 1))</f>
        <v/>
      </c>
      <c r="D1741" s="194" t="str">
        <f ca="1">IF(OFFSET('IWP07'!Std8dot1ReportingRequirements, 0, 1, 1, 1) = 0, "", OFFSET('IWP07'!Std8dot1ReportingRequirements, 0, 1, 1, 1))</f>
        <v/>
      </c>
    </row>
    <row r="1742" spans="1:4" s="146" customFormat="1">
      <c r="A1742" s="193" t="s">
        <v>505</v>
      </c>
      <c r="B1742" s="196">
        <v>2</v>
      </c>
      <c r="C1742" s="195" t="str">
        <f ca="1">IF(OFFSET('IWP07'!Std8dot1ReportingRequirements, 1, 0, 1, 1) = 0, "", OFFSET('IWP07'!Std8dot1ReportingRequirements, 1, 0, 1, 1))</f>
        <v/>
      </c>
      <c r="D1742" s="194" t="str">
        <f ca="1">IF(OFFSET('IWP07'!Std8dot1ReportingRequirements, 1, 1, 1, 1) = 0, "", OFFSET('IWP07'!Std8dot1ReportingRequirements, 1, 1, 1, 1))</f>
        <v/>
      </c>
    </row>
    <row r="1743" spans="1:4" s="146" customFormat="1">
      <c r="A1743" s="193" t="s">
        <v>505</v>
      </c>
      <c r="B1743" s="196">
        <v>3</v>
      </c>
      <c r="C1743" s="195" t="str">
        <f ca="1">IF(OFFSET('IWP07'!Std8dot1ReportingRequirements, 2, 0, 1, 1) = 0, "", OFFSET('IWP07'!Std8dot1ReportingRequirements, 2, 0, 1, 1))</f>
        <v/>
      </c>
      <c r="D1743" s="194" t="str">
        <f ca="1">IF(OFFSET('IWP07'!Std8dot1ReportingRequirements, 2, 1, 1, 1) = 0, "", OFFSET('IWP07'!Std8dot1ReportingRequirements, 2, 1, 1, 1))</f>
        <v/>
      </c>
    </row>
    <row r="1744" spans="1:4" s="146" customFormat="1">
      <c r="A1744" s="193" t="s">
        <v>505</v>
      </c>
      <c r="B1744" s="196">
        <v>4</v>
      </c>
      <c r="C1744" s="195" t="str">
        <f ca="1">IF(OFFSET('IWP07'!Std8dot1ReportingRequirements, 3, 0, 1, 1) = 0, "", OFFSET('IWP07'!Std8dot1ReportingRequirements, 3, 0, 1, 1))</f>
        <v/>
      </c>
      <c r="D1744" s="194" t="str">
        <f ca="1">IF(OFFSET('IWP07'!Std8dot1ReportingRequirements, 3, 1, 1, 1) = 0, "", OFFSET('IWP07'!Std8dot1ReportingRequirements, 3, 1, 1, 1))</f>
        <v/>
      </c>
    </row>
    <row r="1745" spans="1:4" s="146" customFormat="1">
      <c r="A1745" s="193" t="s">
        <v>506</v>
      </c>
      <c r="B1745" s="196">
        <v>1</v>
      </c>
      <c r="C1745" s="195" t="str">
        <f ca="1">IF(OFFSET('IWP08'!Std8dot1ReportingRequirements, 0, 0, 1, 1) = 0, "", OFFSET('IWP08'!Std8dot1ReportingRequirements, 0, 0, 1, 1))</f>
        <v/>
      </c>
      <c r="D1745" s="194" t="str">
        <f ca="1">IF(OFFSET('IWP08'!Std8dot1ReportingRequirements, 0, 1, 1, 1) = 0, "", OFFSET('IWP08'!Std8dot1ReportingRequirements, 0, 1, 1, 1))</f>
        <v/>
      </c>
    </row>
    <row r="1746" spans="1:4" s="146" customFormat="1">
      <c r="A1746" s="193" t="s">
        <v>506</v>
      </c>
      <c r="B1746" s="196">
        <v>2</v>
      </c>
      <c r="C1746" s="195" t="str">
        <f ca="1">IF(OFFSET('IWP08'!Std8dot1ReportingRequirements, 1, 0, 1, 1) = 0, "", OFFSET('IWP08'!Std8dot1ReportingRequirements, 1, 0, 1, 1))</f>
        <v/>
      </c>
      <c r="D1746" s="194" t="str">
        <f ca="1">IF(OFFSET('IWP08'!Std8dot1ReportingRequirements, 1, 1, 1, 1) = 0, "", OFFSET('IWP08'!Std8dot1ReportingRequirements, 1, 1, 1, 1))</f>
        <v/>
      </c>
    </row>
    <row r="1747" spans="1:4" s="146" customFormat="1">
      <c r="A1747" s="193" t="s">
        <v>506</v>
      </c>
      <c r="B1747" s="196">
        <v>3</v>
      </c>
      <c r="C1747" s="195" t="str">
        <f ca="1">IF(OFFSET('IWP08'!Std8dot1ReportingRequirements, 2, 0, 1, 1) = 0, "", OFFSET('IWP08'!Std8dot1ReportingRequirements, 2, 0, 1, 1))</f>
        <v/>
      </c>
      <c r="D1747" s="194" t="str">
        <f ca="1">IF(OFFSET('IWP08'!Std8dot1ReportingRequirements, 2, 1, 1, 1) = 0, "", OFFSET('IWP08'!Std8dot1ReportingRequirements, 2, 1, 1, 1))</f>
        <v/>
      </c>
    </row>
    <row r="1748" spans="1:4" s="146" customFormat="1">
      <c r="A1748" s="193" t="s">
        <v>506</v>
      </c>
      <c r="B1748" s="196">
        <v>4</v>
      </c>
      <c r="C1748" s="195" t="str">
        <f ca="1">IF(OFFSET('IWP08'!Std8dot1ReportingRequirements, 3, 0, 1, 1) = 0, "", OFFSET('IWP08'!Std8dot1ReportingRequirements, 3, 0, 1, 1))</f>
        <v/>
      </c>
      <c r="D1748" s="194" t="str">
        <f ca="1">IF(OFFSET('IWP08'!Std8dot1ReportingRequirements, 3, 1, 1, 1) = 0, "", OFFSET('IWP08'!Std8dot1ReportingRequirements, 3, 1, 1, 1))</f>
        <v/>
      </c>
    </row>
    <row r="1749" spans="1:4" s="146" customFormat="1">
      <c r="A1749" s="193" t="s">
        <v>507</v>
      </c>
      <c r="B1749" s="196">
        <v>1</v>
      </c>
      <c r="C1749" s="195" t="str">
        <f ca="1">IF(OFFSET('IWP09'!Std8dot1ReportingRequirements, 0, 0, 1, 1) = 0, "", OFFSET('IWP09'!Std8dot1ReportingRequirements, 0, 0, 1, 1))</f>
        <v/>
      </c>
      <c r="D1749" s="194" t="str">
        <f ca="1">IF(OFFSET('IWP09'!Std8dot1ReportingRequirements, 0, 1, 1, 1) = 0, "", OFFSET('IWP09'!Std8dot1ReportingRequirements, 0, 1, 1, 1))</f>
        <v/>
      </c>
    </row>
    <row r="1750" spans="1:4" s="146" customFormat="1">
      <c r="A1750" s="193" t="s">
        <v>507</v>
      </c>
      <c r="B1750" s="196">
        <v>2</v>
      </c>
      <c r="C1750" s="195" t="str">
        <f ca="1">IF(OFFSET('IWP09'!Std8dot1ReportingRequirements, 1, 0, 1, 1) = 0, "", OFFSET('IWP09'!Std8dot1ReportingRequirements, 1, 0, 1, 1))</f>
        <v/>
      </c>
      <c r="D1750" s="194" t="str">
        <f ca="1">IF(OFFSET('IWP09'!Std8dot1ReportingRequirements, 1, 1, 1, 1) = 0, "", OFFSET('IWP09'!Std8dot1ReportingRequirements, 1, 1, 1, 1))</f>
        <v/>
      </c>
    </row>
    <row r="1751" spans="1:4" s="146" customFormat="1">
      <c r="A1751" s="193" t="s">
        <v>507</v>
      </c>
      <c r="B1751" s="196">
        <v>3</v>
      </c>
      <c r="C1751" s="195" t="str">
        <f ca="1">IF(OFFSET('IWP09'!Std8dot1ReportingRequirements, 2, 0, 1, 1) = 0, "", OFFSET('IWP09'!Std8dot1ReportingRequirements, 2, 0, 1, 1))</f>
        <v/>
      </c>
      <c r="D1751" s="194" t="str">
        <f ca="1">IF(OFFSET('IWP09'!Std8dot1ReportingRequirements, 2, 1, 1, 1) = 0, "", OFFSET('IWP09'!Std8dot1ReportingRequirements, 2, 1, 1, 1))</f>
        <v/>
      </c>
    </row>
    <row r="1752" spans="1:4" s="146" customFormat="1">
      <c r="A1752" s="193" t="s">
        <v>507</v>
      </c>
      <c r="B1752" s="196">
        <v>4</v>
      </c>
      <c r="C1752" s="195" t="str">
        <f ca="1">IF(OFFSET('IWP09'!Std8dot1ReportingRequirements, 3, 0, 1, 1) = 0, "", OFFSET('IWP09'!Std8dot1ReportingRequirements, 3, 0, 1, 1))</f>
        <v/>
      </c>
      <c r="D1752" s="194" t="str">
        <f ca="1">IF(OFFSET('IWP09'!Std8dot1ReportingRequirements, 3, 1, 1, 1) = 0, "", OFFSET('IWP09'!Std8dot1ReportingRequirements, 3, 1, 1, 1))</f>
        <v/>
      </c>
    </row>
    <row r="1753" spans="1:4" s="146" customFormat="1">
      <c r="A1753" s="193" t="s">
        <v>508</v>
      </c>
      <c r="B1753" s="196">
        <v>1</v>
      </c>
      <c r="C1753" s="195" t="str">
        <f ca="1">IF(OFFSET('IWP10'!Std8dot1ReportingRequirements, 0, 0, 1, 1) = 0, "", OFFSET('IWP10'!Std8dot1ReportingRequirements, 0, 0, 1, 1))</f>
        <v/>
      </c>
      <c r="D1753" s="194" t="str">
        <f ca="1">IF(OFFSET('IWP10'!Std8dot1ReportingRequirements, 0, 1, 1, 1) = 0, "", OFFSET('IWP10'!Std8dot1ReportingRequirements, 0, 1, 1, 1))</f>
        <v/>
      </c>
    </row>
    <row r="1754" spans="1:4" s="146" customFormat="1">
      <c r="A1754" s="193" t="s">
        <v>508</v>
      </c>
      <c r="B1754" s="196">
        <v>2</v>
      </c>
      <c r="C1754" s="195" t="str">
        <f ca="1">IF(OFFSET('IWP10'!Std8dot1ReportingRequirements, 1, 0, 1, 1) = 0, "", OFFSET('IWP10'!Std8dot1ReportingRequirements, 1, 0, 1, 1))</f>
        <v/>
      </c>
      <c r="D1754" s="194" t="str">
        <f ca="1">IF(OFFSET('IWP10'!Std8dot1ReportingRequirements, 1, 1, 1, 1) = 0, "", OFFSET('IWP10'!Std8dot1ReportingRequirements, 1, 1, 1, 1))</f>
        <v/>
      </c>
    </row>
    <row r="1755" spans="1:4" s="146" customFormat="1">
      <c r="A1755" s="193" t="s">
        <v>508</v>
      </c>
      <c r="B1755" s="196">
        <v>3</v>
      </c>
      <c r="C1755" s="195" t="str">
        <f ca="1">IF(OFFSET('IWP10'!Std8dot1ReportingRequirements, 2, 0, 1, 1) = 0, "", OFFSET('IWP10'!Std8dot1ReportingRequirements, 2, 0, 1, 1))</f>
        <v/>
      </c>
      <c r="D1755" s="194" t="str">
        <f ca="1">IF(OFFSET('IWP10'!Std8dot1ReportingRequirements, 2, 1, 1, 1) = 0, "", OFFSET('IWP10'!Std8dot1ReportingRequirements, 2, 1, 1, 1))</f>
        <v/>
      </c>
    </row>
    <row r="1756" spans="1:4" s="146" customFormat="1">
      <c r="A1756" s="193" t="s">
        <v>508</v>
      </c>
      <c r="B1756" s="196">
        <v>4</v>
      </c>
      <c r="C1756" s="195" t="str">
        <f ca="1">IF(OFFSET('IWP10'!Std8dot1ReportingRequirements, 3, 0, 1, 1) = 0, "", OFFSET('IWP10'!Std8dot1ReportingRequirements, 3, 0, 1, 1))</f>
        <v/>
      </c>
      <c r="D1756" s="194" t="str">
        <f ca="1">IF(OFFSET('IWP10'!Std8dot1ReportingRequirements, 3, 1, 1, 1) = 0, "", OFFSET('IWP10'!Std8dot1ReportingRequirements, 3, 1, 1, 1))</f>
        <v/>
      </c>
    </row>
    <row r="1757" spans="1:4" s="146" customFormat="1">
      <c r="A1757" s="193" t="s">
        <v>509</v>
      </c>
      <c r="B1757" s="196">
        <v>1</v>
      </c>
      <c r="C1757" s="195" t="str">
        <f ca="1">IF(OFFSET('IWP11'!Std8dot1ReportingRequirements, 0, 0, 1, 1) = 0, "", OFFSET('IWP11'!Std8dot1ReportingRequirements, 0, 0, 1, 1))</f>
        <v/>
      </c>
      <c r="D1757" s="194" t="str">
        <f ca="1">IF(OFFSET('IWP11'!Std8dot1ReportingRequirements, 0, 1, 1, 1) = 0, "", OFFSET('IWP11'!Std8dot1ReportingRequirements, 0, 1, 1, 1))</f>
        <v/>
      </c>
    </row>
    <row r="1758" spans="1:4" s="146" customFormat="1">
      <c r="A1758" s="193" t="s">
        <v>509</v>
      </c>
      <c r="B1758" s="196">
        <v>2</v>
      </c>
      <c r="C1758" s="195" t="str">
        <f ca="1">IF(OFFSET('IWP11'!Std8dot1ReportingRequirements, 1, 0, 1, 1) = 0, "", OFFSET('IWP11'!Std8dot1ReportingRequirements, 1, 0, 1, 1))</f>
        <v/>
      </c>
      <c r="D1758" s="194" t="str">
        <f ca="1">IF(OFFSET('IWP11'!Std8dot1ReportingRequirements, 1, 1, 1, 1) = 0, "", OFFSET('IWP11'!Std8dot1ReportingRequirements, 1, 1, 1, 1))</f>
        <v/>
      </c>
    </row>
    <row r="1759" spans="1:4" s="146" customFormat="1">
      <c r="A1759" s="193" t="s">
        <v>509</v>
      </c>
      <c r="B1759" s="196">
        <v>3</v>
      </c>
      <c r="C1759" s="195" t="str">
        <f ca="1">IF(OFFSET('IWP11'!Std8dot1ReportingRequirements, 2, 0, 1, 1) = 0, "", OFFSET('IWP11'!Std8dot1ReportingRequirements, 2, 0, 1, 1))</f>
        <v/>
      </c>
      <c r="D1759" s="194" t="str">
        <f ca="1">IF(OFFSET('IWP11'!Std8dot1ReportingRequirements, 2, 1, 1, 1) = 0, "", OFFSET('IWP11'!Std8dot1ReportingRequirements, 2, 1, 1, 1))</f>
        <v/>
      </c>
    </row>
    <row r="1760" spans="1:4" s="146" customFormat="1">
      <c r="A1760" s="193" t="s">
        <v>509</v>
      </c>
      <c r="B1760" s="196">
        <v>4</v>
      </c>
      <c r="C1760" s="195" t="str">
        <f ca="1">IF(OFFSET('IWP11'!Std8dot1ReportingRequirements, 3, 0, 1, 1) = 0, "", OFFSET('IWP11'!Std8dot1ReportingRequirements, 3, 0, 1, 1))</f>
        <v/>
      </c>
      <c r="D1760" s="194" t="str">
        <f ca="1">IF(OFFSET('IWP11'!Std8dot1ReportingRequirements, 3, 1, 1, 1) = 0, "", OFFSET('IWP11'!Std8dot1ReportingRequirements, 3, 1, 1, 1))</f>
        <v/>
      </c>
    </row>
    <row r="1761" spans="1:4" s="146" customFormat="1">
      <c r="A1761" s="193" t="s">
        <v>510</v>
      </c>
      <c r="B1761" s="196">
        <v>1</v>
      </c>
      <c r="C1761" s="195" t="str">
        <f ca="1">IF(OFFSET('IWP12'!Std8dot1ReportingRequirements, 0, 0, 1, 1) = 0, "", OFFSET('IWP12'!Std8dot1ReportingRequirements, 0, 0, 1, 1))</f>
        <v/>
      </c>
      <c r="D1761" s="194" t="str">
        <f ca="1">IF(OFFSET('IWP12'!Std8dot1ReportingRequirements, 0, 1, 1, 1) = 0, "", OFFSET('IWP12'!Std8dot1ReportingRequirements, 0, 1, 1, 1))</f>
        <v/>
      </c>
    </row>
    <row r="1762" spans="1:4" s="146" customFormat="1">
      <c r="A1762" s="193" t="s">
        <v>510</v>
      </c>
      <c r="B1762" s="196">
        <v>2</v>
      </c>
      <c r="C1762" s="195" t="str">
        <f ca="1">IF(OFFSET('IWP12'!Std8dot1ReportingRequirements, 1, 0, 1, 1) = 0, "", OFFSET('IWP12'!Std8dot1ReportingRequirements, 1, 0, 1, 1))</f>
        <v/>
      </c>
      <c r="D1762" s="194" t="str">
        <f ca="1">IF(OFFSET('IWP12'!Std8dot1ReportingRequirements, 1, 1, 1, 1) = 0, "", OFFSET('IWP12'!Std8dot1ReportingRequirements, 1, 1, 1, 1))</f>
        <v/>
      </c>
    </row>
    <row r="1763" spans="1:4" s="146" customFormat="1">
      <c r="A1763" s="193" t="s">
        <v>510</v>
      </c>
      <c r="B1763" s="196">
        <v>3</v>
      </c>
      <c r="C1763" s="195" t="str">
        <f ca="1">IF(OFFSET('IWP12'!Std8dot1ReportingRequirements, 2, 0, 1, 1) = 0, "", OFFSET('IWP12'!Std8dot1ReportingRequirements, 2, 0, 1, 1))</f>
        <v/>
      </c>
      <c r="D1763" s="194" t="str">
        <f ca="1">IF(OFFSET('IWP12'!Std8dot1ReportingRequirements, 2, 1, 1, 1) = 0, "", OFFSET('IWP12'!Std8dot1ReportingRequirements, 2, 1, 1, 1))</f>
        <v/>
      </c>
    </row>
    <row r="1764" spans="1:4" s="146" customFormat="1">
      <c r="A1764" s="193" t="s">
        <v>510</v>
      </c>
      <c r="B1764" s="196">
        <v>4</v>
      </c>
      <c r="C1764" s="195" t="str">
        <f ca="1">IF(OFFSET('IWP12'!Std8dot1ReportingRequirements, 3, 0, 1, 1) = 0, "", OFFSET('IWP12'!Std8dot1ReportingRequirements, 3, 0, 1, 1))</f>
        <v/>
      </c>
      <c r="D1764" s="194" t="str">
        <f ca="1">IF(OFFSET('IWP12'!Std8dot1ReportingRequirements, 3, 1, 1, 1) = 0, "", OFFSET('IWP12'!Std8dot1ReportingRequirements, 3, 1, 1, 1))</f>
        <v/>
      </c>
    </row>
    <row r="1765" spans="1:4" s="146" customFormat="1">
      <c r="A1765" s="193" t="s">
        <v>511</v>
      </c>
      <c r="B1765" s="196">
        <v>1</v>
      </c>
      <c r="C1765" s="195" t="str">
        <f ca="1">IF(OFFSET('IWP13'!Std8dot1ReportingRequirements, 0, 0, 1, 1) = 0, "", OFFSET('IWP13'!Std8dot1ReportingRequirements, 0, 0, 1, 1))</f>
        <v/>
      </c>
      <c r="D1765" s="194" t="str">
        <f ca="1">IF(OFFSET('IWP13'!Std8dot1ReportingRequirements, 0, 1, 1, 1) = 0, "", OFFSET('IWP13'!Std8dot1ReportingRequirements, 0, 1, 1, 1))</f>
        <v/>
      </c>
    </row>
    <row r="1766" spans="1:4" s="146" customFormat="1">
      <c r="A1766" s="193" t="s">
        <v>511</v>
      </c>
      <c r="B1766" s="196">
        <v>2</v>
      </c>
      <c r="C1766" s="195" t="str">
        <f ca="1">IF(OFFSET('IWP13'!Std8dot1ReportingRequirements, 1, 0, 1, 1) = 0, "", OFFSET('IWP13'!Std8dot1ReportingRequirements, 1, 0, 1, 1))</f>
        <v/>
      </c>
      <c r="D1766" s="194" t="str">
        <f ca="1">IF(OFFSET('IWP13'!Std8dot1ReportingRequirements, 1, 1, 1, 1) = 0, "", OFFSET('IWP13'!Std8dot1ReportingRequirements, 1, 1, 1, 1))</f>
        <v/>
      </c>
    </row>
    <row r="1767" spans="1:4" s="146" customFormat="1">
      <c r="A1767" s="193" t="s">
        <v>511</v>
      </c>
      <c r="B1767" s="196">
        <v>3</v>
      </c>
      <c r="C1767" s="195" t="str">
        <f ca="1">IF(OFFSET('IWP13'!Std8dot1ReportingRequirements, 2, 0, 1, 1) = 0, "", OFFSET('IWP13'!Std8dot1ReportingRequirements, 2, 0, 1, 1))</f>
        <v/>
      </c>
      <c r="D1767" s="194" t="str">
        <f ca="1">IF(OFFSET('IWP13'!Std8dot1ReportingRequirements, 2, 1, 1, 1) = 0, "", OFFSET('IWP13'!Std8dot1ReportingRequirements, 2, 1, 1, 1))</f>
        <v/>
      </c>
    </row>
    <row r="1768" spans="1:4" s="146" customFormat="1">
      <c r="A1768" s="193" t="s">
        <v>511</v>
      </c>
      <c r="B1768" s="196">
        <v>4</v>
      </c>
      <c r="C1768" s="195" t="str">
        <f ca="1">IF(OFFSET('IWP13'!Std8dot1ReportingRequirements, 3, 0, 1, 1) = 0, "", OFFSET('IWP13'!Std8dot1ReportingRequirements, 3, 0, 1, 1))</f>
        <v/>
      </c>
      <c r="D1768" s="194" t="str">
        <f ca="1">IF(OFFSET('IWP13'!Std8dot1ReportingRequirements, 3, 1, 1, 1) = 0, "", OFFSET('IWP13'!Std8dot1ReportingRequirements, 3, 1, 1, 1))</f>
        <v/>
      </c>
    </row>
    <row r="1769" spans="1:4" s="146" customFormat="1">
      <c r="A1769" s="193" t="s">
        <v>512</v>
      </c>
      <c r="B1769" s="196">
        <v>1</v>
      </c>
      <c r="C1769" s="195" t="str">
        <f ca="1">IF(OFFSET('IWP14'!Std8dot1ReportingRequirements, 0, 0, 1, 1) = 0, "", OFFSET('IWP14'!Std8dot1ReportingRequirements, 0, 0, 1, 1))</f>
        <v/>
      </c>
      <c r="D1769" s="194" t="str">
        <f ca="1">IF(OFFSET('IWP14'!Std8dot1ReportingRequirements, 0, 1, 1, 1) = 0, "", OFFSET('IWP14'!Std8dot1ReportingRequirements, 0, 1, 1, 1))</f>
        <v/>
      </c>
    </row>
    <row r="1770" spans="1:4" s="146" customFormat="1">
      <c r="A1770" s="193" t="s">
        <v>512</v>
      </c>
      <c r="B1770" s="196">
        <v>2</v>
      </c>
      <c r="C1770" s="195" t="str">
        <f ca="1">IF(OFFSET('IWP14'!Std8dot1ReportingRequirements, 1, 0, 1, 1) = 0, "", OFFSET('IWP14'!Std8dot1ReportingRequirements, 1, 0, 1, 1))</f>
        <v/>
      </c>
      <c r="D1770" s="194" t="str">
        <f ca="1">IF(OFFSET('IWP14'!Std8dot1ReportingRequirements, 1, 1, 1, 1) = 0, "", OFFSET('IWP14'!Std8dot1ReportingRequirements, 1, 1, 1, 1))</f>
        <v/>
      </c>
    </row>
    <row r="1771" spans="1:4" s="146" customFormat="1">
      <c r="A1771" s="193" t="s">
        <v>512</v>
      </c>
      <c r="B1771" s="196">
        <v>3</v>
      </c>
      <c r="C1771" s="195" t="str">
        <f ca="1">IF(OFFSET('IWP14'!Std8dot1ReportingRequirements, 2, 0, 1, 1) = 0, "", OFFSET('IWP14'!Std8dot1ReportingRequirements, 2, 0, 1, 1))</f>
        <v/>
      </c>
      <c r="D1771" s="194" t="str">
        <f ca="1">IF(OFFSET('IWP14'!Std8dot1ReportingRequirements, 2, 1, 1, 1) = 0, "", OFFSET('IWP14'!Std8dot1ReportingRequirements, 2, 1, 1, 1))</f>
        <v/>
      </c>
    </row>
    <row r="1772" spans="1:4" s="146" customFormat="1">
      <c r="A1772" s="193" t="s">
        <v>512</v>
      </c>
      <c r="B1772" s="196">
        <v>4</v>
      </c>
      <c r="C1772" s="195" t="str">
        <f ca="1">IF(OFFSET('IWP14'!Std8dot1ReportingRequirements, 3, 0, 1, 1) = 0, "", OFFSET('IWP14'!Std8dot1ReportingRequirements, 3, 0, 1, 1))</f>
        <v/>
      </c>
      <c r="D1772" s="194" t="str">
        <f ca="1">IF(OFFSET('IWP14'!Std8dot1ReportingRequirements, 3, 1, 1, 1) = 0, "", OFFSET('IWP14'!Std8dot1ReportingRequirements, 3, 1, 1, 1))</f>
        <v/>
      </c>
    </row>
    <row r="1773" spans="1:4" s="146" customFormat="1">
      <c r="A1773" s="193" t="s">
        <v>513</v>
      </c>
      <c r="B1773" s="196">
        <v>1</v>
      </c>
      <c r="C1773" s="195" t="str">
        <f ca="1">IF(OFFSET('IWP15'!Std8dot1ReportingRequirements, 0, 0, 1, 1) = 0, "", OFFSET('IWP15'!Std8dot1ReportingRequirements, 0, 0, 1, 1))</f>
        <v/>
      </c>
      <c r="D1773" s="194" t="str">
        <f ca="1">IF(OFFSET('IWP15'!Std8dot1ReportingRequirements, 0, 1, 1, 1) = 0, "", OFFSET('IWP15'!Std8dot1ReportingRequirements, 0, 1, 1, 1))</f>
        <v/>
      </c>
    </row>
    <row r="1774" spans="1:4" s="146" customFormat="1">
      <c r="A1774" s="193" t="s">
        <v>513</v>
      </c>
      <c r="B1774" s="196">
        <v>2</v>
      </c>
      <c r="C1774" s="195" t="str">
        <f ca="1">IF(OFFSET('IWP15'!Std8dot1ReportingRequirements, 1, 0, 1, 1) = 0, "", OFFSET('IWP15'!Std8dot1ReportingRequirements, 1, 0, 1, 1))</f>
        <v/>
      </c>
      <c r="D1774" s="194" t="str">
        <f ca="1">IF(OFFSET('IWP15'!Std8dot1ReportingRequirements, 1, 1, 1, 1) = 0, "", OFFSET('IWP15'!Std8dot1ReportingRequirements, 1, 1, 1, 1))</f>
        <v/>
      </c>
    </row>
    <row r="1775" spans="1:4" s="146" customFormat="1">
      <c r="A1775" s="193" t="s">
        <v>513</v>
      </c>
      <c r="B1775" s="196">
        <v>3</v>
      </c>
      <c r="C1775" s="195" t="str">
        <f ca="1">IF(OFFSET('IWP15'!Std8dot1ReportingRequirements, 2, 0, 1, 1) = 0, "", OFFSET('IWP15'!Std8dot1ReportingRequirements, 2, 0, 1, 1))</f>
        <v/>
      </c>
      <c r="D1775" s="194" t="str">
        <f ca="1">IF(OFFSET('IWP15'!Std8dot1ReportingRequirements, 2, 1, 1, 1) = 0, "", OFFSET('IWP15'!Std8dot1ReportingRequirements, 2, 1, 1, 1))</f>
        <v/>
      </c>
    </row>
    <row r="1776" spans="1:4" s="146" customFormat="1">
      <c r="A1776" s="193" t="s">
        <v>513</v>
      </c>
      <c r="B1776" s="196">
        <v>4</v>
      </c>
      <c r="C1776" s="195" t="str">
        <f ca="1">IF(OFFSET('IWP15'!Std8dot1ReportingRequirements, 3, 0, 1, 1) = 0, "", OFFSET('IWP15'!Std8dot1ReportingRequirements, 3, 0, 1, 1))</f>
        <v/>
      </c>
      <c r="D1776" s="194" t="str">
        <f ca="1">IF(OFFSET('IWP15'!Std8dot1ReportingRequirements, 3, 1, 1, 1) = 0, "", OFFSET('IWP15'!Std8dot1ReportingRequirements, 3, 1, 1, 1))</f>
        <v/>
      </c>
    </row>
    <row r="1777" spans="1:4" s="146" customFormat="1">
      <c r="A1777" s="193" t="s">
        <v>514</v>
      </c>
      <c r="B1777" s="196">
        <v>1</v>
      </c>
      <c r="C1777" s="195" t="str">
        <f ca="1">IF(OFFSET('IWP16'!Std8dot1ReportingRequirements, 0, 0, 1, 1) = 0, "", OFFSET('IWP16'!Std8dot1ReportingRequirements, 0, 0, 1, 1))</f>
        <v/>
      </c>
      <c r="D1777" s="194" t="str">
        <f ca="1">IF(OFFSET('IWP16'!Std8dot1ReportingRequirements, 0, 1, 1, 1) = 0, "", OFFSET('IWP16'!Std8dot1ReportingRequirements, 0, 1, 1, 1))</f>
        <v/>
      </c>
    </row>
    <row r="1778" spans="1:4" s="146" customFormat="1">
      <c r="A1778" s="193" t="s">
        <v>514</v>
      </c>
      <c r="B1778" s="196">
        <v>2</v>
      </c>
      <c r="C1778" s="195" t="str">
        <f ca="1">IF(OFFSET('IWP16'!Std8dot1ReportingRequirements, 1, 0, 1, 1) = 0, "", OFFSET('IWP16'!Std8dot1ReportingRequirements, 1, 0, 1, 1))</f>
        <v/>
      </c>
      <c r="D1778" s="194" t="str">
        <f ca="1">IF(OFFSET('IWP16'!Std8dot1ReportingRequirements, 1, 1, 1, 1) = 0, "", OFFSET('IWP16'!Std8dot1ReportingRequirements, 1, 1, 1, 1))</f>
        <v/>
      </c>
    </row>
    <row r="1779" spans="1:4" s="146" customFormat="1">
      <c r="A1779" s="193" t="s">
        <v>514</v>
      </c>
      <c r="B1779" s="196">
        <v>3</v>
      </c>
      <c r="C1779" s="195" t="str">
        <f ca="1">IF(OFFSET('IWP16'!Std8dot1ReportingRequirements, 2, 0, 1, 1) = 0, "", OFFSET('IWP16'!Std8dot1ReportingRequirements, 2, 0, 1, 1))</f>
        <v/>
      </c>
      <c r="D1779" s="194" t="str">
        <f ca="1">IF(OFFSET('IWP16'!Std8dot1ReportingRequirements, 2, 1, 1, 1) = 0, "", OFFSET('IWP16'!Std8dot1ReportingRequirements, 2, 1, 1, 1))</f>
        <v/>
      </c>
    </row>
    <row r="1780" spans="1:4" s="146" customFormat="1">
      <c r="A1780" s="193" t="s">
        <v>514</v>
      </c>
      <c r="B1780" s="196">
        <v>4</v>
      </c>
      <c r="C1780" s="195" t="str">
        <f ca="1">IF(OFFSET('IWP16'!Std8dot1ReportingRequirements, 3, 0, 1, 1) = 0, "", OFFSET('IWP16'!Std8dot1ReportingRequirements, 3, 0, 1, 1))</f>
        <v/>
      </c>
      <c r="D1780" s="194" t="str">
        <f ca="1">IF(OFFSET('IWP16'!Std8dot1ReportingRequirements, 3, 1, 1, 1) = 0, "", OFFSET('IWP16'!Std8dot1ReportingRequirements, 3, 1, 1, 1))</f>
        <v/>
      </c>
    </row>
    <row r="1781" spans="1:4" s="146" customFormat="1">
      <c r="A1781" s="193" t="s">
        <v>515</v>
      </c>
      <c r="B1781" s="196">
        <v>1</v>
      </c>
      <c r="C1781" s="195" t="str">
        <f ca="1">IF(OFFSET('IWP17'!Std8dot1ReportingRequirements, 0, 0, 1, 1) = 0, "", OFFSET('IWP17'!Std8dot1ReportingRequirements, 0, 0, 1, 1))</f>
        <v/>
      </c>
      <c r="D1781" s="194" t="str">
        <f ca="1">IF(OFFSET('IWP17'!Std8dot1ReportingRequirements, 0, 1, 1, 1) = 0, "", OFFSET('IWP17'!Std8dot1ReportingRequirements, 0, 1, 1, 1))</f>
        <v/>
      </c>
    </row>
    <row r="1782" spans="1:4" s="146" customFormat="1">
      <c r="A1782" s="193" t="s">
        <v>515</v>
      </c>
      <c r="B1782" s="196">
        <v>2</v>
      </c>
      <c r="C1782" s="195" t="str">
        <f ca="1">IF(OFFSET('IWP17'!Std8dot1ReportingRequirements, 1, 0, 1, 1) = 0, "", OFFSET('IWP17'!Std8dot1ReportingRequirements, 1, 0, 1, 1))</f>
        <v/>
      </c>
      <c r="D1782" s="194" t="str">
        <f ca="1">IF(OFFSET('IWP17'!Std8dot1ReportingRequirements, 1, 1, 1, 1) = 0, "", OFFSET('IWP17'!Std8dot1ReportingRequirements, 1, 1, 1, 1))</f>
        <v/>
      </c>
    </row>
    <row r="1783" spans="1:4" s="146" customFormat="1">
      <c r="A1783" s="193" t="s">
        <v>515</v>
      </c>
      <c r="B1783" s="196">
        <v>3</v>
      </c>
      <c r="C1783" s="195" t="str">
        <f ca="1">IF(OFFSET('IWP17'!Std8dot1ReportingRequirements, 2, 0, 1, 1) = 0, "", OFFSET('IWP17'!Std8dot1ReportingRequirements, 2, 0, 1, 1))</f>
        <v/>
      </c>
      <c r="D1783" s="194" t="str">
        <f ca="1">IF(OFFSET('IWP17'!Std8dot1ReportingRequirements, 2, 1, 1, 1) = 0, "", OFFSET('IWP17'!Std8dot1ReportingRequirements, 2, 1, 1, 1))</f>
        <v/>
      </c>
    </row>
    <row r="1784" spans="1:4" s="146" customFormat="1">
      <c r="A1784" s="193" t="s">
        <v>515</v>
      </c>
      <c r="B1784" s="196">
        <v>4</v>
      </c>
      <c r="C1784" s="195" t="str">
        <f ca="1">IF(OFFSET('IWP17'!Std8dot1ReportingRequirements, 3, 0, 1, 1) = 0, "", OFFSET('IWP17'!Std8dot1ReportingRequirements, 3, 0, 1, 1))</f>
        <v/>
      </c>
      <c r="D1784" s="194" t="str">
        <f ca="1">IF(OFFSET('IWP17'!Std8dot1ReportingRequirements, 3, 1, 1, 1) = 0, "", OFFSET('IWP17'!Std8dot1ReportingRequirements, 3, 1, 1, 1))</f>
        <v/>
      </c>
    </row>
    <row r="1785" spans="1:4" s="146" customFormat="1">
      <c r="A1785" s="193" t="s">
        <v>516</v>
      </c>
      <c r="B1785" s="196">
        <v>1</v>
      </c>
      <c r="C1785" s="195" t="str">
        <f ca="1">IF(OFFSET('IWP18'!Std8dot1ReportingRequirements, 0, 0, 1, 1) = 0, "", OFFSET('IWP18'!Std8dot1ReportingRequirements, 0, 0, 1, 1))</f>
        <v/>
      </c>
      <c r="D1785" s="194" t="str">
        <f ca="1">IF(OFFSET('IWP18'!Std8dot1ReportingRequirements, 0, 1, 1, 1) = 0, "", OFFSET('IWP18'!Std8dot1ReportingRequirements, 0, 1, 1, 1))</f>
        <v/>
      </c>
    </row>
    <row r="1786" spans="1:4" s="146" customFormat="1">
      <c r="A1786" s="193" t="s">
        <v>516</v>
      </c>
      <c r="B1786" s="196">
        <v>2</v>
      </c>
      <c r="C1786" s="195" t="str">
        <f ca="1">IF(OFFSET('IWP18'!Std8dot1ReportingRequirements, 1, 0, 1, 1) = 0, "", OFFSET('IWP18'!Std8dot1ReportingRequirements, 1, 0, 1, 1))</f>
        <v/>
      </c>
      <c r="D1786" s="194" t="str">
        <f ca="1">IF(OFFSET('IWP18'!Std8dot1ReportingRequirements, 1, 1, 1, 1) = 0, "", OFFSET('IWP18'!Std8dot1ReportingRequirements, 1, 1, 1, 1))</f>
        <v/>
      </c>
    </row>
    <row r="1787" spans="1:4" s="146" customFormat="1">
      <c r="A1787" s="193" t="s">
        <v>516</v>
      </c>
      <c r="B1787" s="196">
        <v>3</v>
      </c>
      <c r="C1787" s="195" t="str">
        <f ca="1">IF(OFFSET('IWP18'!Std8dot1ReportingRequirements, 2, 0, 1, 1) = 0, "", OFFSET('IWP18'!Std8dot1ReportingRequirements, 2, 0, 1, 1))</f>
        <v/>
      </c>
      <c r="D1787" s="194" t="str">
        <f ca="1">IF(OFFSET('IWP18'!Std8dot1ReportingRequirements, 2, 1, 1, 1) = 0, "", OFFSET('IWP18'!Std8dot1ReportingRequirements, 2, 1, 1, 1))</f>
        <v/>
      </c>
    </row>
    <row r="1788" spans="1:4" s="146" customFormat="1">
      <c r="A1788" s="193" t="s">
        <v>516</v>
      </c>
      <c r="B1788" s="196">
        <v>4</v>
      </c>
      <c r="C1788" s="195" t="str">
        <f ca="1">IF(OFFSET('IWP18'!Std8dot1ReportingRequirements, 3, 0, 1, 1) = 0, "", OFFSET('IWP18'!Std8dot1ReportingRequirements, 3, 0, 1, 1))</f>
        <v/>
      </c>
      <c r="D1788" s="194" t="str">
        <f ca="1">IF(OFFSET('IWP18'!Std8dot1ReportingRequirements, 3, 1, 1, 1) = 0, "", OFFSET('IWP18'!Std8dot1ReportingRequirements, 3, 1, 1, 1))</f>
        <v/>
      </c>
    </row>
    <row r="1789" spans="1:4" s="146" customFormat="1">
      <c r="A1789" s="193" t="s">
        <v>517</v>
      </c>
      <c r="B1789" s="196">
        <v>1</v>
      </c>
      <c r="C1789" s="195" t="str">
        <f ca="1">IF(OFFSET('IWP19'!Std8dot1ReportingRequirements, 0, 0, 1, 1) = 0, "", OFFSET('IWP19'!Std8dot1ReportingRequirements, 0, 0, 1, 1))</f>
        <v/>
      </c>
      <c r="D1789" s="194" t="str">
        <f ca="1">IF(OFFSET('IWP19'!Std8dot1ReportingRequirements, 0, 1, 1, 1) = 0, "", OFFSET('IWP19'!Std8dot1ReportingRequirements, 0, 1, 1, 1))</f>
        <v/>
      </c>
    </row>
    <row r="1790" spans="1:4" s="146" customFormat="1">
      <c r="A1790" s="193" t="s">
        <v>517</v>
      </c>
      <c r="B1790" s="196">
        <v>2</v>
      </c>
      <c r="C1790" s="195" t="str">
        <f ca="1">IF(OFFSET('IWP19'!Std8dot1ReportingRequirements, 1, 0, 1, 1) = 0, "", OFFSET('IWP19'!Std8dot1ReportingRequirements, 1, 0, 1, 1))</f>
        <v/>
      </c>
      <c r="D1790" s="194" t="str">
        <f ca="1">IF(OFFSET('IWP19'!Std8dot1ReportingRequirements, 1, 1, 1, 1) = 0, "", OFFSET('IWP19'!Std8dot1ReportingRequirements, 1, 1, 1, 1))</f>
        <v/>
      </c>
    </row>
    <row r="1791" spans="1:4" s="146" customFormat="1">
      <c r="A1791" s="193" t="s">
        <v>517</v>
      </c>
      <c r="B1791" s="196">
        <v>3</v>
      </c>
      <c r="C1791" s="195" t="str">
        <f ca="1">IF(OFFSET('IWP19'!Std8dot1ReportingRequirements, 2, 0, 1, 1) = 0, "", OFFSET('IWP19'!Std8dot1ReportingRequirements, 2, 0, 1, 1))</f>
        <v/>
      </c>
      <c r="D1791" s="194" t="str">
        <f ca="1">IF(OFFSET('IWP19'!Std8dot1ReportingRequirements, 2, 1, 1, 1) = 0, "", OFFSET('IWP19'!Std8dot1ReportingRequirements, 2, 1, 1, 1))</f>
        <v/>
      </c>
    </row>
    <row r="1792" spans="1:4" s="146" customFormat="1">
      <c r="A1792" s="193" t="s">
        <v>517</v>
      </c>
      <c r="B1792" s="196">
        <v>4</v>
      </c>
      <c r="C1792" s="195" t="str">
        <f ca="1">IF(OFFSET('IWP19'!Std8dot1ReportingRequirements, 3, 0, 1, 1) = 0, "", OFFSET('IWP19'!Std8dot1ReportingRequirements, 3, 0, 1, 1))</f>
        <v/>
      </c>
      <c r="D1792" s="194" t="str">
        <f ca="1">IF(OFFSET('IWP19'!Std8dot1ReportingRequirements, 3, 1, 1, 1) = 0, "", OFFSET('IWP19'!Std8dot1ReportingRequirements, 3, 1, 1, 1))</f>
        <v/>
      </c>
    </row>
    <row r="1793" spans="1:4" s="146" customFormat="1">
      <c r="A1793" s="193" t="s">
        <v>518</v>
      </c>
      <c r="B1793" s="196">
        <v>1</v>
      </c>
      <c r="C1793" s="195" t="str">
        <f ca="1">IF(OFFSET('IWP20'!Std8dot1ReportingRequirements, 0, 0, 1, 1) = 0, "", OFFSET('IWP20'!Std8dot1ReportingRequirements, 0, 0, 1, 1))</f>
        <v/>
      </c>
      <c r="D1793" s="194" t="str">
        <f ca="1">IF(OFFSET('IWP20'!Std8dot1ReportingRequirements, 0, 1, 1, 1) = 0, "", OFFSET('IWP20'!Std8dot1ReportingRequirements, 0, 1, 1, 1))</f>
        <v/>
      </c>
    </row>
    <row r="1794" spans="1:4" s="146" customFormat="1">
      <c r="A1794" s="193" t="s">
        <v>518</v>
      </c>
      <c r="B1794" s="196">
        <v>2</v>
      </c>
      <c r="C1794" s="195" t="str">
        <f ca="1">IF(OFFSET('IWP20'!Std8dot1ReportingRequirements, 1, 0, 1, 1) = 0, "", OFFSET('IWP20'!Std8dot1ReportingRequirements, 1, 0, 1, 1))</f>
        <v/>
      </c>
      <c r="D1794" s="194" t="str">
        <f ca="1">IF(OFFSET('IWP20'!Std8dot1ReportingRequirements, 1, 1, 1, 1) = 0, "", OFFSET('IWP20'!Std8dot1ReportingRequirements, 1, 1, 1, 1))</f>
        <v/>
      </c>
    </row>
    <row r="1795" spans="1:4" s="146" customFormat="1">
      <c r="A1795" s="193" t="s">
        <v>518</v>
      </c>
      <c r="B1795" s="196">
        <v>3</v>
      </c>
      <c r="C1795" s="195" t="str">
        <f ca="1">IF(OFFSET('IWP20'!Std8dot1ReportingRequirements, 2, 0, 1, 1) = 0, "", OFFSET('IWP20'!Std8dot1ReportingRequirements, 2, 0, 1, 1))</f>
        <v/>
      </c>
      <c r="D1795" s="194" t="str">
        <f ca="1">IF(OFFSET('IWP20'!Std8dot1ReportingRequirements, 2, 1, 1, 1) = 0, "", OFFSET('IWP20'!Std8dot1ReportingRequirements, 2, 1, 1, 1))</f>
        <v/>
      </c>
    </row>
    <row r="1796" spans="1:4" s="146" customFormat="1">
      <c r="A1796" s="193" t="s">
        <v>518</v>
      </c>
      <c r="B1796" s="196">
        <v>4</v>
      </c>
      <c r="C1796" s="195" t="str">
        <f ca="1">IF(OFFSET('IWP20'!Std8dot1ReportingRequirements, 3, 0, 1, 1) = 0, "", OFFSET('IWP20'!Std8dot1ReportingRequirements, 3, 0, 1, 1))</f>
        <v/>
      </c>
      <c r="D1796" s="194" t="str">
        <f ca="1">IF(OFFSET('IWP20'!Std8dot1ReportingRequirements, 3, 1, 1, 1) = 0, "", OFFSET('IWP20'!Std8dot1ReportingRequirements, 3, 1, 1, 1))</f>
        <v/>
      </c>
    </row>
    <row r="1797" spans="1:4" s="146" customFormat="1">
      <c r="A1797" s="193" t="s">
        <v>519</v>
      </c>
      <c r="B1797" s="196">
        <v>1</v>
      </c>
      <c r="C1797" s="195" t="str">
        <f ca="1">IF(OFFSET('IWP21'!Std8dot1ReportingRequirements, 0, 0, 1, 1) = 0, "", OFFSET('IWP21'!Std8dot1ReportingRequirements, 0, 0, 1, 1))</f>
        <v/>
      </c>
      <c r="D1797" s="194" t="str">
        <f ca="1">IF(OFFSET('IWP21'!Std8dot1ReportingRequirements, 0, 1, 1, 1) = 0, "", OFFSET('IWP21'!Std8dot1ReportingRequirements, 0, 1, 1, 1))</f>
        <v/>
      </c>
    </row>
    <row r="1798" spans="1:4" s="146" customFormat="1">
      <c r="A1798" s="193" t="s">
        <v>519</v>
      </c>
      <c r="B1798" s="196">
        <v>2</v>
      </c>
      <c r="C1798" s="195" t="str">
        <f ca="1">IF(OFFSET('IWP21'!Std8dot1ReportingRequirements, 1, 0, 1, 1) = 0, "", OFFSET('IWP21'!Std8dot1ReportingRequirements, 1, 0, 1, 1))</f>
        <v/>
      </c>
      <c r="D1798" s="194" t="str">
        <f ca="1">IF(OFFSET('IWP21'!Std8dot1ReportingRequirements, 1, 1, 1, 1) = 0, "", OFFSET('IWP21'!Std8dot1ReportingRequirements, 1, 1, 1, 1))</f>
        <v/>
      </c>
    </row>
    <row r="1799" spans="1:4" s="146" customFormat="1">
      <c r="A1799" s="193" t="s">
        <v>519</v>
      </c>
      <c r="B1799" s="196">
        <v>3</v>
      </c>
      <c r="C1799" s="195" t="str">
        <f ca="1">IF(OFFSET('IWP21'!Std8dot1ReportingRequirements, 2, 0, 1, 1) = 0, "", OFFSET('IWP21'!Std8dot1ReportingRequirements, 2, 0, 1, 1))</f>
        <v/>
      </c>
      <c r="D1799" s="194" t="str">
        <f ca="1">IF(OFFSET('IWP21'!Std8dot1ReportingRequirements, 2, 1, 1, 1) = 0, "", OFFSET('IWP21'!Std8dot1ReportingRequirements, 2, 1, 1, 1))</f>
        <v/>
      </c>
    </row>
    <row r="1800" spans="1:4" s="146" customFormat="1">
      <c r="A1800" s="193" t="s">
        <v>519</v>
      </c>
      <c r="B1800" s="196">
        <v>4</v>
      </c>
      <c r="C1800" s="195" t="str">
        <f ca="1">IF(OFFSET('IWP21'!Std8dot1ReportingRequirements, 3, 0, 1, 1) = 0, "", OFFSET('IWP21'!Std8dot1ReportingRequirements, 3, 0, 1, 1))</f>
        <v/>
      </c>
      <c r="D1800" s="194" t="str">
        <f ca="1">IF(OFFSET('IWP21'!Std8dot1ReportingRequirements, 3, 1, 1, 1) = 0, "", OFFSET('IWP21'!Std8dot1ReportingRequirements, 3, 1, 1, 1))</f>
        <v/>
      </c>
    </row>
    <row r="1801" spans="1:4" s="146" customFormat="1">
      <c r="A1801" s="193" t="s">
        <v>520</v>
      </c>
      <c r="B1801" s="196">
        <v>1</v>
      </c>
      <c r="C1801" s="195" t="str">
        <f ca="1">IF(OFFSET('IWP22'!Std8dot1ReportingRequirements, 0, 0, 1, 1) = 0, "", OFFSET('IWP22'!Std8dot1ReportingRequirements, 0, 0, 1, 1))</f>
        <v/>
      </c>
      <c r="D1801" s="194" t="str">
        <f ca="1">IF(OFFSET('IWP22'!Std8dot1ReportingRequirements, 0, 1, 1, 1) = 0, "", OFFSET('IWP22'!Std8dot1ReportingRequirements, 0, 1, 1, 1))</f>
        <v/>
      </c>
    </row>
    <row r="1802" spans="1:4" s="146" customFormat="1">
      <c r="A1802" s="193" t="s">
        <v>520</v>
      </c>
      <c r="B1802" s="196">
        <v>2</v>
      </c>
      <c r="C1802" s="195" t="str">
        <f ca="1">IF(OFFSET('IWP22'!Std8dot1ReportingRequirements, 1, 0, 1, 1) = 0, "", OFFSET('IWP22'!Std8dot1ReportingRequirements, 1, 0, 1, 1))</f>
        <v/>
      </c>
      <c r="D1802" s="194" t="str">
        <f ca="1">IF(OFFSET('IWP22'!Std8dot1ReportingRequirements, 1, 1, 1, 1) = 0, "", OFFSET('IWP22'!Std8dot1ReportingRequirements, 1, 1, 1, 1))</f>
        <v/>
      </c>
    </row>
    <row r="1803" spans="1:4" s="146" customFormat="1">
      <c r="A1803" s="193" t="s">
        <v>520</v>
      </c>
      <c r="B1803" s="196">
        <v>3</v>
      </c>
      <c r="C1803" s="195" t="str">
        <f ca="1">IF(OFFSET('IWP22'!Std8dot1ReportingRequirements, 2, 0, 1, 1) = 0, "", OFFSET('IWP22'!Std8dot1ReportingRequirements, 2, 0, 1, 1))</f>
        <v/>
      </c>
      <c r="D1803" s="194" t="str">
        <f ca="1">IF(OFFSET('IWP22'!Std8dot1ReportingRequirements, 2, 1, 1, 1) = 0, "", OFFSET('IWP22'!Std8dot1ReportingRequirements, 2, 1, 1, 1))</f>
        <v/>
      </c>
    </row>
    <row r="1804" spans="1:4" s="146" customFormat="1">
      <c r="A1804" s="193" t="s">
        <v>520</v>
      </c>
      <c r="B1804" s="196">
        <v>4</v>
      </c>
      <c r="C1804" s="195" t="str">
        <f ca="1">IF(OFFSET('IWP22'!Std8dot1ReportingRequirements, 3, 0, 1, 1) = 0, "", OFFSET('IWP22'!Std8dot1ReportingRequirements, 3, 0, 1, 1))</f>
        <v/>
      </c>
      <c r="D1804" s="194" t="str">
        <f ca="1">IF(OFFSET('IWP22'!Std8dot1ReportingRequirements, 3, 1, 1, 1) = 0, "", OFFSET('IWP22'!Std8dot1ReportingRequirements, 3, 1, 1, 1))</f>
        <v/>
      </c>
    </row>
    <row r="1805" spans="1:4" s="146" customFormat="1">
      <c r="A1805" s="193" t="s">
        <v>521</v>
      </c>
      <c r="B1805" s="196">
        <v>1</v>
      </c>
      <c r="C1805" s="195" t="str">
        <f ca="1">IF(OFFSET('IWP23'!Std8dot1ReportingRequirements, 0, 0, 1, 1) = 0, "", OFFSET('IWP23'!Std8dot1ReportingRequirements, 0, 0, 1, 1))</f>
        <v/>
      </c>
      <c r="D1805" s="194" t="str">
        <f ca="1">IF(OFFSET('IWP23'!Std8dot1ReportingRequirements, 0, 1, 1, 1) = 0, "", OFFSET('IWP23'!Std8dot1ReportingRequirements, 0, 1, 1, 1))</f>
        <v/>
      </c>
    </row>
    <row r="1806" spans="1:4" s="146" customFormat="1">
      <c r="A1806" s="193" t="s">
        <v>521</v>
      </c>
      <c r="B1806" s="196">
        <v>2</v>
      </c>
      <c r="C1806" s="195" t="str">
        <f ca="1">IF(OFFSET('IWP23'!Std8dot1ReportingRequirements, 1, 0, 1, 1) = 0, "", OFFSET('IWP23'!Std8dot1ReportingRequirements, 1, 0, 1, 1))</f>
        <v/>
      </c>
      <c r="D1806" s="194" t="str">
        <f ca="1">IF(OFFSET('IWP23'!Std8dot1ReportingRequirements, 1, 1, 1, 1) = 0, "", OFFSET('IWP23'!Std8dot1ReportingRequirements, 1, 1, 1, 1))</f>
        <v/>
      </c>
    </row>
    <row r="1807" spans="1:4" s="146" customFormat="1">
      <c r="A1807" s="193" t="s">
        <v>521</v>
      </c>
      <c r="B1807" s="196">
        <v>3</v>
      </c>
      <c r="C1807" s="195" t="str">
        <f ca="1">IF(OFFSET('IWP23'!Std8dot1ReportingRequirements, 2, 0, 1, 1) = 0, "", OFFSET('IWP23'!Std8dot1ReportingRequirements, 2, 0, 1, 1))</f>
        <v/>
      </c>
      <c r="D1807" s="194" t="str">
        <f ca="1">IF(OFFSET('IWP23'!Std8dot1ReportingRequirements, 2, 1, 1, 1) = 0, "", OFFSET('IWP23'!Std8dot1ReportingRequirements, 2, 1, 1, 1))</f>
        <v/>
      </c>
    </row>
    <row r="1808" spans="1:4" s="146" customFormat="1">
      <c r="A1808" s="193" t="s">
        <v>521</v>
      </c>
      <c r="B1808" s="196">
        <v>4</v>
      </c>
      <c r="C1808" s="195" t="str">
        <f ca="1">IF(OFFSET('IWP23'!Std8dot1ReportingRequirements, 3, 0, 1, 1) = 0, "", OFFSET('IWP23'!Std8dot1ReportingRequirements, 3, 0, 1, 1))</f>
        <v/>
      </c>
      <c r="D1808" s="194" t="str">
        <f ca="1">IF(OFFSET('IWP23'!Std8dot1ReportingRequirements, 3, 1, 1, 1) = 0, "", OFFSET('IWP23'!Std8dot1ReportingRequirements, 3, 1, 1, 1))</f>
        <v/>
      </c>
    </row>
    <row r="1809" spans="1:4" s="146" customFormat="1">
      <c r="A1809" s="193" t="s">
        <v>522</v>
      </c>
      <c r="B1809" s="196">
        <v>1</v>
      </c>
      <c r="C1809" s="195" t="str">
        <f ca="1">IF(OFFSET('IWP24'!Std8dot1ReportingRequirements, 0, 0, 1, 1) = 0, "", OFFSET('IWP24'!Std8dot1ReportingRequirements, 0, 0, 1, 1))</f>
        <v/>
      </c>
      <c r="D1809" s="194" t="str">
        <f ca="1">IF(OFFSET('IWP24'!Std8dot1ReportingRequirements, 0, 1, 1, 1) = 0, "", OFFSET('IWP24'!Std8dot1ReportingRequirements, 0, 1, 1, 1))</f>
        <v/>
      </c>
    </row>
    <row r="1810" spans="1:4" s="146" customFormat="1">
      <c r="A1810" s="193" t="s">
        <v>522</v>
      </c>
      <c r="B1810" s="196">
        <v>2</v>
      </c>
      <c r="C1810" s="195" t="str">
        <f ca="1">IF(OFFSET('IWP24'!Std8dot1ReportingRequirements, 1, 0, 1, 1) = 0, "", OFFSET('IWP24'!Std8dot1ReportingRequirements, 1, 0, 1, 1))</f>
        <v/>
      </c>
      <c r="D1810" s="194" t="str">
        <f ca="1">IF(OFFSET('IWP24'!Std8dot1ReportingRequirements, 1, 1, 1, 1) = 0, "", OFFSET('IWP24'!Std8dot1ReportingRequirements, 1, 1, 1, 1))</f>
        <v/>
      </c>
    </row>
    <row r="1811" spans="1:4" s="146" customFormat="1">
      <c r="A1811" s="193" t="s">
        <v>522</v>
      </c>
      <c r="B1811" s="196">
        <v>3</v>
      </c>
      <c r="C1811" s="195" t="str">
        <f ca="1">IF(OFFSET('IWP24'!Std8dot1ReportingRequirements, 2, 0, 1, 1) = 0, "", OFFSET('IWP24'!Std8dot1ReportingRequirements, 2, 0, 1, 1))</f>
        <v/>
      </c>
      <c r="D1811" s="194" t="str">
        <f ca="1">IF(OFFSET('IWP24'!Std8dot1ReportingRequirements, 2, 1, 1, 1) = 0, "", OFFSET('IWP24'!Std8dot1ReportingRequirements, 2, 1, 1, 1))</f>
        <v/>
      </c>
    </row>
    <row r="1812" spans="1:4" s="146" customFormat="1">
      <c r="A1812" s="193" t="s">
        <v>522</v>
      </c>
      <c r="B1812" s="196">
        <v>4</v>
      </c>
      <c r="C1812" s="195" t="str">
        <f ca="1">IF(OFFSET('IWP24'!Std8dot1ReportingRequirements, 3, 0, 1, 1) = 0, "", OFFSET('IWP24'!Std8dot1ReportingRequirements, 3, 0, 1, 1))</f>
        <v/>
      </c>
      <c r="D1812" s="194" t="str">
        <f ca="1">IF(OFFSET('IWP24'!Std8dot1ReportingRequirements, 3, 1, 1, 1) = 0, "", OFFSET('IWP24'!Std8dot1ReportingRequirements, 3, 1, 1, 1))</f>
        <v/>
      </c>
    </row>
    <row r="1813" spans="1:4" s="146" customFormat="1">
      <c r="A1813" s="193" t="s">
        <v>523</v>
      </c>
      <c r="B1813" s="196">
        <v>1</v>
      </c>
      <c r="C1813" s="195" t="str">
        <f ca="1">IF(OFFSET('IWP25'!Std8dot1ReportingRequirements, 0, 0, 1, 1) = 0, "", OFFSET('IWP25'!Std8dot1ReportingRequirements, 0, 0, 1, 1))</f>
        <v/>
      </c>
      <c r="D1813" s="194" t="str">
        <f ca="1">IF(OFFSET('IWP25'!Std8dot1ReportingRequirements, 0, 1, 1, 1) = 0, "", OFFSET('IWP25'!Std8dot1ReportingRequirements, 0, 1, 1, 1))</f>
        <v/>
      </c>
    </row>
    <row r="1814" spans="1:4" s="146" customFormat="1">
      <c r="A1814" s="193" t="s">
        <v>523</v>
      </c>
      <c r="B1814" s="196">
        <v>2</v>
      </c>
      <c r="C1814" s="195" t="str">
        <f ca="1">IF(OFFSET('IWP25'!Std8dot1ReportingRequirements, 1, 0, 1, 1) = 0, "", OFFSET('IWP25'!Std8dot1ReportingRequirements, 1, 0, 1, 1))</f>
        <v/>
      </c>
      <c r="D1814" s="194" t="str">
        <f ca="1">IF(OFFSET('IWP25'!Std8dot1ReportingRequirements, 1, 1, 1, 1) = 0, "", OFFSET('IWP25'!Std8dot1ReportingRequirements, 1, 1, 1, 1))</f>
        <v/>
      </c>
    </row>
    <row r="1815" spans="1:4" s="146" customFormat="1">
      <c r="A1815" s="193" t="s">
        <v>523</v>
      </c>
      <c r="B1815" s="196">
        <v>3</v>
      </c>
      <c r="C1815" s="195" t="str">
        <f ca="1">IF(OFFSET('IWP25'!Std8dot1ReportingRequirements, 2, 0, 1, 1) = 0, "", OFFSET('IWP25'!Std8dot1ReportingRequirements, 2, 0, 1, 1))</f>
        <v/>
      </c>
      <c r="D1815" s="194" t="str">
        <f ca="1">IF(OFFSET('IWP25'!Std8dot1ReportingRequirements, 2, 1, 1, 1) = 0, "", OFFSET('IWP25'!Std8dot1ReportingRequirements, 2, 1, 1, 1))</f>
        <v/>
      </c>
    </row>
    <row r="1816" spans="1:4" s="146" customFormat="1">
      <c r="A1816" s="193" t="s">
        <v>523</v>
      </c>
      <c r="B1816" s="196">
        <v>4</v>
      </c>
      <c r="C1816" s="195" t="str">
        <f ca="1">IF(OFFSET('IWP25'!Std8dot1ReportingRequirements, 3, 0, 1, 1) = 0, "", OFFSET('IWP25'!Std8dot1ReportingRequirements, 3, 0, 1, 1))</f>
        <v/>
      </c>
      <c r="D1816" s="194" t="str">
        <f ca="1">IF(OFFSET('IWP25'!Std8dot1ReportingRequirements, 3, 1, 1, 1) = 0, "", OFFSET('IWP25'!Std8dot1ReportingRequirements, 3, 1, 1, 1))</f>
        <v/>
      </c>
    </row>
    <row r="1817" spans="1:4" s="146" customFormat="1">
      <c r="A1817" s="193" t="s">
        <v>524</v>
      </c>
      <c r="B1817" s="196">
        <v>1</v>
      </c>
      <c r="C1817" s="195" t="str">
        <f ca="1">IF(OFFSET('IWP26'!Std8dot1ReportingRequirements, 0, 0, 1, 1) = 0, "", OFFSET('IWP26'!Std8dot1ReportingRequirements, 0, 0, 1, 1))</f>
        <v/>
      </c>
      <c r="D1817" s="194" t="str">
        <f ca="1">IF(OFFSET('IWP26'!Std8dot1ReportingRequirements, 0, 1, 1, 1) = 0, "", OFFSET('IWP26'!Std8dot1ReportingRequirements, 0, 1, 1, 1))</f>
        <v/>
      </c>
    </row>
    <row r="1818" spans="1:4" s="146" customFormat="1">
      <c r="A1818" s="193" t="s">
        <v>524</v>
      </c>
      <c r="B1818" s="196">
        <v>2</v>
      </c>
      <c r="C1818" s="195" t="str">
        <f ca="1">IF(OFFSET('IWP26'!Std8dot1ReportingRequirements, 1, 0, 1, 1) = 0, "", OFFSET('IWP26'!Std8dot1ReportingRequirements, 1, 0, 1, 1))</f>
        <v/>
      </c>
      <c r="D1818" s="194" t="str">
        <f ca="1">IF(OFFSET('IWP26'!Std8dot1ReportingRequirements, 1, 1, 1, 1) = 0, "", OFFSET('IWP26'!Std8dot1ReportingRequirements, 1, 1, 1, 1))</f>
        <v/>
      </c>
    </row>
    <row r="1819" spans="1:4" s="146" customFormat="1">
      <c r="A1819" s="193" t="s">
        <v>524</v>
      </c>
      <c r="B1819" s="196">
        <v>3</v>
      </c>
      <c r="C1819" s="195" t="str">
        <f ca="1">IF(OFFSET('IWP26'!Std8dot1ReportingRequirements, 2, 0, 1, 1) = 0, "", OFFSET('IWP26'!Std8dot1ReportingRequirements, 2, 0, 1, 1))</f>
        <v/>
      </c>
      <c r="D1819" s="194" t="str">
        <f ca="1">IF(OFFSET('IWP26'!Std8dot1ReportingRequirements, 2, 1, 1, 1) = 0, "", OFFSET('IWP26'!Std8dot1ReportingRequirements, 2, 1, 1, 1))</f>
        <v/>
      </c>
    </row>
    <row r="1820" spans="1:4" s="146" customFormat="1">
      <c r="A1820" s="193" t="s">
        <v>524</v>
      </c>
      <c r="B1820" s="196">
        <v>4</v>
      </c>
      <c r="C1820" s="195" t="str">
        <f ca="1">IF(OFFSET('IWP26'!Std8dot1ReportingRequirements, 3, 0, 1, 1) = 0, "", OFFSET('IWP26'!Std8dot1ReportingRequirements, 3, 0, 1, 1))</f>
        <v/>
      </c>
      <c r="D1820" s="194" t="str">
        <f ca="1">IF(OFFSET('IWP26'!Std8dot1ReportingRequirements, 3, 1, 1, 1) = 0, "", OFFSET('IWP26'!Std8dot1ReportingRequirements, 3, 1, 1, 1))</f>
        <v/>
      </c>
    </row>
    <row r="1821" spans="1:4" s="146" customFormat="1">
      <c r="A1821" s="193" t="s">
        <v>525</v>
      </c>
      <c r="B1821" s="196">
        <v>1</v>
      </c>
      <c r="C1821" s="195" t="str">
        <f ca="1">IF(OFFSET('IWP27'!Std8dot1ReportingRequirements, 0, 0, 1, 1) = 0, "", OFFSET('IWP27'!Std8dot1ReportingRequirements, 0, 0, 1, 1))</f>
        <v/>
      </c>
      <c r="D1821" s="194" t="str">
        <f ca="1">IF(OFFSET('IWP27'!Std8dot1ReportingRequirements, 0, 1, 1, 1) = 0, "", OFFSET('IWP27'!Std8dot1ReportingRequirements, 0, 1, 1, 1))</f>
        <v/>
      </c>
    </row>
    <row r="1822" spans="1:4" s="146" customFormat="1">
      <c r="A1822" s="193" t="s">
        <v>525</v>
      </c>
      <c r="B1822" s="196">
        <v>2</v>
      </c>
      <c r="C1822" s="195" t="str">
        <f ca="1">IF(OFFSET('IWP27'!Std8dot1ReportingRequirements, 1, 0, 1, 1) = 0, "", OFFSET('IWP27'!Std8dot1ReportingRequirements, 1, 0, 1, 1))</f>
        <v/>
      </c>
      <c r="D1822" s="194" t="str">
        <f ca="1">IF(OFFSET('IWP27'!Std8dot1ReportingRequirements, 1, 1, 1, 1) = 0, "", OFFSET('IWP27'!Std8dot1ReportingRequirements, 1, 1, 1, 1))</f>
        <v/>
      </c>
    </row>
    <row r="1823" spans="1:4" s="146" customFormat="1">
      <c r="A1823" s="193" t="s">
        <v>525</v>
      </c>
      <c r="B1823" s="196">
        <v>3</v>
      </c>
      <c r="C1823" s="195" t="str">
        <f ca="1">IF(OFFSET('IWP27'!Std8dot1ReportingRequirements, 2, 0, 1, 1) = 0, "", OFFSET('IWP27'!Std8dot1ReportingRequirements, 2, 0, 1, 1))</f>
        <v/>
      </c>
      <c r="D1823" s="194" t="str">
        <f ca="1">IF(OFFSET('IWP27'!Std8dot1ReportingRequirements, 2, 1, 1, 1) = 0, "", OFFSET('IWP27'!Std8dot1ReportingRequirements, 2, 1, 1, 1))</f>
        <v/>
      </c>
    </row>
    <row r="1824" spans="1:4" s="146" customFormat="1">
      <c r="A1824" s="193" t="s">
        <v>525</v>
      </c>
      <c r="B1824" s="196">
        <v>4</v>
      </c>
      <c r="C1824" s="195" t="str">
        <f ca="1">IF(OFFSET('IWP27'!Std8dot1ReportingRequirements, 3, 0, 1, 1) = 0, "", OFFSET('IWP27'!Std8dot1ReportingRequirements, 3, 0, 1, 1))</f>
        <v/>
      </c>
      <c r="D1824" s="194" t="str">
        <f ca="1">IF(OFFSET('IWP27'!Std8dot1ReportingRequirements, 3, 1, 1, 1) = 0, "", OFFSET('IWP27'!Std8dot1ReportingRequirements, 3, 1, 1, 1))</f>
        <v/>
      </c>
    </row>
    <row r="1825" spans="1:7" s="146" customFormat="1">
      <c r="A1825" s="193" t="s">
        <v>526</v>
      </c>
      <c r="B1825" s="196">
        <v>1</v>
      </c>
      <c r="C1825" s="195" t="str">
        <f ca="1">IF(OFFSET('IWP28'!Std8dot1ReportingRequirements, 0, 0, 1, 1) = 0, "", OFFSET('IWP28'!Std8dot1ReportingRequirements, 0, 0, 1, 1))</f>
        <v/>
      </c>
      <c r="D1825" s="194" t="str">
        <f ca="1">IF(OFFSET('IWP28'!Std8dot1ReportingRequirements, 0, 1, 1, 1) = 0, "", OFFSET('IWP28'!Std8dot1ReportingRequirements, 0, 1, 1, 1))</f>
        <v/>
      </c>
    </row>
    <row r="1826" spans="1:7" s="146" customFormat="1">
      <c r="A1826" s="193" t="s">
        <v>526</v>
      </c>
      <c r="B1826" s="196">
        <v>2</v>
      </c>
      <c r="C1826" s="195" t="str">
        <f ca="1">IF(OFFSET('IWP28'!Std8dot1ReportingRequirements, 1, 0, 1, 1) = 0, "", OFFSET('IWP28'!Std8dot1ReportingRequirements, 1, 0, 1, 1))</f>
        <v/>
      </c>
      <c r="D1826" s="194" t="str">
        <f ca="1">IF(OFFSET('IWP28'!Std8dot1ReportingRequirements, 1, 1, 1, 1) = 0, "", OFFSET('IWP28'!Std8dot1ReportingRequirements, 1, 1, 1, 1))</f>
        <v/>
      </c>
    </row>
    <row r="1827" spans="1:7" s="146" customFormat="1">
      <c r="A1827" s="193" t="s">
        <v>526</v>
      </c>
      <c r="B1827" s="196">
        <v>3</v>
      </c>
      <c r="C1827" s="195" t="str">
        <f ca="1">IF(OFFSET('IWP28'!Std8dot1ReportingRequirements, 2, 0, 1, 1) = 0, "", OFFSET('IWP28'!Std8dot1ReportingRequirements, 2, 0, 1, 1))</f>
        <v/>
      </c>
      <c r="D1827" s="194" t="str">
        <f ca="1">IF(OFFSET('IWP28'!Std8dot1ReportingRequirements, 2, 1, 1, 1) = 0, "", OFFSET('IWP28'!Std8dot1ReportingRequirements, 2, 1, 1, 1))</f>
        <v/>
      </c>
    </row>
    <row r="1828" spans="1:7" s="146" customFormat="1">
      <c r="A1828" s="193" t="s">
        <v>526</v>
      </c>
      <c r="B1828" s="196">
        <v>4</v>
      </c>
      <c r="C1828" s="195" t="str">
        <f ca="1">IF(OFFSET('IWP28'!Std8dot1ReportingRequirements, 3, 0, 1, 1) = 0, "", OFFSET('IWP28'!Std8dot1ReportingRequirements, 3, 0, 1, 1))</f>
        <v/>
      </c>
      <c r="D1828" s="194" t="str">
        <f ca="1">IF(OFFSET('IWP28'!Std8dot1ReportingRequirements, 3, 1, 1, 1) = 0, "", OFFSET('IWP28'!Std8dot1ReportingRequirements, 3, 1, 1, 1))</f>
        <v/>
      </c>
    </row>
    <row r="1829" spans="1:7" s="146" customFormat="1">
      <c r="A1829" s="193" t="s">
        <v>527</v>
      </c>
      <c r="B1829" s="196">
        <v>1</v>
      </c>
      <c r="C1829" s="195" t="str">
        <f ca="1">IF(OFFSET('IWP29'!Std8dot1ReportingRequirements, 0, 0, 1, 1) = 0, "", OFFSET('IWP29'!Std8dot1ReportingRequirements, 0, 0, 1, 1))</f>
        <v/>
      </c>
      <c r="D1829" s="194" t="str">
        <f ca="1">IF(OFFSET('IWP29'!Std8dot1ReportingRequirements, 0, 1, 1, 1) = 0, "", OFFSET('IWP29'!Std8dot1ReportingRequirements, 0, 1, 1, 1))</f>
        <v/>
      </c>
    </row>
    <row r="1830" spans="1:7" s="146" customFormat="1">
      <c r="A1830" s="193" t="s">
        <v>527</v>
      </c>
      <c r="B1830" s="196">
        <v>2</v>
      </c>
      <c r="C1830" s="195" t="str">
        <f ca="1">IF(OFFSET('IWP29'!Std8dot1ReportingRequirements, 1, 0, 1, 1) = 0, "", OFFSET('IWP29'!Std8dot1ReportingRequirements, 1, 0, 1, 1))</f>
        <v/>
      </c>
      <c r="D1830" s="194" t="str">
        <f ca="1">IF(OFFSET('IWP29'!Std8dot1ReportingRequirements, 1, 1, 1, 1) = 0, "", OFFSET('IWP29'!Std8dot1ReportingRequirements, 1, 1, 1, 1))</f>
        <v/>
      </c>
    </row>
    <row r="1831" spans="1:7" s="146" customFormat="1">
      <c r="A1831" s="193" t="s">
        <v>527</v>
      </c>
      <c r="B1831" s="196">
        <v>3</v>
      </c>
      <c r="C1831" s="195" t="str">
        <f ca="1">IF(OFFSET('IWP29'!Std8dot1ReportingRequirements, 2, 0, 1, 1) = 0, "", OFFSET('IWP29'!Std8dot1ReportingRequirements, 2, 0, 1, 1))</f>
        <v/>
      </c>
      <c r="D1831" s="194" t="str">
        <f ca="1">IF(OFFSET('IWP29'!Std8dot1ReportingRequirements, 2, 1, 1, 1) = 0, "", OFFSET('IWP29'!Std8dot1ReportingRequirements, 2, 1, 1, 1))</f>
        <v/>
      </c>
    </row>
    <row r="1832" spans="1:7" s="146" customFormat="1">
      <c r="A1832" s="193" t="s">
        <v>527</v>
      </c>
      <c r="B1832" s="196">
        <v>4</v>
      </c>
      <c r="C1832" s="195" t="str">
        <f ca="1">IF(OFFSET('IWP29'!Std8dot1ReportingRequirements, 3, 0, 1, 1) = 0, "", OFFSET('IWP29'!Std8dot1ReportingRequirements, 3, 0, 1, 1))</f>
        <v/>
      </c>
      <c r="D1832" s="194" t="str">
        <f ca="1">IF(OFFSET('IWP29'!Std8dot1ReportingRequirements, 3, 1, 1, 1) = 0, "", OFFSET('IWP29'!Std8dot1ReportingRequirements, 3, 1, 1, 1))</f>
        <v/>
      </c>
    </row>
    <row r="1833" spans="1:7" s="146" customFormat="1">
      <c r="A1833" s="193" t="s">
        <v>528</v>
      </c>
      <c r="B1833" s="196">
        <v>1</v>
      </c>
      <c r="C1833" s="195" t="str">
        <f ca="1">IF(OFFSET('IWP30'!Std8dot1ReportingRequirements, 0, 0, 1, 1) = 0, "", OFFSET('IWP30'!Std8dot1ReportingRequirements, 0, 0, 1, 1))</f>
        <v/>
      </c>
      <c r="D1833" s="194" t="str">
        <f ca="1">IF(OFFSET('IWP30'!Std8dot1ReportingRequirements, 0, 1, 1, 1) = 0, "", OFFSET('IWP30'!Std8dot1ReportingRequirements, 0, 1, 1, 1))</f>
        <v/>
      </c>
    </row>
    <row r="1834" spans="1:7" s="146" customFormat="1">
      <c r="A1834" s="193" t="s">
        <v>528</v>
      </c>
      <c r="B1834" s="196">
        <v>2</v>
      </c>
      <c r="C1834" s="195" t="str">
        <f ca="1">IF(OFFSET('IWP30'!Std8dot1ReportingRequirements, 1, 0, 1, 1) = 0, "", OFFSET('IWP30'!Std8dot1ReportingRequirements, 1, 0, 1, 1))</f>
        <v/>
      </c>
      <c r="D1834" s="194" t="str">
        <f ca="1">IF(OFFSET('IWP30'!Std8dot1ReportingRequirements, 1, 1, 1, 1) = 0, "", OFFSET('IWP30'!Std8dot1ReportingRequirements, 1, 1, 1, 1))</f>
        <v/>
      </c>
    </row>
    <row r="1835" spans="1:7" s="146" customFormat="1">
      <c r="A1835" s="193" t="s">
        <v>528</v>
      </c>
      <c r="B1835" s="196">
        <v>3</v>
      </c>
      <c r="C1835" s="195" t="str">
        <f ca="1">IF(OFFSET('IWP30'!Std8dot1ReportingRequirements, 2, 0, 1, 1) = 0, "", OFFSET('IWP30'!Std8dot1ReportingRequirements, 2, 0, 1, 1))</f>
        <v/>
      </c>
      <c r="D1835" s="194" t="str">
        <f ca="1">IF(OFFSET('IWP30'!Std8dot1ReportingRequirements, 2, 1, 1, 1) = 0, "", OFFSET('IWP30'!Std8dot1ReportingRequirements, 2, 1, 1, 1))</f>
        <v/>
      </c>
    </row>
    <row r="1836" spans="1:7" s="146" customFormat="1" ht="15.75" thickBot="1">
      <c r="A1836" s="197" t="s">
        <v>528</v>
      </c>
      <c r="B1836" s="185">
        <v>4</v>
      </c>
      <c r="C1836" s="182" t="str">
        <f ca="1">IF(OFFSET('IWP30'!Std8dot1ReportingRequirements, 3, 0, 1, 1) = 0, "", OFFSET('IWP30'!Std8dot1ReportingRequirements, 3, 0, 1, 1))</f>
        <v/>
      </c>
      <c r="D1836" s="186" t="str">
        <f ca="1">IF(OFFSET('IWP30'!Std8dot1ReportingRequirements, 3, 1, 1, 1) = 0, "", OFFSET('IWP30'!Std8dot1ReportingRequirements, 3, 1, 1, 1))</f>
        <v/>
      </c>
    </row>
    <row r="1838" spans="1:7" ht="15.75" thickBot="1">
      <c r="A1838" s="191" t="s">
        <v>569</v>
      </c>
    </row>
    <row r="1839" spans="1:7" s="107" customFormat="1" ht="45">
      <c r="A1839" s="170" t="s">
        <v>443</v>
      </c>
      <c r="B1839" s="171" t="s">
        <v>567</v>
      </c>
      <c r="C1839" s="171" t="s">
        <v>549</v>
      </c>
      <c r="D1839" s="171" t="s">
        <v>550</v>
      </c>
      <c r="E1839" s="171" t="s">
        <v>564</v>
      </c>
      <c r="F1839" s="171" t="s">
        <v>568</v>
      </c>
      <c r="G1839" s="173" t="s">
        <v>565</v>
      </c>
    </row>
    <row r="1840" spans="1:7">
      <c r="A1840" s="183" t="s">
        <v>499</v>
      </c>
      <c r="B1840" s="196">
        <v>1</v>
      </c>
      <c r="C1840" s="172">
        <f ca="1">IF(OFFSET('IWP01'!Std8dot2CDSABudgetInfo, 0, 0, 1, 1)=DATE(1900,1,0), DATE(1900,1,1), OFFSET('IWP01'!Std8dot2CDSABudgetInfo, 0, 0, 1, 1))</f>
        <v>1</v>
      </c>
      <c r="D1840" s="172">
        <f ca="1">IF(OFFSET('IWP01'!Std8dot2CDSABudgetInfo, 0, 2, 1, 1)=DATE(1900,1,0), DATE(1900,1,1), OFFSET('IWP01'!Std8dot2CDSABudgetInfo, 0, 2, 1, 1))</f>
        <v>1</v>
      </c>
      <c r="E1840" s="195" t="str">
        <f ca="1">IF(OFFSET('IWP01'!Std8dot2CDSABudgetInfo, 0, 3, 1, 1) = 0, "", OFFSET('IWP01'!Std8dot2CDSABudgetInfo, 0, 3, 1, 1))</f>
        <v/>
      </c>
      <c r="F1840" s="195" t="str">
        <f ca="1">IF(OFFSET('IWP01'!Std8dot2CDSABudgetInfo, 0, 4, 1, 1) = 0, "", OFFSET('IWP01'!Std8dot2CDSABudgetInfo, 0, 4, 1, 1))</f>
        <v/>
      </c>
      <c r="G1840" s="194" t="str">
        <f ca="1">IF(OFFSET('IWP01'!Std8dot2CDSABudgetInfo, 0, 5, 1, 1) = 0, "", OFFSET('IWP01'!Std8dot2CDSABudgetInfo, 0, 5, 1, 1))</f>
        <v/>
      </c>
    </row>
    <row r="1841" spans="1:7">
      <c r="A1841" s="183" t="s">
        <v>499</v>
      </c>
      <c r="B1841" s="196">
        <v>2</v>
      </c>
      <c r="C1841" s="172">
        <f ca="1">IF(OFFSET('IWP01'!Std8dot2CDSABudgetInfo, 1, 0, 1, 1)=DATE(1900,1,0), DATE(1900,1,1), OFFSET('IWP01'!Std8dot2CDSABudgetInfo, 1, 0, 1, 1))</f>
        <v>1</v>
      </c>
      <c r="D1841" s="172">
        <f ca="1">IF(OFFSET('IWP01'!Std8dot2CDSABudgetInfo, 1, 2, 1, 1)=DATE(1900,1,0), DATE(1900,1,1), OFFSET('IWP01'!Std8dot2CDSABudgetInfo, 1, 2, 1, 1))</f>
        <v>1</v>
      </c>
      <c r="E1841" s="195" t="str">
        <f ca="1">IF(OFFSET('IWP01'!Std8dot2CDSABudgetInfo, 1, 3, 1, 1) = 0, "", OFFSET('IWP01'!Std8dot2CDSABudgetInfo, 1, 3, 1, 1))</f>
        <v/>
      </c>
      <c r="F1841" s="195" t="str">
        <f ca="1">IF(OFFSET('IWP01'!Std8dot2CDSABudgetInfo, 1, 4, 1, 1) = 0, "", OFFSET('IWP01'!Std8dot2CDSABudgetInfo, 1, 4, 1, 1))</f>
        <v/>
      </c>
      <c r="G1841" s="194" t="str">
        <f ca="1">IF(OFFSET('IWP01'!Std8dot2CDSABudgetInfo, 1, 5, 1, 1) = 0, "", OFFSET('IWP01'!Std8dot2CDSABudgetInfo, 1, 5, 1, 1))</f>
        <v/>
      </c>
    </row>
    <row r="1842" spans="1:7">
      <c r="A1842" s="183" t="s">
        <v>499</v>
      </c>
      <c r="B1842" s="196">
        <v>3</v>
      </c>
      <c r="C1842" s="172">
        <f ca="1">IF(OFFSET('IWP01'!Std8dot2CDSABudgetInfo, 2, 0, 1, 1)=DATE(1900,1,0), DATE(1900,1,1), OFFSET('IWP01'!Std8dot2CDSABudgetInfo, 2, 0, 1, 1))</f>
        <v>1</v>
      </c>
      <c r="D1842" s="172">
        <f ca="1">IF(OFFSET('IWP01'!Std8dot2CDSABudgetInfo, 2, 2, 1, 1)=DATE(1900,1,0), DATE(1900,1,1), OFFSET('IWP01'!Std8dot2CDSABudgetInfo, 2, 2, 1, 1))</f>
        <v>1</v>
      </c>
      <c r="E1842" s="195" t="str">
        <f ca="1">IF(OFFSET('IWP01'!Std8dot2CDSABudgetInfo, 2, 3, 1, 1) = 0, "", OFFSET('IWP01'!Std8dot2CDSABudgetInfo, 2, 3, 1, 1))</f>
        <v/>
      </c>
      <c r="F1842" s="195" t="str">
        <f ca="1">IF(OFFSET('IWP01'!Std8dot2CDSABudgetInfo, 2, 4, 1, 1) = 0, "", OFFSET('IWP01'!Std8dot2CDSABudgetInfo, 2, 4, 1, 1))</f>
        <v/>
      </c>
      <c r="G1842" s="194" t="str">
        <f ca="1">IF(OFFSET('IWP01'!Std8dot2CDSABudgetInfo, 2, 5, 1, 1) = 0, "", OFFSET('IWP01'!Std8dot2CDSABudgetInfo, 2, 5, 1, 1))</f>
        <v/>
      </c>
    </row>
    <row r="1843" spans="1:7">
      <c r="A1843" s="183" t="s">
        <v>499</v>
      </c>
      <c r="B1843" s="196">
        <v>4</v>
      </c>
      <c r="C1843" s="172">
        <f ca="1">IF(OFFSET('IWP01'!Std8dot2CDSABudgetInfo, 3, 0, 1, 1)=DATE(1900,1,0), DATE(1900,1,1), OFFSET('IWP01'!Std8dot2CDSABudgetInfo, 3, 0, 1, 1))</f>
        <v>1</v>
      </c>
      <c r="D1843" s="172">
        <f ca="1">IF(OFFSET('IWP01'!Std8dot2CDSABudgetInfo, 3, 2, 1, 1)=DATE(1900,1,0), DATE(1900,1,1), OFFSET('IWP01'!Std8dot2CDSABudgetInfo, 3, 2, 1, 1))</f>
        <v>1</v>
      </c>
      <c r="E1843" s="195" t="str">
        <f ca="1">IF(OFFSET('IWP01'!Std8dot2CDSABudgetInfo, 3, 3, 1, 1) = 0, "", OFFSET('IWP01'!Std8dot2CDSABudgetInfo, 3, 3, 1, 1))</f>
        <v/>
      </c>
      <c r="F1843" s="195" t="str">
        <f ca="1">IF(OFFSET('IWP01'!Std8dot2CDSABudgetInfo, 3, 4, 1, 1) = 0, "", OFFSET('IWP01'!Std8dot2CDSABudgetInfo, 3, 4, 1, 1))</f>
        <v/>
      </c>
      <c r="G1843" s="194" t="str">
        <f ca="1">IF(OFFSET('IWP01'!Std8dot2CDSABudgetInfo, 3, 5, 1, 1) = 0, "", OFFSET('IWP01'!Std8dot2CDSABudgetInfo, 3, 5, 1, 1))</f>
        <v/>
      </c>
    </row>
    <row r="1844" spans="1:7" s="105" customFormat="1">
      <c r="A1844" s="183" t="s">
        <v>500</v>
      </c>
      <c r="B1844" s="196">
        <v>1</v>
      </c>
      <c r="C1844" s="172">
        <f ca="1">IF(OFFSET('IWP02'!Std8dot2CDSABudgetInfo, 0, 0, 1, 1)=DATE(1900,1,0), DATE(1900,1,1), OFFSET('IWP02'!Std8dot2CDSABudgetInfo, 0, 0, 1, 1))</f>
        <v>1</v>
      </c>
      <c r="D1844" s="172">
        <f ca="1">IF(OFFSET('IWP02'!Std8dot2CDSABudgetInfo, 0, 2, 1, 1)=DATE(1900,1,0), DATE(1900,1,1), OFFSET('IWP02'!Std8dot2CDSABudgetInfo, 0, 2, 1, 1))</f>
        <v>1</v>
      </c>
      <c r="E1844" s="195" t="str">
        <f ca="1">IF(OFFSET('IWP02'!Std8dot2CDSABudgetInfo, 0, 3, 1, 1) = 0, "", OFFSET('IWP02'!Std8dot2CDSABudgetInfo, 0, 3, 1, 1))</f>
        <v/>
      </c>
      <c r="F1844" s="195" t="str">
        <f ca="1">IF(OFFSET('IWP02'!Std8dot2CDSABudgetInfo, 0, 4, 1, 1) = 0, "", OFFSET('IWP02'!Std8dot2CDSABudgetInfo, 0, 4, 1, 1))</f>
        <v/>
      </c>
      <c r="G1844" s="194" t="str">
        <f ca="1">IF(OFFSET('IWP02'!Std8dot2CDSABudgetInfo, 0, 5, 1, 1) = 0, "", OFFSET('IWP02'!Std8dot2CDSABudgetInfo, 0, 5, 1, 1))</f>
        <v/>
      </c>
    </row>
    <row r="1845" spans="1:7" s="105" customFormat="1">
      <c r="A1845" s="183" t="s">
        <v>500</v>
      </c>
      <c r="B1845" s="196">
        <v>2</v>
      </c>
      <c r="C1845" s="172">
        <f ca="1">IF(OFFSET('IWP02'!Std8dot2CDSABudgetInfo, 1, 0, 1, 1)=DATE(1900,1,0), DATE(1900,1,1), OFFSET('IWP02'!Std8dot2CDSABudgetInfo, 1, 0, 1, 1))</f>
        <v>1</v>
      </c>
      <c r="D1845" s="172">
        <f ca="1">IF(OFFSET('IWP02'!Std8dot2CDSABudgetInfo, 1, 2, 1, 1)=DATE(1900,1,0), DATE(1900,1,1), OFFSET('IWP02'!Std8dot2CDSABudgetInfo, 1, 2, 1, 1))</f>
        <v>1</v>
      </c>
      <c r="E1845" s="195" t="str">
        <f ca="1">IF(OFFSET('IWP02'!Std8dot2CDSABudgetInfo, 1, 3, 1, 1) = 0, "", OFFSET('IWP02'!Std8dot2CDSABudgetInfo, 1, 3, 1, 1))</f>
        <v/>
      </c>
      <c r="F1845" s="195" t="str">
        <f ca="1">IF(OFFSET('IWP02'!Std8dot2CDSABudgetInfo, 1, 4, 1, 1) = 0, "", OFFSET('IWP02'!Std8dot2CDSABudgetInfo, 1, 4, 1, 1))</f>
        <v/>
      </c>
      <c r="G1845" s="194" t="str">
        <f ca="1">IF(OFFSET('IWP02'!Std8dot2CDSABudgetInfo, 1, 5, 1, 1) = 0, "", OFFSET('IWP02'!Std8dot2CDSABudgetInfo, 1, 5, 1, 1))</f>
        <v/>
      </c>
    </row>
    <row r="1846" spans="1:7" s="105" customFormat="1">
      <c r="A1846" s="183" t="s">
        <v>500</v>
      </c>
      <c r="B1846" s="196">
        <v>3</v>
      </c>
      <c r="C1846" s="172">
        <f ca="1">IF(OFFSET('IWP02'!Std8dot2CDSABudgetInfo, 2, 0, 1, 1)=DATE(1900,1,0), DATE(1900,1,1), OFFSET('IWP02'!Std8dot2CDSABudgetInfo, 2, 0, 1, 1))</f>
        <v>1</v>
      </c>
      <c r="D1846" s="172">
        <f ca="1">IF(OFFSET('IWP02'!Std8dot2CDSABudgetInfo, 2, 2, 1, 1)=DATE(1900,1,0), DATE(1900,1,1), OFFSET('IWP02'!Std8dot2CDSABudgetInfo, 2, 2, 1, 1))</f>
        <v>1</v>
      </c>
      <c r="E1846" s="195" t="str">
        <f ca="1">IF(OFFSET('IWP02'!Std8dot2CDSABudgetInfo, 2, 3, 1, 1) = 0, "", OFFSET('IWP02'!Std8dot2CDSABudgetInfo, 2, 3, 1, 1))</f>
        <v/>
      </c>
      <c r="F1846" s="195" t="str">
        <f ca="1">IF(OFFSET('IWP02'!Std8dot2CDSABudgetInfo, 2, 4, 1, 1) = 0, "", OFFSET('IWP02'!Std8dot2CDSABudgetInfo, 2, 4, 1, 1))</f>
        <v/>
      </c>
      <c r="G1846" s="194" t="str">
        <f ca="1">IF(OFFSET('IWP02'!Std8dot2CDSABudgetInfo, 2, 5, 1, 1) = 0, "", OFFSET('IWP02'!Std8dot2CDSABudgetInfo, 2, 5, 1, 1))</f>
        <v/>
      </c>
    </row>
    <row r="1847" spans="1:7" s="105" customFormat="1">
      <c r="A1847" s="183" t="s">
        <v>500</v>
      </c>
      <c r="B1847" s="196">
        <v>4</v>
      </c>
      <c r="C1847" s="172">
        <f ca="1">IF(OFFSET('IWP02'!Std8dot2CDSABudgetInfo, 3, 0, 1, 1)=DATE(1900,1,0), DATE(1900,1,1), OFFSET('IWP02'!Std8dot2CDSABudgetInfo, 3, 0, 1, 1))</f>
        <v>1</v>
      </c>
      <c r="D1847" s="172">
        <f ca="1">IF(OFFSET('IWP02'!Std8dot2CDSABudgetInfo, 3, 2, 1, 1)=DATE(1900,1,0), DATE(1900,1,1), OFFSET('IWP02'!Std8dot2CDSABudgetInfo, 3, 2, 1, 1))</f>
        <v>1</v>
      </c>
      <c r="E1847" s="195" t="str">
        <f ca="1">IF(OFFSET('IWP02'!Std8dot2CDSABudgetInfo, 3, 3, 1, 1) = 0, "", OFFSET('IWP02'!Std8dot2CDSABudgetInfo, 3, 3, 1, 1))</f>
        <v/>
      </c>
      <c r="F1847" s="195" t="str">
        <f ca="1">IF(OFFSET('IWP02'!Std8dot2CDSABudgetInfo, 3, 4, 1, 1) = 0, "", OFFSET('IWP02'!Std8dot2CDSABudgetInfo, 3, 4, 1, 1))</f>
        <v/>
      </c>
      <c r="G1847" s="194" t="str">
        <f ca="1">IF(OFFSET('IWP02'!Std8dot2CDSABudgetInfo, 3, 5, 1, 1) = 0, "", OFFSET('IWP02'!Std8dot2CDSABudgetInfo, 3, 5, 1, 1))</f>
        <v/>
      </c>
    </row>
    <row r="1848" spans="1:7" s="105" customFormat="1">
      <c r="A1848" s="183" t="s">
        <v>501</v>
      </c>
      <c r="B1848" s="196">
        <v>1</v>
      </c>
      <c r="C1848" s="172">
        <f ca="1">IF(OFFSET('IWP03'!Std8dot2CDSABudgetInfo, 0, 0, 1, 1)=DATE(1900,1,0), DATE(1900,1,1), OFFSET('IWP03'!Std8dot2CDSABudgetInfo, 0, 0, 1, 1))</f>
        <v>1</v>
      </c>
      <c r="D1848" s="172">
        <f ca="1">IF(OFFSET('IWP03'!Std8dot2CDSABudgetInfo, 0, 2, 1, 1)=DATE(1900,1,0), DATE(1900,1,1), OFFSET('IWP03'!Std8dot2CDSABudgetInfo, 0, 2, 1, 1))</f>
        <v>1</v>
      </c>
      <c r="E1848" s="195" t="str">
        <f ca="1">IF(OFFSET('IWP03'!Std8dot2CDSABudgetInfo, 0, 3, 1, 1) = 0, "", OFFSET('IWP03'!Std8dot2CDSABudgetInfo, 0, 3, 1, 1))</f>
        <v/>
      </c>
      <c r="F1848" s="195" t="str">
        <f ca="1">IF(OFFSET('IWP03'!Std8dot2CDSABudgetInfo, 0, 4, 1, 1) = 0, "", OFFSET('IWP03'!Std8dot2CDSABudgetInfo, 0, 4, 1, 1))</f>
        <v/>
      </c>
      <c r="G1848" s="194" t="str">
        <f ca="1">IF(OFFSET('IWP03'!Std8dot2CDSABudgetInfo, 0, 5, 1, 1) = 0, "", OFFSET('IWP03'!Std8dot2CDSABudgetInfo, 0, 5, 1, 1))</f>
        <v/>
      </c>
    </row>
    <row r="1849" spans="1:7" s="105" customFormat="1">
      <c r="A1849" s="183" t="s">
        <v>501</v>
      </c>
      <c r="B1849" s="196">
        <v>2</v>
      </c>
      <c r="C1849" s="172">
        <f ca="1">IF(OFFSET('IWP03'!Std8dot2CDSABudgetInfo, 1, 0, 1, 1)=DATE(1900,1,0), DATE(1900,1,1), OFFSET('IWP03'!Std8dot2CDSABudgetInfo, 1, 0, 1, 1))</f>
        <v>1</v>
      </c>
      <c r="D1849" s="172">
        <f ca="1">IF(OFFSET('IWP03'!Std8dot2CDSABudgetInfo, 1, 2, 1, 1)=DATE(1900,1,0), DATE(1900,1,1), OFFSET('IWP03'!Std8dot2CDSABudgetInfo, 1, 2, 1, 1))</f>
        <v>1</v>
      </c>
      <c r="E1849" s="195" t="str">
        <f ca="1">IF(OFFSET('IWP03'!Std8dot2CDSABudgetInfo, 1, 3, 1, 1) = 0, "", OFFSET('IWP03'!Std8dot2CDSABudgetInfo, 1, 3, 1, 1))</f>
        <v/>
      </c>
      <c r="F1849" s="195" t="str">
        <f ca="1">IF(OFFSET('IWP03'!Std8dot2CDSABudgetInfo, 1, 4, 1, 1) = 0, "", OFFSET('IWP03'!Std8dot2CDSABudgetInfo, 1, 4, 1, 1))</f>
        <v/>
      </c>
      <c r="G1849" s="194" t="str">
        <f ca="1">IF(OFFSET('IWP03'!Std8dot2CDSABudgetInfo, 1, 5, 1, 1) = 0, "", OFFSET('IWP03'!Std8dot2CDSABudgetInfo, 1, 5, 1, 1))</f>
        <v/>
      </c>
    </row>
    <row r="1850" spans="1:7" s="105" customFormat="1">
      <c r="A1850" s="183" t="s">
        <v>501</v>
      </c>
      <c r="B1850" s="196">
        <v>3</v>
      </c>
      <c r="C1850" s="172">
        <f ca="1">IF(OFFSET('IWP03'!Std8dot2CDSABudgetInfo, 2, 0, 1, 1)=DATE(1900,1,0), DATE(1900,1,1), OFFSET('IWP03'!Std8dot2CDSABudgetInfo, 2, 0, 1, 1))</f>
        <v>1</v>
      </c>
      <c r="D1850" s="172">
        <f ca="1">IF(OFFSET('IWP03'!Std8dot2CDSABudgetInfo, 2, 2, 1, 1)=DATE(1900,1,0), DATE(1900,1,1), OFFSET('IWP03'!Std8dot2CDSABudgetInfo, 2, 2, 1, 1))</f>
        <v>1</v>
      </c>
      <c r="E1850" s="195" t="str">
        <f ca="1">IF(OFFSET('IWP03'!Std8dot2CDSABudgetInfo, 2, 3, 1, 1) = 0, "", OFFSET('IWP03'!Std8dot2CDSABudgetInfo, 2, 3, 1, 1))</f>
        <v/>
      </c>
      <c r="F1850" s="195" t="str">
        <f ca="1">IF(OFFSET('IWP03'!Std8dot2CDSABudgetInfo, 2, 4, 1, 1) = 0, "", OFFSET('IWP03'!Std8dot2CDSABudgetInfo, 2, 4, 1, 1))</f>
        <v/>
      </c>
      <c r="G1850" s="194" t="str">
        <f ca="1">IF(OFFSET('IWP03'!Std8dot2CDSABudgetInfo, 2, 5, 1, 1) = 0, "", OFFSET('IWP03'!Std8dot2CDSABudgetInfo, 2, 5, 1, 1))</f>
        <v/>
      </c>
    </row>
    <row r="1851" spans="1:7" s="105" customFormat="1">
      <c r="A1851" s="183" t="s">
        <v>501</v>
      </c>
      <c r="B1851" s="196">
        <v>4</v>
      </c>
      <c r="C1851" s="172">
        <f ca="1">IF(OFFSET('IWP03'!Std8dot2CDSABudgetInfo, 3, 0, 1, 1)=DATE(1900,1,0), DATE(1900,1,1), OFFSET('IWP03'!Std8dot2CDSABudgetInfo, 3, 0, 1, 1))</f>
        <v>1</v>
      </c>
      <c r="D1851" s="172">
        <f ca="1">IF(OFFSET('IWP03'!Std8dot2CDSABudgetInfo, 3, 2, 1, 1)=DATE(1900,1,0), DATE(1900,1,1), OFFSET('IWP03'!Std8dot2CDSABudgetInfo, 3, 2, 1, 1))</f>
        <v>1</v>
      </c>
      <c r="E1851" s="195" t="str">
        <f ca="1">IF(OFFSET('IWP03'!Std8dot2CDSABudgetInfo, 3, 3, 1, 1) = 0, "", OFFSET('IWP03'!Std8dot2CDSABudgetInfo, 3, 3, 1, 1))</f>
        <v/>
      </c>
      <c r="F1851" s="195" t="str">
        <f ca="1">IF(OFFSET('IWP03'!Std8dot2CDSABudgetInfo, 3, 4, 1, 1) = 0, "", OFFSET('IWP03'!Std8dot2CDSABudgetInfo, 3, 4, 1, 1))</f>
        <v/>
      </c>
      <c r="G1851" s="194" t="str">
        <f ca="1">IF(OFFSET('IWP03'!Std8dot2CDSABudgetInfo, 3, 5, 1, 1) = 0, "", OFFSET('IWP03'!Std8dot2CDSABudgetInfo, 3, 5, 1, 1))</f>
        <v/>
      </c>
    </row>
    <row r="1852" spans="1:7" s="146" customFormat="1">
      <c r="A1852" s="183" t="s">
        <v>502</v>
      </c>
      <c r="B1852" s="196">
        <v>1</v>
      </c>
      <c r="C1852" s="172">
        <f ca="1">IF(OFFSET('IWP04'!Std8dot2CDSABudgetInfo, 0, 0, 1, 1)=DATE(1900,1,0), DATE(1900,1,1), OFFSET('IWP04'!Std8dot2CDSABudgetInfo, 0, 0, 1, 1))</f>
        <v>1</v>
      </c>
      <c r="D1852" s="172">
        <f ca="1">IF(OFFSET('IWP04'!Std8dot2CDSABudgetInfo, 0, 2, 1, 1)=DATE(1900,1,0), DATE(1900,1,1), OFFSET('IWP04'!Std8dot2CDSABudgetInfo, 0, 2, 1, 1))</f>
        <v>1</v>
      </c>
      <c r="E1852" s="195" t="str">
        <f ca="1">IF(OFFSET('IWP04'!Std8dot2CDSABudgetInfo, 0, 3, 1, 1) = 0, "", OFFSET('IWP04'!Std8dot2CDSABudgetInfo, 0, 3, 1, 1))</f>
        <v/>
      </c>
      <c r="F1852" s="195" t="str">
        <f ca="1">IF(OFFSET('IWP04'!Std8dot2CDSABudgetInfo, 0, 4, 1, 1) = 0, "", OFFSET('IWP04'!Std8dot2CDSABudgetInfo, 0, 4, 1, 1))</f>
        <v/>
      </c>
      <c r="G1852" s="194" t="str">
        <f ca="1">IF(OFFSET('IWP04'!Std8dot2CDSABudgetInfo, 0, 5, 1, 1) = 0, "", OFFSET('IWP04'!Std8dot2CDSABudgetInfo, 0, 5, 1, 1))</f>
        <v/>
      </c>
    </row>
    <row r="1853" spans="1:7" s="146" customFormat="1">
      <c r="A1853" s="183" t="s">
        <v>502</v>
      </c>
      <c r="B1853" s="196">
        <v>2</v>
      </c>
      <c r="C1853" s="172">
        <f ca="1">IF(OFFSET('IWP04'!Std8dot2CDSABudgetInfo, 1, 0, 1, 1)=DATE(1900,1,0), DATE(1900,1,1), OFFSET('IWP04'!Std8dot2CDSABudgetInfo, 1, 0, 1, 1))</f>
        <v>1</v>
      </c>
      <c r="D1853" s="172">
        <f ca="1">IF(OFFSET('IWP04'!Std8dot2CDSABudgetInfo, 1, 2, 1, 1)=DATE(1900,1,0), DATE(1900,1,1), OFFSET('IWP04'!Std8dot2CDSABudgetInfo, 1, 2, 1, 1))</f>
        <v>1</v>
      </c>
      <c r="E1853" s="195" t="str">
        <f ca="1">IF(OFFSET('IWP04'!Std8dot2CDSABudgetInfo, 1, 3, 1, 1) = 0, "", OFFSET('IWP04'!Std8dot2CDSABudgetInfo, 1, 3, 1, 1))</f>
        <v/>
      </c>
      <c r="F1853" s="195" t="str">
        <f ca="1">IF(OFFSET('IWP04'!Std8dot2CDSABudgetInfo, 1, 4, 1, 1) = 0, "", OFFSET('IWP04'!Std8dot2CDSABudgetInfo, 1, 4, 1, 1))</f>
        <v/>
      </c>
      <c r="G1853" s="194" t="str">
        <f ca="1">IF(OFFSET('IWP04'!Std8dot2CDSABudgetInfo, 1, 5, 1, 1) = 0, "", OFFSET('IWP04'!Std8dot2CDSABudgetInfo, 1, 5, 1, 1))</f>
        <v/>
      </c>
    </row>
    <row r="1854" spans="1:7" s="146" customFormat="1">
      <c r="A1854" s="183" t="s">
        <v>502</v>
      </c>
      <c r="B1854" s="196">
        <v>3</v>
      </c>
      <c r="C1854" s="172">
        <f ca="1">IF(OFFSET('IWP04'!Std8dot2CDSABudgetInfo, 2, 0, 1, 1)=DATE(1900,1,0), DATE(1900,1,1), OFFSET('IWP04'!Std8dot2CDSABudgetInfo, 2, 0, 1, 1))</f>
        <v>1</v>
      </c>
      <c r="D1854" s="172">
        <f ca="1">IF(OFFSET('IWP04'!Std8dot2CDSABudgetInfo, 2, 2, 1, 1)=DATE(1900,1,0), DATE(1900,1,1), OFFSET('IWP04'!Std8dot2CDSABudgetInfo, 2, 2, 1, 1))</f>
        <v>1</v>
      </c>
      <c r="E1854" s="195" t="str">
        <f ca="1">IF(OFFSET('IWP04'!Std8dot2CDSABudgetInfo, 2, 3, 1, 1) = 0, "", OFFSET('IWP04'!Std8dot2CDSABudgetInfo, 2, 3, 1, 1))</f>
        <v/>
      </c>
      <c r="F1854" s="195" t="str">
        <f ca="1">IF(OFFSET('IWP04'!Std8dot2CDSABudgetInfo, 2, 4, 1, 1) = 0, "", OFFSET('IWP04'!Std8dot2CDSABudgetInfo, 2, 4, 1, 1))</f>
        <v/>
      </c>
      <c r="G1854" s="194" t="str">
        <f ca="1">IF(OFFSET('IWP04'!Std8dot2CDSABudgetInfo, 2, 5, 1, 1) = 0, "", OFFSET('IWP04'!Std8dot2CDSABudgetInfo, 2, 5, 1, 1))</f>
        <v/>
      </c>
    </row>
    <row r="1855" spans="1:7" s="146" customFormat="1">
      <c r="A1855" s="183" t="s">
        <v>502</v>
      </c>
      <c r="B1855" s="196">
        <v>4</v>
      </c>
      <c r="C1855" s="172">
        <f ca="1">IF(OFFSET('IWP04'!Std8dot2CDSABudgetInfo, 3, 0, 1, 1)=DATE(1900,1,0), DATE(1900,1,1), OFFSET('IWP04'!Std8dot2CDSABudgetInfo, 3, 0, 1, 1))</f>
        <v>1</v>
      </c>
      <c r="D1855" s="172">
        <f ca="1">IF(OFFSET('IWP04'!Std8dot2CDSABudgetInfo, 3, 2, 1, 1)=DATE(1900,1,0), DATE(1900,1,1), OFFSET('IWP04'!Std8dot2CDSABudgetInfo, 3, 2, 1, 1))</f>
        <v>1</v>
      </c>
      <c r="E1855" s="195" t="str">
        <f ca="1">IF(OFFSET('IWP04'!Std8dot2CDSABudgetInfo, 3, 3, 1, 1) = 0, "", OFFSET('IWP04'!Std8dot2CDSABudgetInfo, 3, 3, 1, 1))</f>
        <v/>
      </c>
      <c r="F1855" s="195" t="str">
        <f ca="1">IF(OFFSET('IWP04'!Std8dot2CDSABudgetInfo, 3, 4, 1, 1) = 0, "", OFFSET('IWP04'!Std8dot2CDSABudgetInfo, 3, 4, 1, 1))</f>
        <v/>
      </c>
      <c r="G1855" s="194" t="str">
        <f ca="1">IF(OFFSET('IWP04'!Std8dot2CDSABudgetInfo, 3, 5, 1, 1) = 0, "", OFFSET('IWP04'!Std8dot2CDSABudgetInfo, 3, 5, 1, 1))</f>
        <v/>
      </c>
    </row>
    <row r="1856" spans="1:7" s="146" customFormat="1">
      <c r="A1856" s="183" t="s">
        <v>503</v>
      </c>
      <c r="B1856" s="196">
        <v>1</v>
      </c>
      <c r="C1856" s="172">
        <f ca="1">IF(OFFSET('IWP05'!Std8dot2CDSABudgetInfo, 0, 0, 1, 1)=DATE(1900,1,0), DATE(1900,1,1), OFFSET('IWP05'!Std8dot2CDSABudgetInfo, 0, 0, 1, 1))</f>
        <v>1</v>
      </c>
      <c r="D1856" s="172">
        <f ca="1">IF(OFFSET('IWP05'!Std8dot2CDSABudgetInfo, 0, 2, 1, 1)=DATE(1900,1,0), DATE(1900,1,1), OFFSET('IWP05'!Std8dot2CDSABudgetInfo, 0, 2, 1, 1))</f>
        <v>1</v>
      </c>
      <c r="E1856" s="195" t="str">
        <f ca="1">IF(OFFSET('IWP05'!Std8dot2CDSABudgetInfo, 0, 3, 1, 1) = 0, "", OFFSET('IWP05'!Std8dot2CDSABudgetInfo, 0, 3, 1, 1))</f>
        <v/>
      </c>
      <c r="F1856" s="195" t="str">
        <f ca="1">IF(OFFSET('IWP05'!Std8dot2CDSABudgetInfo, 0, 4, 1, 1) = 0, "", OFFSET('IWP05'!Std8dot2CDSABudgetInfo, 0, 4, 1, 1))</f>
        <v/>
      </c>
      <c r="G1856" s="194" t="str">
        <f ca="1">IF(OFFSET('IWP05'!Std8dot2CDSABudgetInfo, 0, 5, 1, 1) = 0, "", OFFSET('IWP05'!Std8dot2CDSABudgetInfo, 0, 5, 1, 1))</f>
        <v/>
      </c>
    </row>
    <row r="1857" spans="1:7" s="146" customFormat="1">
      <c r="A1857" s="183" t="s">
        <v>503</v>
      </c>
      <c r="B1857" s="196">
        <v>2</v>
      </c>
      <c r="C1857" s="172">
        <f ca="1">IF(OFFSET('IWP05'!Std8dot2CDSABudgetInfo, 1, 0, 1, 1)=DATE(1900,1,0), DATE(1900,1,1), OFFSET('IWP05'!Std8dot2CDSABudgetInfo, 1, 0, 1, 1))</f>
        <v>1</v>
      </c>
      <c r="D1857" s="172">
        <f ca="1">IF(OFFSET('IWP05'!Std8dot2CDSABudgetInfo, 1, 2, 1, 1)=DATE(1900,1,0), DATE(1900,1,1), OFFSET('IWP05'!Std8dot2CDSABudgetInfo, 1, 2, 1, 1))</f>
        <v>1</v>
      </c>
      <c r="E1857" s="195" t="str">
        <f ca="1">IF(OFFSET('IWP05'!Std8dot2CDSABudgetInfo, 1, 3, 1, 1) = 0, "", OFFSET('IWP05'!Std8dot2CDSABudgetInfo, 1, 3, 1, 1))</f>
        <v/>
      </c>
      <c r="F1857" s="195" t="str">
        <f ca="1">IF(OFFSET('IWP05'!Std8dot2CDSABudgetInfo, 1, 4, 1, 1) = 0, "", OFFSET('IWP05'!Std8dot2CDSABudgetInfo, 1, 4, 1, 1))</f>
        <v/>
      </c>
      <c r="G1857" s="194" t="str">
        <f ca="1">IF(OFFSET('IWP05'!Std8dot2CDSABudgetInfo, 1, 5, 1, 1) = 0, "", OFFSET('IWP05'!Std8dot2CDSABudgetInfo, 1, 5, 1, 1))</f>
        <v/>
      </c>
    </row>
    <row r="1858" spans="1:7" s="146" customFormat="1">
      <c r="A1858" s="183" t="s">
        <v>503</v>
      </c>
      <c r="B1858" s="196">
        <v>3</v>
      </c>
      <c r="C1858" s="172">
        <f ca="1">IF(OFFSET('IWP05'!Std8dot2CDSABudgetInfo, 2, 0, 1, 1)=DATE(1900,1,0), DATE(1900,1,1), OFFSET('IWP05'!Std8dot2CDSABudgetInfo, 2, 0, 1, 1))</f>
        <v>1</v>
      </c>
      <c r="D1858" s="172">
        <f ca="1">IF(OFFSET('IWP05'!Std8dot2CDSABudgetInfo, 2, 2, 1, 1)=DATE(1900,1,0), DATE(1900,1,1), OFFSET('IWP05'!Std8dot2CDSABudgetInfo, 2, 2, 1, 1))</f>
        <v>1</v>
      </c>
      <c r="E1858" s="195" t="str">
        <f ca="1">IF(OFFSET('IWP05'!Std8dot2CDSABudgetInfo, 2, 3, 1, 1) = 0, "", OFFSET('IWP05'!Std8dot2CDSABudgetInfo, 2, 3, 1, 1))</f>
        <v/>
      </c>
      <c r="F1858" s="195" t="str">
        <f ca="1">IF(OFFSET('IWP05'!Std8dot2CDSABudgetInfo, 2, 4, 1, 1) = 0, "", OFFSET('IWP05'!Std8dot2CDSABudgetInfo, 2, 4, 1, 1))</f>
        <v/>
      </c>
      <c r="G1858" s="194" t="str">
        <f ca="1">IF(OFFSET('IWP05'!Std8dot2CDSABudgetInfo, 2, 5, 1, 1) = 0, "", OFFSET('IWP05'!Std8dot2CDSABudgetInfo, 2, 5, 1, 1))</f>
        <v/>
      </c>
    </row>
    <row r="1859" spans="1:7" s="146" customFormat="1">
      <c r="A1859" s="183" t="s">
        <v>503</v>
      </c>
      <c r="B1859" s="196">
        <v>4</v>
      </c>
      <c r="C1859" s="172">
        <f ca="1">IF(OFFSET('IWP05'!Std8dot2CDSABudgetInfo, 3, 0, 1, 1)=DATE(1900,1,0), DATE(1900,1,1), OFFSET('IWP05'!Std8dot2CDSABudgetInfo, 3, 0, 1, 1))</f>
        <v>1</v>
      </c>
      <c r="D1859" s="172">
        <f ca="1">IF(OFFSET('IWP05'!Std8dot2CDSABudgetInfo, 3, 2, 1, 1)=DATE(1900,1,0), DATE(1900,1,1), OFFSET('IWP05'!Std8dot2CDSABudgetInfo, 3, 2, 1, 1))</f>
        <v>1</v>
      </c>
      <c r="E1859" s="195" t="str">
        <f ca="1">IF(OFFSET('IWP05'!Std8dot2CDSABudgetInfo, 3, 3, 1, 1) = 0, "", OFFSET('IWP05'!Std8dot2CDSABudgetInfo, 3, 3, 1, 1))</f>
        <v/>
      </c>
      <c r="F1859" s="195" t="str">
        <f ca="1">IF(OFFSET('IWP05'!Std8dot2CDSABudgetInfo, 3, 4, 1, 1) = 0, "", OFFSET('IWP05'!Std8dot2CDSABudgetInfo, 3, 4, 1, 1))</f>
        <v/>
      </c>
      <c r="G1859" s="194" t="str">
        <f ca="1">IF(OFFSET('IWP05'!Std8dot2CDSABudgetInfo, 3, 5, 1, 1) = 0, "", OFFSET('IWP05'!Std8dot2CDSABudgetInfo, 3, 5, 1, 1))</f>
        <v/>
      </c>
    </row>
    <row r="1860" spans="1:7" s="146" customFormat="1">
      <c r="A1860" s="183" t="s">
        <v>504</v>
      </c>
      <c r="B1860" s="196">
        <v>1</v>
      </c>
      <c r="C1860" s="172">
        <f ca="1">IF(OFFSET('IWP06'!Std8dot2CDSABudgetInfo, 0, 0, 1, 1)=DATE(1900,1,0), DATE(1900,1,1), OFFSET('IWP06'!Std8dot2CDSABudgetInfo, 0, 0, 1, 1))</f>
        <v>1</v>
      </c>
      <c r="D1860" s="172">
        <f ca="1">IF(OFFSET('IWP06'!Std8dot2CDSABudgetInfo, 0, 2, 1, 1)=DATE(1900,1,0), DATE(1900,1,1), OFFSET('IWP06'!Std8dot2CDSABudgetInfo, 0, 2, 1, 1))</f>
        <v>1</v>
      </c>
      <c r="E1860" s="195" t="str">
        <f ca="1">IF(OFFSET('IWP06'!Std8dot2CDSABudgetInfo, 0, 3, 1, 1) = 0, "", OFFSET('IWP06'!Std8dot2CDSABudgetInfo, 0, 3, 1, 1))</f>
        <v/>
      </c>
      <c r="F1860" s="195" t="str">
        <f ca="1">IF(OFFSET('IWP06'!Std8dot2CDSABudgetInfo, 0, 4, 1, 1) = 0, "", OFFSET('IWP06'!Std8dot2CDSABudgetInfo, 0, 4, 1, 1))</f>
        <v/>
      </c>
      <c r="G1860" s="194" t="str">
        <f ca="1">IF(OFFSET('IWP06'!Std8dot2CDSABudgetInfo, 0, 5, 1, 1) = 0, "", OFFSET('IWP06'!Std8dot2CDSABudgetInfo, 0, 5, 1, 1))</f>
        <v/>
      </c>
    </row>
    <row r="1861" spans="1:7" s="146" customFormat="1">
      <c r="A1861" s="183" t="s">
        <v>504</v>
      </c>
      <c r="B1861" s="196">
        <v>2</v>
      </c>
      <c r="C1861" s="172">
        <f ca="1">IF(OFFSET('IWP06'!Std8dot2CDSABudgetInfo, 1, 0, 1, 1)=DATE(1900,1,0), DATE(1900,1,1), OFFSET('IWP06'!Std8dot2CDSABudgetInfo, 1, 0, 1, 1))</f>
        <v>1</v>
      </c>
      <c r="D1861" s="172">
        <f ca="1">IF(OFFSET('IWP06'!Std8dot2CDSABudgetInfo, 1, 2, 1, 1)=DATE(1900,1,0), DATE(1900,1,1), OFFSET('IWP06'!Std8dot2CDSABudgetInfo, 1, 2, 1, 1))</f>
        <v>1</v>
      </c>
      <c r="E1861" s="195" t="str">
        <f ca="1">IF(OFFSET('IWP06'!Std8dot2CDSABudgetInfo, 1, 3, 1, 1) = 0, "", OFFSET('IWP06'!Std8dot2CDSABudgetInfo, 1, 3, 1, 1))</f>
        <v/>
      </c>
      <c r="F1861" s="195" t="str">
        <f ca="1">IF(OFFSET('IWP06'!Std8dot2CDSABudgetInfo, 1, 4, 1, 1) = 0, "", OFFSET('IWP06'!Std8dot2CDSABudgetInfo, 1, 4, 1, 1))</f>
        <v/>
      </c>
      <c r="G1861" s="194" t="str">
        <f ca="1">IF(OFFSET('IWP06'!Std8dot2CDSABudgetInfo, 1, 5, 1, 1) = 0, "", OFFSET('IWP06'!Std8dot2CDSABudgetInfo, 1, 5, 1, 1))</f>
        <v/>
      </c>
    </row>
    <row r="1862" spans="1:7" s="146" customFormat="1">
      <c r="A1862" s="183" t="s">
        <v>504</v>
      </c>
      <c r="B1862" s="196">
        <v>3</v>
      </c>
      <c r="C1862" s="172">
        <f ca="1">IF(OFFSET('IWP06'!Std8dot2CDSABudgetInfo, 2, 0, 1, 1)=DATE(1900,1,0), DATE(1900,1,1), OFFSET('IWP06'!Std8dot2CDSABudgetInfo, 2, 0, 1, 1))</f>
        <v>1</v>
      </c>
      <c r="D1862" s="172">
        <f ca="1">IF(OFFSET('IWP06'!Std8dot2CDSABudgetInfo, 2, 2, 1, 1)=DATE(1900,1,0), DATE(1900,1,1), OFFSET('IWP06'!Std8dot2CDSABudgetInfo, 2, 2, 1, 1))</f>
        <v>1</v>
      </c>
      <c r="E1862" s="195" t="str">
        <f ca="1">IF(OFFSET('IWP06'!Std8dot2CDSABudgetInfo, 2, 3, 1, 1) = 0, "", OFFSET('IWP06'!Std8dot2CDSABudgetInfo, 2, 3, 1, 1))</f>
        <v/>
      </c>
      <c r="F1862" s="195" t="str">
        <f ca="1">IF(OFFSET('IWP06'!Std8dot2CDSABudgetInfo, 2, 4, 1, 1) = 0, "", OFFSET('IWP06'!Std8dot2CDSABudgetInfo, 2, 4, 1, 1))</f>
        <v/>
      </c>
      <c r="G1862" s="194" t="str">
        <f ca="1">IF(OFFSET('IWP06'!Std8dot2CDSABudgetInfo, 2, 5, 1, 1) = 0, "", OFFSET('IWP06'!Std8dot2CDSABudgetInfo, 2, 5, 1, 1))</f>
        <v/>
      </c>
    </row>
    <row r="1863" spans="1:7" s="146" customFormat="1">
      <c r="A1863" s="183" t="s">
        <v>504</v>
      </c>
      <c r="B1863" s="196">
        <v>4</v>
      </c>
      <c r="C1863" s="172">
        <f ca="1">IF(OFFSET('IWP06'!Std8dot2CDSABudgetInfo, 3, 0, 1, 1)=DATE(1900,1,0), DATE(1900,1,1), OFFSET('IWP06'!Std8dot2CDSABudgetInfo, 3, 0, 1, 1))</f>
        <v>1</v>
      </c>
      <c r="D1863" s="172">
        <f ca="1">IF(OFFSET('IWP06'!Std8dot2CDSABudgetInfo, 3, 2, 1, 1)=DATE(1900,1,0), DATE(1900,1,1), OFFSET('IWP06'!Std8dot2CDSABudgetInfo, 3, 2, 1, 1))</f>
        <v>1</v>
      </c>
      <c r="E1863" s="195" t="str">
        <f ca="1">IF(OFFSET('IWP06'!Std8dot2CDSABudgetInfo, 3, 3, 1, 1) = 0, "", OFFSET('IWP06'!Std8dot2CDSABudgetInfo, 3, 3, 1, 1))</f>
        <v/>
      </c>
      <c r="F1863" s="195" t="str">
        <f ca="1">IF(OFFSET('IWP06'!Std8dot2CDSABudgetInfo, 3, 4, 1, 1) = 0, "", OFFSET('IWP06'!Std8dot2CDSABudgetInfo, 3, 4, 1, 1))</f>
        <v/>
      </c>
      <c r="G1863" s="194" t="str">
        <f ca="1">IF(OFFSET('IWP06'!Std8dot2CDSABudgetInfo, 3, 5, 1, 1) = 0, "", OFFSET('IWP06'!Std8dot2CDSABudgetInfo, 3, 5, 1, 1))</f>
        <v/>
      </c>
    </row>
    <row r="1864" spans="1:7" s="146" customFormat="1">
      <c r="A1864" s="183" t="s">
        <v>505</v>
      </c>
      <c r="B1864" s="196">
        <v>1</v>
      </c>
      <c r="C1864" s="172">
        <f ca="1">IF(OFFSET('IWP07'!Std8dot2CDSABudgetInfo, 0, 0, 1, 1)=DATE(1900,1,0), DATE(1900,1,1), OFFSET('IWP07'!Std8dot2CDSABudgetInfo, 0, 0, 1, 1))</f>
        <v>1</v>
      </c>
      <c r="D1864" s="172">
        <f ca="1">IF(OFFSET('IWP07'!Std8dot2CDSABudgetInfo, 0, 2, 1, 1)=DATE(1900,1,0), DATE(1900,1,1), OFFSET('IWP07'!Std8dot2CDSABudgetInfo, 0, 2, 1, 1))</f>
        <v>1</v>
      </c>
      <c r="E1864" s="195" t="str">
        <f ca="1">IF(OFFSET('IWP07'!Std8dot2CDSABudgetInfo, 0, 3, 1, 1) = 0, "", OFFSET('IWP07'!Std8dot2CDSABudgetInfo, 0, 3, 1, 1))</f>
        <v/>
      </c>
      <c r="F1864" s="195" t="str">
        <f ca="1">IF(OFFSET('IWP07'!Std8dot2CDSABudgetInfo, 0, 4, 1, 1) = 0, "", OFFSET('IWP07'!Std8dot2CDSABudgetInfo, 0, 4, 1, 1))</f>
        <v/>
      </c>
      <c r="G1864" s="194" t="str">
        <f ca="1">IF(OFFSET('IWP07'!Std8dot2CDSABudgetInfo, 0, 5, 1, 1) = 0, "", OFFSET('IWP07'!Std8dot2CDSABudgetInfo, 0, 5, 1, 1))</f>
        <v/>
      </c>
    </row>
    <row r="1865" spans="1:7" s="146" customFormat="1">
      <c r="A1865" s="183" t="s">
        <v>505</v>
      </c>
      <c r="B1865" s="196">
        <v>2</v>
      </c>
      <c r="C1865" s="172">
        <f ca="1">IF(OFFSET('IWP07'!Std8dot2CDSABudgetInfo, 1, 0, 1, 1)=DATE(1900,1,0), DATE(1900,1,1), OFFSET('IWP07'!Std8dot2CDSABudgetInfo, 1, 0, 1, 1))</f>
        <v>1</v>
      </c>
      <c r="D1865" s="172">
        <f ca="1">IF(OFFSET('IWP07'!Std8dot2CDSABudgetInfo, 1, 2, 1, 1)=DATE(1900,1,0), DATE(1900,1,1), OFFSET('IWP07'!Std8dot2CDSABudgetInfo, 1, 2, 1, 1))</f>
        <v>1</v>
      </c>
      <c r="E1865" s="195" t="str">
        <f ca="1">IF(OFFSET('IWP07'!Std8dot2CDSABudgetInfo, 1, 3, 1, 1) = 0, "", OFFSET('IWP07'!Std8dot2CDSABudgetInfo, 1, 3, 1, 1))</f>
        <v/>
      </c>
      <c r="F1865" s="195" t="str">
        <f ca="1">IF(OFFSET('IWP07'!Std8dot2CDSABudgetInfo, 1, 4, 1, 1) = 0, "", OFFSET('IWP07'!Std8dot2CDSABudgetInfo, 1, 4, 1, 1))</f>
        <v/>
      </c>
      <c r="G1865" s="194" t="str">
        <f ca="1">IF(OFFSET('IWP07'!Std8dot2CDSABudgetInfo, 1, 5, 1, 1) = 0, "", OFFSET('IWP07'!Std8dot2CDSABudgetInfo, 1, 5, 1, 1))</f>
        <v/>
      </c>
    </row>
    <row r="1866" spans="1:7" s="146" customFormat="1">
      <c r="A1866" s="183" t="s">
        <v>505</v>
      </c>
      <c r="B1866" s="196">
        <v>3</v>
      </c>
      <c r="C1866" s="172">
        <f ca="1">IF(OFFSET('IWP07'!Std8dot2CDSABudgetInfo, 2, 0, 1, 1)=DATE(1900,1,0), DATE(1900,1,1), OFFSET('IWP07'!Std8dot2CDSABudgetInfo, 2, 0, 1, 1))</f>
        <v>1</v>
      </c>
      <c r="D1866" s="172">
        <f ca="1">IF(OFFSET('IWP07'!Std8dot2CDSABudgetInfo, 2, 2, 1, 1)=DATE(1900,1,0), DATE(1900,1,1), OFFSET('IWP07'!Std8dot2CDSABudgetInfo, 2, 2, 1, 1))</f>
        <v>1</v>
      </c>
      <c r="E1866" s="195" t="str">
        <f ca="1">IF(OFFSET('IWP07'!Std8dot2CDSABudgetInfo, 2, 3, 1, 1) = 0, "", OFFSET('IWP07'!Std8dot2CDSABudgetInfo, 2, 3, 1, 1))</f>
        <v/>
      </c>
      <c r="F1866" s="195" t="str">
        <f ca="1">IF(OFFSET('IWP07'!Std8dot2CDSABudgetInfo, 2, 4, 1, 1) = 0, "", OFFSET('IWP07'!Std8dot2CDSABudgetInfo, 2, 4, 1, 1))</f>
        <v/>
      </c>
      <c r="G1866" s="194" t="str">
        <f ca="1">IF(OFFSET('IWP07'!Std8dot2CDSABudgetInfo, 2, 5, 1, 1) = 0, "", OFFSET('IWP07'!Std8dot2CDSABudgetInfo, 2, 5, 1, 1))</f>
        <v/>
      </c>
    </row>
    <row r="1867" spans="1:7" s="146" customFormat="1">
      <c r="A1867" s="183" t="s">
        <v>505</v>
      </c>
      <c r="B1867" s="196">
        <v>4</v>
      </c>
      <c r="C1867" s="172">
        <f ca="1">IF(OFFSET('IWP07'!Std8dot2CDSABudgetInfo, 3, 0, 1, 1)=DATE(1900,1,0), DATE(1900,1,1), OFFSET('IWP07'!Std8dot2CDSABudgetInfo, 3, 0, 1, 1))</f>
        <v>1</v>
      </c>
      <c r="D1867" s="172">
        <f ca="1">IF(OFFSET('IWP07'!Std8dot2CDSABudgetInfo, 3, 2, 1, 1)=DATE(1900,1,0), DATE(1900,1,1), OFFSET('IWP07'!Std8dot2CDSABudgetInfo, 3, 2, 1, 1))</f>
        <v>1</v>
      </c>
      <c r="E1867" s="195" t="str">
        <f ca="1">IF(OFFSET('IWP07'!Std8dot2CDSABudgetInfo, 3, 3, 1, 1) = 0, "", OFFSET('IWP07'!Std8dot2CDSABudgetInfo, 3, 3, 1, 1))</f>
        <v/>
      </c>
      <c r="F1867" s="195" t="str">
        <f ca="1">IF(OFFSET('IWP07'!Std8dot2CDSABudgetInfo, 3, 4, 1, 1) = 0, "", OFFSET('IWP07'!Std8dot2CDSABudgetInfo, 3, 4, 1, 1))</f>
        <v/>
      </c>
      <c r="G1867" s="194" t="str">
        <f ca="1">IF(OFFSET('IWP07'!Std8dot2CDSABudgetInfo, 3, 5, 1, 1) = 0, "", OFFSET('IWP07'!Std8dot2CDSABudgetInfo, 3, 5, 1, 1))</f>
        <v/>
      </c>
    </row>
    <row r="1868" spans="1:7" s="146" customFormat="1">
      <c r="A1868" s="183" t="s">
        <v>506</v>
      </c>
      <c r="B1868" s="196">
        <v>1</v>
      </c>
      <c r="C1868" s="172">
        <f ca="1">IF(OFFSET('IWP08'!Std8dot2CDSABudgetInfo, 0, 0, 1, 1)=DATE(1900,1,0), DATE(1900,1,1), OFFSET('IWP08'!Std8dot2CDSABudgetInfo, 0, 0, 1, 1))</f>
        <v>1</v>
      </c>
      <c r="D1868" s="172">
        <f ca="1">IF(OFFSET('IWP08'!Std8dot2CDSABudgetInfo, 0, 2, 1, 1)=DATE(1900,1,0), DATE(1900,1,1), OFFSET('IWP08'!Std8dot2CDSABudgetInfo, 0, 2, 1, 1))</f>
        <v>1</v>
      </c>
      <c r="E1868" s="195" t="str">
        <f ca="1">IF(OFFSET('IWP08'!Std8dot2CDSABudgetInfo, 0, 3, 1, 1) = 0, "", OFFSET('IWP08'!Std8dot2CDSABudgetInfo, 0, 3, 1, 1))</f>
        <v/>
      </c>
      <c r="F1868" s="195" t="str">
        <f ca="1">IF(OFFSET('IWP08'!Std8dot2CDSABudgetInfo, 0, 4, 1, 1) = 0, "", OFFSET('IWP08'!Std8dot2CDSABudgetInfo, 0, 4, 1, 1))</f>
        <v/>
      </c>
      <c r="G1868" s="194" t="str">
        <f ca="1">IF(OFFSET('IWP08'!Std8dot2CDSABudgetInfo, 0, 5, 1, 1) = 0, "", OFFSET('IWP08'!Std8dot2CDSABudgetInfo, 0, 5, 1, 1))</f>
        <v/>
      </c>
    </row>
    <row r="1869" spans="1:7" s="146" customFormat="1">
      <c r="A1869" s="183" t="s">
        <v>506</v>
      </c>
      <c r="B1869" s="196">
        <v>2</v>
      </c>
      <c r="C1869" s="172">
        <f ca="1">IF(OFFSET('IWP08'!Std8dot2CDSABudgetInfo, 1, 0, 1, 1)=DATE(1900,1,0), DATE(1900,1,1), OFFSET('IWP08'!Std8dot2CDSABudgetInfo, 1, 0, 1, 1))</f>
        <v>1</v>
      </c>
      <c r="D1869" s="172">
        <f ca="1">IF(OFFSET('IWP08'!Std8dot2CDSABudgetInfo, 1, 2, 1, 1)=DATE(1900,1,0), DATE(1900,1,1), OFFSET('IWP08'!Std8dot2CDSABudgetInfo, 1, 2, 1, 1))</f>
        <v>1</v>
      </c>
      <c r="E1869" s="195" t="str">
        <f ca="1">IF(OFFSET('IWP08'!Std8dot2CDSABudgetInfo, 1, 3, 1, 1) = 0, "", OFFSET('IWP08'!Std8dot2CDSABudgetInfo, 1, 3, 1, 1))</f>
        <v/>
      </c>
      <c r="F1869" s="195" t="str">
        <f ca="1">IF(OFFSET('IWP08'!Std8dot2CDSABudgetInfo, 1, 4, 1, 1) = 0, "", OFFSET('IWP08'!Std8dot2CDSABudgetInfo, 1, 4, 1, 1))</f>
        <v/>
      </c>
      <c r="G1869" s="194" t="str">
        <f ca="1">IF(OFFSET('IWP08'!Std8dot2CDSABudgetInfo, 1, 5, 1, 1) = 0, "", OFFSET('IWP08'!Std8dot2CDSABudgetInfo, 1, 5, 1, 1))</f>
        <v/>
      </c>
    </row>
    <row r="1870" spans="1:7" s="146" customFormat="1">
      <c r="A1870" s="183" t="s">
        <v>506</v>
      </c>
      <c r="B1870" s="196">
        <v>3</v>
      </c>
      <c r="C1870" s="172">
        <f ca="1">IF(OFFSET('IWP08'!Std8dot2CDSABudgetInfo, 2, 0, 1, 1)=DATE(1900,1,0), DATE(1900,1,1), OFFSET('IWP08'!Std8dot2CDSABudgetInfo, 2, 0, 1, 1))</f>
        <v>1</v>
      </c>
      <c r="D1870" s="172">
        <f ca="1">IF(OFFSET('IWP08'!Std8dot2CDSABudgetInfo, 2, 2, 1, 1)=DATE(1900,1,0), DATE(1900,1,1), OFFSET('IWP08'!Std8dot2CDSABudgetInfo, 2, 2, 1, 1))</f>
        <v>1</v>
      </c>
      <c r="E1870" s="195" t="str">
        <f ca="1">IF(OFFSET('IWP08'!Std8dot2CDSABudgetInfo, 2, 3, 1, 1) = 0, "", OFFSET('IWP08'!Std8dot2CDSABudgetInfo, 2, 3, 1, 1))</f>
        <v/>
      </c>
      <c r="F1870" s="195" t="str">
        <f ca="1">IF(OFFSET('IWP08'!Std8dot2CDSABudgetInfo, 2, 4, 1, 1) = 0, "", OFFSET('IWP08'!Std8dot2CDSABudgetInfo, 2, 4, 1, 1))</f>
        <v/>
      </c>
      <c r="G1870" s="194" t="str">
        <f ca="1">IF(OFFSET('IWP08'!Std8dot2CDSABudgetInfo, 2, 5, 1, 1) = 0, "", OFFSET('IWP08'!Std8dot2CDSABudgetInfo, 2, 5, 1, 1))</f>
        <v/>
      </c>
    </row>
    <row r="1871" spans="1:7" s="146" customFormat="1">
      <c r="A1871" s="183" t="s">
        <v>506</v>
      </c>
      <c r="B1871" s="196">
        <v>4</v>
      </c>
      <c r="C1871" s="172">
        <f ca="1">IF(OFFSET('IWP08'!Std8dot2CDSABudgetInfo, 3, 0, 1, 1)=DATE(1900,1,0), DATE(1900,1,1), OFFSET('IWP08'!Std8dot2CDSABudgetInfo, 3, 0, 1, 1))</f>
        <v>1</v>
      </c>
      <c r="D1871" s="172">
        <f ca="1">IF(OFFSET('IWP08'!Std8dot2CDSABudgetInfo, 3, 2, 1, 1)=DATE(1900,1,0), DATE(1900,1,1), OFFSET('IWP08'!Std8dot2CDSABudgetInfo, 3, 2, 1, 1))</f>
        <v>1</v>
      </c>
      <c r="E1871" s="195" t="str">
        <f ca="1">IF(OFFSET('IWP08'!Std8dot2CDSABudgetInfo, 3, 3, 1, 1) = 0, "", OFFSET('IWP08'!Std8dot2CDSABudgetInfo, 3, 3, 1, 1))</f>
        <v/>
      </c>
      <c r="F1871" s="195" t="str">
        <f ca="1">IF(OFFSET('IWP08'!Std8dot2CDSABudgetInfo, 3, 4, 1, 1) = 0, "", OFFSET('IWP08'!Std8dot2CDSABudgetInfo, 3, 4, 1, 1))</f>
        <v/>
      </c>
      <c r="G1871" s="194" t="str">
        <f ca="1">IF(OFFSET('IWP08'!Std8dot2CDSABudgetInfo, 3, 5, 1, 1) = 0, "", OFFSET('IWP08'!Std8dot2CDSABudgetInfo, 3, 5, 1, 1))</f>
        <v/>
      </c>
    </row>
    <row r="1872" spans="1:7" s="146" customFormat="1">
      <c r="A1872" s="183" t="s">
        <v>507</v>
      </c>
      <c r="B1872" s="196">
        <v>1</v>
      </c>
      <c r="C1872" s="172">
        <f ca="1">IF(OFFSET('IWP09'!Std8dot2CDSABudgetInfo, 0, 0, 1, 1)=DATE(1900,1,0), DATE(1900,1,1), OFFSET('IWP09'!Std8dot2CDSABudgetInfo, 0, 0, 1, 1))</f>
        <v>1</v>
      </c>
      <c r="D1872" s="172">
        <f ca="1">IF(OFFSET('IWP09'!Std8dot2CDSABudgetInfo, 0, 2, 1, 1)=DATE(1900,1,0), DATE(1900,1,1), OFFSET('IWP09'!Std8dot2CDSABudgetInfo, 0, 2, 1, 1))</f>
        <v>1</v>
      </c>
      <c r="E1872" s="195" t="str">
        <f ca="1">IF(OFFSET('IWP09'!Std8dot2CDSABudgetInfo, 0, 3, 1, 1) = 0, "", OFFSET('IWP09'!Std8dot2CDSABudgetInfo, 0, 3, 1, 1))</f>
        <v/>
      </c>
      <c r="F1872" s="195" t="str">
        <f ca="1">IF(OFFSET('IWP09'!Std8dot2CDSABudgetInfo, 0, 4, 1, 1) = 0, "", OFFSET('IWP09'!Std8dot2CDSABudgetInfo, 0, 4, 1, 1))</f>
        <v/>
      </c>
      <c r="G1872" s="194" t="str">
        <f ca="1">IF(OFFSET('IWP09'!Std8dot2CDSABudgetInfo, 0, 5, 1, 1) = 0, "", OFFSET('IWP09'!Std8dot2CDSABudgetInfo, 0, 5, 1, 1))</f>
        <v/>
      </c>
    </row>
    <row r="1873" spans="1:7" s="146" customFormat="1">
      <c r="A1873" s="183" t="s">
        <v>507</v>
      </c>
      <c r="B1873" s="196">
        <v>2</v>
      </c>
      <c r="C1873" s="172">
        <f ca="1">IF(OFFSET('IWP09'!Std8dot2CDSABudgetInfo, 1, 0, 1, 1)=DATE(1900,1,0), DATE(1900,1,1), OFFSET('IWP09'!Std8dot2CDSABudgetInfo, 1, 0, 1, 1))</f>
        <v>1</v>
      </c>
      <c r="D1873" s="172">
        <f ca="1">IF(OFFSET('IWP09'!Std8dot2CDSABudgetInfo, 1, 2, 1, 1)=DATE(1900,1,0), DATE(1900,1,1), OFFSET('IWP09'!Std8dot2CDSABudgetInfo, 1, 2, 1, 1))</f>
        <v>1</v>
      </c>
      <c r="E1873" s="195" t="str">
        <f ca="1">IF(OFFSET('IWP09'!Std8dot2CDSABudgetInfo, 1, 3, 1, 1) = 0, "", OFFSET('IWP09'!Std8dot2CDSABudgetInfo, 1, 3, 1, 1))</f>
        <v/>
      </c>
      <c r="F1873" s="195" t="str">
        <f ca="1">IF(OFFSET('IWP09'!Std8dot2CDSABudgetInfo, 1, 4, 1, 1) = 0, "", OFFSET('IWP09'!Std8dot2CDSABudgetInfo, 1, 4, 1, 1))</f>
        <v/>
      </c>
      <c r="G1873" s="194" t="str">
        <f ca="1">IF(OFFSET('IWP09'!Std8dot2CDSABudgetInfo, 1, 5, 1, 1) = 0, "", OFFSET('IWP09'!Std8dot2CDSABudgetInfo, 1, 5, 1, 1))</f>
        <v/>
      </c>
    </row>
    <row r="1874" spans="1:7" s="146" customFormat="1">
      <c r="A1874" s="183" t="s">
        <v>507</v>
      </c>
      <c r="B1874" s="196">
        <v>3</v>
      </c>
      <c r="C1874" s="172">
        <f ca="1">IF(OFFSET('IWP09'!Std8dot2CDSABudgetInfo, 2, 0, 1, 1)=DATE(1900,1,0), DATE(1900,1,1), OFFSET('IWP09'!Std8dot2CDSABudgetInfo, 2, 0, 1, 1))</f>
        <v>1</v>
      </c>
      <c r="D1874" s="172">
        <f ca="1">IF(OFFSET('IWP09'!Std8dot2CDSABudgetInfo, 2, 2, 1, 1)=DATE(1900,1,0), DATE(1900,1,1), OFFSET('IWP09'!Std8dot2CDSABudgetInfo, 2, 2, 1, 1))</f>
        <v>1</v>
      </c>
      <c r="E1874" s="195" t="str">
        <f ca="1">IF(OFFSET('IWP09'!Std8dot2CDSABudgetInfo, 2, 3, 1, 1) = 0, "", OFFSET('IWP09'!Std8dot2CDSABudgetInfo, 2, 3, 1, 1))</f>
        <v/>
      </c>
      <c r="F1874" s="195" t="str">
        <f ca="1">IF(OFFSET('IWP09'!Std8dot2CDSABudgetInfo, 2, 4, 1, 1) = 0, "", OFFSET('IWP09'!Std8dot2CDSABudgetInfo, 2, 4, 1, 1))</f>
        <v/>
      </c>
      <c r="G1874" s="194" t="str">
        <f ca="1">IF(OFFSET('IWP09'!Std8dot2CDSABudgetInfo, 2, 5, 1, 1) = 0, "", OFFSET('IWP09'!Std8dot2CDSABudgetInfo, 2, 5, 1, 1))</f>
        <v/>
      </c>
    </row>
    <row r="1875" spans="1:7" s="146" customFormat="1">
      <c r="A1875" s="183" t="s">
        <v>507</v>
      </c>
      <c r="B1875" s="196">
        <v>4</v>
      </c>
      <c r="C1875" s="172">
        <f ca="1">IF(OFFSET('IWP09'!Std8dot2CDSABudgetInfo, 3, 0, 1, 1)=DATE(1900,1,0), DATE(1900,1,1), OFFSET('IWP09'!Std8dot2CDSABudgetInfo, 3, 0, 1, 1))</f>
        <v>1</v>
      </c>
      <c r="D1875" s="172">
        <f ca="1">IF(OFFSET('IWP09'!Std8dot2CDSABudgetInfo, 3, 2, 1, 1)=DATE(1900,1,0), DATE(1900,1,1), OFFSET('IWP09'!Std8dot2CDSABudgetInfo, 3, 2, 1, 1))</f>
        <v>1</v>
      </c>
      <c r="E1875" s="195" t="str">
        <f ca="1">IF(OFFSET('IWP09'!Std8dot2CDSABudgetInfo, 3, 3, 1, 1) = 0, "", OFFSET('IWP09'!Std8dot2CDSABudgetInfo, 3, 3, 1, 1))</f>
        <v/>
      </c>
      <c r="F1875" s="195" t="str">
        <f ca="1">IF(OFFSET('IWP09'!Std8dot2CDSABudgetInfo, 3, 4, 1, 1) = 0, "", OFFSET('IWP09'!Std8dot2CDSABudgetInfo, 3, 4, 1, 1))</f>
        <v/>
      </c>
      <c r="G1875" s="194" t="str">
        <f ca="1">IF(OFFSET('IWP09'!Std8dot2CDSABudgetInfo, 3, 5, 1, 1) = 0, "", OFFSET('IWP09'!Std8dot2CDSABudgetInfo, 3, 5, 1, 1))</f>
        <v/>
      </c>
    </row>
    <row r="1876" spans="1:7" s="146" customFormat="1">
      <c r="A1876" s="183" t="s">
        <v>508</v>
      </c>
      <c r="B1876" s="196">
        <v>1</v>
      </c>
      <c r="C1876" s="172">
        <f ca="1">IF(OFFSET('IWP10'!Std8dot2CDSABudgetInfo, 0, 0, 1, 1)=DATE(1900,1,0), DATE(1900,1,1), OFFSET('IWP10'!Std8dot2CDSABudgetInfo, 0, 0, 1, 1))</f>
        <v>1</v>
      </c>
      <c r="D1876" s="172">
        <f ca="1">IF(OFFSET('IWP10'!Std8dot2CDSABudgetInfo, 0, 2, 1, 1)=DATE(1900,1,0), DATE(1900,1,1), OFFSET('IWP10'!Std8dot2CDSABudgetInfo, 0, 2, 1, 1))</f>
        <v>1</v>
      </c>
      <c r="E1876" s="195" t="str">
        <f ca="1">IF(OFFSET('IWP10'!Std8dot2CDSABudgetInfo, 0, 3, 1, 1) = 0, "", OFFSET('IWP10'!Std8dot2CDSABudgetInfo, 0, 3, 1, 1))</f>
        <v/>
      </c>
      <c r="F1876" s="195" t="str">
        <f ca="1">IF(OFFSET('IWP10'!Std8dot2CDSABudgetInfo, 0, 4, 1, 1) = 0, "", OFFSET('IWP10'!Std8dot2CDSABudgetInfo, 0, 4, 1, 1))</f>
        <v/>
      </c>
      <c r="G1876" s="194" t="str">
        <f ca="1">IF(OFFSET('IWP10'!Std8dot2CDSABudgetInfo, 0, 5, 1, 1) = 0, "", OFFSET('IWP10'!Std8dot2CDSABudgetInfo, 0, 5, 1, 1))</f>
        <v/>
      </c>
    </row>
    <row r="1877" spans="1:7" s="146" customFormat="1">
      <c r="A1877" s="183" t="s">
        <v>508</v>
      </c>
      <c r="B1877" s="196">
        <v>2</v>
      </c>
      <c r="C1877" s="172">
        <f ca="1">IF(OFFSET('IWP10'!Std8dot2CDSABudgetInfo, 1, 0, 1, 1)=DATE(1900,1,0), DATE(1900,1,1), OFFSET('IWP10'!Std8dot2CDSABudgetInfo, 1, 0, 1, 1))</f>
        <v>1</v>
      </c>
      <c r="D1877" s="172">
        <f ca="1">IF(OFFSET('IWP10'!Std8dot2CDSABudgetInfo, 1, 2, 1, 1)=DATE(1900,1,0), DATE(1900,1,1), OFFSET('IWP10'!Std8dot2CDSABudgetInfo, 1, 2, 1, 1))</f>
        <v>1</v>
      </c>
      <c r="E1877" s="195" t="str">
        <f ca="1">IF(OFFSET('IWP10'!Std8dot2CDSABudgetInfo, 1, 3, 1, 1) = 0, "", OFFSET('IWP10'!Std8dot2CDSABudgetInfo, 1, 3, 1, 1))</f>
        <v/>
      </c>
      <c r="F1877" s="195" t="str">
        <f ca="1">IF(OFFSET('IWP10'!Std8dot2CDSABudgetInfo, 1, 4, 1, 1) = 0, "", OFFSET('IWP10'!Std8dot2CDSABudgetInfo, 1, 4, 1, 1))</f>
        <v/>
      </c>
      <c r="G1877" s="194" t="str">
        <f ca="1">IF(OFFSET('IWP10'!Std8dot2CDSABudgetInfo, 1, 5, 1, 1) = 0, "", OFFSET('IWP10'!Std8dot2CDSABudgetInfo, 1, 5, 1, 1))</f>
        <v/>
      </c>
    </row>
    <row r="1878" spans="1:7" s="146" customFormat="1">
      <c r="A1878" s="183" t="s">
        <v>508</v>
      </c>
      <c r="B1878" s="196">
        <v>3</v>
      </c>
      <c r="C1878" s="172">
        <f ca="1">IF(OFFSET('IWP10'!Std8dot2CDSABudgetInfo, 2, 0, 1, 1)=DATE(1900,1,0), DATE(1900,1,1), OFFSET('IWP10'!Std8dot2CDSABudgetInfo, 2, 0, 1, 1))</f>
        <v>1</v>
      </c>
      <c r="D1878" s="172">
        <f ca="1">IF(OFFSET('IWP10'!Std8dot2CDSABudgetInfo, 2, 2, 1, 1)=DATE(1900,1,0), DATE(1900,1,1), OFFSET('IWP10'!Std8dot2CDSABudgetInfo, 2, 2, 1, 1))</f>
        <v>1</v>
      </c>
      <c r="E1878" s="195" t="str">
        <f ca="1">IF(OFFSET('IWP10'!Std8dot2CDSABudgetInfo, 2, 3, 1, 1) = 0, "", OFFSET('IWP10'!Std8dot2CDSABudgetInfo, 2, 3, 1, 1))</f>
        <v/>
      </c>
      <c r="F1878" s="195" t="str">
        <f ca="1">IF(OFFSET('IWP10'!Std8dot2CDSABudgetInfo, 2, 4, 1, 1) = 0, "", OFFSET('IWP10'!Std8dot2CDSABudgetInfo, 2, 4, 1, 1))</f>
        <v/>
      </c>
      <c r="G1878" s="194" t="str">
        <f ca="1">IF(OFFSET('IWP10'!Std8dot2CDSABudgetInfo, 2, 5, 1, 1) = 0, "", OFFSET('IWP10'!Std8dot2CDSABudgetInfo, 2, 5, 1, 1))</f>
        <v/>
      </c>
    </row>
    <row r="1879" spans="1:7" s="146" customFormat="1">
      <c r="A1879" s="183" t="s">
        <v>508</v>
      </c>
      <c r="B1879" s="196">
        <v>4</v>
      </c>
      <c r="C1879" s="172">
        <f ca="1">IF(OFFSET('IWP10'!Std8dot2CDSABudgetInfo, 3, 0, 1, 1)=DATE(1900,1,0), DATE(1900,1,1), OFFSET('IWP10'!Std8dot2CDSABudgetInfo, 3, 0, 1, 1))</f>
        <v>1</v>
      </c>
      <c r="D1879" s="172">
        <f ca="1">IF(OFFSET('IWP10'!Std8dot2CDSABudgetInfo, 3, 2, 1, 1)=DATE(1900,1,0), DATE(1900,1,1), OFFSET('IWP10'!Std8dot2CDSABudgetInfo, 3, 2, 1, 1))</f>
        <v>1</v>
      </c>
      <c r="E1879" s="195" t="str">
        <f ca="1">IF(OFFSET('IWP10'!Std8dot2CDSABudgetInfo, 3, 3, 1, 1) = 0, "", OFFSET('IWP10'!Std8dot2CDSABudgetInfo, 3, 3, 1, 1))</f>
        <v/>
      </c>
      <c r="F1879" s="195" t="str">
        <f ca="1">IF(OFFSET('IWP10'!Std8dot2CDSABudgetInfo, 3, 4, 1, 1) = 0, "", OFFSET('IWP10'!Std8dot2CDSABudgetInfo, 3, 4, 1, 1))</f>
        <v/>
      </c>
      <c r="G1879" s="194" t="str">
        <f ca="1">IF(OFFSET('IWP10'!Std8dot2CDSABudgetInfo, 3, 5, 1, 1) = 0, "", OFFSET('IWP10'!Std8dot2CDSABudgetInfo, 3, 5, 1, 1))</f>
        <v/>
      </c>
    </row>
    <row r="1880" spans="1:7" s="146" customFormat="1">
      <c r="A1880" s="183" t="s">
        <v>509</v>
      </c>
      <c r="B1880" s="196">
        <v>1</v>
      </c>
      <c r="C1880" s="172">
        <f ca="1">IF(OFFSET('IWP11'!Std8dot2CDSABudgetInfo, 0, 0, 1, 1)=DATE(1900,1,0), DATE(1900,1,1), OFFSET('IWP11'!Std8dot2CDSABudgetInfo, 0, 0, 1, 1))</f>
        <v>1</v>
      </c>
      <c r="D1880" s="172">
        <f ca="1">IF(OFFSET('IWP11'!Std8dot2CDSABudgetInfo, 0, 2, 1, 1)=DATE(1900,1,0), DATE(1900,1,1), OFFSET('IWP11'!Std8dot2CDSABudgetInfo, 0, 2, 1, 1))</f>
        <v>1</v>
      </c>
      <c r="E1880" s="195" t="str">
        <f ca="1">IF(OFFSET('IWP11'!Std8dot2CDSABudgetInfo, 0, 3, 1, 1) = 0, "", OFFSET('IWP11'!Std8dot2CDSABudgetInfo, 0, 3, 1, 1))</f>
        <v/>
      </c>
      <c r="F1880" s="195" t="str">
        <f ca="1">IF(OFFSET('IWP11'!Std8dot2CDSABudgetInfo, 0, 4, 1, 1) = 0, "", OFFSET('IWP11'!Std8dot2CDSABudgetInfo, 0, 4, 1, 1))</f>
        <v/>
      </c>
      <c r="G1880" s="194" t="str">
        <f ca="1">IF(OFFSET('IWP11'!Std8dot2CDSABudgetInfo, 0, 5, 1, 1) = 0, "", OFFSET('IWP11'!Std8dot2CDSABudgetInfo, 0, 5, 1, 1))</f>
        <v/>
      </c>
    </row>
    <row r="1881" spans="1:7" s="146" customFormat="1">
      <c r="A1881" s="183" t="s">
        <v>509</v>
      </c>
      <c r="B1881" s="196">
        <v>2</v>
      </c>
      <c r="C1881" s="172">
        <f ca="1">IF(OFFSET('IWP11'!Std8dot2CDSABudgetInfo, 1, 0, 1, 1)=DATE(1900,1,0), DATE(1900,1,1), OFFSET('IWP11'!Std8dot2CDSABudgetInfo, 1, 0, 1, 1))</f>
        <v>1</v>
      </c>
      <c r="D1881" s="172">
        <f ca="1">IF(OFFSET('IWP11'!Std8dot2CDSABudgetInfo, 1, 2, 1, 1)=DATE(1900,1,0), DATE(1900,1,1), OFFSET('IWP11'!Std8dot2CDSABudgetInfo, 1, 2, 1, 1))</f>
        <v>1</v>
      </c>
      <c r="E1881" s="195" t="str">
        <f ca="1">IF(OFFSET('IWP11'!Std8dot2CDSABudgetInfo, 1, 3, 1, 1) = 0, "", OFFSET('IWP11'!Std8dot2CDSABudgetInfo, 1, 3, 1, 1))</f>
        <v/>
      </c>
      <c r="F1881" s="195" t="str">
        <f ca="1">IF(OFFSET('IWP11'!Std8dot2CDSABudgetInfo, 1, 4, 1, 1) = 0, "", OFFSET('IWP11'!Std8dot2CDSABudgetInfo, 1, 4, 1, 1))</f>
        <v/>
      </c>
      <c r="G1881" s="194" t="str">
        <f ca="1">IF(OFFSET('IWP11'!Std8dot2CDSABudgetInfo, 1, 5, 1, 1) = 0, "", OFFSET('IWP11'!Std8dot2CDSABudgetInfo, 1, 5, 1, 1))</f>
        <v/>
      </c>
    </row>
    <row r="1882" spans="1:7" s="146" customFormat="1">
      <c r="A1882" s="183" t="s">
        <v>509</v>
      </c>
      <c r="B1882" s="196">
        <v>3</v>
      </c>
      <c r="C1882" s="172">
        <f ca="1">IF(OFFSET('IWP11'!Std8dot2CDSABudgetInfo, 2, 0, 1, 1)=DATE(1900,1,0), DATE(1900,1,1), OFFSET('IWP11'!Std8dot2CDSABudgetInfo, 2, 0, 1, 1))</f>
        <v>1</v>
      </c>
      <c r="D1882" s="172">
        <f ca="1">IF(OFFSET('IWP11'!Std8dot2CDSABudgetInfo, 2, 2, 1, 1)=DATE(1900,1,0), DATE(1900,1,1), OFFSET('IWP11'!Std8dot2CDSABudgetInfo, 2, 2, 1, 1))</f>
        <v>1</v>
      </c>
      <c r="E1882" s="195" t="str">
        <f ca="1">IF(OFFSET('IWP11'!Std8dot2CDSABudgetInfo, 2, 3, 1, 1) = 0, "", OFFSET('IWP11'!Std8dot2CDSABudgetInfo, 2, 3, 1, 1))</f>
        <v/>
      </c>
      <c r="F1882" s="195" t="str">
        <f ca="1">IF(OFFSET('IWP11'!Std8dot2CDSABudgetInfo, 2, 4, 1, 1) = 0, "", OFFSET('IWP11'!Std8dot2CDSABudgetInfo, 2, 4, 1, 1))</f>
        <v/>
      </c>
      <c r="G1882" s="194" t="str">
        <f ca="1">IF(OFFSET('IWP11'!Std8dot2CDSABudgetInfo, 2, 5, 1, 1) = 0, "", OFFSET('IWP11'!Std8dot2CDSABudgetInfo, 2, 5, 1, 1))</f>
        <v/>
      </c>
    </row>
    <row r="1883" spans="1:7" s="146" customFormat="1">
      <c r="A1883" s="183" t="s">
        <v>509</v>
      </c>
      <c r="B1883" s="196">
        <v>4</v>
      </c>
      <c r="C1883" s="172">
        <f ca="1">IF(OFFSET('IWP11'!Std8dot2CDSABudgetInfo, 3, 0, 1, 1)=DATE(1900,1,0), DATE(1900,1,1), OFFSET('IWP11'!Std8dot2CDSABudgetInfo, 3, 0, 1, 1))</f>
        <v>1</v>
      </c>
      <c r="D1883" s="172">
        <f ca="1">IF(OFFSET('IWP11'!Std8dot2CDSABudgetInfo, 3, 2, 1, 1)=DATE(1900,1,0), DATE(1900,1,1), OFFSET('IWP11'!Std8dot2CDSABudgetInfo, 3, 2, 1, 1))</f>
        <v>1</v>
      </c>
      <c r="E1883" s="195" t="str">
        <f ca="1">IF(OFFSET('IWP11'!Std8dot2CDSABudgetInfo, 3, 3, 1, 1) = 0, "", OFFSET('IWP11'!Std8dot2CDSABudgetInfo, 3, 3, 1, 1))</f>
        <v/>
      </c>
      <c r="F1883" s="195" t="str">
        <f ca="1">IF(OFFSET('IWP11'!Std8dot2CDSABudgetInfo, 3, 4, 1, 1) = 0, "", OFFSET('IWP11'!Std8dot2CDSABudgetInfo, 3, 4, 1, 1))</f>
        <v/>
      </c>
      <c r="G1883" s="194" t="str">
        <f ca="1">IF(OFFSET('IWP11'!Std8dot2CDSABudgetInfo, 3, 5, 1, 1) = 0, "", OFFSET('IWP11'!Std8dot2CDSABudgetInfo, 3, 5, 1, 1))</f>
        <v/>
      </c>
    </row>
    <row r="1884" spans="1:7" s="146" customFormat="1">
      <c r="A1884" s="183" t="s">
        <v>510</v>
      </c>
      <c r="B1884" s="196">
        <v>1</v>
      </c>
      <c r="C1884" s="172">
        <f ca="1">IF(OFFSET('IWP12'!Std8dot2CDSABudgetInfo, 0, 0, 1, 1)=DATE(1900,1,0), DATE(1900,1,1), OFFSET('IWP12'!Std8dot2CDSABudgetInfo, 0, 0, 1, 1))</f>
        <v>1</v>
      </c>
      <c r="D1884" s="172">
        <f ca="1">IF(OFFSET('IWP12'!Std8dot2CDSABudgetInfo, 0, 2, 1, 1)=DATE(1900,1,0), DATE(1900,1,1), OFFSET('IWP12'!Std8dot2CDSABudgetInfo, 0, 2, 1, 1))</f>
        <v>1</v>
      </c>
      <c r="E1884" s="195" t="str">
        <f ca="1">IF(OFFSET('IWP12'!Std8dot2CDSABudgetInfo, 0, 3, 1, 1) = 0, "", OFFSET('IWP12'!Std8dot2CDSABudgetInfo, 0, 3, 1, 1))</f>
        <v/>
      </c>
      <c r="F1884" s="195" t="str">
        <f ca="1">IF(OFFSET('IWP12'!Std8dot2CDSABudgetInfo, 0, 4, 1, 1) = 0, "", OFFSET('IWP12'!Std8dot2CDSABudgetInfo, 0, 4, 1, 1))</f>
        <v/>
      </c>
      <c r="G1884" s="194" t="str">
        <f ca="1">IF(OFFSET('IWP12'!Std8dot2CDSABudgetInfo, 0, 5, 1, 1) = 0, "", OFFSET('IWP12'!Std8dot2CDSABudgetInfo, 0, 5, 1, 1))</f>
        <v/>
      </c>
    </row>
    <row r="1885" spans="1:7" s="146" customFormat="1">
      <c r="A1885" s="183" t="s">
        <v>510</v>
      </c>
      <c r="B1885" s="196">
        <v>2</v>
      </c>
      <c r="C1885" s="172">
        <f ca="1">IF(OFFSET('IWP12'!Std8dot2CDSABudgetInfo, 1, 0, 1, 1)=DATE(1900,1,0), DATE(1900,1,1), OFFSET('IWP12'!Std8dot2CDSABudgetInfo, 1, 0, 1, 1))</f>
        <v>1</v>
      </c>
      <c r="D1885" s="172">
        <f ca="1">IF(OFFSET('IWP12'!Std8dot2CDSABudgetInfo, 1, 2, 1, 1)=DATE(1900,1,0), DATE(1900,1,1), OFFSET('IWP12'!Std8dot2CDSABudgetInfo, 1, 2, 1, 1))</f>
        <v>1</v>
      </c>
      <c r="E1885" s="195" t="str">
        <f ca="1">IF(OFFSET('IWP12'!Std8dot2CDSABudgetInfo, 1, 3, 1, 1) = 0, "", OFFSET('IWP12'!Std8dot2CDSABudgetInfo, 1, 3, 1, 1))</f>
        <v/>
      </c>
      <c r="F1885" s="195" t="str">
        <f ca="1">IF(OFFSET('IWP12'!Std8dot2CDSABudgetInfo, 1, 4, 1, 1) = 0, "", OFFSET('IWP12'!Std8dot2CDSABudgetInfo, 1, 4, 1, 1))</f>
        <v/>
      </c>
      <c r="G1885" s="194" t="str">
        <f ca="1">IF(OFFSET('IWP12'!Std8dot2CDSABudgetInfo, 1, 5, 1, 1) = 0, "", OFFSET('IWP12'!Std8dot2CDSABudgetInfo, 1, 5, 1, 1))</f>
        <v/>
      </c>
    </row>
    <row r="1886" spans="1:7" s="146" customFormat="1">
      <c r="A1886" s="183" t="s">
        <v>510</v>
      </c>
      <c r="B1886" s="196">
        <v>3</v>
      </c>
      <c r="C1886" s="172">
        <f ca="1">IF(OFFSET('IWP12'!Std8dot2CDSABudgetInfo, 2, 0, 1, 1)=DATE(1900,1,0), DATE(1900,1,1), OFFSET('IWP12'!Std8dot2CDSABudgetInfo, 2, 0, 1, 1))</f>
        <v>1</v>
      </c>
      <c r="D1886" s="172">
        <f ca="1">IF(OFFSET('IWP12'!Std8dot2CDSABudgetInfo, 2, 2, 1, 1)=DATE(1900,1,0), DATE(1900,1,1), OFFSET('IWP12'!Std8dot2CDSABudgetInfo, 2, 2, 1, 1))</f>
        <v>1</v>
      </c>
      <c r="E1886" s="195" t="str">
        <f ca="1">IF(OFFSET('IWP12'!Std8dot2CDSABudgetInfo, 2, 3, 1, 1) = 0, "", OFFSET('IWP12'!Std8dot2CDSABudgetInfo, 2, 3, 1, 1))</f>
        <v/>
      </c>
      <c r="F1886" s="195" t="str">
        <f ca="1">IF(OFFSET('IWP12'!Std8dot2CDSABudgetInfo, 2, 4, 1, 1) = 0, "", OFFSET('IWP12'!Std8dot2CDSABudgetInfo, 2, 4, 1, 1))</f>
        <v/>
      </c>
      <c r="G1886" s="194" t="str">
        <f ca="1">IF(OFFSET('IWP12'!Std8dot2CDSABudgetInfo, 2, 5, 1, 1) = 0, "", OFFSET('IWP12'!Std8dot2CDSABudgetInfo, 2, 5, 1, 1))</f>
        <v/>
      </c>
    </row>
    <row r="1887" spans="1:7" s="146" customFormat="1">
      <c r="A1887" s="183" t="s">
        <v>510</v>
      </c>
      <c r="B1887" s="196">
        <v>4</v>
      </c>
      <c r="C1887" s="172">
        <f ca="1">IF(OFFSET('IWP12'!Std8dot2CDSABudgetInfo, 3, 0, 1, 1)=DATE(1900,1,0), DATE(1900,1,1), OFFSET('IWP12'!Std8dot2CDSABudgetInfo, 3, 0, 1, 1))</f>
        <v>1</v>
      </c>
      <c r="D1887" s="172">
        <f ca="1">IF(OFFSET('IWP12'!Std8dot2CDSABudgetInfo, 3, 2, 1, 1)=DATE(1900,1,0), DATE(1900,1,1), OFFSET('IWP12'!Std8dot2CDSABudgetInfo, 3, 2, 1, 1))</f>
        <v>1</v>
      </c>
      <c r="E1887" s="195" t="str">
        <f ca="1">IF(OFFSET('IWP12'!Std8dot2CDSABudgetInfo, 3, 3, 1, 1) = 0, "", OFFSET('IWP12'!Std8dot2CDSABudgetInfo, 3, 3, 1, 1))</f>
        <v/>
      </c>
      <c r="F1887" s="195" t="str">
        <f ca="1">IF(OFFSET('IWP12'!Std8dot2CDSABudgetInfo, 3, 4, 1, 1) = 0, "", OFFSET('IWP12'!Std8dot2CDSABudgetInfo, 3, 4, 1, 1))</f>
        <v/>
      </c>
      <c r="G1887" s="194" t="str">
        <f ca="1">IF(OFFSET('IWP12'!Std8dot2CDSABudgetInfo, 3, 5, 1, 1) = 0, "", OFFSET('IWP12'!Std8dot2CDSABudgetInfo, 3, 5, 1, 1))</f>
        <v/>
      </c>
    </row>
    <row r="1888" spans="1:7" s="146" customFormat="1">
      <c r="A1888" s="183" t="s">
        <v>511</v>
      </c>
      <c r="B1888" s="196">
        <v>1</v>
      </c>
      <c r="C1888" s="172">
        <f ca="1">IF(OFFSET('IWP13'!Std8dot2CDSABudgetInfo, 0, 0, 1, 1)=DATE(1900,1,0), DATE(1900,1,1), OFFSET('IWP13'!Std8dot2CDSABudgetInfo, 0, 0, 1, 1))</f>
        <v>1</v>
      </c>
      <c r="D1888" s="172">
        <f ca="1">IF(OFFSET('IWP13'!Std8dot2CDSABudgetInfo, 0, 2, 1, 1)=DATE(1900,1,0), DATE(1900,1,1), OFFSET('IWP13'!Std8dot2CDSABudgetInfo, 0, 2, 1, 1))</f>
        <v>1</v>
      </c>
      <c r="E1888" s="195" t="str">
        <f ca="1">IF(OFFSET('IWP13'!Std8dot2CDSABudgetInfo, 0, 3, 1, 1) = 0, "", OFFSET('IWP13'!Std8dot2CDSABudgetInfo, 0, 3, 1, 1))</f>
        <v/>
      </c>
      <c r="F1888" s="195" t="str">
        <f ca="1">IF(OFFSET('IWP13'!Std8dot2CDSABudgetInfo, 0, 4, 1, 1) = 0, "", OFFSET('IWP13'!Std8dot2CDSABudgetInfo, 0, 4, 1, 1))</f>
        <v/>
      </c>
      <c r="G1888" s="194" t="str">
        <f ca="1">IF(OFFSET('IWP13'!Std8dot2CDSABudgetInfo, 0, 5, 1, 1) = 0, "", OFFSET('IWP13'!Std8dot2CDSABudgetInfo, 0, 5, 1, 1))</f>
        <v/>
      </c>
    </row>
    <row r="1889" spans="1:7" s="146" customFormat="1">
      <c r="A1889" s="183" t="s">
        <v>511</v>
      </c>
      <c r="B1889" s="196">
        <v>2</v>
      </c>
      <c r="C1889" s="172">
        <f ca="1">IF(OFFSET('IWP13'!Std8dot2CDSABudgetInfo, 1, 0, 1, 1)=DATE(1900,1,0), DATE(1900,1,1), OFFSET('IWP13'!Std8dot2CDSABudgetInfo, 1, 0, 1, 1))</f>
        <v>1</v>
      </c>
      <c r="D1889" s="172">
        <f ca="1">IF(OFFSET('IWP13'!Std8dot2CDSABudgetInfo, 1, 2, 1, 1)=DATE(1900,1,0), DATE(1900,1,1), OFFSET('IWP13'!Std8dot2CDSABudgetInfo, 1, 2, 1, 1))</f>
        <v>1</v>
      </c>
      <c r="E1889" s="195" t="str">
        <f ca="1">IF(OFFSET('IWP13'!Std8dot2CDSABudgetInfo, 1, 3, 1, 1) = 0, "", OFFSET('IWP13'!Std8dot2CDSABudgetInfo, 1, 3, 1, 1))</f>
        <v/>
      </c>
      <c r="F1889" s="195" t="str">
        <f ca="1">IF(OFFSET('IWP13'!Std8dot2CDSABudgetInfo, 1, 4, 1, 1) = 0, "", OFFSET('IWP13'!Std8dot2CDSABudgetInfo, 1, 4, 1, 1))</f>
        <v/>
      </c>
      <c r="G1889" s="194" t="str">
        <f ca="1">IF(OFFSET('IWP13'!Std8dot2CDSABudgetInfo, 1, 5, 1, 1) = 0, "", OFFSET('IWP13'!Std8dot2CDSABudgetInfo, 1, 5, 1, 1))</f>
        <v/>
      </c>
    </row>
    <row r="1890" spans="1:7" s="146" customFormat="1">
      <c r="A1890" s="183" t="s">
        <v>511</v>
      </c>
      <c r="B1890" s="196">
        <v>3</v>
      </c>
      <c r="C1890" s="172">
        <f ca="1">IF(OFFSET('IWP13'!Std8dot2CDSABudgetInfo, 2, 0, 1, 1)=DATE(1900,1,0), DATE(1900,1,1), OFFSET('IWP13'!Std8dot2CDSABudgetInfo, 2, 0, 1, 1))</f>
        <v>1</v>
      </c>
      <c r="D1890" s="172">
        <f ca="1">IF(OFFSET('IWP13'!Std8dot2CDSABudgetInfo, 2, 2, 1, 1)=DATE(1900,1,0), DATE(1900,1,1), OFFSET('IWP13'!Std8dot2CDSABudgetInfo, 2, 2, 1, 1))</f>
        <v>1</v>
      </c>
      <c r="E1890" s="195" t="str">
        <f ca="1">IF(OFFSET('IWP13'!Std8dot2CDSABudgetInfo, 2, 3, 1, 1) = 0, "", OFFSET('IWP13'!Std8dot2CDSABudgetInfo, 2, 3, 1, 1))</f>
        <v/>
      </c>
      <c r="F1890" s="195" t="str">
        <f ca="1">IF(OFFSET('IWP13'!Std8dot2CDSABudgetInfo, 2, 4, 1, 1) = 0, "", OFFSET('IWP13'!Std8dot2CDSABudgetInfo, 2, 4, 1, 1))</f>
        <v/>
      </c>
      <c r="G1890" s="194" t="str">
        <f ca="1">IF(OFFSET('IWP13'!Std8dot2CDSABudgetInfo, 2, 5, 1, 1) = 0, "", OFFSET('IWP13'!Std8dot2CDSABudgetInfo, 2, 5, 1, 1))</f>
        <v/>
      </c>
    </row>
    <row r="1891" spans="1:7" s="146" customFormat="1">
      <c r="A1891" s="183" t="s">
        <v>511</v>
      </c>
      <c r="B1891" s="196">
        <v>4</v>
      </c>
      <c r="C1891" s="172">
        <f ca="1">IF(OFFSET('IWP13'!Std8dot2CDSABudgetInfo, 3, 0, 1, 1)=DATE(1900,1,0), DATE(1900,1,1), OFFSET('IWP13'!Std8dot2CDSABudgetInfo, 3, 0, 1, 1))</f>
        <v>1</v>
      </c>
      <c r="D1891" s="172">
        <f ca="1">IF(OFFSET('IWP13'!Std8dot2CDSABudgetInfo, 3, 2, 1, 1)=DATE(1900,1,0), DATE(1900,1,1), OFFSET('IWP13'!Std8dot2CDSABudgetInfo, 3, 2, 1, 1))</f>
        <v>1</v>
      </c>
      <c r="E1891" s="195" t="str">
        <f ca="1">IF(OFFSET('IWP13'!Std8dot2CDSABudgetInfo, 3, 3, 1, 1) = 0, "", OFFSET('IWP13'!Std8dot2CDSABudgetInfo, 3, 3, 1, 1))</f>
        <v/>
      </c>
      <c r="F1891" s="195" t="str">
        <f ca="1">IF(OFFSET('IWP13'!Std8dot2CDSABudgetInfo, 3, 4, 1, 1) = 0, "", OFFSET('IWP13'!Std8dot2CDSABudgetInfo, 3, 4, 1, 1))</f>
        <v/>
      </c>
      <c r="G1891" s="194" t="str">
        <f ca="1">IF(OFFSET('IWP13'!Std8dot2CDSABudgetInfo, 3, 5, 1, 1) = 0, "", OFFSET('IWP13'!Std8dot2CDSABudgetInfo, 3, 5, 1, 1))</f>
        <v/>
      </c>
    </row>
    <row r="1892" spans="1:7" s="146" customFormat="1">
      <c r="A1892" s="183" t="s">
        <v>512</v>
      </c>
      <c r="B1892" s="196">
        <v>1</v>
      </c>
      <c r="C1892" s="172">
        <f ca="1">IF(OFFSET('IWP14'!Std8dot2CDSABudgetInfo, 0, 0, 1, 1)=DATE(1900,1,0), DATE(1900,1,1), OFFSET('IWP14'!Std8dot2CDSABudgetInfo, 0, 0, 1, 1))</f>
        <v>1</v>
      </c>
      <c r="D1892" s="172">
        <f ca="1">IF(OFFSET('IWP14'!Std8dot2CDSABudgetInfo, 0, 2, 1, 1)=DATE(1900,1,0), DATE(1900,1,1), OFFSET('IWP14'!Std8dot2CDSABudgetInfo, 0, 2, 1, 1))</f>
        <v>1</v>
      </c>
      <c r="E1892" s="195" t="str">
        <f ca="1">IF(OFFSET('IWP14'!Std8dot2CDSABudgetInfo, 0, 3, 1, 1) = 0, "", OFFSET('IWP14'!Std8dot2CDSABudgetInfo, 0, 3, 1, 1))</f>
        <v/>
      </c>
      <c r="F1892" s="195" t="str">
        <f ca="1">IF(OFFSET('IWP14'!Std8dot2CDSABudgetInfo, 0, 4, 1, 1) = 0, "", OFFSET('IWP14'!Std8dot2CDSABudgetInfo, 0, 4, 1, 1))</f>
        <v/>
      </c>
      <c r="G1892" s="194" t="str">
        <f ca="1">IF(OFFSET('IWP14'!Std8dot2CDSABudgetInfo, 0, 5, 1, 1) = 0, "", OFFSET('IWP14'!Std8dot2CDSABudgetInfo, 0, 5, 1, 1))</f>
        <v/>
      </c>
    </row>
    <row r="1893" spans="1:7" s="146" customFormat="1">
      <c r="A1893" s="183" t="s">
        <v>512</v>
      </c>
      <c r="B1893" s="196">
        <v>2</v>
      </c>
      <c r="C1893" s="172">
        <f ca="1">IF(OFFSET('IWP14'!Std8dot2CDSABudgetInfo, 1, 0, 1, 1)=DATE(1900,1,0), DATE(1900,1,1), OFFSET('IWP14'!Std8dot2CDSABudgetInfo, 1, 0, 1, 1))</f>
        <v>1</v>
      </c>
      <c r="D1893" s="172">
        <f ca="1">IF(OFFSET('IWP14'!Std8dot2CDSABudgetInfo, 1, 2, 1, 1)=DATE(1900,1,0), DATE(1900,1,1), OFFSET('IWP14'!Std8dot2CDSABudgetInfo, 1, 2, 1, 1))</f>
        <v>1</v>
      </c>
      <c r="E1893" s="195" t="str">
        <f ca="1">IF(OFFSET('IWP14'!Std8dot2CDSABudgetInfo, 1, 3, 1, 1) = 0, "", OFFSET('IWP14'!Std8dot2CDSABudgetInfo, 1, 3, 1, 1))</f>
        <v/>
      </c>
      <c r="F1893" s="195" t="str">
        <f ca="1">IF(OFFSET('IWP14'!Std8dot2CDSABudgetInfo, 1, 4, 1, 1) = 0, "", OFFSET('IWP14'!Std8dot2CDSABudgetInfo, 1, 4, 1, 1))</f>
        <v/>
      </c>
      <c r="G1893" s="194" t="str">
        <f ca="1">IF(OFFSET('IWP14'!Std8dot2CDSABudgetInfo, 1, 5, 1, 1) = 0, "", OFFSET('IWP14'!Std8dot2CDSABudgetInfo, 1, 5, 1, 1))</f>
        <v/>
      </c>
    </row>
    <row r="1894" spans="1:7" s="146" customFormat="1">
      <c r="A1894" s="183" t="s">
        <v>512</v>
      </c>
      <c r="B1894" s="196">
        <v>3</v>
      </c>
      <c r="C1894" s="172">
        <f ca="1">IF(OFFSET('IWP14'!Std8dot2CDSABudgetInfo, 2, 0, 1, 1)=DATE(1900,1,0), DATE(1900,1,1), OFFSET('IWP14'!Std8dot2CDSABudgetInfo, 2, 0, 1, 1))</f>
        <v>1</v>
      </c>
      <c r="D1894" s="172">
        <f ca="1">IF(OFFSET('IWP14'!Std8dot2CDSABudgetInfo, 2, 2, 1, 1)=DATE(1900,1,0), DATE(1900,1,1), OFFSET('IWP14'!Std8dot2CDSABudgetInfo, 2, 2, 1, 1))</f>
        <v>1</v>
      </c>
      <c r="E1894" s="195" t="str">
        <f ca="1">IF(OFFSET('IWP14'!Std8dot2CDSABudgetInfo, 2, 3, 1, 1) = 0, "", OFFSET('IWP14'!Std8dot2CDSABudgetInfo, 2, 3, 1, 1))</f>
        <v/>
      </c>
      <c r="F1894" s="195" t="str">
        <f ca="1">IF(OFFSET('IWP14'!Std8dot2CDSABudgetInfo, 2, 4, 1, 1) = 0, "", OFFSET('IWP14'!Std8dot2CDSABudgetInfo, 2, 4, 1, 1))</f>
        <v/>
      </c>
      <c r="G1894" s="194" t="str">
        <f ca="1">IF(OFFSET('IWP14'!Std8dot2CDSABudgetInfo, 2, 5, 1, 1) = 0, "", OFFSET('IWP14'!Std8dot2CDSABudgetInfo, 2, 5, 1, 1))</f>
        <v/>
      </c>
    </row>
    <row r="1895" spans="1:7" s="146" customFormat="1">
      <c r="A1895" s="183" t="s">
        <v>512</v>
      </c>
      <c r="B1895" s="196">
        <v>4</v>
      </c>
      <c r="C1895" s="172">
        <f ca="1">IF(OFFSET('IWP14'!Std8dot2CDSABudgetInfo, 3, 0, 1, 1)=DATE(1900,1,0), DATE(1900,1,1), OFFSET('IWP14'!Std8dot2CDSABudgetInfo, 3, 0, 1, 1))</f>
        <v>1</v>
      </c>
      <c r="D1895" s="172">
        <f ca="1">IF(OFFSET('IWP14'!Std8dot2CDSABudgetInfo, 3, 2, 1, 1)=DATE(1900,1,0), DATE(1900,1,1), OFFSET('IWP14'!Std8dot2CDSABudgetInfo, 3, 2, 1, 1))</f>
        <v>1</v>
      </c>
      <c r="E1895" s="195" t="str">
        <f ca="1">IF(OFFSET('IWP14'!Std8dot2CDSABudgetInfo, 3, 3, 1, 1) = 0, "", OFFSET('IWP14'!Std8dot2CDSABudgetInfo, 3, 3, 1, 1))</f>
        <v/>
      </c>
      <c r="F1895" s="195" t="str">
        <f ca="1">IF(OFFSET('IWP14'!Std8dot2CDSABudgetInfo, 3, 4, 1, 1) = 0, "", OFFSET('IWP14'!Std8dot2CDSABudgetInfo, 3, 4, 1, 1))</f>
        <v/>
      </c>
      <c r="G1895" s="194" t="str">
        <f ca="1">IF(OFFSET('IWP14'!Std8dot2CDSABudgetInfo, 3, 5, 1, 1) = 0, "", OFFSET('IWP14'!Std8dot2CDSABudgetInfo, 3, 5, 1, 1))</f>
        <v/>
      </c>
    </row>
    <row r="1896" spans="1:7" s="146" customFormat="1">
      <c r="A1896" s="183" t="s">
        <v>513</v>
      </c>
      <c r="B1896" s="196">
        <v>1</v>
      </c>
      <c r="C1896" s="172">
        <f ca="1">IF(OFFSET('IWP15'!Std8dot2CDSABudgetInfo, 0, 0, 1, 1)=DATE(1900,1,0), DATE(1900,1,1), OFFSET('IWP15'!Std8dot2CDSABudgetInfo, 0, 0, 1, 1))</f>
        <v>1</v>
      </c>
      <c r="D1896" s="172">
        <f ca="1">IF(OFFSET('IWP15'!Std8dot2CDSABudgetInfo, 0, 2, 1, 1)=DATE(1900,1,0), DATE(1900,1,1), OFFSET('IWP15'!Std8dot2CDSABudgetInfo, 0, 2, 1, 1))</f>
        <v>1</v>
      </c>
      <c r="E1896" s="195" t="str">
        <f ca="1">IF(OFFSET('IWP15'!Std8dot2CDSABudgetInfo, 0, 3, 1, 1) = 0, "", OFFSET('IWP15'!Std8dot2CDSABudgetInfo, 0, 3, 1, 1))</f>
        <v/>
      </c>
      <c r="F1896" s="195" t="str">
        <f ca="1">IF(OFFSET('IWP15'!Std8dot2CDSABudgetInfo, 0, 4, 1, 1) = 0, "", OFFSET('IWP15'!Std8dot2CDSABudgetInfo, 0, 4, 1, 1))</f>
        <v/>
      </c>
      <c r="G1896" s="194" t="str">
        <f ca="1">IF(OFFSET('IWP15'!Std8dot2CDSABudgetInfo, 0, 5, 1, 1) = 0, "", OFFSET('IWP15'!Std8dot2CDSABudgetInfo, 0, 5, 1, 1))</f>
        <v/>
      </c>
    </row>
    <row r="1897" spans="1:7" s="146" customFormat="1">
      <c r="A1897" s="183" t="s">
        <v>513</v>
      </c>
      <c r="B1897" s="196">
        <v>2</v>
      </c>
      <c r="C1897" s="172">
        <f ca="1">IF(OFFSET('IWP15'!Std8dot2CDSABudgetInfo, 1, 0, 1, 1)=DATE(1900,1,0), DATE(1900,1,1), OFFSET('IWP15'!Std8dot2CDSABudgetInfo, 1, 0, 1, 1))</f>
        <v>1</v>
      </c>
      <c r="D1897" s="172">
        <f ca="1">IF(OFFSET('IWP15'!Std8dot2CDSABudgetInfo, 1, 2, 1, 1)=DATE(1900,1,0), DATE(1900,1,1), OFFSET('IWP15'!Std8dot2CDSABudgetInfo, 1, 2, 1, 1))</f>
        <v>1</v>
      </c>
      <c r="E1897" s="195" t="str">
        <f ca="1">IF(OFFSET('IWP15'!Std8dot2CDSABudgetInfo, 1, 3, 1, 1) = 0, "", OFFSET('IWP15'!Std8dot2CDSABudgetInfo, 1, 3, 1, 1))</f>
        <v/>
      </c>
      <c r="F1897" s="195" t="str">
        <f ca="1">IF(OFFSET('IWP15'!Std8dot2CDSABudgetInfo, 1, 4, 1, 1) = 0, "", OFFSET('IWP15'!Std8dot2CDSABudgetInfo, 1, 4, 1, 1))</f>
        <v/>
      </c>
      <c r="G1897" s="194" t="str">
        <f ca="1">IF(OFFSET('IWP15'!Std8dot2CDSABudgetInfo, 1, 5, 1, 1) = 0, "", OFFSET('IWP15'!Std8dot2CDSABudgetInfo, 1, 5, 1, 1))</f>
        <v/>
      </c>
    </row>
    <row r="1898" spans="1:7" s="146" customFormat="1">
      <c r="A1898" s="183" t="s">
        <v>513</v>
      </c>
      <c r="B1898" s="196">
        <v>3</v>
      </c>
      <c r="C1898" s="172">
        <f ca="1">IF(OFFSET('IWP15'!Std8dot2CDSABudgetInfo, 2, 0, 1, 1)=DATE(1900,1,0), DATE(1900,1,1), OFFSET('IWP15'!Std8dot2CDSABudgetInfo, 2, 0, 1, 1))</f>
        <v>1</v>
      </c>
      <c r="D1898" s="172">
        <f ca="1">IF(OFFSET('IWP15'!Std8dot2CDSABudgetInfo, 2, 2, 1, 1)=DATE(1900,1,0), DATE(1900,1,1), OFFSET('IWP15'!Std8dot2CDSABudgetInfo, 2, 2, 1, 1))</f>
        <v>1</v>
      </c>
      <c r="E1898" s="195" t="str">
        <f ca="1">IF(OFFSET('IWP15'!Std8dot2CDSABudgetInfo, 2, 3, 1, 1) = 0, "", OFFSET('IWP15'!Std8dot2CDSABudgetInfo, 2, 3, 1, 1))</f>
        <v/>
      </c>
      <c r="F1898" s="195" t="str">
        <f ca="1">IF(OFFSET('IWP15'!Std8dot2CDSABudgetInfo, 2, 4, 1, 1) = 0, "", OFFSET('IWP15'!Std8dot2CDSABudgetInfo, 2, 4, 1, 1))</f>
        <v/>
      </c>
      <c r="G1898" s="194" t="str">
        <f ca="1">IF(OFFSET('IWP15'!Std8dot2CDSABudgetInfo, 2, 5, 1, 1) = 0, "", OFFSET('IWP15'!Std8dot2CDSABudgetInfo, 2, 5, 1, 1))</f>
        <v/>
      </c>
    </row>
    <row r="1899" spans="1:7" s="146" customFormat="1">
      <c r="A1899" s="183" t="s">
        <v>513</v>
      </c>
      <c r="B1899" s="196">
        <v>4</v>
      </c>
      <c r="C1899" s="172">
        <f ca="1">IF(OFFSET('IWP15'!Std8dot2CDSABudgetInfo, 3, 0, 1, 1)=DATE(1900,1,0), DATE(1900,1,1), OFFSET('IWP15'!Std8dot2CDSABudgetInfo, 3, 0, 1, 1))</f>
        <v>1</v>
      </c>
      <c r="D1899" s="172">
        <f ca="1">IF(OFFSET('IWP15'!Std8dot2CDSABudgetInfo, 3, 2, 1, 1)=DATE(1900,1,0), DATE(1900,1,1), OFFSET('IWP15'!Std8dot2CDSABudgetInfo, 3, 2, 1, 1))</f>
        <v>1</v>
      </c>
      <c r="E1899" s="195" t="str">
        <f ca="1">IF(OFFSET('IWP15'!Std8dot2CDSABudgetInfo, 3, 3, 1, 1) = 0, "", OFFSET('IWP15'!Std8dot2CDSABudgetInfo, 3, 3, 1, 1))</f>
        <v/>
      </c>
      <c r="F1899" s="195" t="str">
        <f ca="1">IF(OFFSET('IWP15'!Std8dot2CDSABudgetInfo, 3, 4, 1, 1) = 0, "", OFFSET('IWP15'!Std8dot2CDSABudgetInfo, 3, 4, 1, 1))</f>
        <v/>
      </c>
      <c r="G1899" s="194" t="str">
        <f ca="1">IF(OFFSET('IWP15'!Std8dot2CDSABudgetInfo, 3, 5, 1, 1) = 0, "", OFFSET('IWP15'!Std8dot2CDSABudgetInfo, 3, 5, 1, 1))</f>
        <v/>
      </c>
    </row>
    <row r="1900" spans="1:7" s="146" customFormat="1">
      <c r="A1900" s="183" t="s">
        <v>514</v>
      </c>
      <c r="B1900" s="196">
        <v>1</v>
      </c>
      <c r="C1900" s="172">
        <f ca="1">IF(OFFSET('IWP16'!Std8dot2CDSABudgetInfo, 0, 0, 1, 1)=DATE(1900,1,0), DATE(1900,1,1), OFFSET('IWP16'!Std8dot2CDSABudgetInfo, 0, 0, 1, 1))</f>
        <v>1</v>
      </c>
      <c r="D1900" s="172">
        <f ca="1">IF(OFFSET('IWP16'!Std8dot2CDSABudgetInfo, 0, 2, 1, 1)=DATE(1900,1,0), DATE(1900,1,1), OFFSET('IWP16'!Std8dot2CDSABudgetInfo, 0, 2, 1, 1))</f>
        <v>1</v>
      </c>
      <c r="E1900" s="195" t="str">
        <f ca="1">IF(OFFSET('IWP16'!Std8dot2CDSABudgetInfo, 0, 3, 1, 1) = 0, "", OFFSET('IWP16'!Std8dot2CDSABudgetInfo, 0, 3, 1, 1))</f>
        <v/>
      </c>
      <c r="F1900" s="195" t="str">
        <f ca="1">IF(OFFSET('IWP16'!Std8dot2CDSABudgetInfo, 0, 4, 1, 1) = 0, "", OFFSET('IWP16'!Std8dot2CDSABudgetInfo, 0, 4, 1, 1))</f>
        <v/>
      </c>
      <c r="G1900" s="194" t="str">
        <f ca="1">IF(OFFSET('IWP16'!Std8dot2CDSABudgetInfo, 0, 5, 1, 1) = 0, "", OFFSET('IWP16'!Std8dot2CDSABudgetInfo, 0, 5, 1, 1))</f>
        <v/>
      </c>
    </row>
    <row r="1901" spans="1:7" s="146" customFormat="1">
      <c r="A1901" s="183" t="s">
        <v>514</v>
      </c>
      <c r="B1901" s="196">
        <v>2</v>
      </c>
      <c r="C1901" s="172">
        <f ca="1">IF(OFFSET('IWP16'!Std8dot2CDSABudgetInfo, 1, 0, 1, 1)=DATE(1900,1,0), DATE(1900,1,1), OFFSET('IWP16'!Std8dot2CDSABudgetInfo, 1, 0, 1, 1))</f>
        <v>1</v>
      </c>
      <c r="D1901" s="172">
        <f ca="1">IF(OFFSET('IWP16'!Std8dot2CDSABudgetInfo, 1, 2, 1, 1)=DATE(1900,1,0), DATE(1900,1,1), OFFSET('IWP16'!Std8dot2CDSABudgetInfo, 1, 2, 1, 1))</f>
        <v>1</v>
      </c>
      <c r="E1901" s="195" t="str">
        <f ca="1">IF(OFFSET('IWP16'!Std8dot2CDSABudgetInfo, 1, 3, 1, 1) = 0, "", OFFSET('IWP16'!Std8dot2CDSABudgetInfo, 1, 3, 1, 1))</f>
        <v/>
      </c>
      <c r="F1901" s="195" t="str">
        <f ca="1">IF(OFFSET('IWP16'!Std8dot2CDSABudgetInfo, 1, 4, 1, 1) = 0, "", OFFSET('IWP16'!Std8dot2CDSABudgetInfo, 1, 4, 1, 1))</f>
        <v/>
      </c>
      <c r="G1901" s="194" t="str">
        <f ca="1">IF(OFFSET('IWP16'!Std8dot2CDSABudgetInfo, 1, 5, 1, 1) = 0, "", OFFSET('IWP16'!Std8dot2CDSABudgetInfo, 1, 5, 1, 1))</f>
        <v/>
      </c>
    </row>
    <row r="1902" spans="1:7" s="146" customFormat="1">
      <c r="A1902" s="183" t="s">
        <v>514</v>
      </c>
      <c r="B1902" s="196">
        <v>3</v>
      </c>
      <c r="C1902" s="172">
        <f ca="1">IF(OFFSET('IWP16'!Std8dot2CDSABudgetInfo, 2, 0, 1, 1)=DATE(1900,1,0), DATE(1900,1,1), OFFSET('IWP16'!Std8dot2CDSABudgetInfo, 2, 0, 1, 1))</f>
        <v>1</v>
      </c>
      <c r="D1902" s="172">
        <f ca="1">IF(OFFSET('IWP16'!Std8dot2CDSABudgetInfo, 2, 2, 1, 1)=DATE(1900,1,0), DATE(1900,1,1), OFFSET('IWP16'!Std8dot2CDSABudgetInfo, 2, 2, 1, 1))</f>
        <v>1</v>
      </c>
      <c r="E1902" s="195" t="str">
        <f ca="1">IF(OFFSET('IWP16'!Std8dot2CDSABudgetInfo, 2, 3, 1, 1) = 0, "", OFFSET('IWP16'!Std8dot2CDSABudgetInfo, 2, 3, 1, 1))</f>
        <v/>
      </c>
      <c r="F1902" s="195" t="str">
        <f ca="1">IF(OFFSET('IWP16'!Std8dot2CDSABudgetInfo, 2, 4, 1, 1) = 0, "", OFFSET('IWP16'!Std8dot2CDSABudgetInfo, 2, 4, 1, 1))</f>
        <v/>
      </c>
      <c r="G1902" s="194" t="str">
        <f ca="1">IF(OFFSET('IWP16'!Std8dot2CDSABudgetInfo, 2, 5, 1, 1) = 0, "", OFFSET('IWP16'!Std8dot2CDSABudgetInfo, 2, 5, 1, 1))</f>
        <v/>
      </c>
    </row>
    <row r="1903" spans="1:7" s="146" customFormat="1">
      <c r="A1903" s="183" t="s">
        <v>514</v>
      </c>
      <c r="B1903" s="196">
        <v>4</v>
      </c>
      <c r="C1903" s="172">
        <f ca="1">IF(OFFSET('IWP16'!Std8dot2CDSABudgetInfo, 3, 0, 1, 1)=DATE(1900,1,0), DATE(1900,1,1), OFFSET('IWP16'!Std8dot2CDSABudgetInfo, 3, 0, 1, 1))</f>
        <v>1</v>
      </c>
      <c r="D1903" s="172">
        <f ca="1">IF(OFFSET('IWP16'!Std8dot2CDSABudgetInfo, 3, 2, 1, 1)=DATE(1900,1,0), DATE(1900,1,1), OFFSET('IWP16'!Std8dot2CDSABudgetInfo, 3, 2, 1, 1))</f>
        <v>1</v>
      </c>
      <c r="E1903" s="195" t="str">
        <f ca="1">IF(OFFSET('IWP16'!Std8dot2CDSABudgetInfo, 3, 3, 1, 1) = 0, "", OFFSET('IWP16'!Std8dot2CDSABudgetInfo, 3, 3, 1, 1))</f>
        <v/>
      </c>
      <c r="F1903" s="195" t="str">
        <f ca="1">IF(OFFSET('IWP16'!Std8dot2CDSABudgetInfo, 3, 4, 1, 1) = 0, "", OFFSET('IWP16'!Std8dot2CDSABudgetInfo, 3, 4, 1, 1))</f>
        <v/>
      </c>
      <c r="G1903" s="194" t="str">
        <f ca="1">IF(OFFSET('IWP16'!Std8dot2CDSABudgetInfo, 3, 5, 1, 1) = 0, "", OFFSET('IWP16'!Std8dot2CDSABudgetInfo, 3, 5, 1, 1))</f>
        <v/>
      </c>
    </row>
    <row r="1904" spans="1:7" s="146" customFormat="1">
      <c r="A1904" s="183" t="s">
        <v>515</v>
      </c>
      <c r="B1904" s="196">
        <v>1</v>
      </c>
      <c r="C1904" s="172">
        <f ca="1">IF(OFFSET('IWP17'!Std8dot2CDSABudgetInfo, 0, 0, 1, 1)=DATE(1900,1,0), DATE(1900,1,1), OFFSET('IWP17'!Std8dot2CDSABudgetInfo, 0, 0, 1, 1))</f>
        <v>1</v>
      </c>
      <c r="D1904" s="172">
        <f ca="1">IF(OFFSET('IWP17'!Std8dot2CDSABudgetInfo, 0, 2, 1, 1)=DATE(1900,1,0), DATE(1900,1,1), OFFSET('IWP17'!Std8dot2CDSABudgetInfo, 0, 2, 1, 1))</f>
        <v>1</v>
      </c>
      <c r="E1904" s="195" t="str">
        <f ca="1">IF(OFFSET('IWP17'!Std8dot2CDSABudgetInfo, 0, 3, 1, 1) = 0, "", OFFSET('IWP17'!Std8dot2CDSABudgetInfo, 0, 3, 1, 1))</f>
        <v/>
      </c>
      <c r="F1904" s="195" t="str">
        <f ca="1">IF(OFFSET('IWP17'!Std8dot2CDSABudgetInfo, 0, 4, 1, 1) = 0, "", OFFSET('IWP17'!Std8dot2CDSABudgetInfo, 0, 4, 1, 1))</f>
        <v/>
      </c>
      <c r="G1904" s="194" t="str">
        <f ca="1">IF(OFFSET('IWP17'!Std8dot2CDSABudgetInfo, 0, 5, 1, 1) = 0, "", OFFSET('IWP17'!Std8dot2CDSABudgetInfo, 0, 5, 1, 1))</f>
        <v/>
      </c>
    </row>
    <row r="1905" spans="1:7" s="146" customFormat="1">
      <c r="A1905" s="183" t="s">
        <v>515</v>
      </c>
      <c r="B1905" s="196">
        <v>2</v>
      </c>
      <c r="C1905" s="172">
        <f ca="1">IF(OFFSET('IWP17'!Std8dot2CDSABudgetInfo, 1, 0, 1, 1)=DATE(1900,1,0), DATE(1900,1,1), OFFSET('IWP17'!Std8dot2CDSABudgetInfo, 1, 0, 1, 1))</f>
        <v>1</v>
      </c>
      <c r="D1905" s="172">
        <f ca="1">IF(OFFSET('IWP17'!Std8dot2CDSABudgetInfo, 1, 2, 1, 1)=DATE(1900,1,0), DATE(1900,1,1), OFFSET('IWP17'!Std8dot2CDSABudgetInfo, 1, 2, 1, 1))</f>
        <v>1</v>
      </c>
      <c r="E1905" s="195" t="str">
        <f ca="1">IF(OFFSET('IWP17'!Std8dot2CDSABudgetInfo, 1, 3, 1, 1) = 0, "", OFFSET('IWP17'!Std8dot2CDSABudgetInfo, 1, 3, 1, 1))</f>
        <v/>
      </c>
      <c r="F1905" s="195" t="str">
        <f ca="1">IF(OFFSET('IWP17'!Std8dot2CDSABudgetInfo, 1, 4, 1, 1) = 0, "", OFFSET('IWP17'!Std8dot2CDSABudgetInfo, 1, 4, 1, 1))</f>
        <v/>
      </c>
      <c r="G1905" s="194" t="str">
        <f ca="1">IF(OFFSET('IWP17'!Std8dot2CDSABudgetInfo, 1, 5, 1, 1) = 0, "", OFFSET('IWP17'!Std8dot2CDSABudgetInfo, 1, 5, 1, 1))</f>
        <v/>
      </c>
    </row>
    <row r="1906" spans="1:7" s="146" customFormat="1">
      <c r="A1906" s="183" t="s">
        <v>515</v>
      </c>
      <c r="B1906" s="196">
        <v>3</v>
      </c>
      <c r="C1906" s="172">
        <f ca="1">IF(OFFSET('IWP17'!Std8dot2CDSABudgetInfo, 2, 0, 1, 1)=DATE(1900,1,0), DATE(1900,1,1), OFFSET('IWP17'!Std8dot2CDSABudgetInfo, 2, 0, 1, 1))</f>
        <v>1</v>
      </c>
      <c r="D1906" s="172">
        <f ca="1">IF(OFFSET('IWP17'!Std8dot2CDSABudgetInfo, 2, 2, 1, 1)=DATE(1900,1,0), DATE(1900,1,1), OFFSET('IWP17'!Std8dot2CDSABudgetInfo, 2, 2, 1, 1))</f>
        <v>1</v>
      </c>
      <c r="E1906" s="195" t="str">
        <f ca="1">IF(OFFSET('IWP17'!Std8dot2CDSABudgetInfo, 2, 3, 1, 1) = 0, "", OFFSET('IWP17'!Std8dot2CDSABudgetInfo, 2, 3, 1, 1))</f>
        <v/>
      </c>
      <c r="F1906" s="195" t="str">
        <f ca="1">IF(OFFSET('IWP17'!Std8dot2CDSABudgetInfo, 2, 4, 1, 1) = 0, "", OFFSET('IWP17'!Std8dot2CDSABudgetInfo, 2, 4, 1, 1))</f>
        <v/>
      </c>
      <c r="G1906" s="194" t="str">
        <f ca="1">IF(OFFSET('IWP17'!Std8dot2CDSABudgetInfo, 2, 5, 1, 1) = 0, "", OFFSET('IWP17'!Std8dot2CDSABudgetInfo, 2, 5, 1, 1))</f>
        <v/>
      </c>
    </row>
    <row r="1907" spans="1:7" s="146" customFormat="1">
      <c r="A1907" s="183" t="s">
        <v>515</v>
      </c>
      <c r="B1907" s="196">
        <v>4</v>
      </c>
      <c r="C1907" s="172">
        <f ca="1">IF(OFFSET('IWP17'!Std8dot2CDSABudgetInfo, 3, 0, 1, 1)=DATE(1900,1,0), DATE(1900,1,1), OFFSET('IWP17'!Std8dot2CDSABudgetInfo, 3, 0, 1, 1))</f>
        <v>1</v>
      </c>
      <c r="D1907" s="172">
        <f ca="1">IF(OFFSET('IWP17'!Std8dot2CDSABudgetInfo, 3, 2, 1, 1)=DATE(1900,1,0), DATE(1900,1,1), OFFSET('IWP17'!Std8dot2CDSABudgetInfo, 3, 2, 1, 1))</f>
        <v>1</v>
      </c>
      <c r="E1907" s="195" t="str">
        <f ca="1">IF(OFFSET('IWP17'!Std8dot2CDSABudgetInfo, 3, 3, 1, 1) = 0, "", OFFSET('IWP17'!Std8dot2CDSABudgetInfo, 3, 3, 1, 1))</f>
        <v/>
      </c>
      <c r="F1907" s="195" t="str">
        <f ca="1">IF(OFFSET('IWP17'!Std8dot2CDSABudgetInfo, 3, 4, 1, 1) = 0, "", OFFSET('IWP17'!Std8dot2CDSABudgetInfo, 3, 4, 1, 1))</f>
        <v/>
      </c>
      <c r="G1907" s="194" t="str">
        <f ca="1">IF(OFFSET('IWP17'!Std8dot2CDSABudgetInfo, 3, 5, 1, 1) = 0, "", OFFSET('IWP17'!Std8dot2CDSABudgetInfo, 3, 5, 1, 1))</f>
        <v/>
      </c>
    </row>
    <row r="1908" spans="1:7" s="146" customFormat="1">
      <c r="A1908" s="183" t="s">
        <v>516</v>
      </c>
      <c r="B1908" s="196">
        <v>1</v>
      </c>
      <c r="C1908" s="172">
        <f ca="1">IF(OFFSET('IWP18'!Std8dot2CDSABudgetInfo, 0, 0, 1, 1)=DATE(1900,1,0), DATE(1900,1,1), OFFSET('IWP18'!Std8dot2CDSABudgetInfo, 0, 0, 1, 1))</f>
        <v>1</v>
      </c>
      <c r="D1908" s="172">
        <f ca="1">IF(OFFSET('IWP18'!Std8dot2CDSABudgetInfo, 0, 2, 1, 1)=DATE(1900,1,0), DATE(1900,1,1), OFFSET('IWP18'!Std8dot2CDSABudgetInfo, 0, 2, 1, 1))</f>
        <v>1</v>
      </c>
      <c r="E1908" s="195" t="str">
        <f ca="1">IF(OFFSET('IWP18'!Std8dot2CDSABudgetInfo, 0, 3, 1, 1) = 0, "", OFFSET('IWP18'!Std8dot2CDSABudgetInfo, 0, 3, 1, 1))</f>
        <v/>
      </c>
      <c r="F1908" s="195" t="str">
        <f ca="1">IF(OFFSET('IWP18'!Std8dot2CDSABudgetInfo, 0, 4, 1, 1) = 0, "", OFFSET('IWP18'!Std8dot2CDSABudgetInfo, 0, 4, 1, 1))</f>
        <v/>
      </c>
      <c r="G1908" s="194" t="str">
        <f ca="1">IF(OFFSET('IWP18'!Std8dot2CDSABudgetInfo, 0, 5, 1, 1) = 0, "", OFFSET('IWP18'!Std8dot2CDSABudgetInfo, 0, 5, 1, 1))</f>
        <v/>
      </c>
    </row>
    <row r="1909" spans="1:7" s="146" customFormat="1">
      <c r="A1909" s="183" t="s">
        <v>516</v>
      </c>
      <c r="B1909" s="196">
        <v>2</v>
      </c>
      <c r="C1909" s="172">
        <f ca="1">IF(OFFSET('IWP18'!Std8dot2CDSABudgetInfo, 1, 0, 1, 1)=DATE(1900,1,0), DATE(1900,1,1), OFFSET('IWP18'!Std8dot2CDSABudgetInfo, 1, 0, 1, 1))</f>
        <v>1</v>
      </c>
      <c r="D1909" s="172">
        <f ca="1">IF(OFFSET('IWP18'!Std8dot2CDSABudgetInfo, 1, 2, 1, 1)=DATE(1900,1,0), DATE(1900,1,1), OFFSET('IWP18'!Std8dot2CDSABudgetInfo, 1, 2, 1, 1))</f>
        <v>1</v>
      </c>
      <c r="E1909" s="195" t="str">
        <f ca="1">IF(OFFSET('IWP18'!Std8dot2CDSABudgetInfo, 1, 3, 1, 1) = 0, "", OFFSET('IWP18'!Std8dot2CDSABudgetInfo, 1, 3, 1, 1))</f>
        <v/>
      </c>
      <c r="F1909" s="195" t="str">
        <f ca="1">IF(OFFSET('IWP18'!Std8dot2CDSABudgetInfo, 1, 4, 1, 1) = 0, "", OFFSET('IWP18'!Std8dot2CDSABudgetInfo, 1, 4, 1, 1))</f>
        <v/>
      </c>
      <c r="G1909" s="194" t="str">
        <f ca="1">IF(OFFSET('IWP18'!Std8dot2CDSABudgetInfo, 1, 5, 1, 1) = 0, "", OFFSET('IWP18'!Std8dot2CDSABudgetInfo, 1, 5, 1, 1))</f>
        <v/>
      </c>
    </row>
    <row r="1910" spans="1:7" s="146" customFormat="1">
      <c r="A1910" s="183" t="s">
        <v>516</v>
      </c>
      <c r="B1910" s="196">
        <v>3</v>
      </c>
      <c r="C1910" s="172">
        <f ca="1">IF(OFFSET('IWP18'!Std8dot2CDSABudgetInfo, 2, 0, 1, 1)=DATE(1900,1,0), DATE(1900,1,1), OFFSET('IWP18'!Std8dot2CDSABudgetInfo, 2, 0, 1, 1))</f>
        <v>1</v>
      </c>
      <c r="D1910" s="172">
        <f ca="1">IF(OFFSET('IWP18'!Std8dot2CDSABudgetInfo, 2, 2, 1, 1)=DATE(1900,1,0), DATE(1900,1,1), OFFSET('IWP18'!Std8dot2CDSABudgetInfo, 2, 2, 1, 1))</f>
        <v>1</v>
      </c>
      <c r="E1910" s="195" t="str">
        <f ca="1">IF(OFFSET('IWP18'!Std8dot2CDSABudgetInfo, 2, 3, 1, 1) = 0, "", OFFSET('IWP18'!Std8dot2CDSABudgetInfo, 2, 3, 1, 1))</f>
        <v/>
      </c>
      <c r="F1910" s="195" t="str">
        <f ca="1">IF(OFFSET('IWP18'!Std8dot2CDSABudgetInfo, 2, 4, 1, 1) = 0, "", OFFSET('IWP18'!Std8dot2CDSABudgetInfo, 2, 4, 1, 1))</f>
        <v/>
      </c>
      <c r="G1910" s="194" t="str">
        <f ca="1">IF(OFFSET('IWP18'!Std8dot2CDSABudgetInfo, 2, 5, 1, 1) = 0, "", OFFSET('IWP18'!Std8dot2CDSABudgetInfo, 2, 5, 1, 1))</f>
        <v/>
      </c>
    </row>
    <row r="1911" spans="1:7" s="146" customFormat="1">
      <c r="A1911" s="183" t="s">
        <v>516</v>
      </c>
      <c r="B1911" s="196">
        <v>4</v>
      </c>
      <c r="C1911" s="172">
        <f ca="1">IF(OFFSET('IWP18'!Std8dot2CDSABudgetInfo, 3, 0, 1, 1)=DATE(1900,1,0), DATE(1900,1,1), OFFSET('IWP18'!Std8dot2CDSABudgetInfo, 3, 0, 1, 1))</f>
        <v>1</v>
      </c>
      <c r="D1911" s="172">
        <f ca="1">IF(OFFSET('IWP18'!Std8dot2CDSABudgetInfo, 3, 2, 1, 1)=DATE(1900,1,0), DATE(1900,1,1), OFFSET('IWP18'!Std8dot2CDSABudgetInfo, 3, 2, 1, 1))</f>
        <v>1</v>
      </c>
      <c r="E1911" s="195" t="str">
        <f ca="1">IF(OFFSET('IWP18'!Std8dot2CDSABudgetInfo, 3, 3, 1, 1) = 0, "", OFFSET('IWP18'!Std8dot2CDSABudgetInfo, 3, 3, 1, 1))</f>
        <v/>
      </c>
      <c r="F1911" s="195" t="str">
        <f ca="1">IF(OFFSET('IWP18'!Std8dot2CDSABudgetInfo, 3, 4, 1, 1) = 0, "", OFFSET('IWP18'!Std8dot2CDSABudgetInfo, 3, 4, 1, 1))</f>
        <v/>
      </c>
      <c r="G1911" s="194" t="str">
        <f ca="1">IF(OFFSET('IWP18'!Std8dot2CDSABudgetInfo, 3, 5, 1, 1) = 0, "", OFFSET('IWP18'!Std8dot2CDSABudgetInfo, 3, 5, 1, 1))</f>
        <v/>
      </c>
    </row>
    <row r="1912" spans="1:7" s="146" customFormat="1">
      <c r="A1912" s="183" t="s">
        <v>517</v>
      </c>
      <c r="B1912" s="196">
        <v>1</v>
      </c>
      <c r="C1912" s="172">
        <f ca="1">IF(OFFSET('IWP19'!Std8dot2CDSABudgetInfo, 0, 0, 1, 1)=DATE(1900,1,0), DATE(1900,1,1), OFFSET('IWP19'!Std8dot2CDSABudgetInfo, 0, 0, 1, 1))</f>
        <v>1</v>
      </c>
      <c r="D1912" s="172">
        <f ca="1">IF(OFFSET('IWP19'!Std8dot2CDSABudgetInfo, 0, 2, 1, 1)=DATE(1900,1,0), DATE(1900,1,1), OFFSET('IWP19'!Std8dot2CDSABudgetInfo, 0, 2, 1, 1))</f>
        <v>1</v>
      </c>
      <c r="E1912" s="195" t="str">
        <f ca="1">IF(OFFSET('IWP19'!Std8dot2CDSABudgetInfo, 0, 3, 1, 1) = 0, "", OFFSET('IWP19'!Std8dot2CDSABudgetInfo, 0, 3, 1, 1))</f>
        <v/>
      </c>
      <c r="F1912" s="195" t="str">
        <f ca="1">IF(OFFSET('IWP19'!Std8dot2CDSABudgetInfo, 0, 4, 1, 1) = 0, "", OFFSET('IWP19'!Std8dot2CDSABudgetInfo, 0, 4, 1, 1))</f>
        <v/>
      </c>
      <c r="G1912" s="194" t="str">
        <f ca="1">IF(OFFSET('IWP19'!Std8dot2CDSABudgetInfo, 0, 5, 1, 1) = 0, "", OFFSET('IWP19'!Std8dot2CDSABudgetInfo, 0, 5, 1, 1))</f>
        <v/>
      </c>
    </row>
    <row r="1913" spans="1:7" s="146" customFormat="1">
      <c r="A1913" s="183" t="s">
        <v>517</v>
      </c>
      <c r="B1913" s="196">
        <v>2</v>
      </c>
      <c r="C1913" s="172">
        <f ca="1">IF(OFFSET('IWP19'!Std8dot2CDSABudgetInfo, 1, 0, 1, 1)=DATE(1900,1,0), DATE(1900,1,1), OFFSET('IWP19'!Std8dot2CDSABudgetInfo, 1, 0, 1, 1))</f>
        <v>1</v>
      </c>
      <c r="D1913" s="172">
        <f ca="1">IF(OFFSET('IWP19'!Std8dot2CDSABudgetInfo, 1, 2, 1, 1)=DATE(1900,1,0), DATE(1900,1,1), OFFSET('IWP19'!Std8dot2CDSABudgetInfo, 1, 2, 1, 1))</f>
        <v>1</v>
      </c>
      <c r="E1913" s="195" t="str">
        <f ca="1">IF(OFFSET('IWP19'!Std8dot2CDSABudgetInfo, 1, 3, 1, 1) = 0, "", OFFSET('IWP19'!Std8dot2CDSABudgetInfo, 1, 3, 1, 1))</f>
        <v/>
      </c>
      <c r="F1913" s="195" t="str">
        <f ca="1">IF(OFFSET('IWP19'!Std8dot2CDSABudgetInfo, 1, 4, 1, 1) = 0, "", OFFSET('IWP19'!Std8dot2CDSABudgetInfo, 1, 4, 1, 1))</f>
        <v/>
      </c>
      <c r="G1913" s="194" t="str">
        <f ca="1">IF(OFFSET('IWP19'!Std8dot2CDSABudgetInfo, 1, 5, 1, 1) = 0, "", OFFSET('IWP19'!Std8dot2CDSABudgetInfo, 1, 5, 1, 1))</f>
        <v/>
      </c>
    </row>
    <row r="1914" spans="1:7" s="146" customFormat="1">
      <c r="A1914" s="183" t="s">
        <v>517</v>
      </c>
      <c r="B1914" s="196">
        <v>3</v>
      </c>
      <c r="C1914" s="172">
        <f ca="1">IF(OFFSET('IWP19'!Std8dot2CDSABudgetInfo, 2, 0, 1, 1)=DATE(1900,1,0), DATE(1900,1,1), OFFSET('IWP19'!Std8dot2CDSABudgetInfo, 2, 0, 1, 1))</f>
        <v>1</v>
      </c>
      <c r="D1914" s="172">
        <f ca="1">IF(OFFSET('IWP19'!Std8dot2CDSABudgetInfo, 2, 2, 1, 1)=DATE(1900,1,0), DATE(1900,1,1), OFFSET('IWP19'!Std8dot2CDSABudgetInfo, 2, 2, 1, 1))</f>
        <v>1</v>
      </c>
      <c r="E1914" s="195" t="str">
        <f ca="1">IF(OFFSET('IWP19'!Std8dot2CDSABudgetInfo, 2, 3, 1, 1) = 0, "", OFFSET('IWP19'!Std8dot2CDSABudgetInfo, 2, 3, 1, 1))</f>
        <v/>
      </c>
      <c r="F1914" s="195" t="str">
        <f ca="1">IF(OFFSET('IWP19'!Std8dot2CDSABudgetInfo, 2, 4, 1, 1) = 0, "", OFFSET('IWP19'!Std8dot2CDSABudgetInfo, 2, 4, 1, 1))</f>
        <v/>
      </c>
      <c r="G1914" s="194" t="str">
        <f ca="1">IF(OFFSET('IWP19'!Std8dot2CDSABudgetInfo, 2, 5, 1, 1) = 0, "", OFFSET('IWP19'!Std8dot2CDSABudgetInfo, 2, 5, 1, 1))</f>
        <v/>
      </c>
    </row>
    <row r="1915" spans="1:7" s="146" customFormat="1">
      <c r="A1915" s="183" t="s">
        <v>517</v>
      </c>
      <c r="B1915" s="196">
        <v>4</v>
      </c>
      <c r="C1915" s="172">
        <f ca="1">IF(OFFSET('IWP19'!Std8dot2CDSABudgetInfo, 3, 0, 1, 1)=DATE(1900,1,0), DATE(1900,1,1), OFFSET('IWP19'!Std8dot2CDSABudgetInfo, 3, 0, 1, 1))</f>
        <v>1</v>
      </c>
      <c r="D1915" s="172">
        <f ca="1">IF(OFFSET('IWP19'!Std8dot2CDSABudgetInfo, 3, 2, 1, 1)=DATE(1900,1,0), DATE(1900,1,1), OFFSET('IWP19'!Std8dot2CDSABudgetInfo, 3, 2, 1, 1))</f>
        <v>1</v>
      </c>
      <c r="E1915" s="195" t="str">
        <f ca="1">IF(OFFSET('IWP19'!Std8dot2CDSABudgetInfo, 3, 3, 1, 1) = 0, "", OFFSET('IWP19'!Std8dot2CDSABudgetInfo, 3, 3, 1, 1))</f>
        <v/>
      </c>
      <c r="F1915" s="195" t="str">
        <f ca="1">IF(OFFSET('IWP19'!Std8dot2CDSABudgetInfo, 3, 4, 1, 1) = 0, "", OFFSET('IWP19'!Std8dot2CDSABudgetInfo, 3, 4, 1, 1))</f>
        <v/>
      </c>
      <c r="G1915" s="194" t="str">
        <f ca="1">IF(OFFSET('IWP19'!Std8dot2CDSABudgetInfo, 3, 5, 1, 1) = 0, "", OFFSET('IWP19'!Std8dot2CDSABudgetInfo, 3, 5, 1, 1))</f>
        <v/>
      </c>
    </row>
    <row r="1916" spans="1:7" s="146" customFormat="1">
      <c r="A1916" s="183" t="s">
        <v>518</v>
      </c>
      <c r="B1916" s="196">
        <v>1</v>
      </c>
      <c r="C1916" s="172">
        <f ca="1">IF(OFFSET('IWP20'!Std8dot2CDSABudgetInfo, 0, 0, 1, 1)=DATE(1900,1,0), DATE(1900,1,1), OFFSET('IWP20'!Std8dot2CDSABudgetInfo, 0, 0, 1, 1))</f>
        <v>1</v>
      </c>
      <c r="D1916" s="172">
        <f ca="1">IF(OFFSET('IWP20'!Std8dot2CDSABudgetInfo, 0, 2, 1, 1)=DATE(1900,1,0), DATE(1900,1,1), OFFSET('IWP20'!Std8dot2CDSABudgetInfo, 0, 2, 1, 1))</f>
        <v>1</v>
      </c>
      <c r="E1916" s="195" t="str">
        <f ca="1">IF(OFFSET('IWP20'!Std8dot2CDSABudgetInfo, 0, 3, 1, 1) = 0, "", OFFSET('IWP20'!Std8dot2CDSABudgetInfo, 0, 3, 1, 1))</f>
        <v/>
      </c>
      <c r="F1916" s="195" t="str">
        <f ca="1">IF(OFFSET('IWP20'!Std8dot2CDSABudgetInfo, 0, 4, 1, 1) = 0, "", OFFSET('IWP20'!Std8dot2CDSABudgetInfo, 0, 4, 1, 1))</f>
        <v/>
      </c>
      <c r="G1916" s="194" t="str">
        <f ca="1">IF(OFFSET('IWP20'!Std8dot2CDSABudgetInfo, 0, 5, 1, 1) = 0, "", OFFSET('IWP20'!Std8dot2CDSABudgetInfo, 0, 5, 1, 1))</f>
        <v/>
      </c>
    </row>
    <row r="1917" spans="1:7" s="146" customFormat="1">
      <c r="A1917" s="183" t="s">
        <v>518</v>
      </c>
      <c r="B1917" s="196">
        <v>2</v>
      </c>
      <c r="C1917" s="172">
        <f ca="1">IF(OFFSET('IWP20'!Std8dot2CDSABudgetInfo, 1, 0, 1, 1)=DATE(1900,1,0), DATE(1900,1,1), OFFSET('IWP20'!Std8dot2CDSABudgetInfo, 1, 0, 1, 1))</f>
        <v>1</v>
      </c>
      <c r="D1917" s="172">
        <f ca="1">IF(OFFSET('IWP20'!Std8dot2CDSABudgetInfo, 1, 2, 1, 1)=DATE(1900,1,0), DATE(1900,1,1), OFFSET('IWP20'!Std8dot2CDSABudgetInfo, 1, 2, 1, 1))</f>
        <v>1</v>
      </c>
      <c r="E1917" s="195" t="str">
        <f ca="1">IF(OFFSET('IWP20'!Std8dot2CDSABudgetInfo, 1, 3, 1, 1) = 0, "", OFFSET('IWP20'!Std8dot2CDSABudgetInfo, 1, 3, 1, 1))</f>
        <v/>
      </c>
      <c r="F1917" s="195" t="str">
        <f ca="1">IF(OFFSET('IWP20'!Std8dot2CDSABudgetInfo, 1, 4, 1, 1) = 0, "", OFFSET('IWP20'!Std8dot2CDSABudgetInfo, 1, 4, 1, 1))</f>
        <v/>
      </c>
      <c r="G1917" s="194" t="str">
        <f ca="1">IF(OFFSET('IWP20'!Std8dot2CDSABudgetInfo, 1, 5, 1, 1) = 0, "", OFFSET('IWP20'!Std8dot2CDSABudgetInfo, 1, 5, 1, 1))</f>
        <v/>
      </c>
    </row>
    <row r="1918" spans="1:7" s="146" customFormat="1">
      <c r="A1918" s="183" t="s">
        <v>518</v>
      </c>
      <c r="B1918" s="196">
        <v>3</v>
      </c>
      <c r="C1918" s="172">
        <f ca="1">IF(OFFSET('IWP20'!Std8dot2CDSABudgetInfo, 2, 0, 1, 1)=DATE(1900,1,0), DATE(1900,1,1), OFFSET('IWP20'!Std8dot2CDSABudgetInfo, 2, 0, 1, 1))</f>
        <v>1</v>
      </c>
      <c r="D1918" s="172">
        <f ca="1">IF(OFFSET('IWP20'!Std8dot2CDSABudgetInfo, 2, 2, 1, 1)=DATE(1900,1,0), DATE(1900,1,1), OFFSET('IWP20'!Std8dot2CDSABudgetInfo, 2, 2, 1, 1))</f>
        <v>1</v>
      </c>
      <c r="E1918" s="195" t="str">
        <f ca="1">IF(OFFSET('IWP20'!Std8dot2CDSABudgetInfo, 2, 3, 1, 1) = 0, "", OFFSET('IWP20'!Std8dot2CDSABudgetInfo, 2, 3, 1, 1))</f>
        <v/>
      </c>
      <c r="F1918" s="195" t="str">
        <f ca="1">IF(OFFSET('IWP20'!Std8dot2CDSABudgetInfo, 2, 4, 1, 1) = 0, "", OFFSET('IWP20'!Std8dot2CDSABudgetInfo, 2, 4, 1, 1))</f>
        <v/>
      </c>
      <c r="G1918" s="194" t="str">
        <f ca="1">IF(OFFSET('IWP20'!Std8dot2CDSABudgetInfo, 2, 5, 1, 1) = 0, "", OFFSET('IWP20'!Std8dot2CDSABudgetInfo, 2, 5, 1, 1))</f>
        <v/>
      </c>
    </row>
    <row r="1919" spans="1:7" s="146" customFormat="1">
      <c r="A1919" s="183" t="s">
        <v>518</v>
      </c>
      <c r="B1919" s="196">
        <v>4</v>
      </c>
      <c r="C1919" s="172">
        <f ca="1">IF(OFFSET('IWP20'!Std8dot2CDSABudgetInfo, 3, 0, 1, 1)=DATE(1900,1,0), DATE(1900,1,1), OFFSET('IWP20'!Std8dot2CDSABudgetInfo, 3, 0, 1, 1))</f>
        <v>1</v>
      </c>
      <c r="D1919" s="172">
        <f ca="1">IF(OFFSET('IWP20'!Std8dot2CDSABudgetInfo, 3, 2, 1, 1)=DATE(1900,1,0), DATE(1900,1,1), OFFSET('IWP20'!Std8dot2CDSABudgetInfo, 3, 2, 1, 1))</f>
        <v>1</v>
      </c>
      <c r="E1919" s="195" t="str">
        <f ca="1">IF(OFFSET('IWP20'!Std8dot2CDSABudgetInfo, 3, 3, 1, 1) = 0, "", OFFSET('IWP20'!Std8dot2CDSABudgetInfo, 3, 3, 1, 1))</f>
        <v/>
      </c>
      <c r="F1919" s="195" t="str">
        <f ca="1">IF(OFFSET('IWP20'!Std8dot2CDSABudgetInfo, 3, 4, 1, 1) = 0, "", OFFSET('IWP20'!Std8dot2CDSABudgetInfo, 3, 4, 1, 1))</f>
        <v/>
      </c>
      <c r="G1919" s="194" t="str">
        <f ca="1">IF(OFFSET('IWP20'!Std8dot2CDSABudgetInfo, 3, 5, 1, 1) = 0, "", OFFSET('IWP20'!Std8dot2CDSABudgetInfo, 3, 5, 1, 1))</f>
        <v/>
      </c>
    </row>
    <row r="1920" spans="1:7" s="146" customFormat="1">
      <c r="A1920" s="183" t="s">
        <v>519</v>
      </c>
      <c r="B1920" s="196">
        <v>1</v>
      </c>
      <c r="C1920" s="172">
        <f ca="1">IF(OFFSET('IWP21'!Std8dot2CDSABudgetInfo, 0, 0, 1, 1)=DATE(1900,1,0), DATE(1900,1,1), OFFSET('IWP21'!Std8dot2CDSABudgetInfo, 0, 0, 1, 1))</f>
        <v>1</v>
      </c>
      <c r="D1920" s="172">
        <f ca="1">IF(OFFSET('IWP21'!Std8dot2CDSABudgetInfo, 0, 2, 1, 1)=DATE(1900,1,0), DATE(1900,1,1), OFFSET('IWP21'!Std8dot2CDSABudgetInfo, 0, 2, 1, 1))</f>
        <v>1</v>
      </c>
      <c r="E1920" s="195" t="str">
        <f ca="1">IF(OFFSET('IWP21'!Std8dot2CDSABudgetInfo, 0, 3, 1, 1) = 0, "", OFFSET('IWP21'!Std8dot2CDSABudgetInfo, 0, 3, 1, 1))</f>
        <v/>
      </c>
      <c r="F1920" s="195" t="str">
        <f ca="1">IF(OFFSET('IWP21'!Std8dot2CDSABudgetInfo, 0, 4, 1, 1) = 0, "", OFFSET('IWP21'!Std8dot2CDSABudgetInfo, 0, 4, 1, 1))</f>
        <v/>
      </c>
      <c r="G1920" s="194" t="str">
        <f ca="1">IF(OFFSET('IWP21'!Std8dot2CDSABudgetInfo, 0, 5, 1, 1) = 0, "", OFFSET('IWP21'!Std8dot2CDSABudgetInfo, 0, 5, 1, 1))</f>
        <v/>
      </c>
    </row>
    <row r="1921" spans="1:7" s="146" customFormat="1">
      <c r="A1921" s="183" t="s">
        <v>519</v>
      </c>
      <c r="B1921" s="196">
        <v>2</v>
      </c>
      <c r="C1921" s="172">
        <f ca="1">IF(OFFSET('IWP21'!Std8dot2CDSABudgetInfo, 1, 0, 1, 1)=DATE(1900,1,0), DATE(1900,1,1), OFFSET('IWP21'!Std8dot2CDSABudgetInfo, 1, 0, 1, 1))</f>
        <v>1</v>
      </c>
      <c r="D1921" s="172">
        <f ca="1">IF(OFFSET('IWP21'!Std8dot2CDSABudgetInfo, 1, 2, 1, 1)=DATE(1900,1,0), DATE(1900,1,1), OFFSET('IWP21'!Std8dot2CDSABudgetInfo, 1, 2, 1, 1))</f>
        <v>1</v>
      </c>
      <c r="E1921" s="195" t="str">
        <f ca="1">IF(OFFSET('IWP21'!Std8dot2CDSABudgetInfo, 1, 3, 1, 1) = 0, "", OFFSET('IWP21'!Std8dot2CDSABudgetInfo, 1, 3, 1, 1))</f>
        <v/>
      </c>
      <c r="F1921" s="195" t="str">
        <f ca="1">IF(OFFSET('IWP21'!Std8dot2CDSABudgetInfo, 1, 4, 1, 1) = 0, "", OFFSET('IWP21'!Std8dot2CDSABudgetInfo, 1, 4, 1, 1))</f>
        <v/>
      </c>
      <c r="G1921" s="194" t="str">
        <f ca="1">IF(OFFSET('IWP21'!Std8dot2CDSABudgetInfo, 1, 5, 1, 1) = 0, "", OFFSET('IWP21'!Std8dot2CDSABudgetInfo, 1, 5, 1, 1))</f>
        <v/>
      </c>
    </row>
    <row r="1922" spans="1:7" s="146" customFormat="1">
      <c r="A1922" s="183" t="s">
        <v>519</v>
      </c>
      <c r="B1922" s="196">
        <v>3</v>
      </c>
      <c r="C1922" s="172">
        <f ca="1">IF(OFFSET('IWP21'!Std8dot2CDSABudgetInfo, 2, 0, 1, 1)=DATE(1900,1,0), DATE(1900,1,1), OFFSET('IWP21'!Std8dot2CDSABudgetInfo, 2, 0, 1, 1))</f>
        <v>1</v>
      </c>
      <c r="D1922" s="172">
        <f ca="1">IF(OFFSET('IWP21'!Std8dot2CDSABudgetInfo, 2, 2, 1, 1)=DATE(1900,1,0), DATE(1900,1,1), OFFSET('IWP21'!Std8dot2CDSABudgetInfo, 2, 2, 1, 1))</f>
        <v>1</v>
      </c>
      <c r="E1922" s="195" t="str">
        <f ca="1">IF(OFFSET('IWP21'!Std8dot2CDSABudgetInfo, 2, 3, 1, 1) = 0, "", OFFSET('IWP21'!Std8dot2CDSABudgetInfo, 2, 3, 1, 1))</f>
        <v/>
      </c>
      <c r="F1922" s="195" t="str">
        <f ca="1">IF(OFFSET('IWP21'!Std8dot2CDSABudgetInfo, 2, 4, 1, 1) = 0, "", OFFSET('IWP21'!Std8dot2CDSABudgetInfo, 2, 4, 1, 1))</f>
        <v/>
      </c>
      <c r="G1922" s="194" t="str">
        <f ca="1">IF(OFFSET('IWP21'!Std8dot2CDSABudgetInfo, 2, 5, 1, 1) = 0, "", OFFSET('IWP21'!Std8dot2CDSABudgetInfo, 2, 5, 1, 1))</f>
        <v/>
      </c>
    </row>
    <row r="1923" spans="1:7" s="146" customFormat="1">
      <c r="A1923" s="183" t="s">
        <v>519</v>
      </c>
      <c r="B1923" s="196">
        <v>4</v>
      </c>
      <c r="C1923" s="172">
        <f ca="1">IF(OFFSET('IWP21'!Std8dot2CDSABudgetInfo, 3, 0, 1, 1)=DATE(1900,1,0), DATE(1900,1,1), OFFSET('IWP21'!Std8dot2CDSABudgetInfo, 3, 0, 1, 1))</f>
        <v>1</v>
      </c>
      <c r="D1923" s="172">
        <f ca="1">IF(OFFSET('IWP21'!Std8dot2CDSABudgetInfo, 3, 2, 1, 1)=DATE(1900,1,0), DATE(1900,1,1), OFFSET('IWP21'!Std8dot2CDSABudgetInfo, 3, 2, 1, 1))</f>
        <v>1</v>
      </c>
      <c r="E1923" s="195" t="str">
        <f ca="1">IF(OFFSET('IWP21'!Std8dot2CDSABudgetInfo, 3, 3, 1, 1) = 0, "", OFFSET('IWP21'!Std8dot2CDSABudgetInfo, 3, 3, 1, 1))</f>
        <v/>
      </c>
      <c r="F1923" s="195" t="str">
        <f ca="1">IF(OFFSET('IWP21'!Std8dot2CDSABudgetInfo, 3, 4, 1, 1) = 0, "", OFFSET('IWP21'!Std8dot2CDSABudgetInfo, 3, 4, 1, 1))</f>
        <v/>
      </c>
      <c r="G1923" s="194" t="str">
        <f ca="1">IF(OFFSET('IWP21'!Std8dot2CDSABudgetInfo, 3, 5, 1, 1) = 0, "", OFFSET('IWP21'!Std8dot2CDSABudgetInfo, 3, 5, 1, 1))</f>
        <v/>
      </c>
    </row>
    <row r="1924" spans="1:7" s="146" customFormat="1">
      <c r="A1924" s="183" t="s">
        <v>520</v>
      </c>
      <c r="B1924" s="196">
        <v>1</v>
      </c>
      <c r="C1924" s="172">
        <f ca="1">IF(OFFSET('IWP22'!Std8dot2CDSABudgetInfo, 0, 0, 1, 1)=DATE(1900,1,0), DATE(1900,1,1), OFFSET('IWP22'!Std8dot2CDSABudgetInfo, 0, 0, 1, 1))</f>
        <v>1</v>
      </c>
      <c r="D1924" s="172">
        <f ca="1">IF(OFFSET('IWP22'!Std8dot2CDSABudgetInfo, 0, 2, 1, 1)=DATE(1900,1,0), DATE(1900,1,1), OFFSET('IWP22'!Std8dot2CDSABudgetInfo, 0, 2, 1, 1))</f>
        <v>1</v>
      </c>
      <c r="E1924" s="195" t="str">
        <f ca="1">IF(OFFSET('IWP22'!Std8dot2CDSABudgetInfo, 0, 3, 1, 1) = 0, "", OFFSET('IWP22'!Std8dot2CDSABudgetInfo, 0, 3, 1, 1))</f>
        <v/>
      </c>
      <c r="F1924" s="195" t="str">
        <f ca="1">IF(OFFSET('IWP22'!Std8dot2CDSABudgetInfo, 0, 4, 1, 1) = 0, "", OFFSET('IWP22'!Std8dot2CDSABudgetInfo, 0, 4, 1, 1))</f>
        <v/>
      </c>
      <c r="G1924" s="194" t="str">
        <f ca="1">IF(OFFSET('IWP22'!Std8dot2CDSABudgetInfo, 0, 5, 1, 1) = 0, "", OFFSET('IWP22'!Std8dot2CDSABudgetInfo, 0, 5, 1, 1))</f>
        <v/>
      </c>
    </row>
    <row r="1925" spans="1:7" s="146" customFormat="1">
      <c r="A1925" s="183" t="s">
        <v>520</v>
      </c>
      <c r="B1925" s="196">
        <v>2</v>
      </c>
      <c r="C1925" s="172">
        <f ca="1">IF(OFFSET('IWP22'!Std8dot2CDSABudgetInfo, 1, 0, 1, 1)=DATE(1900,1,0), DATE(1900,1,1), OFFSET('IWP22'!Std8dot2CDSABudgetInfo, 1, 0, 1, 1))</f>
        <v>1</v>
      </c>
      <c r="D1925" s="172">
        <f ca="1">IF(OFFSET('IWP22'!Std8dot2CDSABudgetInfo, 1, 2, 1, 1)=DATE(1900,1,0), DATE(1900,1,1), OFFSET('IWP22'!Std8dot2CDSABudgetInfo, 1, 2, 1, 1))</f>
        <v>1</v>
      </c>
      <c r="E1925" s="195" t="str">
        <f ca="1">IF(OFFSET('IWP22'!Std8dot2CDSABudgetInfo, 1, 3, 1, 1) = 0, "", OFFSET('IWP22'!Std8dot2CDSABudgetInfo, 1, 3, 1, 1))</f>
        <v/>
      </c>
      <c r="F1925" s="195" t="str">
        <f ca="1">IF(OFFSET('IWP22'!Std8dot2CDSABudgetInfo, 1, 4, 1, 1) = 0, "", OFFSET('IWP22'!Std8dot2CDSABudgetInfo, 1, 4, 1, 1))</f>
        <v/>
      </c>
      <c r="G1925" s="194" t="str">
        <f ca="1">IF(OFFSET('IWP22'!Std8dot2CDSABudgetInfo, 1, 5, 1, 1) = 0, "", OFFSET('IWP22'!Std8dot2CDSABudgetInfo, 1, 5, 1, 1))</f>
        <v/>
      </c>
    </row>
    <row r="1926" spans="1:7" s="146" customFormat="1">
      <c r="A1926" s="183" t="s">
        <v>520</v>
      </c>
      <c r="B1926" s="196">
        <v>3</v>
      </c>
      <c r="C1926" s="172">
        <f ca="1">IF(OFFSET('IWP22'!Std8dot2CDSABudgetInfo, 2, 0, 1, 1)=DATE(1900,1,0), DATE(1900,1,1), OFFSET('IWP22'!Std8dot2CDSABudgetInfo, 2, 0, 1, 1))</f>
        <v>1</v>
      </c>
      <c r="D1926" s="172">
        <f ca="1">IF(OFFSET('IWP22'!Std8dot2CDSABudgetInfo, 2, 2, 1, 1)=DATE(1900,1,0), DATE(1900,1,1), OFFSET('IWP22'!Std8dot2CDSABudgetInfo, 2, 2, 1, 1))</f>
        <v>1</v>
      </c>
      <c r="E1926" s="195" t="str">
        <f ca="1">IF(OFFSET('IWP22'!Std8dot2CDSABudgetInfo, 2, 3, 1, 1) = 0, "", OFFSET('IWP22'!Std8dot2CDSABudgetInfo, 2, 3, 1, 1))</f>
        <v/>
      </c>
      <c r="F1926" s="195" t="str">
        <f ca="1">IF(OFFSET('IWP22'!Std8dot2CDSABudgetInfo, 2, 4, 1, 1) = 0, "", OFFSET('IWP22'!Std8dot2CDSABudgetInfo, 2, 4, 1, 1))</f>
        <v/>
      </c>
      <c r="G1926" s="194" t="str">
        <f ca="1">IF(OFFSET('IWP22'!Std8dot2CDSABudgetInfo, 2, 5, 1, 1) = 0, "", OFFSET('IWP22'!Std8dot2CDSABudgetInfo, 2, 5, 1, 1))</f>
        <v/>
      </c>
    </row>
    <row r="1927" spans="1:7" s="146" customFormat="1">
      <c r="A1927" s="183" t="s">
        <v>520</v>
      </c>
      <c r="B1927" s="196">
        <v>4</v>
      </c>
      <c r="C1927" s="172">
        <f ca="1">IF(OFFSET('IWP22'!Std8dot2CDSABudgetInfo, 3, 0, 1, 1)=DATE(1900,1,0), DATE(1900,1,1), OFFSET('IWP22'!Std8dot2CDSABudgetInfo, 3, 0, 1, 1))</f>
        <v>1</v>
      </c>
      <c r="D1927" s="172">
        <f ca="1">IF(OFFSET('IWP22'!Std8dot2CDSABudgetInfo, 3, 2, 1, 1)=DATE(1900,1,0), DATE(1900,1,1), OFFSET('IWP22'!Std8dot2CDSABudgetInfo, 3, 2, 1, 1))</f>
        <v>1</v>
      </c>
      <c r="E1927" s="195" t="str">
        <f ca="1">IF(OFFSET('IWP22'!Std8dot2CDSABudgetInfo, 3, 3, 1, 1) = 0, "", OFFSET('IWP22'!Std8dot2CDSABudgetInfo, 3, 3, 1, 1))</f>
        <v/>
      </c>
      <c r="F1927" s="195" t="str">
        <f ca="1">IF(OFFSET('IWP22'!Std8dot2CDSABudgetInfo, 3, 4, 1, 1) = 0, "", OFFSET('IWP22'!Std8dot2CDSABudgetInfo, 3, 4, 1, 1))</f>
        <v/>
      </c>
      <c r="G1927" s="194" t="str">
        <f ca="1">IF(OFFSET('IWP22'!Std8dot2CDSABudgetInfo, 3, 5, 1, 1) = 0, "", OFFSET('IWP22'!Std8dot2CDSABudgetInfo, 3, 5, 1, 1))</f>
        <v/>
      </c>
    </row>
    <row r="1928" spans="1:7" s="146" customFormat="1">
      <c r="A1928" s="183" t="s">
        <v>521</v>
      </c>
      <c r="B1928" s="196">
        <v>1</v>
      </c>
      <c r="C1928" s="172">
        <f ca="1">IF(OFFSET('IWP23'!Std8dot2CDSABudgetInfo, 0, 0, 1, 1)=DATE(1900,1,0), DATE(1900,1,1), OFFSET('IWP23'!Std8dot2CDSABudgetInfo, 0, 0, 1, 1))</f>
        <v>1</v>
      </c>
      <c r="D1928" s="172">
        <f ca="1">IF(OFFSET('IWP23'!Std8dot2CDSABudgetInfo, 0, 2, 1, 1)=DATE(1900,1,0), DATE(1900,1,1), OFFSET('IWP23'!Std8dot2CDSABudgetInfo, 0, 2, 1, 1))</f>
        <v>1</v>
      </c>
      <c r="E1928" s="195" t="str">
        <f ca="1">IF(OFFSET('IWP23'!Std8dot2CDSABudgetInfo, 0, 3, 1, 1) = 0, "", OFFSET('IWP23'!Std8dot2CDSABudgetInfo, 0, 3, 1, 1))</f>
        <v/>
      </c>
      <c r="F1928" s="195" t="str">
        <f ca="1">IF(OFFSET('IWP23'!Std8dot2CDSABudgetInfo, 0, 4, 1, 1) = 0, "", OFFSET('IWP23'!Std8dot2CDSABudgetInfo, 0, 4, 1, 1))</f>
        <v/>
      </c>
      <c r="G1928" s="194" t="str">
        <f ca="1">IF(OFFSET('IWP23'!Std8dot2CDSABudgetInfo, 0, 5, 1, 1) = 0, "", OFFSET('IWP23'!Std8dot2CDSABudgetInfo, 0, 5, 1, 1))</f>
        <v/>
      </c>
    </row>
    <row r="1929" spans="1:7" s="146" customFormat="1">
      <c r="A1929" s="183" t="s">
        <v>521</v>
      </c>
      <c r="B1929" s="196">
        <v>2</v>
      </c>
      <c r="C1929" s="172">
        <f ca="1">IF(OFFSET('IWP23'!Std8dot2CDSABudgetInfo, 1, 0, 1, 1)=DATE(1900,1,0), DATE(1900,1,1), OFFSET('IWP23'!Std8dot2CDSABudgetInfo, 1, 0, 1, 1))</f>
        <v>1</v>
      </c>
      <c r="D1929" s="172">
        <f ca="1">IF(OFFSET('IWP23'!Std8dot2CDSABudgetInfo, 1, 2, 1, 1)=DATE(1900,1,0), DATE(1900,1,1), OFFSET('IWP23'!Std8dot2CDSABudgetInfo, 1, 2, 1, 1))</f>
        <v>1</v>
      </c>
      <c r="E1929" s="195" t="str">
        <f ca="1">IF(OFFSET('IWP23'!Std8dot2CDSABudgetInfo, 1, 3, 1, 1) = 0, "", OFFSET('IWP23'!Std8dot2CDSABudgetInfo, 1, 3, 1, 1))</f>
        <v/>
      </c>
      <c r="F1929" s="195" t="str">
        <f ca="1">IF(OFFSET('IWP23'!Std8dot2CDSABudgetInfo, 1, 4, 1, 1) = 0, "", OFFSET('IWP23'!Std8dot2CDSABudgetInfo, 1, 4, 1, 1))</f>
        <v/>
      </c>
      <c r="G1929" s="194" t="str">
        <f ca="1">IF(OFFSET('IWP23'!Std8dot2CDSABudgetInfo, 1, 5, 1, 1) = 0, "", OFFSET('IWP23'!Std8dot2CDSABudgetInfo, 1, 5, 1, 1))</f>
        <v/>
      </c>
    </row>
    <row r="1930" spans="1:7" s="146" customFormat="1">
      <c r="A1930" s="183" t="s">
        <v>521</v>
      </c>
      <c r="B1930" s="196">
        <v>3</v>
      </c>
      <c r="C1930" s="172">
        <f ca="1">IF(OFFSET('IWP23'!Std8dot2CDSABudgetInfo, 2, 0, 1, 1)=DATE(1900,1,0), DATE(1900,1,1), OFFSET('IWP23'!Std8dot2CDSABudgetInfo, 2, 0, 1, 1))</f>
        <v>1</v>
      </c>
      <c r="D1930" s="172">
        <f ca="1">IF(OFFSET('IWP23'!Std8dot2CDSABudgetInfo, 2, 2, 1, 1)=DATE(1900,1,0), DATE(1900,1,1), OFFSET('IWP23'!Std8dot2CDSABudgetInfo, 2, 2, 1, 1))</f>
        <v>1</v>
      </c>
      <c r="E1930" s="195" t="str">
        <f ca="1">IF(OFFSET('IWP23'!Std8dot2CDSABudgetInfo, 2, 3, 1, 1) = 0, "", OFFSET('IWP23'!Std8dot2CDSABudgetInfo, 2, 3, 1, 1))</f>
        <v/>
      </c>
      <c r="F1930" s="195" t="str">
        <f ca="1">IF(OFFSET('IWP23'!Std8dot2CDSABudgetInfo, 2, 4, 1, 1) = 0, "", OFFSET('IWP23'!Std8dot2CDSABudgetInfo, 2, 4, 1, 1))</f>
        <v/>
      </c>
      <c r="G1930" s="194" t="str">
        <f ca="1">IF(OFFSET('IWP23'!Std8dot2CDSABudgetInfo, 2, 5, 1, 1) = 0, "", OFFSET('IWP23'!Std8dot2CDSABudgetInfo, 2, 5, 1, 1))</f>
        <v/>
      </c>
    </row>
    <row r="1931" spans="1:7" s="146" customFormat="1">
      <c r="A1931" s="183" t="s">
        <v>521</v>
      </c>
      <c r="B1931" s="196">
        <v>4</v>
      </c>
      <c r="C1931" s="172">
        <f ca="1">IF(OFFSET('IWP23'!Std8dot2CDSABudgetInfo, 3, 0, 1, 1)=DATE(1900,1,0), DATE(1900,1,1), OFFSET('IWP23'!Std8dot2CDSABudgetInfo, 3, 0, 1, 1))</f>
        <v>1</v>
      </c>
      <c r="D1931" s="172">
        <f ca="1">IF(OFFSET('IWP23'!Std8dot2CDSABudgetInfo, 3, 2, 1, 1)=DATE(1900,1,0), DATE(1900,1,1), OFFSET('IWP23'!Std8dot2CDSABudgetInfo, 3, 2, 1, 1))</f>
        <v>1</v>
      </c>
      <c r="E1931" s="195" t="str">
        <f ca="1">IF(OFFSET('IWP23'!Std8dot2CDSABudgetInfo, 3, 3, 1, 1) = 0, "", OFFSET('IWP23'!Std8dot2CDSABudgetInfo, 3, 3, 1, 1))</f>
        <v/>
      </c>
      <c r="F1931" s="195" t="str">
        <f ca="1">IF(OFFSET('IWP23'!Std8dot2CDSABudgetInfo, 3, 4, 1, 1) = 0, "", OFFSET('IWP23'!Std8dot2CDSABudgetInfo, 3, 4, 1, 1))</f>
        <v/>
      </c>
      <c r="G1931" s="194" t="str">
        <f ca="1">IF(OFFSET('IWP23'!Std8dot2CDSABudgetInfo, 3, 5, 1, 1) = 0, "", OFFSET('IWP23'!Std8dot2CDSABudgetInfo, 3, 5, 1, 1))</f>
        <v/>
      </c>
    </row>
    <row r="1932" spans="1:7" s="146" customFormat="1">
      <c r="A1932" s="183" t="s">
        <v>522</v>
      </c>
      <c r="B1932" s="196">
        <v>1</v>
      </c>
      <c r="C1932" s="172">
        <f ca="1">IF(OFFSET('IWP24'!Std8dot2CDSABudgetInfo, 0, 0, 1, 1)=DATE(1900,1,0), DATE(1900,1,1), OFFSET('IWP24'!Std8dot2CDSABudgetInfo, 0, 0, 1, 1))</f>
        <v>1</v>
      </c>
      <c r="D1932" s="172">
        <f ca="1">IF(OFFSET('IWP24'!Std8dot2CDSABudgetInfo, 0, 2, 1, 1)=DATE(1900,1,0), DATE(1900,1,1), OFFSET('IWP24'!Std8dot2CDSABudgetInfo, 0, 2, 1, 1))</f>
        <v>1</v>
      </c>
      <c r="E1932" s="195" t="str">
        <f ca="1">IF(OFFSET('IWP24'!Std8dot2CDSABudgetInfo, 0, 3, 1, 1) = 0, "", OFFSET('IWP24'!Std8dot2CDSABudgetInfo, 0, 3, 1, 1))</f>
        <v/>
      </c>
      <c r="F1932" s="195" t="str">
        <f ca="1">IF(OFFSET('IWP24'!Std8dot2CDSABudgetInfo, 0, 4, 1, 1) = 0, "", OFFSET('IWP24'!Std8dot2CDSABudgetInfo, 0, 4, 1, 1))</f>
        <v/>
      </c>
      <c r="G1932" s="194" t="str">
        <f ca="1">IF(OFFSET('IWP24'!Std8dot2CDSABudgetInfo, 0, 5, 1, 1) = 0, "", OFFSET('IWP24'!Std8dot2CDSABudgetInfo, 0, 5, 1, 1))</f>
        <v/>
      </c>
    </row>
    <row r="1933" spans="1:7" s="146" customFormat="1">
      <c r="A1933" s="183" t="s">
        <v>522</v>
      </c>
      <c r="B1933" s="196">
        <v>2</v>
      </c>
      <c r="C1933" s="172">
        <f ca="1">IF(OFFSET('IWP24'!Std8dot2CDSABudgetInfo, 1, 0, 1, 1)=DATE(1900,1,0), DATE(1900,1,1), OFFSET('IWP24'!Std8dot2CDSABudgetInfo, 1, 0, 1, 1))</f>
        <v>1</v>
      </c>
      <c r="D1933" s="172">
        <f ca="1">IF(OFFSET('IWP24'!Std8dot2CDSABudgetInfo, 1, 2, 1, 1)=DATE(1900,1,0), DATE(1900,1,1), OFFSET('IWP24'!Std8dot2CDSABudgetInfo, 1, 2, 1, 1))</f>
        <v>1</v>
      </c>
      <c r="E1933" s="195" t="str">
        <f ca="1">IF(OFFSET('IWP24'!Std8dot2CDSABudgetInfo, 1, 3, 1, 1) = 0, "", OFFSET('IWP24'!Std8dot2CDSABudgetInfo, 1, 3, 1, 1))</f>
        <v/>
      </c>
      <c r="F1933" s="195" t="str">
        <f ca="1">IF(OFFSET('IWP24'!Std8dot2CDSABudgetInfo, 1, 4, 1, 1) = 0, "", OFFSET('IWP24'!Std8dot2CDSABudgetInfo, 1, 4, 1, 1))</f>
        <v/>
      </c>
      <c r="G1933" s="194" t="str">
        <f ca="1">IF(OFFSET('IWP24'!Std8dot2CDSABudgetInfo, 1, 5, 1, 1) = 0, "", OFFSET('IWP24'!Std8dot2CDSABudgetInfo, 1, 5, 1, 1))</f>
        <v/>
      </c>
    </row>
    <row r="1934" spans="1:7" s="146" customFormat="1">
      <c r="A1934" s="183" t="s">
        <v>522</v>
      </c>
      <c r="B1934" s="196">
        <v>3</v>
      </c>
      <c r="C1934" s="172">
        <f ca="1">IF(OFFSET('IWP24'!Std8dot2CDSABudgetInfo, 2, 0, 1, 1)=DATE(1900,1,0), DATE(1900,1,1), OFFSET('IWP24'!Std8dot2CDSABudgetInfo, 2, 0, 1, 1))</f>
        <v>1</v>
      </c>
      <c r="D1934" s="172">
        <f ca="1">IF(OFFSET('IWP24'!Std8dot2CDSABudgetInfo, 2, 2, 1, 1)=DATE(1900,1,0), DATE(1900,1,1), OFFSET('IWP24'!Std8dot2CDSABudgetInfo, 2, 2, 1, 1))</f>
        <v>1</v>
      </c>
      <c r="E1934" s="195" t="str">
        <f ca="1">IF(OFFSET('IWP24'!Std8dot2CDSABudgetInfo, 2, 3, 1, 1) = 0, "", OFFSET('IWP24'!Std8dot2CDSABudgetInfo, 2, 3, 1, 1))</f>
        <v/>
      </c>
      <c r="F1934" s="195" t="str">
        <f ca="1">IF(OFFSET('IWP24'!Std8dot2CDSABudgetInfo, 2, 4, 1, 1) = 0, "", OFFSET('IWP24'!Std8dot2CDSABudgetInfo, 2, 4, 1, 1))</f>
        <v/>
      </c>
      <c r="G1934" s="194" t="str">
        <f ca="1">IF(OFFSET('IWP24'!Std8dot2CDSABudgetInfo, 2, 5, 1, 1) = 0, "", OFFSET('IWP24'!Std8dot2CDSABudgetInfo, 2, 5, 1, 1))</f>
        <v/>
      </c>
    </row>
    <row r="1935" spans="1:7" s="146" customFormat="1">
      <c r="A1935" s="183" t="s">
        <v>522</v>
      </c>
      <c r="B1935" s="196">
        <v>4</v>
      </c>
      <c r="C1935" s="172">
        <f ca="1">IF(OFFSET('IWP24'!Std8dot2CDSABudgetInfo, 3, 0, 1, 1)=DATE(1900,1,0), DATE(1900,1,1), OFFSET('IWP24'!Std8dot2CDSABudgetInfo, 3, 0, 1, 1))</f>
        <v>1</v>
      </c>
      <c r="D1935" s="172">
        <f ca="1">IF(OFFSET('IWP24'!Std8dot2CDSABudgetInfo, 3, 2, 1, 1)=DATE(1900,1,0), DATE(1900,1,1), OFFSET('IWP24'!Std8dot2CDSABudgetInfo, 3, 2, 1, 1))</f>
        <v>1</v>
      </c>
      <c r="E1935" s="195" t="str">
        <f ca="1">IF(OFFSET('IWP24'!Std8dot2CDSABudgetInfo, 3, 3, 1, 1) = 0, "", OFFSET('IWP24'!Std8dot2CDSABudgetInfo, 3, 3, 1, 1))</f>
        <v/>
      </c>
      <c r="F1935" s="195" t="str">
        <f ca="1">IF(OFFSET('IWP24'!Std8dot2CDSABudgetInfo, 3, 4, 1, 1) = 0, "", OFFSET('IWP24'!Std8dot2CDSABudgetInfo, 3, 4, 1, 1))</f>
        <v/>
      </c>
      <c r="G1935" s="194" t="str">
        <f ca="1">IF(OFFSET('IWP24'!Std8dot2CDSABudgetInfo, 3, 5, 1, 1) = 0, "", OFFSET('IWP24'!Std8dot2CDSABudgetInfo, 3, 5, 1, 1))</f>
        <v/>
      </c>
    </row>
    <row r="1936" spans="1:7" s="146" customFormat="1">
      <c r="A1936" s="183" t="s">
        <v>523</v>
      </c>
      <c r="B1936" s="196">
        <v>1</v>
      </c>
      <c r="C1936" s="172">
        <f ca="1">IF(OFFSET('IWP25'!Std8dot2CDSABudgetInfo, 0, 0, 1, 1)=DATE(1900,1,0), DATE(1900,1,1), OFFSET('IWP25'!Std8dot2CDSABudgetInfo, 0, 0, 1, 1))</f>
        <v>1</v>
      </c>
      <c r="D1936" s="172">
        <f ca="1">IF(OFFSET('IWP25'!Std8dot2CDSABudgetInfo, 0, 2, 1, 1)=DATE(1900,1,0), DATE(1900,1,1), OFFSET('IWP25'!Std8dot2CDSABudgetInfo, 0, 2, 1, 1))</f>
        <v>1</v>
      </c>
      <c r="E1936" s="195" t="str">
        <f ca="1">IF(OFFSET('IWP25'!Std8dot2CDSABudgetInfo, 0, 3, 1, 1) = 0, "", OFFSET('IWP25'!Std8dot2CDSABudgetInfo, 0, 3, 1, 1))</f>
        <v/>
      </c>
      <c r="F1936" s="195" t="str">
        <f ca="1">IF(OFFSET('IWP25'!Std8dot2CDSABudgetInfo, 0, 4, 1, 1) = 0, "", OFFSET('IWP25'!Std8dot2CDSABudgetInfo, 0, 4, 1, 1))</f>
        <v/>
      </c>
      <c r="G1936" s="194" t="str">
        <f ca="1">IF(OFFSET('IWP25'!Std8dot2CDSABudgetInfo, 0, 5, 1, 1) = 0, "", OFFSET('IWP25'!Std8dot2CDSABudgetInfo, 0, 5, 1, 1))</f>
        <v/>
      </c>
    </row>
    <row r="1937" spans="1:7" s="146" customFormat="1">
      <c r="A1937" s="183" t="s">
        <v>523</v>
      </c>
      <c r="B1937" s="196">
        <v>2</v>
      </c>
      <c r="C1937" s="172">
        <f ca="1">IF(OFFSET('IWP25'!Std8dot2CDSABudgetInfo, 1, 0, 1, 1)=DATE(1900,1,0), DATE(1900,1,1), OFFSET('IWP25'!Std8dot2CDSABudgetInfo, 1, 0, 1, 1))</f>
        <v>1</v>
      </c>
      <c r="D1937" s="172">
        <f ca="1">IF(OFFSET('IWP25'!Std8dot2CDSABudgetInfo, 1, 2, 1, 1)=DATE(1900,1,0), DATE(1900,1,1), OFFSET('IWP25'!Std8dot2CDSABudgetInfo, 1, 2, 1, 1))</f>
        <v>1</v>
      </c>
      <c r="E1937" s="195" t="str">
        <f ca="1">IF(OFFSET('IWP25'!Std8dot2CDSABudgetInfo, 1, 3, 1, 1) = 0, "", OFFSET('IWP25'!Std8dot2CDSABudgetInfo, 1, 3, 1, 1))</f>
        <v/>
      </c>
      <c r="F1937" s="195" t="str">
        <f ca="1">IF(OFFSET('IWP25'!Std8dot2CDSABudgetInfo, 1, 4, 1, 1) = 0, "", OFFSET('IWP25'!Std8dot2CDSABudgetInfo, 1, 4, 1, 1))</f>
        <v/>
      </c>
      <c r="G1937" s="194" t="str">
        <f ca="1">IF(OFFSET('IWP25'!Std8dot2CDSABudgetInfo, 1, 5, 1, 1) = 0, "", OFFSET('IWP25'!Std8dot2CDSABudgetInfo, 1, 5, 1, 1))</f>
        <v/>
      </c>
    </row>
    <row r="1938" spans="1:7" s="146" customFormat="1">
      <c r="A1938" s="183" t="s">
        <v>523</v>
      </c>
      <c r="B1938" s="196">
        <v>3</v>
      </c>
      <c r="C1938" s="172">
        <f ca="1">IF(OFFSET('IWP25'!Std8dot2CDSABudgetInfo, 2, 0, 1, 1)=DATE(1900,1,0), DATE(1900,1,1), OFFSET('IWP25'!Std8dot2CDSABudgetInfo, 2, 0, 1, 1))</f>
        <v>1</v>
      </c>
      <c r="D1938" s="172">
        <f ca="1">IF(OFFSET('IWP25'!Std8dot2CDSABudgetInfo, 2, 2, 1, 1)=DATE(1900,1,0), DATE(1900,1,1), OFFSET('IWP25'!Std8dot2CDSABudgetInfo, 2, 2, 1, 1))</f>
        <v>1</v>
      </c>
      <c r="E1938" s="195" t="str">
        <f ca="1">IF(OFFSET('IWP25'!Std8dot2CDSABudgetInfo, 2, 3, 1, 1) = 0, "", OFFSET('IWP25'!Std8dot2CDSABudgetInfo, 2, 3, 1, 1))</f>
        <v/>
      </c>
      <c r="F1938" s="195" t="str">
        <f ca="1">IF(OFFSET('IWP25'!Std8dot2CDSABudgetInfo, 2, 4, 1, 1) = 0, "", OFFSET('IWP25'!Std8dot2CDSABudgetInfo, 2, 4, 1, 1))</f>
        <v/>
      </c>
      <c r="G1938" s="194" t="str">
        <f ca="1">IF(OFFSET('IWP25'!Std8dot2CDSABudgetInfo, 2, 5, 1, 1) = 0, "", OFFSET('IWP25'!Std8dot2CDSABudgetInfo, 2, 5, 1, 1))</f>
        <v/>
      </c>
    </row>
    <row r="1939" spans="1:7" s="146" customFormat="1">
      <c r="A1939" s="183" t="s">
        <v>523</v>
      </c>
      <c r="B1939" s="196">
        <v>4</v>
      </c>
      <c r="C1939" s="172">
        <f ca="1">IF(OFFSET('IWP25'!Std8dot2CDSABudgetInfo, 3, 0, 1, 1)=DATE(1900,1,0), DATE(1900,1,1), OFFSET('IWP25'!Std8dot2CDSABudgetInfo, 3, 0, 1, 1))</f>
        <v>1</v>
      </c>
      <c r="D1939" s="172">
        <f ca="1">IF(OFFSET('IWP25'!Std8dot2CDSABudgetInfo, 3, 2, 1, 1)=DATE(1900,1,0), DATE(1900,1,1), OFFSET('IWP25'!Std8dot2CDSABudgetInfo, 3, 2, 1, 1))</f>
        <v>1</v>
      </c>
      <c r="E1939" s="195" t="str">
        <f ca="1">IF(OFFSET('IWP25'!Std8dot2CDSABudgetInfo, 3, 3, 1, 1) = 0, "", OFFSET('IWP25'!Std8dot2CDSABudgetInfo, 3, 3, 1, 1))</f>
        <v/>
      </c>
      <c r="F1939" s="195" t="str">
        <f ca="1">IF(OFFSET('IWP25'!Std8dot2CDSABudgetInfo, 3, 4, 1, 1) = 0, "", OFFSET('IWP25'!Std8dot2CDSABudgetInfo, 3, 4, 1, 1))</f>
        <v/>
      </c>
      <c r="G1939" s="194" t="str">
        <f ca="1">IF(OFFSET('IWP25'!Std8dot2CDSABudgetInfo, 3, 5, 1, 1) = 0, "", OFFSET('IWP25'!Std8dot2CDSABudgetInfo, 3, 5, 1, 1))</f>
        <v/>
      </c>
    </row>
    <row r="1940" spans="1:7" s="146" customFormat="1">
      <c r="A1940" s="183" t="s">
        <v>524</v>
      </c>
      <c r="B1940" s="196">
        <v>1</v>
      </c>
      <c r="C1940" s="172">
        <f ca="1">IF(OFFSET('IWP26'!Std8dot2CDSABudgetInfo, 0, 0, 1, 1)=DATE(1900,1,0), DATE(1900,1,1), OFFSET('IWP26'!Std8dot2CDSABudgetInfo, 0, 0, 1, 1))</f>
        <v>1</v>
      </c>
      <c r="D1940" s="172">
        <f ca="1">IF(OFFSET('IWP26'!Std8dot2CDSABudgetInfo, 0, 2, 1, 1)=DATE(1900,1,0), DATE(1900,1,1), OFFSET('IWP26'!Std8dot2CDSABudgetInfo, 0, 2, 1, 1))</f>
        <v>1</v>
      </c>
      <c r="E1940" s="195" t="str">
        <f ca="1">IF(OFFSET('IWP26'!Std8dot2CDSABudgetInfo, 0, 3, 1, 1) = 0, "", OFFSET('IWP26'!Std8dot2CDSABudgetInfo, 0, 3, 1, 1))</f>
        <v/>
      </c>
      <c r="F1940" s="195" t="str">
        <f ca="1">IF(OFFSET('IWP26'!Std8dot2CDSABudgetInfo, 0, 4, 1, 1) = 0, "", OFFSET('IWP26'!Std8dot2CDSABudgetInfo, 0, 4, 1, 1))</f>
        <v/>
      </c>
      <c r="G1940" s="194" t="str">
        <f ca="1">IF(OFFSET('IWP26'!Std8dot2CDSABudgetInfo, 0, 5, 1, 1) = 0, "", OFFSET('IWP26'!Std8dot2CDSABudgetInfo, 0, 5, 1, 1))</f>
        <v/>
      </c>
    </row>
    <row r="1941" spans="1:7" s="146" customFormat="1">
      <c r="A1941" s="183" t="s">
        <v>524</v>
      </c>
      <c r="B1941" s="196">
        <v>2</v>
      </c>
      <c r="C1941" s="172">
        <f ca="1">IF(OFFSET('IWP26'!Std8dot2CDSABudgetInfo, 1, 0, 1, 1)=DATE(1900,1,0), DATE(1900,1,1), OFFSET('IWP26'!Std8dot2CDSABudgetInfo, 1, 0, 1, 1))</f>
        <v>1</v>
      </c>
      <c r="D1941" s="172">
        <f ca="1">IF(OFFSET('IWP26'!Std8dot2CDSABudgetInfo, 1, 2, 1, 1)=DATE(1900,1,0), DATE(1900,1,1), OFFSET('IWP26'!Std8dot2CDSABudgetInfo, 1, 2, 1, 1))</f>
        <v>1</v>
      </c>
      <c r="E1941" s="195" t="str">
        <f ca="1">IF(OFFSET('IWP26'!Std8dot2CDSABudgetInfo, 1, 3, 1, 1) = 0, "", OFFSET('IWP26'!Std8dot2CDSABudgetInfo, 1, 3, 1, 1))</f>
        <v/>
      </c>
      <c r="F1941" s="195" t="str">
        <f ca="1">IF(OFFSET('IWP26'!Std8dot2CDSABudgetInfo, 1, 4, 1, 1) = 0, "", OFFSET('IWP26'!Std8dot2CDSABudgetInfo, 1, 4, 1, 1))</f>
        <v/>
      </c>
      <c r="G1941" s="194" t="str">
        <f ca="1">IF(OFFSET('IWP26'!Std8dot2CDSABudgetInfo, 1, 5, 1, 1) = 0, "", OFFSET('IWP26'!Std8dot2CDSABudgetInfo, 1, 5, 1, 1))</f>
        <v/>
      </c>
    </row>
    <row r="1942" spans="1:7" s="146" customFormat="1">
      <c r="A1942" s="183" t="s">
        <v>524</v>
      </c>
      <c r="B1942" s="196">
        <v>3</v>
      </c>
      <c r="C1942" s="172">
        <f ca="1">IF(OFFSET('IWP26'!Std8dot2CDSABudgetInfo, 2, 0, 1, 1)=DATE(1900,1,0), DATE(1900,1,1), OFFSET('IWP26'!Std8dot2CDSABudgetInfo, 2, 0, 1, 1))</f>
        <v>1</v>
      </c>
      <c r="D1942" s="172">
        <f ca="1">IF(OFFSET('IWP26'!Std8dot2CDSABudgetInfo, 2, 2, 1, 1)=DATE(1900,1,0), DATE(1900,1,1), OFFSET('IWP26'!Std8dot2CDSABudgetInfo, 2, 2, 1, 1))</f>
        <v>1</v>
      </c>
      <c r="E1942" s="195" t="str">
        <f ca="1">IF(OFFSET('IWP26'!Std8dot2CDSABudgetInfo, 2, 3, 1, 1) = 0, "", OFFSET('IWP26'!Std8dot2CDSABudgetInfo, 2, 3, 1, 1))</f>
        <v/>
      </c>
      <c r="F1942" s="195" t="str">
        <f ca="1">IF(OFFSET('IWP26'!Std8dot2CDSABudgetInfo, 2, 4, 1, 1) = 0, "", OFFSET('IWP26'!Std8dot2CDSABudgetInfo, 2, 4, 1, 1))</f>
        <v/>
      </c>
      <c r="G1942" s="194" t="str">
        <f ca="1">IF(OFFSET('IWP26'!Std8dot2CDSABudgetInfo, 2, 5, 1, 1) = 0, "", OFFSET('IWP26'!Std8dot2CDSABudgetInfo, 2, 5, 1, 1))</f>
        <v/>
      </c>
    </row>
    <row r="1943" spans="1:7" s="146" customFormat="1">
      <c r="A1943" s="183" t="s">
        <v>524</v>
      </c>
      <c r="B1943" s="196">
        <v>4</v>
      </c>
      <c r="C1943" s="172">
        <f ca="1">IF(OFFSET('IWP26'!Std8dot2CDSABudgetInfo, 3, 0, 1, 1)=DATE(1900,1,0), DATE(1900,1,1), OFFSET('IWP26'!Std8dot2CDSABudgetInfo, 3, 0, 1, 1))</f>
        <v>1</v>
      </c>
      <c r="D1943" s="172">
        <f ca="1">IF(OFFSET('IWP26'!Std8dot2CDSABudgetInfo, 3, 2, 1, 1)=DATE(1900,1,0), DATE(1900,1,1), OFFSET('IWP26'!Std8dot2CDSABudgetInfo, 3, 2, 1, 1))</f>
        <v>1</v>
      </c>
      <c r="E1943" s="195" t="str">
        <f ca="1">IF(OFFSET('IWP26'!Std8dot2CDSABudgetInfo, 3, 3, 1, 1) = 0, "", OFFSET('IWP26'!Std8dot2CDSABudgetInfo, 3, 3, 1, 1))</f>
        <v/>
      </c>
      <c r="F1943" s="195" t="str">
        <f ca="1">IF(OFFSET('IWP26'!Std8dot2CDSABudgetInfo, 3, 4, 1, 1) = 0, "", OFFSET('IWP26'!Std8dot2CDSABudgetInfo, 3, 4, 1, 1))</f>
        <v/>
      </c>
      <c r="G1943" s="194" t="str">
        <f ca="1">IF(OFFSET('IWP26'!Std8dot2CDSABudgetInfo, 3, 5, 1, 1) = 0, "", OFFSET('IWP26'!Std8dot2CDSABudgetInfo, 3, 5, 1, 1))</f>
        <v/>
      </c>
    </row>
    <row r="1944" spans="1:7" s="146" customFormat="1">
      <c r="A1944" s="183" t="s">
        <v>525</v>
      </c>
      <c r="B1944" s="196">
        <v>1</v>
      </c>
      <c r="C1944" s="172">
        <f ca="1">IF(OFFSET('IWP27'!Std8dot2CDSABudgetInfo, 0, 0, 1, 1)=DATE(1900,1,0), DATE(1900,1,1), OFFSET('IWP27'!Std8dot2CDSABudgetInfo, 0, 0, 1, 1))</f>
        <v>1</v>
      </c>
      <c r="D1944" s="172">
        <f ca="1">IF(OFFSET('IWP27'!Std8dot2CDSABudgetInfo, 0, 2, 1, 1)=DATE(1900,1,0), DATE(1900,1,1), OFFSET('IWP27'!Std8dot2CDSABudgetInfo, 0, 2, 1, 1))</f>
        <v>1</v>
      </c>
      <c r="E1944" s="195" t="str">
        <f ca="1">IF(OFFSET('IWP27'!Std8dot2CDSABudgetInfo, 0, 3, 1, 1) = 0, "", OFFSET('IWP27'!Std8dot2CDSABudgetInfo, 0, 3, 1, 1))</f>
        <v/>
      </c>
      <c r="F1944" s="195" t="str">
        <f ca="1">IF(OFFSET('IWP27'!Std8dot2CDSABudgetInfo, 0, 4, 1, 1) = 0, "", OFFSET('IWP27'!Std8dot2CDSABudgetInfo, 0, 4, 1, 1))</f>
        <v/>
      </c>
      <c r="G1944" s="194" t="str">
        <f ca="1">IF(OFFSET('IWP27'!Std8dot2CDSABudgetInfo, 0, 5, 1, 1) = 0, "", OFFSET('IWP27'!Std8dot2CDSABudgetInfo, 0, 5, 1, 1))</f>
        <v/>
      </c>
    </row>
    <row r="1945" spans="1:7" s="146" customFormat="1">
      <c r="A1945" s="183" t="s">
        <v>525</v>
      </c>
      <c r="B1945" s="196">
        <v>2</v>
      </c>
      <c r="C1945" s="172">
        <f ca="1">IF(OFFSET('IWP27'!Std8dot2CDSABudgetInfo, 1, 0, 1, 1)=DATE(1900,1,0), DATE(1900,1,1), OFFSET('IWP27'!Std8dot2CDSABudgetInfo, 1, 0, 1, 1))</f>
        <v>1</v>
      </c>
      <c r="D1945" s="172">
        <f ca="1">IF(OFFSET('IWP27'!Std8dot2CDSABudgetInfo, 1, 2, 1, 1)=DATE(1900,1,0), DATE(1900,1,1), OFFSET('IWP27'!Std8dot2CDSABudgetInfo, 1, 2, 1, 1))</f>
        <v>1</v>
      </c>
      <c r="E1945" s="195" t="str">
        <f ca="1">IF(OFFSET('IWP27'!Std8dot2CDSABudgetInfo, 1, 3, 1, 1) = 0, "", OFFSET('IWP27'!Std8dot2CDSABudgetInfo, 1, 3, 1, 1))</f>
        <v/>
      </c>
      <c r="F1945" s="195" t="str">
        <f ca="1">IF(OFFSET('IWP27'!Std8dot2CDSABudgetInfo, 1, 4, 1, 1) = 0, "", OFFSET('IWP27'!Std8dot2CDSABudgetInfo, 1, 4, 1, 1))</f>
        <v/>
      </c>
      <c r="G1945" s="194" t="str">
        <f ca="1">IF(OFFSET('IWP27'!Std8dot2CDSABudgetInfo, 1, 5, 1, 1) = 0, "", OFFSET('IWP27'!Std8dot2CDSABudgetInfo, 1, 5, 1, 1))</f>
        <v/>
      </c>
    </row>
    <row r="1946" spans="1:7" s="146" customFormat="1">
      <c r="A1946" s="183" t="s">
        <v>525</v>
      </c>
      <c r="B1946" s="196">
        <v>3</v>
      </c>
      <c r="C1946" s="172">
        <f ca="1">IF(OFFSET('IWP27'!Std8dot2CDSABudgetInfo, 2, 0, 1, 1)=DATE(1900,1,0), DATE(1900,1,1), OFFSET('IWP27'!Std8dot2CDSABudgetInfo, 2, 0, 1, 1))</f>
        <v>1</v>
      </c>
      <c r="D1946" s="172">
        <f ca="1">IF(OFFSET('IWP27'!Std8dot2CDSABudgetInfo, 2, 2, 1, 1)=DATE(1900,1,0), DATE(1900,1,1), OFFSET('IWP27'!Std8dot2CDSABudgetInfo, 2, 2, 1, 1))</f>
        <v>1</v>
      </c>
      <c r="E1946" s="195" t="str">
        <f ca="1">IF(OFFSET('IWP27'!Std8dot2CDSABudgetInfo, 2, 3, 1, 1) = 0, "", OFFSET('IWP27'!Std8dot2CDSABudgetInfo, 2, 3, 1, 1))</f>
        <v/>
      </c>
      <c r="F1946" s="195" t="str">
        <f ca="1">IF(OFFSET('IWP27'!Std8dot2CDSABudgetInfo, 2, 4, 1, 1) = 0, "", OFFSET('IWP27'!Std8dot2CDSABudgetInfo, 2, 4, 1, 1))</f>
        <v/>
      </c>
      <c r="G1946" s="194" t="str">
        <f ca="1">IF(OFFSET('IWP27'!Std8dot2CDSABudgetInfo, 2, 5, 1, 1) = 0, "", OFFSET('IWP27'!Std8dot2CDSABudgetInfo, 2, 5, 1, 1))</f>
        <v/>
      </c>
    </row>
    <row r="1947" spans="1:7" s="146" customFormat="1">
      <c r="A1947" s="183" t="s">
        <v>525</v>
      </c>
      <c r="B1947" s="196">
        <v>4</v>
      </c>
      <c r="C1947" s="172">
        <f ca="1">IF(OFFSET('IWP27'!Std8dot2CDSABudgetInfo, 3, 0, 1, 1)=DATE(1900,1,0), DATE(1900,1,1), OFFSET('IWP27'!Std8dot2CDSABudgetInfo, 3, 0, 1, 1))</f>
        <v>1</v>
      </c>
      <c r="D1947" s="172">
        <f ca="1">IF(OFFSET('IWP27'!Std8dot2CDSABudgetInfo, 3, 2, 1, 1)=DATE(1900,1,0), DATE(1900,1,1), OFFSET('IWP27'!Std8dot2CDSABudgetInfo, 3, 2, 1, 1))</f>
        <v>1</v>
      </c>
      <c r="E1947" s="195" t="str">
        <f ca="1">IF(OFFSET('IWP27'!Std8dot2CDSABudgetInfo, 3, 3, 1, 1) = 0, "", OFFSET('IWP27'!Std8dot2CDSABudgetInfo, 3, 3, 1, 1))</f>
        <v/>
      </c>
      <c r="F1947" s="195" t="str">
        <f ca="1">IF(OFFSET('IWP27'!Std8dot2CDSABudgetInfo, 3, 4, 1, 1) = 0, "", OFFSET('IWP27'!Std8dot2CDSABudgetInfo, 3, 4, 1, 1))</f>
        <v/>
      </c>
      <c r="G1947" s="194" t="str">
        <f ca="1">IF(OFFSET('IWP27'!Std8dot2CDSABudgetInfo, 3, 5, 1, 1) = 0, "", OFFSET('IWP27'!Std8dot2CDSABudgetInfo, 3, 5, 1, 1))</f>
        <v/>
      </c>
    </row>
    <row r="1948" spans="1:7" s="146" customFormat="1">
      <c r="A1948" s="183" t="s">
        <v>526</v>
      </c>
      <c r="B1948" s="196">
        <v>1</v>
      </c>
      <c r="C1948" s="172">
        <f ca="1">IF(OFFSET('IWP28'!Std8dot2CDSABudgetInfo, 0, 0, 1, 1)=DATE(1900,1,0), DATE(1900,1,1), OFFSET('IWP28'!Std8dot2CDSABudgetInfo, 0, 0, 1, 1))</f>
        <v>1</v>
      </c>
      <c r="D1948" s="172">
        <f ca="1">IF(OFFSET('IWP28'!Std8dot2CDSABudgetInfo, 0, 2, 1, 1)=DATE(1900,1,0), DATE(1900,1,1), OFFSET('IWP28'!Std8dot2CDSABudgetInfo, 0, 2, 1, 1))</f>
        <v>1</v>
      </c>
      <c r="E1948" s="195" t="str">
        <f ca="1">IF(OFFSET('IWP28'!Std8dot2CDSABudgetInfo, 0, 3, 1, 1) = 0, "", OFFSET('IWP28'!Std8dot2CDSABudgetInfo, 0, 3, 1, 1))</f>
        <v/>
      </c>
      <c r="F1948" s="195" t="str">
        <f ca="1">IF(OFFSET('IWP28'!Std8dot2CDSABudgetInfo, 0, 4, 1, 1) = 0, "", OFFSET('IWP28'!Std8dot2CDSABudgetInfo, 0, 4, 1, 1))</f>
        <v/>
      </c>
      <c r="G1948" s="194" t="str">
        <f ca="1">IF(OFFSET('IWP28'!Std8dot2CDSABudgetInfo, 0, 5, 1, 1) = 0, "", OFFSET('IWP28'!Std8dot2CDSABudgetInfo, 0, 5, 1, 1))</f>
        <v/>
      </c>
    </row>
    <row r="1949" spans="1:7" s="146" customFormat="1">
      <c r="A1949" s="183" t="s">
        <v>526</v>
      </c>
      <c r="B1949" s="196">
        <v>2</v>
      </c>
      <c r="C1949" s="172">
        <f ca="1">IF(OFFSET('IWP28'!Std8dot2CDSABudgetInfo, 1, 0, 1, 1)=DATE(1900,1,0), DATE(1900,1,1), OFFSET('IWP28'!Std8dot2CDSABudgetInfo, 1, 0, 1, 1))</f>
        <v>1</v>
      </c>
      <c r="D1949" s="172">
        <f ca="1">IF(OFFSET('IWP28'!Std8dot2CDSABudgetInfo, 1, 2, 1, 1)=DATE(1900,1,0), DATE(1900,1,1), OFFSET('IWP28'!Std8dot2CDSABudgetInfo, 1, 2, 1, 1))</f>
        <v>1</v>
      </c>
      <c r="E1949" s="195" t="str">
        <f ca="1">IF(OFFSET('IWP28'!Std8dot2CDSABudgetInfo, 1, 3, 1, 1) = 0, "", OFFSET('IWP28'!Std8dot2CDSABudgetInfo, 1, 3, 1, 1))</f>
        <v/>
      </c>
      <c r="F1949" s="195" t="str">
        <f ca="1">IF(OFFSET('IWP28'!Std8dot2CDSABudgetInfo, 1, 4, 1, 1) = 0, "", OFFSET('IWP28'!Std8dot2CDSABudgetInfo, 1, 4, 1, 1))</f>
        <v/>
      </c>
      <c r="G1949" s="194" t="str">
        <f ca="1">IF(OFFSET('IWP28'!Std8dot2CDSABudgetInfo, 1, 5, 1, 1) = 0, "", OFFSET('IWP28'!Std8dot2CDSABudgetInfo, 1, 5, 1, 1))</f>
        <v/>
      </c>
    </row>
    <row r="1950" spans="1:7" s="146" customFormat="1">
      <c r="A1950" s="183" t="s">
        <v>526</v>
      </c>
      <c r="B1950" s="196">
        <v>3</v>
      </c>
      <c r="C1950" s="172">
        <f ca="1">IF(OFFSET('IWP28'!Std8dot2CDSABudgetInfo, 2, 0, 1, 1)=DATE(1900,1,0), DATE(1900,1,1), OFFSET('IWP28'!Std8dot2CDSABudgetInfo, 2, 0, 1, 1))</f>
        <v>1</v>
      </c>
      <c r="D1950" s="172">
        <f ca="1">IF(OFFSET('IWP28'!Std8dot2CDSABudgetInfo, 2, 2, 1, 1)=DATE(1900,1,0), DATE(1900,1,1), OFFSET('IWP28'!Std8dot2CDSABudgetInfo, 2, 2, 1, 1))</f>
        <v>1</v>
      </c>
      <c r="E1950" s="195" t="str">
        <f ca="1">IF(OFFSET('IWP28'!Std8dot2CDSABudgetInfo, 2, 3, 1, 1) = 0, "", OFFSET('IWP28'!Std8dot2CDSABudgetInfo, 2, 3, 1, 1))</f>
        <v/>
      </c>
      <c r="F1950" s="195" t="str">
        <f ca="1">IF(OFFSET('IWP28'!Std8dot2CDSABudgetInfo, 2, 4, 1, 1) = 0, "", OFFSET('IWP28'!Std8dot2CDSABudgetInfo, 2, 4, 1, 1))</f>
        <v/>
      </c>
      <c r="G1950" s="194" t="str">
        <f ca="1">IF(OFFSET('IWP28'!Std8dot2CDSABudgetInfo, 2, 5, 1, 1) = 0, "", OFFSET('IWP28'!Std8dot2CDSABudgetInfo, 2, 5, 1, 1))</f>
        <v/>
      </c>
    </row>
    <row r="1951" spans="1:7" s="146" customFormat="1">
      <c r="A1951" s="183" t="s">
        <v>526</v>
      </c>
      <c r="B1951" s="196">
        <v>4</v>
      </c>
      <c r="C1951" s="172">
        <f ca="1">IF(OFFSET('IWP28'!Std8dot2CDSABudgetInfo, 3, 0, 1, 1)=DATE(1900,1,0), DATE(1900,1,1), OFFSET('IWP28'!Std8dot2CDSABudgetInfo, 3, 0, 1, 1))</f>
        <v>1</v>
      </c>
      <c r="D1951" s="172">
        <f ca="1">IF(OFFSET('IWP28'!Std8dot2CDSABudgetInfo, 3, 2, 1, 1)=DATE(1900,1,0), DATE(1900,1,1), OFFSET('IWP28'!Std8dot2CDSABudgetInfo, 3, 2, 1, 1))</f>
        <v>1</v>
      </c>
      <c r="E1951" s="195" t="str">
        <f ca="1">IF(OFFSET('IWP28'!Std8dot2CDSABudgetInfo, 3, 3, 1, 1) = 0, "", OFFSET('IWP28'!Std8dot2CDSABudgetInfo, 3, 3, 1, 1))</f>
        <v/>
      </c>
      <c r="F1951" s="195" t="str">
        <f ca="1">IF(OFFSET('IWP28'!Std8dot2CDSABudgetInfo, 3, 4, 1, 1) = 0, "", OFFSET('IWP28'!Std8dot2CDSABudgetInfo, 3, 4, 1, 1))</f>
        <v/>
      </c>
      <c r="G1951" s="194" t="str">
        <f ca="1">IF(OFFSET('IWP28'!Std8dot2CDSABudgetInfo, 3, 5, 1, 1) = 0, "", OFFSET('IWP28'!Std8dot2CDSABudgetInfo, 3, 5, 1, 1))</f>
        <v/>
      </c>
    </row>
    <row r="1952" spans="1:7" s="146" customFormat="1">
      <c r="A1952" s="183" t="s">
        <v>527</v>
      </c>
      <c r="B1952" s="196">
        <v>1</v>
      </c>
      <c r="C1952" s="172">
        <f ca="1">IF(OFFSET('IWP29'!Std8dot2CDSABudgetInfo, 0, 0, 1, 1)=DATE(1900,1,0), DATE(1900,1,1), OFFSET('IWP29'!Std8dot2CDSABudgetInfo, 0, 0, 1, 1))</f>
        <v>1</v>
      </c>
      <c r="D1952" s="172">
        <f ca="1">IF(OFFSET('IWP29'!Std8dot2CDSABudgetInfo, 0, 2, 1, 1)=DATE(1900,1,0), DATE(1900,1,1), OFFSET('IWP29'!Std8dot2CDSABudgetInfo, 0, 2, 1, 1))</f>
        <v>1</v>
      </c>
      <c r="E1952" s="195" t="str">
        <f ca="1">IF(OFFSET('IWP29'!Std8dot2CDSABudgetInfo, 0, 3, 1, 1) = 0, "", OFFSET('IWP29'!Std8dot2CDSABudgetInfo, 0, 3, 1, 1))</f>
        <v/>
      </c>
      <c r="F1952" s="195" t="str">
        <f ca="1">IF(OFFSET('IWP29'!Std8dot2CDSABudgetInfo, 0, 4, 1, 1) = 0, "", OFFSET('IWP29'!Std8dot2CDSABudgetInfo, 0, 4, 1, 1))</f>
        <v/>
      </c>
      <c r="G1952" s="194" t="str">
        <f ca="1">IF(OFFSET('IWP29'!Std8dot2CDSABudgetInfo, 0, 5, 1, 1) = 0, "", OFFSET('IWP29'!Std8dot2CDSABudgetInfo, 0, 5, 1, 1))</f>
        <v/>
      </c>
    </row>
    <row r="1953" spans="1:7" s="146" customFormat="1">
      <c r="A1953" s="183" t="s">
        <v>527</v>
      </c>
      <c r="B1953" s="196">
        <v>2</v>
      </c>
      <c r="C1953" s="172">
        <f ca="1">IF(OFFSET('IWP29'!Std8dot2CDSABudgetInfo, 1, 0, 1, 1)=DATE(1900,1,0), DATE(1900,1,1), OFFSET('IWP29'!Std8dot2CDSABudgetInfo, 1, 0, 1, 1))</f>
        <v>1</v>
      </c>
      <c r="D1953" s="172">
        <f ca="1">IF(OFFSET('IWP29'!Std8dot2CDSABudgetInfo, 1, 2, 1, 1)=DATE(1900,1,0), DATE(1900,1,1), OFFSET('IWP29'!Std8dot2CDSABudgetInfo, 1, 2, 1, 1))</f>
        <v>1</v>
      </c>
      <c r="E1953" s="195" t="str">
        <f ca="1">IF(OFFSET('IWP29'!Std8dot2CDSABudgetInfo, 1, 3, 1, 1) = 0, "", OFFSET('IWP29'!Std8dot2CDSABudgetInfo, 1, 3, 1, 1))</f>
        <v/>
      </c>
      <c r="F1953" s="195" t="str">
        <f ca="1">IF(OFFSET('IWP29'!Std8dot2CDSABudgetInfo, 1, 4, 1, 1) = 0, "", OFFSET('IWP29'!Std8dot2CDSABudgetInfo, 1, 4, 1, 1))</f>
        <v/>
      </c>
      <c r="G1953" s="194" t="str">
        <f ca="1">IF(OFFSET('IWP29'!Std8dot2CDSABudgetInfo, 1, 5, 1, 1) = 0, "", OFFSET('IWP29'!Std8dot2CDSABudgetInfo, 1, 5, 1, 1))</f>
        <v/>
      </c>
    </row>
    <row r="1954" spans="1:7" s="146" customFormat="1">
      <c r="A1954" s="183" t="s">
        <v>527</v>
      </c>
      <c r="B1954" s="196">
        <v>3</v>
      </c>
      <c r="C1954" s="172">
        <f ca="1">IF(OFFSET('IWP29'!Std8dot2CDSABudgetInfo, 2, 0, 1, 1)=DATE(1900,1,0), DATE(1900,1,1), OFFSET('IWP29'!Std8dot2CDSABudgetInfo, 2, 0, 1, 1))</f>
        <v>1</v>
      </c>
      <c r="D1954" s="172">
        <f ca="1">IF(OFFSET('IWP29'!Std8dot2CDSABudgetInfo, 2, 2, 1, 1)=DATE(1900,1,0), DATE(1900,1,1), OFFSET('IWP29'!Std8dot2CDSABudgetInfo, 2, 2, 1, 1))</f>
        <v>1</v>
      </c>
      <c r="E1954" s="195" t="str">
        <f ca="1">IF(OFFSET('IWP29'!Std8dot2CDSABudgetInfo, 2, 3, 1, 1) = 0, "", OFFSET('IWP29'!Std8dot2CDSABudgetInfo, 2, 3, 1, 1))</f>
        <v/>
      </c>
      <c r="F1954" s="195" t="str">
        <f ca="1">IF(OFFSET('IWP29'!Std8dot2CDSABudgetInfo, 2, 4, 1, 1) = 0, "", OFFSET('IWP29'!Std8dot2CDSABudgetInfo, 2, 4, 1, 1))</f>
        <v/>
      </c>
      <c r="G1954" s="194" t="str">
        <f ca="1">IF(OFFSET('IWP29'!Std8dot2CDSABudgetInfo, 2, 5, 1, 1) = 0, "", OFFSET('IWP29'!Std8dot2CDSABudgetInfo, 2, 5, 1, 1))</f>
        <v/>
      </c>
    </row>
    <row r="1955" spans="1:7" s="146" customFormat="1">
      <c r="A1955" s="183" t="s">
        <v>527</v>
      </c>
      <c r="B1955" s="196">
        <v>4</v>
      </c>
      <c r="C1955" s="172">
        <f ca="1">IF(OFFSET('IWP29'!Std8dot2CDSABudgetInfo, 3, 0, 1, 1)=DATE(1900,1,0), DATE(1900,1,1), OFFSET('IWP29'!Std8dot2CDSABudgetInfo, 3, 0, 1, 1))</f>
        <v>1</v>
      </c>
      <c r="D1955" s="172">
        <f ca="1">IF(OFFSET('IWP29'!Std8dot2CDSABudgetInfo, 3, 2, 1, 1)=DATE(1900,1,0), DATE(1900,1,1), OFFSET('IWP29'!Std8dot2CDSABudgetInfo, 3, 2, 1, 1))</f>
        <v>1</v>
      </c>
      <c r="E1955" s="195" t="str">
        <f ca="1">IF(OFFSET('IWP29'!Std8dot2CDSABudgetInfo, 3, 3, 1, 1) = 0, "", OFFSET('IWP29'!Std8dot2CDSABudgetInfo, 3, 3, 1, 1))</f>
        <v/>
      </c>
      <c r="F1955" s="195" t="str">
        <f ca="1">IF(OFFSET('IWP29'!Std8dot2CDSABudgetInfo, 3, 4, 1, 1) = 0, "", OFFSET('IWP29'!Std8dot2CDSABudgetInfo, 3, 4, 1, 1))</f>
        <v/>
      </c>
      <c r="G1955" s="194" t="str">
        <f ca="1">IF(OFFSET('IWP29'!Std8dot2CDSABudgetInfo, 3, 5, 1, 1) = 0, "", OFFSET('IWP29'!Std8dot2CDSABudgetInfo, 3, 5, 1, 1))</f>
        <v/>
      </c>
    </row>
    <row r="1956" spans="1:7" s="146" customFormat="1">
      <c r="A1956" s="183" t="s">
        <v>528</v>
      </c>
      <c r="B1956" s="196">
        <v>1</v>
      </c>
      <c r="C1956" s="172">
        <f ca="1">IF(OFFSET('IWP30'!Std8dot2CDSABudgetInfo, 0, 0, 1, 1)=DATE(1900,1,0), DATE(1900,1,1), OFFSET('IWP30'!Std8dot2CDSABudgetInfo, 0, 0, 1, 1))</f>
        <v>1</v>
      </c>
      <c r="D1956" s="172">
        <f ca="1">IF(OFFSET('IWP30'!Std8dot2CDSABudgetInfo, 0, 2, 1, 1)=DATE(1900,1,0), DATE(1900,1,1), OFFSET('IWP30'!Std8dot2CDSABudgetInfo, 0, 2, 1, 1))</f>
        <v>1</v>
      </c>
      <c r="E1956" s="195" t="str">
        <f ca="1">IF(OFFSET('IWP30'!Std8dot2CDSABudgetInfo, 0, 3, 1, 1) = 0, "", OFFSET('IWP30'!Std8dot2CDSABudgetInfo, 0, 3, 1, 1))</f>
        <v/>
      </c>
      <c r="F1956" s="195" t="str">
        <f ca="1">IF(OFFSET('IWP30'!Std8dot2CDSABudgetInfo, 0, 4, 1, 1) = 0, "", OFFSET('IWP30'!Std8dot2CDSABudgetInfo, 0, 4, 1, 1))</f>
        <v/>
      </c>
      <c r="G1956" s="194" t="str">
        <f ca="1">IF(OFFSET('IWP30'!Std8dot2CDSABudgetInfo, 0, 5, 1, 1) = 0, "", OFFSET('IWP30'!Std8dot2CDSABudgetInfo, 0, 5, 1, 1))</f>
        <v/>
      </c>
    </row>
    <row r="1957" spans="1:7" s="146" customFormat="1">
      <c r="A1957" s="183" t="s">
        <v>528</v>
      </c>
      <c r="B1957" s="196">
        <v>2</v>
      </c>
      <c r="C1957" s="172">
        <f ca="1">IF(OFFSET('IWP30'!Std8dot2CDSABudgetInfo, 1, 0, 1, 1)=DATE(1900,1,0), DATE(1900,1,1), OFFSET('IWP30'!Std8dot2CDSABudgetInfo, 1, 0, 1, 1))</f>
        <v>1</v>
      </c>
      <c r="D1957" s="172">
        <f ca="1">IF(OFFSET('IWP30'!Std8dot2CDSABudgetInfo, 1, 2, 1, 1)=DATE(1900,1,0), DATE(1900,1,1), OFFSET('IWP30'!Std8dot2CDSABudgetInfo, 1, 2, 1, 1))</f>
        <v>1</v>
      </c>
      <c r="E1957" s="195" t="str">
        <f ca="1">IF(OFFSET('IWP30'!Std8dot2CDSABudgetInfo, 1, 3, 1, 1) = 0, "", OFFSET('IWP30'!Std8dot2CDSABudgetInfo, 1, 3, 1, 1))</f>
        <v/>
      </c>
      <c r="F1957" s="195" t="str">
        <f ca="1">IF(OFFSET('IWP30'!Std8dot2CDSABudgetInfo, 1, 4, 1, 1) = 0, "", OFFSET('IWP30'!Std8dot2CDSABudgetInfo, 1, 4, 1, 1))</f>
        <v/>
      </c>
      <c r="G1957" s="194" t="str">
        <f ca="1">IF(OFFSET('IWP30'!Std8dot2CDSABudgetInfo, 1, 5, 1, 1) = 0, "", OFFSET('IWP30'!Std8dot2CDSABudgetInfo, 1, 5, 1, 1))</f>
        <v/>
      </c>
    </row>
    <row r="1958" spans="1:7" s="146" customFormat="1">
      <c r="A1958" s="183" t="s">
        <v>528</v>
      </c>
      <c r="B1958" s="196">
        <v>3</v>
      </c>
      <c r="C1958" s="172">
        <f ca="1">IF(OFFSET('IWP30'!Std8dot2CDSABudgetInfo, 2, 0, 1, 1)=DATE(1900,1,0), DATE(1900,1,1), OFFSET('IWP30'!Std8dot2CDSABudgetInfo, 2, 0, 1, 1))</f>
        <v>1</v>
      </c>
      <c r="D1958" s="172">
        <f ca="1">IF(OFFSET('IWP30'!Std8dot2CDSABudgetInfo, 2, 2, 1, 1)=DATE(1900,1,0), DATE(1900,1,1), OFFSET('IWP30'!Std8dot2CDSABudgetInfo, 2, 2, 1, 1))</f>
        <v>1</v>
      </c>
      <c r="E1958" s="195" t="str">
        <f ca="1">IF(OFFSET('IWP30'!Std8dot2CDSABudgetInfo, 2, 3, 1, 1) = 0, "", OFFSET('IWP30'!Std8dot2CDSABudgetInfo, 2, 3, 1, 1))</f>
        <v/>
      </c>
      <c r="F1958" s="195" t="str">
        <f ca="1">IF(OFFSET('IWP30'!Std8dot2CDSABudgetInfo, 2, 4, 1, 1) = 0, "", OFFSET('IWP30'!Std8dot2CDSABudgetInfo, 2, 4, 1, 1))</f>
        <v/>
      </c>
      <c r="G1958" s="194" t="str">
        <f ca="1">IF(OFFSET('IWP30'!Std8dot2CDSABudgetInfo, 2, 5, 1, 1) = 0, "", OFFSET('IWP30'!Std8dot2CDSABudgetInfo, 2, 5, 1, 1))</f>
        <v/>
      </c>
    </row>
    <row r="1959" spans="1:7" s="146" customFormat="1" ht="15.75" thickBot="1">
      <c r="A1959" s="184" t="s">
        <v>528</v>
      </c>
      <c r="B1959" s="185">
        <v>4</v>
      </c>
      <c r="C1959" s="178">
        <f ca="1">IF(OFFSET('IWP30'!Std8dot2CDSABudgetInfo, 3, 0, 1, 1)=DATE(1900,1,0), DATE(1900,1,1), OFFSET('IWP30'!Std8dot2CDSABudgetInfo, 3, 0, 1, 1))</f>
        <v>1</v>
      </c>
      <c r="D1959" s="178">
        <f ca="1">IF(OFFSET('IWP30'!Std8dot2CDSABudgetInfo, 3, 2, 1, 1)=DATE(1900,1,0), DATE(1900,1,1), OFFSET('IWP30'!Std8dot2CDSABudgetInfo, 3, 2, 1, 1))</f>
        <v>1</v>
      </c>
      <c r="E1959" s="182" t="str">
        <f ca="1">IF(OFFSET('IWP30'!Std8dot2CDSABudgetInfo, 3, 3, 1, 1) = 0, "", OFFSET('IWP30'!Std8dot2CDSABudgetInfo, 3, 3, 1, 1))</f>
        <v/>
      </c>
      <c r="F1959" s="182" t="str">
        <f ca="1">IF(OFFSET('IWP30'!Std8dot2CDSABudgetInfo, 3, 4, 1, 1) = 0, "", OFFSET('IWP30'!Std8dot2CDSABudgetInfo, 3, 4, 1, 1))</f>
        <v/>
      </c>
      <c r="G1959" s="186" t="str">
        <f ca="1">IF(OFFSET('IWP30'!Std8dot2CDSABudgetInfo, 3, 5, 1, 1) = 0, "", OFFSET('IWP30'!Std8dot2CDSABudgetInfo, 3, 5, 1, 1))</f>
        <v/>
      </c>
    </row>
    <row r="1961" spans="1:7" ht="15.75" thickBot="1">
      <c r="A1961" s="191" t="s">
        <v>574</v>
      </c>
    </row>
    <row r="1962" spans="1:7" s="107" customFormat="1" ht="30">
      <c r="A1962" s="170" t="s">
        <v>443</v>
      </c>
      <c r="B1962" s="171" t="s">
        <v>570</v>
      </c>
      <c r="C1962" s="171" t="s">
        <v>571</v>
      </c>
      <c r="D1962" s="171" t="s">
        <v>572</v>
      </c>
      <c r="E1962" s="173" t="s">
        <v>573</v>
      </c>
    </row>
    <row r="1963" spans="1:7">
      <c r="A1963" s="193" t="s">
        <v>499</v>
      </c>
      <c r="B1963" s="195" t="s">
        <v>249</v>
      </c>
      <c r="C1963" s="195" t="str">
        <f ca="1">IF(OFFSET('IWP01'!Std8dot3IssuesConcerns, 0, 0, 1, 1) = 0, "", OFFSET('IWP01'!Std8dot3IssuesConcerns, 0, 0, 1, 1))</f>
        <v/>
      </c>
      <c r="D1963" s="172">
        <f ca="1">IF(OFFSET('IWP01'!Std8dot3IssuesConcerns, 0, 1, 1, 1)=DATE(1900,1,0), DATE(1900,1,1), OFFSET('IWP01'!Std8dot3IssuesConcerns, 0, 1, 1, 1))</f>
        <v>1</v>
      </c>
      <c r="E1963" s="194" t="str">
        <f ca="1">IF(OFFSET('IWP01'!Std8dot3IssuesConcerns, 0, 2, 1, 1) = 0, "", OFFSET('IWP01'!Std8dot3IssuesConcerns, 0, 2, 1, 1))</f>
        <v/>
      </c>
    </row>
    <row r="1964" spans="1:7">
      <c r="A1964" s="193" t="s">
        <v>499</v>
      </c>
      <c r="B1964" s="195" t="s">
        <v>250</v>
      </c>
      <c r="C1964" s="195" t="str">
        <f ca="1">IF(OFFSET('IWP01'!Std8dot3IssuesConcerns, 1, 0, 1, 1) = 0, "", OFFSET('IWP01'!Std8dot3IssuesConcerns, 1, 0, 1, 1))</f>
        <v/>
      </c>
      <c r="D1964" s="172">
        <f ca="1">IF(OFFSET('IWP01'!Std8dot3IssuesConcerns, 1, 1, 1, 1)=DATE(1900,1,0), DATE(1900,1,1), OFFSET('IWP01'!Std8dot3IssuesConcerns, 1, 1, 1, 1))</f>
        <v>1</v>
      </c>
      <c r="E1964" s="194" t="str">
        <f ca="1">IF(OFFSET('IWP01'!Std8dot3IssuesConcerns, 1, 2, 1, 1) = 0, "", OFFSET('IWP01'!Std8dot3IssuesConcerns, 1, 2, 1, 1))</f>
        <v/>
      </c>
    </row>
    <row r="1965" spans="1:7">
      <c r="A1965" s="193" t="s">
        <v>499</v>
      </c>
      <c r="B1965" s="195" t="s">
        <v>251</v>
      </c>
      <c r="C1965" s="195" t="str">
        <f ca="1">IF(OFFSET('IWP01'!Std8dot3IssuesConcerns, 2, 0, 1, 1) = 0, "", OFFSET('IWP01'!Std8dot3IssuesConcerns, 2, 0, 1, 1))</f>
        <v/>
      </c>
      <c r="D1965" s="172">
        <f ca="1">IF(OFFSET('IWP01'!Std8dot3IssuesConcerns, 2, 1, 1, 1)=DATE(1900,1,0), DATE(1900,1,1), OFFSET('IWP01'!Std8dot3IssuesConcerns, 2, 1, 1, 1))</f>
        <v>1</v>
      </c>
      <c r="E1965" s="194" t="str">
        <f ca="1">IF(OFFSET('IWP01'!Std8dot3IssuesConcerns, 2, 2, 1, 1) = 0, "", OFFSET('IWP01'!Std8dot3IssuesConcerns, 2, 2, 1, 1))</f>
        <v/>
      </c>
    </row>
    <row r="1966" spans="1:7">
      <c r="A1966" s="193" t="s">
        <v>499</v>
      </c>
      <c r="B1966" s="195" t="s">
        <v>252</v>
      </c>
      <c r="C1966" s="195" t="str">
        <f ca="1">IF(OFFSET('IWP01'!Std8dot3IssuesConcerns, 3, 0, 1, 1) = 0, "", OFFSET('IWP01'!Std8dot3IssuesConcerns, 3, 0, 1, 1))</f>
        <v/>
      </c>
      <c r="D1966" s="172">
        <f ca="1">IF(OFFSET('IWP01'!Std8dot3IssuesConcerns, 3, 1, 1, 1)=DATE(1900,1,0), DATE(1900,1,1), OFFSET('IWP01'!Std8dot3IssuesConcerns, 3, 1, 1, 1))</f>
        <v>1</v>
      </c>
      <c r="E1966" s="194" t="str">
        <f ca="1">IF(OFFSET('IWP01'!Std8dot3IssuesConcerns, 3, 2, 1, 1) = 0, "", OFFSET('IWP01'!Std8dot3IssuesConcerns, 3, 2, 1, 1))</f>
        <v/>
      </c>
    </row>
    <row r="1967" spans="1:7">
      <c r="A1967" s="193" t="s">
        <v>499</v>
      </c>
      <c r="B1967" s="195" t="s">
        <v>253</v>
      </c>
      <c r="C1967" s="195" t="str">
        <f ca="1">IF(OFFSET('IWP01'!Std8dot3IssuesConcerns, 4, 0, 1, 1) = 0, "", OFFSET('IWP01'!Std8dot3IssuesConcerns, 4, 0, 1, 1))</f>
        <v/>
      </c>
      <c r="D1967" s="172">
        <f ca="1">IF(OFFSET('IWP01'!Std8dot3IssuesConcerns, 4, 1, 1, 1)=DATE(1900,1,0), DATE(1900,1,1), OFFSET('IWP01'!Std8dot3IssuesConcerns, 4, 1, 1, 1))</f>
        <v>1</v>
      </c>
      <c r="E1967" s="194" t="str">
        <f ca="1">IF(OFFSET('IWP01'!Std8dot3IssuesConcerns, 4, 2, 1, 1) = 0, "", OFFSET('IWP01'!Std8dot3IssuesConcerns, 4, 2, 1, 1))</f>
        <v/>
      </c>
    </row>
    <row r="1968" spans="1:7">
      <c r="A1968" s="193" t="s">
        <v>499</v>
      </c>
      <c r="B1968" s="195" t="s">
        <v>254</v>
      </c>
      <c r="C1968" s="195" t="str">
        <f ca="1">IF(OFFSET('IWP01'!Std8dot3IssuesConcerns, 5, 0, 1, 1) = 0, "", OFFSET('IWP01'!Std8dot3IssuesConcerns, 5, 0, 1, 1))</f>
        <v/>
      </c>
      <c r="D1968" s="172">
        <f ca="1">IF(OFFSET('IWP01'!Std8dot3IssuesConcerns, 5, 1, 1, 1)=DATE(1900,1,0), DATE(1900,1,1), OFFSET('IWP01'!Std8dot3IssuesConcerns, 5, 1, 1, 1))</f>
        <v>1</v>
      </c>
      <c r="E1968" s="194" t="str">
        <f ca="1">IF(OFFSET('IWP01'!Std8dot3IssuesConcerns, 5, 2, 1, 1) = 0, "", OFFSET('IWP01'!Std8dot3IssuesConcerns, 5, 2, 1, 1))</f>
        <v/>
      </c>
    </row>
    <row r="1969" spans="1:5" s="105" customFormat="1">
      <c r="A1969" s="193" t="s">
        <v>500</v>
      </c>
      <c r="B1969" s="195" t="s">
        <v>249</v>
      </c>
      <c r="C1969" s="195" t="str">
        <f ca="1">IF(OFFSET('IWP02'!Std8dot3IssuesConcerns, 0, 0, 1, 1) = 0, "", OFFSET('IWP02'!Std8dot3IssuesConcerns, 0, 0, 1, 1))</f>
        <v/>
      </c>
      <c r="D1969" s="172">
        <f ca="1">IF(OFFSET('IWP02'!Std8dot3IssuesConcerns, 0, 1, 1, 1)=DATE(1900,1,0), DATE(1900,1,1), OFFSET('IWP02'!Std8dot3IssuesConcerns, 0, 1, 1, 1))</f>
        <v>1</v>
      </c>
      <c r="E1969" s="194" t="str">
        <f ca="1">IF(OFFSET('IWP02'!Std8dot3IssuesConcerns, 0, 2, 1, 1) = 0, "", OFFSET('IWP02'!Std8dot3IssuesConcerns, 0, 2, 1, 1))</f>
        <v/>
      </c>
    </row>
    <row r="1970" spans="1:5" s="105" customFormat="1">
      <c r="A1970" s="193" t="s">
        <v>500</v>
      </c>
      <c r="B1970" s="195" t="s">
        <v>250</v>
      </c>
      <c r="C1970" s="195" t="str">
        <f ca="1">IF(OFFSET('IWP02'!Std8dot3IssuesConcerns, 1, 0, 1, 1) = 0, "", OFFSET('IWP02'!Std8dot3IssuesConcerns, 1, 0, 1, 1))</f>
        <v/>
      </c>
      <c r="D1970" s="172">
        <f ca="1">IF(OFFSET('IWP02'!Std8dot3IssuesConcerns, 1, 1, 1, 1)=DATE(1900,1,0), DATE(1900,1,1), OFFSET('IWP02'!Std8dot3IssuesConcerns, 1, 1, 1, 1))</f>
        <v>1</v>
      </c>
      <c r="E1970" s="194" t="str">
        <f ca="1">IF(OFFSET('IWP02'!Std8dot3IssuesConcerns, 1, 2, 1, 1) = 0, "", OFFSET('IWP02'!Std8dot3IssuesConcerns, 1, 2, 1, 1))</f>
        <v/>
      </c>
    </row>
    <row r="1971" spans="1:5" s="105" customFormat="1">
      <c r="A1971" s="193" t="s">
        <v>500</v>
      </c>
      <c r="B1971" s="195" t="s">
        <v>251</v>
      </c>
      <c r="C1971" s="195" t="str">
        <f ca="1">IF(OFFSET('IWP02'!Std8dot3IssuesConcerns, 2, 0, 1, 1) = 0, "", OFFSET('IWP02'!Std8dot3IssuesConcerns, 2, 0, 1, 1))</f>
        <v/>
      </c>
      <c r="D1971" s="172">
        <f ca="1">IF(OFFSET('IWP02'!Std8dot3IssuesConcerns, 2, 1, 1, 1)=DATE(1900,1,0), DATE(1900,1,1), OFFSET('IWP02'!Std8dot3IssuesConcerns, 2, 1, 1, 1))</f>
        <v>1</v>
      </c>
      <c r="E1971" s="194" t="str">
        <f ca="1">IF(OFFSET('IWP02'!Std8dot3IssuesConcerns, 2, 2, 1, 1) = 0, "", OFFSET('IWP02'!Std8dot3IssuesConcerns, 2, 2, 1, 1))</f>
        <v/>
      </c>
    </row>
    <row r="1972" spans="1:5" s="105" customFormat="1">
      <c r="A1972" s="193" t="s">
        <v>500</v>
      </c>
      <c r="B1972" s="195" t="s">
        <v>252</v>
      </c>
      <c r="C1972" s="195" t="str">
        <f ca="1">IF(OFFSET('IWP02'!Std8dot3IssuesConcerns, 3, 0, 1, 1) = 0, "", OFFSET('IWP02'!Std8dot3IssuesConcerns, 3, 0, 1, 1))</f>
        <v/>
      </c>
      <c r="D1972" s="172">
        <f ca="1">IF(OFFSET('IWP02'!Std8dot3IssuesConcerns, 3, 1, 1, 1)=DATE(1900,1,0), DATE(1900,1,1), OFFSET('IWP02'!Std8dot3IssuesConcerns, 3, 1, 1, 1))</f>
        <v>1</v>
      </c>
      <c r="E1972" s="194" t="str">
        <f ca="1">IF(OFFSET('IWP02'!Std8dot3IssuesConcerns, 3, 2, 1, 1) = 0, "", OFFSET('IWP02'!Std8dot3IssuesConcerns, 3, 2, 1, 1))</f>
        <v/>
      </c>
    </row>
    <row r="1973" spans="1:5" s="105" customFormat="1">
      <c r="A1973" s="193" t="s">
        <v>500</v>
      </c>
      <c r="B1973" s="195" t="s">
        <v>253</v>
      </c>
      <c r="C1973" s="195" t="str">
        <f ca="1">IF(OFFSET('IWP02'!Std8dot3IssuesConcerns, 4, 0, 1, 1) = 0, "", OFFSET('IWP02'!Std8dot3IssuesConcerns, 4, 0, 1, 1))</f>
        <v/>
      </c>
      <c r="D1973" s="172">
        <f ca="1">IF(OFFSET('IWP02'!Std8dot3IssuesConcerns, 4, 1, 1, 1)=DATE(1900,1,0), DATE(1900,1,1), OFFSET('IWP02'!Std8dot3IssuesConcerns, 4, 1, 1, 1))</f>
        <v>1</v>
      </c>
      <c r="E1973" s="194" t="str">
        <f ca="1">IF(OFFSET('IWP02'!Std8dot3IssuesConcerns, 4, 2, 1, 1) = 0, "", OFFSET('IWP02'!Std8dot3IssuesConcerns, 4, 2, 1, 1))</f>
        <v/>
      </c>
    </row>
    <row r="1974" spans="1:5" s="105" customFormat="1">
      <c r="A1974" s="193" t="s">
        <v>500</v>
      </c>
      <c r="B1974" s="195" t="s">
        <v>254</v>
      </c>
      <c r="C1974" s="195" t="str">
        <f ca="1">IF(OFFSET('IWP02'!Std8dot3IssuesConcerns, 5, 0, 1, 1) = 0, "", OFFSET('IWP02'!Std8dot3IssuesConcerns, 5, 0, 1, 1))</f>
        <v/>
      </c>
      <c r="D1974" s="172">
        <f ca="1">IF(OFFSET('IWP02'!Std8dot3IssuesConcerns, 5, 1, 1, 1)=DATE(1900,1,0), DATE(1900,1,1), OFFSET('IWP02'!Std8dot3IssuesConcerns, 5, 1, 1, 1))</f>
        <v>1</v>
      </c>
      <c r="E1974" s="194" t="str">
        <f ca="1">IF(OFFSET('IWP02'!Std8dot3IssuesConcerns, 5, 2, 1, 1) = 0, "", OFFSET('IWP02'!Std8dot3IssuesConcerns, 5, 2, 1, 1))</f>
        <v/>
      </c>
    </row>
    <row r="1975" spans="1:5" s="105" customFormat="1">
      <c r="A1975" s="193" t="s">
        <v>501</v>
      </c>
      <c r="B1975" s="195" t="s">
        <v>249</v>
      </c>
      <c r="C1975" s="195" t="str">
        <f ca="1">IF(OFFSET('IWP03'!Std8dot3IssuesConcerns, 0, 0, 1, 1) = 0, "", OFFSET('IWP03'!Std8dot3IssuesConcerns, 0, 0, 1, 1))</f>
        <v/>
      </c>
      <c r="D1975" s="172">
        <f ca="1">IF(OFFSET('IWP03'!Std8dot3IssuesConcerns, 0, 1, 1, 1)=DATE(1900,1,0), DATE(1900,1,1), OFFSET('IWP03'!Std8dot3IssuesConcerns, 0, 1, 1, 1))</f>
        <v>1</v>
      </c>
      <c r="E1975" s="194" t="str">
        <f ca="1">IF(OFFSET('IWP03'!Std8dot3IssuesConcerns, 0, 2, 1, 1) = 0, "", OFFSET('IWP03'!Std8dot3IssuesConcerns, 0, 2, 1, 1))</f>
        <v/>
      </c>
    </row>
    <row r="1976" spans="1:5" s="105" customFormat="1">
      <c r="A1976" s="193" t="s">
        <v>501</v>
      </c>
      <c r="B1976" s="195" t="s">
        <v>250</v>
      </c>
      <c r="C1976" s="195" t="str">
        <f ca="1">IF(OFFSET('IWP03'!Std8dot3IssuesConcerns, 1, 0, 1, 1) = 0, "", OFFSET('IWP03'!Std8dot3IssuesConcerns, 1, 0, 1, 1))</f>
        <v/>
      </c>
      <c r="D1976" s="172">
        <f ca="1">IF(OFFSET('IWP03'!Std8dot3IssuesConcerns, 1, 1, 1, 1)=DATE(1900,1,0), DATE(1900,1,1), OFFSET('IWP03'!Std8dot3IssuesConcerns, 1, 1, 1, 1))</f>
        <v>1</v>
      </c>
      <c r="E1976" s="194" t="str">
        <f ca="1">IF(OFFSET('IWP03'!Std8dot3IssuesConcerns, 1, 2, 1, 1) = 0, "", OFFSET('IWP03'!Std8dot3IssuesConcerns, 1, 2, 1, 1))</f>
        <v/>
      </c>
    </row>
    <row r="1977" spans="1:5" s="105" customFormat="1">
      <c r="A1977" s="193" t="s">
        <v>501</v>
      </c>
      <c r="B1977" s="195" t="s">
        <v>251</v>
      </c>
      <c r="C1977" s="195" t="str">
        <f ca="1">IF(OFFSET('IWP03'!Std8dot3IssuesConcerns, 2, 0, 1, 1) = 0, "", OFFSET('IWP03'!Std8dot3IssuesConcerns, 2, 0, 1, 1))</f>
        <v/>
      </c>
      <c r="D1977" s="172">
        <f ca="1">IF(OFFSET('IWP03'!Std8dot3IssuesConcerns, 2, 1, 1, 1)=DATE(1900,1,0), DATE(1900,1,1), OFFSET('IWP03'!Std8dot3IssuesConcerns, 2, 1, 1, 1))</f>
        <v>1</v>
      </c>
      <c r="E1977" s="194" t="str">
        <f ca="1">IF(OFFSET('IWP03'!Std8dot3IssuesConcerns, 2, 2, 1, 1) = 0, "", OFFSET('IWP03'!Std8dot3IssuesConcerns, 2, 2, 1, 1))</f>
        <v/>
      </c>
    </row>
    <row r="1978" spans="1:5" s="105" customFormat="1">
      <c r="A1978" s="193" t="s">
        <v>501</v>
      </c>
      <c r="B1978" s="195" t="s">
        <v>252</v>
      </c>
      <c r="C1978" s="195" t="str">
        <f ca="1">IF(OFFSET('IWP03'!Std8dot3IssuesConcerns, 3, 0, 1, 1) = 0, "", OFFSET('IWP03'!Std8dot3IssuesConcerns, 3, 0, 1, 1))</f>
        <v/>
      </c>
      <c r="D1978" s="172">
        <f ca="1">IF(OFFSET('IWP03'!Std8dot3IssuesConcerns, 3, 1, 1, 1)=DATE(1900,1,0), DATE(1900,1,1), OFFSET('IWP03'!Std8dot3IssuesConcerns, 3, 1, 1, 1))</f>
        <v>1</v>
      </c>
      <c r="E1978" s="194" t="str">
        <f ca="1">IF(OFFSET('IWP03'!Std8dot3IssuesConcerns, 3, 2, 1, 1) = 0, "", OFFSET('IWP03'!Std8dot3IssuesConcerns, 3, 2, 1, 1))</f>
        <v/>
      </c>
    </row>
    <row r="1979" spans="1:5" s="105" customFormat="1">
      <c r="A1979" s="193" t="s">
        <v>501</v>
      </c>
      <c r="B1979" s="195" t="s">
        <v>253</v>
      </c>
      <c r="C1979" s="195" t="str">
        <f ca="1">IF(OFFSET('IWP03'!Std8dot3IssuesConcerns, 4, 0, 1, 1) = 0, "", OFFSET('IWP03'!Std8dot3IssuesConcerns, 4, 0, 1, 1))</f>
        <v/>
      </c>
      <c r="D1979" s="172">
        <f ca="1">IF(OFFSET('IWP03'!Std8dot3IssuesConcerns, 4, 1, 1, 1)=DATE(1900,1,0), DATE(1900,1,1), OFFSET('IWP03'!Std8dot3IssuesConcerns, 4, 1, 1, 1))</f>
        <v>1</v>
      </c>
      <c r="E1979" s="194" t="str">
        <f ca="1">IF(OFFSET('IWP03'!Std8dot3IssuesConcerns, 4, 2, 1, 1) = 0, "", OFFSET('IWP03'!Std8dot3IssuesConcerns, 4, 2, 1, 1))</f>
        <v/>
      </c>
    </row>
    <row r="1980" spans="1:5" s="105" customFormat="1">
      <c r="A1980" s="193" t="s">
        <v>501</v>
      </c>
      <c r="B1980" s="195" t="s">
        <v>254</v>
      </c>
      <c r="C1980" s="195" t="str">
        <f ca="1">IF(OFFSET('IWP03'!Std8dot3IssuesConcerns, 5, 0, 1, 1) = 0, "", OFFSET('IWP03'!Std8dot3IssuesConcerns, 5, 0, 1, 1))</f>
        <v/>
      </c>
      <c r="D1980" s="172">
        <f ca="1">IF(OFFSET('IWP03'!Std8dot3IssuesConcerns, 5, 1, 1, 1)=DATE(1900,1,0), DATE(1900,1,1), OFFSET('IWP03'!Std8dot3IssuesConcerns, 5, 1, 1, 1))</f>
        <v>1</v>
      </c>
      <c r="E1980" s="194" t="str">
        <f ca="1">IF(OFFSET('IWP03'!Std8dot3IssuesConcerns, 5, 2, 1, 1) = 0, "", OFFSET('IWP03'!Std8dot3IssuesConcerns, 5, 2, 1, 1))</f>
        <v/>
      </c>
    </row>
    <row r="1981" spans="1:5" s="146" customFormat="1">
      <c r="A1981" s="193" t="s">
        <v>502</v>
      </c>
      <c r="B1981" s="195" t="s">
        <v>249</v>
      </c>
      <c r="C1981" s="195" t="str">
        <f ca="1">IF(OFFSET('IWP04'!Std8dot3IssuesConcerns, 0, 0, 1, 1) = 0, "", OFFSET('IWP04'!Std8dot3IssuesConcerns, 0, 0, 1, 1))</f>
        <v/>
      </c>
      <c r="D1981" s="172">
        <f ca="1">IF(OFFSET('IWP04'!Std8dot3IssuesConcerns, 0, 1, 1, 1)=DATE(1900,1,0), DATE(1900,1,1), OFFSET('IWP04'!Std8dot3IssuesConcerns, 0, 1, 1, 1))</f>
        <v>1</v>
      </c>
      <c r="E1981" s="194" t="str">
        <f ca="1">IF(OFFSET('IWP04'!Std8dot3IssuesConcerns, 0, 2, 1, 1) = 0, "", OFFSET('IWP04'!Std8dot3IssuesConcerns, 0, 2, 1, 1))</f>
        <v/>
      </c>
    </row>
    <row r="1982" spans="1:5" s="146" customFormat="1">
      <c r="A1982" s="193" t="s">
        <v>502</v>
      </c>
      <c r="B1982" s="195" t="s">
        <v>250</v>
      </c>
      <c r="C1982" s="195" t="str">
        <f ca="1">IF(OFFSET('IWP04'!Std8dot3IssuesConcerns, 1, 0, 1, 1) = 0, "", OFFSET('IWP04'!Std8dot3IssuesConcerns, 1, 0, 1, 1))</f>
        <v/>
      </c>
      <c r="D1982" s="172">
        <f ca="1">IF(OFFSET('IWP04'!Std8dot3IssuesConcerns, 1, 1, 1, 1)=DATE(1900,1,0), DATE(1900,1,1), OFFSET('IWP04'!Std8dot3IssuesConcerns, 1, 1, 1, 1))</f>
        <v>1</v>
      </c>
      <c r="E1982" s="194" t="str">
        <f ca="1">IF(OFFSET('IWP04'!Std8dot3IssuesConcerns, 1, 2, 1, 1) = 0, "", OFFSET('IWP04'!Std8dot3IssuesConcerns, 1, 2, 1, 1))</f>
        <v/>
      </c>
    </row>
    <row r="1983" spans="1:5" s="146" customFormat="1">
      <c r="A1983" s="193" t="s">
        <v>502</v>
      </c>
      <c r="B1983" s="195" t="s">
        <v>251</v>
      </c>
      <c r="C1983" s="195" t="str">
        <f ca="1">IF(OFFSET('IWP04'!Std8dot3IssuesConcerns, 2, 0, 1, 1) = 0, "", OFFSET('IWP04'!Std8dot3IssuesConcerns, 2, 0, 1, 1))</f>
        <v/>
      </c>
      <c r="D1983" s="172">
        <f ca="1">IF(OFFSET('IWP04'!Std8dot3IssuesConcerns, 2, 1, 1, 1)=DATE(1900,1,0), DATE(1900,1,1), OFFSET('IWP04'!Std8dot3IssuesConcerns, 2, 1, 1, 1))</f>
        <v>1</v>
      </c>
      <c r="E1983" s="194" t="str">
        <f ca="1">IF(OFFSET('IWP04'!Std8dot3IssuesConcerns, 2, 2, 1, 1) = 0, "", OFFSET('IWP04'!Std8dot3IssuesConcerns, 2, 2, 1, 1))</f>
        <v/>
      </c>
    </row>
    <row r="1984" spans="1:5" s="146" customFormat="1">
      <c r="A1984" s="193" t="s">
        <v>502</v>
      </c>
      <c r="B1984" s="195" t="s">
        <v>252</v>
      </c>
      <c r="C1984" s="195" t="str">
        <f ca="1">IF(OFFSET('IWP04'!Std8dot3IssuesConcerns, 3, 0, 1, 1) = 0, "", OFFSET('IWP04'!Std8dot3IssuesConcerns, 3, 0, 1, 1))</f>
        <v/>
      </c>
      <c r="D1984" s="172">
        <f ca="1">IF(OFFSET('IWP04'!Std8dot3IssuesConcerns, 3, 1, 1, 1)=DATE(1900,1,0), DATE(1900,1,1), OFFSET('IWP04'!Std8dot3IssuesConcerns, 3, 1, 1, 1))</f>
        <v>1</v>
      </c>
      <c r="E1984" s="194" t="str">
        <f ca="1">IF(OFFSET('IWP04'!Std8dot3IssuesConcerns, 3, 2, 1, 1) = 0, "", OFFSET('IWP04'!Std8dot3IssuesConcerns, 3, 2, 1, 1))</f>
        <v/>
      </c>
    </row>
    <row r="1985" spans="1:5" s="146" customFormat="1">
      <c r="A1985" s="193" t="s">
        <v>502</v>
      </c>
      <c r="B1985" s="195" t="s">
        <v>253</v>
      </c>
      <c r="C1985" s="195" t="str">
        <f ca="1">IF(OFFSET('IWP04'!Std8dot3IssuesConcerns, 4, 0, 1, 1) = 0, "", OFFSET('IWP04'!Std8dot3IssuesConcerns, 4, 0, 1, 1))</f>
        <v/>
      </c>
      <c r="D1985" s="172">
        <f ca="1">IF(OFFSET('IWP04'!Std8dot3IssuesConcerns, 4, 1, 1, 1)=DATE(1900,1,0), DATE(1900,1,1), OFFSET('IWP04'!Std8dot3IssuesConcerns, 4, 1, 1, 1))</f>
        <v>1</v>
      </c>
      <c r="E1985" s="194" t="str">
        <f ca="1">IF(OFFSET('IWP04'!Std8dot3IssuesConcerns, 4, 2, 1, 1) = 0, "", OFFSET('IWP04'!Std8dot3IssuesConcerns, 4, 2, 1, 1))</f>
        <v/>
      </c>
    </row>
    <row r="1986" spans="1:5" s="146" customFormat="1">
      <c r="A1986" s="193" t="s">
        <v>502</v>
      </c>
      <c r="B1986" s="195" t="s">
        <v>254</v>
      </c>
      <c r="C1986" s="195" t="str">
        <f ca="1">IF(OFFSET('IWP04'!Std8dot3IssuesConcerns, 5, 0, 1, 1) = 0, "", OFFSET('IWP04'!Std8dot3IssuesConcerns, 5, 0, 1, 1))</f>
        <v/>
      </c>
      <c r="D1986" s="172">
        <f ca="1">IF(OFFSET('IWP04'!Std8dot3IssuesConcerns, 5, 1, 1, 1)=DATE(1900,1,0), DATE(1900,1,1), OFFSET('IWP04'!Std8dot3IssuesConcerns, 5, 1, 1, 1))</f>
        <v>1</v>
      </c>
      <c r="E1986" s="194" t="str">
        <f ca="1">IF(OFFSET('IWP04'!Std8dot3IssuesConcerns, 5, 2, 1, 1) = 0, "", OFFSET('IWP04'!Std8dot3IssuesConcerns, 5, 2, 1, 1))</f>
        <v/>
      </c>
    </row>
    <row r="1987" spans="1:5" s="146" customFormat="1">
      <c r="A1987" s="193" t="s">
        <v>503</v>
      </c>
      <c r="B1987" s="195" t="s">
        <v>249</v>
      </c>
      <c r="C1987" s="195" t="str">
        <f ca="1">IF(OFFSET('IWP05'!Std8dot3IssuesConcerns, 0, 0, 1, 1) = 0, "", OFFSET('IWP05'!Std8dot3IssuesConcerns, 0, 0, 1, 1))</f>
        <v/>
      </c>
      <c r="D1987" s="172">
        <f ca="1">IF(OFFSET('IWP05'!Std8dot3IssuesConcerns, 0, 1, 1, 1)=DATE(1900,1,0), DATE(1900,1,1), OFFSET('IWP05'!Std8dot3IssuesConcerns, 0, 1, 1, 1))</f>
        <v>1</v>
      </c>
      <c r="E1987" s="194" t="str">
        <f ca="1">IF(OFFSET('IWP05'!Std8dot3IssuesConcerns, 0, 2, 1, 1) = 0, "", OFFSET('IWP05'!Std8dot3IssuesConcerns, 0, 2, 1, 1))</f>
        <v/>
      </c>
    </row>
    <row r="1988" spans="1:5" s="146" customFormat="1">
      <c r="A1988" s="193" t="s">
        <v>503</v>
      </c>
      <c r="B1988" s="195" t="s">
        <v>250</v>
      </c>
      <c r="C1988" s="195" t="str">
        <f ca="1">IF(OFFSET('IWP05'!Std8dot3IssuesConcerns, 1, 0, 1, 1) = 0, "", OFFSET('IWP05'!Std8dot3IssuesConcerns, 1, 0, 1, 1))</f>
        <v/>
      </c>
      <c r="D1988" s="172">
        <f ca="1">IF(OFFSET('IWP05'!Std8dot3IssuesConcerns, 1, 1, 1, 1)=DATE(1900,1,0), DATE(1900,1,1), OFFSET('IWP05'!Std8dot3IssuesConcerns, 1, 1, 1, 1))</f>
        <v>1</v>
      </c>
      <c r="E1988" s="194" t="str">
        <f ca="1">IF(OFFSET('IWP05'!Std8dot3IssuesConcerns, 1, 2, 1, 1) = 0, "", OFFSET('IWP05'!Std8dot3IssuesConcerns, 1, 2, 1, 1))</f>
        <v/>
      </c>
    </row>
    <row r="1989" spans="1:5" s="146" customFormat="1">
      <c r="A1989" s="193" t="s">
        <v>503</v>
      </c>
      <c r="B1989" s="195" t="s">
        <v>251</v>
      </c>
      <c r="C1989" s="195" t="str">
        <f ca="1">IF(OFFSET('IWP05'!Std8dot3IssuesConcerns, 2, 0, 1, 1) = 0, "", OFFSET('IWP05'!Std8dot3IssuesConcerns, 2, 0, 1, 1))</f>
        <v/>
      </c>
      <c r="D1989" s="172">
        <f ca="1">IF(OFFSET('IWP05'!Std8dot3IssuesConcerns, 2, 1, 1, 1)=DATE(1900,1,0), DATE(1900,1,1), OFFSET('IWP05'!Std8dot3IssuesConcerns, 2, 1, 1, 1))</f>
        <v>1</v>
      </c>
      <c r="E1989" s="194" t="str">
        <f ca="1">IF(OFFSET('IWP05'!Std8dot3IssuesConcerns, 2, 2, 1, 1) = 0, "", OFFSET('IWP05'!Std8dot3IssuesConcerns, 2, 2, 1, 1))</f>
        <v/>
      </c>
    </row>
    <row r="1990" spans="1:5" s="146" customFormat="1">
      <c r="A1990" s="193" t="s">
        <v>503</v>
      </c>
      <c r="B1990" s="195" t="s">
        <v>252</v>
      </c>
      <c r="C1990" s="195" t="str">
        <f ca="1">IF(OFFSET('IWP05'!Std8dot3IssuesConcerns, 3, 0, 1, 1) = 0, "", OFFSET('IWP05'!Std8dot3IssuesConcerns, 3, 0, 1, 1))</f>
        <v/>
      </c>
      <c r="D1990" s="172">
        <f ca="1">IF(OFFSET('IWP05'!Std8dot3IssuesConcerns, 3, 1, 1, 1)=DATE(1900,1,0), DATE(1900,1,1), OFFSET('IWP05'!Std8dot3IssuesConcerns, 3, 1, 1, 1))</f>
        <v>1</v>
      </c>
      <c r="E1990" s="194" t="str">
        <f ca="1">IF(OFFSET('IWP05'!Std8dot3IssuesConcerns, 3, 2, 1, 1) = 0, "", OFFSET('IWP05'!Std8dot3IssuesConcerns, 3, 2, 1, 1))</f>
        <v/>
      </c>
    </row>
    <row r="1991" spans="1:5" s="146" customFormat="1">
      <c r="A1991" s="193" t="s">
        <v>503</v>
      </c>
      <c r="B1991" s="195" t="s">
        <v>253</v>
      </c>
      <c r="C1991" s="195" t="str">
        <f ca="1">IF(OFFSET('IWP05'!Std8dot3IssuesConcerns, 4, 0, 1, 1) = 0, "", OFFSET('IWP05'!Std8dot3IssuesConcerns, 4, 0, 1, 1))</f>
        <v/>
      </c>
      <c r="D1991" s="172">
        <f ca="1">IF(OFFSET('IWP05'!Std8dot3IssuesConcerns, 4, 1, 1, 1)=DATE(1900,1,0), DATE(1900,1,1), OFFSET('IWP05'!Std8dot3IssuesConcerns, 4, 1, 1, 1))</f>
        <v>1</v>
      </c>
      <c r="E1991" s="194" t="str">
        <f ca="1">IF(OFFSET('IWP05'!Std8dot3IssuesConcerns, 4, 2, 1, 1) = 0, "", OFFSET('IWP05'!Std8dot3IssuesConcerns, 4, 2, 1, 1))</f>
        <v/>
      </c>
    </row>
    <row r="1992" spans="1:5" s="146" customFormat="1">
      <c r="A1992" s="193" t="s">
        <v>503</v>
      </c>
      <c r="B1992" s="195" t="s">
        <v>254</v>
      </c>
      <c r="C1992" s="195" t="str">
        <f ca="1">IF(OFFSET('IWP05'!Std8dot3IssuesConcerns, 5, 0, 1, 1) = 0, "", OFFSET('IWP05'!Std8dot3IssuesConcerns, 5, 0, 1, 1))</f>
        <v/>
      </c>
      <c r="D1992" s="172">
        <f ca="1">IF(OFFSET('IWP05'!Std8dot3IssuesConcerns, 5, 1, 1, 1)=DATE(1900,1,0), DATE(1900,1,1), OFFSET('IWP05'!Std8dot3IssuesConcerns, 5, 1, 1, 1))</f>
        <v>1</v>
      </c>
      <c r="E1992" s="194" t="str">
        <f ca="1">IF(OFFSET('IWP05'!Std8dot3IssuesConcerns, 5, 2, 1, 1) = 0, "", OFFSET('IWP05'!Std8dot3IssuesConcerns, 5, 2, 1, 1))</f>
        <v/>
      </c>
    </row>
    <row r="1993" spans="1:5" s="146" customFormat="1">
      <c r="A1993" s="193" t="s">
        <v>504</v>
      </c>
      <c r="B1993" s="195" t="s">
        <v>249</v>
      </c>
      <c r="C1993" s="195" t="str">
        <f ca="1">IF(OFFSET('IWP06'!Std8dot3IssuesConcerns, 0, 0, 1, 1) = 0, "", OFFSET('IWP06'!Std8dot3IssuesConcerns, 0, 0, 1, 1))</f>
        <v/>
      </c>
      <c r="D1993" s="172">
        <f ca="1">IF(OFFSET('IWP06'!Std8dot3IssuesConcerns, 0, 1, 1, 1)=DATE(1900,1,0), DATE(1900,1,1), OFFSET('IWP06'!Std8dot3IssuesConcerns, 0, 1, 1, 1))</f>
        <v>1</v>
      </c>
      <c r="E1993" s="194" t="str">
        <f ca="1">IF(OFFSET('IWP06'!Std8dot3IssuesConcerns, 0, 2, 1, 1) = 0, "", OFFSET('IWP06'!Std8dot3IssuesConcerns, 0, 2, 1, 1))</f>
        <v/>
      </c>
    </row>
    <row r="1994" spans="1:5" s="146" customFormat="1">
      <c r="A1994" s="193" t="s">
        <v>504</v>
      </c>
      <c r="B1994" s="195" t="s">
        <v>250</v>
      </c>
      <c r="C1994" s="195" t="str">
        <f ca="1">IF(OFFSET('IWP06'!Std8dot3IssuesConcerns, 1, 0, 1, 1) = 0, "", OFFSET('IWP06'!Std8dot3IssuesConcerns, 1, 0, 1, 1))</f>
        <v/>
      </c>
      <c r="D1994" s="172">
        <f ca="1">IF(OFFSET('IWP06'!Std8dot3IssuesConcerns, 1, 1, 1, 1)=DATE(1900,1,0), DATE(1900,1,1), OFFSET('IWP06'!Std8dot3IssuesConcerns, 1, 1, 1, 1))</f>
        <v>1</v>
      </c>
      <c r="E1994" s="194" t="str">
        <f ca="1">IF(OFFSET('IWP06'!Std8dot3IssuesConcerns, 1, 2, 1, 1) = 0, "", OFFSET('IWP06'!Std8dot3IssuesConcerns, 1, 2, 1, 1))</f>
        <v/>
      </c>
    </row>
    <row r="1995" spans="1:5" s="146" customFormat="1">
      <c r="A1995" s="193" t="s">
        <v>504</v>
      </c>
      <c r="B1995" s="195" t="s">
        <v>251</v>
      </c>
      <c r="C1995" s="195" t="str">
        <f ca="1">IF(OFFSET('IWP06'!Std8dot3IssuesConcerns, 2, 0, 1, 1) = 0, "", OFFSET('IWP06'!Std8dot3IssuesConcerns, 2, 0, 1, 1))</f>
        <v/>
      </c>
      <c r="D1995" s="172">
        <f ca="1">IF(OFFSET('IWP06'!Std8dot3IssuesConcerns, 2, 1, 1, 1)=DATE(1900,1,0), DATE(1900,1,1), OFFSET('IWP06'!Std8dot3IssuesConcerns, 2, 1, 1, 1))</f>
        <v>1</v>
      </c>
      <c r="E1995" s="194" t="str">
        <f ca="1">IF(OFFSET('IWP06'!Std8dot3IssuesConcerns, 2, 2, 1, 1) = 0, "", OFFSET('IWP06'!Std8dot3IssuesConcerns, 2, 2, 1, 1))</f>
        <v/>
      </c>
    </row>
    <row r="1996" spans="1:5" s="146" customFormat="1">
      <c r="A1996" s="193" t="s">
        <v>504</v>
      </c>
      <c r="B1996" s="195" t="s">
        <v>252</v>
      </c>
      <c r="C1996" s="195" t="str">
        <f ca="1">IF(OFFSET('IWP06'!Std8dot3IssuesConcerns, 3, 0, 1, 1) = 0, "", OFFSET('IWP06'!Std8dot3IssuesConcerns, 3, 0, 1, 1))</f>
        <v/>
      </c>
      <c r="D1996" s="172">
        <f ca="1">IF(OFFSET('IWP06'!Std8dot3IssuesConcerns, 3, 1, 1, 1)=DATE(1900,1,0), DATE(1900,1,1), OFFSET('IWP06'!Std8dot3IssuesConcerns, 3, 1, 1, 1))</f>
        <v>1</v>
      </c>
      <c r="E1996" s="194" t="str">
        <f ca="1">IF(OFFSET('IWP06'!Std8dot3IssuesConcerns, 3, 2, 1, 1) = 0, "", OFFSET('IWP06'!Std8dot3IssuesConcerns, 3, 2, 1, 1))</f>
        <v/>
      </c>
    </row>
    <row r="1997" spans="1:5" s="146" customFormat="1">
      <c r="A1997" s="193" t="s">
        <v>504</v>
      </c>
      <c r="B1997" s="195" t="s">
        <v>253</v>
      </c>
      <c r="C1997" s="195" t="str">
        <f ca="1">IF(OFFSET('IWP06'!Std8dot3IssuesConcerns, 4, 0, 1, 1) = 0, "", OFFSET('IWP06'!Std8dot3IssuesConcerns, 4, 0, 1, 1))</f>
        <v/>
      </c>
      <c r="D1997" s="172">
        <f ca="1">IF(OFFSET('IWP06'!Std8dot3IssuesConcerns, 4, 1, 1, 1)=DATE(1900,1,0), DATE(1900,1,1), OFFSET('IWP06'!Std8dot3IssuesConcerns, 4, 1, 1, 1))</f>
        <v>1</v>
      </c>
      <c r="E1997" s="194" t="str">
        <f ca="1">IF(OFFSET('IWP06'!Std8dot3IssuesConcerns, 4, 2, 1, 1) = 0, "", OFFSET('IWP06'!Std8dot3IssuesConcerns, 4, 2, 1, 1))</f>
        <v/>
      </c>
    </row>
    <row r="1998" spans="1:5" s="146" customFormat="1">
      <c r="A1998" s="193" t="s">
        <v>504</v>
      </c>
      <c r="B1998" s="195" t="s">
        <v>254</v>
      </c>
      <c r="C1998" s="195" t="str">
        <f ca="1">IF(OFFSET('IWP06'!Std8dot3IssuesConcerns, 5, 0, 1, 1) = 0, "", OFFSET('IWP06'!Std8dot3IssuesConcerns, 5, 0, 1, 1))</f>
        <v/>
      </c>
      <c r="D1998" s="172">
        <f ca="1">IF(OFFSET('IWP06'!Std8dot3IssuesConcerns, 5, 1, 1, 1)=DATE(1900,1,0), DATE(1900,1,1), OFFSET('IWP06'!Std8dot3IssuesConcerns, 5, 1, 1, 1))</f>
        <v>1</v>
      </c>
      <c r="E1998" s="194" t="str">
        <f ca="1">IF(OFFSET('IWP06'!Std8dot3IssuesConcerns, 5, 2, 1, 1) = 0, "", OFFSET('IWP06'!Std8dot3IssuesConcerns, 5, 2, 1, 1))</f>
        <v/>
      </c>
    </row>
    <row r="1999" spans="1:5" s="146" customFormat="1">
      <c r="A1999" s="193" t="s">
        <v>505</v>
      </c>
      <c r="B1999" s="195" t="s">
        <v>249</v>
      </c>
      <c r="C1999" s="195" t="str">
        <f ca="1">IF(OFFSET('IWP07'!Std8dot3IssuesConcerns, 0, 0, 1, 1) = 0, "", OFFSET('IWP07'!Std8dot3IssuesConcerns, 0, 0, 1, 1))</f>
        <v/>
      </c>
      <c r="D1999" s="172">
        <f ca="1">IF(OFFSET('IWP07'!Std8dot3IssuesConcerns, 0, 1, 1, 1)=DATE(1900,1,0), DATE(1900,1,1), OFFSET('IWP07'!Std8dot3IssuesConcerns, 0, 1, 1, 1))</f>
        <v>1</v>
      </c>
      <c r="E1999" s="194" t="str">
        <f ca="1">IF(OFFSET('IWP07'!Std8dot3IssuesConcerns, 0, 2, 1, 1) = 0, "", OFFSET('IWP07'!Std8dot3IssuesConcerns, 0, 2, 1, 1))</f>
        <v/>
      </c>
    </row>
    <row r="2000" spans="1:5" s="146" customFormat="1">
      <c r="A2000" s="193" t="s">
        <v>505</v>
      </c>
      <c r="B2000" s="195" t="s">
        <v>250</v>
      </c>
      <c r="C2000" s="195" t="str">
        <f ca="1">IF(OFFSET('IWP07'!Std8dot3IssuesConcerns, 1, 0, 1, 1) = 0, "", OFFSET('IWP07'!Std8dot3IssuesConcerns, 1, 0, 1, 1))</f>
        <v/>
      </c>
      <c r="D2000" s="172">
        <f ca="1">IF(OFFSET('IWP07'!Std8dot3IssuesConcerns, 1, 1, 1, 1)=DATE(1900,1,0), DATE(1900,1,1), OFFSET('IWP07'!Std8dot3IssuesConcerns, 1, 1, 1, 1))</f>
        <v>1</v>
      </c>
      <c r="E2000" s="194" t="str">
        <f ca="1">IF(OFFSET('IWP07'!Std8dot3IssuesConcerns, 1, 2, 1, 1) = 0, "", OFFSET('IWP07'!Std8dot3IssuesConcerns, 1, 2, 1, 1))</f>
        <v/>
      </c>
    </row>
    <row r="2001" spans="1:5" s="146" customFormat="1">
      <c r="A2001" s="193" t="s">
        <v>505</v>
      </c>
      <c r="B2001" s="195" t="s">
        <v>251</v>
      </c>
      <c r="C2001" s="195" t="str">
        <f ca="1">IF(OFFSET('IWP07'!Std8dot3IssuesConcerns, 2, 0, 1, 1) = 0, "", OFFSET('IWP07'!Std8dot3IssuesConcerns, 2, 0, 1, 1))</f>
        <v/>
      </c>
      <c r="D2001" s="172">
        <f ca="1">IF(OFFSET('IWP07'!Std8dot3IssuesConcerns, 2, 1, 1, 1)=DATE(1900,1,0), DATE(1900,1,1), OFFSET('IWP07'!Std8dot3IssuesConcerns, 2, 1, 1, 1))</f>
        <v>1</v>
      </c>
      <c r="E2001" s="194" t="str">
        <f ca="1">IF(OFFSET('IWP07'!Std8dot3IssuesConcerns, 2, 2, 1, 1) = 0, "", OFFSET('IWP07'!Std8dot3IssuesConcerns, 2, 2, 1, 1))</f>
        <v/>
      </c>
    </row>
    <row r="2002" spans="1:5" s="146" customFormat="1">
      <c r="A2002" s="193" t="s">
        <v>505</v>
      </c>
      <c r="B2002" s="195" t="s">
        <v>252</v>
      </c>
      <c r="C2002" s="195" t="str">
        <f ca="1">IF(OFFSET('IWP07'!Std8dot3IssuesConcerns, 3, 0, 1, 1) = 0, "", OFFSET('IWP07'!Std8dot3IssuesConcerns, 3, 0, 1, 1))</f>
        <v/>
      </c>
      <c r="D2002" s="172">
        <f ca="1">IF(OFFSET('IWP07'!Std8dot3IssuesConcerns, 3, 1, 1, 1)=DATE(1900,1,0), DATE(1900,1,1), OFFSET('IWP07'!Std8dot3IssuesConcerns, 3, 1, 1, 1))</f>
        <v>1</v>
      </c>
      <c r="E2002" s="194" t="str">
        <f ca="1">IF(OFFSET('IWP07'!Std8dot3IssuesConcerns, 3, 2, 1, 1) = 0, "", OFFSET('IWP07'!Std8dot3IssuesConcerns, 3, 2, 1, 1))</f>
        <v/>
      </c>
    </row>
    <row r="2003" spans="1:5" s="146" customFormat="1">
      <c r="A2003" s="193" t="s">
        <v>505</v>
      </c>
      <c r="B2003" s="195" t="s">
        <v>253</v>
      </c>
      <c r="C2003" s="195" t="str">
        <f ca="1">IF(OFFSET('IWP07'!Std8dot3IssuesConcerns, 4, 0, 1, 1) = 0, "", OFFSET('IWP07'!Std8dot3IssuesConcerns, 4, 0, 1, 1))</f>
        <v/>
      </c>
      <c r="D2003" s="172">
        <f ca="1">IF(OFFSET('IWP07'!Std8dot3IssuesConcerns, 4, 1, 1, 1)=DATE(1900,1,0), DATE(1900,1,1), OFFSET('IWP07'!Std8dot3IssuesConcerns, 4, 1, 1, 1))</f>
        <v>1</v>
      </c>
      <c r="E2003" s="194" t="str">
        <f ca="1">IF(OFFSET('IWP07'!Std8dot3IssuesConcerns, 4, 2, 1, 1) = 0, "", OFFSET('IWP07'!Std8dot3IssuesConcerns, 4, 2, 1, 1))</f>
        <v/>
      </c>
    </row>
    <row r="2004" spans="1:5" s="146" customFormat="1">
      <c r="A2004" s="193" t="s">
        <v>505</v>
      </c>
      <c r="B2004" s="195" t="s">
        <v>254</v>
      </c>
      <c r="C2004" s="195" t="str">
        <f ca="1">IF(OFFSET('IWP07'!Std8dot3IssuesConcerns, 5, 0, 1, 1) = 0, "", OFFSET('IWP07'!Std8dot3IssuesConcerns, 5, 0, 1, 1))</f>
        <v/>
      </c>
      <c r="D2004" s="172">
        <f ca="1">IF(OFFSET('IWP07'!Std8dot3IssuesConcerns, 5, 1, 1, 1)=DATE(1900,1,0), DATE(1900,1,1), OFFSET('IWP07'!Std8dot3IssuesConcerns, 5, 1, 1, 1))</f>
        <v>1</v>
      </c>
      <c r="E2004" s="194" t="str">
        <f ca="1">IF(OFFSET('IWP07'!Std8dot3IssuesConcerns, 5, 2, 1, 1) = 0, "", OFFSET('IWP07'!Std8dot3IssuesConcerns, 5, 2, 1, 1))</f>
        <v/>
      </c>
    </row>
    <row r="2005" spans="1:5" s="146" customFormat="1">
      <c r="A2005" s="193" t="s">
        <v>506</v>
      </c>
      <c r="B2005" s="195" t="s">
        <v>249</v>
      </c>
      <c r="C2005" s="195" t="str">
        <f ca="1">IF(OFFSET('IWP08'!Std8dot3IssuesConcerns, 0, 0, 1, 1) = 0, "", OFFSET('IWP08'!Std8dot3IssuesConcerns, 0, 0, 1, 1))</f>
        <v/>
      </c>
      <c r="D2005" s="172">
        <f ca="1">IF(OFFSET('IWP08'!Std8dot3IssuesConcerns, 0, 1, 1, 1)=DATE(1900,1,0), DATE(1900,1,1), OFFSET('IWP08'!Std8dot3IssuesConcerns, 0, 1, 1, 1))</f>
        <v>1</v>
      </c>
      <c r="E2005" s="194" t="str">
        <f ca="1">IF(OFFSET('IWP08'!Std8dot3IssuesConcerns, 0, 2, 1, 1) = 0, "", OFFSET('IWP08'!Std8dot3IssuesConcerns, 0, 2, 1, 1))</f>
        <v/>
      </c>
    </row>
    <row r="2006" spans="1:5" s="146" customFormat="1">
      <c r="A2006" s="193" t="s">
        <v>506</v>
      </c>
      <c r="B2006" s="195" t="s">
        <v>250</v>
      </c>
      <c r="C2006" s="195" t="str">
        <f ca="1">IF(OFFSET('IWP08'!Std8dot3IssuesConcerns, 1, 0, 1, 1) = 0, "", OFFSET('IWP08'!Std8dot3IssuesConcerns, 1, 0, 1, 1))</f>
        <v/>
      </c>
      <c r="D2006" s="172">
        <f ca="1">IF(OFFSET('IWP08'!Std8dot3IssuesConcerns, 1, 1, 1, 1)=DATE(1900,1,0), DATE(1900,1,1), OFFSET('IWP08'!Std8dot3IssuesConcerns, 1, 1, 1, 1))</f>
        <v>1</v>
      </c>
      <c r="E2006" s="194" t="str">
        <f ca="1">IF(OFFSET('IWP08'!Std8dot3IssuesConcerns, 1, 2, 1, 1) = 0, "", OFFSET('IWP08'!Std8dot3IssuesConcerns, 1, 2, 1, 1))</f>
        <v/>
      </c>
    </row>
    <row r="2007" spans="1:5" s="146" customFormat="1">
      <c r="A2007" s="193" t="s">
        <v>506</v>
      </c>
      <c r="B2007" s="195" t="s">
        <v>251</v>
      </c>
      <c r="C2007" s="195" t="str">
        <f ca="1">IF(OFFSET('IWP08'!Std8dot3IssuesConcerns, 2, 0, 1, 1) = 0, "", OFFSET('IWP08'!Std8dot3IssuesConcerns, 2, 0, 1, 1))</f>
        <v/>
      </c>
      <c r="D2007" s="172">
        <f ca="1">IF(OFFSET('IWP08'!Std8dot3IssuesConcerns, 2, 1, 1, 1)=DATE(1900,1,0), DATE(1900,1,1), OFFSET('IWP08'!Std8dot3IssuesConcerns, 2, 1, 1, 1))</f>
        <v>1</v>
      </c>
      <c r="E2007" s="194" t="str">
        <f ca="1">IF(OFFSET('IWP08'!Std8dot3IssuesConcerns, 2, 2, 1, 1) = 0, "", OFFSET('IWP08'!Std8dot3IssuesConcerns, 2, 2, 1, 1))</f>
        <v/>
      </c>
    </row>
    <row r="2008" spans="1:5" s="146" customFormat="1">
      <c r="A2008" s="193" t="s">
        <v>506</v>
      </c>
      <c r="B2008" s="195" t="s">
        <v>252</v>
      </c>
      <c r="C2008" s="195" t="str">
        <f ca="1">IF(OFFSET('IWP08'!Std8dot3IssuesConcerns, 3, 0, 1, 1) = 0, "", OFFSET('IWP08'!Std8dot3IssuesConcerns, 3, 0, 1, 1))</f>
        <v/>
      </c>
      <c r="D2008" s="172">
        <f ca="1">IF(OFFSET('IWP08'!Std8dot3IssuesConcerns, 3, 1, 1, 1)=DATE(1900,1,0), DATE(1900,1,1), OFFSET('IWP08'!Std8dot3IssuesConcerns, 3, 1, 1, 1))</f>
        <v>1</v>
      </c>
      <c r="E2008" s="194" t="str">
        <f ca="1">IF(OFFSET('IWP08'!Std8dot3IssuesConcerns, 3, 2, 1, 1) = 0, "", OFFSET('IWP08'!Std8dot3IssuesConcerns, 3, 2, 1, 1))</f>
        <v/>
      </c>
    </row>
    <row r="2009" spans="1:5" s="146" customFormat="1">
      <c r="A2009" s="193" t="s">
        <v>506</v>
      </c>
      <c r="B2009" s="195" t="s">
        <v>253</v>
      </c>
      <c r="C2009" s="195" t="str">
        <f ca="1">IF(OFFSET('IWP08'!Std8dot3IssuesConcerns, 4, 0, 1, 1) = 0, "", OFFSET('IWP08'!Std8dot3IssuesConcerns, 4, 0, 1, 1))</f>
        <v/>
      </c>
      <c r="D2009" s="172">
        <f ca="1">IF(OFFSET('IWP08'!Std8dot3IssuesConcerns, 4, 1, 1, 1)=DATE(1900,1,0), DATE(1900,1,1), OFFSET('IWP08'!Std8dot3IssuesConcerns, 4, 1, 1, 1))</f>
        <v>1</v>
      </c>
      <c r="E2009" s="194" t="str">
        <f ca="1">IF(OFFSET('IWP08'!Std8dot3IssuesConcerns, 4, 2, 1, 1) = 0, "", OFFSET('IWP08'!Std8dot3IssuesConcerns, 4, 2, 1, 1))</f>
        <v/>
      </c>
    </row>
    <row r="2010" spans="1:5" s="146" customFormat="1">
      <c r="A2010" s="193" t="s">
        <v>506</v>
      </c>
      <c r="B2010" s="195" t="s">
        <v>254</v>
      </c>
      <c r="C2010" s="195" t="str">
        <f ca="1">IF(OFFSET('IWP08'!Std8dot3IssuesConcerns, 5, 0, 1, 1) = 0, "", OFFSET('IWP08'!Std8dot3IssuesConcerns, 5, 0, 1, 1))</f>
        <v/>
      </c>
      <c r="D2010" s="172">
        <f ca="1">IF(OFFSET('IWP08'!Std8dot3IssuesConcerns, 5, 1, 1, 1)=DATE(1900,1,0), DATE(1900,1,1), OFFSET('IWP08'!Std8dot3IssuesConcerns, 5, 1, 1, 1))</f>
        <v>1</v>
      </c>
      <c r="E2010" s="194" t="str">
        <f ca="1">IF(OFFSET('IWP08'!Std8dot3IssuesConcerns, 5, 2, 1, 1) = 0, "", OFFSET('IWP08'!Std8dot3IssuesConcerns, 5, 2, 1, 1))</f>
        <v/>
      </c>
    </row>
    <row r="2011" spans="1:5" s="146" customFormat="1">
      <c r="A2011" s="193" t="s">
        <v>507</v>
      </c>
      <c r="B2011" s="195" t="s">
        <v>249</v>
      </c>
      <c r="C2011" s="195" t="str">
        <f ca="1">IF(OFFSET('IWP09'!Std8dot3IssuesConcerns, 0, 0, 1, 1) = 0, "", OFFSET('IWP09'!Std8dot3IssuesConcerns, 0, 0, 1, 1))</f>
        <v/>
      </c>
      <c r="D2011" s="172">
        <f ca="1">IF(OFFSET('IWP09'!Std8dot3IssuesConcerns, 0, 1, 1, 1)=DATE(1900,1,0), DATE(1900,1,1), OFFSET('IWP09'!Std8dot3IssuesConcerns, 0, 1, 1, 1))</f>
        <v>1</v>
      </c>
      <c r="E2011" s="194" t="str">
        <f ca="1">IF(OFFSET('IWP09'!Std8dot3IssuesConcerns, 0, 2, 1, 1) = 0, "", OFFSET('IWP09'!Std8dot3IssuesConcerns, 0, 2, 1, 1))</f>
        <v/>
      </c>
    </row>
    <row r="2012" spans="1:5" s="146" customFormat="1">
      <c r="A2012" s="193" t="s">
        <v>507</v>
      </c>
      <c r="B2012" s="195" t="s">
        <v>250</v>
      </c>
      <c r="C2012" s="195" t="str">
        <f ca="1">IF(OFFSET('IWP09'!Std8dot3IssuesConcerns, 1, 0, 1, 1) = 0, "", OFFSET('IWP09'!Std8dot3IssuesConcerns, 1, 0, 1, 1))</f>
        <v/>
      </c>
      <c r="D2012" s="172">
        <f ca="1">IF(OFFSET('IWP09'!Std8dot3IssuesConcerns, 1, 1, 1, 1)=DATE(1900,1,0), DATE(1900,1,1), OFFSET('IWP09'!Std8dot3IssuesConcerns, 1, 1, 1, 1))</f>
        <v>1</v>
      </c>
      <c r="E2012" s="194" t="str">
        <f ca="1">IF(OFFSET('IWP09'!Std8dot3IssuesConcerns, 1, 2, 1, 1) = 0, "", OFFSET('IWP09'!Std8dot3IssuesConcerns, 1, 2, 1, 1))</f>
        <v/>
      </c>
    </row>
    <row r="2013" spans="1:5" s="146" customFormat="1">
      <c r="A2013" s="193" t="s">
        <v>507</v>
      </c>
      <c r="B2013" s="195" t="s">
        <v>251</v>
      </c>
      <c r="C2013" s="195" t="str">
        <f ca="1">IF(OFFSET('IWP09'!Std8dot3IssuesConcerns, 2, 0, 1, 1) = 0, "", OFFSET('IWP09'!Std8dot3IssuesConcerns, 2, 0, 1, 1))</f>
        <v/>
      </c>
      <c r="D2013" s="172">
        <f ca="1">IF(OFFSET('IWP09'!Std8dot3IssuesConcerns, 2, 1, 1, 1)=DATE(1900,1,0), DATE(1900,1,1), OFFSET('IWP09'!Std8dot3IssuesConcerns, 2, 1, 1, 1))</f>
        <v>1</v>
      </c>
      <c r="E2013" s="194" t="str">
        <f ca="1">IF(OFFSET('IWP09'!Std8dot3IssuesConcerns, 2, 2, 1, 1) = 0, "", OFFSET('IWP09'!Std8dot3IssuesConcerns, 2, 2, 1, 1))</f>
        <v/>
      </c>
    </row>
    <row r="2014" spans="1:5" s="146" customFormat="1">
      <c r="A2014" s="193" t="s">
        <v>507</v>
      </c>
      <c r="B2014" s="195" t="s">
        <v>252</v>
      </c>
      <c r="C2014" s="195" t="str">
        <f ca="1">IF(OFFSET('IWP09'!Std8dot3IssuesConcerns, 3, 0, 1, 1) = 0, "", OFFSET('IWP09'!Std8dot3IssuesConcerns, 3, 0, 1, 1))</f>
        <v/>
      </c>
      <c r="D2014" s="172">
        <f ca="1">IF(OFFSET('IWP09'!Std8dot3IssuesConcerns, 3, 1, 1, 1)=DATE(1900,1,0), DATE(1900,1,1), OFFSET('IWP09'!Std8dot3IssuesConcerns, 3, 1, 1, 1))</f>
        <v>1</v>
      </c>
      <c r="E2014" s="194" t="str">
        <f ca="1">IF(OFFSET('IWP09'!Std8dot3IssuesConcerns, 3, 2, 1, 1) = 0, "", OFFSET('IWP09'!Std8dot3IssuesConcerns, 3, 2, 1, 1))</f>
        <v/>
      </c>
    </row>
    <row r="2015" spans="1:5" s="146" customFormat="1">
      <c r="A2015" s="193" t="s">
        <v>507</v>
      </c>
      <c r="B2015" s="195" t="s">
        <v>253</v>
      </c>
      <c r="C2015" s="195" t="str">
        <f ca="1">IF(OFFSET('IWP09'!Std8dot3IssuesConcerns, 4, 0, 1, 1) = 0, "", OFFSET('IWP09'!Std8dot3IssuesConcerns, 4, 0, 1, 1))</f>
        <v/>
      </c>
      <c r="D2015" s="172">
        <f ca="1">IF(OFFSET('IWP09'!Std8dot3IssuesConcerns, 4, 1, 1, 1)=DATE(1900,1,0), DATE(1900,1,1), OFFSET('IWP09'!Std8dot3IssuesConcerns, 4, 1, 1, 1))</f>
        <v>1</v>
      </c>
      <c r="E2015" s="194" t="str">
        <f ca="1">IF(OFFSET('IWP09'!Std8dot3IssuesConcerns, 4, 2, 1, 1) = 0, "", OFFSET('IWP09'!Std8dot3IssuesConcerns, 4, 2, 1, 1))</f>
        <v/>
      </c>
    </row>
    <row r="2016" spans="1:5" s="146" customFormat="1">
      <c r="A2016" s="193" t="s">
        <v>507</v>
      </c>
      <c r="B2016" s="195" t="s">
        <v>254</v>
      </c>
      <c r="C2016" s="195" t="str">
        <f ca="1">IF(OFFSET('IWP09'!Std8dot3IssuesConcerns, 5, 0, 1, 1) = 0, "", OFFSET('IWP09'!Std8dot3IssuesConcerns, 5, 0, 1, 1))</f>
        <v/>
      </c>
      <c r="D2016" s="172">
        <f ca="1">IF(OFFSET('IWP09'!Std8dot3IssuesConcerns, 5, 1, 1, 1)=DATE(1900,1,0), DATE(1900,1,1), OFFSET('IWP09'!Std8dot3IssuesConcerns, 5, 1, 1, 1))</f>
        <v>1</v>
      </c>
      <c r="E2016" s="194" t="str">
        <f ca="1">IF(OFFSET('IWP09'!Std8dot3IssuesConcerns, 5, 2, 1, 1) = 0, "", OFFSET('IWP09'!Std8dot3IssuesConcerns, 5, 2, 1, 1))</f>
        <v/>
      </c>
    </row>
    <row r="2017" spans="1:5" s="146" customFormat="1">
      <c r="A2017" s="193" t="s">
        <v>508</v>
      </c>
      <c r="B2017" s="195" t="s">
        <v>249</v>
      </c>
      <c r="C2017" s="195" t="str">
        <f ca="1">IF(OFFSET('IWP10'!Std8dot3IssuesConcerns, 0, 0, 1, 1) = 0, "", OFFSET('IWP10'!Std8dot3IssuesConcerns, 0, 0, 1, 1))</f>
        <v/>
      </c>
      <c r="D2017" s="172">
        <f ca="1">IF(OFFSET('IWP10'!Std8dot3IssuesConcerns, 0, 1, 1, 1)=DATE(1900,1,0), DATE(1900,1,1), OFFSET('IWP10'!Std8dot3IssuesConcerns, 0, 1, 1, 1))</f>
        <v>1</v>
      </c>
      <c r="E2017" s="194" t="str">
        <f ca="1">IF(OFFSET('IWP10'!Std8dot3IssuesConcerns, 0, 2, 1, 1) = 0, "", OFFSET('IWP10'!Std8dot3IssuesConcerns, 0, 2, 1, 1))</f>
        <v/>
      </c>
    </row>
    <row r="2018" spans="1:5" s="146" customFormat="1">
      <c r="A2018" s="193" t="s">
        <v>508</v>
      </c>
      <c r="B2018" s="195" t="s">
        <v>250</v>
      </c>
      <c r="C2018" s="195" t="str">
        <f ca="1">IF(OFFSET('IWP10'!Std8dot3IssuesConcerns, 1, 0, 1, 1) = 0, "", OFFSET('IWP10'!Std8dot3IssuesConcerns, 1, 0, 1, 1))</f>
        <v/>
      </c>
      <c r="D2018" s="172">
        <f ca="1">IF(OFFSET('IWP10'!Std8dot3IssuesConcerns, 1, 1, 1, 1)=DATE(1900,1,0), DATE(1900,1,1), OFFSET('IWP10'!Std8dot3IssuesConcerns, 1, 1, 1, 1))</f>
        <v>1</v>
      </c>
      <c r="E2018" s="194" t="str">
        <f ca="1">IF(OFFSET('IWP10'!Std8dot3IssuesConcerns, 1, 2, 1, 1) = 0, "", OFFSET('IWP10'!Std8dot3IssuesConcerns, 1, 2, 1, 1))</f>
        <v/>
      </c>
    </row>
    <row r="2019" spans="1:5" s="146" customFormat="1">
      <c r="A2019" s="193" t="s">
        <v>508</v>
      </c>
      <c r="B2019" s="195" t="s">
        <v>251</v>
      </c>
      <c r="C2019" s="195" t="str">
        <f ca="1">IF(OFFSET('IWP10'!Std8dot3IssuesConcerns, 2, 0, 1, 1) = 0, "", OFFSET('IWP10'!Std8dot3IssuesConcerns, 2, 0, 1, 1))</f>
        <v/>
      </c>
      <c r="D2019" s="172">
        <f ca="1">IF(OFFSET('IWP10'!Std8dot3IssuesConcerns, 2, 1, 1, 1)=DATE(1900,1,0), DATE(1900,1,1), OFFSET('IWP10'!Std8dot3IssuesConcerns, 2, 1, 1, 1))</f>
        <v>1</v>
      </c>
      <c r="E2019" s="194" t="str">
        <f ca="1">IF(OFFSET('IWP10'!Std8dot3IssuesConcerns, 2, 2, 1, 1) = 0, "", OFFSET('IWP10'!Std8dot3IssuesConcerns, 2, 2, 1, 1))</f>
        <v/>
      </c>
    </row>
    <row r="2020" spans="1:5" s="146" customFormat="1">
      <c r="A2020" s="193" t="s">
        <v>508</v>
      </c>
      <c r="B2020" s="195" t="s">
        <v>252</v>
      </c>
      <c r="C2020" s="195" t="str">
        <f ca="1">IF(OFFSET('IWP10'!Std8dot3IssuesConcerns, 3, 0, 1, 1) = 0, "", OFFSET('IWP10'!Std8dot3IssuesConcerns, 3, 0, 1, 1))</f>
        <v/>
      </c>
      <c r="D2020" s="172">
        <f ca="1">IF(OFFSET('IWP10'!Std8dot3IssuesConcerns, 3, 1, 1, 1)=DATE(1900,1,0), DATE(1900,1,1), OFFSET('IWP10'!Std8dot3IssuesConcerns, 3, 1, 1, 1))</f>
        <v>1</v>
      </c>
      <c r="E2020" s="194" t="str">
        <f ca="1">IF(OFFSET('IWP10'!Std8dot3IssuesConcerns, 3, 2, 1, 1) = 0, "", OFFSET('IWP10'!Std8dot3IssuesConcerns, 3, 2, 1, 1))</f>
        <v/>
      </c>
    </row>
    <row r="2021" spans="1:5" s="146" customFormat="1">
      <c r="A2021" s="193" t="s">
        <v>508</v>
      </c>
      <c r="B2021" s="195" t="s">
        <v>253</v>
      </c>
      <c r="C2021" s="195" t="str">
        <f ca="1">IF(OFFSET('IWP10'!Std8dot3IssuesConcerns, 4, 0, 1, 1) = 0, "", OFFSET('IWP10'!Std8dot3IssuesConcerns, 4, 0, 1, 1))</f>
        <v/>
      </c>
      <c r="D2021" s="172">
        <f ca="1">IF(OFFSET('IWP10'!Std8dot3IssuesConcerns, 4, 1, 1, 1)=DATE(1900,1,0), DATE(1900,1,1), OFFSET('IWP10'!Std8dot3IssuesConcerns, 4, 1, 1, 1))</f>
        <v>1</v>
      </c>
      <c r="E2021" s="194" t="str">
        <f ca="1">IF(OFFSET('IWP10'!Std8dot3IssuesConcerns, 4, 2, 1, 1) = 0, "", OFFSET('IWP10'!Std8dot3IssuesConcerns, 4, 2, 1, 1))</f>
        <v/>
      </c>
    </row>
    <row r="2022" spans="1:5" s="146" customFormat="1">
      <c r="A2022" s="193" t="s">
        <v>508</v>
      </c>
      <c r="B2022" s="195" t="s">
        <v>254</v>
      </c>
      <c r="C2022" s="195" t="str">
        <f ca="1">IF(OFFSET('IWP10'!Std8dot3IssuesConcerns, 5, 0, 1, 1) = 0, "", OFFSET('IWP10'!Std8dot3IssuesConcerns, 5, 0, 1, 1))</f>
        <v/>
      </c>
      <c r="D2022" s="172">
        <f ca="1">IF(OFFSET('IWP10'!Std8dot3IssuesConcerns, 5, 1, 1, 1)=DATE(1900,1,0), DATE(1900,1,1), OFFSET('IWP10'!Std8dot3IssuesConcerns, 5, 1, 1, 1))</f>
        <v>1</v>
      </c>
      <c r="E2022" s="194" t="str">
        <f ca="1">IF(OFFSET('IWP10'!Std8dot3IssuesConcerns, 5, 2, 1, 1) = 0, "", OFFSET('IWP10'!Std8dot3IssuesConcerns, 5, 2, 1, 1))</f>
        <v/>
      </c>
    </row>
    <row r="2023" spans="1:5" s="146" customFormat="1">
      <c r="A2023" s="193" t="s">
        <v>509</v>
      </c>
      <c r="B2023" s="195" t="s">
        <v>249</v>
      </c>
      <c r="C2023" s="195" t="str">
        <f ca="1">IF(OFFSET('IWP11'!Std8dot3IssuesConcerns, 0, 0, 1, 1) = 0, "", OFFSET('IWP11'!Std8dot3IssuesConcerns, 0, 0, 1, 1))</f>
        <v/>
      </c>
      <c r="D2023" s="172">
        <f ca="1">IF(OFFSET('IWP11'!Std8dot3IssuesConcerns, 0, 1, 1, 1)=DATE(1900,1,0), DATE(1900,1,1), OFFSET('IWP11'!Std8dot3IssuesConcerns, 0, 1, 1, 1))</f>
        <v>1</v>
      </c>
      <c r="E2023" s="194" t="str">
        <f ca="1">IF(OFFSET('IWP11'!Std8dot3IssuesConcerns, 0, 2, 1, 1) = 0, "", OFFSET('IWP11'!Std8dot3IssuesConcerns, 0, 2, 1, 1))</f>
        <v/>
      </c>
    </row>
    <row r="2024" spans="1:5" s="146" customFormat="1">
      <c r="A2024" s="193" t="s">
        <v>509</v>
      </c>
      <c r="B2024" s="195" t="s">
        <v>250</v>
      </c>
      <c r="C2024" s="195" t="str">
        <f ca="1">IF(OFFSET('IWP11'!Std8dot3IssuesConcerns, 1, 0, 1, 1) = 0, "", OFFSET('IWP11'!Std8dot3IssuesConcerns, 1, 0, 1, 1))</f>
        <v/>
      </c>
      <c r="D2024" s="172">
        <f ca="1">IF(OFFSET('IWP11'!Std8dot3IssuesConcerns, 1, 1, 1, 1)=DATE(1900,1,0), DATE(1900,1,1), OFFSET('IWP11'!Std8dot3IssuesConcerns, 1, 1, 1, 1))</f>
        <v>1</v>
      </c>
      <c r="E2024" s="194" t="str">
        <f ca="1">IF(OFFSET('IWP11'!Std8dot3IssuesConcerns, 1, 2, 1, 1) = 0, "", OFFSET('IWP11'!Std8dot3IssuesConcerns, 1, 2, 1, 1))</f>
        <v/>
      </c>
    </row>
    <row r="2025" spans="1:5" s="146" customFormat="1">
      <c r="A2025" s="193" t="s">
        <v>509</v>
      </c>
      <c r="B2025" s="195" t="s">
        <v>251</v>
      </c>
      <c r="C2025" s="195" t="str">
        <f ca="1">IF(OFFSET('IWP11'!Std8dot3IssuesConcerns, 2, 0, 1, 1) = 0, "", OFFSET('IWP11'!Std8dot3IssuesConcerns, 2, 0, 1, 1))</f>
        <v/>
      </c>
      <c r="D2025" s="172">
        <f ca="1">IF(OFFSET('IWP11'!Std8dot3IssuesConcerns, 2, 1, 1, 1)=DATE(1900,1,0), DATE(1900,1,1), OFFSET('IWP11'!Std8dot3IssuesConcerns, 2, 1, 1, 1))</f>
        <v>1</v>
      </c>
      <c r="E2025" s="194" t="str">
        <f ca="1">IF(OFFSET('IWP11'!Std8dot3IssuesConcerns, 2, 2, 1, 1) = 0, "", OFFSET('IWP11'!Std8dot3IssuesConcerns, 2, 2, 1, 1))</f>
        <v/>
      </c>
    </row>
    <row r="2026" spans="1:5" s="146" customFormat="1">
      <c r="A2026" s="193" t="s">
        <v>509</v>
      </c>
      <c r="B2026" s="195" t="s">
        <v>252</v>
      </c>
      <c r="C2026" s="195" t="str">
        <f ca="1">IF(OFFSET('IWP11'!Std8dot3IssuesConcerns, 3, 0, 1, 1) = 0, "", OFFSET('IWP11'!Std8dot3IssuesConcerns, 3, 0, 1, 1))</f>
        <v/>
      </c>
      <c r="D2026" s="172">
        <f ca="1">IF(OFFSET('IWP11'!Std8dot3IssuesConcerns, 3, 1, 1, 1)=DATE(1900,1,0), DATE(1900,1,1), OFFSET('IWP11'!Std8dot3IssuesConcerns, 3, 1, 1, 1))</f>
        <v>1</v>
      </c>
      <c r="E2026" s="194" t="str">
        <f ca="1">IF(OFFSET('IWP11'!Std8dot3IssuesConcerns, 3, 2, 1, 1) = 0, "", OFFSET('IWP11'!Std8dot3IssuesConcerns, 3, 2, 1, 1))</f>
        <v/>
      </c>
    </row>
    <row r="2027" spans="1:5" s="146" customFormat="1">
      <c r="A2027" s="193" t="s">
        <v>509</v>
      </c>
      <c r="B2027" s="195" t="s">
        <v>253</v>
      </c>
      <c r="C2027" s="195" t="str">
        <f ca="1">IF(OFFSET('IWP11'!Std8dot3IssuesConcerns, 4, 0, 1, 1) = 0, "", OFFSET('IWP11'!Std8dot3IssuesConcerns, 4, 0, 1, 1))</f>
        <v/>
      </c>
      <c r="D2027" s="172">
        <f ca="1">IF(OFFSET('IWP11'!Std8dot3IssuesConcerns, 4, 1, 1, 1)=DATE(1900,1,0), DATE(1900,1,1), OFFSET('IWP11'!Std8dot3IssuesConcerns, 4, 1, 1, 1))</f>
        <v>1</v>
      </c>
      <c r="E2027" s="194" t="str">
        <f ca="1">IF(OFFSET('IWP11'!Std8dot3IssuesConcerns, 4, 2, 1, 1) = 0, "", OFFSET('IWP11'!Std8dot3IssuesConcerns, 4, 2, 1, 1))</f>
        <v/>
      </c>
    </row>
    <row r="2028" spans="1:5" s="146" customFormat="1">
      <c r="A2028" s="193" t="s">
        <v>509</v>
      </c>
      <c r="B2028" s="195" t="s">
        <v>254</v>
      </c>
      <c r="C2028" s="195" t="str">
        <f ca="1">IF(OFFSET('IWP11'!Std8dot3IssuesConcerns, 5, 0, 1, 1) = 0, "", OFFSET('IWP11'!Std8dot3IssuesConcerns, 5, 0, 1, 1))</f>
        <v/>
      </c>
      <c r="D2028" s="172">
        <f ca="1">IF(OFFSET('IWP11'!Std8dot3IssuesConcerns, 5, 1, 1, 1)=DATE(1900,1,0), DATE(1900,1,1), OFFSET('IWP11'!Std8dot3IssuesConcerns, 5, 1, 1, 1))</f>
        <v>1</v>
      </c>
      <c r="E2028" s="194" t="str">
        <f ca="1">IF(OFFSET('IWP11'!Std8dot3IssuesConcerns, 5, 2, 1, 1) = 0, "", OFFSET('IWP11'!Std8dot3IssuesConcerns, 5, 2, 1, 1))</f>
        <v/>
      </c>
    </row>
    <row r="2029" spans="1:5" s="146" customFormat="1">
      <c r="A2029" s="193" t="s">
        <v>510</v>
      </c>
      <c r="B2029" s="195" t="s">
        <v>249</v>
      </c>
      <c r="C2029" s="195" t="str">
        <f ca="1">IF(OFFSET('IWP12'!Std8dot3IssuesConcerns, 0, 0, 1, 1) = 0, "", OFFSET('IWP12'!Std8dot3IssuesConcerns, 0, 0, 1, 1))</f>
        <v/>
      </c>
      <c r="D2029" s="172">
        <f ca="1">IF(OFFSET('IWP12'!Std8dot3IssuesConcerns, 0, 1, 1, 1)=DATE(1900,1,0), DATE(1900,1,1), OFFSET('IWP12'!Std8dot3IssuesConcerns, 0, 1, 1, 1))</f>
        <v>1</v>
      </c>
      <c r="E2029" s="194" t="str">
        <f ca="1">IF(OFFSET('IWP12'!Std8dot3IssuesConcerns, 0, 2, 1, 1) = 0, "", OFFSET('IWP12'!Std8dot3IssuesConcerns, 0, 2, 1, 1))</f>
        <v/>
      </c>
    </row>
    <row r="2030" spans="1:5" s="146" customFormat="1">
      <c r="A2030" s="193" t="s">
        <v>510</v>
      </c>
      <c r="B2030" s="195" t="s">
        <v>250</v>
      </c>
      <c r="C2030" s="195" t="str">
        <f ca="1">IF(OFFSET('IWP12'!Std8dot3IssuesConcerns, 1, 0, 1, 1) = 0, "", OFFSET('IWP12'!Std8dot3IssuesConcerns, 1, 0, 1, 1))</f>
        <v/>
      </c>
      <c r="D2030" s="172">
        <f ca="1">IF(OFFSET('IWP12'!Std8dot3IssuesConcerns, 1, 1, 1, 1)=DATE(1900,1,0), DATE(1900,1,1), OFFSET('IWP12'!Std8dot3IssuesConcerns, 1, 1, 1, 1))</f>
        <v>1</v>
      </c>
      <c r="E2030" s="194" t="str">
        <f ca="1">IF(OFFSET('IWP12'!Std8dot3IssuesConcerns, 1, 2, 1, 1) = 0, "", OFFSET('IWP12'!Std8dot3IssuesConcerns, 1, 2, 1, 1))</f>
        <v/>
      </c>
    </row>
    <row r="2031" spans="1:5" s="146" customFormat="1">
      <c r="A2031" s="193" t="s">
        <v>510</v>
      </c>
      <c r="B2031" s="195" t="s">
        <v>251</v>
      </c>
      <c r="C2031" s="195" t="str">
        <f ca="1">IF(OFFSET('IWP12'!Std8dot3IssuesConcerns, 2, 0, 1, 1) = 0, "", OFFSET('IWP12'!Std8dot3IssuesConcerns, 2, 0, 1, 1))</f>
        <v/>
      </c>
      <c r="D2031" s="172">
        <f ca="1">IF(OFFSET('IWP12'!Std8dot3IssuesConcerns, 2, 1, 1, 1)=DATE(1900,1,0), DATE(1900,1,1), OFFSET('IWP12'!Std8dot3IssuesConcerns, 2, 1, 1, 1))</f>
        <v>1</v>
      </c>
      <c r="E2031" s="194" t="str">
        <f ca="1">IF(OFFSET('IWP12'!Std8dot3IssuesConcerns, 2, 2, 1, 1) = 0, "", OFFSET('IWP12'!Std8dot3IssuesConcerns, 2, 2, 1, 1))</f>
        <v/>
      </c>
    </row>
    <row r="2032" spans="1:5" s="146" customFormat="1">
      <c r="A2032" s="193" t="s">
        <v>510</v>
      </c>
      <c r="B2032" s="195" t="s">
        <v>252</v>
      </c>
      <c r="C2032" s="195" t="str">
        <f ca="1">IF(OFFSET('IWP12'!Std8dot3IssuesConcerns, 3, 0, 1, 1) = 0, "", OFFSET('IWP12'!Std8dot3IssuesConcerns, 3, 0, 1, 1))</f>
        <v/>
      </c>
      <c r="D2032" s="172">
        <f ca="1">IF(OFFSET('IWP12'!Std8dot3IssuesConcerns, 3, 1, 1, 1)=DATE(1900,1,0), DATE(1900,1,1), OFFSET('IWP12'!Std8dot3IssuesConcerns, 3, 1, 1, 1))</f>
        <v>1</v>
      </c>
      <c r="E2032" s="194" t="str">
        <f ca="1">IF(OFFSET('IWP12'!Std8dot3IssuesConcerns, 3, 2, 1, 1) = 0, "", OFFSET('IWP12'!Std8dot3IssuesConcerns, 3, 2, 1, 1))</f>
        <v/>
      </c>
    </row>
    <row r="2033" spans="1:5" s="146" customFormat="1">
      <c r="A2033" s="193" t="s">
        <v>510</v>
      </c>
      <c r="B2033" s="195" t="s">
        <v>253</v>
      </c>
      <c r="C2033" s="195" t="str">
        <f ca="1">IF(OFFSET('IWP12'!Std8dot3IssuesConcerns, 4, 0, 1, 1) = 0, "", OFFSET('IWP12'!Std8dot3IssuesConcerns, 4, 0, 1, 1))</f>
        <v/>
      </c>
      <c r="D2033" s="172">
        <f ca="1">IF(OFFSET('IWP12'!Std8dot3IssuesConcerns, 4, 1, 1, 1)=DATE(1900,1,0), DATE(1900,1,1), OFFSET('IWP12'!Std8dot3IssuesConcerns, 4, 1, 1, 1))</f>
        <v>1</v>
      </c>
      <c r="E2033" s="194" t="str">
        <f ca="1">IF(OFFSET('IWP12'!Std8dot3IssuesConcerns, 4, 2, 1, 1) = 0, "", OFFSET('IWP12'!Std8dot3IssuesConcerns, 4, 2, 1, 1))</f>
        <v/>
      </c>
    </row>
    <row r="2034" spans="1:5" s="146" customFormat="1">
      <c r="A2034" s="193" t="s">
        <v>510</v>
      </c>
      <c r="B2034" s="195" t="s">
        <v>254</v>
      </c>
      <c r="C2034" s="195" t="str">
        <f ca="1">IF(OFFSET('IWP12'!Std8dot3IssuesConcerns, 5, 0, 1, 1) = 0, "", OFFSET('IWP12'!Std8dot3IssuesConcerns, 5, 0, 1, 1))</f>
        <v/>
      </c>
      <c r="D2034" s="172">
        <f ca="1">IF(OFFSET('IWP12'!Std8dot3IssuesConcerns, 5, 1, 1, 1)=DATE(1900,1,0), DATE(1900,1,1), OFFSET('IWP12'!Std8dot3IssuesConcerns, 5, 1, 1, 1))</f>
        <v>1</v>
      </c>
      <c r="E2034" s="194" t="str">
        <f ca="1">IF(OFFSET('IWP12'!Std8dot3IssuesConcerns, 5, 2, 1, 1) = 0, "", OFFSET('IWP12'!Std8dot3IssuesConcerns, 5, 2, 1, 1))</f>
        <v/>
      </c>
    </row>
    <row r="2035" spans="1:5" s="146" customFormat="1">
      <c r="A2035" s="193" t="s">
        <v>511</v>
      </c>
      <c r="B2035" s="195" t="s">
        <v>249</v>
      </c>
      <c r="C2035" s="195" t="str">
        <f ca="1">IF(OFFSET('IWP13'!Std8dot3IssuesConcerns, 0, 0, 1, 1) = 0, "", OFFSET('IWP13'!Std8dot3IssuesConcerns, 0, 0, 1, 1))</f>
        <v/>
      </c>
      <c r="D2035" s="172">
        <f ca="1">IF(OFFSET('IWP13'!Std8dot3IssuesConcerns, 0, 1, 1, 1)=DATE(1900,1,0), DATE(1900,1,1), OFFSET('IWP13'!Std8dot3IssuesConcerns, 0, 1, 1, 1))</f>
        <v>1</v>
      </c>
      <c r="E2035" s="194" t="str">
        <f ca="1">IF(OFFSET('IWP13'!Std8dot3IssuesConcerns, 0, 2, 1, 1) = 0, "", OFFSET('IWP13'!Std8dot3IssuesConcerns, 0, 2, 1, 1))</f>
        <v/>
      </c>
    </row>
    <row r="2036" spans="1:5" s="146" customFormat="1">
      <c r="A2036" s="193" t="s">
        <v>511</v>
      </c>
      <c r="B2036" s="195" t="s">
        <v>250</v>
      </c>
      <c r="C2036" s="195" t="str">
        <f ca="1">IF(OFFSET('IWP13'!Std8dot3IssuesConcerns, 1, 0, 1, 1) = 0, "", OFFSET('IWP13'!Std8dot3IssuesConcerns, 1, 0, 1, 1))</f>
        <v/>
      </c>
      <c r="D2036" s="172">
        <f ca="1">IF(OFFSET('IWP13'!Std8dot3IssuesConcerns, 1, 1, 1, 1)=DATE(1900,1,0), DATE(1900,1,1), OFFSET('IWP13'!Std8dot3IssuesConcerns, 1, 1, 1, 1))</f>
        <v>1</v>
      </c>
      <c r="E2036" s="194" t="str">
        <f ca="1">IF(OFFSET('IWP13'!Std8dot3IssuesConcerns, 1, 2, 1, 1) = 0, "", OFFSET('IWP13'!Std8dot3IssuesConcerns, 1, 2, 1, 1))</f>
        <v/>
      </c>
    </row>
    <row r="2037" spans="1:5" s="146" customFormat="1">
      <c r="A2037" s="193" t="s">
        <v>511</v>
      </c>
      <c r="B2037" s="195" t="s">
        <v>251</v>
      </c>
      <c r="C2037" s="195" t="str">
        <f ca="1">IF(OFFSET('IWP13'!Std8dot3IssuesConcerns, 2, 0, 1, 1) = 0, "", OFFSET('IWP13'!Std8dot3IssuesConcerns, 2, 0, 1, 1))</f>
        <v/>
      </c>
      <c r="D2037" s="172">
        <f ca="1">IF(OFFSET('IWP13'!Std8dot3IssuesConcerns, 2, 1, 1, 1)=DATE(1900,1,0), DATE(1900,1,1), OFFSET('IWP13'!Std8dot3IssuesConcerns, 2, 1, 1, 1))</f>
        <v>1</v>
      </c>
      <c r="E2037" s="194" t="str">
        <f ca="1">IF(OFFSET('IWP13'!Std8dot3IssuesConcerns, 2, 2, 1, 1) = 0, "", OFFSET('IWP13'!Std8dot3IssuesConcerns, 2, 2, 1, 1))</f>
        <v/>
      </c>
    </row>
    <row r="2038" spans="1:5" s="146" customFormat="1">
      <c r="A2038" s="193" t="s">
        <v>511</v>
      </c>
      <c r="B2038" s="195" t="s">
        <v>252</v>
      </c>
      <c r="C2038" s="195" t="str">
        <f ca="1">IF(OFFSET('IWP13'!Std8dot3IssuesConcerns, 3, 0, 1, 1) = 0, "", OFFSET('IWP13'!Std8dot3IssuesConcerns, 3, 0, 1, 1))</f>
        <v/>
      </c>
      <c r="D2038" s="172">
        <f ca="1">IF(OFFSET('IWP13'!Std8dot3IssuesConcerns, 3, 1, 1, 1)=DATE(1900,1,0), DATE(1900,1,1), OFFSET('IWP13'!Std8dot3IssuesConcerns, 3, 1, 1, 1))</f>
        <v>1</v>
      </c>
      <c r="E2038" s="194" t="str">
        <f ca="1">IF(OFFSET('IWP13'!Std8dot3IssuesConcerns, 3, 2, 1, 1) = 0, "", OFFSET('IWP13'!Std8dot3IssuesConcerns, 3, 2, 1, 1))</f>
        <v/>
      </c>
    </row>
    <row r="2039" spans="1:5" s="146" customFormat="1">
      <c r="A2039" s="193" t="s">
        <v>511</v>
      </c>
      <c r="B2039" s="195" t="s">
        <v>253</v>
      </c>
      <c r="C2039" s="195" t="str">
        <f ca="1">IF(OFFSET('IWP13'!Std8dot3IssuesConcerns, 4, 0, 1, 1) = 0, "", OFFSET('IWP13'!Std8dot3IssuesConcerns, 4, 0, 1, 1))</f>
        <v/>
      </c>
      <c r="D2039" s="172">
        <f ca="1">IF(OFFSET('IWP13'!Std8dot3IssuesConcerns, 4, 1, 1, 1)=DATE(1900,1,0), DATE(1900,1,1), OFFSET('IWP13'!Std8dot3IssuesConcerns, 4, 1, 1, 1))</f>
        <v>1</v>
      </c>
      <c r="E2039" s="194" t="str">
        <f ca="1">IF(OFFSET('IWP13'!Std8dot3IssuesConcerns, 4, 2, 1, 1) = 0, "", OFFSET('IWP13'!Std8dot3IssuesConcerns, 4, 2, 1, 1))</f>
        <v/>
      </c>
    </row>
    <row r="2040" spans="1:5" s="146" customFormat="1">
      <c r="A2040" s="193" t="s">
        <v>511</v>
      </c>
      <c r="B2040" s="195" t="s">
        <v>254</v>
      </c>
      <c r="C2040" s="195" t="str">
        <f ca="1">IF(OFFSET('IWP13'!Std8dot3IssuesConcerns, 5, 0, 1, 1) = 0, "", OFFSET('IWP13'!Std8dot3IssuesConcerns, 5, 0, 1, 1))</f>
        <v/>
      </c>
      <c r="D2040" s="172">
        <f ca="1">IF(OFFSET('IWP13'!Std8dot3IssuesConcerns, 5, 1, 1, 1)=DATE(1900,1,0), DATE(1900,1,1), OFFSET('IWP13'!Std8dot3IssuesConcerns, 5, 1, 1, 1))</f>
        <v>1</v>
      </c>
      <c r="E2040" s="194" t="str">
        <f ca="1">IF(OFFSET('IWP13'!Std8dot3IssuesConcerns, 5, 2, 1, 1) = 0, "", OFFSET('IWP13'!Std8dot3IssuesConcerns, 5, 2, 1, 1))</f>
        <v/>
      </c>
    </row>
    <row r="2041" spans="1:5" s="146" customFormat="1">
      <c r="A2041" s="193" t="s">
        <v>512</v>
      </c>
      <c r="B2041" s="195" t="s">
        <v>249</v>
      </c>
      <c r="C2041" s="195" t="str">
        <f ca="1">IF(OFFSET('IWP14'!Std8dot3IssuesConcerns, 0, 0, 1, 1) = 0, "", OFFSET('IWP14'!Std8dot3IssuesConcerns, 0, 0, 1, 1))</f>
        <v/>
      </c>
      <c r="D2041" s="172">
        <f ca="1">IF(OFFSET('IWP14'!Std8dot3IssuesConcerns, 0, 1, 1, 1)=DATE(1900,1,0), DATE(1900,1,1), OFFSET('IWP14'!Std8dot3IssuesConcerns, 0, 1, 1, 1))</f>
        <v>1</v>
      </c>
      <c r="E2041" s="194" t="str">
        <f ca="1">IF(OFFSET('IWP14'!Std8dot3IssuesConcerns, 0, 2, 1, 1) = 0, "", OFFSET('IWP14'!Std8dot3IssuesConcerns, 0, 2, 1, 1))</f>
        <v/>
      </c>
    </row>
    <row r="2042" spans="1:5" s="146" customFormat="1">
      <c r="A2042" s="193" t="s">
        <v>512</v>
      </c>
      <c r="B2042" s="195" t="s">
        <v>250</v>
      </c>
      <c r="C2042" s="195" t="str">
        <f ca="1">IF(OFFSET('IWP14'!Std8dot3IssuesConcerns, 1, 0, 1, 1) = 0, "", OFFSET('IWP14'!Std8dot3IssuesConcerns, 1, 0, 1, 1))</f>
        <v/>
      </c>
      <c r="D2042" s="172">
        <f ca="1">IF(OFFSET('IWP14'!Std8dot3IssuesConcerns, 1, 1, 1, 1)=DATE(1900,1,0), DATE(1900,1,1), OFFSET('IWP14'!Std8dot3IssuesConcerns, 1, 1, 1, 1))</f>
        <v>1</v>
      </c>
      <c r="E2042" s="194" t="str">
        <f ca="1">IF(OFFSET('IWP14'!Std8dot3IssuesConcerns, 1, 2, 1, 1) = 0, "", OFFSET('IWP14'!Std8dot3IssuesConcerns, 1, 2, 1, 1))</f>
        <v/>
      </c>
    </row>
    <row r="2043" spans="1:5" s="146" customFormat="1">
      <c r="A2043" s="193" t="s">
        <v>512</v>
      </c>
      <c r="B2043" s="195" t="s">
        <v>251</v>
      </c>
      <c r="C2043" s="195" t="str">
        <f ca="1">IF(OFFSET('IWP14'!Std8dot3IssuesConcerns, 2, 0, 1, 1) = 0, "", OFFSET('IWP14'!Std8dot3IssuesConcerns, 2, 0, 1, 1))</f>
        <v/>
      </c>
      <c r="D2043" s="172">
        <f ca="1">IF(OFFSET('IWP14'!Std8dot3IssuesConcerns, 2, 1, 1, 1)=DATE(1900,1,0), DATE(1900,1,1), OFFSET('IWP14'!Std8dot3IssuesConcerns, 2, 1, 1, 1))</f>
        <v>1</v>
      </c>
      <c r="E2043" s="194" t="str">
        <f ca="1">IF(OFFSET('IWP14'!Std8dot3IssuesConcerns, 2, 2, 1, 1) = 0, "", OFFSET('IWP14'!Std8dot3IssuesConcerns, 2, 2, 1, 1))</f>
        <v/>
      </c>
    </row>
    <row r="2044" spans="1:5" s="146" customFormat="1">
      <c r="A2044" s="193" t="s">
        <v>512</v>
      </c>
      <c r="B2044" s="195" t="s">
        <v>252</v>
      </c>
      <c r="C2044" s="195" t="str">
        <f ca="1">IF(OFFSET('IWP14'!Std8dot3IssuesConcerns, 3, 0, 1, 1) = 0, "", OFFSET('IWP14'!Std8dot3IssuesConcerns, 3, 0, 1, 1))</f>
        <v/>
      </c>
      <c r="D2044" s="172">
        <f ca="1">IF(OFFSET('IWP14'!Std8dot3IssuesConcerns, 3, 1, 1, 1)=DATE(1900,1,0), DATE(1900,1,1), OFFSET('IWP14'!Std8dot3IssuesConcerns, 3, 1, 1, 1))</f>
        <v>1</v>
      </c>
      <c r="E2044" s="194" t="str">
        <f ca="1">IF(OFFSET('IWP14'!Std8dot3IssuesConcerns, 3, 2, 1, 1) = 0, "", OFFSET('IWP14'!Std8dot3IssuesConcerns, 3, 2, 1, 1))</f>
        <v/>
      </c>
    </row>
    <row r="2045" spans="1:5" s="146" customFormat="1">
      <c r="A2045" s="193" t="s">
        <v>512</v>
      </c>
      <c r="B2045" s="195" t="s">
        <v>253</v>
      </c>
      <c r="C2045" s="195" t="str">
        <f ca="1">IF(OFFSET('IWP14'!Std8dot3IssuesConcerns, 4, 0, 1, 1) = 0, "", OFFSET('IWP14'!Std8dot3IssuesConcerns, 4, 0, 1, 1))</f>
        <v/>
      </c>
      <c r="D2045" s="172">
        <f ca="1">IF(OFFSET('IWP14'!Std8dot3IssuesConcerns, 4, 1, 1, 1)=DATE(1900,1,0), DATE(1900,1,1), OFFSET('IWP14'!Std8dot3IssuesConcerns, 4, 1, 1, 1))</f>
        <v>1</v>
      </c>
      <c r="E2045" s="194" t="str">
        <f ca="1">IF(OFFSET('IWP14'!Std8dot3IssuesConcerns, 4, 2, 1, 1) = 0, "", OFFSET('IWP14'!Std8dot3IssuesConcerns, 4, 2, 1, 1))</f>
        <v/>
      </c>
    </row>
    <row r="2046" spans="1:5" s="146" customFormat="1">
      <c r="A2046" s="193" t="s">
        <v>512</v>
      </c>
      <c r="B2046" s="195" t="s">
        <v>254</v>
      </c>
      <c r="C2046" s="195" t="str">
        <f ca="1">IF(OFFSET('IWP14'!Std8dot3IssuesConcerns, 5, 0, 1, 1) = 0, "", OFFSET('IWP14'!Std8dot3IssuesConcerns, 5, 0, 1, 1))</f>
        <v/>
      </c>
      <c r="D2046" s="172">
        <f ca="1">IF(OFFSET('IWP14'!Std8dot3IssuesConcerns, 5, 1, 1, 1)=DATE(1900,1,0), DATE(1900,1,1), OFFSET('IWP14'!Std8dot3IssuesConcerns, 5, 1, 1, 1))</f>
        <v>1</v>
      </c>
      <c r="E2046" s="194" t="str">
        <f ca="1">IF(OFFSET('IWP14'!Std8dot3IssuesConcerns, 5, 2, 1, 1) = 0, "", OFFSET('IWP14'!Std8dot3IssuesConcerns, 5, 2, 1, 1))</f>
        <v/>
      </c>
    </row>
    <row r="2047" spans="1:5" s="146" customFormat="1">
      <c r="A2047" s="193" t="s">
        <v>513</v>
      </c>
      <c r="B2047" s="195" t="s">
        <v>249</v>
      </c>
      <c r="C2047" s="195" t="str">
        <f ca="1">IF(OFFSET('IWP15'!Std8dot3IssuesConcerns, 0, 0, 1, 1) = 0, "", OFFSET('IWP15'!Std8dot3IssuesConcerns, 0, 0, 1, 1))</f>
        <v/>
      </c>
      <c r="D2047" s="172">
        <f ca="1">IF(OFFSET('IWP15'!Std8dot3IssuesConcerns, 0, 1, 1, 1)=DATE(1900,1,0), DATE(1900,1,1), OFFSET('IWP15'!Std8dot3IssuesConcerns, 0, 1, 1, 1))</f>
        <v>1</v>
      </c>
      <c r="E2047" s="194" t="str">
        <f ca="1">IF(OFFSET('IWP15'!Std8dot3IssuesConcerns, 0, 2, 1, 1) = 0, "", OFFSET('IWP15'!Std8dot3IssuesConcerns, 0, 2, 1, 1))</f>
        <v/>
      </c>
    </row>
    <row r="2048" spans="1:5" s="146" customFormat="1">
      <c r="A2048" s="193" t="s">
        <v>513</v>
      </c>
      <c r="B2048" s="195" t="s">
        <v>250</v>
      </c>
      <c r="C2048" s="195" t="str">
        <f ca="1">IF(OFFSET('IWP15'!Std8dot3IssuesConcerns, 1, 0, 1, 1) = 0, "", OFFSET('IWP15'!Std8dot3IssuesConcerns, 1, 0, 1, 1))</f>
        <v/>
      </c>
      <c r="D2048" s="172">
        <f ca="1">IF(OFFSET('IWP15'!Std8dot3IssuesConcerns, 1, 1, 1, 1)=DATE(1900,1,0), DATE(1900,1,1), OFFSET('IWP15'!Std8dot3IssuesConcerns, 1, 1, 1, 1))</f>
        <v>1</v>
      </c>
      <c r="E2048" s="194" t="str">
        <f ca="1">IF(OFFSET('IWP15'!Std8dot3IssuesConcerns, 1, 2, 1, 1) = 0, "", OFFSET('IWP15'!Std8dot3IssuesConcerns, 1, 2, 1, 1))</f>
        <v/>
      </c>
    </row>
    <row r="2049" spans="1:5" s="146" customFormat="1">
      <c r="A2049" s="193" t="s">
        <v>513</v>
      </c>
      <c r="B2049" s="195" t="s">
        <v>251</v>
      </c>
      <c r="C2049" s="195" t="str">
        <f ca="1">IF(OFFSET('IWP15'!Std8dot3IssuesConcerns, 2, 0, 1, 1) = 0, "", OFFSET('IWP15'!Std8dot3IssuesConcerns, 2, 0, 1, 1))</f>
        <v/>
      </c>
      <c r="D2049" s="172">
        <f ca="1">IF(OFFSET('IWP15'!Std8dot3IssuesConcerns, 2, 1, 1, 1)=DATE(1900,1,0), DATE(1900,1,1), OFFSET('IWP15'!Std8dot3IssuesConcerns, 2, 1, 1, 1))</f>
        <v>1</v>
      </c>
      <c r="E2049" s="194" t="str">
        <f ca="1">IF(OFFSET('IWP15'!Std8dot3IssuesConcerns, 2, 2, 1, 1) = 0, "", OFFSET('IWP15'!Std8dot3IssuesConcerns, 2, 2, 1, 1))</f>
        <v/>
      </c>
    </row>
    <row r="2050" spans="1:5" s="146" customFormat="1">
      <c r="A2050" s="193" t="s">
        <v>513</v>
      </c>
      <c r="B2050" s="195" t="s">
        <v>252</v>
      </c>
      <c r="C2050" s="195" t="str">
        <f ca="1">IF(OFFSET('IWP15'!Std8dot3IssuesConcerns, 3, 0, 1, 1) = 0, "", OFFSET('IWP15'!Std8dot3IssuesConcerns, 3, 0, 1, 1))</f>
        <v/>
      </c>
      <c r="D2050" s="172">
        <f ca="1">IF(OFFSET('IWP15'!Std8dot3IssuesConcerns, 3, 1, 1, 1)=DATE(1900,1,0), DATE(1900,1,1), OFFSET('IWP15'!Std8dot3IssuesConcerns, 3, 1, 1, 1))</f>
        <v>1</v>
      </c>
      <c r="E2050" s="194" t="str">
        <f ca="1">IF(OFFSET('IWP15'!Std8dot3IssuesConcerns, 3, 2, 1, 1) = 0, "", OFFSET('IWP15'!Std8dot3IssuesConcerns, 3, 2, 1, 1))</f>
        <v/>
      </c>
    </row>
    <row r="2051" spans="1:5" s="146" customFormat="1">
      <c r="A2051" s="193" t="s">
        <v>513</v>
      </c>
      <c r="B2051" s="195" t="s">
        <v>253</v>
      </c>
      <c r="C2051" s="195" t="str">
        <f ca="1">IF(OFFSET('IWP15'!Std8dot3IssuesConcerns, 4, 0, 1, 1) = 0, "", OFFSET('IWP15'!Std8dot3IssuesConcerns, 4, 0, 1, 1))</f>
        <v/>
      </c>
      <c r="D2051" s="172">
        <f ca="1">IF(OFFSET('IWP15'!Std8dot3IssuesConcerns, 4, 1, 1, 1)=DATE(1900,1,0), DATE(1900,1,1), OFFSET('IWP15'!Std8dot3IssuesConcerns, 4, 1, 1, 1))</f>
        <v>1</v>
      </c>
      <c r="E2051" s="194" t="str">
        <f ca="1">IF(OFFSET('IWP15'!Std8dot3IssuesConcerns, 4, 2, 1, 1) = 0, "", OFFSET('IWP15'!Std8dot3IssuesConcerns, 4, 2, 1, 1))</f>
        <v/>
      </c>
    </row>
    <row r="2052" spans="1:5" s="146" customFormat="1">
      <c r="A2052" s="193" t="s">
        <v>513</v>
      </c>
      <c r="B2052" s="195" t="s">
        <v>254</v>
      </c>
      <c r="C2052" s="195" t="str">
        <f ca="1">IF(OFFSET('IWP15'!Std8dot3IssuesConcerns, 5, 0, 1, 1) = 0, "", OFFSET('IWP15'!Std8dot3IssuesConcerns, 5, 0, 1, 1))</f>
        <v/>
      </c>
      <c r="D2052" s="172">
        <f ca="1">IF(OFFSET('IWP15'!Std8dot3IssuesConcerns, 5, 1, 1, 1)=DATE(1900,1,0), DATE(1900,1,1), OFFSET('IWP15'!Std8dot3IssuesConcerns, 5, 1, 1, 1))</f>
        <v>1</v>
      </c>
      <c r="E2052" s="194" t="str">
        <f ca="1">IF(OFFSET('IWP15'!Std8dot3IssuesConcerns, 5, 2, 1, 1) = 0, "", OFFSET('IWP15'!Std8dot3IssuesConcerns, 5, 2, 1, 1))</f>
        <v/>
      </c>
    </row>
    <row r="2053" spans="1:5" s="146" customFormat="1">
      <c r="A2053" s="193" t="s">
        <v>514</v>
      </c>
      <c r="B2053" s="195" t="s">
        <v>249</v>
      </c>
      <c r="C2053" s="195" t="str">
        <f ca="1">IF(OFFSET('IWP16'!Std8dot3IssuesConcerns, 0, 0, 1, 1) = 0, "", OFFSET('IWP16'!Std8dot3IssuesConcerns, 0, 0, 1, 1))</f>
        <v/>
      </c>
      <c r="D2053" s="172">
        <f ca="1">IF(OFFSET('IWP16'!Std8dot3IssuesConcerns, 0, 1, 1, 1)=DATE(1900,1,0), DATE(1900,1,1), OFFSET('IWP16'!Std8dot3IssuesConcerns, 0, 1, 1, 1))</f>
        <v>1</v>
      </c>
      <c r="E2053" s="194" t="str">
        <f ca="1">IF(OFFSET('IWP16'!Std8dot3IssuesConcerns, 0, 2, 1, 1) = 0, "", OFFSET('IWP16'!Std8dot3IssuesConcerns, 0, 2, 1, 1))</f>
        <v/>
      </c>
    </row>
    <row r="2054" spans="1:5" s="146" customFormat="1">
      <c r="A2054" s="193" t="s">
        <v>514</v>
      </c>
      <c r="B2054" s="195" t="s">
        <v>250</v>
      </c>
      <c r="C2054" s="195" t="str">
        <f ca="1">IF(OFFSET('IWP16'!Std8dot3IssuesConcerns, 1, 0, 1, 1) = 0, "", OFFSET('IWP16'!Std8dot3IssuesConcerns, 1, 0, 1, 1))</f>
        <v/>
      </c>
      <c r="D2054" s="172">
        <f ca="1">IF(OFFSET('IWP16'!Std8dot3IssuesConcerns, 1, 1, 1, 1)=DATE(1900,1,0), DATE(1900,1,1), OFFSET('IWP16'!Std8dot3IssuesConcerns, 1, 1, 1, 1))</f>
        <v>1</v>
      </c>
      <c r="E2054" s="194" t="str">
        <f ca="1">IF(OFFSET('IWP16'!Std8dot3IssuesConcerns, 1, 2, 1, 1) = 0, "", OFFSET('IWP16'!Std8dot3IssuesConcerns, 1, 2, 1, 1))</f>
        <v/>
      </c>
    </row>
    <row r="2055" spans="1:5" s="146" customFormat="1">
      <c r="A2055" s="193" t="s">
        <v>514</v>
      </c>
      <c r="B2055" s="195" t="s">
        <v>251</v>
      </c>
      <c r="C2055" s="195" t="str">
        <f ca="1">IF(OFFSET('IWP16'!Std8dot3IssuesConcerns, 2, 0, 1, 1) = 0, "", OFFSET('IWP16'!Std8dot3IssuesConcerns, 2, 0, 1, 1))</f>
        <v/>
      </c>
      <c r="D2055" s="172">
        <f ca="1">IF(OFFSET('IWP16'!Std8dot3IssuesConcerns, 2, 1, 1, 1)=DATE(1900,1,0), DATE(1900,1,1), OFFSET('IWP16'!Std8dot3IssuesConcerns, 2, 1, 1, 1))</f>
        <v>1</v>
      </c>
      <c r="E2055" s="194" t="str">
        <f ca="1">IF(OFFSET('IWP16'!Std8dot3IssuesConcerns, 2, 2, 1, 1) = 0, "", OFFSET('IWP16'!Std8dot3IssuesConcerns, 2, 2, 1, 1))</f>
        <v/>
      </c>
    </row>
    <row r="2056" spans="1:5" s="146" customFormat="1">
      <c r="A2056" s="193" t="s">
        <v>514</v>
      </c>
      <c r="B2056" s="195" t="s">
        <v>252</v>
      </c>
      <c r="C2056" s="195" t="str">
        <f ca="1">IF(OFFSET('IWP16'!Std8dot3IssuesConcerns, 3, 0, 1, 1) = 0, "", OFFSET('IWP16'!Std8dot3IssuesConcerns, 3, 0, 1, 1))</f>
        <v/>
      </c>
      <c r="D2056" s="172">
        <f ca="1">IF(OFFSET('IWP16'!Std8dot3IssuesConcerns, 3, 1, 1, 1)=DATE(1900,1,0), DATE(1900,1,1), OFFSET('IWP16'!Std8dot3IssuesConcerns, 3, 1, 1, 1))</f>
        <v>1</v>
      </c>
      <c r="E2056" s="194" t="str">
        <f ca="1">IF(OFFSET('IWP16'!Std8dot3IssuesConcerns, 3, 2, 1, 1) = 0, "", OFFSET('IWP16'!Std8dot3IssuesConcerns, 3, 2, 1, 1))</f>
        <v/>
      </c>
    </row>
    <row r="2057" spans="1:5" s="146" customFormat="1">
      <c r="A2057" s="193" t="s">
        <v>514</v>
      </c>
      <c r="B2057" s="195" t="s">
        <v>253</v>
      </c>
      <c r="C2057" s="195" t="str">
        <f ca="1">IF(OFFSET('IWP16'!Std8dot3IssuesConcerns, 4, 0, 1, 1) = 0, "", OFFSET('IWP16'!Std8dot3IssuesConcerns, 4, 0, 1, 1))</f>
        <v/>
      </c>
      <c r="D2057" s="172">
        <f ca="1">IF(OFFSET('IWP16'!Std8dot3IssuesConcerns, 4, 1, 1, 1)=DATE(1900,1,0), DATE(1900,1,1), OFFSET('IWP16'!Std8dot3IssuesConcerns, 4, 1, 1, 1))</f>
        <v>1</v>
      </c>
      <c r="E2057" s="194" t="str">
        <f ca="1">IF(OFFSET('IWP16'!Std8dot3IssuesConcerns, 4, 2, 1, 1) = 0, "", OFFSET('IWP16'!Std8dot3IssuesConcerns, 4, 2, 1, 1))</f>
        <v/>
      </c>
    </row>
    <row r="2058" spans="1:5" s="146" customFormat="1">
      <c r="A2058" s="193" t="s">
        <v>514</v>
      </c>
      <c r="B2058" s="195" t="s">
        <v>254</v>
      </c>
      <c r="C2058" s="195" t="str">
        <f ca="1">IF(OFFSET('IWP16'!Std8dot3IssuesConcerns, 5, 0, 1, 1) = 0, "", OFFSET('IWP16'!Std8dot3IssuesConcerns, 5, 0, 1, 1))</f>
        <v/>
      </c>
      <c r="D2058" s="172">
        <f ca="1">IF(OFFSET('IWP16'!Std8dot3IssuesConcerns, 5, 1, 1, 1)=DATE(1900,1,0), DATE(1900,1,1), OFFSET('IWP16'!Std8dot3IssuesConcerns, 5, 1, 1, 1))</f>
        <v>1</v>
      </c>
      <c r="E2058" s="194" t="str">
        <f ca="1">IF(OFFSET('IWP16'!Std8dot3IssuesConcerns, 5, 2, 1, 1) = 0, "", OFFSET('IWP16'!Std8dot3IssuesConcerns, 5, 2, 1, 1))</f>
        <v/>
      </c>
    </row>
    <row r="2059" spans="1:5" s="146" customFormat="1">
      <c r="A2059" s="193" t="s">
        <v>515</v>
      </c>
      <c r="B2059" s="195" t="s">
        <v>249</v>
      </c>
      <c r="C2059" s="195" t="str">
        <f ca="1">IF(OFFSET('IWP17'!Std8dot3IssuesConcerns, 0, 0, 1, 1) = 0, "", OFFSET('IWP17'!Std8dot3IssuesConcerns, 0, 0, 1, 1))</f>
        <v/>
      </c>
      <c r="D2059" s="172">
        <f ca="1">IF(OFFSET('IWP17'!Std8dot3IssuesConcerns, 0, 1, 1, 1)=DATE(1900,1,0), DATE(1900,1,1), OFFSET('IWP17'!Std8dot3IssuesConcerns, 0, 1, 1, 1))</f>
        <v>1</v>
      </c>
      <c r="E2059" s="194" t="str">
        <f ca="1">IF(OFFSET('IWP17'!Std8dot3IssuesConcerns, 0, 2, 1, 1) = 0, "", OFFSET('IWP17'!Std8dot3IssuesConcerns, 0, 2, 1, 1))</f>
        <v/>
      </c>
    </row>
    <row r="2060" spans="1:5" s="146" customFormat="1">
      <c r="A2060" s="193" t="s">
        <v>515</v>
      </c>
      <c r="B2060" s="195" t="s">
        <v>250</v>
      </c>
      <c r="C2060" s="195" t="str">
        <f ca="1">IF(OFFSET('IWP17'!Std8dot3IssuesConcerns, 1, 0, 1, 1) = 0, "", OFFSET('IWP17'!Std8dot3IssuesConcerns, 1, 0, 1, 1))</f>
        <v/>
      </c>
      <c r="D2060" s="172">
        <f ca="1">IF(OFFSET('IWP17'!Std8dot3IssuesConcerns, 1, 1, 1, 1)=DATE(1900,1,0), DATE(1900,1,1), OFFSET('IWP17'!Std8dot3IssuesConcerns, 1, 1, 1, 1))</f>
        <v>1</v>
      </c>
      <c r="E2060" s="194" t="str">
        <f ca="1">IF(OFFSET('IWP17'!Std8dot3IssuesConcerns, 1, 2, 1, 1) = 0, "", OFFSET('IWP17'!Std8dot3IssuesConcerns, 1, 2, 1, 1))</f>
        <v/>
      </c>
    </row>
    <row r="2061" spans="1:5" s="146" customFormat="1">
      <c r="A2061" s="193" t="s">
        <v>515</v>
      </c>
      <c r="B2061" s="195" t="s">
        <v>251</v>
      </c>
      <c r="C2061" s="195" t="str">
        <f ca="1">IF(OFFSET('IWP17'!Std8dot3IssuesConcerns, 2, 0, 1, 1) = 0, "", OFFSET('IWP17'!Std8dot3IssuesConcerns, 2, 0, 1, 1))</f>
        <v/>
      </c>
      <c r="D2061" s="172">
        <f ca="1">IF(OFFSET('IWP17'!Std8dot3IssuesConcerns, 2, 1, 1, 1)=DATE(1900,1,0), DATE(1900,1,1), OFFSET('IWP17'!Std8dot3IssuesConcerns, 2, 1, 1, 1))</f>
        <v>1</v>
      </c>
      <c r="E2061" s="194" t="str">
        <f ca="1">IF(OFFSET('IWP17'!Std8dot3IssuesConcerns, 2, 2, 1, 1) = 0, "", OFFSET('IWP17'!Std8dot3IssuesConcerns, 2, 2, 1, 1))</f>
        <v/>
      </c>
    </row>
    <row r="2062" spans="1:5" s="146" customFormat="1">
      <c r="A2062" s="193" t="s">
        <v>515</v>
      </c>
      <c r="B2062" s="195" t="s">
        <v>252</v>
      </c>
      <c r="C2062" s="195" t="str">
        <f ca="1">IF(OFFSET('IWP17'!Std8dot3IssuesConcerns, 3, 0, 1, 1) = 0, "", OFFSET('IWP17'!Std8dot3IssuesConcerns, 3, 0, 1, 1))</f>
        <v/>
      </c>
      <c r="D2062" s="172">
        <f ca="1">IF(OFFSET('IWP17'!Std8dot3IssuesConcerns, 3, 1, 1, 1)=DATE(1900,1,0), DATE(1900,1,1), OFFSET('IWP17'!Std8dot3IssuesConcerns, 3, 1, 1, 1))</f>
        <v>1</v>
      </c>
      <c r="E2062" s="194" t="str">
        <f ca="1">IF(OFFSET('IWP17'!Std8dot3IssuesConcerns, 3, 2, 1, 1) = 0, "", OFFSET('IWP17'!Std8dot3IssuesConcerns, 3, 2, 1, 1))</f>
        <v/>
      </c>
    </row>
    <row r="2063" spans="1:5" s="146" customFormat="1">
      <c r="A2063" s="193" t="s">
        <v>515</v>
      </c>
      <c r="B2063" s="195" t="s">
        <v>253</v>
      </c>
      <c r="C2063" s="195" t="str">
        <f ca="1">IF(OFFSET('IWP17'!Std8dot3IssuesConcerns, 4, 0, 1, 1) = 0, "", OFFSET('IWP17'!Std8dot3IssuesConcerns, 4, 0, 1, 1))</f>
        <v/>
      </c>
      <c r="D2063" s="172">
        <f ca="1">IF(OFFSET('IWP17'!Std8dot3IssuesConcerns, 4, 1, 1, 1)=DATE(1900,1,0), DATE(1900,1,1), OFFSET('IWP17'!Std8dot3IssuesConcerns, 4, 1, 1, 1))</f>
        <v>1</v>
      </c>
      <c r="E2063" s="194" t="str">
        <f ca="1">IF(OFFSET('IWP17'!Std8dot3IssuesConcerns, 4, 2, 1, 1) = 0, "", OFFSET('IWP17'!Std8dot3IssuesConcerns, 4, 2, 1, 1))</f>
        <v/>
      </c>
    </row>
    <row r="2064" spans="1:5" s="146" customFormat="1">
      <c r="A2064" s="193" t="s">
        <v>515</v>
      </c>
      <c r="B2064" s="195" t="s">
        <v>254</v>
      </c>
      <c r="C2064" s="195" t="str">
        <f ca="1">IF(OFFSET('IWP17'!Std8dot3IssuesConcerns, 5, 0, 1, 1) = 0, "", OFFSET('IWP17'!Std8dot3IssuesConcerns, 5, 0, 1, 1))</f>
        <v/>
      </c>
      <c r="D2064" s="172">
        <f ca="1">IF(OFFSET('IWP17'!Std8dot3IssuesConcerns, 5, 1, 1, 1)=DATE(1900,1,0), DATE(1900,1,1), OFFSET('IWP17'!Std8dot3IssuesConcerns, 5, 1, 1, 1))</f>
        <v>1</v>
      </c>
      <c r="E2064" s="194" t="str">
        <f ca="1">IF(OFFSET('IWP17'!Std8dot3IssuesConcerns, 5, 2, 1, 1) = 0, "", OFFSET('IWP17'!Std8dot3IssuesConcerns, 5, 2, 1, 1))</f>
        <v/>
      </c>
    </row>
    <row r="2065" spans="1:5" s="146" customFormat="1">
      <c r="A2065" s="193" t="s">
        <v>516</v>
      </c>
      <c r="B2065" s="195" t="s">
        <v>249</v>
      </c>
      <c r="C2065" s="195" t="str">
        <f ca="1">IF(OFFSET('IWP18'!Std8dot3IssuesConcerns, 0, 0, 1, 1) = 0, "", OFFSET('IWP18'!Std8dot3IssuesConcerns, 0, 0, 1, 1))</f>
        <v/>
      </c>
      <c r="D2065" s="172">
        <f ca="1">IF(OFFSET('IWP18'!Std8dot3IssuesConcerns, 0, 1, 1, 1)=DATE(1900,1,0), DATE(1900,1,1), OFFSET('IWP18'!Std8dot3IssuesConcerns, 0, 1, 1, 1))</f>
        <v>1</v>
      </c>
      <c r="E2065" s="194" t="str">
        <f ca="1">IF(OFFSET('IWP18'!Std8dot3IssuesConcerns, 0, 2, 1, 1) = 0, "", OFFSET('IWP18'!Std8dot3IssuesConcerns, 0, 2, 1, 1))</f>
        <v/>
      </c>
    </row>
    <row r="2066" spans="1:5" s="146" customFormat="1">
      <c r="A2066" s="193" t="s">
        <v>516</v>
      </c>
      <c r="B2066" s="195" t="s">
        <v>250</v>
      </c>
      <c r="C2066" s="195" t="str">
        <f ca="1">IF(OFFSET('IWP18'!Std8dot3IssuesConcerns, 1, 0, 1, 1) = 0, "", OFFSET('IWP18'!Std8dot3IssuesConcerns, 1, 0, 1, 1))</f>
        <v/>
      </c>
      <c r="D2066" s="172">
        <f ca="1">IF(OFFSET('IWP18'!Std8dot3IssuesConcerns, 1, 1, 1, 1)=DATE(1900,1,0), DATE(1900,1,1), OFFSET('IWP18'!Std8dot3IssuesConcerns, 1, 1, 1, 1))</f>
        <v>1</v>
      </c>
      <c r="E2066" s="194" t="str">
        <f ca="1">IF(OFFSET('IWP18'!Std8dot3IssuesConcerns, 1, 2, 1, 1) = 0, "", OFFSET('IWP18'!Std8dot3IssuesConcerns, 1, 2, 1, 1))</f>
        <v/>
      </c>
    </row>
    <row r="2067" spans="1:5" s="146" customFormat="1">
      <c r="A2067" s="193" t="s">
        <v>516</v>
      </c>
      <c r="B2067" s="195" t="s">
        <v>251</v>
      </c>
      <c r="C2067" s="195" t="str">
        <f ca="1">IF(OFFSET('IWP18'!Std8dot3IssuesConcerns, 2, 0, 1, 1) = 0, "", OFFSET('IWP18'!Std8dot3IssuesConcerns, 2, 0, 1, 1))</f>
        <v/>
      </c>
      <c r="D2067" s="172">
        <f ca="1">IF(OFFSET('IWP18'!Std8dot3IssuesConcerns, 2, 1, 1, 1)=DATE(1900,1,0), DATE(1900,1,1), OFFSET('IWP18'!Std8dot3IssuesConcerns, 2, 1, 1, 1))</f>
        <v>1</v>
      </c>
      <c r="E2067" s="194" t="str">
        <f ca="1">IF(OFFSET('IWP18'!Std8dot3IssuesConcerns, 2, 2, 1, 1) = 0, "", OFFSET('IWP18'!Std8dot3IssuesConcerns, 2, 2, 1, 1))</f>
        <v/>
      </c>
    </row>
    <row r="2068" spans="1:5" s="146" customFormat="1">
      <c r="A2068" s="193" t="s">
        <v>516</v>
      </c>
      <c r="B2068" s="195" t="s">
        <v>252</v>
      </c>
      <c r="C2068" s="195" t="str">
        <f ca="1">IF(OFFSET('IWP18'!Std8dot3IssuesConcerns, 3, 0, 1, 1) = 0, "", OFFSET('IWP18'!Std8dot3IssuesConcerns, 3, 0, 1, 1))</f>
        <v/>
      </c>
      <c r="D2068" s="172">
        <f ca="1">IF(OFFSET('IWP18'!Std8dot3IssuesConcerns, 3, 1, 1, 1)=DATE(1900,1,0), DATE(1900,1,1), OFFSET('IWP18'!Std8dot3IssuesConcerns, 3, 1, 1, 1))</f>
        <v>1</v>
      </c>
      <c r="E2068" s="194" t="str">
        <f ca="1">IF(OFFSET('IWP18'!Std8dot3IssuesConcerns, 3, 2, 1, 1) = 0, "", OFFSET('IWP18'!Std8dot3IssuesConcerns, 3, 2, 1, 1))</f>
        <v/>
      </c>
    </row>
    <row r="2069" spans="1:5" s="146" customFormat="1">
      <c r="A2069" s="193" t="s">
        <v>516</v>
      </c>
      <c r="B2069" s="195" t="s">
        <v>253</v>
      </c>
      <c r="C2069" s="195" t="str">
        <f ca="1">IF(OFFSET('IWP18'!Std8dot3IssuesConcerns, 4, 0, 1, 1) = 0, "", OFFSET('IWP18'!Std8dot3IssuesConcerns, 4, 0, 1, 1))</f>
        <v/>
      </c>
      <c r="D2069" s="172">
        <f ca="1">IF(OFFSET('IWP18'!Std8dot3IssuesConcerns, 4, 1, 1, 1)=DATE(1900,1,0), DATE(1900,1,1), OFFSET('IWP18'!Std8dot3IssuesConcerns, 4, 1, 1, 1))</f>
        <v>1</v>
      </c>
      <c r="E2069" s="194" t="str">
        <f ca="1">IF(OFFSET('IWP18'!Std8dot3IssuesConcerns, 4, 2, 1, 1) = 0, "", OFFSET('IWP18'!Std8dot3IssuesConcerns, 4, 2, 1, 1))</f>
        <v/>
      </c>
    </row>
    <row r="2070" spans="1:5" s="146" customFormat="1">
      <c r="A2070" s="193" t="s">
        <v>516</v>
      </c>
      <c r="B2070" s="195" t="s">
        <v>254</v>
      </c>
      <c r="C2070" s="195" t="str">
        <f ca="1">IF(OFFSET('IWP18'!Std8dot3IssuesConcerns, 5, 0, 1, 1) = 0, "", OFFSET('IWP18'!Std8dot3IssuesConcerns, 5, 0, 1, 1))</f>
        <v/>
      </c>
      <c r="D2070" s="172">
        <f ca="1">IF(OFFSET('IWP18'!Std8dot3IssuesConcerns, 5, 1, 1, 1)=DATE(1900,1,0), DATE(1900,1,1), OFFSET('IWP18'!Std8dot3IssuesConcerns, 5, 1, 1, 1))</f>
        <v>1</v>
      </c>
      <c r="E2070" s="194" t="str">
        <f ca="1">IF(OFFSET('IWP18'!Std8dot3IssuesConcerns, 5, 2, 1, 1) = 0, "", OFFSET('IWP18'!Std8dot3IssuesConcerns, 5, 2, 1, 1))</f>
        <v/>
      </c>
    </row>
    <row r="2071" spans="1:5" s="146" customFormat="1">
      <c r="A2071" s="193" t="s">
        <v>517</v>
      </c>
      <c r="B2071" s="195" t="s">
        <v>249</v>
      </c>
      <c r="C2071" s="195" t="str">
        <f ca="1">IF(OFFSET('IWP19'!Std8dot3IssuesConcerns, 0, 0, 1, 1) = 0, "", OFFSET('IWP19'!Std8dot3IssuesConcerns, 0, 0, 1, 1))</f>
        <v/>
      </c>
      <c r="D2071" s="172">
        <f ca="1">IF(OFFSET('IWP19'!Std8dot3IssuesConcerns, 0, 1, 1, 1)=DATE(1900,1,0), DATE(1900,1,1), OFFSET('IWP19'!Std8dot3IssuesConcerns, 0, 1, 1, 1))</f>
        <v>1</v>
      </c>
      <c r="E2071" s="194" t="str">
        <f ca="1">IF(OFFSET('IWP19'!Std8dot3IssuesConcerns, 0, 2, 1, 1) = 0, "", OFFSET('IWP19'!Std8dot3IssuesConcerns, 0, 2, 1, 1))</f>
        <v/>
      </c>
    </row>
    <row r="2072" spans="1:5" s="146" customFormat="1">
      <c r="A2072" s="193" t="s">
        <v>517</v>
      </c>
      <c r="B2072" s="195" t="s">
        <v>250</v>
      </c>
      <c r="C2072" s="195" t="str">
        <f ca="1">IF(OFFSET('IWP19'!Std8dot3IssuesConcerns, 1, 0, 1, 1) = 0, "", OFFSET('IWP19'!Std8dot3IssuesConcerns, 1, 0, 1, 1))</f>
        <v/>
      </c>
      <c r="D2072" s="172">
        <f ca="1">IF(OFFSET('IWP19'!Std8dot3IssuesConcerns, 1, 1, 1, 1)=DATE(1900,1,0), DATE(1900,1,1), OFFSET('IWP19'!Std8dot3IssuesConcerns, 1, 1, 1, 1))</f>
        <v>1</v>
      </c>
      <c r="E2072" s="194" t="str">
        <f ca="1">IF(OFFSET('IWP19'!Std8dot3IssuesConcerns, 1, 2, 1, 1) = 0, "", OFFSET('IWP19'!Std8dot3IssuesConcerns, 1, 2, 1, 1))</f>
        <v/>
      </c>
    </row>
    <row r="2073" spans="1:5" s="146" customFormat="1">
      <c r="A2073" s="193" t="s">
        <v>517</v>
      </c>
      <c r="B2073" s="195" t="s">
        <v>251</v>
      </c>
      <c r="C2073" s="195" t="str">
        <f ca="1">IF(OFFSET('IWP19'!Std8dot3IssuesConcerns, 2, 0, 1, 1) = 0, "", OFFSET('IWP19'!Std8dot3IssuesConcerns, 2, 0, 1, 1))</f>
        <v/>
      </c>
      <c r="D2073" s="172">
        <f ca="1">IF(OFFSET('IWP19'!Std8dot3IssuesConcerns, 2, 1, 1, 1)=DATE(1900,1,0), DATE(1900,1,1), OFFSET('IWP19'!Std8dot3IssuesConcerns, 2, 1, 1, 1))</f>
        <v>1</v>
      </c>
      <c r="E2073" s="194" t="str">
        <f ca="1">IF(OFFSET('IWP19'!Std8dot3IssuesConcerns, 2, 2, 1, 1) = 0, "", OFFSET('IWP19'!Std8dot3IssuesConcerns, 2, 2, 1, 1))</f>
        <v/>
      </c>
    </row>
    <row r="2074" spans="1:5" s="146" customFormat="1">
      <c r="A2074" s="193" t="s">
        <v>517</v>
      </c>
      <c r="B2074" s="195" t="s">
        <v>252</v>
      </c>
      <c r="C2074" s="195" t="str">
        <f ca="1">IF(OFFSET('IWP19'!Std8dot3IssuesConcerns, 3, 0, 1, 1) = 0, "", OFFSET('IWP19'!Std8dot3IssuesConcerns, 3, 0, 1, 1))</f>
        <v/>
      </c>
      <c r="D2074" s="172">
        <f ca="1">IF(OFFSET('IWP19'!Std8dot3IssuesConcerns, 3, 1, 1, 1)=DATE(1900,1,0), DATE(1900,1,1), OFFSET('IWP19'!Std8dot3IssuesConcerns, 3, 1, 1, 1))</f>
        <v>1</v>
      </c>
      <c r="E2074" s="194" t="str">
        <f ca="1">IF(OFFSET('IWP19'!Std8dot3IssuesConcerns, 3, 2, 1, 1) = 0, "", OFFSET('IWP19'!Std8dot3IssuesConcerns, 3, 2, 1, 1))</f>
        <v/>
      </c>
    </row>
    <row r="2075" spans="1:5" s="146" customFormat="1">
      <c r="A2075" s="193" t="s">
        <v>517</v>
      </c>
      <c r="B2075" s="195" t="s">
        <v>253</v>
      </c>
      <c r="C2075" s="195" t="str">
        <f ca="1">IF(OFFSET('IWP19'!Std8dot3IssuesConcerns, 4, 0, 1, 1) = 0, "", OFFSET('IWP19'!Std8dot3IssuesConcerns, 4, 0, 1, 1))</f>
        <v/>
      </c>
      <c r="D2075" s="172">
        <f ca="1">IF(OFFSET('IWP19'!Std8dot3IssuesConcerns, 4, 1, 1, 1)=DATE(1900,1,0), DATE(1900,1,1), OFFSET('IWP19'!Std8dot3IssuesConcerns, 4, 1, 1, 1))</f>
        <v>1</v>
      </c>
      <c r="E2075" s="194" t="str">
        <f ca="1">IF(OFFSET('IWP19'!Std8dot3IssuesConcerns, 4, 2, 1, 1) = 0, "", OFFSET('IWP19'!Std8dot3IssuesConcerns, 4, 2, 1, 1))</f>
        <v/>
      </c>
    </row>
    <row r="2076" spans="1:5" s="146" customFormat="1">
      <c r="A2076" s="193" t="s">
        <v>517</v>
      </c>
      <c r="B2076" s="195" t="s">
        <v>254</v>
      </c>
      <c r="C2076" s="195" t="str">
        <f ca="1">IF(OFFSET('IWP19'!Std8dot3IssuesConcerns, 5, 0, 1, 1) = 0, "", OFFSET('IWP19'!Std8dot3IssuesConcerns, 5, 0, 1, 1))</f>
        <v/>
      </c>
      <c r="D2076" s="172">
        <f ca="1">IF(OFFSET('IWP19'!Std8dot3IssuesConcerns, 5, 1, 1, 1)=DATE(1900,1,0), DATE(1900,1,1), OFFSET('IWP19'!Std8dot3IssuesConcerns, 5, 1, 1, 1))</f>
        <v>1</v>
      </c>
      <c r="E2076" s="194" t="str">
        <f ca="1">IF(OFFSET('IWP19'!Std8dot3IssuesConcerns, 5, 2, 1, 1) = 0, "", OFFSET('IWP19'!Std8dot3IssuesConcerns, 5, 2, 1, 1))</f>
        <v/>
      </c>
    </row>
    <row r="2077" spans="1:5" s="146" customFormat="1">
      <c r="A2077" s="193" t="s">
        <v>518</v>
      </c>
      <c r="B2077" s="195" t="s">
        <v>249</v>
      </c>
      <c r="C2077" s="195" t="str">
        <f ca="1">IF(OFFSET('IWP20'!Std8dot3IssuesConcerns, 0, 0, 1, 1) = 0, "", OFFSET('IWP20'!Std8dot3IssuesConcerns, 0, 0, 1, 1))</f>
        <v/>
      </c>
      <c r="D2077" s="172">
        <f ca="1">IF(OFFSET('IWP20'!Std8dot3IssuesConcerns, 0, 1, 1, 1)=DATE(1900,1,0), DATE(1900,1,1), OFFSET('IWP20'!Std8dot3IssuesConcerns, 0, 1, 1, 1))</f>
        <v>1</v>
      </c>
      <c r="E2077" s="194" t="str">
        <f ca="1">IF(OFFSET('IWP20'!Std8dot3IssuesConcerns, 0, 2, 1, 1) = 0, "", OFFSET('IWP20'!Std8dot3IssuesConcerns, 0, 2, 1, 1))</f>
        <v/>
      </c>
    </row>
    <row r="2078" spans="1:5" s="146" customFormat="1">
      <c r="A2078" s="193" t="s">
        <v>518</v>
      </c>
      <c r="B2078" s="195" t="s">
        <v>250</v>
      </c>
      <c r="C2078" s="195" t="str">
        <f ca="1">IF(OFFSET('IWP20'!Std8dot3IssuesConcerns, 1, 0, 1, 1) = 0, "", OFFSET('IWP20'!Std8dot3IssuesConcerns, 1, 0, 1, 1))</f>
        <v/>
      </c>
      <c r="D2078" s="172">
        <f ca="1">IF(OFFSET('IWP20'!Std8dot3IssuesConcerns, 1, 1, 1, 1)=DATE(1900,1,0), DATE(1900,1,1), OFFSET('IWP20'!Std8dot3IssuesConcerns, 1, 1, 1, 1))</f>
        <v>1</v>
      </c>
      <c r="E2078" s="194" t="str">
        <f ca="1">IF(OFFSET('IWP20'!Std8dot3IssuesConcerns, 1, 2, 1, 1) = 0, "", OFFSET('IWP20'!Std8dot3IssuesConcerns, 1, 2, 1, 1))</f>
        <v/>
      </c>
    </row>
    <row r="2079" spans="1:5" s="146" customFormat="1">
      <c r="A2079" s="193" t="s">
        <v>518</v>
      </c>
      <c r="B2079" s="195" t="s">
        <v>251</v>
      </c>
      <c r="C2079" s="195" t="str">
        <f ca="1">IF(OFFSET('IWP20'!Std8dot3IssuesConcerns, 2, 0, 1, 1) = 0, "", OFFSET('IWP20'!Std8dot3IssuesConcerns, 2, 0, 1, 1))</f>
        <v/>
      </c>
      <c r="D2079" s="172">
        <f ca="1">IF(OFFSET('IWP20'!Std8dot3IssuesConcerns, 2, 1, 1, 1)=DATE(1900,1,0), DATE(1900,1,1), OFFSET('IWP20'!Std8dot3IssuesConcerns, 2, 1, 1, 1))</f>
        <v>1</v>
      </c>
      <c r="E2079" s="194" t="str">
        <f ca="1">IF(OFFSET('IWP20'!Std8dot3IssuesConcerns, 2, 2, 1, 1) = 0, "", OFFSET('IWP20'!Std8dot3IssuesConcerns, 2, 2, 1, 1))</f>
        <v/>
      </c>
    </row>
    <row r="2080" spans="1:5" s="146" customFormat="1">
      <c r="A2080" s="193" t="s">
        <v>518</v>
      </c>
      <c r="B2080" s="195" t="s">
        <v>252</v>
      </c>
      <c r="C2080" s="195" t="str">
        <f ca="1">IF(OFFSET('IWP20'!Std8dot3IssuesConcerns, 3, 0, 1, 1) = 0, "", OFFSET('IWP20'!Std8dot3IssuesConcerns, 3, 0, 1, 1))</f>
        <v/>
      </c>
      <c r="D2080" s="172">
        <f ca="1">IF(OFFSET('IWP20'!Std8dot3IssuesConcerns, 3, 1, 1, 1)=DATE(1900,1,0), DATE(1900,1,1), OFFSET('IWP20'!Std8dot3IssuesConcerns, 3, 1, 1, 1))</f>
        <v>1</v>
      </c>
      <c r="E2080" s="194" t="str">
        <f ca="1">IF(OFFSET('IWP20'!Std8dot3IssuesConcerns, 3, 2, 1, 1) = 0, "", OFFSET('IWP20'!Std8dot3IssuesConcerns, 3, 2, 1, 1))</f>
        <v/>
      </c>
    </row>
    <row r="2081" spans="1:5" s="146" customFormat="1">
      <c r="A2081" s="193" t="s">
        <v>518</v>
      </c>
      <c r="B2081" s="195" t="s">
        <v>253</v>
      </c>
      <c r="C2081" s="195" t="str">
        <f ca="1">IF(OFFSET('IWP20'!Std8dot3IssuesConcerns, 4, 0, 1, 1) = 0, "", OFFSET('IWP20'!Std8dot3IssuesConcerns, 4, 0, 1, 1))</f>
        <v/>
      </c>
      <c r="D2081" s="172">
        <f ca="1">IF(OFFSET('IWP20'!Std8dot3IssuesConcerns, 4, 1, 1, 1)=DATE(1900,1,0), DATE(1900,1,1), OFFSET('IWP20'!Std8dot3IssuesConcerns, 4, 1, 1, 1))</f>
        <v>1</v>
      </c>
      <c r="E2081" s="194" t="str">
        <f ca="1">IF(OFFSET('IWP20'!Std8dot3IssuesConcerns, 4, 2, 1, 1) = 0, "", OFFSET('IWP20'!Std8dot3IssuesConcerns, 4, 2, 1, 1))</f>
        <v/>
      </c>
    </row>
    <row r="2082" spans="1:5" s="146" customFormat="1">
      <c r="A2082" s="193" t="s">
        <v>518</v>
      </c>
      <c r="B2082" s="195" t="s">
        <v>254</v>
      </c>
      <c r="C2082" s="195" t="str">
        <f ca="1">IF(OFFSET('IWP20'!Std8dot3IssuesConcerns, 5, 0, 1, 1) = 0, "", OFFSET('IWP20'!Std8dot3IssuesConcerns, 5, 0, 1, 1))</f>
        <v/>
      </c>
      <c r="D2082" s="172">
        <f ca="1">IF(OFFSET('IWP20'!Std8dot3IssuesConcerns, 5, 1, 1, 1)=DATE(1900,1,0), DATE(1900,1,1), OFFSET('IWP20'!Std8dot3IssuesConcerns, 5, 1, 1, 1))</f>
        <v>1</v>
      </c>
      <c r="E2082" s="194" t="str">
        <f ca="1">IF(OFFSET('IWP20'!Std8dot3IssuesConcerns, 5, 2, 1, 1) = 0, "", OFFSET('IWP20'!Std8dot3IssuesConcerns, 5, 2, 1, 1))</f>
        <v/>
      </c>
    </row>
    <row r="2083" spans="1:5" s="146" customFormat="1">
      <c r="A2083" s="193" t="s">
        <v>519</v>
      </c>
      <c r="B2083" s="195" t="s">
        <v>249</v>
      </c>
      <c r="C2083" s="195" t="str">
        <f ca="1">IF(OFFSET('IWP21'!Std8dot3IssuesConcerns, 0, 0, 1, 1) = 0, "", OFFSET('IWP21'!Std8dot3IssuesConcerns, 0, 0, 1, 1))</f>
        <v/>
      </c>
      <c r="D2083" s="172">
        <f ca="1">IF(OFFSET('IWP21'!Std8dot3IssuesConcerns, 0, 1, 1, 1)=DATE(1900,1,0), DATE(1900,1,1), OFFSET('IWP21'!Std8dot3IssuesConcerns, 0, 1, 1, 1))</f>
        <v>1</v>
      </c>
      <c r="E2083" s="194" t="str">
        <f ca="1">IF(OFFSET('IWP21'!Std8dot3IssuesConcerns, 0, 2, 1, 1) = 0, "", OFFSET('IWP21'!Std8dot3IssuesConcerns, 0, 2, 1, 1))</f>
        <v/>
      </c>
    </row>
    <row r="2084" spans="1:5" s="146" customFormat="1">
      <c r="A2084" s="193" t="s">
        <v>519</v>
      </c>
      <c r="B2084" s="195" t="s">
        <v>250</v>
      </c>
      <c r="C2084" s="195" t="str">
        <f ca="1">IF(OFFSET('IWP21'!Std8dot3IssuesConcerns, 1, 0, 1, 1) = 0, "", OFFSET('IWP21'!Std8dot3IssuesConcerns, 1, 0, 1, 1))</f>
        <v/>
      </c>
      <c r="D2084" s="172">
        <f ca="1">IF(OFFSET('IWP21'!Std8dot3IssuesConcerns, 1, 1, 1, 1)=DATE(1900,1,0), DATE(1900,1,1), OFFSET('IWP21'!Std8dot3IssuesConcerns, 1, 1, 1, 1))</f>
        <v>1</v>
      </c>
      <c r="E2084" s="194" t="str">
        <f ca="1">IF(OFFSET('IWP21'!Std8dot3IssuesConcerns, 1, 2, 1, 1) = 0, "", OFFSET('IWP21'!Std8dot3IssuesConcerns, 1, 2, 1, 1))</f>
        <v/>
      </c>
    </row>
    <row r="2085" spans="1:5" s="146" customFormat="1">
      <c r="A2085" s="193" t="s">
        <v>519</v>
      </c>
      <c r="B2085" s="195" t="s">
        <v>251</v>
      </c>
      <c r="C2085" s="195" t="str">
        <f ca="1">IF(OFFSET('IWP21'!Std8dot3IssuesConcerns, 2, 0, 1, 1) = 0, "", OFFSET('IWP21'!Std8dot3IssuesConcerns, 2, 0, 1, 1))</f>
        <v/>
      </c>
      <c r="D2085" s="172">
        <f ca="1">IF(OFFSET('IWP21'!Std8dot3IssuesConcerns, 2, 1, 1, 1)=DATE(1900,1,0), DATE(1900,1,1), OFFSET('IWP21'!Std8dot3IssuesConcerns, 2, 1, 1, 1))</f>
        <v>1</v>
      </c>
      <c r="E2085" s="194" t="str">
        <f ca="1">IF(OFFSET('IWP21'!Std8dot3IssuesConcerns, 2, 2, 1, 1) = 0, "", OFFSET('IWP21'!Std8dot3IssuesConcerns, 2, 2, 1, 1))</f>
        <v/>
      </c>
    </row>
    <row r="2086" spans="1:5" s="146" customFormat="1">
      <c r="A2086" s="193" t="s">
        <v>519</v>
      </c>
      <c r="B2086" s="195" t="s">
        <v>252</v>
      </c>
      <c r="C2086" s="195" t="str">
        <f ca="1">IF(OFFSET('IWP21'!Std8dot3IssuesConcerns, 3, 0, 1, 1) = 0, "", OFFSET('IWP21'!Std8dot3IssuesConcerns, 3, 0, 1, 1))</f>
        <v/>
      </c>
      <c r="D2086" s="172">
        <f ca="1">IF(OFFSET('IWP21'!Std8dot3IssuesConcerns, 3, 1, 1, 1)=DATE(1900,1,0), DATE(1900,1,1), OFFSET('IWP21'!Std8dot3IssuesConcerns, 3, 1, 1, 1))</f>
        <v>1</v>
      </c>
      <c r="E2086" s="194" t="str">
        <f ca="1">IF(OFFSET('IWP21'!Std8dot3IssuesConcerns, 3, 2, 1, 1) = 0, "", OFFSET('IWP21'!Std8dot3IssuesConcerns, 3, 2, 1, 1))</f>
        <v/>
      </c>
    </row>
    <row r="2087" spans="1:5" s="146" customFormat="1">
      <c r="A2087" s="193" t="s">
        <v>519</v>
      </c>
      <c r="B2087" s="195" t="s">
        <v>253</v>
      </c>
      <c r="C2087" s="195" t="str">
        <f ca="1">IF(OFFSET('IWP21'!Std8dot3IssuesConcerns, 4, 0, 1, 1) = 0, "", OFFSET('IWP21'!Std8dot3IssuesConcerns, 4, 0, 1, 1))</f>
        <v/>
      </c>
      <c r="D2087" s="172">
        <f ca="1">IF(OFFSET('IWP21'!Std8dot3IssuesConcerns, 4, 1, 1, 1)=DATE(1900,1,0), DATE(1900,1,1), OFFSET('IWP21'!Std8dot3IssuesConcerns, 4, 1, 1, 1))</f>
        <v>1</v>
      </c>
      <c r="E2087" s="194" t="str">
        <f ca="1">IF(OFFSET('IWP21'!Std8dot3IssuesConcerns, 4, 2, 1, 1) = 0, "", OFFSET('IWP21'!Std8dot3IssuesConcerns, 4, 2, 1, 1))</f>
        <v/>
      </c>
    </row>
    <row r="2088" spans="1:5" s="146" customFormat="1">
      <c r="A2088" s="193" t="s">
        <v>519</v>
      </c>
      <c r="B2088" s="195" t="s">
        <v>254</v>
      </c>
      <c r="C2088" s="195" t="str">
        <f ca="1">IF(OFFSET('IWP21'!Std8dot3IssuesConcerns, 5, 0, 1, 1) = 0, "", OFFSET('IWP21'!Std8dot3IssuesConcerns, 5, 0, 1, 1))</f>
        <v/>
      </c>
      <c r="D2088" s="172">
        <f ca="1">IF(OFFSET('IWP21'!Std8dot3IssuesConcerns, 5, 1, 1, 1)=DATE(1900,1,0), DATE(1900,1,1), OFFSET('IWP21'!Std8dot3IssuesConcerns, 5, 1, 1, 1))</f>
        <v>1</v>
      </c>
      <c r="E2088" s="194" t="str">
        <f ca="1">IF(OFFSET('IWP21'!Std8dot3IssuesConcerns, 5, 2, 1, 1) = 0, "", OFFSET('IWP21'!Std8dot3IssuesConcerns, 5, 2, 1, 1))</f>
        <v/>
      </c>
    </row>
    <row r="2089" spans="1:5" s="146" customFormat="1">
      <c r="A2089" s="193" t="s">
        <v>520</v>
      </c>
      <c r="B2089" s="195" t="s">
        <v>249</v>
      </c>
      <c r="C2089" s="195" t="str">
        <f ca="1">IF(OFFSET('IWP22'!Std8dot3IssuesConcerns, 0, 0, 1, 1) = 0, "", OFFSET('IWP22'!Std8dot3IssuesConcerns, 0, 0, 1, 1))</f>
        <v/>
      </c>
      <c r="D2089" s="172">
        <f ca="1">IF(OFFSET('IWP22'!Std8dot3IssuesConcerns, 0, 1, 1, 1)=DATE(1900,1,0), DATE(1900,1,1), OFFSET('IWP22'!Std8dot3IssuesConcerns, 0, 1, 1, 1))</f>
        <v>1</v>
      </c>
      <c r="E2089" s="194" t="str">
        <f ca="1">IF(OFFSET('IWP22'!Std8dot3IssuesConcerns, 0, 2, 1, 1) = 0, "", OFFSET('IWP22'!Std8dot3IssuesConcerns, 0, 2, 1, 1))</f>
        <v/>
      </c>
    </row>
    <row r="2090" spans="1:5" s="146" customFormat="1">
      <c r="A2090" s="193" t="s">
        <v>520</v>
      </c>
      <c r="B2090" s="195" t="s">
        <v>250</v>
      </c>
      <c r="C2090" s="195" t="str">
        <f ca="1">IF(OFFSET('IWP22'!Std8dot3IssuesConcerns, 1, 0, 1, 1) = 0, "", OFFSET('IWP22'!Std8dot3IssuesConcerns, 1, 0, 1, 1))</f>
        <v/>
      </c>
      <c r="D2090" s="172">
        <f ca="1">IF(OFFSET('IWP22'!Std8dot3IssuesConcerns, 1, 1, 1, 1)=DATE(1900,1,0), DATE(1900,1,1), OFFSET('IWP22'!Std8dot3IssuesConcerns, 1, 1, 1, 1))</f>
        <v>1</v>
      </c>
      <c r="E2090" s="194" t="str">
        <f ca="1">IF(OFFSET('IWP22'!Std8dot3IssuesConcerns, 1, 2, 1, 1) = 0, "", OFFSET('IWP22'!Std8dot3IssuesConcerns, 1, 2, 1, 1))</f>
        <v/>
      </c>
    </row>
    <row r="2091" spans="1:5" s="146" customFormat="1">
      <c r="A2091" s="193" t="s">
        <v>520</v>
      </c>
      <c r="B2091" s="195" t="s">
        <v>251</v>
      </c>
      <c r="C2091" s="195" t="str">
        <f ca="1">IF(OFFSET('IWP22'!Std8dot3IssuesConcerns, 2, 0, 1, 1) = 0, "", OFFSET('IWP22'!Std8dot3IssuesConcerns, 2, 0, 1, 1))</f>
        <v/>
      </c>
      <c r="D2091" s="172">
        <f ca="1">IF(OFFSET('IWP22'!Std8dot3IssuesConcerns, 2, 1, 1, 1)=DATE(1900,1,0), DATE(1900,1,1), OFFSET('IWP22'!Std8dot3IssuesConcerns, 2, 1, 1, 1))</f>
        <v>1</v>
      </c>
      <c r="E2091" s="194" t="str">
        <f ca="1">IF(OFFSET('IWP22'!Std8dot3IssuesConcerns, 2, 2, 1, 1) = 0, "", OFFSET('IWP22'!Std8dot3IssuesConcerns, 2, 2, 1, 1))</f>
        <v/>
      </c>
    </row>
    <row r="2092" spans="1:5" s="146" customFormat="1">
      <c r="A2092" s="193" t="s">
        <v>520</v>
      </c>
      <c r="B2092" s="195" t="s">
        <v>252</v>
      </c>
      <c r="C2092" s="195" t="str">
        <f ca="1">IF(OFFSET('IWP22'!Std8dot3IssuesConcerns, 3, 0, 1, 1) = 0, "", OFFSET('IWP22'!Std8dot3IssuesConcerns, 3, 0, 1, 1))</f>
        <v/>
      </c>
      <c r="D2092" s="172">
        <f ca="1">IF(OFFSET('IWP22'!Std8dot3IssuesConcerns, 3, 1, 1, 1)=DATE(1900,1,0), DATE(1900,1,1), OFFSET('IWP22'!Std8dot3IssuesConcerns, 3, 1, 1, 1))</f>
        <v>1</v>
      </c>
      <c r="E2092" s="194" t="str">
        <f ca="1">IF(OFFSET('IWP22'!Std8dot3IssuesConcerns, 3, 2, 1, 1) = 0, "", OFFSET('IWP22'!Std8dot3IssuesConcerns, 3, 2, 1, 1))</f>
        <v/>
      </c>
    </row>
    <row r="2093" spans="1:5" s="146" customFormat="1">
      <c r="A2093" s="193" t="s">
        <v>520</v>
      </c>
      <c r="B2093" s="195" t="s">
        <v>253</v>
      </c>
      <c r="C2093" s="195" t="str">
        <f ca="1">IF(OFFSET('IWP22'!Std8dot3IssuesConcerns, 4, 0, 1, 1) = 0, "", OFFSET('IWP22'!Std8dot3IssuesConcerns, 4, 0, 1, 1))</f>
        <v/>
      </c>
      <c r="D2093" s="172">
        <f ca="1">IF(OFFSET('IWP22'!Std8dot3IssuesConcerns, 4, 1, 1, 1)=DATE(1900,1,0), DATE(1900,1,1), OFFSET('IWP22'!Std8dot3IssuesConcerns, 4, 1, 1, 1))</f>
        <v>1</v>
      </c>
      <c r="E2093" s="194" t="str">
        <f ca="1">IF(OFFSET('IWP22'!Std8dot3IssuesConcerns, 4, 2, 1, 1) = 0, "", OFFSET('IWP22'!Std8dot3IssuesConcerns, 4, 2, 1, 1))</f>
        <v/>
      </c>
    </row>
    <row r="2094" spans="1:5" s="146" customFormat="1">
      <c r="A2094" s="193" t="s">
        <v>520</v>
      </c>
      <c r="B2094" s="195" t="s">
        <v>254</v>
      </c>
      <c r="C2094" s="195" t="str">
        <f ca="1">IF(OFFSET('IWP22'!Std8dot3IssuesConcerns, 5, 0, 1, 1) = 0, "", OFFSET('IWP22'!Std8dot3IssuesConcerns, 5, 0, 1, 1))</f>
        <v/>
      </c>
      <c r="D2094" s="172">
        <f ca="1">IF(OFFSET('IWP22'!Std8dot3IssuesConcerns, 5, 1, 1, 1)=DATE(1900,1,0), DATE(1900,1,1), OFFSET('IWP22'!Std8dot3IssuesConcerns, 5, 1, 1, 1))</f>
        <v>1</v>
      </c>
      <c r="E2094" s="194" t="str">
        <f ca="1">IF(OFFSET('IWP22'!Std8dot3IssuesConcerns, 5, 2, 1, 1) = 0, "", OFFSET('IWP22'!Std8dot3IssuesConcerns, 5, 2, 1, 1))</f>
        <v/>
      </c>
    </row>
    <row r="2095" spans="1:5" s="146" customFormat="1">
      <c r="A2095" s="193" t="s">
        <v>521</v>
      </c>
      <c r="B2095" s="195" t="s">
        <v>249</v>
      </c>
      <c r="C2095" s="195" t="str">
        <f ca="1">IF(OFFSET('IWP23'!Std8dot3IssuesConcerns, 0, 0, 1, 1) = 0, "", OFFSET('IWP23'!Std8dot3IssuesConcerns, 0, 0, 1, 1))</f>
        <v/>
      </c>
      <c r="D2095" s="172">
        <f ca="1">IF(OFFSET('IWP23'!Std8dot3IssuesConcerns, 0, 1, 1, 1)=DATE(1900,1,0), DATE(1900,1,1), OFFSET('IWP23'!Std8dot3IssuesConcerns, 0, 1, 1, 1))</f>
        <v>1</v>
      </c>
      <c r="E2095" s="194" t="str">
        <f ca="1">IF(OFFSET('IWP23'!Std8dot3IssuesConcerns, 0, 2, 1, 1) = 0, "", OFFSET('IWP23'!Std8dot3IssuesConcerns, 0, 2, 1, 1))</f>
        <v/>
      </c>
    </row>
    <row r="2096" spans="1:5" s="146" customFormat="1">
      <c r="A2096" s="193" t="s">
        <v>521</v>
      </c>
      <c r="B2096" s="195" t="s">
        <v>250</v>
      </c>
      <c r="C2096" s="195" t="str">
        <f ca="1">IF(OFFSET('IWP23'!Std8dot3IssuesConcerns, 1, 0, 1, 1) = 0, "", OFFSET('IWP23'!Std8dot3IssuesConcerns, 1, 0, 1, 1))</f>
        <v/>
      </c>
      <c r="D2096" s="172">
        <f ca="1">IF(OFFSET('IWP23'!Std8dot3IssuesConcerns, 1, 1, 1, 1)=DATE(1900,1,0), DATE(1900,1,1), OFFSET('IWP23'!Std8dot3IssuesConcerns, 1, 1, 1, 1))</f>
        <v>1</v>
      </c>
      <c r="E2096" s="194" t="str">
        <f ca="1">IF(OFFSET('IWP23'!Std8dot3IssuesConcerns, 1, 2, 1, 1) = 0, "", OFFSET('IWP23'!Std8dot3IssuesConcerns, 1, 2, 1, 1))</f>
        <v/>
      </c>
    </row>
    <row r="2097" spans="1:5" s="146" customFormat="1">
      <c r="A2097" s="193" t="s">
        <v>521</v>
      </c>
      <c r="B2097" s="195" t="s">
        <v>251</v>
      </c>
      <c r="C2097" s="195" t="str">
        <f ca="1">IF(OFFSET('IWP23'!Std8dot3IssuesConcerns, 2, 0, 1, 1) = 0, "", OFFSET('IWP23'!Std8dot3IssuesConcerns, 2, 0, 1, 1))</f>
        <v/>
      </c>
      <c r="D2097" s="172">
        <f ca="1">IF(OFFSET('IWP23'!Std8dot3IssuesConcerns, 2, 1, 1, 1)=DATE(1900,1,0), DATE(1900,1,1), OFFSET('IWP23'!Std8dot3IssuesConcerns, 2, 1, 1, 1))</f>
        <v>1</v>
      </c>
      <c r="E2097" s="194" t="str">
        <f ca="1">IF(OFFSET('IWP23'!Std8dot3IssuesConcerns, 2, 2, 1, 1) = 0, "", OFFSET('IWP23'!Std8dot3IssuesConcerns, 2, 2, 1, 1))</f>
        <v/>
      </c>
    </row>
    <row r="2098" spans="1:5" s="146" customFormat="1">
      <c r="A2098" s="193" t="s">
        <v>521</v>
      </c>
      <c r="B2098" s="195" t="s">
        <v>252</v>
      </c>
      <c r="C2098" s="195" t="str">
        <f ca="1">IF(OFFSET('IWP23'!Std8dot3IssuesConcerns, 3, 0, 1, 1) = 0, "", OFFSET('IWP23'!Std8dot3IssuesConcerns, 3, 0, 1, 1))</f>
        <v/>
      </c>
      <c r="D2098" s="172">
        <f ca="1">IF(OFFSET('IWP23'!Std8dot3IssuesConcerns, 3, 1, 1, 1)=DATE(1900,1,0), DATE(1900,1,1), OFFSET('IWP23'!Std8dot3IssuesConcerns, 3, 1, 1, 1))</f>
        <v>1</v>
      </c>
      <c r="E2098" s="194" t="str">
        <f ca="1">IF(OFFSET('IWP23'!Std8dot3IssuesConcerns, 3, 2, 1, 1) = 0, "", OFFSET('IWP23'!Std8dot3IssuesConcerns, 3, 2, 1, 1))</f>
        <v/>
      </c>
    </row>
    <row r="2099" spans="1:5" s="146" customFormat="1">
      <c r="A2099" s="193" t="s">
        <v>521</v>
      </c>
      <c r="B2099" s="195" t="s">
        <v>253</v>
      </c>
      <c r="C2099" s="195" t="str">
        <f ca="1">IF(OFFSET('IWP23'!Std8dot3IssuesConcerns, 4, 0, 1, 1) = 0, "", OFFSET('IWP23'!Std8dot3IssuesConcerns, 4, 0, 1, 1))</f>
        <v/>
      </c>
      <c r="D2099" s="172">
        <f ca="1">IF(OFFSET('IWP23'!Std8dot3IssuesConcerns, 4, 1, 1, 1)=DATE(1900,1,0), DATE(1900,1,1), OFFSET('IWP23'!Std8dot3IssuesConcerns, 4, 1, 1, 1))</f>
        <v>1</v>
      </c>
      <c r="E2099" s="194" t="str">
        <f ca="1">IF(OFFSET('IWP23'!Std8dot3IssuesConcerns, 4, 2, 1, 1) = 0, "", OFFSET('IWP23'!Std8dot3IssuesConcerns, 4, 2, 1, 1))</f>
        <v/>
      </c>
    </row>
    <row r="2100" spans="1:5" s="146" customFormat="1">
      <c r="A2100" s="193" t="s">
        <v>521</v>
      </c>
      <c r="B2100" s="195" t="s">
        <v>254</v>
      </c>
      <c r="C2100" s="195" t="str">
        <f ca="1">IF(OFFSET('IWP23'!Std8dot3IssuesConcerns, 5, 0, 1, 1) = 0, "", OFFSET('IWP23'!Std8dot3IssuesConcerns, 5, 0, 1, 1))</f>
        <v/>
      </c>
      <c r="D2100" s="172">
        <f ca="1">IF(OFFSET('IWP23'!Std8dot3IssuesConcerns, 5, 1, 1, 1)=DATE(1900,1,0), DATE(1900,1,1), OFFSET('IWP23'!Std8dot3IssuesConcerns, 5, 1, 1, 1))</f>
        <v>1</v>
      </c>
      <c r="E2100" s="194" t="str">
        <f ca="1">IF(OFFSET('IWP23'!Std8dot3IssuesConcerns, 5, 2, 1, 1) = 0, "", OFFSET('IWP23'!Std8dot3IssuesConcerns, 5, 2, 1, 1))</f>
        <v/>
      </c>
    </row>
    <row r="2101" spans="1:5" s="146" customFormat="1">
      <c r="A2101" s="193" t="s">
        <v>522</v>
      </c>
      <c r="B2101" s="195" t="s">
        <v>249</v>
      </c>
      <c r="C2101" s="195" t="str">
        <f ca="1">IF(OFFSET('IWP24'!Std8dot3IssuesConcerns, 0, 0, 1, 1) = 0, "", OFFSET('IWP24'!Std8dot3IssuesConcerns, 0, 0, 1, 1))</f>
        <v/>
      </c>
      <c r="D2101" s="172">
        <f ca="1">IF(OFFSET('IWP24'!Std8dot3IssuesConcerns, 0, 1, 1, 1)=DATE(1900,1,0), DATE(1900,1,1), OFFSET('IWP24'!Std8dot3IssuesConcerns, 0, 1, 1, 1))</f>
        <v>1</v>
      </c>
      <c r="E2101" s="194" t="str">
        <f ca="1">IF(OFFSET('IWP24'!Std8dot3IssuesConcerns, 0, 2, 1, 1) = 0, "", OFFSET('IWP24'!Std8dot3IssuesConcerns, 0, 2, 1, 1))</f>
        <v/>
      </c>
    </row>
    <row r="2102" spans="1:5" s="146" customFormat="1">
      <c r="A2102" s="193" t="s">
        <v>522</v>
      </c>
      <c r="B2102" s="195" t="s">
        <v>250</v>
      </c>
      <c r="C2102" s="195" t="str">
        <f ca="1">IF(OFFSET('IWP24'!Std8dot3IssuesConcerns, 1, 0, 1, 1) = 0, "", OFFSET('IWP24'!Std8dot3IssuesConcerns, 1, 0, 1, 1))</f>
        <v/>
      </c>
      <c r="D2102" s="172">
        <f ca="1">IF(OFFSET('IWP24'!Std8dot3IssuesConcerns, 1, 1, 1, 1)=DATE(1900,1,0), DATE(1900,1,1), OFFSET('IWP24'!Std8dot3IssuesConcerns, 1, 1, 1, 1))</f>
        <v>1</v>
      </c>
      <c r="E2102" s="194" t="str">
        <f ca="1">IF(OFFSET('IWP24'!Std8dot3IssuesConcerns, 1, 2, 1, 1) = 0, "", OFFSET('IWP24'!Std8dot3IssuesConcerns, 1, 2, 1, 1))</f>
        <v/>
      </c>
    </row>
    <row r="2103" spans="1:5" s="146" customFormat="1">
      <c r="A2103" s="193" t="s">
        <v>522</v>
      </c>
      <c r="B2103" s="195" t="s">
        <v>251</v>
      </c>
      <c r="C2103" s="195" t="str">
        <f ca="1">IF(OFFSET('IWP24'!Std8dot3IssuesConcerns, 2, 0, 1, 1) = 0, "", OFFSET('IWP24'!Std8dot3IssuesConcerns, 2, 0, 1, 1))</f>
        <v/>
      </c>
      <c r="D2103" s="172">
        <f ca="1">IF(OFFSET('IWP24'!Std8dot3IssuesConcerns, 2, 1, 1, 1)=DATE(1900,1,0), DATE(1900,1,1), OFFSET('IWP24'!Std8dot3IssuesConcerns, 2, 1, 1, 1))</f>
        <v>1</v>
      </c>
      <c r="E2103" s="194" t="str">
        <f ca="1">IF(OFFSET('IWP24'!Std8dot3IssuesConcerns, 2, 2, 1, 1) = 0, "", OFFSET('IWP24'!Std8dot3IssuesConcerns, 2, 2, 1, 1))</f>
        <v/>
      </c>
    </row>
    <row r="2104" spans="1:5" s="146" customFormat="1">
      <c r="A2104" s="193" t="s">
        <v>522</v>
      </c>
      <c r="B2104" s="195" t="s">
        <v>252</v>
      </c>
      <c r="C2104" s="195" t="str">
        <f ca="1">IF(OFFSET('IWP24'!Std8dot3IssuesConcerns, 3, 0, 1, 1) = 0, "", OFFSET('IWP24'!Std8dot3IssuesConcerns, 3, 0, 1, 1))</f>
        <v/>
      </c>
      <c r="D2104" s="172">
        <f ca="1">IF(OFFSET('IWP24'!Std8dot3IssuesConcerns, 3, 1, 1, 1)=DATE(1900,1,0), DATE(1900,1,1), OFFSET('IWP24'!Std8dot3IssuesConcerns, 3, 1, 1, 1))</f>
        <v>1</v>
      </c>
      <c r="E2104" s="194" t="str">
        <f ca="1">IF(OFFSET('IWP24'!Std8dot3IssuesConcerns, 3, 2, 1, 1) = 0, "", OFFSET('IWP24'!Std8dot3IssuesConcerns, 3, 2, 1, 1))</f>
        <v/>
      </c>
    </row>
    <row r="2105" spans="1:5" s="146" customFormat="1">
      <c r="A2105" s="193" t="s">
        <v>522</v>
      </c>
      <c r="B2105" s="195" t="s">
        <v>253</v>
      </c>
      <c r="C2105" s="195" t="str">
        <f ca="1">IF(OFFSET('IWP24'!Std8dot3IssuesConcerns, 4, 0, 1, 1) = 0, "", OFFSET('IWP24'!Std8dot3IssuesConcerns, 4, 0, 1, 1))</f>
        <v/>
      </c>
      <c r="D2105" s="172">
        <f ca="1">IF(OFFSET('IWP24'!Std8dot3IssuesConcerns, 4, 1, 1, 1)=DATE(1900,1,0), DATE(1900,1,1), OFFSET('IWP24'!Std8dot3IssuesConcerns, 4, 1, 1, 1))</f>
        <v>1</v>
      </c>
      <c r="E2105" s="194" t="str">
        <f ca="1">IF(OFFSET('IWP24'!Std8dot3IssuesConcerns, 4, 2, 1, 1) = 0, "", OFFSET('IWP24'!Std8dot3IssuesConcerns, 4, 2, 1, 1))</f>
        <v/>
      </c>
    </row>
    <row r="2106" spans="1:5" s="146" customFormat="1">
      <c r="A2106" s="193" t="s">
        <v>522</v>
      </c>
      <c r="B2106" s="195" t="s">
        <v>254</v>
      </c>
      <c r="C2106" s="195" t="str">
        <f ca="1">IF(OFFSET('IWP24'!Std8dot3IssuesConcerns, 5, 0, 1, 1) = 0, "", OFFSET('IWP24'!Std8dot3IssuesConcerns, 5, 0, 1, 1))</f>
        <v/>
      </c>
      <c r="D2106" s="172">
        <f ca="1">IF(OFFSET('IWP24'!Std8dot3IssuesConcerns, 5, 1, 1, 1)=DATE(1900,1,0), DATE(1900,1,1), OFFSET('IWP24'!Std8dot3IssuesConcerns, 5, 1, 1, 1))</f>
        <v>1</v>
      </c>
      <c r="E2106" s="194" t="str">
        <f ca="1">IF(OFFSET('IWP24'!Std8dot3IssuesConcerns, 5, 2, 1, 1) = 0, "", OFFSET('IWP24'!Std8dot3IssuesConcerns, 5, 2, 1, 1))</f>
        <v/>
      </c>
    </row>
    <row r="2107" spans="1:5" s="146" customFormat="1">
      <c r="A2107" s="193" t="s">
        <v>523</v>
      </c>
      <c r="B2107" s="195" t="s">
        <v>249</v>
      </c>
      <c r="C2107" s="195" t="str">
        <f ca="1">IF(OFFSET('IWP25'!Std8dot3IssuesConcerns, 0, 0, 1, 1) = 0, "", OFFSET('IWP25'!Std8dot3IssuesConcerns, 0, 0, 1, 1))</f>
        <v/>
      </c>
      <c r="D2107" s="172">
        <f ca="1">IF(OFFSET('IWP25'!Std8dot3IssuesConcerns, 0, 1, 1, 1)=DATE(1900,1,0), DATE(1900,1,1), OFFSET('IWP25'!Std8dot3IssuesConcerns, 0, 1, 1, 1))</f>
        <v>1</v>
      </c>
      <c r="E2107" s="194" t="str">
        <f ca="1">IF(OFFSET('IWP25'!Std8dot3IssuesConcerns, 0, 2, 1, 1) = 0, "", OFFSET('IWP25'!Std8dot3IssuesConcerns, 0, 2, 1, 1))</f>
        <v/>
      </c>
    </row>
    <row r="2108" spans="1:5" s="146" customFormat="1">
      <c r="A2108" s="193" t="s">
        <v>523</v>
      </c>
      <c r="B2108" s="195" t="s">
        <v>250</v>
      </c>
      <c r="C2108" s="195" t="str">
        <f ca="1">IF(OFFSET('IWP25'!Std8dot3IssuesConcerns, 1, 0, 1, 1) = 0, "", OFFSET('IWP25'!Std8dot3IssuesConcerns, 1, 0, 1, 1))</f>
        <v/>
      </c>
      <c r="D2108" s="172">
        <f ca="1">IF(OFFSET('IWP25'!Std8dot3IssuesConcerns, 1, 1, 1, 1)=DATE(1900,1,0), DATE(1900,1,1), OFFSET('IWP25'!Std8dot3IssuesConcerns, 1, 1, 1, 1))</f>
        <v>1</v>
      </c>
      <c r="E2108" s="194" t="str">
        <f ca="1">IF(OFFSET('IWP25'!Std8dot3IssuesConcerns, 1, 2, 1, 1) = 0, "", OFFSET('IWP25'!Std8dot3IssuesConcerns, 1, 2, 1, 1))</f>
        <v/>
      </c>
    </row>
    <row r="2109" spans="1:5" s="146" customFormat="1">
      <c r="A2109" s="193" t="s">
        <v>523</v>
      </c>
      <c r="B2109" s="195" t="s">
        <v>251</v>
      </c>
      <c r="C2109" s="195" t="str">
        <f ca="1">IF(OFFSET('IWP25'!Std8dot3IssuesConcerns, 2, 0, 1, 1) = 0, "", OFFSET('IWP25'!Std8dot3IssuesConcerns, 2, 0, 1, 1))</f>
        <v/>
      </c>
      <c r="D2109" s="172">
        <f ca="1">IF(OFFSET('IWP25'!Std8dot3IssuesConcerns, 2, 1, 1, 1)=DATE(1900,1,0), DATE(1900,1,1), OFFSET('IWP25'!Std8dot3IssuesConcerns, 2, 1, 1, 1))</f>
        <v>1</v>
      </c>
      <c r="E2109" s="194" t="str">
        <f ca="1">IF(OFFSET('IWP25'!Std8dot3IssuesConcerns, 2, 2, 1, 1) = 0, "", OFFSET('IWP25'!Std8dot3IssuesConcerns, 2, 2, 1, 1))</f>
        <v/>
      </c>
    </row>
    <row r="2110" spans="1:5" s="146" customFormat="1">
      <c r="A2110" s="193" t="s">
        <v>523</v>
      </c>
      <c r="B2110" s="195" t="s">
        <v>252</v>
      </c>
      <c r="C2110" s="195" t="str">
        <f ca="1">IF(OFFSET('IWP25'!Std8dot3IssuesConcerns, 3, 0, 1, 1) = 0, "", OFFSET('IWP25'!Std8dot3IssuesConcerns, 3, 0, 1, 1))</f>
        <v/>
      </c>
      <c r="D2110" s="172">
        <f ca="1">IF(OFFSET('IWP25'!Std8dot3IssuesConcerns, 3, 1, 1, 1)=DATE(1900,1,0), DATE(1900,1,1), OFFSET('IWP25'!Std8dot3IssuesConcerns, 3, 1, 1, 1))</f>
        <v>1</v>
      </c>
      <c r="E2110" s="194" t="str">
        <f ca="1">IF(OFFSET('IWP25'!Std8dot3IssuesConcerns, 3, 2, 1, 1) = 0, "", OFFSET('IWP25'!Std8dot3IssuesConcerns, 3, 2, 1, 1))</f>
        <v/>
      </c>
    </row>
    <row r="2111" spans="1:5" s="146" customFormat="1">
      <c r="A2111" s="193" t="s">
        <v>523</v>
      </c>
      <c r="B2111" s="195" t="s">
        <v>253</v>
      </c>
      <c r="C2111" s="195" t="str">
        <f ca="1">IF(OFFSET('IWP25'!Std8dot3IssuesConcerns, 4, 0, 1, 1) = 0, "", OFFSET('IWP25'!Std8dot3IssuesConcerns, 4, 0, 1, 1))</f>
        <v/>
      </c>
      <c r="D2111" s="172">
        <f ca="1">IF(OFFSET('IWP25'!Std8dot3IssuesConcerns, 4, 1, 1, 1)=DATE(1900,1,0), DATE(1900,1,1), OFFSET('IWP25'!Std8dot3IssuesConcerns, 4, 1, 1, 1))</f>
        <v>1</v>
      </c>
      <c r="E2111" s="194" t="str">
        <f ca="1">IF(OFFSET('IWP25'!Std8dot3IssuesConcerns, 4, 2, 1, 1) = 0, "", OFFSET('IWP25'!Std8dot3IssuesConcerns, 4, 2, 1, 1))</f>
        <v/>
      </c>
    </row>
    <row r="2112" spans="1:5" s="146" customFormat="1">
      <c r="A2112" s="193" t="s">
        <v>523</v>
      </c>
      <c r="B2112" s="195" t="s">
        <v>254</v>
      </c>
      <c r="C2112" s="195" t="str">
        <f ca="1">IF(OFFSET('IWP25'!Std8dot3IssuesConcerns, 5, 0, 1, 1) = 0, "", OFFSET('IWP25'!Std8dot3IssuesConcerns, 5, 0, 1, 1))</f>
        <v/>
      </c>
      <c r="D2112" s="172">
        <f ca="1">IF(OFFSET('IWP25'!Std8dot3IssuesConcerns, 5, 1, 1, 1)=DATE(1900,1,0), DATE(1900,1,1), OFFSET('IWP25'!Std8dot3IssuesConcerns, 5, 1, 1, 1))</f>
        <v>1</v>
      </c>
      <c r="E2112" s="194" t="str">
        <f ca="1">IF(OFFSET('IWP25'!Std8dot3IssuesConcerns, 5, 2, 1, 1) = 0, "", OFFSET('IWP25'!Std8dot3IssuesConcerns, 5, 2, 1, 1))</f>
        <v/>
      </c>
    </row>
    <row r="2113" spans="1:5" s="146" customFormat="1">
      <c r="A2113" s="193" t="s">
        <v>524</v>
      </c>
      <c r="B2113" s="195" t="s">
        <v>249</v>
      </c>
      <c r="C2113" s="195" t="str">
        <f ca="1">IF(OFFSET('IWP26'!Std8dot3IssuesConcerns, 0, 0, 1, 1) = 0, "", OFFSET('IWP26'!Std8dot3IssuesConcerns, 0, 0, 1, 1))</f>
        <v/>
      </c>
      <c r="D2113" s="172">
        <f ca="1">IF(OFFSET('IWP26'!Std8dot3IssuesConcerns, 0, 1, 1, 1)=DATE(1900,1,0), DATE(1900,1,1), OFFSET('IWP26'!Std8dot3IssuesConcerns, 0, 1, 1, 1))</f>
        <v>1</v>
      </c>
      <c r="E2113" s="194" t="str">
        <f ca="1">IF(OFFSET('IWP26'!Std8dot3IssuesConcerns, 0, 2, 1, 1) = 0, "", OFFSET('IWP26'!Std8dot3IssuesConcerns, 0, 2, 1, 1))</f>
        <v/>
      </c>
    </row>
    <row r="2114" spans="1:5" s="146" customFormat="1">
      <c r="A2114" s="193" t="s">
        <v>524</v>
      </c>
      <c r="B2114" s="195" t="s">
        <v>250</v>
      </c>
      <c r="C2114" s="195" t="str">
        <f ca="1">IF(OFFSET('IWP26'!Std8dot3IssuesConcerns, 1, 0, 1, 1) = 0, "", OFFSET('IWP26'!Std8dot3IssuesConcerns, 1, 0, 1, 1))</f>
        <v/>
      </c>
      <c r="D2114" s="172">
        <f ca="1">IF(OFFSET('IWP26'!Std8dot3IssuesConcerns, 1, 1, 1, 1)=DATE(1900,1,0), DATE(1900,1,1), OFFSET('IWP26'!Std8dot3IssuesConcerns, 1, 1, 1, 1))</f>
        <v>1</v>
      </c>
      <c r="E2114" s="194" t="str">
        <f ca="1">IF(OFFSET('IWP26'!Std8dot3IssuesConcerns, 1, 2, 1, 1) = 0, "", OFFSET('IWP26'!Std8dot3IssuesConcerns, 1, 2, 1, 1))</f>
        <v/>
      </c>
    </row>
    <row r="2115" spans="1:5" s="146" customFormat="1">
      <c r="A2115" s="193" t="s">
        <v>524</v>
      </c>
      <c r="B2115" s="195" t="s">
        <v>251</v>
      </c>
      <c r="C2115" s="195" t="str">
        <f ca="1">IF(OFFSET('IWP26'!Std8dot3IssuesConcerns, 2, 0, 1, 1) = 0, "", OFFSET('IWP26'!Std8dot3IssuesConcerns, 2, 0, 1, 1))</f>
        <v/>
      </c>
      <c r="D2115" s="172">
        <f ca="1">IF(OFFSET('IWP26'!Std8dot3IssuesConcerns, 2, 1, 1, 1)=DATE(1900,1,0), DATE(1900,1,1), OFFSET('IWP26'!Std8dot3IssuesConcerns, 2, 1, 1, 1))</f>
        <v>1</v>
      </c>
      <c r="E2115" s="194" t="str">
        <f ca="1">IF(OFFSET('IWP26'!Std8dot3IssuesConcerns, 2, 2, 1, 1) = 0, "", OFFSET('IWP26'!Std8dot3IssuesConcerns, 2, 2, 1, 1))</f>
        <v/>
      </c>
    </row>
    <row r="2116" spans="1:5" s="146" customFormat="1">
      <c r="A2116" s="193" t="s">
        <v>524</v>
      </c>
      <c r="B2116" s="195" t="s">
        <v>252</v>
      </c>
      <c r="C2116" s="195" t="str">
        <f ca="1">IF(OFFSET('IWP26'!Std8dot3IssuesConcerns, 3, 0, 1, 1) = 0, "", OFFSET('IWP26'!Std8dot3IssuesConcerns, 3, 0, 1, 1))</f>
        <v/>
      </c>
      <c r="D2116" s="172">
        <f ca="1">IF(OFFSET('IWP26'!Std8dot3IssuesConcerns, 3, 1, 1, 1)=DATE(1900,1,0), DATE(1900,1,1), OFFSET('IWP26'!Std8dot3IssuesConcerns, 3, 1, 1, 1))</f>
        <v>1</v>
      </c>
      <c r="E2116" s="194" t="str">
        <f ca="1">IF(OFFSET('IWP26'!Std8dot3IssuesConcerns, 3, 2, 1, 1) = 0, "", OFFSET('IWP26'!Std8dot3IssuesConcerns, 3, 2, 1, 1))</f>
        <v/>
      </c>
    </row>
    <row r="2117" spans="1:5" s="146" customFormat="1">
      <c r="A2117" s="193" t="s">
        <v>524</v>
      </c>
      <c r="B2117" s="195" t="s">
        <v>253</v>
      </c>
      <c r="C2117" s="195" t="str">
        <f ca="1">IF(OFFSET('IWP26'!Std8dot3IssuesConcerns, 4, 0, 1, 1) = 0, "", OFFSET('IWP26'!Std8dot3IssuesConcerns, 4, 0, 1, 1))</f>
        <v/>
      </c>
      <c r="D2117" s="172">
        <f ca="1">IF(OFFSET('IWP26'!Std8dot3IssuesConcerns, 4, 1, 1, 1)=DATE(1900,1,0), DATE(1900,1,1), OFFSET('IWP26'!Std8dot3IssuesConcerns, 4, 1, 1, 1))</f>
        <v>1</v>
      </c>
      <c r="E2117" s="194" t="str">
        <f ca="1">IF(OFFSET('IWP26'!Std8dot3IssuesConcerns, 4, 2, 1, 1) = 0, "", OFFSET('IWP26'!Std8dot3IssuesConcerns, 4, 2, 1, 1))</f>
        <v/>
      </c>
    </row>
    <row r="2118" spans="1:5" s="146" customFormat="1">
      <c r="A2118" s="193" t="s">
        <v>524</v>
      </c>
      <c r="B2118" s="195" t="s">
        <v>254</v>
      </c>
      <c r="C2118" s="195" t="str">
        <f ca="1">IF(OFFSET('IWP26'!Std8dot3IssuesConcerns, 5, 0, 1, 1) = 0, "", OFFSET('IWP26'!Std8dot3IssuesConcerns, 5, 0, 1, 1))</f>
        <v/>
      </c>
      <c r="D2118" s="172">
        <f ca="1">IF(OFFSET('IWP26'!Std8dot3IssuesConcerns, 5, 1, 1, 1)=DATE(1900,1,0), DATE(1900,1,1), OFFSET('IWP26'!Std8dot3IssuesConcerns, 5, 1, 1, 1))</f>
        <v>1</v>
      </c>
      <c r="E2118" s="194" t="str">
        <f ca="1">IF(OFFSET('IWP26'!Std8dot3IssuesConcerns, 5, 2, 1, 1) = 0, "", OFFSET('IWP26'!Std8dot3IssuesConcerns, 5, 2, 1, 1))</f>
        <v/>
      </c>
    </row>
    <row r="2119" spans="1:5" s="146" customFormat="1">
      <c r="A2119" s="193" t="s">
        <v>525</v>
      </c>
      <c r="B2119" s="195" t="s">
        <v>249</v>
      </c>
      <c r="C2119" s="195" t="str">
        <f ca="1">IF(OFFSET('IWP27'!Std8dot3IssuesConcerns, 0, 0, 1, 1) = 0, "", OFFSET('IWP27'!Std8dot3IssuesConcerns, 0, 0, 1, 1))</f>
        <v/>
      </c>
      <c r="D2119" s="172">
        <f ca="1">IF(OFFSET('IWP27'!Std8dot3IssuesConcerns, 0, 1, 1, 1)=DATE(1900,1,0), DATE(1900,1,1), OFFSET('IWP27'!Std8dot3IssuesConcerns, 0, 1, 1, 1))</f>
        <v>1</v>
      </c>
      <c r="E2119" s="194" t="str">
        <f ca="1">IF(OFFSET('IWP27'!Std8dot3IssuesConcerns, 0, 2, 1, 1) = 0, "", OFFSET('IWP27'!Std8dot3IssuesConcerns, 0, 2, 1, 1))</f>
        <v/>
      </c>
    </row>
    <row r="2120" spans="1:5" s="146" customFormat="1">
      <c r="A2120" s="193" t="s">
        <v>525</v>
      </c>
      <c r="B2120" s="195" t="s">
        <v>250</v>
      </c>
      <c r="C2120" s="195" t="str">
        <f ca="1">IF(OFFSET('IWP27'!Std8dot3IssuesConcerns, 1, 0, 1, 1) = 0, "", OFFSET('IWP27'!Std8dot3IssuesConcerns, 1, 0, 1, 1))</f>
        <v/>
      </c>
      <c r="D2120" s="172">
        <f ca="1">IF(OFFSET('IWP27'!Std8dot3IssuesConcerns, 1, 1, 1, 1)=DATE(1900,1,0), DATE(1900,1,1), OFFSET('IWP27'!Std8dot3IssuesConcerns, 1, 1, 1, 1))</f>
        <v>1</v>
      </c>
      <c r="E2120" s="194" t="str">
        <f ca="1">IF(OFFSET('IWP27'!Std8dot3IssuesConcerns, 1, 2, 1, 1) = 0, "", OFFSET('IWP27'!Std8dot3IssuesConcerns, 1, 2, 1, 1))</f>
        <v/>
      </c>
    </row>
    <row r="2121" spans="1:5" s="146" customFormat="1">
      <c r="A2121" s="193" t="s">
        <v>525</v>
      </c>
      <c r="B2121" s="195" t="s">
        <v>251</v>
      </c>
      <c r="C2121" s="195" t="str">
        <f ca="1">IF(OFFSET('IWP27'!Std8dot3IssuesConcerns, 2, 0, 1, 1) = 0, "", OFFSET('IWP27'!Std8dot3IssuesConcerns, 2, 0, 1, 1))</f>
        <v/>
      </c>
      <c r="D2121" s="172">
        <f ca="1">IF(OFFSET('IWP27'!Std8dot3IssuesConcerns, 2, 1, 1, 1)=DATE(1900,1,0), DATE(1900,1,1), OFFSET('IWP27'!Std8dot3IssuesConcerns, 2, 1, 1, 1))</f>
        <v>1</v>
      </c>
      <c r="E2121" s="194" t="str">
        <f ca="1">IF(OFFSET('IWP27'!Std8dot3IssuesConcerns, 2, 2, 1, 1) = 0, "", OFFSET('IWP27'!Std8dot3IssuesConcerns, 2, 2, 1, 1))</f>
        <v/>
      </c>
    </row>
    <row r="2122" spans="1:5" s="146" customFormat="1">
      <c r="A2122" s="193" t="s">
        <v>525</v>
      </c>
      <c r="B2122" s="195" t="s">
        <v>252</v>
      </c>
      <c r="C2122" s="195" t="str">
        <f ca="1">IF(OFFSET('IWP27'!Std8dot3IssuesConcerns, 3, 0, 1, 1) = 0, "", OFFSET('IWP27'!Std8dot3IssuesConcerns, 3, 0, 1, 1))</f>
        <v/>
      </c>
      <c r="D2122" s="172">
        <f ca="1">IF(OFFSET('IWP27'!Std8dot3IssuesConcerns, 3, 1, 1, 1)=DATE(1900,1,0), DATE(1900,1,1), OFFSET('IWP27'!Std8dot3IssuesConcerns, 3, 1, 1, 1))</f>
        <v>1</v>
      </c>
      <c r="E2122" s="194" t="str">
        <f ca="1">IF(OFFSET('IWP27'!Std8dot3IssuesConcerns, 3, 2, 1, 1) = 0, "", OFFSET('IWP27'!Std8dot3IssuesConcerns, 3, 2, 1, 1))</f>
        <v/>
      </c>
    </row>
    <row r="2123" spans="1:5" s="146" customFormat="1">
      <c r="A2123" s="193" t="s">
        <v>525</v>
      </c>
      <c r="B2123" s="195" t="s">
        <v>253</v>
      </c>
      <c r="C2123" s="195" t="str">
        <f ca="1">IF(OFFSET('IWP27'!Std8dot3IssuesConcerns, 4, 0, 1, 1) = 0, "", OFFSET('IWP27'!Std8dot3IssuesConcerns, 4, 0, 1, 1))</f>
        <v/>
      </c>
      <c r="D2123" s="172">
        <f ca="1">IF(OFFSET('IWP27'!Std8dot3IssuesConcerns, 4, 1, 1, 1)=DATE(1900,1,0), DATE(1900,1,1), OFFSET('IWP27'!Std8dot3IssuesConcerns, 4, 1, 1, 1))</f>
        <v>1</v>
      </c>
      <c r="E2123" s="194" t="str">
        <f ca="1">IF(OFFSET('IWP27'!Std8dot3IssuesConcerns, 4, 2, 1, 1) = 0, "", OFFSET('IWP27'!Std8dot3IssuesConcerns, 4, 2, 1, 1))</f>
        <v/>
      </c>
    </row>
    <row r="2124" spans="1:5" s="146" customFormat="1">
      <c r="A2124" s="193" t="s">
        <v>525</v>
      </c>
      <c r="B2124" s="195" t="s">
        <v>254</v>
      </c>
      <c r="C2124" s="195" t="str">
        <f ca="1">IF(OFFSET('IWP27'!Std8dot3IssuesConcerns, 5, 0, 1, 1) = 0, "", OFFSET('IWP27'!Std8dot3IssuesConcerns, 5, 0, 1, 1))</f>
        <v/>
      </c>
      <c r="D2124" s="172">
        <f ca="1">IF(OFFSET('IWP27'!Std8dot3IssuesConcerns, 5, 1, 1, 1)=DATE(1900,1,0), DATE(1900,1,1), OFFSET('IWP27'!Std8dot3IssuesConcerns, 5, 1, 1, 1))</f>
        <v>1</v>
      </c>
      <c r="E2124" s="194" t="str">
        <f ca="1">IF(OFFSET('IWP27'!Std8dot3IssuesConcerns, 5, 2, 1, 1) = 0, "", OFFSET('IWP27'!Std8dot3IssuesConcerns, 5, 2, 1, 1))</f>
        <v/>
      </c>
    </row>
    <row r="2125" spans="1:5" s="146" customFormat="1">
      <c r="A2125" s="193" t="s">
        <v>526</v>
      </c>
      <c r="B2125" s="195" t="s">
        <v>249</v>
      </c>
      <c r="C2125" s="195" t="str">
        <f ca="1">IF(OFFSET('IWP28'!Std8dot3IssuesConcerns, 0, 0, 1, 1) = 0, "", OFFSET('IWP28'!Std8dot3IssuesConcerns, 0, 0, 1, 1))</f>
        <v/>
      </c>
      <c r="D2125" s="172">
        <f ca="1">IF(OFFSET('IWP28'!Std8dot3IssuesConcerns, 0, 1, 1, 1)=DATE(1900,1,0), DATE(1900,1,1), OFFSET('IWP28'!Std8dot3IssuesConcerns, 0, 1, 1, 1))</f>
        <v>1</v>
      </c>
      <c r="E2125" s="194" t="str">
        <f ca="1">IF(OFFSET('IWP28'!Std8dot3IssuesConcerns, 0, 2, 1, 1) = 0, "", OFFSET('IWP28'!Std8dot3IssuesConcerns, 0, 2, 1, 1))</f>
        <v/>
      </c>
    </row>
    <row r="2126" spans="1:5" s="146" customFormat="1">
      <c r="A2126" s="193" t="s">
        <v>526</v>
      </c>
      <c r="B2126" s="195" t="s">
        <v>250</v>
      </c>
      <c r="C2126" s="195" t="str">
        <f ca="1">IF(OFFSET('IWP28'!Std8dot3IssuesConcerns, 1, 0, 1, 1) = 0, "", OFFSET('IWP28'!Std8dot3IssuesConcerns, 1, 0, 1, 1))</f>
        <v/>
      </c>
      <c r="D2126" s="172">
        <f ca="1">IF(OFFSET('IWP28'!Std8dot3IssuesConcerns, 1, 1, 1, 1)=DATE(1900,1,0), DATE(1900,1,1), OFFSET('IWP28'!Std8dot3IssuesConcerns, 1, 1, 1, 1))</f>
        <v>1</v>
      </c>
      <c r="E2126" s="194" t="str">
        <f ca="1">IF(OFFSET('IWP28'!Std8dot3IssuesConcerns, 1, 2, 1, 1) = 0, "", OFFSET('IWP28'!Std8dot3IssuesConcerns, 1, 2, 1, 1))</f>
        <v/>
      </c>
    </row>
    <row r="2127" spans="1:5" s="146" customFormat="1">
      <c r="A2127" s="193" t="s">
        <v>526</v>
      </c>
      <c r="B2127" s="195" t="s">
        <v>251</v>
      </c>
      <c r="C2127" s="195" t="str">
        <f ca="1">IF(OFFSET('IWP28'!Std8dot3IssuesConcerns, 2, 0, 1, 1) = 0, "", OFFSET('IWP28'!Std8dot3IssuesConcerns, 2, 0, 1, 1))</f>
        <v/>
      </c>
      <c r="D2127" s="172">
        <f ca="1">IF(OFFSET('IWP28'!Std8dot3IssuesConcerns, 2, 1, 1, 1)=DATE(1900,1,0), DATE(1900,1,1), OFFSET('IWP28'!Std8dot3IssuesConcerns, 2, 1, 1, 1))</f>
        <v>1</v>
      </c>
      <c r="E2127" s="194" t="str">
        <f ca="1">IF(OFFSET('IWP28'!Std8dot3IssuesConcerns, 2, 2, 1, 1) = 0, "", OFFSET('IWP28'!Std8dot3IssuesConcerns, 2, 2, 1, 1))</f>
        <v/>
      </c>
    </row>
    <row r="2128" spans="1:5" s="146" customFormat="1">
      <c r="A2128" s="193" t="s">
        <v>526</v>
      </c>
      <c r="B2128" s="195" t="s">
        <v>252</v>
      </c>
      <c r="C2128" s="195" t="str">
        <f ca="1">IF(OFFSET('IWP28'!Std8dot3IssuesConcerns, 3, 0, 1, 1) = 0, "", OFFSET('IWP28'!Std8dot3IssuesConcerns, 3, 0, 1, 1))</f>
        <v/>
      </c>
      <c r="D2128" s="172">
        <f ca="1">IF(OFFSET('IWP28'!Std8dot3IssuesConcerns, 3, 1, 1, 1)=DATE(1900,1,0), DATE(1900,1,1), OFFSET('IWP28'!Std8dot3IssuesConcerns, 3, 1, 1, 1))</f>
        <v>1</v>
      </c>
      <c r="E2128" s="194" t="str">
        <f ca="1">IF(OFFSET('IWP28'!Std8dot3IssuesConcerns, 3, 2, 1, 1) = 0, "", OFFSET('IWP28'!Std8dot3IssuesConcerns, 3, 2, 1, 1))</f>
        <v/>
      </c>
    </row>
    <row r="2129" spans="1:5" s="146" customFormat="1">
      <c r="A2129" s="193" t="s">
        <v>526</v>
      </c>
      <c r="B2129" s="195" t="s">
        <v>253</v>
      </c>
      <c r="C2129" s="195" t="str">
        <f ca="1">IF(OFFSET('IWP28'!Std8dot3IssuesConcerns, 4, 0, 1, 1) = 0, "", OFFSET('IWP28'!Std8dot3IssuesConcerns, 4, 0, 1, 1))</f>
        <v/>
      </c>
      <c r="D2129" s="172">
        <f ca="1">IF(OFFSET('IWP28'!Std8dot3IssuesConcerns, 4, 1, 1, 1)=DATE(1900,1,0), DATE(1900,1,1), OFFSET('IWP28'!Std8dot3IssuesConcerns, 4, 1, 1, 1))</f>
        <v>1</v>
      </c>
      <c r="E2129" s="194" t="str">
        <f ca="1">IF(OFFSET('IWP28'!Std8dot3IssuesConcerns, 4, 2, 1, 1) = 0, "", OFFSET('IWP28'!Std8dot3IssuesConcerns, 4, 2, 1, 1))</f>
        <v/>
      </c>
    </row>
    <row r="2130" spans="1:5" s="146" customFormat="1">
      <c r="A2130" s="193" t="s">
        <v>526</v>
      </c>
      <c r="B2130" s="195" t="s">
        <v>254</v>
      </c>
      <c r="C2130" s="195" t="str">
        <f ca="1">IF(OFFSET('IWP28'!Std8dot3IssuesConcerns, 5, 0, 1, 1) = 0, "", OFFSET('IWP28'!Std8dot3IssuesConcerns, 5, 0, 1, 1))</f>
        <v/>
      </c>
      <c r="D2130" s="172">
        <f ca="1">IF(OFFSET('IWP28'!Std8dot3IssuesConcerns, 5, 1, 1, 1)=DATE(1900,1,0), DATE(1900,1,1), OFFSET('IWP28'!Std8dot3IssuesConcerns, 5, 1, 1, 1))</f>
        <v>1</v>
      </c>
      <c r="E2130" s="194" t="str">
        <f ca="1">IF(OFFSET('IWP28'!Std8dot3IssuesConcerns, 5, 2, 1, 1) = 0, "", OFFSET('IWP28'!Std8dot3IssuesConcerns, 5, 2, 1, 1))</f>
        <v/>
      </c>
    </row>
    <row r="2131" spans="1:5" s="146" customFormat="1">
      <c r="A2131" s="193" t="s">
        <v>527</v>
      </c>
      <c r="B2131" s="195" t="s">
        <v>249</v>
      </c>
      <c r="C2131" s="195" t="str">
        <f ca="1">IF(OFFSET('IWP29'!Std8dot3IssuesConcerns, 0, 0, 1, 1) = 0, "", OFFSET('IWP29'!Std8dot3IssuesConcerns, 0, 0, 1, 1))</f>
        <v/>
      </c>
      <c r="D2131" s="172">
        <f ca="1">IF(OFFSET('IWP29'!Std8dot3IssuesConcerns, 0, 1, 1, 1)=DATE(1900,1,0), DATE(1900,1,1), OFFSET('IWP29'!Std8dot3IssuesConcerns, 0, 1, 1, 1))</f>
        <v>1</v>
      </c>
      <c r="E2131" s="194" t="str">
        <f ca="1">IF(OFFSET('IWP29'!Std8dot3IssuesConcerns, 0, 2, 1, 1) = 0, "", OFFSET('IWP29'!Std8dot3IssuesConcerns, 0, 2, 1, 1))</f>
        <v/>
      </c>
    </row>
    <row r="2132" spans="1:5" s="146" customFormat="1">
      <c r="A2132" s="193" t="s">
        <v>527</v>
      </c>
      <c r="B2132" s="195" t="s">
        <v>250</v>
      </c>
      <c r="C2132" s="195" t="str">
        <f ca="1">IF(OFFSET('IWP29'!Std8dot3IssuesConcerns, 1, 0, 1, 1) = 0, "", OFFSET('IWP29'!Std8dot3IssuesConcerns, 1, 0, 1, 1))</f>
        <v/>
      </c>
      <c r="D2132" s="172">
        <f ca="1">IF(OFFSET('IWP29'!Std8dot3IssuesConcerns, 1, 1, 1, 1)=DATE(1900,1,0), DATE(1900,1,1), OFFSET('IWP29'!Std8dot3IssuesConcerns, 1, 1, 1, 1))</f>
        <v>1</v>
      </c>
      <c r="E2132" s="194" t="str">
        <f ca="1">IF(OFFSET('IWP29'!Std8dot3IssuesConcerns, 1, 2, 1, 1) = 0, "", OFFSET('IWP29'!Std8dot3IssuesConcerns, 1, 2, 1, 1))</f>
        <v/>
      </c>
    </row>
    <row r="2133" spans="1:5" s="146" customFormat="1">
      <c r="A2133" s="193" t="s">
        <v>527</v>
      </c>
      <c r="B2133" s="195" t="s">
        <v>251</v>
      </c>
      <c r="C2133" s="195" t="str">
        <f ca="1">IF(OFFSET('IWP29'!Std8dot3IssuesConcerns, 2, 0, 1, 1) = 0, "", OFFSET('IWP29'!Std8dot3IssuesConcerns, 2, 0, 1, 1))</f>
        <v/>
      </c>
      <c r="D2133" s="172">
        <f ca="1">IF(OFFSET('IWP29'!Std8dot3IssuesConcerns, 2, 1, 1, 1)=DATE(1900,1,0), DATE(1900,1,1), OFFSET('IWP29'!Std8dot3IssuesConcerns, 2, 1, 1, 1))</f>
        <v>1</v>
      </c>
      <c r="E2133" s="194" t="str">
        <f ca="1">IF(OFFSET('IWP29'!Std8dot3IssuesConcerns, 2, 2, 1, 1) = 0, "", OFFSET('IWP29'!Std8dot3IssuesConcerns, 2, 2, 1, 1))</f>
        <v/>
      </c>
    </row>
    <row r="2134" spans="1:5" s="146" customFormat="1">
      <c r="A2134" s="193" t="s">
        <v>527</v>
      </c>
      <c r="B2134" s="195" t="s">
        <v>252</v>
      </c>
      <c r="C2134" s="195" t="str">
        <f ca="1">IF(OFFSET('IWP29'!Std8dot3IssuesConcerns, 3, 0, 1, 1) = 0, "", OFFSET('IWP29'!Std8dot3IssuesConcerns, 3, 0, 1, 1))</f>
        <v/>
      </c>
      <c r="D2134" s="172">
        <f ca="1">IF(OFFSET('IWP29'!Std8dot3IssuesConcerns, 3, 1, 1, 1)=DATE(1900,1,0), DATE(1900,1,1), OFFSET('IWP29'!Std8dot3IssuesConcerns, 3, 1, 1, 1))</f>
        <v>1</v>
      </c>
      <c r="E2134" s="194" t="str">
        <f ca="1">IF(OFFSET('IWP29'!Std8dot3IssuesConcerns, 3, 2, 1, 1) = 0, "", OFFSET('IWP29'!Std8dot3IssuesConcerns, 3, 2, 1, 1))</f>
        <v/>
      </c>
    </row>
    <row r="2135" spans="1:5" s="146" customFormat="1">
      <c r="A2135" s="193" t="s">
        <v>527</v>
      </c>
      <c r="B2135" s="195" t="s">
        <v>253</v>
      </c>
      <c r="C2135" s="195" t="str">
        <f ca="1">IF(OFFSET('IWP29'!Std8dot3IssuesConcerns, 4, 0, 1, 1) = 0, "", OFFSET('IWP29'!Std8dot3IssuesConcerns, 4, 0, 1, 1))</f>
        <v/>
      </c>
      <c r="D2135" s="172">
        <f ca="1">IF(OFFSET('IWP29'!Std8dot3IssuesConcerns, 4, 1, 1, 1)=DATE(1900,1,0), DATE(1900,1,1), OFFSET('IWP29'!Std8dot3IssuesConcerns, 4, 1, 1, 1))</f>
        <v>1</v>
      </c>
      <c r="E2135" s="194" t="str">
        <f ca="1">IF(OFFSET('IWP29'!Std8dot3IssuesConcerns, 4, 2, 1, 1) = 0, "", OFFSET('IWP29'!Std8dot3IssuesConcerns, 4, 2, 1, 1))</f>
        <v/>
      </c>
    </row>
    <row r="2136" spans="1:5" s="146" customFormat="1">
      <c r="A2136" s="193" t="s">
        <v>527</v>
      </c>
      <c r="B2136" s="195" t="s">
        <v>254</v>
      </c>
      <c r="C2136" s="195" t="str">
        <f ca="1">IF(OFFSET('IWP29'!Std8dot3IssuesConcerns, 5, 0, 1, 1) = 0, "", OFFSET('IWP29'!Std8dot3IssuesConcerns, 5, 0, 1, 1))</f>
        <v/>
      </c>
      <c r="D2136" s="172">
        <f ca="1">IF(OFFSET('IWP29'!Std8dot3IssuesConcerns, 5, 1, 1, 1)=DATE(1900,1,0), DATE(1900,1,1), OFFSET('IWP29'!Std8dot3IssuesConcerns, 5, 1, 1, 1))</f>
        <v>1</v>
      </c>
      <c r="E2136" s="194" t="str">
        <f ca="1">IF(OFFSET('IWP29'!Std8dot3IssuesConcerns, 5, 2, 1, 1) = 0, "", OFFSET('IWP29'!Std8dot3IssuesConcerns, 5, 2, 1, 1))</f>
        <v/>
      </c>
    </row>
    <row r="2137" spans="1:5" s="146" customFormat="1">
      <c r="A2137" s="193" t="s">
        <v>528</v>
      </c>
      <c r="B2137" s="195" t="s">
        <v>249</v>
      </c>
      <c r="C2137" s="195" t="str">
        <f ca="1">IF(OFFSET('IWP30'!Std8dot3IssuesConcerns, 0, 0, 1, 1) = 0, "", OFFSET('IWP30'!Std8dot3IssuesConcerns, 0, 0, 1, 1))</f>
        <v/>
      </c>
      <c r="D2137" s="172">
        <f ca="1">IF(OFFSET('IWP30'!Std8dot3IssuesConcerns, 0, 1, 1, 1)=DATE(1900,1,0), DATE(1900,1,1), OFFSET('IWP30'!Std8dot3IssuesConcerns, 0, 1, 1, 1))</f>
        <v>1</v>
      </c>
      <c r="E2137" s="194" t="str">
        <f ca="1">IF(OFFSET('IWP30'!Std8dot3IssuesConcerns, 0, 2, 1, 1) = 0, "", OFFSET('IWP30'!Std8dot3IssuesConcerns, 0, 2, 1, 1))</f>
        <v/>
      </c>
    </row>
    <row r="2138" spans="1:5" s="146" customFormat="1">
      <c r="A2138" s="193" t="s">
        <v>528</v>
      </c>
      <c r="B2138" s="195" t="s">
        <v>250</v>
      </c>
      <c r="C2138" s="195" t="str">
        <f ca="1">IF(OFFSET('IWP30'!Std8dot3IssuesConcerns, 1, 0, 1, 1) = 0, "", OFFSET('IWP30'!Std8dot3IssuesConcerns, 1, 0, 1, 1))</f>
        <v/>
      </c>
      <c r="D2138" s="172">
        <f ca="1">IF(OFFSET('IWP30'!Std8dot3IssuesConcerns, 1, 1, 1, 1)=DATE(1900,1,0), DATE(1900,1,1), OFFSET('IWP30'!Std8dot3IssuesConcerns, 1, 1, 1, 1))</f>
        <v>1</v>
      </c>
      <c r="E2138" s="194" t="str">
        <f ca="1">IF(OFFSET('IWP30'!Std8dot3IssuesConcerns, 1, 2, 1, 1) = 0, "", OFFSET('IWP30'!Std8dot3IssuesConcerns, 1, 2, 1, 1))</f>
        <v/>
      </c>
    </row>
    <row r="2139" spans="1:5" s="146" customFormat="1">
      <c r="A2139" s="193" t="s">
        <v>528</v>
      </c>
      <c r="B2139" s="195" t="s">
        <v>251</v>
      </c>
      <c r="C2139" s="195" t="str">
        <f ca="1">IF(OFFSET('IWP30'!Std8dot3IssuesConcerns, 2, 0, 1, 1) = 0, "", OFFSET('IWP30'!Std8dot3IssuesConcerns, 2, 0, 1, 1))</f>
        <v/>
      </c>
      <c r="D2139" s="172">
        <f ca="1">IF(OFFSET('IWP30'!Std8dot3IssuesConcerns, 2, 1, 1, 1)=DATE(1900,1,0), DATE(1900,1,1), OFFSET('IWP30'!Std8dot3IssuesConcerns, 2, 1, 1, 1))</f>
        <v>1</v>
      </c>
      <c r="E2139" s="194" t="str">
        <f ca="1">IF(OFFSET('IWP30'!Std8dot3IssuesConcerns, 2, 2, 1, 1) = 0, "", OFFSET('IWP30'!Std8dot3IssuesConcerns, 2, 2, 1, 1))</f>
        <v/>
      </c>
    </row>
    <row r="2140" spans="1:5" s="146" customFormat="1">
      <c r="A2140" s="193" t="s">
        <v>528</v>
      </c>
      <c r="B2140" s="195" t="s">
        <v>252</v>
      </c>
      <c r="C2140" s="195" t="str">
        <f ca="1">IF(OFFSET('IWP30'!Std8dot3IssuesConcerns, 3, 0, 1, 1) = 0, "", OFFSET('IWP30'!Std8dot3IssuesConcerns, 3, 0, 1, 1))</f>
        <v/>
      </c>
      <c r="D2140" s="172">
        <f ca="1">IF(OFFSET('IWP30'!Std8dot3IssuesConcerns, 3, 1, 1, 1)=DATE(1900,1,0), DATE(1900,1,1), OFFSET('IWP30'!Std8dot3IssuesConcerns, 3, 1, 1, 1))</f>
        <v>1</v>
      </c>
      <c r="E2140" s="194" t="str">
        <f ca="1">IF(OFFSET('IWP30'!Std8dot3IssuesConcerns, 3, 2, 1, 1) = 0, "", OFFSET('IWP30'!Std8dot3IssuesConcerns, 3, 2, 1, 1))</f>
        <v/>
      </c>
    </row>
    <row r="2141" spans="1:5" s="146" customFormat="1">
      <c r="A2141" s="193" t="s">
        <v>528</v>
      </c>
      <c r="B2141" s="195" t="s">
        <v>253</v>
      </c>
      <c r="C2141" s="195" t="str">
        <f ca="1">IF(OFFSET('IWP30'!Std8dot3IssuesConcerns, 4, 0, 1, 1) = 0, "", OFFSET('IWP30'!Std8dot3IssuesConcerns, 4, 0, 1, 1))</f>
        <v/>
      </c>
      <c r="D2141" s="172">
        <f ca="1">IF(OFFSET('IWP30'!Std8dot3IssuesConcerns, 4, 1, 1, 1)=DATE(1900,1,0), DATE(1900,1,1), OFFSET('IWP30'!Std8dot3IssuesConcerns, 4, 1, 1, 1))</f>
        <v>1</v>
      </c>
      <c r="E2141" s="194" t="str">
        <f ca="1">IF(OFFSET('IWP30'!Std8dot3IssuesConcerns, 4, 2, 1, 1) = 0, "", OFFSET('IWP30'!Std8dot3IssuesConcerns, 4, 2, 1, 1))</f>
        <v/>
      </c>
    </row>
    <row r="2142" spans="1:5" s="146" customFormat="1" ht="15.75" thickBot="1">
      <c r="A2142" s="197" t="s">
        <v>528</v>
      </c>
      <c r="B2142" s="182" t="s">
        <v>254</v>
      </c>
      <c r="C2142" s="182" t="str">
        <f ca="1">IF(OFFSET('IWP30'!Std8dot3IssuesConcerns, 5, 0, 1, 1) = 0, "", OFFSET('IWP30'!Std8dot3IssuesConcerns, 5, 0, 1, 1))</f>
        <v/>
      </c>
      <c r="D2142" s="178">
        <f ca="1">IF(OFFSET('IWP30'!Std8dot3IssuesConcerns, 5, 1, 1, 1)=DATE(1900,1,0), DATE(1900,1,1), OFFSET('IWP30'!Std8dot3IssuesConcerns, 5, 1, 1, 1))</f>
        <v>1</v>
      </c>
      <c r="E2142" s="186" t="str">
        <f ca="1">IF(OFFSET('IWP30'!Std8dot3IssuesConcerns, 5, 2, 1, 1) = 0, "", OFFSET('IWP30'!Std8dot3IssuesConcerns, 5, 2, 1, 1))</f>
        <v/>
      </c>
    </row>
    <row r="2144" spans="1:5" s="168" customFormat="1" ht="15.75" thickBot="1">
      <c r="A2144" s="191" t="s">
        <v>575</v>
      </c>
    </row>
    <row r="2145" spans="1:13" s="168" customFormat="1">
      <c r="A2145" s="175"/>
      <c r="B2145" s="181"/>
      <c r="C2145" s="181"/>
      <c r="D2145" s="181"/>
      <c r="E2145" s="181"/>
      <c r="F2145" s="181"/>
      <c r="G2145" s="181"/>
      <c r="H2145" s="181"/>
      <c r="I2145" s="181"/>
      <c r="J2145" s="181"/>
      <c r="K2145" s="181"/>
      <c r="L2145" s="181"/>
      <c r="M2145" s="192"/>
    </row>
    <row r="2146" spans="1:13" s="168" customFormat="1" ht="15.75" thickBot="1">
      <c r="A2146" s="189" t="s">
        <v>576</v>
      </c>
      <c r="B2146" s="169"/>
      <c r="C2146" s="169"/>
      <c r="D2146" s="169"/>
      <c r="E2146" s="169"/>
      <c r="F2146" s="169"/>
      <c r="G2146" s="169"/>
      <c r="H2146" s="169"/>
      <c r="I2146" s="169"/>
      <c r="J2146" s="169"/>
      <c r="K2146" s="169"/>
      <c r="L2146" s="169"/>
      <c r="M2146" s="190"/>
    </row>
    <row r="2147" spans="1:13" s="107" customFormat="1" ht="30">
      <c r="A2147" s="170" t="s">
        <v>443</v>
      </c>
      <c r="B2147" s="171" t="s">
        <v>577</v>
      </c>
      <c r="C2147" s="171" t="s">
        <v>434</v>
      </c>
      <c r="D2147" s="171" t="s">
        <v>549</v>
      </c>
      <c r="E2147" s="171" t="s">
        <v>550</v>
      </c>
      <c r="F2147" s="171" t="s">
        <v>578</v>
      </c>
      <c r="G2147" s="171" t="s">
        <v>579</v>
      </c>
      <c r="H2147" s="171" t="s">
        <v>580</v>
      </c>
      <c r="I2147" s="171" t="s">
        <v>581</v>
      </c>
      <c r="J2147" s="171" t="s">
        <v>582</v>
      </c>
      <c r="K2147" s="171" t="s">
        <v>583</v>
      </c>
      <c r="L2147" s="173" t="s">
        <v>584</v>
      </c>
      <c r="M2147" s="139"/>
    </row>
    <row r="2148" spans="1:13">
      <c r="A2148" s="183" t="s">
        <v>499</v>
      </c>
      <c r="B2148" s="196">
        <v>1</v>
      </c>
      <c r="C2148" s="195" t="str">
        <f ca="1">IF(OFFSET('IWP01'!Std9BillingInfo01, 0, 0, 1, 1) = 0, "", OFFSET('IWP01'!Std9BillingInfo01, 0, 0, 1, 1))</f>
        <v/>
      </c>
      <c r="D2148" s="172">
        <f ca="1">IF(OFFSET('IWP01'!Std9BillingInfo01, 0, 1, 1, 1)=DATE(1900,1,0), DATE(1900,1,1), OFFSET('IWP01'!Std9BillingInfo01, 0, 1, 1, 1))</f>
        <v>1</v>
      </c>
      <c r="E2148" s="172">
        <f ca="1">IF(OFFSET('IWP01'!Std9BillingInfo01, 0, 2, 1, 1)=DATE(1900,1,0), DATE(1900,1,1), OFFSET('IWP01'!Std9BillingInfo01, 0, 2, 1, 1))</f>
        <v>1</v>
      </c>
      <c r="F2148" s="187">
        <f ca="1">OFFSET('IWP01'!Std9BillingInfo01, 0, 3, 1, 1)</f>
        <v>0</v>
      </c>
      <c r="G2148" s="187">
        <f ca="1">OFFSET('IWP01'!Std9BillingInfo01, 10, 6, 1, 1)</f>
        <v>0</v>
      </c>
      <c r="H2148" s="187">
        <f ca="1">OFFSET('IWP01'!Std9BillingInfo01, 11, 6, 1, 1)</f>
        <v>0</v>
      </c>
      <c r="I2148" s="187">
        <f ca="1">OFFSET('IWP01'!Std9BillingInfo01, 10, 8, 1, 1)</f>
        <v>0</v>
      </c>
      <c r="J2148" s="187">
        <f ca="1">OFFSET('IWP01'!Std9BillingInfo01, 10, 11, 1, 1)</f>
        <v>0</v>
      </c>
      <c r="K2148" s="187">
        <f ca="1">OFFSET('IWP01'!Std9BillingInfo01, 10, 12, 1, 1)</f>
        <v>0</v>
      </c>
      <c r="L2148" s="179">
        <f ca="1">OFFSET('IWP01'!Std9BillingInfo01, 12, 8, 1, 1)</f>
        <v>0</v>
      </c>
      <c r="M2148" s="129"/>
    </row>
    <row r="2149" spans="1:13">
      <c r="A2149" s="183" t="s">
        <v>499</v>
      </c>
      <c r="B2149" s="196">
        <v>2</v>
      </c>
      <c r="C2149" s="195" t="str">
        <f ca="1">IF(OFFSET('IWP01'!Std9BillingInfo02, 0, 0, 1, 1) = 0, "", OFFSET('IWP01'!Std9BillingInfo02, 0, 0, 1, 1))</f>
        <v/>
      </c>
      <c r="D2149" s="172">
        <f ca="1">IF(OFFSET('IWP01'!Std9BillingInfo02, 0, 1, 1, 1)=DATE(1900,1,0), DATE(1900,1,1), OFFSET('IWP01'!Std9BillingInfo02, 0, 1, 1, 1))</f>
        <v>1</v>
      </c>
      <c r="E2149" s="172">
        <f ca="1">IF(OFFSET('IWP01'!Std9BillingInfo02, 0, 2, 1, 1)=DATE(1900,1,0), DATE(1900,1,1), OFFSET('IWP01'!Std9BillingInfo02, 0, 2, 1, 1))</f>
        <v>1</v>
      </c>
      <c r="F2149" s="187">
        <f ca="1">OFFSET('IWP01'!Std9BillingInfo02, 0, 3, 1, 1)</f>
        <v>0</v>
      </c>
      <c r="G2149" s="187">
        <f ca="1">OFFSET('IWP01'!Std9BillingInfo02, 10, 6, 1, 1)</f>
        <v>0</v>
      </c>
      <c r="H2149" s="187">
        <f ca="1">OFFSET('IWP01'!Std9BillingInfo02, 11, 6, 1, 1)</f>
        <v>0</v>
      </c>
      <c r="I2149" s="187">
        <f ca="1">OFFSET('IWP01'!Std9BillingInfo02, 10, 8, 1, 1)</f>
        <v>0</v>
      </c>
      <c r="J2149" s="187">
        <f ca="1">OFFSET('IWP01'!Std9BillingInfo02, 10, 11, 1, 1)</f>
        <v>0</v>
      </c>
      <c r="K2149" s="187">
        <f ca="1">OFFSET('IWP01'!Std9BillingInfo02, 10, 12, 1, 1)</f>
        <v>0</v>
      </c>
      <c r="L2149" s="179">
        <f ca="1">OFFSET('IWP01'!Std9BillingInfo02, 12, 8, 1, 1)</f>
        <v>0</v>
      </c>
      <c r="M2149" s="129"/>
    </row>
    <row r="2150" spans="1:13">
      <c r="A2150" s="183" t="s">
        <v>499</v>
      </c>
      <c r="B2150" s="196">
        <v>3</v>
      </c>
      <c r="C2150" s="195" t="str">
        <f ca="1">IF(OFFSET('IWP01'!Std9BillingInfo03, 0, 0, 1, 1) = 0, "", OFFSET('IWP01'!Std9BillingInfo03, 0, 0, 1, 1))</f>
        <v/>
      </c>
      <c r="D2150" s="172">
        <f ca="1">IF(OFFSET('IWP01'!Std9BillingInfo03, 0, 1, 1, 1)=DATE(1900,1,0), DATE(1900,1,1), OFFSET('IWP01'!Std9BillingInfo03, 0, 1, 1, 1))</f>
        <v>1</v>
      </c>
      <c r="E2150" s="172">
        <f ca="1">IF(OFFSET('IWP01'!Std9BillingInfo03, 0, 2, 1, 1)=DATE(1900,1,0), DATE(1900,1,1), OFFSET('IWP01'!Std9BillingInfo03, 0, 2, 1, 1))</f>
        <v>1</v>
      </c>
      <c r="F2150" s="187">
        <f ca="1">OFFSET('IWP01'!Std9BillingInfo03, 0, 3, 1, 1)</f>
        <v>0</v>
      </c>
      <c r="G2150" s="187">
        <f ca="1">OFFSET('IWP01'!Std9BillingInfo03, 10, 6, 1, 1)</f>
        <v>0</v>
      </c>
      <c r="H2150" s="187">
        <f ca="1">OFFSET('IWP01'!Std9BillingInfo03, 11, 6, 1, 1)</f>
        <v>0</v>
      </c>
      <c r="I2150" s="187">
        <f ca="1">OFFSET('IWP01'!Std9BillingInfo03, 10, 8, 1, 1)</f>
        <v>0</v>
      </c>
      <c r="J2150" s="187">
        <f ca="1">OFFSET('IWP01'!Std9BillingInfo03, 10, 11, 1, 1)</f>
        <v>0</v>
      </c>
      <c r="K2150" s="187">
        <f ca="1">OFFSET('IWP01'!Std9BillingInfo03, 10, 12, 1, 1)</f>
        <v>0</v>
      </c>
      <c r="L2150" s="179">
        <f ca="1">OFFSET('IWP01'!Std9BillingInfo03, 12, 8, 1, 1)</f>
        <v>0</v>
      </c>
      <c r="M2150" s="129"/>
    </row>
    <row r="2151" spans="1:13">
      <c r="A2151" s="183" t="s">
        <v>499</v>
      </c>
      <c r="B2151" s="196">
        <v>4</v>
      </c>
      <c r="C2151" s="195" t="str">
        <f ca="1">IF(OFFSET('IWP01'!Std9BillingInfo04, 0, 0, 1, 1) = 0, "", OFFSET('IWP01'!Std9BillingInfo04, 0, 0, 1, 1))</f>
        <v/>
      </c>
      <c r="D2151" s="172">
        <f ca="1">IF(OFFSET('IWP01'!Std9BillingInfo04, 0, 1, 1, 1)=DATE(1900,1,0), DATE(1900,1,1), OFFSET('IWP01'!Std9BillingInfo04, 0, 1, 1, 1))</f>
        <v>1</v>
      </c>
      <c r="E2151" s="172">
        <f ca="1">IF(OFFSET('IWP01'!Std9BillingInfo04, 0, 2, 1, 1)=DATE(1900,1,0), DATE(1900,1,1), OFFSET('IWP01'!Std9BillingInfo04, 0, 2, 1, 1))</f>
        <v>1</v>
      </c>
      <c r="F2151" s="187">
        <f ca="1">OFFSET('IWP01'!Std9BillingInfo04, 0, 3, 1, 1)</f>
        <v>0</v>
      </c>
      <c r="G2151" s="187">
        <f ca="1">OFFSET('IWP01'!Std9BillingInfo04, 10, 6, 1, 1)</f>
        <v>0</v>
      </c>
      <c r="H2151" s="187">
        <f ca="1">OFFSET('IWP01'!Std9BillingInfo04, 11, 6, 1, 1)</f>
        <v>0</v>
      </c>
      <c r="I2151" s="187">
        <f ca="1">OFFSET('IWP01'!Std9BillingInfo04, 10, 8, 1, 1)</f>
        <v>0</v>
      </c>
      <c r="J2151" s="187">
        <f ca="1">OFFSET('IWP01'!Std9BillingInfo04, 10, 11, 1, 1)</f>
        <v>0</v>
      </c>
      <c r="K2151" s="187">
        <f ca="1">OFFSET('IWP01'!Std9BillingInfo04, 10, 12, 1, 1)</f>
        <v>0</v>
      </c>
      <c r="L2151" s="179">
        <f ca="1">OFFSET('IWP01'!Std9BillingInfo04, 12, 8, 1, 1)</f>
        <v>0</v>
      </c>
      <c r="M2151" s="129"/>
    </row>
    <row r="2152" spans="1:13">
      <c r="A2152" s="183" t="s">
        <v>499</v>
      </c>
      <c r="B2152" s="196">
        <v>5</v>
      </c>
      <c r="C2152" s="195" t="str">
        <f ca="1">IF(OFFSET('IWP01'!Std9BillingInfo05, 0, 0, 1, 1) = 0, "", OFFSET('IWP01'!Std9BillingInfo05, 0, 0, 1, 1))</f>
        <v/>
      </c>
      <c r="D2152" s="172">
        <f ca="1">IF(OFFSET('IWP01'!Std9BillingInfo05, 0, 1, 1, 1)=DATE(1900,1,0), DATE(1900,1,1), OFFSET('IWP01'!Std9BillingInfo05, 0, 1, 1, 1))</f>
        <v>1</v>
      </c>
      <c r="E2152" s="172">
        <f ca="1">IF(OFFSET('IWP01'!Std9BillingInfo05, 0, 2, 1, 1)=DATE(1900,1,0), DATE(1900,1,1), OFFSET('IWP01'!Std9BillingInfo05, 0, 2, 1, 1))</f>
        <v>1</v>
      </c>
      <c r="F2152" s="187">
        <f ca="1">OFFSET('IWP01'!Std9BillingInfo05, 0, 3, 1, 1)</f>
        <v>0</v>
      </c>
      <c r="G2152" s="187">
        <f ca="1">OFFSET('IWP01'!Std9BillingInfo05, 10, 6, 1, 1)</f>
        <v>0</v>
      </c>
      <c r="H2152" s="187">
        <f ca="1">OFFSET('IWP01'!Std9BillingInfo05, 11, 6, 1, 1)</f>
        <v>0</v>
      </c>
      <c r="I2152" s="187">
        <f ca="1">OFFSET('IWP01'!Std9BillingInfo05, 10, 8, 1, 1)</f>
        <v>0</v>
      </c>
      <c r="J2152" s="187">
        <f ca="1">OFFSET('IWP01'!Std9BillingInfo05, 10, 11, 1, 1)</f>
        <v>0</v>
      </c>
      <c r="K2152" s="187">
        <f ca="1">OFFSET('IWP01'!Std9BillingInfo05, 10, 12, 1, 1)</f>
        <v>0</v>
      </c>
      <c r="L2152" s="179">
        <f ca="1">OFFSET('IWP01'!Std9BillingInfo05, 12, 8, 1, 1)</f>
        <v>0</v>
      </c>
      <c r="M2152" s="129"/>
    </row>
    <row r="2153" spans="1:13">
      <c r="A2153" s="183" t="s">
        <v>499</v>
      </c>
      <c r="B2153" s="196">
        <v>6</v>
      </c>
      <c r="C2153" s="195" t="str">
        <f ca="1">IF(OFFSET('IWP01'!Std9BillingInfo06, 0, 0, 1, 1) = 0, "", OFFSET('IWP01'!Std9BillingInfo06, 0, 0, 1, 1))</f>
        <v/>
      </c>
      <c r="D2153" s="172">
        <f ca="1">IF(OFFSET('IWP01'!Std9BillingInfo06, 0, 1, 1, 1)=DATE(1900,1,0), DATE(1900,1,1), OFFSET('IWP01'!Std9BillingInfo06, 0, 1, 1, 1))</f>
        <v>1</v>
      </c>
      <c r="E2153" s="172">
        <f ca="1">IF(OFFSET('IWP01'!Std9BillingInfo06, 0, 2, 1, 1)=DATE(1900,1,0), DATE(1900,1,1), OFFSET('IWP01'!Std9BillingInfo06, 0, 2, 1, 1))</f>
        <v>1</v>
      </c>
      <c r="F2153" s="187">
        <f ca="1">OFFSET('IWP01'!Std9BillingInfo06, 0, 3, 1, 1)</f>
        <v>0</v>
      </c>
      <c r="G2153" s="187">
        <f ca="1">OFFSET('IWP01'!Std9BillingInfo06, 10, 6, 1, 1)</f>
        <v>0</v>
      </c>
      <c r="H2153" s="187">
        <f ca="1">OFFSET('IWP01'!Std9BillingInfo06, 11, 6, 1, 1)</f>
        <v>0</v>
      </c>
      <c r="I2153" s="187">
        <f ca="1">OFFSET('IWP01'!Std9BillingInfo06, 10, 8, 1, 1)</f>
        <v>0</v>
      </c>
      <c r="J2153" s="187">
        <f ca="1">OFFSET('IWP01'!Std9BillingInfo06, 10, 11, 1, 1)</f>
        <v>0</v>
      </c>
      <c r="K2153" s="187">
        <f ca="1">OFFSET('IWP01'!Std9BillingInfo06, 10, 12, 1, 1)</f>
        <v>0</v>
      </c>
      <c r="L2153" s="179">
        <f ca="1">OFFSET('IWP01'!Std9BillingInfo06, 12, 8, 1, 1)</f>
        <v>0</v>
      </c>
      <c r="M2153" s="129"/>
    </row>
    <row r="2154" spans="1:13">
      <c r="A2154" s="183" t="s">
        <v>499</v>
      </c>
      <c r="B2154" s="196">
        <v>7</v>
      </c>
      <c r="C2154" s="195" t="str">
        <f ca="1">IF(OFFSET('IWP01'!Std9BillingInfo07, 0, 0, 1, 1) = 0, "", OFFSET('IWP01'!Std9BillingInfo07, 0, 0, 1, 1))</f>
        <v/>
      </c>
      <c r="D2154" s="172">
        <f ca="1">IF(OFFSET('IWP01'!Std9BillingInfo07, 0, 1, 1, 1)=DATE(1900,1,0), DATE(1900,1,1), OFFSET('IWP01'!Std9BillingInfo07, 0, 1, 1, 1))</f>
        <v>1</v>
      </c>
      <c r="E2154" s="172">
        <f ca="1">IF(OFFSET('IWP01'!Std9BillingInfo07, 0, 2, 1, 1)=DATE(1900,1,0), DATE(1900,1,1), OFFSET('IWP01'!Std9BillingInfo07, 0, 2, 1, 1))</f>
        <v>1</v>
      </c>
      <c r="F2154" s="187">
        <f ca="1">OFFSET('IWP01'!Std9BillingInfo07, 0, 3, 1, 1)</f>
        <v>0</v>
      </c>
      <c r="G2154" s="187">
        <f ca="1">OFFSET('IWP01'!Std9BillingInfo07, 10, 6, 1, 1)</f>
        <v>0</v>
      </c>
      <c r="H2154" s="187">
        <f ca="1">OFFSET('IWP01'!Std9BillingInfo07, 11, 6, 1, 1)</f>
        <v>0</v>
      </c>
      <c r="I2154" s="187">
        <f ca="1">OFFSET('IWP01'!Std9BillingInfo07, 10, 8, 1, 1)</f>
        <v>0</v>
      </c>
      <c r="J2154" s="187">
        <f ca="1">OFFSET('IWP01'!Std9BillingInfo07, 10, 11, 1, 1)</f>
        <v>0</v>
      </c>
      <c r="K2154" s="187">
        <f ca="1">OFFSET('IWP01'!Std9BillingInfo07, 10, 12, 1, 1)</f>
        <v>0</v>
      </c>
      <c r="L2154" s="179">
        <f ca="1">OFFSET('IWP01'!Std9BillingInfo07, 12, 8, 1, 1)</f>
        <v>0</v>
      </c>
      <c r="M2154" s="129"/>
    </row>
    <row r="2155" spans="1:13">
      <c r="A2155" s="183" t="s">
        <v>499</v>
      </c>
      <c r="B2155" s="196">
        <v>8</v>
      </c>
      <c r="C2155" s="195" t="str">
        <f ca="1">IF(OFFSET('IWP01'!Std9BillingInfo08, 0, 0, 1, 1) = 0, "", OFFSET('IWP01'!Std9BillingInfo08, 0, 0, 1, 1))</f>
        <v/>
      </c>
      <c r="D2155" s="172">
        <f ca="1">IF(OFFSET('IWP01'!Std9BillingInfo08, 0, 1, 1, 1)=DATE(1900,1,0), DATE(1900,1,1), OFFSET('IWP01'!Std9BillingInfo08, 0, 1, 1, 1))</f>
        <v>1</v>
      </c>
      <c r="E2155" s="172">
        <f ca="1">IF(OFFSET('IWP01'!Std9BillingInfo08, 0, 2, 1, 1)=DATE(1900,1,0), DATE(1900,1,1), OFFSET('IWP01'!Std9BillingInfo08, 0, 2, 1, 1))</f>
        <v>1</v>
      </c>
      <c r="F2155" s="187">
        <f ca="1">OFFSET('IWP01'!Std9BillingInfo08, 0, 3, 1, 1)</f>
        <v>0</v>
      </c>
      <c r="G2155" s="187">
        <f ca="1">OFFSET('IWP01'!Std9BillingInfo08, 10, 6, 1, 1)</f>
        <v>0</v>
      </c>
      <c r="H2155" s="187">
        <f ca="1">OFFSET('IWP01'!Std9BillingInfo08, 11, 6, 1, 1)</f>
        <v>0</v>
      </c>
      <c r="I2155" s="187">
        <f ca="1">OFFSET('IWP01'!Std9BillingInfo08, 10, 8, 1, 1)</f>
        <v>0</v>
      </c>
      <c r="J2155" s="187">
        <f ca="1">OFFSET('IWP01'!Std9BillingInfo08, 10, 11, 1, 1)</f>
        <v>0</v>
      </c>
      <c r="K2155" s="187">
        <f ca="1">OFFSET('IWP01'!Std9BillingInfo08, 10, 12, 1, 1)</f>
        <v>0</v>
      </c>
      <c r="L2155" s="179">
        <f ca="1">OFFSET('IWP01'!Std9BillingInfo08, 12, 8, 1, 1)</f>
        <v>0</v>
      </c>
      <c r="M2155" s="129"/>
    </row>
    <row r="2156" spans="1:13">
      <c r="A2156" s="183" t="s">
        <v>499</v>
      </c>
      <c r="B2156" s="196">
        <v>9</v>
      </c>
      <c r="C2156" s="195" t="str">
        <f ca="1">IF(OFFSET('IWP01'!Std9BillingInfo09, 0, 0, 1, 1) = 0, "", OFFSET('IWP01'!Std9BillingInfo09, 0, 0, 1, 1))</f>
        <v/>
      </c>
      <c r="D2156" s="172">
        <f ca="1">IF(OFFSET('IWP01'!Std9BillingInfo09, 0, 1, 1, 1)=DATE(1900,1,0), DATE(1900,1,1), OFFSET('IWP01'!Std9BillingInfo09, 0, 1, 1, 1))</f>
        <v>1</v>
      </c>
      <c r="E2156" s="172">
        <f ca="1">IF(OFFSET('IWP01'!Std9BillingInfo09, 0, 2, 1, 1)=DATE(1900,1,0), DATE(1900,1,1), OFFSET('IWP01'!Std9BillingInfo09, 0, 2, 1, 1))</f>
        <v>1</v>
      </c>
      <c r="F2156" s="187">
        <f ca="1">OFFSET('IWP01'!Std9BillingInfo09, 0, 3, 1, 1)</f>
        <v>0</v>
      </c>
      <c r="G2156" s="187">
        <f ca="1">OFFSET('IWP01'!Std9BillingInfo09, 10, 6, 1, 1)</f>
        <v>0</v>
      </c>
      <c r="H2156" s="187">
        <f ca="1">OFFSET('IWP01'!Std9BillingInfo09, 11, 6, 1, 1)</f>
        <v>0</v>
      </c>
      <c r="I2156" s="187">
        <f ca="1">OFFSET('IWP01'!Std9BillingInfo09, 10, 8, 1, 1)</f>
        <v>0</v>
      </c>
      <c r="J2156" s="187">
        <f ca="1">OFFSET('IWP01'!Std9BillingInfo09, 10, 11, 1, 1)</f>
        <v>0</v>
      </c>
      <c r="K2156" s="187">
        <f ca="1">OFFSET('IWP01'!Std9BillingInfo09, 10, 12, 1, 1)</f>
        <v>0</v>
      </c>
      <c r="L2156" s="179">
        <f ca="1">OFFSET('IWP01'!Std9BillingInfo09, 12, 8, 1, 1)</f>
        <v>0</v>
      </c>
      <c r="M2156" s="129"/>
    </row>
    <row r="2157" spans="1:13">
      <c r="A2157" s="183" t="s">
        <v>499</v>
      </c>
      <c r="B2157" s="196">
        <v>10</v>
      </c>
      <c r="C2157" s="195" t="str">
        <f ca="1">IF(OFFSET('IWP01'!Std9BillingInfo10, 0, 0, 1, 1) = 0, "", OFFSET('IWP01'!Std9BillingInfo10, 0, 0, 1, 1))</f>
        <v/>
      </c>
      <c r="D2157" s="172">
        <f ca="1">IF(OFFSET('IWP01'!Std9BillingInfo10, 0, 1, 1, 1)=DATE(1900,1,0), DATE(1900,1,1), OFFSET('IWP01'!Std9BillingInfo10, 0, 1, 1, 1))</f>
        <v>1</v>
      </c>
      <c r="E2157" s="172">
        <f ca="1">IF(OFFSET('IWP01'!Std9BillingInfo10, 0, 2, 1, 1)=DATE(1900,1,0), DATE(1900,1,1), OFFSET('IWP01'!Std9BillingInfo10, 0, 2, 1, 1))</f>
        <v>1</v>
      </c>
      <c r="F2157" s="187">
        <f ca="1">OFFSET('IWP01'!Std9BillingInfo10, 0, 3, 1, 1)</f>
        <v>0</v>
      </c>
      <c r="G2157" s="187">
        <f ca="1">OFFSET('IWP01'!Std9BillingInfo10, 10, 6, 1, 1)</f>
        <v>0</v>
      </c>
      <c r="H2157" s="187">
        <f ca="1">OFFSET('IWP01'!Std9BillingInfo10, 11, 6, 1, 1)</f>
        <v>0</v>
      </c>
      <c r="I2157" s="187">
        <f ca="1">OFFSET('IWP01'!Std9BillingInfo10, 10, 8, 1, 1)</f>
        <v>0</v>
      </c>
      <c r="J2157" s="187">
        <f ca="1">OFFSET('IWP01'!Std9BillingInfo10, 10, 11, 1, 1)</f>
        <v>0</v>
      </c>
      <c r="K2157" s="187">
        <f ca="1">OFFSET('IWP01'!Std9BillingInfo10, 10, 12, 1, 1)</f>
        <v>0</v>
      </c>
      <c r="L2157" s="179">
        <f ca="1">OFFSET('IWP01'!Std9BillingInfo10, 12, 8, 1, 1)</f>
        <v>0</v>
      </c>
      <c r="M2157" s="129"/>
    </row>
    <row r="2158" spans="1:13">
      <c r="A2158" s="183" t="s">
        <v>499</v>
      </c>
      <c r="B2158" s="196">
        <v>11</v>
      </c>
      <c r="C2158" s="195" t="str">
        <f ca="1">IF(OFFSET('IWP01'!Std9BillingInfo11, 0, 0, 1, 1) = 0, "", OFFSET('IWP01'!Std9BillingInfo11, 0, 0, 1, 1))</f>
        <v/>
      </c>
      <c r="D2158" s="172">
        <f ca="1">IF(OFFSET('IWP01'!Std9BillingInfo11, 0, 1, 1, 1)=DATE(1900,1,0), DATE(1900,1,1), OFFSET('IWP01'!Std9BillingInfo11, 0, 1, 1, 1))</f>
        <v>1</v>
      </c>
      <c r="E2158" s="172">
        <f ca="1">IF(OFFSET('IWP01'!Std9BillingInfo11, 0, 2, 1, 1)=DATE(1900,1,0), DATE(1900,1,1), OFFSET('IWP01'!Std9BillingInfo11, 0, 2, 1, 1))</f>
        <v>1</v>
      </c>
      <c r="F2158" s="187">
        <f ca="1">OFFSET('IWP01'!Std9BillingInfo11, 0, 3, 1, 1)</f>
        <v>0</v>
      </c>
      <c r="G2158" s="187">
        <f ca="1">OFFSET('IWP01'!Std9BillingInfo11, 10, 6, 1, 1)</f>
        <v>0</v>
      </c>
      <c r="H2158" s="187">
        <f ca="1">OFFSET('IWP01'!Std9BillingInfo11, 11, 6, 1, 1)</f>
        <v>0</v>
      </c>
      <c r="I2158" s="187">
        <f ca="1">OFFSET('IWP01'!Std9BillingInfo11, 10, 8, 1, 1)</f>
        <v>0</v>
      </c>
      <c r="J2158" s="187">
        <f ca="1">OFFSET('IWP01'!Std9BillingInfo11, 10, 11, 1, 1)</f>
        <v>0</v>
      </c>
      <c r="K2158" s="187">
        <f ca="1">OFFSET('IWP01'!Std9BillingInfo11, 10, 12, 1, 1)</f>
        <v>0</v>
      </c>
      <c r="L2158" s="179">
        <f ca="1">OFFSET('IWP01'!Std9BillingInfo11, 12, 8, 1, 1)</f>
        <v>0</v>
      </c>
      <c r="M2158" s="129"/>
    </row>
    <row r="2159" spans="1:13">
      <c r="A2159" s="183" t="s">
        <v>499</v>
      </c>
      <c r="B2159" s="196">
        <v>12</v>
      </c>
      <c r="C2159" s="195" t="str">
        <f ca="1">IF(OFFSET('IWP01'!Std9BillingInfo12, 0, 0, 1, 1) = 0, "", OFFSET('IWP01'!Std9BillingInfo12, 0, 0, 1, 1))</f>
        <v/>
      </c>
      <c r="D2159" s="172">
        <f ca="1">IF(OFFSET('IWP01'!Std9BillingInfo12, 0, 1, 1, 1)=DATE(1900,1,0), DATE(1900,1,1), OFFSET('IWP01'!Std9BillingInfo12, 0, 1, 1, 1))</f>
        <v>1</v>
      </c>
      <c r="E2159" s="172">
        <f ca="1">IF(OFFSET('IWP01'!Std9BillingInfo12, 0, 2, 1, 1)=DATE(1900,1,0), DATE(1900,1,1), OFFSET('IWP01'!Std9BillingInfo12, 0, 2, 1, 1))</f>
        <v>1</v>
      </c>
      <c r="F2159" s="187">
        <f ca="1">OFFSET('IWP01'!Std9BillingInfo12, 0, 3, 1, 1)</f>
        <v>0</v>
      </c>
      <c r="G2159" s="187">
        <f ca="1">OFFSET('IWP01'!Std9BillingInfo12, 10, 6, 1, 1)</f>
        <v>0</v>
      </c>
      <c r="H2159" s="187">
        <f ca="1">OFFSET('IWP01'!Std9BillingInfo12, 11, 6, 1, 1)</f>
        <v>0</v>
      </c>
      <c r="I2159" s="187">
        <f ca="1">OFFSET('IWP01'!Std9BillingInfo12, 10, 8, 1, 1)</f>
        <v>0</v>
      </c>
      <c r="J2159" s="187">
        <f ca="1">OFFSET('IWP01'!Std9BillingInfo12, 10, 11, 1, 1)</f>
        <v>0</v>
      </c>
      <c r="K2159" s="187">
        <f ca="1">OFFSET('IWP01'!Std9BillingInfo12, 10, 12, 1, 1)</f>
        <v>0</v>
      </c>
      <c r="L2159" s="179">
        <f ca="1">OFFSET('IWP01'!Std9BillingInfo12, 12, 8, 1, 1)</f>
        <v>0</v>
      </c>
      <c r="M2159" s="129"/>
    </row>
    <row r="2160" spans="1:13">
      <c r="A2160" s="183" t="s">
        <v>499</v>
      </c>
      <c r="B2160" s="196">
        <v>13</v>
      </c>
      <c r="C2160" s="195" t="str">
        <f ca="1">IF(OFFSET('IWP01'!Std9BillingInfo13, 0, 0, 1, 1) = 0, "", OFFSET('IWP01'!Std9BillingInfo13, 0, 0, 1, 1))</f>
        <v/>
      </c>
      <c r="D2160" s="172">
        <f ca="1">IF(OFFSET('IWP01'!Std9BillingInfo13, 0, 1, 1, 1)=DATE(1900,1,0), DATE(1900,1,1), OFFSET('IWP01'!Std9BillingInfo13, 0, 1, 1, 1))</f>
        <v>1</v>
      </c>
      <c r="E2160" s="172">
        <f ca="1">IF(OFFSET('IWP01'!Std9BillingInfo13, 0, 2, 1, 1)=DATE(1900,1,0), DATE(1900,1,1), OFFSET('IWP01'!Std9BillingInfo13, 0, 2, 1, 1))</f>
        <v>1</v>
      </c>
      <c r="F2160" s="187">
        <f ca="1">OFFSET('IWP01'!Std9BillingInfo13, 0, 3, 1, 1)</f>
        <v>0</v>
      </c>
      <c r="G2160" s="187">
        <f ca="1">OFFSET('IWP01'!Std9BillingInfo13, 10, 6, 1, 1)</f>
        <v>0</v>
      </c>
      <c r="H2160" s="187">
        <f ca="1">OFFSET('IWP01'!Std9BillingInfo13, 11, 6, 1, 1)</f>
        <v>0</v>
      </c>
      <c r="I2160" s="187">
        <f ca="1">OFFSET('IWP01'!Std9BillingInfo13, 10, 8, 1, 1)</f>
        <v>0</v>
      </c>
      <c r="J2160" s="187">
        <f ca="1">OFFSET('IWP01'!Std9BillingInfo13, 10, 11, 1, 1)</f>
        <v>0</v>
      </c>
      <c r="K2160" s="187">
        <f ca="1">OFFSET('IWP01'!Std9BillingInfo13, 10, 12, 1, 1)</f>
        <v>0</v>
      </c>
      <c r="L2160" s="179">
        <f ca="1">OFFSET('IWP01'!Std9BillingInfo13, 12, 8, 1, 1)</f>
        <v>0</v>
      </c>
      <c r="M2160" s="129"/>
    </row>
    <row r="2161" spans="1:13">
      <c r="A2161" s="183" t="s">
        <v>499</v>
      </c>
      <c r="B2161" s="196">
        <v>14</v>
      </c>
      <c r="C2161" s="195" t="str">
        <f ca="1">IF(OFFSET('IWP01'!Std9BillingInfo14, 0, 0, 1, 1) = 0, "", OFFSET('IWP01'!Std9BillingInfo14, 0, 0, 1, 1))</f>
        <v/>
      </c>
      <c r="D2161" s="172">
        <f ca="1">IF(OFFSET('IWP01'!Std9BillingInfo14, 0, 1, 1, 1)=DATE(1900,1,0), DATE(1900,1,1), OFFSET('IWP01'!Std9BillingInfo14, 0, 1, 1, 1))</f>
        <v>1</v>
      </c>
      <c r="E2161" s="172">
        <f ca="1">IF(OFFSET('IWP01'!Std9BillingInfo14, 0, 2, 1, 1)=DATE(1900,1,0), DATE(1900,1,1), OFFSET('IWP01'!Std9BillingInfo14, 0, 2, 1, 1))</f>
        <v>1</v>
      </c>
      <c r="F2161" s="187">
        <f ca="1">OFFSET('IWP01'!Std9BillingInfo14, 0, 3, 1, 1)</f>
        <v>0</v>
      </c>
      <c r="G2161" s="187">
        <f ca="1">OFFSET('IWP01'!Std9BillingInfo14, 10, 6, 1, 1)</f>
        <v>0</v>
      </c>
      <c r="H2161" s="187">
        <f ca="1">OFFSET('IWP01'!Std9BillingInfo14, 11, 6, 1, 1)</f>
        <v>0</v>
      </c>
      <c r="I2161" s="187">
        <f ca="1">OFFSET('IWP01'!Std9BillingInfo14, 10, 8, 1, 1)</f>
        <v>0</v>
      </c>
      <c r="J2161" s="187">
        <f ca="1">OFFSET('IWP01'!Std9BillingInfo14, 10, 11, 1, 1)</f>
        <v>0</v>
      </c>
      <c r="K2161" s="187">
        <f ca="1">OFFSET('IWP01'!Std9BillingInfo14, 10, 12, 1, 1)</f>
        <v>0</v>
      </c>
      <c r="L2161" s="179">
        <f ca="1">OFFSET('IWP01'!Std9BillingInfo14, 12, 8, 1, 1)</f>
        <v>0</v>
      </c>
      <c r="M2161" s="129"/>
    </row>
    <row r="2162" spans="1:13">
      <c r="A2162" s="183" t="s">
        <v>499</v>
      </c>
      <c r="B2162" s="196">
        <v>15</v>
      </c>
      <c r="C2162" s="195" t="str">
        <f ca="1">IF(OFFSET('IWP01'!Std9BillingInfo15, 0, 0, 1, 1) = 0, "", OFFSET('IWP01'!Std9BillingInfo15, 0, 0, 1, 1))</f>
        <v/>
      </c>
      <c r="D2162" s="172">
        <f ca="1">IF(OFFSET('IWP01'!Std9BillingInfo15, 0, 1, 1, 1)=DATE(1900,1,0), DATE(1900,1,1), OFFSET('IWP01'!Std9BillingInfo15, 0, 1, 1, 1))</f>
        <v>1</v>
      </c>
      <c r="E2162" s="172">
        <f ca="1">IF(OFFSET('IWP01'!Std9BillingInfo15, 0, 2, 1, 1)=DATE(1900,1,0), DATE(1900,1,1), OFFSET('IWP01'!Std9BillingInfo15, 0, 2, 1, 1))</f>
        <v>1</v>
      </c>
      <c r="F2162" s="187">
        <f ca="1">OFFSET('IWP01'!Std9BillingInfo15, 0, 3, 1, 1)</f>
        <v>0</v>
      </c>
      <c r="G2162" s="187">
        <f ca="1">OFFSET('IWP01'!Std9BillingInfo15, 10, 6, 1, 1)</f>
        <v>0</v>
      </c>
      <c r="H2162" s="187">
        <f ca="1">OFFSET('IWP01'!Std9BillingInfo15, 11, 6, 1, 1)</f>
        <v>0</v>
      </c>
      <c r="I2162" s="187">
        <f ca="1">OFFSET('IWP01'!Std9BillingInfo15, 10, 8, 1, 1)</f>
        <v>0</v>
      </c>
      <c r="J2162" s="187">
        <f ca="1">OFFSET('IWP01'!Std9BillingInfo15, 10, 11, 1, 1)</f>
        <v>0</v>
      </c>
      <c r="K2162" s="187">
        <f ca="1">OFFSET('IWP01'!Std9BillingInfo15, 10, 12, 1, 1)</f>
        <v>0</v>
      </c>
      <c r="L2162" s="179">
        <f ca="1">OFFSET('IWP01'!Std9BillingInfo15, 12, 8, 1, 1)</f>
        <v>0</v>
      </c>
      <c r="M2162" s="129"/>
    </row>
    <row r="2163" spans="1:13">
      <c r="A2163" s="183" t="s">
        <v>499</v>
      </c>
      <c r="B2163" s="196">
        <v>16</v>
      </c>
      <c r="C2163" s="195" t="str">
        <f ca="1">IF(OFFSET('IWP01'!Std9BillingInfo16, 0, 0, 1, 1) = 0, "", OFFSET('IWP01'!Std9BillingInfo16, 0, 0, 1, 1))</f>
        <v/>
      </c>
      <c r="D2163" s="172">
        <f ca="1">IF(OFFSET('IWP01'!Std9BillingInfo16, 0, 1, 1, 1)=DATE(1900,1,0), DATE(1900,1,1), OFFSET('IWP01'!Std9BillingInfo16, 0, 1, 1, 1))</f>
        <v>1</v>
      </c>
      <c r="E2163" s="172">
        <f ca="1">IF(OFFSET('IWP01'!Std9BillingInfo16, 0, 2, 1, 1)=DATE(1900,1,0), DATE(1900,1,1), OFFSET('IWP01'!Std9BillingInfo16, 0, 2, 1, 1))</f>
        <v>1</v>
      </c>
      <c r="F2163" s="187">
        <f ca="1">OFFSET('IWP01'!Std9BillingInfo16, 0, 3, 1, 1)</f>
        <v>0</v>
      </c>
      <c r="G2163" s="187">
        <f ca="1">OFFSET('IWP01'!Std9BillingInfo16, 10, 6, 1, 1)</f>
        <v>0</v>
      </c>
      <c r="H2163" s="187">
        <f ca="1">OFFSET('IWP01'!Std9BillingInfo16, 11, 6, 1, 1)</f>
        <v>0</v>
      </c>
      <c r="I2163" s="187">
        <f ca="1">OFFSET('IWP01'!Std9BillingInfo16, 10, 8, 1, 1)</f>
        <v>0</v>
      </c>
      <c r="J2163" s="187">
        <f ca="1">OFFSET('IWP01'!Std9BillingInfo16, 10, 11, 1, 1)</f>
        <v>0</v>
      </c>
      <c r="K2163" s="187">
        <f ca="1">OFFSET('IWP01'!Std9BillingInfo16, 10, 12, 1, 1)</f>
        <v>0</v>
      </c>
      <c r="L2163" s="179">
        <f ca="1">OFFSET('IWP01'!Std9BillingInfo16, 12, 8, 1, 1)</f>
        <v>0</v>
      </c>
      <c r="M2163" s="129"/>
    </row>
    <row r="2164" spans="1:13">
      <c r="A2164" s="183" t="s">
        <v>499</v>
      </c>
      <c r="B2164" s="196">
        <v>17</v>
      </c>
      <c r="C2164" s="195" t="str">
        <f ca="1">IF(OFFSET('IWP01'!Std9BillingInfo17, 0, 0, 1, 1) = 0, "", OFFSET('IWP01'!Std9BillingInfo17, 0, 0, 1, 1))</f>
        <v/>
      </c>
      <c r="D2164" s="172">
        <f ca="1">IF(OFFSET('IWP01'!Std9BillingInfo17, 0, 1, 1, 1)=DATE(1900,1,0), DATE(1900,1,1), OFFSET('IWP01'!Std9BillingInfo17, 0, 1, 1, 1))</f>
        <v>1</v>
      </c>
      <c r="E2164" s="172">
        <f ca="1">IF(OFFSET('IWP01'!Std9BillingInfo17, 0, 2, 1, 1)=DATE(1900,1,0), DATE(1900,1,1), OFFSET('IWP01'!Std9BillingInfo17, 0, 2, 1, 1))</f>
        <v>1</v>
      </c>
      <c r="F2164" s="187">
        <f ca="1">OFFSET('IWP01'!Std9BillingInfo17, 0, 3, 1, 1)</f>
        <v>0</v>
      </c>
      <c r="G2164" s="187">
        <f ca="1">OFFSET('IWP01'!Std9BillingInfo17, 10, 6, 1, 1)</f>
        <v>0</v>
      </c>
      <c r="H2164" s="187">
        <f ca="1">OFFSET('IWP01'!Std9BillingInfo17, 11, 6, 1, 1)</f>
        <v>0</v>
      </c>
      <c r="I2164" s="187">
        <f ca="1">OFFSET('IWP01'!Std9BillingInfo17, 10, 8, 1, 1)</f>
        <v>0</v>
      </c>
      <c r="J2164" s="187">
        <f ca="1">OFFSET('IWP01'!Std9BillingInfo17, 10, 11, 1, 1)</f>
        <v>0</v>
      </c>
      <c r="K2164" s="187">
        <f ca="1">OFFSET('IWP01'!Std9BillingInfo17, 10, 12, 1, 1)</f>
        <v>0</v>
      </c>
      <c r="L2164" s="179">
        <f ca="1">OFFSET('IWP01'!Std9BillingInfo17, 12, 8, 1, 1)</f>
        <v>0</v>
      </c>
      <c r="M2164" s="129"/>
    </row>
    <row r="2165" spans="1:13">
      <c r="A2165" s="183" t="s">
        <v>499</v>
      </c>
      <c r="B2165" s="196">
        <v>18</v>
      </c>
      <c r="C2165" s="195" t="str">
        <f ca="1">IF(OFFSET('IWP01'!Std9BillingInfo18, 0, 0, 1, 1) = 0, "", OFFSET('IWP01'!Std9BillingInfo18, 0, 0, 1, 1))</f>
        <v/>
      </c>
      <c r="D2165" s="172">
        <f ca="1">IF(OFFSET('IWP01'!Std9BillingInfo18, 0, 1, 1, 1)=DATE(1900,1,0), DATE(1900,1,1), OFFSET('IWP01'!Std9BillingInfo18, 0, 1, 1, 1))</f>
        <v>1</v>
      </c>
      <c r="E2165" s="172">
        <f ca="1">IF(OFFSET('IWP01'!Std9BillingInfo18, 0, 2, 1, 1)=DATE(1900,1,0), DATE(1900,1,1), OFFSET('IWP01'!Std9BillingInfo18, 0, 2, 1, 1))</f>
        <v>1</v>
      </c>
      <c r="F2165" s="187">
        <f ca="1">OFFSET('IWP01'!Std9BillingInfo18, 0, 3, 1, 1)</f>
        <v>0</v>
      </c>
      <c r="G2165" s="187">
        <f ca="1">OFFSET('IWP01'!Std9BillingInfo18, 10, 6, 1, 1)</f>
        <v>0</v>
      </c>
      <c r="H2165" s="187">
        <f ca="1">OFFSET('IWP01'!Std9BillingInfo18, 11, 6, 1, 1)</f>
        <v>0</v>
      </c>
      <c r="I2165" s="187">
        <f ca="1">OFFSET('IWP01'!Std9BillingInfo18, 10, 8, 1, 1)</f>
        <v>0</v>
      </c>
      <c r="J2165" s="187">
        <f ca="1">OFFSET('IWP01'!Std9BillingInfo18, 10, 11, 1, 1)</f>
        <v>0</v>
      </c>
      <c r="K2165" s="187">
        <f ca="1">OFFSET('IWP01'!Std9BillingInfo18, 10, 12, 1, 1)</f>
        <v>0</v>
      </c>
      <c r="L2165" s="179">
        <f ca="1">OFFSET('IWP01'!Std9BillingInfo18, 12, 8, 1, 1)</f>
        <v>0</v>
      </c>
      <c r="M2165" s="129"/>
    </row>
    <row r="2166" spans="1:13" s="105" customFormat="1">
      <c r="A2166" s="183" t="s">
        <v>500</v>
      </c>
      <c r="B2166" s="196">
        <v>1</v>
      </c>
      <c r="C2166" s="195" t="str">
        <f ca="1">IF(OFFSET('IWP02'!Std9BillingInfo01, 0, 0, 1, 1) = 0, "", OFFSET('IWP02'!Std9BillingInfo01, 0, 0, 1, 1))</f>
        <v/>
      </c>
      <c r="D2166" s="172">
        <f ca="1">IF(OFFSET('IWP02'!Std9BillingInfo01, 0, 1, 1, 1)=DATE(1900,1,0), DATE(1900,1,1), OFFSET('IWP02'!Std9BillingInfo01, 0, 1, 1, 1))</f>
        <v>1</v>
      </c>
      <c r="E2166" s="172">
        <f ca="1">IF(OFFSET('IWP02'!Std9BillingInfo01, 0, 2, 1, 1)=DATE(1900,1,0), DATE(1900,1,1), OFFSET('IWP02'!Std9BillingInfo01, 0, 2, 1, 1))</f>
        <v>1</v>
      </c>
      <c r="F2166" s="187">
        <f ca="1">OFFSET('IWP02'!Std9BillingInfo01, 0, 3, 1, 1)</f>
        <v>0</v>
      </c>
      <c r="G2166" s="187">
        <f ca="1">OFFSET('IWP02'!Std9BillingInfo01, 10, 6, 1, 1)</f>
        <v>0</v>
      </c>
      <c r="H2166" s="187">
        <f ca="1">OFFSET('IWP02'!Std9BillingInfo01, 11, 6, 1, 1)</f>
        <v>0</v>
      </c>
      <c r="I2166" s="187">
        <f ca="1">OFFSET('IWP02'!Std9BillingInfo01, 10, 8, 1, 1)</f>
        <v>0</v>
      </c>
      <c r="J2166" s="187">
        <f ca="1">OFFSET('IWP02'!Std9BillingInfo01, 10, 11, 1, 1)</f>
        <v>0</v>
      </c>
      <c r="K2166" s="187">
        <f ca="1">OFFSET('IWP02'!Std9BillingInfo01, 10, 12, 1, 1)</f>
        <v>0</v>
      </c>
      <c r="L2166" s="179">
        <f ca="1">OFFSET('IWP02'!Std9BillingInfo01, 12, 8, 1, 1)</f>
        <v>0</v>
      </c>
      <c r="M2166" s="129"/>
    </row>
    <row r="2167" spans="1:13" s="105" customFormat="1">
      <c r="A2167" s="183" t="s">
        <v>500</v>
      </c>
      <c r="B2167" s="196">
        <v>2</v>
      </c>
      <c r="C2167" s="195" t="str">
        <f ca="1">IF(OFFSET('IWP02'!Std9BillingInfo02, 0, 0, 1, 1) = 0, "", OFFSET('IWP02'!Std9BillingInfo02, 0, 0, 1, 1))</f>
        <v/>
      </c>
      <c r="D2167" s="172">
        <f ca="1">IF(OFFSET('IWP02'!Std9BillingInfo02, 0, 1, 1, 1)=DATE(1900,1,0), DATE(1900,1,1), OFFSET('IWP02'!Std9BillingInfo02, 0, 1, 1, 1))</f>
        <v>1</v>
      </c>
      <c r="E2167" s="172">
        <f ca="1">IF(OFFSET('IWP02'!Std9BillingInfo02, 0, 2, 1, 1)=DATE(1900,1,0), DATE(1900,1,1), OFFSET('IWP02'!Std9BillingInfo02, 0, 2, 1, 1))</f>
        <v>1</v>
      </c>
      <c r="F2167" s="187">
        <f ca="1">OFFSET('IWP02'!Std9BillingInfo02, 0, 3, 1, 1)</f>
        <v>0</v>
      </c>
      <c r="G2167" s="187">
        <f ca="1">OFFSET('IWP02'!Std9BillingInfo02, 10, 6, 1, 1)</f>
        <v>0</v>
      </c>
      <c r="H2167" s="187">
        <f ca="1">OFFSET('IWP02'!Std9BillingInfo02, 11, 6, 1, 1)</f>
        <v>0</v>
      </c>
      <c r="I2167" s="187">
        <f ca="1">OFFSET('IWP02'!Std9BillingInfo02, 10, 8, 1, 1)</f>
        <v>0</v>
      </c>
      <c r="J2167" s="187">
        <f ca="1">OFFSET('IWP02'!Std9BillingInfo02, 10, 11, 1, 1)</f>
        <v>0</v>
      </c>
      <c r="K2167" s="187">
        <f ca="1">OFFSET('IWP02'!Std9BillingInfo02, 10, 12, 1, 1)</f>
        <v>0</v>
      </c>
      <c r="L2167" s="179">
        <f ca="1">OFFSET('IWP02'!Std9BillingInfo02, 12, 8, 1, 1)</f>
        <v>0</v>
      </c>
      <c r="M2167" s="129"/>
    </row>
    <row r="2168" spans="1:13" s="105" customFormat="1">
      <c r="A2168" s="183" t="s">
        <v>500</v>
      </c>
      <c r="B2168" s="196">
        <v>3</v>
      </c>
      <c r="C2168" s="195" t="str">
        <f ca="1">IF(OFFSET('IWP02'!Std9BillingInfo03, 0, 0, 1, 1) = 0, "", OFFSET('IWP02'!Std9BillingInfo03, 0, 0, 1, 1))</f>
        <v/>
      </c>
      <c r="D2168" s="172">
        <f ca="1">IF(OFFSET('IWP02'!Std9BillingInfo03, 0, 1, 1, 1)=DATE(1900,1,0), DATE(1900,1,1), OFFSET('IWP02'!Std9BillingInfo03, 0, 1, 1, 1))</f>
        <v>1</v>
      </c>
      <c r="E2168" s="172">
        <f ca="1">IF(OFFSET('IWP02'!Std9BillingInfo03, 0, 2, 1, 1)=DATE(1900,1,0), DATE(1900,1,1), OFFSET('IWP02'!Std9BillingInfo03, 0, 2, 1, 1))</f>
        <v>1</v>
      </c>
      <c r="F2168" s="187">
        <f ca="1">OFFSET('IWP02'!Std9BillingInfo03, 0, 3, 1, 1)</f>
        <v>0</v>
      </c>
      <c r="G2168" s="187">
        <f ca="1">OFFSET('IWP02'!Std9BillingInfo03, 10, 6, 1, 1)</f>
        <v>0</v>
      </c>
      <c r="H2168" s="187">
        <f ca="1">OFFSET('IWP02'!Std9BillingInfo03, 11, 6, 1, 1)</f>
        <v>0</v>
      </c>
      <c r="I2168" s="187">
        <f ca="1">OFFSET('IWP02'!Std9BillingInfo03, 10, 8, 1, 1)</f>
        <v>0</v>
      </c>
      <c r="J2168" s="187">
        <f ca="1">OFFSET('IWP02'!Std9BillingInfo03, 10, 11, 1, 1)</f>
        <v>0</v>
      </c>
      <c r="K2168" s="187">
        <f ca="1">OFFSET('IWP02'!Std9BillingInfo03, 10, 12, 1, 1)</f>
        <v>0</v>
      </c>
      <c r="L2168" s="179">
        <f ca="1">OFFSET('IWP02'!Std9BillingInfo03, 12, 8, 1, 1)</f>
        <v>0</v>
      </c>
      <c r="M2168" s="129"/>
    </row>
    <row r="2169" spans="1:13" s="105" customFormat="1">
      <c r="A2169" s="183" t="s">
        <v>500</v>
      </c>
      <c r="B2169" s="196">
        <v>4</v>
      </c>
      <c r="C2169" s="195" t="str">
        <f ca="1">IF(OFFSET('IWP02'!Std9BillingInfo04, 0, 0, 1, 1) = 0, "", OFFSET('IWP02'!Std9BillingInfo04, 0, 0, 1, 1))</f>
        <v/>
      </c>
      <c r="D2169" s="172">
        <f ca="1">IF(OFFSET('IWP02'!Std9BillingInfo04, 0, 1, 1, 1)=DATE(1900,1,0), DATE(1900,1,1), OFFSET('IWP02'!Std9BillingInfo04, 0, 1, 1, 1))</f>
        <v>1</v>
      </c>
      <c r="E2169" s="172">
        <f ca="1">IF(OFFSET('IWP02'!Std9BillingInfo04, 0, 2, 1, 1)=DATE(1900,1,0), DATE(1900,1,1), OFFSET('IWP02'!Std9BillingInfo04, 0, 2, 1, 1))</f>
        <v>1</v>
      </c>
      <c r="F2169" s="187">
        <f ca="1">OFFSET('IWP02'!Std9BillingInfo04, 0, 3, 1, 1)</f>
        <v>0</v>
      </c>
      <c r="G2169" s="187">
        <f ca="1">OFFSET('IWP02'!Std9BillingInfo04, 10, 6, 1, 1)</f>
        <v>0</v>
      </c>
      <c r="H2169" s="187">
        <f ca="1">OFFSET('IWP02'!Std9BillingInfo04, 11, 6, 1, 1)</f>
        <v>0</v>
      </c>
      <c r="I2169" s="187">
        <f ca="1">OFFSET('IWP02'!Std9BillingInfo04, 10, 8, 1, 1)</f>
        <v>0</v>
      </c>
      <c r="J2169" s="187">
        <f ca="1">OFFSET('IWP02'!Std9BillingInfo04, 10, 11, 1, 1)</f>
        <v>0</v>
      </c>
      <c r="K2169" s="187">
        <f ca="1">OFFSET('IWP02'!Std9BillingInfo04, 10, 12, 1, 1)</f>
        <v>0</v>
      </c>
      <c r="L2169" s="179">
        <f ca="1">OFFSET('IWP02'!Std9BillingInfo04, 12, 8, 1, 1)</f>
        <v>0</v>
      </c>
      <c r="M2169" s="129"/>
    </row>
    <row r="2170" spans="1:13" s="105" customFormat="1">
      <c r="A2170" s="183" t="s">
        <v>500</v>
      </c>
      <c r="B2170" s="196">
        <v>5</v>
      </c>
      <c r="C2170" s="195" t="str">
        <f ca="1">IF(OFFSET('IWP02'!Std9BillingInfo05, 0, 0, 1, 1) = 0, "", OFFSET('IWP02'!Std9BillingInfo05, 0, 0, 1, 1))</f>
        <v/>
      </c>
      <c r="D2170" s="172">
        <f ca="1">IF(OFFSET('IWP02'!Std9BillingInfo05, 0, 1, 1, 1)=DATE(1900,1,0), DATE(1900,1,1), OFFSET('IWP02'!Std9BillingInfo05, 0, 1, 1, 1))</f>
        <v>1</v>
      </c>
      <c r="E2170" s="172">
        <f ca="1">IF(OFFSET('IWP02'!Std9BillingInfo05, 0, 2, 1, 1)=DATE(1900,1,0), DATE(1900,1,1), OFFSET('IWP02'!Std9BillingInfo05, 0, 2, 1, 1))</f>
        <v>1</v>
      </c>
      <c r="F2170" s="187">
        <f ca="1">OFFSET('IWP02'!Std9BillingInfo05, 0, 3, 1, 1)</f>
        <v>0</v>
      </c>
      <c r="G2170" s="187">
        <f ca="1">OFFSET('IWP02'!Std9BillingInfo05, 10, 6, 1, 1)</f>
        <v>0</v>
      </c>
      <c r="H2170" s="187">
        <f ca="1">OFFSET('IWP02'!Std9BillingInfo05, 11, 6, 1, 1)</f>
        <v>0</v>
      </c>
      <c r="I2170" s="187">
        <f ca="1">OFFSET('IWP02'!Std9BillingInfo05, 10, 8, 1, 1)</f>
        <v>0</v>
      </c>
      <c r="J2170" s="187">
        <f ca="1">OFFSET('IWP02'!Std9BillingInfo05, 10, 11, 1, 1)</f>
        <v>0</v>
      </c>
      <c r="K2170" s="187">
        <f ca="1">OFFSET('IWP02'!Std9BillingInfo05, 10, 12, 1, 1)</f>
        <v>0</v>
      </c>
      <c r="L2170" s="179">
        <f ca="1">OFFSET('IWP02'!Std9BillingInfo05, 12, 8, 1, 1)</f>
        <v>0</v>
      </c>
      <c r="M2170" s="129"/>
    </row>
    <row r="2171" spans="1:13" s="105" customFormat="1">
      <c r="A2171" s="183" t="s">
        <v>500</v>
      </c>
      <c r="B2171" s="196">
        <v>6</v>
      </c>
      <c r="C2171" s="195" t="str">
        <f ca="1">IF(OFFSET('IWP02'!Std9BillingInfo06, 0, 0, 1, 1) = 0, "", OFFSET('IWP02'!Std9BillingInfo06, 0, 0, 1, 1))</f>
        <v/>
      </c>
      <c r="D2171" s="172">
        <f ca="1">IF(OFFSET('IWP02'!Std9BillingInfo06, 0, 1, 1, 1)=DATE(1900,1,0), DATE(1900,1,1), OFFSET('IWP02'!Std9BillingInfo06, 0, 1, 1, 1))</f>
        <v>1</v>
      </c>
      <c r="E2171" s="172">
        <f ca="1">IF(OFFSET('IWP02'!Std9BillingInfo06, 0, 2, 1, 1)=DATE(1900,1,0), DATE(1900,1,1), OFFSET('IWP02'!Std9BillingInfo06, 0, 2, 1, 1))</f>
        <v>1</v>
      </c>
      <c r="F2171" s="187">
        <f ca="1">OFFSET('IWP02'!Std9BillingInfo06, 0, 3, 1, 1)</f>
        <v>0</v>
      </c>
      <c r="G2171" s="187">
        <f ca="1">OFFSET('IWP02'!Std9BillingInfo06, 10, 6, 1, 1)</f>
        <v>0</v>
      </c>
      <c r="H2171" s="187">
        <f ca="1">OFFSET('IWP02'!Std9BillingInfo06, 11, 6, 1, 1)</f>
        <v>0</v>
      </c>
      <c r="I2171" s="187">
        <f ca="1">OFFSET('IWP02'!Std9BillingInfo06, 10, 8, 1, 1)</f>
        <v>0</v>
      </c>
      <c r="J2171" s="187">
        <f ca="1">OFFSET('IWP02'!Std9BillingInfo06, 10, 11, 1, 1)</f>
        <v>0</v>
      </c>
      <c r="K2171" s="187">
        <f ca="1">OFFSET('IWP02'!Std9BillingInfo06, 10, 12, 1, 1)</f>
        <v>0</v>
      </c>
      <c r="L2171" s="179">
        <f ca="1">OFFSET('IWP02'!Std9BillingInfo06, 12, 8, 1, 1)</f>
        <v>0</v>
      </c>
      <c r="M2171" s="129"/>
    </row>
    <row r="2172" spans="1:13" s="105" customFormat="1">
      <c r="A2172" s="183" t="s">
        <v>500</v>
      </c>
      <c r="B2172" s="196">
        <v>7</v>
      </c>
      <c r="C2172" s="195" t="str">
        <f ca="1">IF(OFFSET('IWP02'!Std9BillingInfo07, 0, 0, 1, 1) = 0, "", OFFSET('IWP02'!Std9BillingInfo07, 0, 0, 1, 1))</f>
        <v/>
      </c>
      <c r="D2172" s="172">
        <f ca="1">IF(OFFSET('IWP02'!Std9BillingInfo07, 0, 1, 1, 1)=DATE(1900,1,0), DATE(1900,1,1), OFFSET('IWP02'!Std9BillingInfo07, 0, 1, 1, 1))</f>
        <v>1</v>
      </c>
      <c r="E2172" s="172">
        <f ca="1">IF(OFFSET('IWP02'!Std9BillingInfo07, 0, 2, 1, 1)=DATE(1900,1,0), DATE(1900,1,1), OFFSET('IWP02'!Std9BillingInfo07, 0, 2, 1, 1))</f>
        <v>1</v>
      </c>
      <c r="F2172" s="187">
        <f ca="1">OFFSET('IWP02'!Std9BillingInfo07, 0, 3, 1, 1)</f>
        <v>0</v>
      </c>
      <c r="G2172" s="187">
        <f ca="1">OFFSET('IWP02'!Std9BillingInfo07, 10, 6, 1, 1)</f>
        <v>0</v>
      </c>
      <c r="H2172" s="187">
        <f ca="1">OFFSET('IWP02'!Std9BillingInfo07, 11, 6, 1, 1)</f>
        <v>0</v>
      </c>
      <c r="I2172" s="187">
        <f ca="1">OFFSET('IWP02'!Std9BillingInfo07, 10, 8, 1, 1)</f>
        <v>0</v>
      </c>
      <c r="J2172" s="187">
        <f ca="1">OFFSET('IWP02'!Std9BillingInfo07, 10, 11, 1, 1)</f>
        <v>0</v>
      </c>
      <c r="K2172" s="187">
        <f ca="1">OFFSET('IWP02'!Std9BillingInfo07, 10, 12, 1, 1)</f>
        <v>0</v>
      </c>
      <c r="L2172" s="179">
        <f ca="1">OFFSET('IWP02'!Std9BillingInfo07, 12, 8, 1, 1)</f>
        <v>0</v>
      </c>
      <c r="M2172" s="129"/>
    </row>
    <row r="2173" spans="1:13" s="105" customFormat="1">
      <c r="A2173" s="183" t="s">
        <v>500</v>
      </c>
      <c r="B2173" s="196">
        <v>8</v>
      </c>
      <c r="C2173" s="195" t="str">
        <f ca="1">IF(OFFSET('IWP02'!Std9BillingInfo08, 0, 0, 1, 1) = 0, "", OFFSET('IWP02'!Std9BillingInfo08, 0, 0, 1, 1))</f>
        <v/>
      </c>
      <c r="D2173" s="172">
        <f ca="1">IF(OFFSET('IWP02'!Std9BillingInfo08, 0, 1, 1, 1)=DATE(1900,1,0), DATE(1900,1,1), OFFSET('IWP02'!Std9BillingInfo08, 0, 1, 1, 1))</f>
        <v>1</v>
      </c>
      <c r="E2173" s="172">
        <f ca="1">IF(OFFSET('IWP02'!Std9BillingInfo08, 0, 2, 1, 1)=DATE(1900,1,0), DATE(1900,1,1), OFFSET('IWP02'!Std9BillingInfo08, 0, 2, 1, 1))</f>
        <v>1</v>
      </c>
      <c r="F2173" s="187">
        <f ca="1">OFFSET('IWP02'!Std9BillingInfo08, 0, 3, 1, 1)</f>
        <v>0</v>
      </c>
      <c r="G2173" s="187">
        <f ca="1">OFFSET('IWP02'!Std9BillingInfo08, 10, 6, 1, 1)</f>
        <v>0</v>
      </c>
      <c r="H2173" s="187">
        <f ca="1">OFFSET('IWP02'!Std9BillingInfo08, 11, 6, 1, 1)</f>
        <v>0</v>
      </c>
      <c r="I2173" s="187">
        <f ca="1">OFFSET('IWP02'!Std9BillingInfo08, 10, 8, 1, 1)</f>
        <v>0</v>
      </c>
      <c r="J2173" s="187">
        <f ca="1">OFFSET('IWP02'!Std9BillingInfo08, 10, 11, 1, 1)</f>
        <v>0</v>
      </c>
      <c r="K2173" s="187">
        <f ca="1">OFFSET('IWP02'!Std9BillingInfo08, 10, 12, 1, 1)</f>
        <v>0</v>
      </c>
      <c r="L2173" s="179">
        <f ca="1">OFFSET('IWP02'!Std9BillingInfo08, 12, 8, 1, 1)</f>
        <v>0</v>
      </c>
      <c r="M2173" s="129"/>
    </row>
    <row r="2174" spans="1:13" s="105" customFormat="1">
      <c r="A2174" s="183" t="s">
        <v>500</v>
      </c>
      <c r="B2174" s="196">
        <v>9</v>
      </c>
      <c r="C2174" s="195" t="str">
        <f ca="1">IF(OFFSET('IWP02'!Std9BillingInfo09, 0, 0, 1, 1) = 0, "", OFFSET('IWP02'!Std9BillingInfo09, 0, 0, 1, 1))</f>
        <v/>
      </c>
      <c r="D2174" s="172">
        <f ca="1">IF(OFFSET('IWP02'!Std9BillingInfo09, 0, 1, 1, 1)=DATE(1900,1,0), DATE(1900,1,1), OFFSET('IWP02'!Std9BillingInfo09, 0, 1, 1, 1))</f>
        <v>1</v>
      </c>
      <c r="E2174" s="172">
        <f ca="1">IF(OFFSET('IWP02'!Std9BillingInfo09, 0, 2, 1, 1)=DATE(1900,1,0), DATE(1900,1,1), OFFSET('IWP02'!Std9BillingInfo09, 0, 2, 1, 1))</f>
        <v>1</v>
      </c>
      <c r="F2174" s="187">
        <f ca="1">OFFSET('IWP02'!Std9BillingInfo09, 0, 3, 1, 1)</f>
        <v>0</v>
      </c>
      <c r="G2174" s="187">
        <f ca="1">OFFSET('IWP02'!Std9BillingInfo09, 10, 6, 1, 1)</f>
        <v>0</v>
      </c>
      <c r="H2174" s="187">
        <f ca="1">OFFSET('IWP02'!Std9BillingInfo09, 11, 6, 1, 1)</f>
        <v>0</v>
      </c>
      <c r="I2174" s="187">
        <f ca="1">OFFSET('IWP02'!Std9BillingInfo09, 10, 8, 1, 1)</f>
        <v>0</v>
      </c>
      <c r="J2174" s="187">
        <f ca="1">OFFSET('IWP02'!Std9BillingInfo09, 10, 11, 1, 1)</f>
        <v>0</v>
      </c>
      <c r="K2174" s="187">
        <f ca="1">OFFSET('IWP02'!Std9BillingInfo09, 10, 12, 1, 1)</f>
        <v>0</v>
      </c>
      <c r="L2174" s="179">
        <f ca="1">OFFSET('IWP02'!Std9BillingInfo09, 12, 8, 1, 1)</f>
        <v>0</v>
      </c>
      <c r="M2174" s="129"/>
    </row>
    <row r="2175" spans="1:13" s="105" customFormat="1">
      <c r="A2175" s="183" t="s">
        <v>500</v>
      </c>
      <c r="B2175" s="196">
        <v>10</v>
      </c>
      <c r="C2175" s="195" t="str">
        <f ca="1">IF(OFFSET('IWP02'!Std9BillingInfo10, 0, 0, 1, 1) = 0, "", OFFSET('IWP02'!Std9BillingInfo10, 0, 0, 1, 1))</f>
        <v/>
      </c>
      <c r="D2175" s="172">
        <f ca="1">IF(OFFSET('IWP02'!Std9BillingInfo10, 0, 1, 1, 1)=DATE(1900,1,0), DATE(1900,1,1), OFFSET('IWP02'!Std9BillingInfo10, 0, 1, 1, 1))</f>
        <v>1</v>
      </c>
      <c r="E2175" s="172">
        <f ca="1">IF(OFFSET('IWP02'!Std9BillingInfo10, 0, 2, 1, 1)=DATE(1900,1,0), DATE(1900,1,1), OFFSET('IWP02'!Std9BillingInfo10, 0, 2, 1, 1))</f>
        <v>1</v>
      </c>
      <c r="F2175" s="187">
        <f ca="1">OFFSET('IWP02'!Std9BillingInfo10, 0, 3, 1, 1)</f>
        <v>0</v>
      </c>
      <c r="G2175" s="187">
        <f ca="1">OFFSET('IWP02'!Std9BillingInfo10, 10, 6, 1, 1)</f>
        <v>0</v>
      </c>
      <c r="H2175" s="187">
        <f ca="1">OFFSET('IWP02'!Std9BillingInfo10, 11, 6, 1, 1)</f>
        <v>0</v>
      </c>
      <c r="I2175" s="187">
        <f ca="1">OFFSET('IWP02'!Std9BillingInfo10, 10, 8, 1, 1)</f>
        <v>0</v>
      </c>
      <c r="J2175" s="187">
        <f ca="1">OFFSET('IWP02'!Std9BillingInfo10, 10, 11, 1, 1)</f>
        <v>0</v>
      </c>
      <c r="K2175" s="187">
        <f ca="1">OFFSET('IWP02'!Std9BillingInfo10, 10, 12, 1, 1)</f>
        <v>0</v>
      </c>
      <c r="L2175" s="179">
        <f ca="1">OFFSET('IWP02'!Std9BillingInfo10, 12, 8, 1, 1)</f>
        <v>0</v>
      </c>
      <c r="M2175" s="129"/>
    </row>
    <row r="2176" spans="1:13" s="105" customFormat="1">
      <c r="A2176" s="183" t="s">
        <v>500</v>
      </c>
      <c r="B2176" s="196">
        <v>11</v>
      </c>
      <c r="C2176" s="195" t="str">
        <f ca="1">IF(OFFSET('IWP02'!Std9BillingInfo11, 0, 0, 1, 1) = 0, "", OFFSET('IWP02'!Std9BillingInfo11, 0, 0, 1, 1))</f>
        <v/>
      </c>
      <c r="D2176" s="172">
        <f ca="1">IF(OFFSET('IWP02'!Std9BillingInfo11, 0, 1, 1, 1)=DATE(1900,1,0), DATE(1900,1,1), OFFSET('IWP02'!Std9BillingInfo11, 0, 1, 1, 1))</f>
        <v>1</v>
      </c>
      <c r="E2176" s="172">
        <f ca="1">IF(OFFSET('IWP02'!Std9BillingInfo11, 0, 2, 1, 1)=DATE(1900,1,0), DATE(1900,1,1), OFFSET('IWP02'!Std9BillingInfo11, 0, 2, 1, 1))</f>
        <v>1</v>
      </c>
      <c r="F2176" s="187">
        <f ca="1">OFFSET('IWP02'!Std9BillingInfo11, 0, 3, 1, 1)</f>
        <v>0</v>
      </c>
      <c r="G2176" s="187">
        <f ca="1">OFFSET('IWP02'!Std9BillingInfo11, 10, 6, 1, 1)</f>
        <v>0</v>
      </c>
      <c r="H2176" s="187">
        <f ca="1">OFFSET('IWP02'!Std9BillingInfo11, 11, 6, 1, 1)</f>
        <v>0</v>
      </c>
      <c r="I2176" s="187">
        <f ca="1">OFFSET('IWP02'!Std9BillingInfo11, 10, 8, 1, 1)</f>
        <v>0</v>
      </c>
      <c r="J2176" s="187">
        <f ca="1">OFFSET('IWP02'!Std9BillingInfo11, 10, 11, 1, 1)</f>
        <v>0</v>
      </c>
      <c r="K2176" s="187">
        <f ca="1">OFFSET('IWP02'!Std9BillingInfo11, 10, 12, 1, 1)</f>
        <v>0</v>
      </c>
      <c r="L2176" s="179">
        <f ca="1">OFFSET('IWP02'!Std9BillingInfo11, 12, 8, 1, 1)</f>
        <v>0</v>
      </c>
      <c r="M2176" s="129"/>
    </row>
    <row r="2177" spans="1:13" s="105" customFormat="1">
      <c r="A2177" s="183" t="s">
        <v>500</v>
      </c>
      <c r="B2177" s="196">
        <v>12</v>
      </c>
      <c r="C2177" s="195" t="str">
        <f ca="1">IF(OFFSET('IWP02'!Std9BillingInfo12, 0, 0, 1, 1) = 0, "", OFFSET('IWP02'!Std9BillingInfo12, 0, 0, 1, 1))</f>
        <v/>
      </c>
      <c r="D2177" s="172">
        <f ca="1">IF(OFFSET('IWP02'!Std9BillingInfo12, 0, 1, 1, 1)=DATE(1900,1,0), DATE(1900,1,1), OFFSET('IWP02'!Std9BillingInfo12, 0, 1, 1, 1))</f>
        <v>1</v>
      </c>
      <c r="E2177" s="172">
        <f ca="1">IF(OFFSET('IWP02'!Std9BillingInfo12, 0, 2, 1, 1)=DATE(1900,1,0), DATE(1900,1,1), OFFSET('IWP02'!Std9BillingInfo12, 0, 2, 1, 1))</f>
        <v>1</v>
      </c>
      <c r="F2177" s="187">
        <f ca="1">OFFSET('IWP02'!Std9BillingInfo12, 0, 3, 1, 1)</f>
        <v>0</v>
      </c>
      <c r="G2177" s="187">
        <f ca="1">OFFSET('IWP02'!Std9BillingInfo12, 10, 6, 1, 1)</f>
        <v>0</v>
      </c>
      <c r="H2177" s="187">
        <f ca="1">OFFSET('IWP02'!Std9BillingInfo12, 11, 6, 1, 1)</f>
        <v>0</v>
      </c>
      <c r="I2177" s="187">
        <f ca="1">OFFSET('IWP02'!Std9BillingInfo12, 10, 8, 1, 1)</f>
        <v>0</v>
      </c>
      <c r="J2177" s="187">
        <f ca="1">OFFSET('IWP02'!Std9BillingInfo12, 10, 11, 1, 1)</f>
        <v>0</v>
      </c>
      <c r="K2177" s="187">
        <f ca="1">OFFSET('IWP02'!Std9BillingInfo12, 10, 12, 1, 1)</f>
        <v>0</v>
      </c>
      <c r="L2177" s="179">
        <f ca="1">OFFSET('IWP02'!Std9BillingInfo12, 12, 8, 1, 1)</f>
        <v>0</v>
      </c>
      <c r="M2177" s="129"/>
    </row>
    <row r="2178" spans="1:13" s="105" customFormat="1">
      <c r="A2178" s="183" t="s">
        <v>500</v>
      </c>
      <c r="B2178" s="196">
        <v>13</v>
      </c>
      <c r="C2178" s="195" t="str">
        <f ca="1">IF(OFFSET('IWP02'!Std9BillingInfo13, 0, 0, 1, 1) = 0, "", OFFSET('IWP02'!Std9BillingInfo13, 0, 0, 1, 1))</f>
        <v/>
      </c>
      <c r="D2178" s="172">
        <f ca="1">IF(OFFSET('IWP02'!Std9BillingInfo13, 0, 1, 1, 1)=DATE(1900,1,0), DATE(1900,1,1), OFFSET('IWP02'!Std9BillingInfo13, 0, 1, 1, 1))</f>
        <v>1</v>
      </c>
      <c r="E2178" s="172">
        <f ca="1">IF(OFFSET('IWP02'!Std9BillingInfo13, 0, 2, 1, 1)=DATE(1900,1,0), DATE(1900,1,1), OFFSET('IWP02'!Std9BillingInfo13, 0, 2, 1, 1))</f>
        <v>1</v>
      </c>
      <c r="F2178" s="187">
        <f ca="1">OFFSET('IWP02'!Std9BillingInfo13, 0, 3, 1, 1)</f>
        <v>0</v>
      </c>
      <c r="G2178" s="187">
        <f ca="1">OFFSET('IWP02'!Std9BillingInfo13, 10, 6, 1, 1)</f>
        <v>0</v>
      </c>
      <c r="H2178" s="187">
        <f ca="1">OFFSET('IWP02'!Std9BillingInfo13, 11, 6, 1, 1)</f>
        <v>0</v>
      </c>
      <c r="I2178" s="187">
        <f ca="1">OFFSET('IWP02'!Std9BillingInfo13, 10, 8, 1, 1)</f>
        <v>0</v>
      </c>
      <c r="J2178" s="187">
        <f ca="1">OFFSET('IWP02'!Std9BillingInfo13, 10, 11, 1, 1)</f>
        <v>0</v>
      </c>
      <c r="K2178" s="187">
        <f ca="1">OFFSET('IWP02'!Std9BillingInfo13, 10, 12, 1, 1)</f>
        <v>0</v>
      </c>
      <c r="L2178" s="179">
        <f ca="1">OFFSET('IWP02'!Std9BillingInfo13, 12, 8, 1, 1)</f>
        <v>0</v>
      </c>
      <c r="M2178" s="129"/>
    </row>
    <row r="2179" spans="1:13" s="105" customFormat="1">
      <c r="A2179" s="183" t="s">
        <v>500</v>
      </c>
      <c r="B2179" s="196">
        <v>14</v>
      </c>
      <c r="C2179" s="195" t="str">
        <f ca="1">IF(OFFSET('IWP02'!Std9BillingInfo14, 0, 0, 1, 1) = 0, "", OFFSET('IWP02'!Std9BillingInfo14, 0, 0, 1, 1))</f>
        <v/>
      </c>
      <c r="D2179" s="172">
        <f ca="1">IF(OFFSET('IWP02'!Std9BillingInfo14, 0, 1, 1, 1)=DATE(1900,1,0), DATE(1900,1,1), OFFSET('IWP02'!Std9BillingInfo14, 0, 1, 1, 1))</f>
        <v>1</v>
      </c>
      <c r="E2179" s="172">
        <f ca="1">IF(OFFSET('IWP02'!Std9BillingInfo14, 0, 2, 1, 1)=DATE(1900,1,0), DATE(1900,1,1), OFFSET('IWP02'!Std9BillingInfo14, 0, 2, 1, 1))</f>
        <v>1</v>
      </c>
      <c r="F2179" s="187">
        <f ca="1">OFFSET('IWP02'!Std9BillingInfo14, 0, 3, 1, 1)</f>
        <v>0</v>
      </c>
      <c r="G2179" s="187">
        <f ca="1">OFFSET('IWP02'!Std9BillingInfo14, 10, 6, 1, 1)</f>
        <v>0</v>
      </c>
      <c r="H2179" s="187">
        <f ca="1">OFFSET('IWP02'!Std9BillingInfo14, 11, 6, 1, 1)</f>
        <v>0</v>
      </c>
      <c r="I2179" s="187">
        <f ca="1">OFFSET('IWP02'!Std9BillingInfo14, 10, 8, 1, 1)</f>
        <v>0</v>
      </c>
      <c r="J2179" s="187">
        <f ca="1">OFFSET('IWP02'!Std9BillingInfo14, 10, 11, 1, 1)</f>
        <v>0</v>
      </c>
      <c r="K2179" s="187">
        <f ca="1">OFFSET('IWP02'!Std9BillingInfo14, 10, 12, 1, 1)</f>
        <v>0</v>
      </c>
      <c r="L2179" s="179">
        <f ca="1">OFFSET('IWP02'!Std9BillingInfo14, 12, 8, 1, 1)</f>
        <v>0</v>
      </c>
      <c r="M2179" s="129"/>
    </row>
    <row r="2180" spans="1:13" s="105" customFormat="1">
      <c r="A2180" s="183" t="s">
        <v>500</v>
      </c>
      <c r="B2180" s="196">
        <v>15</v>
      </c>
      <c r="C2180" s="195" t="str">
        <f ca="1">IF(OFFSET('IWP02'!Std9BillingInfo15, 0, 0, 1, 1) = 0, "", OFFSET('IWP02'!Std9BillingInfo15, 0, 0, 1, 1))</f>
        <v/>
      </c>
      <c r="D2180" s="172">
        <f ca="1">IF(OFFSET('IWP02'!Std9BillingInfo15, 0, 1, 1, 1)=DATE(1900,1,0), DATE(1900,1,1), OFFSET('IWP02'!Std9BillingInfo15, 0, 1, 1, 1))</f>
        <v>1</v>
      </c>
      <c r="E2180" s="172">
        <f ca="1">IF(OFFSET('IWP02'!Std9BillingInfo15, 0, 2, 1, 1)=DATE(1900,1,0), DATE(1900,1,1), OFFSET('IWP02'!Std9BillingInfo15, 0, 2, 1, 1))</f>
        <v>1</v>
      </c>
      <c r="F2180" s="187">
        <f ca="1">OFFSET('IWP02'!Std9BillingInfo15, 0, 3, 1, 1)</f>
        <v>0</v>
      </c>
      <c r="G2180" s="187">
        <f ca="1">OFFSET('IWP02'!Std9BillingInfo15, 10, 6, 1, 1)</f>
        <v>0</v>
      </c>
      <c r="H2180" s="187">
        <f ca="1">OFFSET('IWP02'!Std9BillingInfo15, 11, 6, 1, 1)</f>
        <v>0</v>
      </c>
      <c r="I2180" s="187">
        <f ca="1">OFFSET('IWP02'!Std9BillingInfo15, 10, 8, 1, 1)</f>
        <v>0</v>
      </c>
      <c r="J2180" s="187">
        <f ca="1">OFFSET('IWP02'!Std9BillingInfo15, 10, 11, 1, 1)</f>
        <v>0</v>
      </c>
      <c r="K2180" s="187">
        <f ca="1">OFFSET('IWP02'!Std9BillingInfo15, 10, 12, 1, 1)</f>
        <v>0</v>
      </c>
      <c r="L2180" s="179">
        <f ca="1">OFFSET('IWP02'!Std9BillingInfo15, 12, 8, 1, 1)</f>
        <v>0</v>
      </c>
      <c r="M2180" s="129"/>
    </row>
    <row r="2181" spans="1:13" s="105" customFormat="1">
      <c r="A2181" s="183" t="s">
        <v>500</v>
      </c>
      <c r="B2181" s="196">
        <v>16</v>
      </c>
      <c r="C2181" s="195" t="str">
        <f ca="1">IF(OFFSET('IWP02'!Std9BillingInfo16, 0, 0, 1, 1) = 0, "", OFFSET('IWP02'!Std9BillingInfo16, 0, 0, 1, 1))</f>
        <v/>
      </c>
      <c r="D2181" s="172">
        <f ca="1">IF(OFFSET('IWP02'!Std9BillingInfo16, 0, 1, 1, 1)=DATE(1900,1,0), DATE(1900,1,1), OFFSET('IWP02'!Std9BillingInfo16, 0, 1, 1, 1))</f>
        <v>1</v>
      </c>
      <c r="E2181" s="172">
        <f ca="1">IF(OFFSET('IWP02'!Std9BillingInfo16, 0, 2, 1, 1)=DATE(1900,1,0), DATE(1900,1,1), OFFSET('IWP02'!Std9BillingInfo16, 0, 2, 1, 1))</f>
        <v>1</v>
      </c>
      <c r="F2181" s="187">
        <f ca="1">OFFSET('IWP02'!Std9BillingInfo16, 0, 3, 1, 1)</f>
        <v>0</v>
      </c>
      <c r="G2181" s="187">
        <f ca="1">OFFSET('IWP02'!Std9BillingInfo16, 10, 6, 1, 1)</f>
        <v>0</v>
      </c>
      <c r="H2181" s="187">
        <f ca="1">OFFSET('IWP02'!Std9BillingInfo16, 11, 6, 1, 1)</f>
        <v>0</v>
      </c>
      <c r="I2181" s="187">
        <f ca="1">OFFSET('IWP02'!Std9BillingInfo16, 10, 8, 1, 1)</f>
        <v>0</v>
      </c>
      <c r="J2181" s="187">
        <f ca="1">OFFSET('IWP02'!Std9BillingInfo16, 10, 11, 1, 1)</f>
        <v>0</v>
      </c>
      <c r="K2181" s="187">
        <f ca="1">OFFSET('IWP02'!Std9BillingInfo16, 10, 12, 1, 1)</f>
        <v>0</v>
      </c>
      <c r="L2181" s="179">
        <f ca="1">OFFSET('IWP02'!Std9BillingInfo16, 12, 8, 1, 1)</f>
        <v>0</v>
      </c>
      <c r="M2181" s="129"/>
    </row>
    <row r="2182" spans="1:13" s="105" customFormat="1">
      <c r="A2182" s="183" t="s">
        <v>500</v>
      </c>
      <c r="B2182" s="196">
        <v>17</v>
      </c>
      <c r="C2182" s="195" t="str">
        <f ca="1">IF(OFFSET('IWP02'!Std9BillingInfo17, 0, 0, 1, 1) = 0, "", OFFSET('IWP02'!Std9BillingInfo17, 0, 0, 1, 1))</f>
        <v/>
      </c>
      <c r="D2182" s="172">
        <f ca="1">IF(OFFSET('IWP02'!Std9BillingInfo17, 0, 1, 1, 1)=DATE(1900,1,0), DATE(1900,1,1), OFFSET('IWP02'!Std9BillingInfo17, 0, 1, 1, 1))</f>
        <v>1</v>
      </c>
      <c r="E2182" s="172">
        <f ca="1">IF(OFFSET('IWP02'!Std9BillingInfo17, 0, 2, 1, 1)=DATE(1900,1,0), DATE(1900,1,1), OFFSET('IWP02'!Std9BillingInfo17, 0, 2, 1, 1))</f>
        <v>1</v>
      </c>
      <c r="F2182" s="187">
        <f ca="1">OFFSET('IWP02'!Std9BillingInfo17, 0, 3, 1, 1)</f>
        <v>0</v>
      </c>
      <c r="G2182" s="187">
        <f ca="1">OFFSET('IWP02'!Std9BillingInfo17, 10, 6, 1, 1)</f>
        <v>0</v>
      </c>
      <c r="H2182" s="187">
        <f ca="1">OFFSET('IWP02'!Std9BillingInfo17, 11, 6, 1, 1)</f>
        <v>0</v>
      </c>
      <c r="I2182" s="187">
        <f ca="1">OFFSET('IWP02'!Std9BillingInfo17, 10, 8, 1, 1)</f>
        <v>0</v>
      </c>
      <c r="J2182" s="187">
        <f ca="1">OFFSET('IWP02'!Std9BillingInfo17, 10, 11, 1, 1)</f>
        <v>0</v>
      </c>
      <c r="K2182" s="187">
        <f ca="1">OFFSET('IWP02'!Std9BillingInfo17, 10, 12, 1, 1)</f>
        <v>0</v>
      </c>
      <c r="L2182" s="179">
        <f ca="1">OFFSET('IWP02'!Std9BillingInfo17, 12, 8, 1, 1)</f>
        <v>0</v>
      </c>
      <c r="M2182" s="129"/>
    </row>
    <row r="2183" spans="1:13" s="105" customFormat="1">
      <c r="A2183" s="183" t="s">
        <v>500</v>
      </c>
      <c r="B2183" s="196">
        <v>18</v>
      </c>
      <c r="C2183" s="195" t="str">
        <f ca="1">IF(OFFSET('IWP02'!Std9BillingInfo18, 0, 0, 1, 1) = 0, "", OFFSET('IWP02'!Std9BillingInfo18, 0, 0, 1, 1))</f>
        <v/>
      </c>
      <c r="D2183" s="172">
        <f ca="1">IF(OFFSET('IWP02'!Std9BillingInfo18, 0, 1, 1, 1)=DATE(1900,1,0), DATE(1900,1,1), OFFSET('IWP02'!Std9BillingInfo18, 0, 1, 1, 1))</f>
        <v>1</v>
      </c>
      <c r="E2183" s="172">
        <f ca="1">IF(OFFSET('IWP02'!Std9BillingInfo18, 0, 2, 1, 1)=DATE(1900,1,0), DATE(1900,1,1), OFFSET('IWP02'!Std9BillingInfo18, 0, 2, 1, 1))</f>
        <v>1</v>
      </c>
      <c r="F2183" s="187">
        <f ca="1">OFFSET('IWP02'!Std9BillingInfo18, 0, 3, 1, 1)</f>
        <v>0</v>
      </c>
      <c r="G2183" s="187">
        <f ca="1">OFFSET('IWP02'!Std9BillingInfo18, 10, 6, 1, 1)</f>
        <v>0</v>
      </c>
      <c r="H2183" s="187">
        <f ca="1">OFFSET('IWP02'!Std9BillingInfo18, 11, 6, 1, 1)</f>
        <v>0</v>
      </c>
      <c r="I2183" s="187">
        <f ca="1">OFFSET('IWP02'!Std9BillingInfo18, 10, 8, 1, 1)</f>
        <v>0</v>
      </c>
      <c r="J2183" s="187">
        <f ca="1">OFFSET('IWP02'!Std9BillingInfo18, 10, 11, 1, 1)</f>
        <v>0</v>
      </c>
      <c r="K2183" s="187">
        <f ca="1">OFFSET('IWP02'!Std9BillingInfo18, 10, 12, 1, 1)</f>
        <v>0</v>
      </c>
      <c r="L2183" s="179">
        <f ca="1">OFFSET('IWP02'!Std9BillingInfo18, 12, 8, 1, 1)</f>
        <v>0</v>
      </c>
      <c r="M2183" s="129"/>
    </row>
    <row r="2184" spans="1:13" s="105" customFormat="1">
      <c r="A2184" s="183" t="s">
        <v>501</v>
      </c>
      <c r="B2184" s="196">
        <v>1</v>
      </c>
      <c r="C2184" s="195" t="str">
        <f ca="1">IF(OFFSET('IWP03'!Std9BillingInfo01, 0, 0, 1, 1) = 0, "", OFFSET('IWP03'!Std9BillingInfo01, 0, 0, 1, 1))</f>
        <v/>
      </c>
      <c r="D2184" s="172">
        <f ca="1">IF(OFFSET('IWP03'!Std9BillingInfo01, 0, 1, 1, 1)=DATE(1900,1,0), DATE(1900,1,1), OFFSET('IWP03'!Std9BillingInfo01, 0, 1, 1, 1))</f>
        <v>1</v>
      </c>
      <c r="E2184" s="172">
        <f ca="1">IF(OFFSET('IWP03'!Std9BillingInfo01, 0, 2, 1, 1)=DATE(1900,1,0), DATE(1900,1,1), OFFSET('IWP03'!Std9BillingInfo01, 0, 2, 1, 1))</f>
        <v>1</v>
      </c>
      <c r="F2184" s="187">
        <f ca="1">OFFSET('IWP03'!Std9BillingInfo01, 0, 3, 1, 1)</f>
        <v>0</v>
      </c>
      <c r="G2184" s="187">
        <f ca="1">OFFSET('IWP03'!Std9BillingInfo01, 10, 6, 1, 1)</f>
        <v>0</v>
      </c>
      <c r="H2184" s="187">
        <f ca="1">OFFSET('IWP03'!Std9BillingInfo01, 11, 6, 1, 1)</f>
        <v>0</v>
      </c>
      <c r="I2184" s="187">
        <f ca="1">OFFSET('IWP03'!Std9BillingInfo01, 10, 8, 1, 1)</f>
        <v>0</v>
      </c>
      <c r="J2184" s="187">
        <f ca="1">OFFSET('IWP03'!Std9BillingInfo01, 10, 11, 1, 1)</f>
        <v>0</v>
      </c>
      <c r="K2184" s="187">
        <f ca="1">OFFSET('IWP03'!Std9BillingInfo01, 10, 12, 1, 1)</f>
        <v>0</v>
      </c>
      <c r="L2184" s="179">
        <f ca="1">OFFSET('IWP03'!Std9BillingInfo01, 12, 8, 1, 1)</f>
        <v>0</v>
      </c>
      <c r="M2184" s="129"/>
    </row>
    <row r="2185" spans="1:13" s="105" customFormat="1">
      <c r="A2185" s="183" t="s">
        <v>501</v>
      </c>
      <c r="B2185" s="196">
        <v>2</v>
      </c>
      <c r="C2185" s="195" t="str">
        <f ca="1">IF(OFFSET('IWP03'!Std9BillingInfo02, 0, 0, 1, 1) = 0, "", OFFSET('IWP03'!Std9BillingInfo02, 0, 0, 1, 1))</f>
        <v/>
      </c>
      <c r="D2185" s="172">
        <f ca="1">IF(OFFSET('IWP03'!Std9BillingInfo02, 0, 1, 1, 1)=DATE(1900,1,0), DATE(1900,1,1), OFFSET('IWP03'!Std9BillingInfo02, 0, 1, 1, 1))</f>
        <v>1</v>
      </c>
      <c r="E2185" s="172">
        <f ca="1">IF(OFFSET('IWP03'!Std9BillingInfo02, 0, 2, 1, 1)=DATE(1900,1,0), DATE(1900,1,1), OFFSET('IWP03'!Std9BillingInfo02, 0, 2, 1, 1))</f>
        <v>1</v>
      </c>
      <c r="F2185" s="187">
        <f ca="1">OFFSET('IWP03'!Std9BillingInfo02, 0, 3, 1, 1)</f>
        <v>0</v>
      </c>
      <c r="G2185" s="187">
        <f ca="1">OFFSET('IWP03'!Std9BillingInfo02, 10, 6, 1, 1)</f>
        <v>0</v>
      </c>
      <c r="H2185" s="187">
        <f ca="1">OFFSET('IWP03'!Std9BillingInfo02, 11, 6, 1, 1)</f>
        <v>0</v>
      </c>
      <c r="I2185" s="187">
        <f ca="1">OFFSET('IWP03'!Std9BillingInfo02, 10, 8, 1, 1)</f>
        <v>0</v>
      </c>
      <c r="J2185" s="187">
        <f ca="1">OFFSET('IWP03'!Std9BillingInfo02, 10, 11, 1, 1)</f>
        <v>0</v>
      </c>
      <c r="K2185" s="187">
        <f ca="1">OFFSET('IWP03'!Std9BillingInfo02, 10, 12, 1, 1)</f>
        <v>0</v>
      </c>
      <c r="L2185" s="179">
        <f ca="1">OFFSET('IWP03'!Std9BillingInfo02, 12, 8, 1, 1)</f>
        <v>0</v>
      </c>
      <c r="M2185" s="129"/>
    </row>
    <row r="2186" spans="1:13" s="105" customFormat="1">
      <c r="A2186" s="183" t="s">
        <v>501</v>
      </c>
      <c r="B2186" s="196">
        <v>3</v>
      </c>
      <c r="C2186" s="195" t="str">
        <f ca="1">IF(OFFSET('IWP03'!Std9BillingInfo03, 0, 0, 1, 1) = 0, "", OFFSET('IWP03'!Std9BillingInfo03, 0, 0, 1, 1))</f>
        <v/>
      </c>
      <c r="D2186" s="172">
        <f ca="1">IF(OFFSET('IWP03'!Std9BillingInfo03, 0, 1, 1, 1)=DATE(1900,1,0), DATE(1900,1,1), OFFSET('IWP03'!Std9BillingInfo03, 0, 1, 1, 1))</f>
        <v>1</v>
      </c>
      <c r="E2186" s="172">
        <f ca="1">IF(OFFSET('IWP03'!Std9BillingInfo03, 0, 2, 1, 1)=DATE(1900,1,0), DATE(1900,1,1), OFFSET('IWP03'!Std9BillingInfo03, 0, 2, 1, 1))</f>
        <v>1</v>
      </c>
      <c r="F2186" s="187">
        <f ca="1">OFFSET('IWP03'!Std9BillingInfo03, 0, 3, 1, 1)</f>
        <v>0</v>
      </c>
      <c r="G2186" s="187">
        <f ca="1">OFFSET('IWP03'!Std9BillingInfo03, 10, 6, 1, 1)</f>
        <v>0</v>
      </c>
      <c r="H2186" s="187">
        <f ca="1">OFFSET('IWP03'!Std9BillingInfo03, 11, 6, 1, 1)</f>
        <v>0</v>
      </c>
      <c r="I2186" s="187">
        <f ca="1">OFFSET('IWP03'!Std9BillingInfo03, 10, 8, 1, 1)</f>
        <v>0</v>
      </c>
      <c r="J2186" s="187">
        <f ca="1">OFFSET('IWP03'!Std9BillingInfo03, 10, 11, 1, 1)</f>
        <v>0</v>
      </c>
      <c r="K2186" s="187">
        <f ca="1">OFFSET('IWP03'!Std9BillingInfo03, 10, 12, 1, 1)</f>
        <v>0</v>
      </c>
      <c r="L2186" s="179">
        <f ca="1">OFFSET('IWP03'!Std9BillingInfo03, 12, 8, 1, 1)</f>
        <v>0</v>
      </c>
      <c r="M2186" s="129"/>
    </row>
    <row r="2187" spans="1:13" s="105" customFormat="1">
      <c r="A2187" s="183" t="s">
        <v>501</v>
      </c>
      <c r="B2187" s="196">
        <v>4</v>
      </c>
      <c r="C2187" s="195" t="str">
        <f ca="1">IF(OFFSET('IWP03'!Std9BillingInfo04, 0, 0, 1, 1) = 0, "", OFFSET('IWP03'!Std9BillingInfo04, 0, 0, 1, 1))</f>
        <v/>
      </c>
      <c r="D2187" s="172">
        <f ca="1">IF(OFFSET('IWP03'!Std9BillingInfo04, 0, 1, 1, 1)=DATE(1900,1,0), DATE(1900,1,1), OFFSET('IWP03'!Std9BillingInfo04, 0, 1, 1, 1))</f>
        <v>1</v>
      </c>
      <c r="E2187" s="172">
        <f ca="1">IF(OFFSET('IWP03'!Std9BillingInfo04, 0, 2, 1, 1)=DATE(1900,1,0), DATE(1900,1,1), OFFSET('IWP03'!Std9BillingInfo04, 0, 2, 1, 1))</f>
        <v>1</v>
      </c>
      <c r="F2187" s="187">
        <f ca="1">OFFSET('IWP03'!Std9BillingInfo04, 0, 3, 1, 1)</f>
        <v>0</v>
      </c>
      <c r="G2187" s="187">
        <f ca="1">OFFSET('IWP03'!Std9BillingInfo04, 10, 6, 1, 1)</f>
        <v>0</v>
      </c>
      <c r="H2187" s="187">
        <f ca="1">OFFSET('IWP03'!Std9BillingInfo04, 11, 6, 1, 1)</f>
        <v>0</v>
      </c>
      <c r="I2187" s="187">
        <f ca="1">OFFSET('IWP03'!Std9BillingInfo04, 10, 8, 1, 1)</f>
        <v>0</v>
      </c>
      <c r="J2187" s="187">
        <f ca="1">OFFSET('IWP03'!Std9BillingInfo04, 10, 11, 1, 1)</f>
        <v>0</v>
      </c>
      <c r="K2187" s="187">
        <f ca="1">OFFSET('IWP03'!Std9BillingInfo04, 10, 12, 1, 1)</f>
        <v>0</v>
      </c>
      <c r="L2187" s="179">
        <f ca="1">OFFSET('IWP03'!Std9BillingInfo04, 12, 8, 1, 1)</f>
        <v>0</v>
      </c>
      <c r="M2187" s="129"/>
    </row>
    <row r="2188" spans="1:13" s="105" customFormat="1">
      <c r="A2188" s="183" t="s">
        <v>501</v>
      </c>
      <c r="B2188" s="196">
        <v>5</v>
      </c>
      <c r="C2188" s="195" t="str">
        <f ca="1">IF(OFFSET('IWP03'!Std9BillingInfo05, 0, 0, 1, 1) = 0, "", OFFSET('IWP03'!Std9BillingInfo05, 0, 0, 1, 1))</f>
        <v/>
      </c>
      <c r="D2188" s="172">
        <f ca="1">IF(OFFSET('IWP03'!Std9BillingInfo05, 0, 1, 1, 1)=DATE(1900,1,0), DATE(1900,1,1), OFFSET('IWP03'!Std9BillingInfo05, 0, 1, 1, 1))</f>
        <v>1</v>
      </c>
      <c r="E2188" s="172">
        <f ca="1">IF(OFFSET('IWP03'!Std9BillingInfo05, 0, 2, 1, 1)=DATE(1900,1,0), DATE(1900,1,1), OFFSET('IWP03'!Std9BillingInfo05, 0, 2, 1, 1))</f>
        <v>1</v>
      </c>
      <c r="F2188" s="187">
        <f ca="1">OFFSET('IWP03'!Std9BillingInfo05, 0, 3, 1, 1)</f>
        <v>0</v>
      </c>
      <c r="G2188" s="187">
        <f ca="1">OFFSET('IWP03'!Std9BillingInfo05, 10, 6, 1, 1)</f>
        <v>0</v>
      </c>
      <c r="H2188" s="187">
        <f ca="1">OFFSET('IWP03'!Std9BillingInfo05, 11, 6, 1, 1)</f>
        <v>0</v>
      </c>
      <c r="I2188" s="187">
        <f ca="1">OFFSET('IWP03'!Std9BillingInfo05, 10, 8, 1, 1)</f>
        <v>0</v>
      </c>
      <c r="J2188" s="187">
        <f ca="1">OFFSET('IWP03'!Std9BillingInfo05, 10, 11, 1, 1)</f>
        <v>0</v>
      </c>
      <c r="K2188" s="187">
        <f ca="1">OFFSET('IWP03'!Std9BillingInfo05, 10, 12, 1, 1)</f>
        <v>0</v>
      </c>
      <c r="L2188" s="179">
        <f ca="1">OFFSET('IWP03'!Std9BillingInfo05, 12, 8, 1, 1)</f>
        <v>0</v>
      </c>
      <c r="M2188" s="129"/>
    </row>
    <row r="2189" spans="1:13" s="105" customFormat="1">
      <c r="A2189" s="183" t="s">
        <v>501</v>
      </c>
      <c r="B2189" s="196">
        <v>6</v>
      </c>
      <c r="C2189" s="195" t="str">
        <f ca="1">IF(OFFSET('IWP03'!Std9BillingInfo06, 0, 0, 1, 1) = 0, "", OFFSET('IWP03'!Std9BillingInfo06, 0, 0, 1, 1))</f>
        <v/>
      </c>
      <c r="D2189" s="172">
        <f ca="1">IF(OFFSET('IWP03'!Std9BillingInfo06, 0, 1, 1, 1)=DATE(1900,1,0), DATE(1900,1,1), OFFSET('IWP03'!Std9BillingInfo06, 0, 1, 1, 1))</f>
        <v>1</v>
      </c>
      <c r="E2189" s="172">
        <f ca="1">IF(OFFSET('IWP03'!Std9BillingInfo06, 0, 2, 1, 1)=DATE(1900,1,0), DATE(1900,1,1), OFFSET('IWP03'!Std9BillingInfo06, 0, 2, 1, 1))</f>
        <v>1</v>
      </c>
      <c r="F2189" s="187">
        <f ca="1">OFFSET('IWP03'!Std9BillingInfo06, 0, 3, 1, 1)</f>
        <v>0</v>
      </c>
      <c r="G2189" s="187">
        <f ca="1">OFFSET('IWP03'!Std9BillingInfo06, 10, 6, 1, 1)</f>
        <v>0</v>
      </c>
      <c r="H2189" s="187">
        <f ca="1">OFFSET('IWP03'!Std9BillingInfo06, 11, 6, 1, 1)</f>
        <v>0</v>
      </c>
      <c r="I2189" s="187">
        <f ca="1">OFFSET('IWP03'!Std9BillingInfo06, 10, 8, 1, 1)</f>
        <v>0</v>
      </c>
      <c r="J2189" s="187">
        <f ca="1">OFFSET('IWP03'!Std9BillingInfo06, 10, 11, 1, 1)</f>
        <v>0</v>
      </c>
      <c r="K2189" s="187">
        <f ca="1">OFFSET('IWP03'!Std9BillingInfo06, 10, 12, 1, 1)</f>
        <v>0</v>
      </c>
      <c r="L2189" s="179">
        <f ca="1">OFFSET('IWP03'!Std9BillingInfo06, 12, 8, 1, 1)</f>
        <v>0</v>
      </c>
      <c r="M2189" s="129"/>
    </row>
    <row r="2190" spans="1:13" s="105" customFormat="1">
      <c r="A2190" s="183" t="s">
        <v>501</v>
      </c>
      <c r="B2190" s="196">
        <v>7</v>
      </c>
      <c r="C2190" s="195" t="str">
        <f ca="1">IF(OFFSET('IWP03'!Std9BillingInfo07, 0, 0, 1, 1) = 0, "", OFFSET('IWP03'!Std9BillingInfo07, 0, 0, 1, 1))</f>
        <v/>
      </c>
      <c r="D2190" s="172">
        <f ca="1">IF(OFFSET('IWP03'!Std9BillingInfo07, 0, 1, 1, 1)=DATE(1900,1,0), DATE(1900,1,1), OFFSET('IWP03'!Std9BillingInfo07, 0, 1, 1, 1))</f>
        <v>1</v>
      </c>
      <c r="E2190" s="172">
        <f ca="1">IF(OFFSET('IWP03'!Std9BillingInfo07, 0, 2, 1, 1)=DATE(1900,1,0), DATE(1900,1,1), OFFSET('IWP03'!Std9BillingInfo07, 0, 2, 1, 1))</f>
        <v>1</v>
      </c>
      <c r="F2190" s="187">
        <f ca="1">OFFSET('IWP03'!Std9BillingInfo07, 0, 3, 1, 1)</f>
        <v>0</v>
      </c>
      <c r="G2190" s="187">
        <f ca="1">OFFSET('IWP03'!Std9BillingInfo07, 10, 6, 1, 1)</f>
        <v>0</v>
      </c>
      <c r="H2190" s="187">
        <f ca="1">OFFSET('IWP03'!Std9BillingInfo07, 11, 6, 1, 1)</f>
        <v>0</v>
      </c>
      <c r="I2190" s="187">
        <f ca="1">OFFSET('IWP03'!Std9BillingInfo07, 10, 8, 1, 1)</f>
        <v>0</v>
      </c>
      <c r="J2190" s="187">
        <f ca="1">OFFSET('IWP03'!Std9BillingInfo07, 10, 11, 1, 1)</f>
        <v>0</v>
      </c>
      <c r="K2190" s="187">
        <f ca="1">OFFSET('IWP03'!Std9BillingInfo07, 10, 12, 1, 1)</f>
        <v>0</v>
      </c>
      <c r="L2190" s="179">
        <f ca="1">OFFSET('IWP03'!Std9BillingInfo07, 12, 8, 1, 1)</f>
        <v>0</v>
      </c>
      <c r="M2190" s="129"/>
    </row>
    <row r="2191" spans="1:13" s="105" customFormat="1">
      <c r="A2191" s="183" t="s">
        <v>501</v>
      </c>
      <c r="B2191" s="196">
        <v>8</v>
      </c>
      <c r="C2191" s="195" t="str">
        <f ca="1">IF(OFFSET('IWP03'!Std9BillingInfo08, 0, 0, 1, 1) = 0, "", OFFSET('IWP03'!Std9BillingInfo08, 0, 0, 1, 1))</f>
        <v/>
      </c>
      <c r="D2191" s="172">
        <f ca="1">IF(OFFSET('IWP03'!Std9BillingInfo08, 0, 1, 1, 1)=DATE(1900,1,0), DATE(1900,1,1), OFFSET('IWP03'!Std9BillingInfo08, 0, 1, 1, 1))</f>
        <v>1</v>
      </c>
      <c r="E2191" s="172">
        <f ca="1">IF(OFFSET('IWP03'!Std9BillingInfo08, 0, 2, 1, 1)=DATE(1900,1,0), DATE(1900,1,1), OFFSET('IWP03'!Std9BillingInfo08, 0, 2, 1, 1))</f>
        <v>1</v>
      </c>
      <c r="F2191" s="187">
        <f ca="1">OFFSET('IWP03'!Std9BillingInfo08, 0, 3, 1, 1)</f>
        <v>0</v>
      </c>
      <c r="G2191" s="187">
        <f ca="1">OFFSET('IWP03'!Std9BillingInfo08, 10, 6, 1, 1)</f>
        <v>0</v>
      </c>
      <c r="H2191" s="187">
        <f ca="1">OFFSET('IWP03'!Std9BillingInfo08, 11, 6, 1, 1)</f>
        <v>0</v>
      </c>
      <c r="I2191" s="187">
        <f ca="1">OFFSET('IWP03'!Std9BillingInfo08, 10, 8, 1, 1)</f>
        <v>0</v>
      </c>
      <c r="J2191" s="187">
        <f ca="1">OFFSET('IWP03'!Std9BillingInfo08, 10, 11, 1, 1)</f>
        <v>0</v>
      </c>
      <c r="K2191" s="187">
        <f ca="1">OFFSET('IWP03'!Std9BillingInfo08, 10, 12, 1, 1)</f>
        <v>0</v>
      </c>
      <c r="L2191" s="179">
        <f ca="1">OFFSET('IWP03'!Std9BillingInfo08, 12, 8, 1, 1)</f>
        <v>0</v>
      </c>
      <c r="M2191" s="129"/>
    </row>
    <row r="2192" spans="1:13" s="105" customFormat="1">
      <c r="A2192" s="183" t="s">
        <v>501</v>
      </c>
      <c r="B2192" s="196">
        <v>9</v>
      </c>
      <c r="C2192" s="195" t="str">
        <f ca="1">IF(OFFSET('IWP03'!Std9BillingInfo09, 0, 0, 1, 1) = 0, "", OFFSET('IWP03'!Std9BillingInfo09, 0, 0, 1, 1))</f>
        <v/>
      </c>
      <c r="D2192" s="172">
        <f ca="1">IF(OFFSET('IWP03'!Std9BillingInfo09, 0, 1, 1, 1)=DATE(1900,1,0), DATE(1900,1,1), OFFSET('IWP03'!Std9BillingInfo09, 0, 1, 1, 1))</f>
        <v>1</v>
      </c>
      <c r="E2192" s="172">
        <f ca="1">IF(OFFSET('IWP03'!Std9BillingInfo09, 0, 2, 1, 1)=DATE(1900,1,0), DATE(1900,1,1), OFFSET('IWP03'!Std9BillingInfo09, 0, 2, 1, 1))</f>
        <v>1</v>
      </c>
      <c r="F2192" s="187">
        <f ca="1">OFFSET('IWP03'!Std9BillingInfo09, 0, 3, 1, 1)</f>
        <v>0</v>
      </c>
      <c r="G2192" s="187">
        <f ca="1">OFFSET('IWP03'!Std9BillingInfo09, 10, 6, 1, 1)</f>
        <v>0</v>
      </c>
      <c r="H2192" s="187">
        <f ca="1">OFFSET('IWP03'!Std9BillingInfo09, 11, 6, 1, 1)</f>
        <v>0</v>
      </c>
      <c r="I2192" s="187">
        <f ca="1">OFFSET('IWP03'!Std9BillingInfo09, 10, 8, 1, 1)</f>
        <v>0</v>
      </c>
      <c r="J2192" s="187">
        <f ca="1">OFFSET('IWP03'!Std9BillingInfo09, 10, 11, 1, 1)</f>
        <v>0</v>
      </c>
      <c r="K2192" s="187">
        <f ca="1">OFFSET('IWP03'!Std9BillingInfo09, 10, 12, 1, 1)</f>
        <v>0</v>
      </c>
      <c r="L2192" s="179">
        <f ca="1">OFFSET('IWP03'!Std9BillingInfo09, 12, 8, 1, 1)</f>
        <v>0</v>
      </c>
      <c r="M2192" s="129"/>
    </row>
    <row r="2193" spans="1:13" s="105" customFormat="1">
      <c r="A2193" s="183" t="s">
        <v>501</v>
      </c>
      <c r="B2193" s="196">
        <v>10</v>
      </c>
      <c r="C2193" s="195" t="str">
        <f ca="1">IF(OFFSET('IWP03'!Std9BillingInfo10, 0, 0, 1, 1) = 0, "", OFFSET('IWP03'!Std9BillingInfo10, 0, 0, 1, 1))</f>
        <v/>
      </c>
      <c r="D2193" s="172">
        <f ca="1">IF(OFFSET('IWP03'!Std9BillingInfo10, 0, 1, 1, 1)=DATE(1900,1,0), DATE(1900,1,1), OFFSET('IWP03'!Std9BillingInfo10, 0, 1, 1, 1))</f>
        <v>1</v>
      </c>
      <c r="E2193" s="172">
        <f ca="1">IF(OFFSET('IWP03'!Std9BillingInfo10, 0, 2, 1, 1)=DATE(1900,1,0), DATE(1900,1,1), OFFSET('IWP03'!Std9BillingInfo10, 0, 2, 1, 1))</f>
        <v>1</v>
      </c>
      <c r="F2193" s="187">
        <f ca="1">OFFSET('IWP03'!Std9BillingInfo10, 0, 3, 1, 1)</f>
        <v>0</v>
      </c>
      <c r="G2193" s="187">
        <f ca="1">OFFSET('IWP03'!Std9BillingInfo10, 10, 6, 1, 1)</f>
        <v>0</v>
      </c>
      <c r="H2193" s="187">
        <f ca="1">OFFSET('IWP03'!Std9BillingInfo10, 11, 6, 1, 1)</f>
        <v>0</v>
      </c>
      <c r="I2193" s="187">
        <f ca="1">OFFSET('IWP03'!Std9BillingInfo10, 10, 8, 1, 1)</f>
        <v>0</v>
      </c>
      <c r="J2193" s="187">
        <f ca="1">OFFSET('IWP03'!Std9BillingInfo10, 10, 11, 1, 1)</f>
        <v>0</v>
      </c>
      <c r="K2193" s="187">
        <f ca="1">OFFSET('IWP03'!Std9BillingInfo10, 10, 12, 1, 1)</f>
        <v>0</v>
      </c>
      <c r="L2193" s="179">
        <f ca="1">OFFSET('IWP03'!Std9BillingInfo10, 12, 8, 1, 1)</f>
        <v>0</v>
      </c>
      <c r="M2193" s="129"/>
    </row>
    <row r="2194" spans="1:13" s="105" customFormat="1">
      <c r="A2194" s="183" t="s">
        <v>501</v>
      </c>
      <c r="B2194" s="196">
        <v>11</v>
      </c>
      <c r="C2194" s="195" t="str">
        <f ca="1">IF(OFFSET('IWP03'!Std9BillingInfo11, 0, 0, 1, 1) = 0, "", OFFSET('IWP03'!Std9BillingInfo11, 0, 0, 1, 1))</f>
        <v/>
      </c>
      <c r="D2194" s="172">
        <f ca="1">IF(OFFSET('IWP03'!Std9BillingInfo11, 0, 1, 1, 1)=DATE(1900,1,0), DATE(1900,1,1), OFFSET('IWP03'!Std9BillingInfo11, 0, 1, 1, 1))</f>
        <v>1</v>
      </c>
      <c r="E2194" s="172">
        <f ca="1">IF(OFFSET('IWP03'!Std9BillingInfo11, 0, 2, 1, 1)=DATE(1900,1,0), DATE(1900,1,1), OFFSET('IWP03'!Std9BillingInfo11, 0, 2, 1, 1))</f>
        <v>1</v>
      </c>
      <c r="F2194" s="187">
        <f ca="1">OFFSET('IWP03'!Std9BillingInfo11, 0, 3, 1, 1)</f>
        <v>0</v>
      </c>
      <c r="G2194" s="187">
        <f ca="1">OFFSET('IWP03'!Std9BillingInfo11, 10, 6, 1, 1)</f>
        <v>0</v>
      </c>
      <c r="H2194" s="187">
        <f ca="1">OFFSET('IWP03'!Std9BillingInfo11, 11, 6, 1, 1)</f>
        <v>0</v>
      </c>
      <c r="I2194" s="187">
        <f ca="1">OFFSET('IWP03'!Std9BillingInfo11, 10, 8, 1, 1)</f>
        <v>0</v>
      </c>
      <c r="J2194" s="187">
        <f ca="1">OFFSET('IWP03'!Std9BillingInfo11, 10, 11, 1, 1)</f>
        <v>0</v>
      </c>
      <c r="K2194" s="187">
        <f ca="1">OFFSET('IWP03'!Std9BillingInfo11, 10, 12, 1, 1)</f>
        <v>0</v>
      </c>
      <c r="L2194" s="179">
        <f ca="1">OFFSET('IWP03'!Std9BillingInfo11, 12, 8, 1, 1)</f>
        <v>0</v>
      </c>
      <c r="M2194" s="129"/>
    </row>
    <row r="2195" spans="1:13" s="105" customFormat="1">
      <c r="A2195" s="183" t="s">
        <v>501</v>
      </c>
      <c r="B2195" s="196">
        <v>12</v>
      </c>
      <c r="C2195" s="195" t="str">
        <f ca="1">IF(OFFSET('IWP03'!Std9BillingInfo12, 0, 0, 1, 1) = 0, "", OFFSET('IWP03'!Std9BillingInfo12, 0, 0, 1, 1))</f>
        <v/>
      </c>
      <c r="D2195" s="172">
        <f ca="1">IF(OFFSET('IWP03'!Std9BillingInfo12, 0, 1, 1, 1)=DATE(1900,1,0), DATE(1900,1,1), OFFSET('IWP03'!Std9BillingInfo12, 0, 1, 1, 1))</f>
        <v>1</v>
      </c>
      <c r="E2195" s="172">
        <f ca="1">IF(OFFSET('IWP03'!Std9BillingInfo12, 0, 2, 1, 1)=DATE(1900,1,0), DATE(1900,1,1), OFFSET('IWP03'!Std9BillingInfo12, 0, 2, 1, 1))</f>
        <v>1</v>
      </c>
      <c r="F2195" s="187">
        <f ca="1">OFFSET('IWP03'!Std9BillingInfo12, 0, 3, 1, 1)</f>
        <v>0</v>
      </c>
      <c r="G2195" s="187">
        <f ca="1">OFFSET('IWP03'!Std9BillingInfo12, 10, 6, 1, 1)</f>
        <v>0</v>
      </c>
      <c r="H2195" s="187">
        <f ca="1">OFFSET('IWP03'!Std9BillingInfo12, 11, 6, 1, 1)</f>
        <v>0</v>
      </c>
      <c r="I2195" s="187">
        <f ca="1">OFFSET('IWP03'!Std9BillingInfo12, 10, 8, 1, 1)</f>
        <v>0</v>
      </c>
      <c r="J2195" s="187">
        <f ca="1">OFFSET('IWP03'!Std9BillingInfo12, 10, 11, 1, 1)</f>
        <v>0</v>
      </c>
      <c r="K2195" s="187">
        <f ca="1">OFFSET('IWP03'!Std9BillingInfo12, 10, 12, 1, 1)</f>
        <v>0</v>
      </c>
      <c r="L2195" s="179">
        <f ca="1">OFFSET('IWP03'!Std9BillingInfo12, 12, 8, 1, 1)</f>
        <v>0</v>
      </c>
      <c r="M2195" s="129"/>
    </row>
    <row r="2196" spans="1:13" s="105" customFormat="1">
      <c r="A2196" s="183" t="s">
        <v>501</v>
      </c>
      <c r="B2196" s="196">
        <v>13</v>
      </c>
      <c r="C2196" s="195" t="str">
        <f ca="1">IF(OFFSET('IWP03'!Std9BillingInfo13, 0, 0, 1, 1) = 0, "", OFFSET('IWP03'!Std9BillingInfo13, 0, 0, 1, 1))</f>
        <v/>
      </c>
      <c r="D2196" s="172">
        <f ca="1">IF(OFFSET('IWP03'!Std9BillingInfo13, 0, 1, 1, 1)=DATE(1900,1,0), DATE(1900,1,1), OFFSET('IWP03'!Std9BillingInfo13, 0, 1, 1, 1))</f>
        <v>1</v>
      </c>
      <c r="E2196" s="172">
        <f ca="1">IF(OFFSET('IWP03'!Std9BillingInfo13, 0, 2, 1, 1)=DATE(1900,1,0), DATE(1900,1,1), OFFSET('IWP03'!Std9BillingInfo13, 0, 2, 1, 1))</f>
        <v>1</v>
      </c>
      <c r="F2196" s="187">
        <f ca="1">OFFSET('IWP03'!Std9BillingInfo13, 0, 3, 1, 1)</f>
        <v>0</v>
      </c>
      <c r="G2196" s="187">
        <f ca="1">OFFSET('IWP03'!Std9BillingInfo13, 10, 6, 1, 1)</f>
        <v>0</v>
      </c>
      <c r="H2196" s="187">
        <f ca="1">OFFSET('IWP03'!Std9BillingInfo13, 11, 6, 1, 1)</f>
        <v>0</v>
      </c>
      <c r="I2196" s="187">
        <f ca="1">OFFSET('IWP03'!Std9BillingInfo13, 10, 8, 1, 1)</f>
        <v>0</v>
      </c>
      <c r="J2196" s="187">
        <f ca="1">OFFSET('IWP03'!Std9BillingInfo13, 10, 11, 1, 1)</f>
        <v>0</v>
      </c>
      <c r="K2196" s="187">
        <f ca="1">OFFSET('IWP03'!Std9BillingInfo13, 10, 12, 1, 1)</f>
        <v>0</v>
      </c>
      <c r="L2196" s="179">
        <f ca="1">OFFSET('IWP03'!Std9BillingInfo13, 12, 8, 1, 1)</f>
        <v>0</v>
      </c>
      <c r="M2196" s="129"/>
    </row>
    <row r="2197" spans="1:13" s="105" customFormat="1">
      <c r="A2197" s="183" t="s">
        <v>501</v>
      </c>
      <c r="B2197" s="196">
        <v>14</v>
      </c>
      <c r="C2197" s="195" t="str">
        <f ca="1">IF(OFFSET('IWP03'!Std9BillingInfo14, 0, 0, 1, 1) = 0, "", OFFSET('IWP03'!Std9BillingInfo14, 0, 0, 1, 1))</f>
        <v/>
      </c>
      <c r="D2197" s="172">
        <f ca="1">IF(OFFSET('IWP03'!Std9BillingInfo14, 0, 1, 1, 1)=DATE(1900,1,0), DATE(1900,1,1), OFFSET('IWP03'!Std9BillingInfo14, 0, 1, 1, 1))</f>
        <v>1</v>
      </c>
      <c r="E2197" s="172">
        <f ca="1">IF(OFFSET('IWP03'!Std9BillingInfo14, 0, 2, 1, 1)=DATE(1900,1,0), DATE(1900,1,1), OFFSET('IWP03'!Std9BillingInfo14, 0, 2, 1, 1))</f>
        <v>1</v>
      </c>
      <c r="F2197" s="187">
        <f ca="1">OFFSET('IWP03'!Std9BillingInfo14, 0, 3, 1, 1)</f>
        <v>0</v>
      </c>
      <c r="G2197" s="187">
        <f ca="1">OFFSET('IWP03'!Std9BillingInfo14, 10, 6, 1, 1)</f>
        <v>0</v>
      </c>
      <c r="H2197" s="187">
        <f ca="1">OFFSET('IWP03'!Std9BillingInfo14, 11, 6, 1, 1)</f>
        <v>0</v>
      </c>
      <c r="I2197" s="187">
        <f ca="1">OFFSET('IWP03'!Std9BillingInfo14, 10, 8, 1, 1)</f>
        <v>0</v>
      </c>
      <c r="J2197" s="187">
        <f ca="1">OFFSET('IWP03'!Std9BillingInfo14, 10, 11, 1, 1)</f>
        <v>0</v>
      </c>
      <c r="K2197" s="187">
        <f ca="1">OFFSET('IWP03'!Std9BillingInfo14, 10, 12, 1, 1)</f>
        <v>0</v>
      </c>
      <c r="L2197" s="179">
        <f ca="1">OFFSET('IWP03'!Std9BillingInfo14, 12, 8, 1, 1)</f>
        <v>0</v>
      </c>
      <c r="M2197" s="129"/>
    </row>
    <row r="2198" spans="1:13" s="105" customFormat="1">
      <c r="A2198" s="183" t="s">
        <v>501</v>
      </c>
      <c r="B2198" s="196">
        <v>15</v>
      </c>
      <c r="C2198" s="195" t="str">
        <f ca="1">IF(OFFSET('IWP03'!Std9BillingInfo15, 0, 0, 1, 1) = 0, "", OFFSET('IWP03'!Std9BillingInfo15, 0, 0, 1, 1))</f>
        <v/>
      </c>
      <c r="D2198" s="172">
        <f ca="1">IF(OFFSET('IWP03'!Std9BillingInfo15, 0, 1, 1, 1)=DATE(1900,1,0), DATE(1900,1,1), OFFSET('IWP03'!Std9BillingInfo15, 0, 1, 1, 1))</f>
        <v>1</v>
      </c>
      <c r="E2198" s="172">
        <f ca="1">IF(OFFSET('IWP03'!Std9BillingInfo15, 0, 2, 1, 1)=DATE(1900,1,0), DATE(1900,1,1), OFFSET('IWP03'!Std9BillingInfo15, 0, 2, 1, 1))</f>
        <v>1</v>
      </c>
      <c r="F2198" s="187">
        <f ca="1">OFFSET('IWP03'!Std9BillingInfo15, 0, 3, 1, 1)</f>
        <v>0</v>
      </c>
      <c r="G2198" s="187">
        <f ca="1">OFFSET('IWP03'!Std9BillingInfo15, 10, 6, 1, 1)</f>
        <v>0</v>
      </c>
      <c r="H2198" s="187">
        <f ca="1">OFFSET('IWP03'!Std9BillingInfo15, 11, 6, 1, 1)</f>
        <v>0</v>
      </c>
      <c r="I2198" s="187">
        <f ca="1">OFFSET('IWP03'!Std9BillingInfo15, 10, 8, 1, 1)</f>
        <v>0</v>
      </c>
      <c r="J2198" s="187">
        <f ca="1">OFFSET('IWP03'!Std9BillingInfo15, 10, 11, 1, 1)</f>
        <v>0</v>
      </c>
      <c r="K2198" s="187">
        <f ca="1">OFFSET('IWP03'!Std9BillingInfo15, 10, 12, 1, 1)</f>
        <v>0</v>
      </c>
      <c r="L2198" s="179">
        <f ca="1">OFFSET('IWP03'!Std9BillingInfo15, 12, 8, 1, 1)</f>
        <v>0</v>
      </c>
      <c r="M2198" s="129"/>
    </row>
    <row r="2199" spans="1:13" s="105" customFormat="1">
      <c r="A2199" s="183" t="s">
        <v>501</v>
      </c>
      <c r="B2199" s="196">
        <v>16</v>
      </c>
      <c r="C2199" s="195" t="str">
        <f ca="1">IF(OFFSET('IWP03'!Std9BillingInfo16, 0, 0, 1, 1) = 0, "", OFFSET('IWP03'!Std9BillingInfo16, 0, 0, 1, 1))</f>
        <v/>
      </c>
      <c r="D2199" s="172">
        <f ca="1">IF(OFFSET('IWP03'!Std9BillingInfo16, 0, 1, 1, 1)=DATE(1900,1,0), DATE(1900,1,1), OFFSET('IWP03'!Std9BillingInfo16, 0, 1, 1, 1))</f>
        <v>1</v>
      </c>
      <c r="E2199" s="172">
        <f ca="1">IF(OFFSET('IWP03'!Std9BillingInfo16, 0, 2, 1, 1)=DATE(1900,1,0), DATE(1900,1,1), OFFSET('IWP03'!Std9BillingInfo16, 0, 2, 1, 1))</f>
        <v>1</v>
      </c>
      <c r="F2199" s="187">
        <f ca="1">OFFSET('IWP03'!Std9BillingInfo16, 0, 3, 1, 1)</f>
        <v>0</v>
      </c>
      <c r="G2199" s="187">
        <f ca="1">OFFSET('IWP03'!Std9BillingInfo16, 10, 6, 1, 1)</f>
        <v>0</v>
      </c>
      <c r="H2199" s="187">
        <f ca="1">OFFSET('IWP03'!Std9BillingInfo16, 11, 6, 1, 1)</f>
        <v>0</v>
      </c>
      <c r="I2199" s="187">
        <f ca="1">OFFSET('IWP03'!Std9BillingInfo16, 10, 8, 1, 1)</f>
        <v>0</v>
      </c>
      <c r="J2199" s="187">
        <f ca="1">OFFSET('IWP03'!Std9BillingInfo16, 10, 11, 1, 1)</f>
        <v>0</v>
      </c>
      <c r="K2199" s="187">
        <f ca="1">OFFSET('IWP03'!Std9BillingInfo16, 10, 12, 1, 1)</f>
        <v>0</v>
      </c>
      <c r="L2199" s="179">
        <f ca="1">OFFSET('IWP03'!Std9BillingInfo16, 12, 8, 1, 1)</f>
        <v>0</v>
      </c>
      <c r="M2199" s="129"/>
    </row>
    <row r="2200" spans="1:13" s="105" customFormat="1">
      <c r="A2200" s="183" t="s">
        <v>501</v>
      </c>
      <c r="B2200" s="196">
        <v>17</v>
      </c>
      <c r="C2200" s="195" t="str">
        <f ca="1">IF(OFFSET('IWP03'!Std9BillingInfo17, 0, 0, 1, 1) = 0, "", OFFSET('IWP03'!Std9BillingInfo17, 0, 0, 1, 1))</f>
        <v/>
      </c>
      <c r="D2200" s="172">
        <f ca="1">IF(OFFSET('IWP03'!Std9BillingInfo17, 0, 1, 1, 1)=DATE(1900,1,0), DATE(1900,1,1), OFFSET('IWP03'!Std9BillingInfo17, 0, 1, 1, 1))</f>
        <v>1</v>
      </c>
      <c r="E2200" s="172">
        <f ca="1">IF(OFFSET('IWP03'!Std9BillingInfo17, 0, 2, 1, 1)=DATE(1900,1,0), DATE(1900,1,1), OFFSET('IWP03'!Std9BillingInfo17, 0, 2, 1, 1))</f>
        <v>1</v>
      </c>
      <c r="F2200" s="187">
        <f ca="1">OFFSET('IWP03'!Std9BillingInfo17, 0, 3, 1, 1)</f>
        <v>0</v>
      </c>
      <c r="G2200" s="187">
        <f ca="1">OFFSET('IWP03'!Std9BillingInfo17, 10, 6, 1, 1)</f>
        <v>0</v>
      </c>
      <c r="H2200" s="187">
        <f ca="1">OFFSET('IWP03'!Std9BillingInfo17, 11, 6, 1, 1)</f>
        <v>0</v>
      </c>
      <c r="I2200" s="187">
        <f ca="1">OFFSET('IWP03'!Std9BillingInfo17, 10, 8, 1, 1)</f>
        <v>0</v>
      </c>
      <c r="J2200" s="187">
        <f ca="1">OFFSET('IWP03'!Std9BillingInfo17, 10, 11, 1, 1)</f>
        <v>0</v>
      </c>
      <c r="K2200" s="187">
        <f ca="1">OFFSET('IWP03'!Std9BillingInfo17, 10, 12, 1, 1)</f>
        <v>0</v>
      </c>
      <c r="L2200" s="179">
        <f ca="1">OFFSET('IWP03'!Std9BillingInfo17, 12, 8, 1, 1)</f>
        <v>0</v>
      </c>
      <c r="M2200" s="129"/>
    </row>
    <row r="2201" spans="1:13" s="105" customFormat="1">
      <c r="A2201" s="183" t="s">
        <v>501</v>
      </c>
      <c r="B2201" s="196">
        <v>18</v>
      </c>
      <c r="C2201" s="195" t="str">
        <f ca="1">IF(OFFSET('IWP03'!Std9BillingInfo18, 0, 0, 1, 1) = 0, "", OFFSET('IWP03'!Std9BillingInfo18, 0, 0, 1, 1))</f>
        <v/>
      </c>
      <c r="D2201" s="172">
        <f ca="1">IF(OFFSET('IWP03'!Std9BillingInfo18, 0, 1, 1, 1)=DATE(1900,1,0), DATE(1900,1,1), OFFSET('IWP03'!Std9BillingInfo18, 0, 1, 1, 1))</f>
        <v>1</v>
      </c>
      <c r="E2201" s="172">
        <f ca="1">IF(OFFSET('IWP03'!Std9BillingInfo18, 0, 2, 1, 1)=DATE(1900,1,0), DATE(1900,1,1), OFFSET('IWP03'!Std9BillingInfo18, 0, 2, 1, 1))</f>
        <v>1</v>
      </c>
      <c r="F2201" s="187">
        <f ca="1">OFFSET('IWP03'!Std9BillingInfo18, 0, 3, 1, 1)</f>
        <v>0</v>
      </c>
      <c r="G2201" s="187">
        <f ca="1">OFFSET('IWP03'!Std9BillingInfo18, 10, 6, 1, 1)</f>
        <v>0</v>
      </c>
      <c r="H2201" s="187">
        <f ca="1">OFFSET('IWP03'!Std9BillingInfo18, 11, 6, 1, 1)</f>
        <v>0</v>
      </c>
      <c r="I2201" s="187">
        <f ca="1">OFFSET('IWP03'!Std9BillingInfo18, 10, 8, 1, 1)</f>
        <v>0</v>
      </c>
      <c r="J2201" s="187">
        <f ca="1">OFFSET('IWP03'!Std9BillingInfo18, 10, 11, 1, 1)</f>
        <v>0</v>
      </c>
      <c r="K2201" s="187">
        <f ca="1">OFFSET('IWP03'!Std9BillingInfo18, 10, 12, 1, 1)</f>
        <v>0</v>
      </c>
      <c r="L2201" s="179">
        <f ca="1">OFFSET('IWP03'!Std9BillingInfo18, 12, 8, 1, 1)</f>
        <v>0</v>
      </c>
      <c r="M2201" s="129"/>
    </row>
    <row r="2202" spans="1:13" s="146" customFormat="1">
      <c r="A2202" s="183" t="s">
        <v>502</v>
      </c>
      <c r="B2202" s="196">
        <v>1</v>
      </c>
      <c r="C2202" s="195" t="str">
        <f ca="1">IF(OFFSET('IWP04'!Std9BillingInfo01, 0, 0, 1, 1) = 0, "", OFFSET('IWP04'!Std9BillingInfo01, 0, 0, 1, 1))</f>
        <v/>
      </c>
      <c r="D2202" s="172">
        <f ca="1">IF(OFFSET('IWP04'!Std9BillingInfo01, 0, 1, 1, 1)=DATE(1900,1,0), DATE(1900,1,1), OFFSET('IWP04'!Std9BillingInfo01, 0, 1, 1, 1))</f>
        <v>1</v>
      </c>
      <c r="E2202" s="172">
        <f ca="1">IF(OFFSET('IWP04'!Std9BillingInfo01, 0, 2, 1, 1)=DATE(1900,1,0), DATE(1900,1,1), OFFSET('IWP04'!Std9BillingInfo01, 0, 2, 1, 1))</f>
        <v>1</v>
      </c>
      <c r="F2202" s="187">
        <f ca="1">OFFSET('IWP04'!Std9BillingInfo01, 0, 3, 1, 1)</f>
        <v>0</v>
      </c>
      <c r="G2202" s="187">
        <f ca="1">OFFSET('IWP04'!Std9BillingInfo01, 10, 6, 1, 1)</f>
        <v>0</v>
      </c>
      <c r="H2202" s="187">
        <f ca="1">OFFSET('IWP04'!Std9BillingInfo01, 11, 6, 1, 1)</f>
        <v>0</v>
      </c>
      <c r="I2202" s="187">
        <f ca="1">OFFSET('IWP04'!Std9BillingInfo01, 10, 8, 1, 1)</f>
        <v>0</v>
      </c>
      <c r="J2202" s="187">
        <f ca="1">OFFSET('IWP04'!Std9BillingInfo01, 10, 11, 1, 1)</f>
        <v>0</v>
      </c>
      <c r="K2202" s="187">
        <f ca="1">OFFSET('IWP04'!Std9BillingInfo01, 10, 12, 1, 1)</f>
        <v>0</v>
      </c>
      <c r="L2202" s="179">
        <f ca="1">OFFSET('IWP04'!Std9BillingInfo01, 12, 8, 1, 1)</f>
        <v>0</v>
      </c>
      <c r="M2202" s="129"/>
    </row>
    <row r="2203" spans="1:13" s="146" customFormat="1">
      <c r="A2203" s="183" t="s">
        <v>502</v>
      </c>
      <c r="B2203" s="196">
        <v>2</v>
      </c>
      <c r="C2203" s="195" t="str">
        <f ca="1">IF(OFFSET('IWP04'!Std9BillingInfo02, 0, 0, 1, 1) = 0, "", OFFSET('IWP04'!Std9BillingInfo02, 0, 0, 1, 1))</f>
        <v/>
      </c>
      <c r="D2203" s="172">
        <f ca="1">IF(OFFSET('IWP04'!Std9BillingInfo02, 0, 1, 1, 1)=DATE(1900,1,0), DATE(1900,1,1), OFFSET('IWP04'!Std9BillingInfo02, 0, 1, 1, 1))</f>
        <v>1</v>
      </c>
      <c r="E2203" s="172">
        <f ca="1">IF(OFFSET('IWP04'!Std9BillingInfo02, 0, 2, 1, 1)=DATE(1900,1,0), DATE(1900,1,1), OFFSET('IWP04'!Std9BillingInfo02, 0, 2, 1, 1))</f>
        <v>1</v>
      </c>
      <c r="F2203" s="187">
        <f ca="1">OFFSET('IWP04'!Std9BillingInfo02, 0, 3, 1, 1)</f>
        <v>0</v>
      </c>
      <c r="G2203" s="187">
        <f ca="1">OFFSET('IWP04'!Std9BillingInfo02, 10, 6, 1, 1)</f>
        <v>0</v>
      </c>
      <c r="H2203" s="187">
        <f ca="1">OFFSET('IWP04'!Std9BillingInfo02, 11, 6, 1, 1)</f>
        <v>0</v>
      </c>
      <c r="I2203" s="187">
        <f ca="1">OFFSET('IWP04'!Std9BillingInfo02, 10, 8, 1, 1)</f>
        <v>0</v>
      </c>
      <c r="J2203" s="187">
        <f ca="1">OFFSET('IWP04'!Std9BillingInfo02, 10, 11, 1, 1)</f>
        <v>0</v>
      </c>
      <c r="K2203" s="187">
        <f ca="1">OFFSET('IWP04'!Std9BillingInfo02, 10, 12, 1, 1)</f>
        <v>0</v>
      </c>
      <c r="L2203" s="179">
        <f ca="1">OFFSET('IWP04'!Std9BillingInfo02, 12, 8, 1, 1)</f>
        <v>0</v>
      </c>
      <c r="M2203" s="129"/>
    </row>
    <row r="2204" spans="1:13" s="146" customFormat="1">
      <c r="A2204" s="183" t="s">
        <v>502</v>
      </c>
      <c r="B2204" s="196">
        <v>3</v>
      </c>
      <c r="C2204" s="195" t="str">
        <f ca="1">IF(OFFSET('IWP04'!Std9BillingInfo03, 0, 0, 1, 1) = 0, "", OFFSET('IWP04'!Std9BillingInfo03, 0, 0, 1, 1))</f>
        <v/>
      </c>
      <c r="D2204" s="172">
        <f ca="1">IF(OFFSET('IWP04'!Std9BillingInfo03, 0, 1, 1, 1)=DATE(1900,1,0), DATE(1900,1,1), OFFSET('IWP04'!Std9BillingInfo03, 0, 1, 1, 1))</f>
        <v>1</v>
      </c>
      <c r="E2204" s="172">
        <f ca="1">IF(OFFSET('IWP04'!Std9BillingInfo03, 0, 2, 1, 1)=DATE(1900,1,0), DATE(1900,1,1), OFFSET('IWP04'!Std9BillingInfo03, 0, 2, 1, 1))</f>
        <v>1</v>
      </c>
      <c r="F2204" s="187">
        <f ca="1">OFFSET('IWP04'!Std9BillingInfo03, 0, 3, 1, 1)</f>
        <v>0</v>
      </c>
      <c r="G2204" s="187">
        <f ca="1">OFFSET('IWP04'!Std9BillingInfo03, 10, 6, 1, 1)</f>
        <v>0</v>
      </c>
      <c r="H2204" s="187">
        <f ca="1">OFFSET('IWP04'!Std9BillingInfo03, 11, 6, 1, 1)</f>
        <v>0</v>
      </c>
      <c r="I2204" s="187">
        <f ca="1">OFFSET('IWP04'!Std9BillingInfo03, 10, 8, 1, 1)</f>
        <v>0</v>
      </c>
      <c r="J2204" s="187">
        <f ca="1">OFFSET('IWP04'!Std9BillingInfo03, 10, 11, 1, 1)</f>
        <v>0</v>
      </c>
      <c r="K2204" s="187">
        <f ca="1">OFFSET('IWP04'!Std9BillingInfo03, 10, 12, 1, 1)</f>
        <v>0</v>
      </c>
      <c r="L2204" s="179">
        <f ca="1">OFFSET('IWP04'!Std9BillingInfo03, 12, 8, 1, 1)</f>
        <v>0</v>
      </c>
      <c r="M2204" s="129"/>
    </row>
    <row r="2205" spans="1:13" s="146" customFormat="1">
      <c r="A2205" s="183" t="s">
        <v>502</v>
      </c>
      <c r="B2205" s="196">
        <v>4</v>
      </c>
      <c r="C2205" s="195" t="str">
        <f ca="1">IF(OFFSET('IWP04'!Std9BillingInfo04, 0, 0, 1, 1) = 0, "", OFFSET('IWP04'!Std9BillingInfo04, 0, 0, 1, 1))</f>
        <v/>
      </c>
      <c r="D2205" s="172">
        <f ca="1">IF(OFFSET('IWP04'!Std9BillingInfo04, 0, 1, 1, 1)=DATE(1900,1,0), DATE(1900,1,1), OFFSET('IWP04'!Std9BillingInfo04, 0, 1, 1, 1))</f>
        <v>1</v>
      </c>
      <c r="E2205" s="172">
        <f ca="1">IF(OFFSET('IWP04'!Std9BillingInfo04, 0, 2, 1, 1)=DATE(1900,1,0), DATE(1900,1,1), OFFSET('IWP04'!Std9BillingInfo04, 0, 2, 1, 1))</f>
        <v>1</v>
      </c>
      <c r="F2205" s="187">
        <f ca="1">OFFSET('IWP04'!Std9BillingInfo04, 0, 3, 1, 1)</f>
        <v>0</v>
      </c>
      <c r="G2205" s="187">
        <f ca="1">OFFSET('IWP04'!Std9BillingInfo04, 10, 6, 1, 1)</f>
        <v>0</v>
      </c>
      <c r="H2205" s="187">
        <f ca="1">OFFSET('IWP04'!Std9BillingInfo04, 11, 6, 1, 1)</f>
        <v>0</v>
      </c>
      <c r="I2205" s="187">
        <f ca="1">OFFSET('IWP04'!Std9BillingInfo04, 10, 8, 1, 1)</f>
        <v>0</v>
      </c>
      <c r="J2205" s="187">
        <f ca="1">OFFSET('IWP04'!Std9BillingInfo04, 10, 11, 1, 1)</f>
        <v>0</v>
      </c>
      <c r="K2205" s="187">
        <f ca="1">OFFSET('IWP04'!Std9BillingInfo04, 10, 12, 1, 1)</f>
        <v>0</v>
      </c>
      <c r="L2205" s="179">
        <f ca="1">OFFSET('IWP04'!Std9BillingInfo04, 12, 8, 1, 1)</f>
        <v>0</v>
      </c>
      <c r="M2205" s="129"/>
    </row>
    <row r="2206" spans="1:13" s="146" customFormat="1">
      <c r="A2206" s="183" t="s">
        <v>502</v>
      </c>
      <c r="B2206" s="196">
        <v>5</v>
      </c>
      <c r="C2206" s="195" t="str">
        <f ca="1">IF(OFFSET('IWP04'!Std9BillingInfo05, 0, 0, 1, 1) = 0, "", OFFSET('IWP04'!Std9BillingInfo05, 0, 0, 1, 1))</f>
        <v/>
      </c>
      <c r="D2206" s="172">
        <f ca="1">IF(OFFSET('IWP04'!Std9BillingInfo05, 0, 1, 1, 1)=DATE(1900,1,0), DATE(1900,1,1), OFFSET('IWP04'!Std9BillingInfo05, 0, 1, 1, 1))</f>
        <v>1</v>
      </c>
      <c r="E2206" s="172">
        <f ca="1">IF(OFFSET('IWP04'!Std9BillingInfo05, 0, 2, 1, 1)=DATE(1900,1,0), DATE(1900,1,1), OFFSET('IWP04'!Std9BillingInfo05, 0, 2, 1, 1))</f>
        <v>1</v>
      </c>
      <c r="F2206" s="187">
        <f ca="1">OFFSET('IWP04'!Std9BillingInfo05, 0, 3, 1, 1)</f>
        <v>0</v>
      </c>
      <c r="G2206" s="187">
        <f ca="1">OFFSET('IWP04'!Std9BillingInfo05, 10, 6, 1, 1)</f>
        <v>0</v>
      </c>
      <c r="H2206" s="187">
        <f ca="1">OFFSET('IWP04'!Std9BillingInfo05, 11, 6, 1, 1)</f>
        <v>0</v>
      </c>
      <c r="I2206" s="187">
        <f ca="1">OFFSET('IWP04'!Std9BillingInfo05, 10, 8, 1, 1)</f>
        <v>0</v>
      </c>
      <c r="J2206" s="187">
        <f ca="1">OFFSET('IWP04'!Std9BillingInfo05, 10, 11, 1, 1)</f>
        <v>0</v>
      </c>
      <c r="K2206" s="187">
        <f ca="1">OFFSET('IWP04'!Std9BillingInfo05, 10, 12, 1, 1)</f>
        <v>0</v>
      </c>
      <c r="L2206" s="179">
        <f ca="1">OFFSET('IWP04'!Std9BillingInfo05, 12, 8, 1, 1)</f>
        <v>0</v>
      </c>
      <c r="M2206" s="129"/>
    </row>
    <row r="2207" spans="1:13" s="146" customFormat="1">
      <c r="A2207" s="183" t="s">
        <v>502</v>
      </c>
      <c r="B2207" s="196">
        <v>6</v>
      </c>
      <c r="C2207" s="195" t="str">
        <f ca="1">IF(OFFSET('IWP04'!Std9BillingInfo06, 0, 0, 1, 1) = 0, "", OFFSET('IWP04'!Std9BillingInfo06, 0, 0, 1, 1))</f>
        <v/>
      </c>
      <c r="D2207" s="172">
        <f ca="1">IF(OFFSET('IWP04'!Std9BillingInfo06, 0, 1, 1, 1)=DATE(1900,1,0), DATE(1900,1,1), OFFSET('IWP04'!Std9BillingInfo06, 0, 1, 1, 1))</f>
        <v>1</v>
      </c>
      <c r="E2207" s="172">
        <f ca="1">IF(OFFSET('IWP04'!Std9BillingInfo06, 0, 2, 1, 1)=DATE(1900,1,0), DATE(1900,1,1), OFFSET('IWP04'!Std9BillingInfo06, 0, 2, 1, 1))</f>
        <v>1</v>
      </c>
      <c r="F2207" s="187">
        <f ca="1">OFFSET('IWP04'!Std9BillingInfo06, 0, 3, 1, 1)</f>
        <v>0</v>
      </c>
      <c r="G2207" s="187">
        <f ca="1">OFFSET('IWP04'!Std9BillingInfo06, 10, 6, 1, 1)</f>
        <v>0</v>
      </c>
      <c r="H2207" s="187">
        <f ca="1">OFFSET('IWP04'!Std9BillingInfo06, 11, 6, 1, 1)</f>
        <v>0</v>
      </c>
      <c r="I2207" s="187">
        <f ca="1">OFFSET('IWP04'!Std9BillingInfo06, 10, 8, 1, 1)</f>
        <v>0</v>
      </c>
      <c r="J2207" s="187">
        <f ca="1">OFFSET('IWP04'!Std9BillingInfo06, 10, 11, 1, 1)</f>
        <v>0</v>
      </c>
      <c r="K2207" s="187">
        <f ca="1">OFFSET('IWP04'!Std9BillingInfo06, 10, 12, 1, 1)</f>
        <v>0</v>
      </c>
      <c r="L2207" s="179">
        <f ca="1">OFFSET('IWP04'!Std9BillingInfo06, 12, 8, 1, 1)</f>
        <v>0</v>
      </c>
      <c r="M2207" s="129"/>
    </row>
    <row r="2208" spans="1:13" s="146" customFormat="1">
      <c r="A2208" s="183" t="s">
        <v>502</v>
      </c>
      <c r="B2208" s="196">
        <v>7</v>
      </c>
      <c r="C2208" s="195" t="str">
        <f ca="1">IF(OFFSET('IWP04'!Std9BillingInfo07, 0, 0, 1, 1) = 0, "", OFFSET('IWP04'!Std9BillingInfo07, 0, 0, 1, 1))</f>
        <v/>
      </c>
      <c r="D2208" s="172">
        <f ca="1">IF(OFFSET('IWP04'!Std9BillingInfo07, 0, 1, 1, 1)=DATE(1900,1,0), DATE(1900,1,1), OFFSET('IWP04'!Std9BillingInfo07, 0, 1, 1, 1))</f>
        <v>1</v>
      </c>
      <c r="E2208" s="172">
        <f ca="1">IF(OFFSET('IWP04'!Std9BillingInfo07, 0, 2, 1, 1)=DATE(1900,1,0), DATE(1900,1,1), OFFSET('IWP04'!Std9BillingInfo07, 0, 2, 1, 1))</f>
        <v>1</v>
      </c>
      <c r="F2208" s="187">
        <f ca="1">OFFSET('IWP04'!Std9BillingInfo07, 0, 3, 1, 1)</f>
        <v>0</v>
      </c>
      <c r="G2208" s="187">
        <f ca="1">OFFSET('IWP04'!Std9BillingInfo07, 10, 6, 1, 1)</f>
        <v>0</v>
      </c>
      <c r="H2208" s="187">
        <f ca="1">OFFSET('IWP04'!Std9BillingInfo07, 11, 6, 1, 1)</f>
        <v>0</v>
      </c>
      <c r="I2208" s="187">
        <f ca="1">OFFSET('IWP04'!Std9BillingInfo07, 10, 8, 1, 1)</f>
        <v>0</v>
      </c>
      <c r="J2208" s="187">
        <f ca="1">OFFSET('IWP04'!Std9BillingInfo07, 10, 11, 1, 1)</f>
        <v>0</v>
      </c>
      <c r="K2208" s="187">
        <f ca="1">OFFSET('IWP04'!Std9BillingInfo07, 10, 12, 1, 1)</f>
        <v>0</v>
      </c>
      <c r="L2208" s="179">
        <f ca="1">OFFSET('IWP04'!Std9BillingInfo07, 12, 8, 1, 1)</f>
        <v>0</v>
      </c>
      <c r="M2208" s="129"/>
    </row>
    <row r="2209" spans="1:13" s="146" customFormat="1">
      <c r="A2209" s="183" t="s">
        <v>502</v>
      </c>
      <c r="B2209" s="196">
        <v>8</v>
      </c>
      <c r="C2209" s="195" t="str">
        <f ca="1">IF(OFFSET('IWP04'!Std9BillingInfo08, 0, 0, 1, 1) = 0, "", OFFSET('IWP04'!Std9BillingInfo08, 0, 0, 1, 1))</f>
        <v/>
      </c>
      <c r="D2209" s="172">
        <f ca="1">IF(OFFSET('IWP04'!Std9BillingInfo08, 0, 1, 1, 1)=DATE(1900,1,0), DATE(1900,1,1), OFFSET('IWP04'!Std9BillingInfo08, 0, 1, 1, 1))</f>
        <v>1</v>
      </c>
      <c r="E2209" s="172">
        <f ca="1">IF(OFFSET('IWP04'!Std9BillingInfo08, 0, 2, 1, 1)=DATE(1900,1,0), DATE(1900,1,1), OFFSET('IWP04'!Std9BillingInfo08, 0, 2, 1, 1))</f>
        <v>1</v>
      </c>
      <c r="F2209" s="187">
        <f ca="1">OFFSET('IWP04'!Std9BillingInfo08, 0, 3, 1, 1)</f>
        <v>0</v>
      </c>
      <c r="G2209" s="187">
        <f ca="1">OFFSET('IWP04'!Std9BillingInfo08, 10, 6, 1, 1)</f>
        <v>0</v>
      </c>
      <c r="H2209" s="187">
        <f ca="1">OFFSET('IWP04'!Std9BillingInfo08, 11, 6, 1, 1)</f>
        <v>0</v>
      </c>
      <c r="I2209" s="187">
        <f ca="1">OFFSET('IWP04'!Std9BillingInfo08, 10, 8, 1, 1)</f>
        <v>0</v>
      </c>
      <c r="J2209" s="187">
        <f ca="1">OFFSET('IWP04'!Std9BillingInfo08, 10, 11, 1, 1)</f>
        <v>0</v>
      </c>
      <c r="K2209" s="187">
        <f ca="1">OFFSET('IWP04'!Std9BillingInfo08, 10, 12, 1, 1)</f>
        <v>0</v>
      </c>
      <c r="L2209" s="179">
        <f ca="1">OFFSET('IWP04'!Std9BillingInfo08, 12, 8, 1, 1)</f>
        <v>0</v>
      </c>
      <c r="M2209" s="129"/>
    </row>
    <row r="2210" spans="1:13" s="146" customFormat="1">
      <c r="A2210" s="183" t="s">
        <v>502</v>
      </c>
      <c r="B2210" s="196">
        <v>9</v>
      </c>
      <c r="C2210" s="195" t="str">
        <f ca="1">IF(OFFSET('IWP04'!Std9BillingInfo09, 0, 0, 1, 1) = 0, "", OFFSET('IWP04'!Std9BillingInfo09, 0, 0, 1, 1))</f>
        <v/>
      </c>
      <c r="D2210" s="172">
        <f ca="1">IF(OFFSET('IWP04'!Std9BillingInfo09, 0, 1, 1, 1)=DATE(1900,1,0), DATE(1900,1,1), OFFSET('IWP04'!Std9BillingInfo09, 0, 1, 1, 1))</f>
        <v>1</v>
      </c>
      <c r="E2210" s="172">
        <f ca="1">IF(OFFSET('IWP04'!Std9BillingInfo09, 0, 2, 1, 1)=DATE(1900,1,0), DATE(1900,1,1), OFFSET('IWP04'!Std9BillingInfo09, 0, 2, 1, 1))</f>
        <v>1</v>
      </c>
      <c r="F2210" s="187">
        <f ca="1">OFFSET('IWP04'!Std9BillingInfo09, 0, 3, 1, 1)</f>
        <v>0</v>
      </c>
      <c r="G2210" s="187">
        <f ca="1">OFFSET('IWP04'!Std9BillingInfo09, 10, 6, 1, 1)</f>
        <v>0</v>
      </c>
      <c r="H2210" s="187">
        <f ca="1">OFFSET('IWP04'!Std9BillingInfo09, 11, 6, 1, 1)</f>
        <v>0</v>
      </c>
      <c r="I2210" s="187">
        <f ca="1">OFFSET('IWP04'!Std9BillingInfo09, 10, 8, 1, 1)</f>
        <v>0</v>
      </c>
      <c r="J2210" s="187">
        <f ca="1">OFFSET('IWP04'!Std9BillingInfo09, 10, 11, 1, 1)</f>
        <v>0</v>
      </c>
      <c r="K2210" s="187">
        <f ca="1">OFFSET('IWP04'!Std9BillingInfo09, 10, 12, 1, 1)</f>
        <v>0</v>
      </c>
      <c r="L2210" s="179">
        <f ca="1">OFFSET('IWP04'!Std9BillingInfo09, 12, 8, 1, 1)</f>
        <v>0</v>
      </c>
      <c r="M2210" s="129"/>
    </row>
    <row r="2211" spans="1:13" s="146" customFormat="1">
      <c r="A2211" s="183" t="s">
        <v>502</v>
      </c>
      <c r="B2211" s="196">
        <v>10</v>
      </c>
      <c r="C2211" s="195" t="str">
        <f ca="1">IF(OFFSET('IWP04'!Std9BillingInfo10, 0, 0, 1, 1) = 0, "", OFFSET('IWP04'!Std9BillingInfo10, 0, 0, 1, 1))</f>
        <v/>
      </c>
      <c r="D2211" s="172">
        <f ca="1">IF(OFFSET('IWP04'!Std9BillingInfo10, 0, 1, 1, 1)=DATE(1900,1,0), DATE(1900,1,1), OFFSET('IWP04'!Std9BillingInfo10, 0, 1, 1, 1))</f>
        <v>1</v>
      </c>
      <c r="E2211" s="172">
        <f ca="1">IF(OFFSET('IWP04'!Std9BillingInfo10, 0, 2, 1, 1)=DATE(1900,1,0), DATE(1900,1,1), OFFSET('IWP04'!Std9BillingInfo10, 0, 2, 1, 1))</f>
        <v>1</v>
      </c>
      <c r="F2211" s="187">
        <f ca="1">OFFSET('IWP04'!Std9BillingInfo10, 0, 3, 1, 1)</f>
        <v>0</v>
      </c>
      <c r="G2211" s="187">
        <f ca="1">OFFSET('IWP04'!Std9BillingInfo10, 10, 6, 1, 1)</f>
        <v>0</v>
      </c>
      <c r="H2211" s="187">
        <f ca="1">OFFSET('IWP04'!Std9BillingInfo10, 11, 6, 1, 1)</f>
        <v>0</v>
      </c>
      <c r="I2211" s="187">
        <f ca="1">OFFSET('IWP04'!Std9BillingInfo10, 10, 8, 1, 1)</f>
        <v>0</v>
      </c>
      <c r="J2211" s="187">
        <f ca="1">OFFSET('IWP04'!Std9BillingInfo10, 10, 11, 1, 1)</f>
        <v>0</v>
      </c>
      <c r="K2211" s="187">
        <f ca="1">OFFSET('IWP04'!Std9BillingInfo10, 10, 12, 1, 1)</f>
        <v>0</v>
      </c>
      <c r="L2211" s="179">
        <f ca="1">OFFSET('IWP04'!Std9BillingInfo10, 12, 8, 1, 1)</f>
        <v>0</v>
      </c>
      <c r="M2211" s="129"/>
    </row>
    <row r="2212" spans="1:13" s="146" customFormat="1">
      <c r="A2212" s="183" t="s">
        <v>502</v>
      </c>
      <c r="B2212" s="196">
        <v>11</v>
      </c>
      <c r="C2212" s="195" t="str">
        <f ca="1">IF(OFFSET('IWP04'!Std9BillingInfo11, 0, 0, 1, 1) = 0, "", OFFSET('IWP04'!Std9BillingInfo11, 0, 0, 1, 1))</f>
        <v/>
      </c>
      <c r="D2212" s="172">
        <f ca="1">IF(OFFSET('IWP04'!Std9BillingInfo11, 0, 1, 1, 1)=DATE(1900,1,0), DATE(1900,1,1), OFFSET('IWP04'!Std9BillingInfo11, 0, 1, 1, 1))</f>
        <v>1</v>
      </c>
      <c r="E2212" s="172">
        <f ca="1">IF(OFFSET('IWP04'!Std9BillingInfo11, 0, 2, 1, 1)=DATE(1900,1,0), DATE(1900,1,1), OFFSET('IWP04'!Std9BillingInfo11, 0, 2, 1, 1))</f>
        <v>1</v>
      </c>
      <c r="F2212" s="187">
        <f ca="1">OFFSET('IWP04'!Std9BillingInfo11, 0, 3, 1, 1)</f>
        <v>0</v>
      </c>
      <c r="G2212" s="187">
        <f ca="1">OFFSET('IWP04'!Std9BillingInfo11, 10, 6, 1, 1)</f>
        <v>0</v>
      </c>
      <c r="H2212" s="187">
        <f ca="1">OFFSET('IWP04'!Std9BillingInfo11, 11, 6, 1, 1)</f>
        <v>0</v>
      </c>
      <c r="I2212" s="187">
        <f ca="1">OFFSET('IWP04'!Std9BillingInfo11, 10, 8, 1, 1)</f>
        <v>0</v>
      </c>
      <c r="J2212" s="187">
        <f ca="1">OFFSET('IWP04'!Std9BillingInfo11, 10, 11, 1, 1)</f>
        <v>0</v>
      </c>
      <c r="K2212" s="187">
        <f ca="1">OFFSET('IWP04'!Std9BillingInfo11, 10, 12, 1, 1)</f>
        <v>0</v>
      </c>
      <c r="L2212" s="179">
        <f ca="1">OFFSET('IWP04'!Std9BillingInfo11, 12, 8, 1, 1)</f>
        <v>0</v>
      </c>
      <c r="M2212" s="129"/>
    </row>
    <row r="2213" spans="1:13" s="146" customFormat="1">
      <c r="A2213" s="183" t="s">
        <v>502</v>
      </c>
      <c r="B2213" s="196">
        <v>12</v>
      </c>
      <c r="C2213" s="195" t="str">
        <f ca="1">IF(OFFSET('IWP04'!Std9BillingInfo12, 0, 0, 1, 1) = 0, "", OFFSET('IWP04'!Std9BillingInfo12, 0, 0, 1, 1))</f>
        <v/>
      </c>
      <c r="D2213" s="172">
        <f ca="1">IF(OFFSET('IWP04'!Std9BillingInfo12, 0, 1, 1, 1)=DATE(1900,1,0), DATE(1900,1,1), OFFSET('IWP04'!Std9BillingInfo12, 0, 1, 1, 1))</f>
        <v>1</v>
      </c>
      <c r="E2213" s="172">
        <f ca="1">IF(OFFSET('IWP04'!Std9BillingInfo12, 0, 2, 1, 1)=DATE(1900,1,0), DATE(1900,1,1), OFFSET('IWP04'!Std9BillingInfo12, 0, 2, 1, 1))</f>
        <v>1</v>
      </c>
      <c r="F2213" s="187">
        <f ca="1">OFFSET('IWP04'!Std9BillingInfo12, 0, 3, 1, 1)</f>
        <v>0</v>
      </c>
      <c r="G2213" s="187">
        <f ca="1">OFFSET('IWP04'!Std9BillingInfo12, 10, 6, 1, 1)</f>
        <v>0</v>
      </c>
      <c r="H2213" s="187">
        <f ca="1">OFFSET('IWP04'!Std9BillingInfo12, 11, 6, 1, 1)</f>
        <v>0</v>
      </c>
      <c r="I2213" s="187">
        <f ca="1">OFFSET('IWP04'!Std9BillingInfo12, 10, 8, 1, 1)</f>
        <v>0</v>
      </c>
      <c r="J2213" s="187">
        <f ca="1">OFFSET('IWP04'!Std9BillingInfo12, 10, 11, 1, 1)</f>
        <v>0</v>
      </c>
      <c r="K2213" s="187">
        <f ca="1">OFFSET('IWP04'!Std9BillingInfo12, 10, 12, 1, 1)</f>
        <v>0</v>
      </c>
      <c r="L2213" s="179">
        <f ca="1">OFFSET('IWP04'!Std9BillingInfo12, 12, 8, 1, 1)</f>
        <v>0</v>
      </c>
      <c r="M2213" s="129"/>
    </row>
    <row r="2214" spans="1:13" s="146" customFormat="1">
      <c r="A2214" s="183" t="s">
        <v>502</v>
      </c>
      <c r="B2214" s="196">
        <v>13</v>
      </c>
      <c r="C2214" s="195" t="str">
        <f ca="1">IF(OFFSET('IWP04'!Std9BillingInfo13, 0, 0, 1, 1) = 0, "", OFFSET('IWP04'!Std9BillingInfo13, 0, 0, 1, 1))</f>
        <v/>
      </c>
      <c r="D2214" s="172">
        <f ca="1">IF(OFFSET('IWP04'!Std9BillingInfo13, 0, 1, 1, 1)=DATE(1900,1,0), DATE(1900,1,1), OFFSET('IWP04'!Std9BillingInfo13, 0, 1, 1, 1))</f>
        <v>1</v>
      </c>
      <c r="E2214" s="172">
        <f ca="1">IF(OFFSET('IWP04'!Std9BillingInfo13, 0, 2, 1, 1)=DATE(1900,1,0), DATE(1900,1,1), OFFSET('IWP04'!Std9BillingInfo13, 0, 2, 1, 1))</f>
        <v>1</v>
      </c>
      <c r="F2214" s="187">
        <f ca="1">OFFSET('IWP04'!Std9BillingInfo13, 0, 3, 1, 1)</f>
        <v>0</v>
      </c>
      <c r="G2214" s="187">
        <f ca="1">OFFSET('IWP04'!Std9BillingInfo13, 10, 6, 1, 1)</f>
        <v>0</v>
      </c>
      <c r="H2214" s="187">
        <f ca="1">OFFSET('IWP04'!Std9BillingInfo13, 11, 6, 1, 1)</f>
        <v>0</v>
      </c>
      <c r="I2214" s="187">
        <f ca="1">OFFSET('IWP04'!Std9BillingInfo13, 10, 8, 1, 1)</f>
        <v>0</v>
      </c>
      <c r="J2214" s="187">
        <f ca="1">OFFSET('IWP04'!Std9BillingInfo13, 10, 11, 1, 1)</f>
        <v>0</v>
      </c>
      <c r="K2214" s="187">
        <f ca="1">OFFSET('IWP04'!Std9BillingInfo13, 10, 12, 1, 1)</f>
        <v>0</v>
      </c>
      <c r="L2214" s="179">
        <f ca="1">OFFSET('IWP04'!Std9BillingInfo13, 12, 8, 1, 1)</f>
        <v>0</v>
      </c>
      <c r="M2214" s="129"/>
    </row>
    <row r="2215" spans="1:13" s="146" customFormat="1">
      <c r="A2215" s="183" t="s">
        <v>502</v>
      </c>
      <c r="B2215" s="196">
        <v>14</v>
      </c>
      <c r="C2215" s="195" t="str">
        <f ca="1">IF(OFFSET('IWP04'!Std9BillingInfo14, 0, 0, 1, 1) = 0, "", OFFSET('IWP04'!Std9BillingInfo14, 0, 0, 1, 1))</f>
        <v/>
      </c>
      <c r="D2215" s="172">
        <f ca="1">IF(OFFSET('IWP04'!Std9BillingInfo14, 0, 1, 1, 1)=DATE(1900,1,0), DATE(1900,1,1), OFFSET('IWP04'!Std9BillingInfo14, 0, 1, 1, 1))</f>
        <v>1</v>
      </c>
      <c r="E2215" s="172">
        <f ca="1">IF(OFFSET('IWP04'!Std9BillingInfo14, 0, 2, 1, 1)=DATE(1900,1,0), DATE(1900,1,1), OFFSET('IWP04'!Std9BillingInfo14, 0, 2, 1, 1))</f>
        <v>1</v>
      </c>
      <c r="F2215" s="187">
        <f ca="1">OFFSET('IWP04'!Std9BillingInfo14, 0, 3, 1, 1)</f>
        <v>0</v>
      </c>
      <c r="G2215" s="187">
        <f ca="1">OFFSET('IWP04'!Std9BillingInfo14, 10, 6, 1, 1)</f>
        <v>0</v>
      </c>
      <c r="H2215" s="187">
        <f ca="1">OFFSET('IWP04'!Std9BillingInfo14, 11, 6, 1, 1)</f>
        <v>0</v>
      </c>
      <c r="I2215" s="187">
        <f ca="1">OFFSET('IWP04'!Std9BillingInfo14, 10, 8, 1, 1)</f>
        <v>0</v>
      </c>
      <c r="J2215" s="187">
        <f ca="1">OFFSET('IWP04'!Std9BillingInfo14, 10, 11, 1, 1)</f>
        <v>0</v>
      </c>
      <c r="K2215" s="187">
        <f ca="1">OFFSET('IWP04'!Std9BillingInfo14, 10, 12, 1, 1)</f>
        <v>0</v>
      </c>
      <c r="L2215" s="179">
        <f ca="1">OFFSET('IWP04'!Std9BillingInfo14, 12, 8, 1, 1)</f>
        <v>0</v>
      </c>
      <c r="M2215" s="129"/>
    </row>
    <row r="2216" spans="1:13" s="146" customFormat="1">
      <c r="A2216" s="183" t="s">
        <v>502</v>
      </c>
      <c r="B2216" s="196">
        <v>15</v>
      </c>
      <c r="C2216" s="195" t="str">
        <f ca="1">IF(OFFSET('IWP04'!Std9BillingInfo15, 0, 0, 1, 1) = 0, "", OFFSET('IWP04'!Std9BillingInfo15, 0, 0, 1, 1))</f>
        <v/>
      </c>
      <c r="D2216" s="172">
        <f ca="1">IF(OFFSET('IWP04'!Std9BillingInfo15, 0, 1, 1, 1)=DATE(1900,1,0), DATE(1900,1,1), OFFSET('IWP04'!Std9BillingInfo15, 0, 1, 1, 1))</f>
        <v>1</v>
      </c>
      <c r="E2216" s="172">
        <f ca="1">IF(OFFSET('IWP04'!Std9BillingInfo15, 0, 2, 1, 1)=DATE(1900,1,0), DATE(1900,1,1), OFFSET('IWP04'!Std9BillingInfo15, 0, 2, 1, 1))</f>
        <v>1</v>
      </c>
      <c r="F2216" s="187">
        <f ca="1">OFFSET('IWP04'!Std9BillingInfo15, 0, 3, 1, 1)</f>
        <v>0</v>
      </c>
      <c r="G2216" s="187">
        <f ca="1">OFFSET('IWP04'!Std9BillingInfo15, 10, 6, 1, 1)</f>
        <v>0</v>
      </c>
      <c r="H2216" s="187">
        <f ca="1">OFFSET('IWP04'!Std9BillingInfo15, 11, 6, 1, 1)</f>
        <v>0</v>
      </c>
      <c r="I2216" s="187">
        <f ca="1">OFFSET('IWP04'!Std9BillingInfo15, 10, 8, 1, 1)</f>
        <v>0</v>
      </c>
      <c r="J2216" s="187">
        <f ca="1">OFFSET('IWP04'!Std9BillingInfo15, 10, 11, 1, 1)</f>
        <v>0</v>
      </c>
      <c r="K2216" s="187">
        <f ca="1">OFFSET('IWP04'!Std9BillingInfo15, 10, 12, 1, 1)</f>
        <v>0</v>
      </c>
      <c r="L2216" s="179">
        <f ca="1">OFFSET('IWP04'!Std9BillingInfo15, 12, 8, 1, 1)</f>
        <v>0</v>
      </c>
      <c r="M2216" s="129"/>
    </row>
    <row r="2217" spans="1:13" s="146" customFormat="1">
      <c r="A2217" s="183" t="s">
        <v>502</v>
      </c>
      <c r="B2217" s="196">
        <v>16</v>
      </c>
      <c r="C2217" s="195" t="str">
        <f ca="1">IF(OFFSET('IWP04'!Std9BillingInfo16, 0, 0, 1, 1) = 0, "", OFFSET('IWP04'!Std9BillingInfo16, 0, 0, 1, 1))</f>
        <v/>
      </c>
      <c r="D2217" s="172">
        <f ca="1">IF(OFFSET('IWP04'!Std9BillingInfo16, 0, 1, 1, 1)=DATE(1900,1,0), DATE(1900,1,1), OFFSET('IWP04'!Std9BillingInfo16, 0, 1, 1, 1))</f>
        <v>1</v>
      </c>
      <c r="E2217" s="172">
        <f ca="1">IF(OFFSET('IWP04'!Std9BillingInfo16, 0, 2, 1, 1)=DATE(1900,1,0), DATE(1900,1,1), OFFSET('IWP04'!Std9BillingInfo16, 0, 2, 1, 1))</f>
        <v>1</v>
      </c>
      <c r="F2217" s="187">
        <f ca="1">OFFSET('IWP04'!Std9BillingInfo16, 0, 3, 1, 1)</f>
        <v>0</v>
      </c>
      <c r="G2217" s="187">
        <f ca="1">OFFSET('IWP04'!Std9BillingInfo16, 10, 6, 1, 1)</f>
        <v>0</v>
      </c>
      <c r="H2217" s="187">
        <f ca="1">OFFSET('IWP04'!Std9BillingInfo16, 11, 6, 1, 1)</f>
        <v>0</v>
      </c>
      <c r="I2217" s="187">
        <f ca="1">OFFSET('IWP04'!Std9BillingInfo16, 10, 8, 1, 1)</f>
        <v>0</v>
      </c>
      <c r="J2217" s="187">
        <f ca="1">OFFSET('IWP04'!Std9BillingInfo16, 10, 11, 1, 1)</f>
        <v>0</v>
      </c>
      <c r="K2217" s="187">
        <f ca="1">OFFSET('IWP04'!Std9BillingInfo16, 10, 12, 1, 1)</f>
        <v>0</v>
      </c>
      <c r="L2217" s="179">
        <f ca="1">OFFSET('IWP04'!Std9BillingInfo16, 12, 8, 1, 1)</f>
        <v>0</v>
      </c>
      <c r="M2217" s="129"/>
    </row>
    <row r="2218" spans="1:13" s="146" customFormat="1">
      <c r="A2218" s="183" t="s">
        <v>502</v>
      </c>
      <c r="B2218" s="196">
        <v>17</v>
      </c>
      <c r="C2218" s="195" t="str">
        <f ca="1">IF(OFFSET('IWP04'!Std9BillingInfo17, 0, 0, 1, 1) = 0, "", OFFSET('IWP04'!Std9BillingInfo17, 0, 0, 1, 1))</f>
        <v/>
      </c>
      <c r="D2218" s="172">
        <f ca="1">IF(OFFSET('IWP04'!Std9BillingInfo17, 0, 1, 1, 1)=DATE(1900,1,0), DATE(1900,1,1), OFFSET('IWP04'!Std9BillingInfo17, 0, 1, 1, 1))</f>
        <v>1</v>
      </c>
      <c r="E2218" s="172">
        <f ca="1">IF(OFFSET('IWP04'!Std9BillingInfo17, 0, 2, 1, 1)=DATE(1900,1,0), DATE(1900,1,1), OFFSET('IWP04'!Std9BillingInfo17, 0, 2, 1, 1))</f>
        <v>1</v>
      </c>
      <c r="F2218" s="187">
        <f ca="1">OFFSET('IWP04'!Std9BillingInfo17, 0, 3, 1, 1)</f>
        <v>0</v>
      </c>
      <c r="G2218" s="187">
        <f ca="1">OFFSET('IWP04'!Std9BillingInfo17, 10, 6, 1, 1)</f>
        <v>0</v>
      </c>
      <c r="H2218" s="187">
        <f ca="1">OFFSET('IWP04'!Std9BillingInfo17, 11, 6, 1, 1)</f>
        <v>0</v>
      </c>
      <c r="I2218" s="187">
        <f ca="1">OFFSET('IWP04'!Std9BillingInfo17, 10, 8, 1, 1)</f>
        <v>0</v>
      </c>
      <c r="J2218" s="187">
        <f ca="1">OFFSET('IWP04'!Std9BillingInfo17, 10, 11, 1, 1)</f>
        <v>0</v>
      </c>
      <c r="K2218" s="187">
        <f ca="1">OFFSET('IWP04'!Std9BillingInfo17, 10, 12, 1, 1)</f>
        <v>0</v>
      </c>
      <c r="L2218" s="179">
        <f ca="1">OFFSET('IWP04'!Std9BillingInfo17, 12, 8, 1, 1)</f>
        <v>0</v>
      </c>
      <c r="M2218" s="129"/>
    </row>
    <row r="2219" spans="1:13" s="146" customFormat="1">
      <c r="A2219" s="183" t="s">
        <v>502</v>
      </c>
      <c r="B2219" s="196">
        <v>18</v>
      </c>
      <c r="C2219" s="195" t="str">
        <f ca="1">IF(OFFSET('IWP04'!Std9BillingInfo18, 0, 0, 1, 1) = 0, "", OFFSET('IWP04'!Std9BillingInfo18, 0, 0, 1, 1))</f>
        <v/>
      </c>
      <c r="D2219" s="172">
        <f ca="1">IF(OFFSET('IWP04'!Std9BillingInfo18, 0, 1, 1, 1)=DATE(1900,1,0), DATE(1900,1,1), OFFSET('IWP04'!Std9BillingInfo18, 0, 1, 1, 1))</f>
        <v>1</v>
      </c>
      <c r="E2219" s="172">
        <f ca="1">IF(OFFSET('IWP04'!Std9BillingInfo18, 0, 2, 1, 1)=DATE(1900,1,0), DATE(1900,1,1), OFFSET('IWP04'!Std9BillingInfo18, 0, 2, 1, 1))</f>
        <v>1</v>
      </c>
      <c r="F2219" s="187">
        <f ca="1">OFFSET('IWP04'!Std9BillingInfo18, 0, 3, 1, 1)</f>
        <v>0</v>
      </c>
      <c r="G2219" s="187">
        <f ca="1">OFFSET('IWP04'!Std9BillingInfo18, 10, 6, 1, 1)</f>
        <v>0</v>
      </c>
      <c r="H2219" s="187">
        <f ca="1">OFFSET('IWP04'!Std9BillingInfo18, 11, 6, 1, 1)</f>
        <v>0</v>
      </c>
      <c r="I2219" s="187">
        <f ca="1">OFFSET('IWP04'!Std9BillingInfo18, 10, 8, 1, 1)</f>
        <v>0</v>
      </c>
      <c r="J2219" s="187">
        <f ca="1">OFFSET('IWP04'!Std9BillingInfo18, 10, 11, 1, 1)</f>
        <v>0</v>
      </c>
      <c r="K2219" s="187">
        <f ca="1">OFFSET('IWP04'!Std9BillingInfo18, 10, 12, 1, 1)</f>
        <v>0</v>
      </c>
      <c r="L2219" s="179">
        <f ca="1">OFFSET('IWP04'!Std9BillingInfo18, 12, 8, 1, 1)</f>
        <v>0</v>
      </c>
      <c r="M2219" s="129"/>
    </row>
    <row r="2220" spans="1:13" s="146" customFormat="1">
      <c r="A2220" s="183" t="s">
        <v>503</v>
      </c>
      <c r="B2220" s="196">
        <v>1</v>
      </c>
      <c r="C2220" s="195" t="str">
        <f ca="1">IF(OFFSET('IWP05'!Std9BillingInfo01, 0, 0, 1, 1) = 0, "", OFFSET('IWP05'!Std9BillingInfo01, 0, 0, 1, 1))</f>
        <v/>
      </c>
      <c r="D2220" s="172">
        <f ca="1">IF(OFFSET('IWP05'!Std9BillingInfo01, 0, 1, 1, 1)=DATE(1900,1,0), DATE(1900,1,1), OFFSET('IWP05'!Std9BillingInfo01, 0, 1, 1, 1))</f>
        <v>1</v>
      </c>
      <c r="E2220" s="172">
        <f ca="1">IF(OFFSET('IWP05'!Std9BillingInfo01, 0, 2, 1, 1)=DATE(1900,1,0), DATE(1900,1,1), OFFSET('IWP05'!Std9BillingInfo01, 0, 2, 1, 1))</f>
        <v>1</v>
      </c>
      <c r="F2220" s="187">
        <f ca="1">OFFSET('IWP05'!Std9BillingInfo01, 0, 3, 1, 1)</f>
        <v>0</v>
      </c>
      <c r="G2220" s="187">
        <f ca="1">OFFSET('IWP05'!Std9BillingInfo01, 10, 6, 1, 1)</f>
        <v>0</v>
      </c>
      <c r="H2220" s="187">
        <f ca="1">OFFSET('IWP05'!Std9BillingInfo01, 11, 6, 1, 1)</f>
        <v>0</v>
      </c>
      <c r="I2220" s="187">
        <f ca="1">OFFSET('IWP05'!Std9BillingInfo01, 10, 8, 1, 1)</f>
        <v>0</v>
      </c>
      <c r="J2220" s="187">
        <f ca="1">OFFSET('IWP05'!Std9BillingInfo01, 10, 11, 1, 1)</f>
        <v>0</v>
      </c>
      <c r="K2220" s="187">
        <f ca="1">OFFSET('IWP05'!Std9BillingInfo01, 10, 12, 1, 1)</f>
        <v>0</v>
      </c>
      <c r="L2220" s="179">
        <f ca="1">OFFSET('IWP05'!Std9BillingInfo01, 12, 8, 1, 1)</f>
        <v>0</v>
      </c>
      <c r="M2220" s="129"/>
    </row>
    <row r="2221" spans="1:13" s="146" customFormat="1">
      <c r="A2221" s="183" t="s">
        <v>503</v>
      </c>
      <c r="B2221" s="196">
        <v>2</v>
      </c>
      <c r="C2221" s="195" t="str">
        <f ca="1">IF(OFFSET('IWP05'!Std9BillingInfo02, 0, 0, 1, 1) = 0, "", OFFSET('IWP05'!Std9BillingInfo02, 0, 0, 1, 1))</f>
        <v/>
      </c>
      <c r="D2221" s="172">
        <f ca="1">IF(OFFSET('IWP05'!Std9BillingInfo02, 0, 1, 1, 1)=DATE(1900,1,0), DATE(1900,1,1), OFFSET('IWP05'!Std9BillingInfo02, 0, 1, 1, 1))</f>
        <v>1</v>
      </c>
      <c r="E2221" s="172">
        <f ca="1">IF(OFFSET('IWP05'!Std9BillingInfo02, 0, 2, 1, 1)=DATE(1900,1,0), DATE(1900,1,1), OFFSET('IWP05'!Std9BillingInfo02, 0, 2, 1, 1))</f>
        <v>1</v>
      </c>
      <c r="F2221" s="187">
        <f ca="1">OFFSET('IWP05'!Std9BillingInfo02, 0, 3, 1, 1)</f>
        <v>0</v>
      </c>
      <c r="G2221" s="187">
        <f ca="1">OFFSET('IWP05'!Std9BillingInfo02, 10, 6, 1, 1)</f>
        <v>0</v>
      </c>
      <c r="H2221" s="187">
        <f ca="1">OFFSET('IWP05'!Std9BillingInfo02, 11, 6, 1, 1)</f>
        <v>0</v>
      </c>
      <c r="I2221" s="187">
        <f ca="1">OFFSET('IWP05'!Std9BillingInfo02, 10, 8, 1, 1)</f>
        <v>0</v>
      </c>
      <c r="J2221" s="187">
        <f ca="1">OFFSET('IWP05'!Std9BillingInfo02, 10, 11, 1, 1)</f>
        <v>0</v>
      </c>
      <c r="K2221" s="187">
        <f ca="1">OFFSET('IWP05'!Std9BillingInfo02, 10, 12, 1, 1)</f>
        <v>0</v>
      </c>
      <c r="L2221" s="179">
        <f ca="1">OFFSET('IWP05'!Std9BillingInfo02, 12, 8, 1, 1)</f>
        <v>0</v>
      </c>
      <c r="M2221" s="129"/>
    </row>
    <row r="2222" spans="1:13" s="146" customFormat="1">
      <c r="A2222" s="183" t="s">
        <v>503</v>
      </c>
      <c r="B2222" s="196">
        <v>3</v>
      </c>
      <c r="C2222" s="195" t="str">
        <f ca="1">IF(OFFSET('IWP05'!Std9BillingInfo03, 0, 0, 1, 1) = 0, "", OFFSET('IWP05'!Std9BillingInfo03, 0, 0, 1, 1))</f>
        <v/>
      </c>
      <c r="D2222" s="172">
        <f ca="1">IF(OFFSET('IWP05'!Std9BillingInfo03, 0, 1, 1, 1)=DATE(1900,1,0), DATE(1900,1,1), OFFSET('IWP05'!Std9BillingInfo03, 0, 1, 1, 1))</f>
        <v>1</v>
      </c>
      <c r="E2222" s="172">
        <f ca="1">IF(OFFSET('IWP05'!Std9BillingInfo03, 0, 2, 1, 1)=DATE(1900,1,0), DATE(1900,1,1), OFFSET('IWP05'!Std9BillingInfo03, 0, 2, 1, 1))</f>
        <v>1</v>
      </c>
      <c r="F2222" s="187">
        <f ca="1">OFFSET('IWP05'!Std9BillingInfo03, 0, 3, 1, 1)</f>
        <v>0</v>
      </c>
      <c r="G2222" s="187">
        <f ca="1">OFFSET('IWP05'!Std9BillingInfo03, 10, 6, 1, 1)</f>
        <v>0</v>
      </c>
      <c r="H2222" s="187">
        <f ca="1">OFFSET('IWP05'!Std9BillingInfo03, 11, 6, 1, 1)</f>
        <v>0</v>
      </c>
      <c r="I2222" s="187">
        <f ca="1">OFFSET('IWP05'!Std9BillingInfo03, 10, 8, 1, 1)</f>
        <v>0</v>
      </c>
      <c r="J2222" s="187">
        <f ca="1">OFFSET('IWP05'!Std9BillingInfo03, 10, 11, 1, 1)</f>
        <v>0</v>
      </c>
      <c r="K2222" s="187">
        <f ca="1">OFFSET('IWP05'!Std9BillingInfo03, 10, 12, 1, 1)</f>
        <v>0</v>
      </c>
      <c r="L2222" s="179">
        <f ca="1">OFFSET('IWP05'!Std9BillingInfo03, 12, 8, 1, 1)</f>
        <v>0</v>
      </c>
      <c r="M2222" s="129"/>
    </row>
    <row r="2223" spans="1:13" s="146" customFormat="1">
      <c r="A2223" s="183" t="s">
        <v>503</v>
      </c>
      <c r="B2223" s="196">
        <v>4</v>
      </c>
      <c r="C2223" s="195" t="str">
        <f ca="1">IF(OFFSET('IWP05'!Std9BillingInfo04, 0, 0, 1, 1) = 0, "", OFFSET('IWP05'!Std9BillingInfo04, 0, 0, 1, 1))</f>
        <v/>
      </c>
      <c r="D2223" s="172">
        <f ca="1">IF(OFFSET('IWP05'!Std9BillingInfo04, 0, 1, 1, 1)=DATE(1900,1,0), DATE(1900,1,1), OFFSET('IWP05'!Std9BillingInfo04, 0, 1, 1, 1))</f>
        <v>1</v>
      </c>
      <c r="E2223" s="172">
        <f ca="1">IF(OFFSET('IWP05'!Std9BillingInfo04, 0, 2, 1, 1)=DATE(1900,1,0), DATE(1900,1,1), OFFSET('IWP05'!Std9BillingInfo04, 0, 2, 1, 1))</f>
        <v>1</v>
      </c>
      <c r="F2223" s="187">
        <f ca="1">OFFSET('IWP05'!Std9BillingInfo04, 0, 3, 1, 1)</f>
        <v>0</v>
      </c>
      <c r="G2223" s="187">
        <f ca="1">OFFSET('IWP05'!Std9BillingInfo04, 10, 6, 1, 1)</f>
        <v>0</v>
      </c>
      <c r="H2223" s="187">
        <f ca="1">OFFSET('IWP05'!Std9BillingInfo04, 11, 6, 1, 1)</f>
        <v>0</v>
      </c>
      <c r="I2223" s="187">
        <f ca="1">OFFSET('IWP05'!Std9BillingInfo04, 10, 8, 1, 1)</f>
        <v>0</v>
      </c>
      <c r="J2223" s="187">
        <f ca="1">OFFSET('IWP05'!Std9BillingInfo04, 10, 11, 1, 1)</f>
        <v>0</v>
      </c>
      <c r="K2223" s="187">
        <f ca="1">OFFSET('IWP05'!Std9BillingInfo04, 10, 12, 1, 1)</f>
        <v>0</v>
      </c>
      <c r="L2223" s="179">
        <f ca="1">OFFSET('IWP05'!Std9BillingInfo04, 12, 8, 1, 1)</f>
        <v>0</v>
      </c>
      <c r="M2223" s="129"/>
    </row>
    <row r="2224" spans="1:13" s="146" customFormat="1">
      <c r="A2224" s="183" t="s">
        <v>503</v>
      </c>
      <c r="B2224" s="196">
        <v>5</v>
      </c>
      <c r="C2224" s="195" t="str">
        <f ca="1">IF(OFFSET('IWP05'!Std9BillingInfo05, 0, 0, 1, 1) = 0, "", OFFSET('IWP05'!Std9BillingInfo05, 0, 0, 1, 1))</f>
        <v/>
      </c>
      <c r="D2224" s="172">
        <f ca="1">IF(OFFSET('IWP05'!Std9BillingInfo05, 0, 1, 1, 1)=DATE(1900,1,0), DATE(1900,1,1), OFFSET('IWP05'!Std9BillingInfo05, 0, 1, 1, 1))</f>
        <v>1</v>
      </c>
      <c r="E2224" s="172">
        <f ca="1">IF(OFFSET('IWP05'!Std9BillingInfo05, 0, 2, 1, 1)=DATE(1900,1,0), DATE(1900,1,1), OFFSET('IWP05'!Std9BillingInfo05, 0, 2, 1, 1))</f>
        <v>1</v>
      </c>
      <c r="F2224" s="187">
        <f ca="1">OFFSET('IWP05'!Std9BillingInfo05, 0, 3, 1, 1)</f>
        <v>0</v>
      </c>
      <c r="G2224" s="187">
        <f ca="1">OFFSET('IWP05'!Std9BillingInfo05, 10, 6, 1, 1)</f>
        <v>0</v>
      </c>
      <c r="H2224" s="187">
        <f ca="1">OFFSET('IWP05'!Std9BillingInfo05, 11, 6, 1, 1)</f>
        <v>0</v>
      </c>
      <c r="I2224" s="187">
        <f ca="1">OFFSET('IWP05'!Std9BillingInfo05, 10, 8, 1, 1)</f>
        <v>0</v>
      </c>
      <c r="J2224" s="187">
        <f ca="1">OFFSET('IWP05'!Std9BillingInfo05, 10, 11, 1, 1)</f>
        <v>0</v>
      </c>
      <c r="K2224" s="187">
        <f ca="1">OFFSET('IWP05'!Std9BillingInfo05, 10, 12, 1, 1)</f>
        <v>0</v>
      </c>
      <c r="L2224" s="179">
        <f ca="1">OFFSET('IWP05'!Std9BillingInfo05, 12, 8, 1, 1)</f>
        <v>0</v>
      </c>
      <c r="M2224" s="129"/>
    </row>
    <row r="2225" spans="1:13" s="146" customFormat="1">
      <c r="A2225" s="183" t="s">
        <v>503</v>
      </c>
      <c r="B2225" s="196">
        <v>6</v>
      </c>
      <c r="C2225" s="195" t="str">
        <f ca="1">IF(OFFSET('IWP05'!Std9BillingInfo06, 0, 0, 1, 1) = 0, "", OFFSET('IWP05'!Std9BillingInfo06, 0, 0, 1, 1))</f>
        <v/>
      </c>
      <c r="D2225" s="172">
        <f ca="1">IF(OFFSET('IWP05'!Std9BillingInfo06, 0, 1, 1, 1)=DATE(1900,1,0), DATE(1900,1,1), OFFSET('IWP05'!Std9BillingInfo06, 0, 1, 1, 1))</f>
        <v>1</v>
      </c>
      <c r="E2225" s="172">
        <f ca="1">IF(OFFSET('IWP05'!Std9BillingInfo06, 0, 2, 1, 1)=DATE(1900,1,0), DATE(1900,1,1), OFFSET('IWP05'!Std9BillingInfo06, 0, 2, 1, 1))</f>
        <v>1</v>
      </c>
      <c r="F2225" s="187">
        <f ca="1">OFFSET('IWP05'!Std9BillingInfo06, 0, 3, 1, 1)</f>
        <v>0</v>
      </c>
      <c r="G2225" s="187">
        <f ca="1">OFFSET('IWP05'!Std9BillingInfo06, 10, 6, 1, 1)</f>
        <v>0</v>
      </c>
      <c r="H2225" s="187">
        <f ca="1">OFFSET('IWP05'!Std9BillingInfo06, 11, 6, 1, 1)</f>
        <v>0</v>
      </c>
      <c r="I2225" s="187">
        <f ca="1">OFFSET('IWP05'!Std9BillingInfo06, 10, 8, 1, 1)</f>
        <v>0</v>
      </c>
      <c r="J2225" s="187">
        <f ca="1">OFFSET('IWP05'!Std9BillingInfo06, 10, 11, 1, 1)</f>
        <v>0</v>
      </c>
      <c r="K2225" s="187">
        <f ca="1">OFFSET('IWP05'!Std9BillingInfo06, 10, 12, 1, 1)</f>
        <v>0</v>
      </c>
      <c r="L2225" s="179">
        <f ca="1">OFFSET('IWP05'!Std9BillingInfo06, 12, 8, 1, 1)</f>
        <v>0</v>
      </c>
      <c r="M2225" s="129"/>
    </row>
    <row r="2226" spans="1:13" s="146" customFormat="1">
      <c r="A2226" s="183" t="s">
        <v>503</v>
      </c>
      <c r="B2226" s="196">
        <v>7</v>
      </c>
      <c r="C2226" s="195" t="str">
        <f ca="1">IF(OFFSET('IWP05'!Std9BillingInfo07, 0, 0, 1, 1) = 0, "", OFFSET('IWP05'!Std9BillingInfo07, 0, 0, 1, 1))</f>
        <v/>
      </c>
      <c r="D2226" s="172">
        <f ca="1">IF(OFFSET('IWP05'!Std9BillingInfo07, 0, 1, 1, 1)=DATE(1900,1,0), DATE(1900,1,1), OFFSET('IWP05'!Std9BillingInfo07, 0, 1, 1, 1))</f>
        <v>1</v>
      </c>
      <c r="E2226" s="172">
        <f ca="1">IF(OFFSET('IWP05'!Std9BillingInfo07, 0, 2, 1, 1)=DATE(1900,1,0), DATE(1900,1,1), OFFSET('IWP05'!Std9BillingInfo07, 0, 2, 1, 1))</f>
        <v>1</v>
      </c>
      <c r="F2226" s="187">
        <f ca="1">OFFSET('IWP05'!Std9BillingInfo07, 0, 3, 1, 1)</f>
        <v>0</v>
      </c>
      <c r="G2226" s="187">
        <f ca="1">OFFSET('IWP05'!Std9BillingInfo07, 10, 6, 1, 1)</f>
        <v>0</v>
      </c>
      <c r="H2226" s="187">
        <f ca="1">OFFSET('IWP05'!Std9BillingInfo07, 11, 6, 1, 1)</f>
        <v>0</v>
      </c>
      <c r="I2226" s="187">
        <f ca="1">OFFSET('IWP05'!Std9BillingInfo07, 10, 8, 1, 1)</f>
        <v>0</v>
      </c>
      <c r="J2226" s="187">
        <f ca="1">OFFSET('IWP05'!Std9BillingInfo07, 10, 11, 1, 1)</f>
        <v>0</v>
      </c>
      <c r="K2226" s="187">
        <f ca="1">OFFSET('IWP05'!Std9BillingInfo07, 10, 12, 1, 1)</f>
        <v>0</v>
      </c>
      <c r="L2226" s="179">
        <f ca="1">OFFSET('IWP05'!Std9BillingInfo07, 12, 8, 1, 1)</f>
        <v>0</v>
      </c>
      <c r="M2226" s="129"/>
    </row>
    <row r="2227" spans="1:13" s="146" customFormat="1">
      <c r="A2227" s="183" t="s">
        <v>503</v>
      </c>
      <c r="B2227" s="196">
        <v>8</v>
      </c>
      <c r="C2227" s="195" t="str">
        <f ca="1">IF(OFFSET('IWP05'!Std9BillingInfo08, 0, 0, 1, 1) = 0, "", OFFSET('IWP05'!Std9BillingInfo08, 0, 0, 1, 1))</f>
        <v/>
      </c>
      <c r="D2227" s="172">
        <f ca="1">IF(OFFSET('IWP05'!Std9BillingInfo08, 0, 1, 1, 1)=DATE(1900,1,0), DATE(1900,1,1), OFFSET('IWP05'!Std9BillingInfo08, 0, 1, 1, 1))</f>
        <v>1</v>
      </c>
      <c r="E2227" s="172">
        <f ca="1">IF(OFFSET('IWP05'!Std9BillingInfo08, 0, 2, 1, 1)=DATE(1900,1,0), DATE(1900,1,1), OFFSET('IWP05'!Std9BillingInfo08, 0, 2, 1, 1))</f>
        <v>1</v>
      </c>
      <c r="F2227" s="187">
        <f ca="1">OFFSET('IWP05'!Std9BillingInfo08, 0, 3, 1, 1)</f>
        <v>0</v>
      </c>
      <c r="G2227" s="187">
        <f ca="1">OFFSET('IWP05'!Std9BillingInfo08, 10, 6, 1, 1)</f>
        <v>0</v>
      </c>
      <c r="H2227" s="187">
        <f ca="1">OFFSET('IWP05'!Std9BillingInfo08, 11, 6, 1, 1)</f>
        <v>0</v>
      </c>
      <c r="I2227" s="187">
        <f ca="1">OFFSET('IWP05'!Std9BillingInfo08, 10, 8, 1, 1)</f>
        <v>0</v>
      </c>
      <c r="J2227" s="187">
        <f ca="1">OFFSET('IWP05'!Std9BillingInfo08, 10, 11, 1, 1)</f>
        <v>0</v>
      </c>
      <c r="K2227" s="187">
        <f ca="1">OFFSET('IWP05'!Std9BillingInfo08, 10, 12, 1, 1)</f>
        <v>0</v>
      </c>
      <c r="L2227" s="179">
        <f ca="1">OFFSET('IWP05'!Std9BillingInfo08, 12, 8, 1, 1)</f>
        <v>0</v>
      </c>
      <c r="M2227" s="129"/>
    </row>
    <row r="2228" spans="1:13" s="146" customFormat="1">
      <c r="A2228" s="183" t="s">
        <v>503</v>
      </c>
      <c r="B2228" s="196">
        <v>9</v>
      </c>
      <c r="C2228" s="195" t="str">
        <f ca="1">IF(OFFSET('IWP05'!Std9BillingInfo09, 0, 0, 1, 1) = 0, "", OFFSET('IWP05'!Std9BillingInfo09, 0, 0, 1, 1))</f>
        <v/>
      </c>
      <c r="D2228" s="172">
        <f ca="1">IF(OFFSET('IWP05'!Std9BillingInfo09, 0, 1, 1, 1)=DATE(1900,1,0), DATE(1900,1,1), OFFSET('IWP05'!Std9BillingInfo09, 0, 1, 1, 1))</f>
        <v>1</v>
      </c>
      <c r="E2228" s="172">
        <f ca="1">IF(OFFSET('IWP05'!Std9BillingInfo09, 0, 2, 1, 1)=DATE(1900,1,0), DATE(1900,1,1), OFFSET('IWP05'!Std9BillingInfo09, 0, 2, 1, 1))</f>
        <v>1</v>
      </c>
      <c r="F2228" s="187">
        <f ca="1">OFFSET('IWP05'!Std9BillingInfo09, 0, 3, 1, 1)</f>
        <v>0</v>
      </c>
      <c r="G2228" s="187">
        <f ca="1">OFFSET('IWP05'!Std9BillingInfo09, 10, 6, 1, 1)</f>
        <v>0</v>
      </c>
      <c r="H2228" s="187">
        <f ca="1">OFFSET('IWP05'!Std9BillingInfo09, 11, 6, 1, 1)</f>
        <v>0</v>
      </c>
      <c r="I2228" s="187">
        <f ca="1">OFFSET('IWP05'!Std9BillingInfo09, 10, 8, 1, 1)</f>
        <v>0</v>
      </c>
      <c r="J2228" s="187">
        <f ca="1">OFFSET('IWP05'!Std9BillingInfo09, 10, 11, 1, 1)</f>
        <v>0</v>
      </c>
      <c r="K2228" s="187">
        <f ca="1">OFFSET('IWP05'!Std9BillingInfo09, 10, 12, 1, 1)</f>
        <v>0</v>
      </c>
      <c r="L2228" s="179">
        <f ca="1">OFFSET('IWP05'!Std9BillingInfo09, 12, 8, 1, 1)</f>
        <v>0</v>
      </c>
      <c r="M2228" s="129"/>
    </row>
    <row r="2229" spans="1:13" s="146" customFormat="1">
      <c r="A2229" s="183" t="s">
        <v>503</v>
      </c>
      <c r="B2229" s="196">
        <v>10</v>
      </c>
      <c r="C2229" s="195" t="str">
        <f ca="1">IF(OFFSET('IWP05'!Std9BillingInfo10, 0, 0, 1, 1) = 0, "", OFFSET('IWP05'!Std9BillingInfo10, 0, 0, 1, 1))</f>
        <v/>
      </c>
      <c r="D2229" s="172">
        <f ca="1">IF(OFFSET('IWP05'!Std9BillingInfo10, 0, 1, 1, 1)=DATE(1900,1,0), DATE(1900,1,1), OFFSET('IWP05'!Std9BillingInfo10, 0, 1, 1, 1))</f>
        <v>1</v>
      </c>
      <c r="E2229" s="172">
        <f ca="1">IF(OFFSET('IWP05'!Std9BillingInfo10, 0, 2, 1, 1)=DATE(1900,1,0), DATE(1900,1,1), OFFSET('IWP05'!Std9BillingInfo10, 0, 2, 1, 1))</f>
        <v>1</v>
      </c>
      <c r="F2229" s="187">
        <f ca="1">OFFSET('IWP05'!Std9BillingInfo10, 0, 3, 1, 1)</f>
        <v>0</v>
      </c>
      <c r="G2229" s="187">
        <f ca="1">OFFSET('IWP05'!Std9BillingInfo10, 10, 6, 1, 1)</f>
        <v>0</v>
      </c>
      <c r="H2229" s="187">
        <f ca="1">OFFSET('IWP05'!Std9BillingInfo10, 11, 6, 1, 1)</f>
        <v>0</v>
      </c>
      <c r="I2229" s="187">
        <f ca="1">OFFSET('IWP05'!Std9BillingInfo10, 10, 8, 1, 1)</f>
        <v>0</v>
      </c>
      <c r="J2229" s="187">
        <f ca="1">OFFSET('IWP05'!Std9BillingInfo10, 10, 11, 1, 1)</f>
        <v>0</v>
      </c>
      <c r="K2229" s="187">
        <f ca="1">OFFSET('IWP05'!Std9BillingInfo10, 10, 12, 1, 1)</f>
        <v>0</v>
      </c>
      <c r="L2229" s="179">
        <f ca="1">OFFSET('IWP05'!Std9BillingInfo10, 12, 8, 1, 1)</f>
        <v>0</v>
      </c>
      <c r="M2229" s="129"/>
    </row>
    <row r="2230" spans="1:13" s="146" customFormat="1">
      <c r="A2230" s="183" t="s">
        <v>503</v>
      </c>
      <c r="B2230" s="196">
        <v>11</v>
      </c>
      <c r="C2230" s="195" t="str">
        <f ca="1">IF(OFFSET('IWP05'!Std9BillingInfo11, 0, 0, 1, 1) = 0, "", OFFSET('IWP05'!Std9BillingInfo11, 0, 0, 1, 1))</f>
        <v/>
      </c>
      <c r="D2230" s="172">
        <f ca="1">IF(OFFSET('IWP05'!Std9BillingInfo11, 0, 1, 1, 1)=DATE(1900,1,0), DATE(1900,1,1), OFFSET('IWP05'!Std9BillingInfo11, 0, 1, 1, 1))</f>
        <v>1</v>
      </c>
      <c r="E2230" s="172">
        <f ca="1">IF(OFFSET('IWP05'!Std9BillingInfo11, 0, 2, 1, 1)=DATE(1900,1,0), DATE(1900,1,1), OFFSET('IWP05'!Std9BillingInfo11, 0, 2, 1, 1))</f>
        <v>1</v>
      </c>
      <c r="F2230" s="187">
        <f ca="1">OFFSET('IWP05'!Std9BillingInfo11, 0, 3, 1, 1)</f>
        <v>0</v>
      </c>
      <c r="G2230" s="187">
        <f ca="1">OFFSET('IWP05'!Std9BillingInfo11, 10, 6, 1, 1)</f>
        <v>0</v>
      </c>
      <c r="H2230" s="187">
        <f ca="1">OFFSET('IWP05'!Std9BillingInfo11, 11, 6, 1, 1)</f>
        <v>0</v>
      </c>
      <c r="I2230" s="187">
        <f ca="1">OFFSET('IWP05'!Std9BillingInfo11, 10, 8, 1, 1)</f>
        <v>0</v>
      </c>
      <c r="J2230" s="187">
        <f ca="1">OFFSET('IWP05'!Std9BillingInfo11, 10, 11, 1, 1)</f>
        <v>0</v>
      </c>
      <c r="K2230" s="187">
        <f ca="1">OFFSET('IWP05'!Std9BillingInfo11, 10, 12, 1, 1)</f>
        <v>0</v>
      </c>
      <c r="L2230" s="179">
        <f ca="1">OFFSET('IWP05'!Std9BillingInfo11, 12, 8, 1, 1)</f>
        <v>0</v>
      </c>
      <c r="M2230" s="129"/>
    </row>
    <row r="2231" spans="1:13" s="146" customFormat="1">
      <c r="A2231" s="183" t="s">
        <v>503</v>
      </c>
      <c r="B2231" s="196">
        <v>12</v>
      </c>
      <c r="C2231" s="195" t="str">
        <f ca="1">IF(OFFSET('IWP05'!Std9BillingInfo12, 0, 0, 1, 1) = 0, "", OFFSET('IWP05'!Std9BillingInfo12, 0, 0, 1, 1))</f>
        <v/>
      </c>
      <c r="D2231" s="172">
        <f ca="1">IF(OFFSET('IWP05'!Std9BillingInfo12, 0, 1, 1, 1)=DATE(1900,1,0), DATE(1900,1,1), OFFSET('IWP05'!Std9BillingInfo12, 0, 1, 1, 1))</f>
        <v>1</v>
      </c>
      <c r="E2231" s="172">
        <f ca="1">IF(OFFSET('IWP05'!Std9BillingInfo12, 0, 2, 1, 1)=DATE(1900,1,0), DATE(1900,1,1), OFFSET('IWP05'!Std9BillingInfo12, 0, 2, 1, 1))</f>
        <v>1</v>
      </c>
      <c r="F2231" s="187">
        <f ca="1">OFFSET('IWP05'!Std9BillingInfo12, 0, 3, 1, 1)</f>
        <v>0</v>
      </c>
      <c r="G2231" s="187">
        <f ca="1">OFFSET('IWP05'!Std9BillingInfo12, 10, 6, 1, 1)</f>
        <v>0</v>
      </c>
      <c r="H2231" s="187">
        <f ca="1">OFFSET('IWP05'!Std9BillingInfo12, 11, 6, 1, 1)</f>
        <v>0</v>
      </c>
      <c r="I2231" s="187">
        <f ca="1">OFFSET('IWP05'!Std9BillingInfo12, 10, 8, 1, 1)</f>
        <v>0</v>
      </c>
      <c r="J2231" s="187">
        <f ca="1">OFFSET('IWP05'!Std9BillingInfo12, 10, 11, 1, 1)</f>
        <v>0</v>
      </c>
      <c r="K2231" s="187">
        <f ca="1">OFFSET('IWP05'!Std9BillingInfo12, 10, 12, 1, 1)</f>
        <v>0</v>
      </c>
      <c r="L2231" s="179">
        <f ca="1">OFFSET('IWP05'!Std9BillingInfo12, 12, 8, 1, 1)</f>
        <v>0</v>
      </c>
      <c r="M2231" s="129"/>
    </row>
    <row r="2232" spans="1:13" s="146" customFormat="1">
      <c r="A2232" s="183" t="s">
        <v>503</v>
      </c>
      <c r="B2232" s="196">
        <v>13</v>
      </c>
      <c r="C2232" s="195" t="str">
        <f ca="1">IF(OFFSET('IWP05'!Std9BillingInfo13, 0, 0, 1, 1) = 0, "", OFFSET('IWP05'!Std9BillingInfo13, 0, 0, 1, 1))</f>
        <v/>
      </c>
      <c r="D2232" s="172">
        <f ca="1">IF(OFFSET('IWP05'!Std9BillingInfo13, 0, 1, 1, 1)=DATE(1900,1,0), DATE(1900,1,1), OFFSET('IWP05'!Std9BillingInfo13, 0, 1, 1, 1))</f>
        <v>1</v>
      </c>
      <c r="E2232" s="172">
        <f ca="1">IF(OFFSET('IWP05'!Std9BillingInfo13, 0, 2, 1, 1)=DATE(1900,1,0), DATE(1900,1,1), OFFSET('IWP05'!Std9BillingInfo13, 0, 2, 1, 1))</f>
        <v>1</v>
      </c>
      <c r="F2232" s="187">
        <f ca="1">OFFSET('IWP05'!Std9BillingInfo13, 0, 3, 1, 1)</f>
        <v>0</v>
      </c>
      <c r="G2232" s="187">
        <f ca="1">OFFSET('IWP05'!Std9BillingInfo13, 10, 6, 1, 1)</f>
        <v>0</v>
      </c>
      <c r="H2232" s="187">
        <f ca="1">OFFSET('IWP05'!Std9BillingInfo13, 11, 6, 1, 1)</f>
        <v>0</v>
      </c>
      <c r="I2232" s="187">
        <f ca="1">OFFSET('IWP05'!Std9BillingInfo13, 10, 8, 1, 1)</f>
        <v>0</v>
      </c>
      <c r="J2232" s="187">
        <f ca="1">OFFSET('IWP05'!Std9BillingInfo13, 10, 11, 1, 1)</f>
        <v>0</v>
      </c>
      <c r="K2232" s="187">
        <f ca="1">OFFSET('IWP05'!Std9BillingInfo13, 10, 12, 1, 1)</f>
        <v>0</v>
      </c>
      <c r="L2232" s="179">
        <f ca="1">OFFSET('IWP05'!Std9BillingInfo13, 12, 8, 1, 1)</f>
        <v>0</v>
      </c>
      <c r="M2232" s="129"/>
    </row>
    <row r="2233" spans="1:13" s="146" customFormat="1">
      <c r="A2233" s="183" t="s">
        <v>503</v>
      </c>
      <c r="B2233" s="196">
        <v>14</v>
      </c>
      <c r="C2233" s="195" t="str">
        <f ca="1">IF(OFFSET('IWP05'!Std9BillingInfo14, 0, 0, 1, 1) = 0, "", OFFSET('IWP05'!Std9BillingInfo14, 0, 0, 1, 1))</f>
        <v/>
      </c>
      <c r="D2233" s="172">
        <f ca="1">IF(OFFSET('IWP05'!Std9BillingInfo14, 0, 1, 1, 1)=DATE(1900,1,0), DATE(1900,1,1), OFFSET('IWP05'!Std9BillingInfo14, 0, 1, 1, 1))</f>
        <v>1</v>
      </c>
      <c r="E2233" s="172">
        <f ca="1">IF(OFFSET('IWP05'!Std9BillingInfo14, 0, 2, 1, 1)=DATE(1900,1,0), DATE(1900,1,1), OFFSET('IWP05'!Std9BillingInfo14, 0, 2, 1, 1))</f>
        <v>1</v>
      </c>
      <c r="F2233" s="187">
        <f ca="1">OFFSET('IWP05'!Std9BillingInfo14, 0, 3, 1, 1)</f>
        <v>0</v>
      </c>
      <c r="G2233" s="187">
        <f ca="1">OFFSET('IWP05'!Std9BillingInfo14, 10, 6, 1, 1)</f>
        <v>0</v>
      </c>
      <c r="H2233" s="187">
        <f ca="1">OFFSET('IWP05'!Std9BillingInfo14, 11, 6, 1, 1)</f>
        <v>0</v>
      </c>
      <c r="I2233" s="187">
        <f ca="1">OFFSET('IWP05'!Std9BillingInfo14, 10, 8, 1, 1)</f>
        <v>0</v>
      </c>
      <c r="J2233" s="187">
        <f ca="1">OFFSET('IWP05'!Std9BillingInfo14, 10, 11, 1, 1)</f>
        <v>0</v>
      </c>
      <c r="K2233" s="187">
        <f ca="1">OFFSET('IWP05'!Std9BillingInfo14, 10, 12, 1, 1)</f>
        <v>0</v>
      </c>
      <c r="L2233" s="179">
        <f ca="1">OFFSET('IWP05'!Std9BillingInfo14, 12, 8, 1, 1)</f>
        <v>0</v>
      </c>
      <c r="M2233" s="129"/>
    </row>
    <row r="2234" spans="1:13" s="146" customFormat="1">
      <c r="A2234" s="183" t="s">
        <v>503</v>
      </c>
      <c r="B2234" s="196">
        <v>15</v>
      </c>
      <c r="C2234" s="195" t="str">
        <f ca="1">IF(OFFSET('IWP05'!Std9BillingInfo15, 0, 0, 1, 1) = 0, "", OFFSET('IWP05'!Std9BillingInfo15, 0, 0, 1, 1))</f>
        <v/>
      </c>
      <c r="D2234" s="172">
        <f ca="1">IF(OFFSET('IWP05'!Std9BillingInfo15, 0, 1, 1, 1)=DATE(1900,1,0), DATE(1900,1,1), OFFSET('IWP05'!Std9BillingInfo15, 0, 1, 1, 1))</f>
        <v>1</v>
      </c>
      <c r="E2234" s="172">
        <f ca="1">IF(OFFSET('IWP05'!Std9BillingInfo15, 0, 2, 1, 1)=DATE(1900,1,0), DATE(1900,1,1), OFFSET('IWP05'!Std9BillingInfo15, 0, 2, 1, 1))</f>
        <v>1</v>
      </c>
      <c r="F2234" s="187">
        <f ca="1">OFFSET('IWP05'!Std9BillingInfo15, 0, 3, 1, 1)</f>
        <v>0</v>
      </c>
      <c r="G2234" s="187">
        <f ca="1">OFFSET('IWP05'!Std9BillingInfo15, 10, 6, 1, 1)</f>
        <v>0</v>
      </c>
      <c r="H2234" s="187">
        <f ca="1">OFFSET('IWP05'!Std9BillingInfo15, 11, 6, 1, 1)</f>
        <v>0</v>
      </c>
      <c r="I2234" s="187">
        <f ca="1">OFFSET('IWP05'!Std9BillingInfo15, 10, 8, 1, 1)</f>
        <v>0</v>
      </c>
      <c r="J2234" s="187">
        <f ca="1">OFFSET('IWP05'!Std9BillingInfo15, 10, 11, 1, 1)</f>
        <v>0</v>
      </c>
      <c r="K2234" s="187">
        <f ca="1">OFFSET('IWP05'!Std9BillingInfo15, 10, 12, 1, 1)</f>
        <v>0</v>
      </c>
      <c r="L2234" s="179">
        <f ca="1">OFFSET('IWP05'!Std9BillingInfo15, 12, 8, 1, 1)</f>
        <v>0</v>
      </c>
      <c r="M2234" s="129"/>
    </row>
    <row r="2235" spans="1:13" s="146" customFormat="1">
      <c r="A2235" s="183" t="s">
        <v>503</v>
      </c>
      <c r="B2235" s="196">
        <v>16</v>
      </c>
      <c r="C2235" s="195" t="str">
        <f ca="1">IF(OFFSET('IWP05'!Std9BillingInfo16, 0, 0, 1, 1) = 0, "", OFFSET('IWP05'!Std9BillingInfo16, 0, 0, 1, 1))</f>
        <v/>
      </c>
      <c r="D2235" s="172">
        <f ca="1">IF(OFFSET('IWP05'!Std9BillingInfo16, 0, 1, 1, 1)=DATE(1900,1,0), DATE(1900,1,1), OFFSET('IWP05'!Std9BillingInfo16, 0, 1, 1, 1))</f>
        <v>1</v>
      </c>
      <c r="E2235" s="172">
        <f ca="1">IF(OFFSET('IWP05'!Std9BillingInfo16, 0, 2, 1, 1)=DATE(1900,1,0), DATE(1900,1,1), OFFSET('IWP05'!Std9BillingInfo16, 0, 2, 1, 1))</f>
        <v>1</v>
      </c>
      <c r="F2235" s="187">
        <f ca="1">OFFSET('IWP05'!Std9BillingInfo16, 0, 3, 1, 1)</f>
        <v>0</v>
      </c>
      <c r="G2235" s="187">
        <f ca="1">OFFSET('IWP05'!Std9BillingInfo16, 10, 6, 1, 1)</f>
        <v>0</v>
      </c>
      <c r="H2235" s="187">
        <f ca="1">OFFSET('IWP05'!Std9BillingInfo16, 11, 6, 1, 1)</f>
        <v>0</v>
      </c>
      <c r="I2235" s="187">
        <f ca="1">OFFSET('IWP05'!Std9BillingInfo16, 10, 8, 1, 1)</f>
        <v>0</v>
      </c>
      <c r="J2235" s="187">
        <f ca="1">OFFSET('IWP05'!Std9BillingInfo16, 10, 11, 1, 1)</f>
        <v>0</v>
      </c>
      <c r="K2235" s="187">
        <f ca="1">OFFSET('IWP05'!Std9BillingInfo16, 10, 12, 1, 1)</f>
        <v>0</v>
      </c>
      <c r="L2235" s="179">
        <f ca="1">OFFSET('IWP05'!Std9BillingInfo16, 12, 8, 1, 1)</f>
        <v>0</v>
      </c>
      <c r="M2235" s="129"/>
    </row>
    <row r="2236" spans="1:13" s="146" customFormat="1">
      <c r="A2236" s="183" t="s">
        <v>503</v>
      </c>
      <c r="B2236" s="196">
        <v>17</v>
      </c>
      <c r="C2236" s="195" t="str">
        <f ca="1">IF(OFFSET('IWP05'!Std9BillingInfo17, 0, 0, 1, 1) = 0, "", OFFSET('IWP05'!Std9BillingInfo17, 0, 0, 1, 1))</f>
        <v/>
      </c>
      <c r="D2236" s="172">
        <f ca="1">IF(OFFSET('IWP05'!Std9BillingInfo17, 0, 1, 1, 1)=DATE(1900,1,0), DATE(1900,1,1), OFFSET('IWP05'!Std9BillingInfo17, 0, 1, 1, 1))</f>
        <v>1</v>
      </c>
      <c r="E2236" s="172">
        <f ca="1">IF(OFFSET('IWP05'!Std9BillingInfo17, 0, 2, 1, 1)=DATE(1900,1,0), DATE(1900,1,1), OFFSET('IWP05'!Std9BillingInfo17, 0, 2, 1, 1))</f>
        <v>1</v>
      </c>
      <c r="F2236" s="187">
        <f ca="1">OFFSET('IWP05'!Std9BillingInfo17, 0, 3, 1, 1)</f>
        <v>0</v>
      </c>
      <c r="G2236" s="187">
        <f ca="1">OFFSET('IWP05'!Std9BillingInfo17, 10, 6, 1, 1)</f>
        <v>0</v>
      </c>
      <c r="H2236" s="187">
        <f ca="1">OFFSET('IWP05'!Std9BillingInfo17, 11, 6, 1, 1)</f>
        <v>0</v>
      </c>
      <c r="I2236" s="187">
        <f ca="1">OFFSET('IWP05'!Std9BillingInfo17, 10, 8, 1, 1)</f>
        <v>0</v>
      </c>
      <c r="J2236" s="187">
        <f ca="1">OFFSET('IWP05'!Std9BillingInfo17, 10, 11, 1, 1)</f>
        <v>0</v>
      </c>
      <c r="K2236" s="187">
        <f ca="1">OFFSET('IWP05'!Std9BillingInfo17, 10, 12, 1, 1)</f>
        <v>0</v>
      </c>
      <c r="L2236" s="179">
        <f ca="1">OFFSET('IWP05'!Std9BillingInfo17, 12, 8, 1, 1)</f>
        <v>0</v>
      </c>
      <c r="M2236" s="129"/>
    </row>
    <row r="2237" spans="1:13" s="146" customFormat="1">
      <c r="A2237" s="183" t="s">
        <v>503</v>
      </c>
      <c r="B2237" s="196">
        <v>18</v>
      </c>
      <c r="C2237" s="195" t="str">
        <f ca="1">IF(OFFSET('IWP05'!Std9BillingInfo18, 0, 0, 1, 1) = 0, "", OFFSET('IWP05'!Std9BillingInfo18, 0, 0, 1, 1))</f>
        <v/>
      </c>
      <c r="D2237" s="172">
        <f ca="1">IF(OFFSET('IWP05'!Std9BillingInfo18, 0, 1, 1, 1)=DATE(1900,1,0), DATE(1900,1,1), OFFSET('IWP05'!Std9BillingInfo18, 0, 1, 1, 1))</f>
        <v>1</v>
      </c>
      <c r="E2237" s="172">
        <f ca="1">IF(OFFSET('IWP05'!Std9BillingInfo18, 0, 2, 1, 1)=DATE(1900,1,0), DATE(1900,1,1), OFFSET('IWP05'!Std9BillingInfo18, 0, 2, 1, 1))</f>
        <v>1</v>
      </c>
      <c r="F2237" s="187">
        <f ca="1">OFFSET('IWP05'!Std9BillingInfo18, 0, 3, 1, 1)</f>
        <v>0</v>
      </c>
      <c r="G2237" s="187">
        <f ca="1">OFFSET('IWP05'!Std9BillingInfo18, 10, 6, 1, 1)</f>
        <v>0</v>
      </c>
      <c r="H2237" s="187">
        <f ca="1">OFFSET('IWP05'!Std9BillingInfo18, 11, 6, 1, 1)</f>
        <v>0</v>
      </c>
      <c r="I2237" s="187">
        <f ca="1">OFFSET('IWP05'!Std9BillingInfo18, 10, 8, 1, 1)</f>
        <v>0</v>
      </c>
      <c r="J2237" s="187">
        <f ca="1">OFFSET('IWP05'!Std9BillingInfo18, 10, 11, 1, 1)</f>
        <v>0</v>
      </c>
      <c r="K2237" s="187">
        <f ca="1">OFFSET('IWP05'!Std9BillingInfo18, 10, 12, 1, 1)</f>
        <v>0</v>
      </c>
      <c r="L2237" s="179">
        <f ca="1">OFFSET('IWP05'!Std9BillingInfo18, 12, 8, 1, 1)</f>
        <v>0</v>
      </c>
      <c r="M2237" s="129"/>
    </row>
    <row r="2238" spans="1:13" s="146" customFormat="1">
      <c r="A2238" s="183" t="s">
        <v>504</v>
      </c>
      <c r="B2238" s="196">
        <v>1</v>
      </c>
      <c r="C2238" s="195" t="str">
        <f ca="1">IF(OFFSET('IWP06'!Std9BillingInfo01, 0, 0, 1, 1) = 0, "", OFFSET('IWP06'!Std9BillingInfo01, 0, 0, 1, 1))</f>
        <v/>
      </c>
      <c r="D2238" s="172">
        <f ca="1">IF(OFFSET('IWP06'!Std9BillingInfo01, 0, 1, 1, 1)=DATE(1900,1,0), DATE(1900,1,1), OFFSET('IWP06'!Std9BillingInfo01, 0, 1, 1, 1))</f>
        <v>1</v>
      </c>
      <c r="E2238" s="172">
        <f ca="1">IF(OFFSET('IWP06'!Std9BillingInfo01, 0, 2, 1, 1)=DATE(1900,1,0), DATE(1900,1,1), OFFSET('IWP06'!Std9BillingInfo01, 0, 2, 1, 1))</f>
        <v>1</v>
      </c>
      <c r="F2238" s="187">
        <f ca="1">OFFSET('IWP06'!Std9BillingInfo01, 0, 3, 1, 1)</f>
        <v>0</v>
      </c>
      <c r="G2238" s="187">
        <f ca="1">OFFSET('IWP06'!Std9BillingInfo01, 10, 6, 1, 1)</f>
        <v>0</v>
      </c>
      <c r="H2238" s="187">
        <f ca="1">OFFSET('IWP06'!Std9BillingInfo01, 11, 6, 1, 1)</f>
        <v>0</v>
      </c>
      <c r="I2238" s="187">
        <f ca="1">OFFSET('IWP06'!Std9BillingInfo01, 10, 8, 1, 1)</f>
        <v>0</v>
      </c>
      <c r="J2238" s="187">
        <f ca="1">OFFSET('IWP06'!Std9BillingInfo01, 10, 11, 1, 1)</f>
        <v>0</v>
      </c>
      <c r="K2238" s="187">
        <f ca="1">OFFSET('IWP06'!Std9BillingInfo01, 10, 12, 1, 1)</f>
        <v>0</v>
      </c>
      <c r="L2238" s="179">
        <f ca="1">OFFSET('IWP06'!Std9BillingInfo01, 12, 8, 1, 1)</f>
        <v>0</v>
      </c>
      <c r="M2238" s="129"/>
    </row>
    <row r="2239" spans="1:13" s="146" customFormat="1">
      <c r="A2239" s="183" t="s">
        <v>504</v>
      </c>
      <c r="B2239" s="196">
        <v>2</v>
      </c>
      <c r="C2239" s="195" t="str">
        <f ca="1">IF(OFFSET('IWP06'!Std9BillingInfo02, 0, 0, 1, 1) = 0, "", OFFSET('IWP06'!Std9BillingInfo02, 0, 0, 1, 1))</f>
        <v/>
      </c>
      <c r="D2239" s="172">
        <f ca="1">IF(OFFSET('IWP06'!Std9BillingInfo02, 0, 1, 1, 1)=DATE(1900,1,0), DATE(1900,1,1), OFFSET('IWP06'!Std9BillingInfo02, 0, 1, 1, 1))</f>
        <v>1</v>
      </c>
      <c r="E2239" s="172">
        <f ca="1">IF(OFFSET('IWP06'!Std9BillingInfo02, 0, 2, 1, 1)=DATE(1900,1,0), DATE(1900,1,1), OFFSET('IWP06'!Std9BillingInfo02, 0, 2, 1, 1))</f>
        <v>1</v>
      </c>
      <c r="F2239" s="187">
        <f ca="1">OFFSET('IWP06'!Std9BillingInfo02, 0, 3, 1, 1)</f>
        <v>0</v>
      </c>
      <c r="G2239" s="187">
        <f ca="1">OFFSET('IWP06'!Std9BillingInfo02, 10, 6, 1, 1)</f>
        <v>0</v>
      </c>
      <c r="H2239" s="187">
        <f ca="1">OFFSET('IWP06'!Std9BillingInfo02, 11, 6, 1, 1)</f>
        <v>0</v>
      </c>
      <c r="I2239" s="187">
        <f ca="1">OFFSET('IWP06'!Std9BillingInfo02, 10, 8, 1, 1)</f>
        <v>0</v>
      </c>
      <c r="J2239" s="187">
        <f ca="1">OFFSET('IWP06'!Std9BillingInfo02, 10, 11, 1, 1)</f>
        <v>0</v>
      </c>
      <c r="K2239" s="187">
        <f ca="1">OFFSET('IWP06'!Std9BillingInfo02, 10, 12, 1, 1)</f>
        <v>0</v>
      </c>
      <c r="L2239" s="179">
        <f ca="1">OFFSET('IWP06'!Std9BillingInfo02, 12, 8, 1, 1)</f>
        <v>0</v>
      </c>
      <c r="M2239" s="129"/>
    </row>
    <row r="2240" spans="1:13" s="146" customFormat="1">
      <c r="A2240" s="183" t="s">
        <v>504</v>
      </c>
      <c r="B2240" s="196">
        <v>3</v>
      </c>
      <c r="C2240" s="195" t="str">
        <f ca="1">IF(OFFSET('IWP06'!Std9BillingInfo03, 0, 0, 1, 1) = 0, "", OFFSET('IWP06'!Std9BillingInfo03, 0, 0, 1, 1))</f>
        <v/>
      </c>
      <c r="D2240" s="172">
        <f ca="1">IF(OFFSET('IWP06'!Std9BillingInfo03, 0, 1, 1, 1)=DATE(1900,1,0), DATE(1900,1,1), OFFSET('IWP06'!Std9BillingInfo03, 0, 1, 1, 1))</f>
        <v>1</v>
      </c>
      <c r="E2240" s="172">
        <f ca="1">IF(OFFSET('IWP06'!Std9BillingInfo03, 0, 2, 1, 1)=DATE(1900,1,0), DATE(1900,1,1), OFFSET('IWP06'!Std9BillingInfo03, 0, 2, 1, 1))</f>
        <v>1</v>
      </c>
      <c r="F2240" s="187">
        <f ca="1">OFFSET('IWP06'!Std9BillingInfo03, 0, 3, 1, 1)</f>
        <v>0</v>
      </c>
      <c r="G2240" s="187">
        <f ca="1">OFFSET('IWP06'!Std9BillingInfo03, 10, 6, 1, 1)</f>
        <v>0</v>
      </c>
      <c r="H2240" s="187">
        <f ca="1">OFFSET('IWP06'!Std9BillingInfo03, 11, 6, 1, 1)</f>
        <v>0</v>
      </c>
      <c r="I2240" s="187">
        <f ca="1">OFFSET('IWP06'!Std9BillingInfo03, 10, 8, 1, 1)</f>
        <v>0</v>
      </c>
      <c r="J2240" s="187">
        <f ca="1">OFFSET('IWP06'!Std9BillingInfo03, 10, 11, 1, 1)</f>
        <v>0</v>
      </c>
      <c r="K2240" s="187">
        <f ca="1">OFFSET('IWP06'!Std9BillingInfo03, 10, 12, 1, 1)</f>
        <v>0</v>
      </c>
      <c r="L2240" s="179">
        <f ca="1">OFFSET('IWP06'!Std9BillingInfo03, 12, 8, 1, 1)</f>
        <v>0</v>
      </c>
      <c r="M2240" s="129"/>
    </row>
    <row r="2241" spans="1:13" s="146" customFormat="1">
      <c r="A2241" s="183" t="s">
        <v>504</v>
      </c>
      <c r="B2241" s="196">
        <v>4</v>
      </c>
      <c r="C2241" s="195" t="str">
        <f ca="1">IF(OFFSET('IWP06'!Std9BillingInfo04, 0, 0, 1, 1) = 0, "", OFFSET('IWP06'!Std9BillingInfo04, 0, 0, 1, 1))</f>
        <v/>
      </c>
      <c r="D2241" s="172">
        <f ca="1">IF(OFFSET('IWP06'!Std9BillingInfo04, 0, 1, 1, 1)=DATE(1900,1,0), DATE(1900,1,1), OFFSET('IWP06'!Std9BillingInfo04, 0, 1, 1, 1))</f>
        <v>1</v>
      </c>
      <c r="E2241" s="172">
        <f ca="1">IF(OFFSET('IWP06'!Std9BillingInfo04, 0, 2, 1, 1)=DATE(1900,1,0), DATE(1900,1,1), OFFSET('IWP06'!Std9BillingInfo04, 0, 2, 1, 1))</f>
        <v>1</v>
      </c>
      <c r="F2241" s="187">
        <f ca="1">OFFSET('IWP06'!Std9BillingInfo04, 0, 3, 1, 1)</f>
        <v>0</v>
      </c>
      <c r="G2241" s="187">
        <f ca="1">OFFSET('IWP06'!Std9BillingInfo04, 10, 6, 1, 1)</f>
        <v>0</v>
      </c>
      <c r="H2241" s="187">
        <f ca="1">OFFSET('IWP06'!Std9BillingInfo04, 11, 6, 1, 1)</f>
        <v>0</v>
      </c>
      <c r="I2241" s="187">
        <f ca="1">OFFSET('IWP06'!Std9BillingInfo04, 10, 8, 1, 1)</f>
        <v>0</v>
      </c>
      <c r="J2241" s="187">
        <f ca="1">OFFSET('IWP06'!Std9BillingInfo04, 10, 11, 1, 1)</f>
        <v>0</v>
      </c>
      <c r="K2241" s="187">
        <f ca="1">OFFSET('IWP06'!Std9BillingInfo04, 10, 12, 1, 1)</f>
        <v>0</v>
      </c>
      <c r="L2241" s="179">
        <f ca="1">OFFSET('IWP06'!Std9BillingInfo04, 12, 8, 1, 1)</f>
        <v>0</v>
      </c>
      <c r="M2241" s="129"/>
    </row>
    <row r="2242" spans="1:13" s="146" customFormat="1">
      <c r="A2242" s="183" t="s">
        <v>504</v>
      </c>
      <c r="B2242" s="196">
        <v>5</v>
      </c>
      <c r="C2242" s="195" t="str">
        <f ca="1">IF(OFFSET('IWP06'!Std9BillingInfo05, 0, 0, 1, 1) = 0, "", OFFSET('IWP06'!Std9BillingInfo05, 0, 0, 1, 1))</f>
        <v/>
      </c>
      <c r="D2242" s="172">
        <f ca="1">IF(OFFSET('IWP06'!Std9BillingInfo05, 0, 1, 1, 1)=DATE(1900,1,0), DATE(1900,1,1), OFFSET('IWP06'!Std9BillingInfo05, 0, 1, 1, 1))</f>
        <v>1</v>
      </c>
      <c r="E2242" s="172">
        <f ca="1">IF(OFFSET('IWP06'!Std9BillingInfo05, 0, 2, 1, 1)=DATE(1900,1,0), DATE(1900,1,1), OFFSET('IWP06'!Std9BillingInfo05, 0, 2, 1, 1))</f>
        <v>1</v>
      </c>
      <c r="F2242" s="187">
        <f ca="1">OFFSET('IWP06'!Std9BillingInfo05, 0, 3, 1, 1)</f>
        <v>0</v>
      </c>
      <c r="G2242" s="187">
        <f ca="1">OFFSET('IWP06'!Std9BillingInfo05, 10, 6, 1, 1)</f>
        <v>0</v>
      </c>
      <c r="H2242" s="187">
        <f ca="1">OFFSET('IWP06'!Std9BillingInfo05, 11, 6, 1, 1)</f>
        <v>0</v>
      </c>
      <c r="I2242" s="187">
        <f ca="1">OFFSET('IWP06'!Std9BillingInfo05, 10, 8, 1, 1)</f>
        <v>0</v>
      </c>
      <c r="J2242" s="187">
        <f ca="1">OFFSET('IWP06'!Std9BillingInfo05, 10, 11, 1, 1)</f>
        <v>0</v>
      </c>
      <c r="K2242" s="187">
        <f ca="1">OFFSET('IWP06'!Std9BillingInfo05, 10, 12, 1, 1)</f>
        <v>0</v>
      </c>
      <c r="L2242" s="179">
        <f ca="1">OFFSET('IWP06'!Std9BillingInfo05, 12, 8, 1, 1)</f>
        <v>0</v>
      </c>
      <c r="M2242" s="129"/>
    </row>
    <row r="2243" spans="1:13" s="146" customFormat="1">
      <c r="A2243" s="183" t="s">
        <v>504</v>
      </c>
      <c r="B2243" s="196">
        <v>6</v>
      </c>
      <c r="C2243" s="195" t="str">
        <f ca="1">IF(OFFSET('IWP06'!Std9BillingInfo06, 0, 0, 1, 1) = 0, "", OFFSET('IWP06'!Std9BillingInfo06, 0, 0, 1, 1))</f>
        <v/>
      </c>
      <c r="D2243" s="172">
        <f ca="1">IF(OFFSET('IWP06'!Std9BillingInfo06, 0, 1, 1, 1)=DATE(1900,1,0), DATE(1900,1,1), OFFSET('IWP06'!Std9BillingInfo06, 0, 1, 1, 1))</f>
        <v>1</v>
      </c>
      <c r="E2243" s="172">
        <f ca="1">IF(OFFSET('IWP06'!Std9BillingInfo06, 0, 2, 1, 1)=DATE(1900,1,0), DATE(1900,1,1), OFFSET('IWP06'!Std9BillingInfo06, 0, 2, 1, 1))</f>
        <v>1</v>
      </c>
      <c r="F2243" s="187">
        <f ca="1">OFFSET('IWP06'!Std9BillingInfo06, 0, 3, 1, 1)</f>
        <v>0</v>
      </c>
      <c r="G2243" s="187">
        <f ca="1">OFFSET('IWP06'!Std9BillingInfo06, 10, 6, 1, 1)</f>
        <v>0</v>
      </c>
      <c r="H2243" s="187">
        <f ca="1">OFFSET('IWP06'!Std9BillingInfo06, 11, 6, 1, 1)</f>
        <v>0</v>
      </c>
      <c r="I2243" s="187">
        <f ca="1">OFFSET('IWP06'!Std9BillingInfo06, 10, 8, 1, 1)</f>
        <v>0</v>
      </c>
      <c r="J2243" s="187">
        <f ca="1">OFFSET('IWP06'!Std9BillingInfo06, 10, 11, 1, 1)</f>
        <v>0</v>
      </c>
      <c r="K2243" s="187">
        <f ca="1">OFFSET('IWP06'!Std9BillingInfo06, 10, 12, 1, 1)</f>
        <v>0</v>
      </c>
      <c r="L2243" s="179">
        <f ca="1">OFFSET('IWP06'!Std9BillingInfo06, 12, 8, 1, 1)</f>
        <v>0</v>
      </c>
      <c r="M2243" s="129"/>
    </row>
    <row r="2244" spans="1:13" s="146" customFormat="1">
      <c r="A2244" s="183" t="s">
        <v>504</v>
      </c>
      <c r="B2244" s="196">
        <v>7</v>
      </c>
      <c r="C2244" s="195" t="str">
        <f ca="1">IF(OFFSET('IWP06'!Std9BillingInfo07, 0, 0, 1, 1) = 0, "", OFFSET('IWP06'!Std9BillingInfo07, 0, 0, 1, 1))</f>
        <v/>
      </c>
      <c r="D2244" s="172">
        <f ca="1">IF(OFFSET('IWP06'!Std9BillingInfo07, 0, 1, 1, 1)=DATE(1900,1,0), DATE(1900,1,1), OFFSET('IWP06'!Std9BillingInfo07, 0, 1, 1, 1))</f>
        <v>1</v>
      </c>
      <c r="E2244" s="172">
        <f ca="1">IF(OFFSET('IWP06'!Std9BillingInfo07, 0, 2, 1, 1)=DATE(1900,1,0), DATE(1900,1,1), OFFSET('IWP06'!Std9BillingInfo07, 0, 2, 1, 1))</f>
        <v>1</v>
      </c>
      <c r="F2244" s="187">
        <f ca="1">OFFSET('IWP06'!Std9BillingInfo07, 0, 3, 1, 1)</f>
        <v>0</v>
      </c>
      <c r="G2244" s="187">
        <f ca="1">OFFSET('IWP06'!Std9BillingInfo07, 10, 6, 1, 1)</f>
        <v>0</v>
      </c>
      <c r="H2244" s="187">
        <f ca="1">OFFSET('IWP06'!Std9BillingInfo07, 11, 6, 1, 1)</f>
        <v>0</v>
      </c>
      <c r="I2244" s="187">
        <f ca="1">OFFSET('IWP06'!Std9BillingInfo07, 10, 8, 1, 1)</f>
        <v>0</v>
      </c>
      <c r="J2244" s="187">
        <f ca="1">OFFSET('IWP06'!Std9BillingInfo07, 10, 11, 1, 1)</f>
        <v>0</v>
      </c>
      <c r="K2244" s="187">
        <f ca="1">OFFSET('IWP06'!Std9BillingInfo07, 10, 12, 1, 1)</f>
        <v>0</v>
      </c>
      <c r="L2244" s="179">
        <f ca="1">OFFSET('IWP06'!Std9BillingInfo07, 12, 8, 1, 1)</f>
        <v>0</v>
      </c>
      <c r="M2244" s="129"/>
    </row>
    <row r="2245" spans="1:13" s="146" customFormat="1">
      <c r="A2245" s="183" t="s">
        <v>504</v>
      </c>
      <c r="B2245" s="196">
        <v>8</v>
      </c>
      <c r="C2245" s="195" t="str">
        <f ca="1">IF(OFFSET('IWP06'!Std9BillingInfo08, 0, 0, 1, 1) = 0, "", OFFSET('IWP06'!Std9BillingInfo08, 0, 0, 1, 1))</f>
        <v/>
      </c>
      <c r="D2245" s="172">
        <f ca="1">IF(OFFSET('IWP06'!Std9BillingInfo08, 0, 1, 1, 1)=DATE(1900,1,0), DATE(1900,1,1), OFFSET('IWP06'!Std9BillingInfo08, 0, 1, 1, 1))</f>
        <v>1</v>
      </c>
      <c r="E2245" s="172">
        <f ca="1">IF(OFFSET('IWP06'!Std9BillingInfo08, 0, 2, 1, 1)=DATE(1900,1,0), DATE(1900,1,1), OFFSET('IWP06'!Std9BillingInfo08, 0, 2, 1, 1))</f>
        <v>1</v>
      </c>
      <c r="F2245" s="187">
        <f ca="1">OFFSET('IWP06'!Std9BillingInfo08, 0, 3, 1, 1)</f>
        <v>0</v>
      </c>
      <c r="G2245" s="187">
        <f ca="1">OFFSET('IWP06'!Std9BillingInfo08, 10, 6, 1, 1)</f>
        <v>0</v>
      </c>
      <c r="H2245" s="187">
        <f ca="1">OFFSET('IWP06'!Std9BillingInfo08, 11, 6, 1, 1)</f>
        <v>0</v>
      </c>
      <c r="I2245" s="187">
        <f ca="1">OFFSET('IWP06'!Std9BillingInfo08, 10, 8, 1, 1)</f>
        <v>0</v>
      </c>
      <c r="J2245" s="187">
        <f ca="1">OFFSET('IWP06'!Std9BillingInfo08, 10, 11, 1, 1)</f>
        <v>0</v>
      </c>
      <c r="K2245" s="187">
        <f ca="1">OFFSET('IWP06'!Std9BillingInfo08, 10, 12, 1, 1)</f>
        <v>0</v>
      </c>
      <c r="L2245" s="179">
        <f ca="1">OFFSET('IWP06'!Std9BillingInfo08, 12, 8, 1, 1)</f>
        <v>0</v>
      </c>
      <c r="M2245" s="129"/>
    </row>
    <row r="2246" spans="1:13" s="146" customFormat="1">
      <c r="A2246" s="183" t="s">
        <v>504</v>
      </c>
      <c r="B2246" s="196">
        <v>9</v>
      </c>
      <c r="C2246" s="195" t="str">
        <f ca="1">IF(OFFSET('IWP06'!Std9BillingInfo09, 0, 0, 1, 1) = 0, "", OFFSET('IWP06'!Std9BillingInfo09, 0, 0, 1, 1))</f>
        <v/>
      </c>
      <c r="D2246" s="172">
        <f ca="1">IF(OFFSET('IWP06'!Std9BillingInfo09, 0, 1, 1, 1)=DATE(1900,1,0), DATE(1900,1,1), OFFSET('IWP06'!Std9BillingInfo09, 0, 1, 1, 1))</f>
        <v>1</v>
      </c>
      <c r="E2246" s="172">
        <f ca="1">IF(OFFSET('IWP06'!Std9BillingInfo09, 0, 2, 1, 1)=DATE(1900,1,0), DATE(1900,1,1), OFFSET('IWP06'!Std9BillingInfo09, 0, 2, 1, 1))</f>
        <v>1</v>
      </c>
      <c r="F2246" s="187">
        <f ca="1">OFFSET('IWP06'!Std9BillingInfo09, 0, 3, 1, 1)</f>
        <v>0</v>
      </c>
      <c r="G2246" s="187">
        <f ca="1">OFFSET('IWP06'!Std9BillingInfo09, 10, 6, 1, 1)</f>
        <v>0</v>
      </c>
      <c r="H2246" s="187">
        <f ca="1">OFFSET('IWP06'!Std9BillingInfo09, 11, 6, 1, 1)</f>
        <v>0</v>
      </c>
      <c r="I2246" s="187">
        <f ca="1">OFFSET('IWP06'!Std9BillingInfo09, 10, 8, 1, 1)</f>
        <v>0</v>
      </c>
      <c r="J2246" s="187">
        <f ca="1">OFFSET('IWP06'!Std9BillingInfo09, 10, 11, 1, 1)</f>
        <v>0</v>
      </c>
      <c r="K2246" s="187">
        <f ca="1">OFFSET('IWP06'!Std9BillingInfo09, 10, 12, 1, 1)</f>
        <v>0</v>
      </c>
      <c r="L2246" s="179">
        <f ca="1">OFFSET('IWP06'!Std9BillingInfo09, 12, 8, 1, 1)</f>
        <v>0</v>
      </c>
      <c r="M2246" s="129"/>
    </row>
    <row r="2247" spans="1:13" s="146" customFormat="1">
      <c r="A2247" s="183" t="s">
        <v>504</v>
      </c>
      <c r="B2247" s="196">
        <v>10</v>
      </c>
      <c r="C2247" s="195" t="str">
        <f ca="1">IF(OFFSET('IWP06'!Std9BillingInfo10, 0, 0, 1, 1) = 0, "", OFFSET('IWP06'!Std9BillingInfo10, 0, 0, 1, 1))</f>
        <v/>
      </c>
      <c r="D2247" s="172">
        <f ca="1">IF(OFFSET('IWP06'!Std9BillingInfo10, 0, 1, 1, 1)=DATE(1900,1,0), DATE(1900,1,1), OFFSET('IWP06'!Std9BillingInfo10, 0, 1, 1, 1))</f>
        <v>1</v>
      </c>
      <c r="E2247" s="172">
        <f ca="1">IF(OFFSET('IWP06'!Std9BillingInfo10, 0, 2, 1, 1)=DATE(1900,1,0), DATE(1900,1,1), OFFSET('IWP06'!Std9BillingInfo10, 0, 2, 1, 1))</f>
        <v>1</v>
      </c>
      <c r="F2247" s="187">
        <f ca="1">OFFSET('IWP06'!Std9BillingInfo10, 0, 3, 1, 1)</f>
        <v>0</v>
      </c>
      <c r="G2247" s="187">
        <f ca="1">OFFSET('IWP06'!Std9BillingInfo10, 10, 6, 1, 1)</f>
        <v>0</v>
      </c>
      <c r="H2247" s="187">
        <f ca="1">OFFSET('IWP06'!Std9BillingInfo10, 11, 6, 1, 1)</f>
        <v>0</v>
      </c>
      <c r="I2247" s="187">
        <f ca="1">OFFSET('IWP06'!Std9BillingInfo10, 10, 8, 1, 1)</f>
        <v>0</v>
      </c>
      <c r="J2247" s="187">
        <f ca="1">OFFSET('IWP06'!Std9BillingInfo10, 10, 11, 1, 1)</f>
        <v>0</v>
      </c>
      <c r="K2247" s="187">
        <f ca="1">OFFSET('IWP06'!Std9BillingInfo10, 10, 12, 1, 1)</f>
        <v>0</v>
      </c>
      <c r="L2247" s="179">
        <f ca="1">OFFSET('IWP06'!Std9BillingInfo10, 12, 8, 1, 1)</f>
        <v>0</v>
      </c>
      <c r="M2247" s="129"/>
    </row>
    <row r="2248" spans="1:13" s="146" customFormat="1">
      <c r="A2248" s="183" t="s">
        <v>504</v>
      </c>
      <c r="B2248" s="196">
        <v>11</v>
      </c>
      <c r="C2248" s="195" t="str">
        <f ca="1">IF(OFFSET('IWP06'!Std9BillingInfo11, 0, 0, 1, 1) = 0, "", OFFSET('IWP06'!Std9BillingInfo11, 0, 0, 1, 1))</f>
        <v/>
      </c>
      <c r="D2248" s="172">
        <f ca="1">IF(OFFSET('IWP06'!Std9BillingInfo11, 0, 1, 1, 1)=DATE(1900,1,0), DATE(1900,1,1), OFFSET('IWP06'!Std9BillingInfo11, 0, 1, 1, 1))</f>
        <v>1</v>
      </c>
      <c r="E2248" s="172">
        <f ca="1">IF(OFFSET('IWP06'!Std9BillingInfo11, 0, 2, 1, 1)=DATE(1900,1,0), DATE(1900,1,1), OFFSET('IWP06'!Std9BillingInfo11, 0, 2, 1, 1))</f>
        <v>1</v>
      </c>
      <c r="F2248" s="187">
        <f ca="1">OFFSET('IWP06'!Std9BillingInfo11, 0, 3, 1, 1)</f>
        <v>0</v>
      </c>
      <c r="G2248" s="187">
        <f ca="1">OFFSET('IWP06'!Std9BillingInfo11, 10, 6, 1, 1)</f>
        <v>0</v>
      </c>
      <c r="H2248" s="187">
        <f ca="1">OFFSET('IWP06'!Std9BillingInfo11, 11, 6, 1, 1)</f>
        <v>0</v>
      </c>
      <c r="I2248" s="187">
        <f ca="1">OFFSET('IWP06'!Std9BillingInfo11, 10, 8, 1, 1)</f>
        <v>0</v>
      </c>
      <c r="J2248" s="187">
        <f ca="1">OFFSET('IWP06'!Std9BillingInfo11, 10, 11, 1, 1)</f>
        <v>0</v>
      </c>
      <c r="K2248" s="187">
        <f ca="1">OFFSET('IWP06'!Std9BillingInfo11, 10, 12, 1, 1)</f>
        <v>0</v>
      </c>
      <c r="L2248" s="179">
        <f ca="1">OFFSET('IWP06'!Std9BillingInfo11, 12, 8, 1, 1)</f>
        <v>0</v>
      </c>
      <c r="M2248" s="129"/>
    </row>
    <row r="2249" spans="1:13" s="146" customFormat="1">
      <c r="A2249" s="183" t="s">
        <v>504</v>
      </c>
      <c r="B2249" s="196">
        <v>12</v>
      </c>
      <c r="C2249" s="195" t="str">
        <f ca="1">IF(OFFSET('IWP06'!Std9BillingInfo12, 0, 0, 1, 1) = 0, "", OFFSET('IWP06'!Std9BillingInfo12, 0, 0, 1, 1))</f>
        <v/>
      </c>
      <c r="D2249" s="172">
        <f ca="1">IF(OFFSET('IWP06'!Std9BillingInfo12, 0, 1, 1, 1)=DATE(1900,1,0), DATE(1900,1,1), OFFSET('IWP06'!Std9BillingInfo12, 0, 1, 1, 1))</f>
        <v>1</v>
      </c>
      <c r="E2249" s="172">
        <f ca="1">IF(OFFSET('IWP06'!Std9BillingInfo12, 0, 2, 1, 1)=DATE(1900,1,0), DATE(1900,1,1), OFFSET('IWP06'!Std9BillingInfo12, 0, 2, 1, 1))</f>
        <v>1</v>
      </c>
      <c r="F2249" s="187">
        <f ca="1">OFFSET('IWP06'!Std9BillingInfo12, 0, 3, 1, 1)</f>
        <v>0</v>
      </c>
      <c r="G2249" s="187">
        <f ca="1">OFFSET('IWP06'!Std9BillingInfo12, 10, 6, 1, 1)</f>
        <v>0</v>
      </c>
      <c r="H2249" s="187">
        <f ca="1">OFFSET('IWP06'!Std9BillingInfo12, 11, 6, 1, 1)</f>
        <v>0</v>
      </c>
      <c r="I2249" s="187">
        <f ca="1">OFFSET('IWP06'!Std9BillingInfo12, 10, 8, 1, 1)</f>
        <v>0</v>
      </c>
      <c r="J2249" s="187">
        <f ca="1">OFFSET('IWP06'!Std9BillingInfo12, 10, 11, 1, 1)</f>
        <v>0</v>
      </c>
      <c r="K2249" s="187">
        <f ca="1">OFFSET('IWP06'!Std9BillingInfo12, 10, 12, 1, 1)</f>
        <v>0</v>
      </c>
      <c r="L2249" s="179">
        <f ca="1">OFFSET('IWP06'!Std9BillingInfo12, 12, 8, 1, 1)</f>
        <v>0</v>
      </c>
      <c r="M2249" s="129"/>
    </row>
    <row r="2250" spans="1:13" s="146" customFormat="1">
      <c r="A2250" s="183" t="s">
        <v>504</v>
      </c>
      <c r="B2250" s="196">
        <v>13</v>
      </c>
      <c r="C2250" s="195" t="str">
        <f ca="1">IF(OFFSET('IWP06'!Std9BillingInfo13, 0, 0, 1, 1) = 0, "", OFFSET('IWP06'!Std9BillingInfo13, 0, 0, 1, 1))</f>
        <v/>
      </c>
      <c r="D2250" s="172">
        <f ca="1">IF(OFFSET('IWP06'!Std9BillingInfo13, 0, 1, 1, 1)=DATE(1900,1,0), DATE(1900,1,1), OFFSET('IWP06'!Std9BillingInfo13, 0, 1, 1, 1))</f>
        <v>1</v>
      </c>
      <c r="E2250" s="172">
        <f ca="1">IF(OFFSET('IWP06'!Std9BillingInfo13, 0, 2, 1, 1)=DATE(1900,1,0), DATE(1900,1,1), OFFSET('IWP06'!Std9BillingInfo13, 0, 2, 1, 1))</f>
        <v>1</v>
      </c>
      <c r="F2250" s="187">
        <f ca="1">OFFSET('IWP06'!Std9BillingInfo13, 0, 3, 1, 1)</f>
        <v>0</v>
      </c>
      <c r="G2250" s="187">
        <f ca="1">OFFSET('IWP06'!Std9BillingInfo13, 10, 6, 1, 1)</f>
        <v>0</v>
      </c>
      <c r="H2250" s="187">
        <f ca="1">OFFSET('IWP06'!Std9BillingInfo13, 11, 6, 1, 1)</f>
        <v>0</v>
      </c>
      <c r="I2250" s="187">
        <f ca="1">OFFSET('IWP06'!Std9BillingInfo13, 10, 8, 1, 1)</f>
        <v>0</v>
      </c>
      <c r="J2250" s="187">
        <f ca="1">OFFSET('IWP06'!Std9BillingInfo13, 10, 11, 1, 1)</f>
        <v>0</v>
      </c>
      <c r="K2250" s="187">
        <f ca="1">OFFSET('IWP06'!Std9BillingInfo13, 10, 12, 1, 1)</f>
        <v>0</v>
      </c>
      <c r="L2250" s="179">
        <f ca="1">OFFSET('IWP06'!Std9BillingInfo13, 12, 8, 1, 1)</f>
        <v>0</v>
      </c>
      <c r="M2250" s="129"/>
    </row>
    <row r="2251" spans="1:13" s="146" customFormat="1">
      <c r="A2251" s="183" t="s">
        <v>504</v>
      </c>
      <c r="B2251" s="196">
        <v>14</v>
      </c>
      <c r="C2251" s="195" t="str">
        <f ca="1">IF(OFFSET('IWP06'!Std9BillingInfo14, 0, 0, 1, 1) = 0, "", OFFSET('IWP06'!Std9BillingInfo14, 0, 0, 1, 1))</f>
        <v/>
      </c>
      <c r="D2251" s="172">
        <f ca="1">IF(OFFSET('IWP06'!Std9BillingInfo14, 0, 1, 1, 1)=DATE(1900,1,0), DATE(1900,1,1), OFFSET('IWP06'!Std9BillingInfo14, 0, 1, 1, 1))</f>
        <v>1</v>
      </c>
      <c r="E2251" s="172">
        <f ca="1">IF(OFFSET('IWP06'!Std9BillingInfo14, 0, 2, 1, 1)=DATE(1900,1,0), DATE(1900,1,1), OFFSET('IWP06'!Std9BillingInfo14, 0, 2, 1, 1))</f>
        <v>1</v>
      </c>
      <c r="F2251" s="187">
        <f ca="1">OFFSET('IWP06'!Std9BillingInfo14, 0, 3, 1, 1)</f>
        <v>0</v>
      </c>
      <c r="G2251" s="187">
        <f ca="1">OFFSET('IWP06'!Std9BillingInfo14, 10, 6, 1, 1)</f>
        <v>0</v>
      </c>
      <c r="H2251" s="187">
        <f ca="1">OFFSET('IWP06'!Std9BillingInfo14, 11, 6, 1, 1)</f>
        <v>0</v>
      </c>
      <c r="I2251" s="187">
        <f ca="1">OFFSET('IWP06'!Std9BillingInfo14, 10, 8, 1, 1)</f>
        <v>0</v>
      </c>
      <c r="J2251" s="187">
        <f ca="1">OFFSET('IWP06'!Std9BillingInfo14, 10, 11, 1, 1)</f>
        <v>0</v>
      </c>
      <c r="K2251" s="187">
        <f ca="1">OFFSET('IWP06'!Std9BillingInfo14, 10, 12, 1, 1)</f>
        <v>0</v>
      </c>
      <c r="L2251" s="179">
        <f ca="1">OFFSET('IWP06'!Std9BillingInfo14, 12, 8, 1, 1)</f>
        <v>0</v>
      </c>
      <c r="M2251" s="129"/>
    </row>
    <row r="2252" spans="1:13" s="146" customFormat="1">
      <c r="A2252" s="183" t="s">
        <v>504</v>
      </c>
      <c r="B2252" s="196">
        <v>15</v>
      </c>
      <c r="C2252" s="195" t="str">
        <f ca="1">IF(OFFSET('IWP06'!Std9BillingInfo15, 0, 0, 1, 1) = 0, "", OFFSET('IWP06'!Std9BillingInfo15, 0, 0, 1, 1))</f>
        <v/>
      </c>
      <c r="D2252" s="172">
        <f ca="1">IF(OFFSET('IWP06'!Std9BillingInfo15, 0, 1, 1, 1)=DATE(1900,1,0), DATE(1900,1,1), OFFSET('IWP06'!Std9BillingInfo15, 0, 1, 1, 1))</f>
        <v>1</v>
      </c>
      <c r="E2252" s="172">
        <f ca="1">IF(OFFSET('IWP06'!Std9BillingInfo15, 0, 2, 1, 1)=DATE(1900,1,0), DATE(1900,1,1), OFFSET('IWP06'!Std9BillingInfo15, 0, 2, 1, 1))</f>
        <v>1</v>
      </c>
      <c r="F2252" s="187">
        <f ca="1">OFFSET('IWP06'!Std9BillingInfo15, 0, 3, 1, 1)</f>
        <v>0</v>
      </c>
      <c r="G2252" s="187">
        <f ca="1">OFFSET('IWP06'!Std9BillingInfo15, 10, 6, 1, 1)</f>
        <v>0</v>
      </c>
      <c r="H2252" s="187">
        <f ca="1">OFFSET('IWP06'!Std9BillingInfo15, 11, 6, 1, 1)</f>
        <v>0</v>
      </c>
      <c r="I2252" s="187">
        <f ca="1">OFFSET('IWP06'!Std9BillingInfo15, 10, 8, 1, 1)</f>
        <v>0</v>
      </c>
      <c r="J2252" s="187">
        <f ca="1">OFFSET('IWP06'!Std9BillingInfo15, 10, 11, 1, 1)</f>
        <v>0</v>
      </c>
      <c r="K2252" s="187">
        <f ca="1">OFFSET('IWP06'!Std9BillingInfo15, 10, 12, 1, 1)</f>
        <v>0</v>
      </c>
      <c r="L2252" s="179">
        <f ca="1">OFFSET('IWP06'!Std9BillingInfo15, 12, 8, 1, 1)</f>
        <v>0</v>
      </c>
      <c r="M2252" s="129"/>
    </row>
    <row r="2253" spans="1:13" s="146" customFormat="1">
      <c r="A2253" s="183" t="s">
        <v>504</v>
      </c>
      <c r="B2253" s="196">
        <v>16</v>
      </c>
      <c r="C2253" s="195" t="str">
        <f ca="1">IF(OFFSET('IWP06'!Std9BillingInfo16, 0, 0, 1, 1) = 0, "", OFFSET('IWP06'!Std9BillingInfo16, 0, 0, 1, 1))</f>
        <v/>
      </c>
      <c r="D2253" s="172">
        <f ca="1">IF(OFFSET('IWP06'!Std9BillingInfo16, 0, 1, 1, 1)=DATE(1900,1,0), DATE(1900,1,1), OFFSET('IWP06'!Std9BillingInfo16, 0, 1, 1, 1))</f>
        <v>1</v>
      </c>
      <c r="E2253" s="172">
        <f ca="1">IF(OFFSET('IWP06'!Std9BillingInfo16, 0, 2, 1, 1)=DATE(1900,1,0), DATE(1900,1,1), OFFSET('IWP06'!Std9BillingInfo16, 0, 2, 1, 1))</f>
        <v>1</v>
      </c>
      <c r="F2253" s="187">
        <f ca="1">OFFSET('IWP06'!Std9BillingInfo16, 0, 3, 1, 1)</f>
        <v>0</v>
      </c>
      <c r="G2253" s="187">
        <f ca="1">OFFSET('IWP06'!Std9BillingInfo16, 10, 6, 1, 1)</f>
        <v>0</v>
      </c>
      <c r="H2253" s="187">
        <f ca="1">OFFSET('IWP06'!Std9BillingInfo16, 11, 6, 1, 1)</f>
        <v>0</v>
      </c>
      <c r="I2253" s="187">
        <f ca="1">OFFSET('IWP06'!Std9BillingInfo16, 10, 8, 1, 1)</f>
        <v>0</v>
      </c>
      <c r="J2253" s="187">
        <f ca="1">OFFSET('IWP06'!Std9BillingInfo16, 10, 11, 1, 1)</f>
        <v>0</v>
      </c>
      <c r="K2253" s="187">
        <f ca="1">OFFSET('IWP06'!Std9BillingInfo16, 10, 12, 1, 1)</f>
        <v>0</v>
      </c>
      <c r="L2253" s="179">
        <f ca="1">OFFSET('IWP06'!Std9BillingInfo16, 12, 8, 1, 1)</f>
        <v>0</v>
      </c>
      <c r="M2253" s="129"/>
    </row>
    <row r="2254" spans="1:13" s="146" customFormat="1">
      <c r="A2254" s="183" t="s">
        <v>504</v>
      </c>
      <c r="B2254" s="196">
        <v>17</v>
      </c>
      <c r="C2254" s="195" t="str">
        <f ca="1">IF(OFFSET('IWP06'!Std9BillingInfo17, 0, 0, 1, 1) = 0, "", OFFSET('IWP06'!Std9BillingInfo17, 0, 0, 1, 1))</f>
        <v/>
      </c>
      <c r="D2254" s="172">
        <f ca="1">IF(OFFSET('IWP06'!Std9BillingInfo17, 0, 1, 1, 1)=DATE(1900,1,0), DATE(1900,1,1), OFFSET('IWP06'!Std9BillingInfo17, 0, 1, 1, 1))</f>
        <v>1</v>
      </c>
      <c r="E2254" s="172">
        <f ca="1">IF(OFFSET('IWP06'!Std9BillingInfo17, 0, 2, 1, 1)=DATE(1900,1,0), DATE(1900,1,1), OFFSET('IWP06'!Std9BillingInfo17, 0, 2, 1, 1))</f>
        <v>1</v>
      </c>
      <c r="F2254" s="187">
        <f ca="1">OFFSET('IWP06'!Std9BillingInfo17, 0, 3, 1, 1)</f>
        <v>0</v>
      </c>
      <c r="G2254" s="187">
        <f ca="1">OFFSET('IWP06'!Std9BillingInfo17, 10, 6, 1, 1)</f>
        <v>0</v>
      </c>
      <c r="H2254" s="187">
        <f ca="1">OFFSET('IWP06'!Std9BillingInfo17, 11, 6, 1, 1)</f>
        <v>0</v>
      </c>
      <c r="I2254" s="187">
        <f ca="1">OFFSET('IWP06'!Std9BillingInfo17, 10, 8, 1, 1)</f>
        <v>0</v>
      </c>
      <c r="J2254" s="187">
        <f ca="1">OFFSET('IWP06'!Std9BillingInfo17, 10, 11, 1, 1)</f>
        <v>0</v>
      </c>
      <c r="K2254" s="187">
        <f ca="1">OFFSET('IWP06'!Std9BillingInfo17, 10, 12, 1, 1)</f>
        <v>0</v>
      </c>
      <c r="L2254" s="179">
        <f ca="1">OFFSET('IWP06'!Std9BillingInfo17, 12, 8, 1, 1)</f>
        <v>0</v>
      </c>
      <c r="M2254" s="129"/>
    </row>
    <row r="2255" spans="1:13" s="146" customFormat="1">
      <c r="A2255" s="183" t="s">
        <v>504</v>
      </c>
      <c r="B2255" s="196">
        <v>18</v>
      </c>
      <c r="C2255" s="195" t="str">
        <f ca="1">IF(OFFSET('IWP06'!Std9BillingInfo18, 0, 0, 1, 1) = 0, "", OFFSET('IWP06'!Std9BillingInfo18, 0, 0, 1, 1))</f>
        <v/>
      </c>
      <c r="D2255" s="172">
        <f ca="1">IF(OFFSET('IWP06'!Std9BillingInfo18, 0, 1, 1, 1)=DATE(1900,1,0), DATE(1900,1,1), OFFSET('IWP06'!Std9BillingInfo18, 0, 1, 1, 1))</f>
        <v>1</v>
      </c>
      <c r="E2255" s="172">
        <f ca="1">IF(OFFSET('IWP06'!Std9BillingInfo18, 0, 2, 1, 1)=DATE(1900,1,0), DATE(1900,1,1), OFFSET('IWP06'!Std9BillingInfo18, 0, 2, 1, 1))</f>
        <v>1</v>
      </c>
      <c r="F2255" s="187">
        <f ca="1">OFFSET('IWP06'!Std9BillingInfo18, 0, 3, 1, 1)</f>
        <v>0</v>
      </c>
      <c r="G2255" s="187">
        <f ca="1">OFFSET('IWP06'!Std9BillingInfo18, 10, 6, 1, 1)</f>
        <v>0</v>
      </c>
      <c r="H2255" s="187">
        <f ca="1">OFFSET('IWP06'!Std9BillingInfo18, 11, 6, 1, 1)</f>
        <v>0</v>
      </c>
      <c r="I2255" s="187">
        <f ca="1">OFFSET('IWP06'!Std9BillingInfo18, 10, 8, 1, 1)</f>
        <v>0</v>
      </c>
      <c r="J2255" s="187">
        <f ca="1">OFFSET('IWP06'!Std9BillingInfo18, 10, 11, 1, 1)</f>
        <v>0</v>
      </c>
      <c r="K2255" s="187">
        <f ca="1">OFFSET('IWP06'!Std9BillingInfo18, 10, 12, 1, 1)</f>
        <v>0</v>
      </c>
      <c r="L2255" s="179">
        <f ca="1">OFFSET('IWP06'!Std9BillingInfo18, 12, 8, 1, 1)</f>
        <v>0</v>
      </c>
      <c r="M2255" s="129"/>
    </row>
    <row r="2256" spans="1:13" s="146" customFormat="1">
      <c r="A2256" s="183" t="s">
        <v>505</v>
      </c>
      <c r="B2256" s="196">
        <v>1</v>
      </c>
      <c r="C2256" s="195" t="str">
        <f ca="1">IF(OFFSET('IWP07'!Std9BillingInfo01, 0, 0, 1, 1) = 0, "", OFFSET('IWP07'!Std9BillingInfo01, 0, 0, 1, 1))</f>
        <v/>
      </c>
      <c r="D2256" s="172">
        <f ca="1">IF(OFFSET('IWP07'!Std9BillingInfo01, 0, 1, 1, 1)=DATE(1900,1,0), DATE(1900,1,1), OFFSET('IWP07'!Std9BillingInfo01, 0, 1, 1, 1))</f>
        <v>1</v>
      </c>
      <c r="E2256" s="172">
        <f ca="1">IF(OFFSET('IWP07'!Std9BillingInfo01, 0, 2, 1, 1)=DATE(1900,1,0), DATE(1900,1,1), OFFSET('IWP07'!Std9BillingInfo01, 0, 2, 1, 1))</f>
        <v>1</v>
      </c>
      <c r="F2256" s="187">
        <f ca="1">OFFSET('IWP07'!Std9BillingInfo01, 0, 3, 1, 1)</f>
        <v>0</v>
      </c>
      <c r="G2256" s="187">
        <f ca="1">OFFSET('IWP07'!Std9BillingInfo01, 10, 6, 1, 1)</f>
        <v>0</v>
      </c>
      <c r="H2256" s="187">
        <f ca="1">OFFSET('IWP07'!Std9BillingInfo01, 11, 6, 1, 1)</f>
        <v>0</v>
      </c>
      <c r="I2256" s="187">
        <f ca="1">OFFSET('IWP07'!Std9BillingInfo01, 10, 8, 1, 1)</f>
        <v>0</v>
      </c>
      <c r="J2256" s="187">
        <f ca="1">OFFSET('IWP07'!Std9BillingInfo01, 10, 11, 1, 1)</f>
        <v>0</v>
      </c>
      <c r="K2256" s="187">
        <f ca="1">OFFSET('IWP07'!Std9BillingInfo01, 10, 12, 1, 1)</f>
        <v>0</v>
      </c>
      <c r="L2256" s="179">
        <f ca="1">OFFSET('IWP07'!Std9BillingInfo01, 12, 8, 1, 1)</f>
        <v>0</v>
      </c>
      <c r="M2256" s="129"/>
    </row>
    <row r="2257" spans="1:13" s="146" customFormat="1">
      <c r="A2257" s="183" t="s">
        <v>505</v>
      </c>
      <c r="B2257" s="196">
        <v>2</v>
      </c>
      <c r="C2257" s="195" t="str">
        <f ca="1">IF(OFFSET('IWP07'!Std9BillingInfo02, 0, 0, 1, 1) = 0, "", OFFSET('IWP07'!Std9BillingInfo02, 0, 0, 1, 1))</f>
        <v/>
      </c>
      <c r="D2257" s="172">
        <f ca="1">IF(OFFSET('IWP07'!Std9BillingInfo02, 0, 1, 1, 1)=DATE(1900,1,0), DATE(1900,1,1), OFFSET('IWP07'!Std9BillingInfo02, 0, 1, 1, 1))</f>
        <v>1</v>
      </c>
      <c r="E2257" s="172">
        <f ca="1">IF(OFFSET('IWP07'!Std9BillingInfo02, 0, 2, 1, 1)=DATE(1900,1,0), DATE(1900,1,1), OFFSET('IWP07'!Std9BillingInfo02, 0, 2, 1, 1))</f>
        <v>1</v>
      </c>
      <c r="F2257" s="187">
        <f ca="1">OFFSET('IWP07'!Std9BillingInfo02, 0, 3, 1, 1)</f>
        <v>0</v>
      </c>
      <c r="G2257" s="187">
        <f ca="1">OFFSET('IWP07'!Std9BillingInfo02, 10, 6, 1, 1)</f>
        <v>0</v>
      </c>
      <c r="H2257" s="187">
        <f ca="1">OFFSET('IWP07'!Std9BillingInfo02, 11, 6, 1, 1)</f>
        <v>0</v>
      </c>
      <c r="I2257" s="187">
        <f ca="1">OFFSET('IWP07'!Std9BillingInfo02, 10, 8, 1, 1)</f>
        <v>0</v>
      </c>
      <c r="J2257" s="187">
        <f ca="1">OFFSET('IWP07'!Std9BillingInfo02, 10, 11, 1, 1)</f>
        <v>0</v>
      </c>
      <c r="K2257" s="187">
        <f ca="1">OFFSET('IWP07'!Std9BillingInfo02, 10, 12, 1, 1)</f>
        <v>0</v>
      </c>
      <c r="L2257" s="179">
        <f ca="1">OFFSET('IWP07'!Std9BillingInfo02, 12, 8, 1, 1)</f>
        <v>0</v>
      </c>
      <c r="M2257" s="129"/>
    </row>
    <row r="2258" spans="1:13" s="146" customFormat="1">
      <c r="A2258" s="183" t="s">
        <v>505</v>
      </c>
      <c r="B2258" s="196">
        <v>3</v>
      </c>
      <c r="C2258" s="195" t="str">
        <f ca="1">IF(OFFSET('IWP07'!Std9BillingInfo03, 0, 0, 1, 1) = 0, "", OFFSET('IWP07'!Std9BillingInfo03, 0, 0, 1, 1))</f>
        <v/>
      </c>
      <c r="D2258" s="172">
        <f ca="1">IF(OFFSET('IWP07'!Std9BillingInfo03, 0, 1, 1, 1)=DATE(1900,1,0), DATE(1900,1,1), OFFSET('IWP07'!Std9BillingInfo03, 0, 1, 1, 1))</f>
        <v>1</v>
      </c>
      <c r="E2258" s="172">
        <f ca="1">IF(OFFSET('IWP07'!Std9BillingInfo03, 0, 2, 1, 1)=DATE(1900,1,0), DATE(1900,1,1), OFFSET('IWP07'!Std9BillingInfo03, 0, 2, 1, 1))</f>
        <v>1</v>
      </c>
      <c r="F2258" s="187">
        <f ca="1">OFFSET('IWP07'!Std9BillingInfo03, 0, 3, 1, 1)</f>
        <v>0</v>
      </c>
      <c r="G2258" s="187">
        <f ca="1">OFFSET('IWP07'!Std9BillingInfo03, 10, 6, 1, 1)</f>
        <v>0</v>
      </c>
      <c r="H2258" s="187">
        <f ca="1">OFFSET('IWP07'!Std9BillingInfo03, 11, 6, 1, 1)</f>
        <v>0</v>
      </c>
      <c r="I2258" s="187">
        <f ca="1">OFFSET('IWP07'!Std9BillingInfo03, 10, 8, 1, 1)</f>
        <v>0</v>
      </c>
      <c r="J2258" s="187">
        <f ca="1">OFFSET('IWP07'!Std9BillingInfo03, 10, 11, 1, 1)</f>
        <v>0</v>
      </c>
      <c r="K2258" s="187">
        <f ca="1">OFFSET('IWP07'!Std9BillingInfo03, 10, 12, 1, 1)</f>
        <v>0</v>
      </c>
      <c r="L2258" s="179">
        <f ca="1">OFFSET('IWP07'!Std9BillingInfo03, 12, 8, 1, 1)</f>
        <v>0</v>
      </c>
      <c r="M2258" s="129"/>
    </row>
    <row r="2259" spans="1:13" s="146" customFormat="1">
      <c r="A2259" s="183" t="s">
        <v>505</v>
      </c>
      <c r="B2259" s="196">
        <v>4</v>
      </c>
      <c r="C2259" s="195" t="str">
        <f ca="1">IF(OFFSET('IWP07'!Std9BillingInfo04, 0, 0, 1, 1) = 0, "", OFFSET('IWP07'!Std9BillingInfo04, 0, 0, 1, 1))</f>
        <v/>
      </c>
      <c r="D2259" s="172">
        <f ca="1">IF(OFFSET('IWP07'!Std9BillingInfo04, 0, 1, 1, 1)=DATE(1900,1,0), DATE(1900,1,1), OFFSET('IWP07'!Std9BillingInfo04, 0, 1, 1, 1))</f>
        <v>1</v>
      </c>
      <c r="E2259" s="172">
        <f ca="1">IF(OFFSET('IWP07'!Std9BillingInfo04, 0, 2, 1, 1)=DATE(1900,1,0), DATE(1900,1,1), OFFSET('IWP07'!Std9BillingInfo04, 0, 2, 1, 1))</f>
        <v>1</v>
      </c>
      <c r="F2259" s="187">
        <f ca="1">OFFSET('IWP07'!Std9BillingInfo04, 0, 3, 1, 1)</f>
        <v>0</v>
      </c>
      <c r="G2259" s="187">
        <f ca="1">OFFSET('IWP07'!Std9BillingInfo04, 10, 6, 1, 1)</f>
        <v>0</v>
      </c>
      <c r="H2259" s="187">
        <f ca="1">OFFSET('IWP07'!Std9BillingInfo04, 11, 6, 1, 1)</f>
        <v>0</v>
      </c>
      <c r="I2259" s="187">
        <f ca="1">OFFSET('IWP07'!Std9BillingInfo04, 10, 8, 1, 1)</f>
        <v>0</v>
      </c>
      <c r="J2259" s="187">
        <f ca="1">OFFSET('IWP07'!Std9BillingInfo04, 10, 11, 1, 1)</f>
        <v>0</v>
      </c>
      <c r="K2259" s="187">
        <f ca="1">OFFSET('IWP07'!Std9BillingInfo04, 10, 12, 1, 1)</f>
        <v>0</v>
      </c>
      <c r="L2259" s="179">
        <f ca="1">OFFSET('IWP07'!Std9BillingInfo04, 12, 8, 1, 1)</f>
        <v>0</v>
      </c>
      <c r="M2259" s="129"/>
    </row>
    <row r="2260" spans="1:13" s="146" customFormat="1">
      <c r="A2260" s="183" t="s">
        <v>505</v>
      </c>
      <c r="B2260" s="196">
        <v>5</v>
      </c>
      <c r="C2260" s="195" t="str">
        <f ca="1">IF(OFFSET('IWP07'!Std9BillingInfo05, 0, 0, 1, 1) = 0, "", OFFSET('IWP07'!Std9BillingInfo05, 0, 0, 1, 1))</f>
        <v/>
      </c>
      <c r="D2260" s="172">
        <f ca="1">IF(OFFSET('IWP07'!Std9BillingInfo05, 0, 1, 1, 1)=DATE(1900,1,0), DATE(1900,1,1), OFFSET('IWP07'!Std9BillingInfo05, 0, 1, 1, 1))</f>
        <v>1</v>
      </c>
      <c r="E2260" s="172">
        <f ca="1">IF(OFFSET('IWP07'!Std9BillingInfo05, 0, 2, 1, 1)=DATE(1900,1,0), DATE(1900,1,1), OFFSET('IWP07'!Std9BillingInfo05, 0, 2, 1, 1))</f>
        <v>1</v>
      </c>
      <c r="F2260" s="187">
        <f ca="1">OFFSET('IWP07'!Std9BillingInfo05, 0, 3, 1, 1)</f>
        <v>0</v>
      </c>
      <c r="G2260" s="187">
        <f ca="1">OFFSET('IWP07'!Std9BillingInfo05, 10, 6, 1, 1)</f>
        <v>0</v>
      </c>
      <c r="H2260" s="187">
        <f ca="1">OFFSET('IWP07'!Std9BillingInfo05, 11, 6, 1, 1)</f>
        <v>0</v>
      </c>
      <c r="I2260" s="187">
        <f ca="1">OFFSET('IWP07'!Std9BillingInfo05, 10, 8, 1, 1)</f>
        <v>0</v>
      </c>
      <c r="J2260" s="187">
        <f ca="1">OFFSET('IWP07'!Std9BillingInfo05, 10, 11, 1, 1)</f>
        <v>0</v>
      </c>
      <c r="K2260" s="187">
        <f ca="1">OFFSET('IWP07'!Std9BillingInfo05, 10, 12, 1, 1)</f>
        <v>0</v>
      </c>
      <c r="L2260" s="179">
        <f ca="1">OFFSET('IWP07'!Std9BillingInfo05, 12, 8, 1, 1)</f>
        <v>0</v>
      </c>
      <c r="M2260" s="129"/>
    </row>
    <row r="2261" spans="1:13" s="146" customFormat="1">
      <c r="A2261" s="183" t="s">
        <v>505</v>
      </c>
      <c r="B2261" s="196">
        <v>6</v>
      </c>
      <c r="C2261" s="195" t="str">
        <f ca="1">IF(OFFSET('IWP07'!Std9BillingInfo06, 0, 0, 1, 1) = 0, "", OFFSET('IWP07'!Std9BillingInfo06, 0, 0, 1, 1))</f>
        <v/>
      </c>
      <c r="D2261" s="172">
        <f ca="1">IF(OFFSET('IWP07'!Std9BillingInfo06, 0, 1, 1, 1)=DATE(1900,1,0), DATE(1900,1,1), OFFSET('IWP07'!Std9BillingInfo06, 0, 1, 1, 1))</f>
        <v>1</v>
      </c>
      <c r="E2261" s="172">
        <f ca="1">IF(OFFSET('IWP07'!Std9BillingInfo06, 0, 2, 1, 1)=DATE(1900,1,0), DATE(1900,1,1), OFFSET('IWP07'!Std9BillingInfo06, 0, 2, 1, 1))</f>
        <v>1</v>
      </c>
      <c r="F2261" s="187">
        <f ca="1">OFFSET('IWP07'!Std9BillingInfo06, 0, 3, 1, 1)</f>
        <v>0</v>
      </c>
      <c r="G2261" s="187">
        <f ca="1">OFFSET('IWP07'!Std9BillingInfo06, 10, 6, 1, 1)</f>
        <v>0</v>
      </c>
      <c r="H2261" s="187">
        <f ca="1">OFFSET('IWP07'!Std9BillingInfo06, 11, 6, 1, 1)</f>
        <v>0</v>
      </c>
      <c r="I2261" s="187">
        <f ca="1">OFFSET('IWP07'!Std9BillingInfo06, 10, 8, 1, 1)</f>
        <v>0</v>
      </c>
      <c r="J2261" s="187">
        <f ca="1">OFFSET('IWP07'!Std9BillingInfo06, 10, 11, 1, 1)</f>
        <v>0</v>
      </c>
      <c r="K2261" s="187">
        <f ca="1">OFFSET('IWP07'!Std9BillingInfo06, 10, 12, 1, 1)</f>
        <v>0</v>
      </c>
      <c r="L2261" s="179">
        <f ca="1">OFFSET('IWP07'!Std9BillingInfo06, 12, 8, 1, 1)</f>
        <v>0</v>
      </c>
      <c r="M2261" s="129"/>
    </row>
    <row r="2262" spans="1:13" s="146" customFormat="1">
      <c r="A2262" s="183" t="s">
        <v>505</v>
      </c>
      <c r="B2262" s="196">
        <v>7</v>
      </c>
      <c r="C2262" s="195" t="str">
        <f ca="1">IF(OFFSET('IWP07'!Std9BillingInfo07, 0, 0, 1, 1) = 0, "", OFFSET('IWP07'!Std9BillingInfo07, 0, 0, 1, 1))</f>
        <v/>
      </c>
      <c r="D2262" s="172">
        <f ca="1">IF(OFFSET('IWP07'!Std9BillingInfo07, 0, 1, 1, 1)=DATE(1900,1,0), DATE(1900,1,1), OFFSET('IWP07'!Std9BillingInfo07, 0, 1, 1, 1))</f>
        <v>1</v>
      </c>
      <c r="E2262" s="172">
        <f ca="1">IF(OFFSET('IWP07'!Std9BillingInfo07, 0, 2, 1, 1)=DATE(1900,1,0), DATE(1900,1,1), OFFSET('IWP07'!Std9BillingInfo07, 0, 2, 1, 1))</f>
        <v>1</v>
      </c>
      <c r="F2262" s="187">
        <f ca="1">OFFSET('IWP07'!Std9BillingInfo07, 0, 3, 1, 1)</f>
        <v>0</v>
      </c>
      <c r="G2262" s="187">
        <f ca="1">OFFSET('IWP07'!Std9BillingInfo07, 10, 6, 1, 1)</f>
        <v>0</v>
      </c>
      <c r="H2262" s="187">
        <f ca="1">OFFSET('IWP07'!Std9BillingInfo07, 11, 6, 1, 1)</f>
        <v>0</v>
      </c>
      <c r="I2262" s="187">
        <f ca="1">OFFSET('IWP07'!Std9BillingInfo07, 10, 8, 1, 1)</f>
        <v>0</v>
      </c>
      <c r="J2262" s="187">
        <f ca="1">OFFSET('IWP07'!Std9BillingInfo07, 10, 11, 1, 1)</f>
        <v>0</v>
      </c>
      <c r="K2262" s="187">
        <f ca="1">OFFSET('IWP07'!Std9BillingInfo07, 10, 12, 1, 1)</f>
        <v>0</v>
      </c>
      <c r="L2262" s="179">
        <f ca="1">OFFSET('IWP07'!Std9BillingInfo07, 12, 8, 1, 1)</f>
        <v>0</v>
      </c>
      <c r="M2262" s="129"/>
    </row>
    <row r="2263" spans="1:13" s="146" customFormat="1">
      <c r="A2263" s="183" t="s">
        <v>505</v>
      </c>
      <c r="B2263" s="196">
        <v>8</v>
      </c>
      <c r="C2263" s="195" t="str">
        <f ca="1">IF(OFFSET('IWP07'!Std9BillingInfo08, 0, 0, 1, 1) = 0, "", OFFSET('IWP07'!Std9BillingInfo08, 0, 0, 1, 1))</f>
        <v/>
      </c>
      <c r="D2263" s="172">
        <f ca="1">IF(OFFSET('IWP07'!Std9BillingInfo08, 0, 1, 1, 1)=DATE(1900,1,0), DATE(1900,1,1), OFFSET('IWP07'!Std9BillingInfo08, 0, 1, 1, 1))</f>
        <v>1</v>
      </c>
      <c r="E2263" s="172">
        <f ca="1">IF(OFFSET('IWP07'!Std9BillingInfo08, 0, 2, 1, 1)=DATE(1900,1,0), DATE(1900,1,1), OFFSET('IWP07'!Std9BillingInfo08, 0, 2, 1, 1))</f>
        <v>1</v>
      </c>
      <c r="F2263" s="187">
        <f ca="1">OFFSET('IWP07'!Std9BillingInfo08, 0, 3, 1, 1)</f>
        <v>0</v>
      </c>
      <c r="G2263" s="187">
        <f ca="1">OFFSET('IWP07'!Std9BillingInfo08, 10, 6, 1, 1)</f>
        <v>0</v>
      </c>
      <c r="H2263" s="187">
        <f ca="1">OFFSET('IWP07'!Std9BillingInfo08, 11, 6, 1, 1)</f>
        <v>0</v>
      </c>
      <c r="I2263" s="187">
        <f ca="1">OFFSET('IWP07'!Std9BillingInfo08, 10, 8, 1, 1)</f>
        <v>0</v>
      </c>
      <c r="J2263" s="187">
        <f ca="1">OFFSET('IWP07'!Std9BillingInfo08, 10, 11, 1, 1)</f>
        <v>0</v>
      </c>
      <c r="K2263" s="187">
        <f ca="1">OFFSET('IWP07'!Std9BillingInfo08, 10, 12, 1, 1)</f>
        <v>0</v>
      </c>
      <c r="L2263" s="179">
        <f ca="1">OFFSET('IWP07'!Std9BillingInfo08, 12, 8, 1, 1)</f>
        <v>0</v>
      </c>
      <c r="M2263" s="129"/>
    </row>
    <row r="2264" spans="1:13" s="146" customFormat="1">
      <c r="A2264" s="183" t="s">
        <v>505</v>
      </c>
      <c r="B2264" s="196">
        <v>9</v>
      </c>
      <c r="C2264" s="195" t="str">
        <f ca="1">IF(OFFSET('IWP07'!Std9BillingInfo09, 0, 0, 1, 1) = 0, "", OFFSET('IWP07'!Std9BillingInfo09, 0, 0, 1, 1))</f>
        <v/>
      </c>
      <c r="D2264" s="172">
        <f ca="1">IF(OFFSET('IWP07'!Std9BillingInfo09, 0, 1, 1, 1)=DATE(1900,1,0), DATE(1900,1,1), OFFSET('IWP07'!Std9BillingInfo09, 0, 1, 1, 1))</f>
        <v>1</v>
      </c>
      <c r="E2264" s="172">
        <f ca="1">IF(OFFSET('IWP07'!Std9BillingInfo09, 0, 2, 1, 1)=DATE(1900,1,0), DATE(1900,1,1), OFFSET('IWP07'!Std9BillingInfo09, 0, 2, 1, 1))</f>
        <v>1</v>
      </c>
      <c r="F2264" s="187">
        <f ca="1">OFFSET('IWP07'!Std9BillingInfo09, 0, 3, 1, 1)</f>
        <v>0</v>
      </c>
      <c r="G2264" s="187">
        <f ca="1">OFFSET('IWP07'!Std9BillingInfo09, 10, 6, 1, 1)</f>
        <v>0</v>
      </c>
      <c r="H2264" s="187">
        <f ca="1">OFFSET('IWP07'!Std9BillingInfo09, 11, 6, 1, 1)</f>
        <v>0</v>
      </c>
      <c r="I2264" s="187">
        <f ca="1">OFFSET('IWP07'!Std9BillingInfo09, 10, 8, 1, 1)</f>
        <v>0</v>
      </c>
      <c r="J2264" s="187">
        <f ca="1">OFFSET('IWP07'!Std9BillingInfo09, 10, 11, 1, 1)</f>
        <v>0</v>
      </c>
      <c r="K2264" s="187">
        <f ca="1">OFFSET('IWP07'!Std9BillingInfo09, 10, 12, 1, 1)</f>
        <v>0</v>
      </c>
      <c r="L2264" s="179">
        <f ca="1">OFFSET('IWP07'!Std9BillingInfo09, 12, 8, 1, 1)</f>
        <v>0</v>
      </c>
      <c r="M2264" s="129"/>
    </row>
    <row r="2265" spans="1:13" s="146" customFormat="1">
      <c r="A2265" s="183" t="s">
        <v>505</v>
      </c>
      <c r="B2265" s="196">
        <v>10</v>
      </c>
      <c r="C2265" s="195" t="str">
        <f ca="1">IF(OFFSET('IWP07'!Std9BillingInfo10, 0, 0, 1, 1) = 0, "", OFFSET('IWP07'!Std9BillingInfo10, 0, 0, 1, 1))</f>
        <v/>
      </c>
      <c r="D2265" s="172">
        <f ca="1">IF(OFFSET('IWP07'!Std9BillingInfo10, 0, 1, 1, 1)=DATE(1900,1,0), DATE(1900,1,1), OFFSET('IWP07'!Std9BillingInfo10, 0, 1, 1, 1))</f>
        <v>1</v>
      </c>
      <c r="E2265" s="172">
        <f ca="1">IF(OFFSET('IWP07'!Std9BillingInfo10, 0, 2, 1, 1)=DATE(1900,1,0), DATE(1900,1,1), OFFSET('IWP07'!Std9BillingInfo10, 0, 2, 1, 1))</f>
        <v>1</v>
      </c>
      <c r="F2265" s="187">
        <f ca="1">OFFSET('IWP07'!Std9BillingInfo10, 0, 3, 1, 1)</f>
        <v>0</v>
      </c>
      <c r="G2265" s="187">
        <f ca="1">OFFSET('IWP07'!Std9BillingInfo10, 10, 6, 1, 1)</f>
        <v>0</v>
      </c>
      <c r="H2265" s="187">
        <f ca="1">OFFSET('IWP07'!Std9BillingInfo10, 11, 6, 1, 1)</f>
        <v>0</v>
      </c>
      <c r="I2265" s="187">
        <f ca="1">OFFSET('IWP07'!Std9BillingInfo10, 10, 8, 1, 1)</f>
        <v>0</v>
      </c>
      <c r="J2265" s="187">
        <f ca="1">OFFSET('IWP07'!Std9BillingInfo10, 10, 11, 1, 1)</f>
        <v>0</v>
      </c>
      <c r="K2265" s="187">
        <f ca="1">OFFSET('IWP07'!Std9BillingInfo10, 10, 12, 1, 1)</f>
        <v>0</v>
      </c>
      <c r="L2265" s="179">
        <f ca="1">OFFSET('IWP07'!Std9BillingInfo10, 12, 8, 1, 1)</f>
        <v>0</v>
      </c>
      <c r="M2265" s="129"/>
    </row>
    <row r="2266" spans="1:13" s="146" customFormat="1">
      <c r="A2266" s="183" t="s">
        <v>505</v>
      </c>
      <c r="B2266" s="196">
        <v>11</v>
      </c>
      <c r="C2266" s="195" t="str">
        <f ca="1">IF(OFFSET('IWP07'!Std9BillingInfo11, 0, 0, 1, 1) = 0, "", OFFSET('IWP07'!Std9BillingInfo11, 0, 0, 1, 1))</f>
        <v/>
      </c>
      <c r="D2266" s="172">
        <f ca="1">IF(OFFSET('IWP07'!Std9BillingInfo11, 0, 1, 1, 1)=DATE(1900,1,0), DATE(1900,1,1), OFFSET('IWP07'!Std9BillingInfo11, 0, 1, 1, 1))</f>
        <v>1</v>
      </c>
      <c r="E2266" s="172">
        <f ca="1">IF(OFFSET('IWP07'!Std9BillingInfo11, 0, 2, 1, 1)=DATE(1900,1,0), DATE(1900,1,1), OFFSET('IWP07'!Std9BillingInfo11, 0, 2, 1, 1))</f>
        <v>1</v>
      </c>
      <c r="F2266" s="187">
        <f ca="1">OFFSET('IWP07'!Std9BillingInfo11, 0, 3, 1, 1)</f>
        <v>0</v>
      </c>
      <c r="G2266" s="187">
        <f ca="1">OFFSET('IWP07'!Std9BillingInfo11, 10, 6, 1, 1)</f>
        <v>0</v>
      </c>
      <c r="H2266" s="187">
        <f ca="1">OFFSET('IWP07'!Std9BillingInfo11, 11, 6, 1, 1)</f>
        <v>0</v>
      </c>
      <c r="I2266" s="187">
        <f ca="1">OFFSET('IWP07'!Std9BillingInfo11, 10, 8, 1, 1)</f>
        <v>0</v>
      </c>
      <c r="J2266" s="187">
        <f ca="1">OFFSET('IWP07'!Std9BillingInfo11, 10, 11, 1, 1)</f>
        <v>0</v>
      </c>
      <c r="K2266" s="187">
        <f ca="1">OFFSET('IWP07'!Std9BillingInfo11, 10, 12, 1, 1)</f>
        <v>0</v>
      </c>
      <c r="L2266" s="179">
        <f ca="1">OFFSET('IWP07'!Std9BillingInfo11, 12, 8, 1, 1)</f>
        <v>0</v>
      </c>
      <c r="M2266" s="129"/>
    </row>
    <row r="2267" spans="1:13" s="146" customFormat="1">
      <c r="A2267" s="183" t="s">
        <v>505</v>
      </c>
      <c r="B2267" s="196">
        <v>12</v>
      </c>
      <c r="C2267" s="195" t="str">
        <f ca="1">IF(OFFSET('IWP07'!Std9BillingInfo12, 0, 0, 1, 1) = 0, "", OFFSET('IWP07'!Std9BillingInfo12, 0, 0, 1, 1))</f>
        <v/>
      </c>
      <c r="D2267" s="172">
        <f ca="1">IF(OFFSET('IWP07'!Std9BillingInfo12, 0, 1, 1, 1)=DATE(1900,1,0), DATE(1900,1,1), OFFSET('IWP07'!Std9BillingInfo12, 0, 1, 1, 1))</f>
        <v>1</v>
      </c>
      <c r="E2267" s="172">
        <f ca="1">IF(OFFSET('IWP07'!Std9BillingInfo12, 0, 2, 1, 1)=DATE(1900,1,0), DATE(1900,1,1), OFFSET('IWP07'!Std9BillingInfo12, 0, 2, 1, 1))</f>
        <v>1</v>
      </c>
      <c r="F2267" s="187">
        <f ca="1">OFFSET('IWP07'!Std9BillingInfo12, 0, 3, 1, 1)</f>
        <v>0</v>
      </c>
      <c r="G2267" s="187">
        <f ca="1">OFFSET('IWP07'!Std9BillingInfo12, 10, 6, 1, 1)</f>
        <v>0</v>
      </c>
      <c r="H2267" s="187">
        <f ca="1">OFFSET('IWP07'!Std9BillingInfo12, 11, 6, 1, 1)</f>
        <v>0</v>
      </c>
      <c r="I2267" s="187">
        <f ca="1">OFFSET('IWP07'!Std9BillingInfo12, 10, 8, 1, 1)</f>
        <v>0</v>
      </c>
      <c r="J2267" s="187">
        <f ca="1">OFFSET('IWP07'!Std9BillingInfo12, 10, 11, 1, 1)</f>
        <v>0</v>
      </c>
      <c r="K2267" s="187">
        <f ca="1">OFFSET('IWP07'!Std9BillingInfo12, 10, 12, 1, 1)</f>
        <v>0</v>
      </c>
      <c r="L2267" s="179">
        <f ca="1">OFFSET('IWP07'!Std9BillingInfo12, 12, 8, 1, 1)</f>
        <v>0</v>
      </c>
      <c r="M2267" s="129"/>
    </row>
    <row r="2268" spans="1:13" s="146" customFormat="1">
      <c r="A2268" s="183" t="s">
        <v>505</v>
      </c>
      <c r="B2268" s="196">
        <v>13</v>
      </c>
      <c r="C2268" s="195" t="str">
        <f ca="1">IF(OFFSET('IWP07'!Std9BillingInfo13, 0, 0, 1, 1) = 0, "", OFFSET('IWP07'!Std9BillingInfo13, 0, 0, 1, 1))</f>
        <v/>
      </c>
      <c r="D2268" s="172">
        <f ca="1">IF(OFFSET('IWP07'!Std9BillingInfo13, 0, 1, 1, 1)=DATE(1900,1,0), DATE(1900,1,1), OFFSET('IWP07'!Std9BillingInfo13, 0, 1, 1, 1))</f>
        <v>1</v>
      </c>
      <c r="E2268" s="172">
        <f ca="1">IF(OFFSET('IWP07'!Std9BillingInfo13, 0, 2, 1, 1)=DATE(1900,1,0), DATE(1900,1,1), OFFSET('IWP07'!Std9BillingInfo13, 0, 2, 1, 1))</f>
        <v>1</v>
      </c>
      <c r="F2268" s="187">
        <f ca="1">OFFSET('IWP07'!Std9BillingInfo13, 0, 3, 1, 1)</f>
        <v>0</v>
      </c>
      <c r="G2268" s="187">
        <f ca="1">OFFSET('IWP07'!Std9BillingInfo13, 10, 6, 1, 1)</f>
        <v>0</v>
      </c>
      <c r="H2268" s="187">
        <f ca="1">OFFSET('IWP07'!Std9BillingInfo13, 11, 6, 1, 1)</f>
        <v>0</v>
      </c>
      <c r="I2268" s="187">
        <f ca="1">OFFSET('IWP07'!Std9BillingInfo13, 10, 8, 1, 1)</f>
        <v>0</v>
      </c>
      <c r="J2268" s="187">
        <f ca="1">OFFSET('IWP07'!Std9BillingInfo13, 10, 11, 1, 1)</f>
        <v>0</v>
      </c>
      <c r="K2268" s="187">
        <f ca="1">OFFSET('IWP07'!Std9BillingInfo13, 10, 12, 1, 1)</f>
        <v>0</v>
      </c>
      <c r="L2268" s="179">
        <f ca="1">OFFSET('IWP07'!Std9BillingInfo13, 12, 8, 1, 1)</f>
        <v>0</v>
      </c>
      <c r="M2268" s="129"/>
    </row>
    <row r="2269" spans="1:13" s="146" customFormat="1">
      <c r="A2269" s="183" t="s">
        <v>505</v>
      </c>
      <c r="B2269" s="196">
        <v>14</v>
      </c>
      <c r="C2269" s="195" t="str">
        <f ca="1">IF(OFFSET('IWP07'!Std9BillingInfo14, 0, 0, 1, 1) = 0, "", OFFSET('IWP07'!Std9BillingInfo14, 0, 0, 1, 1))</f>
        <v/>
      </c>
      <c r="D2269" s="172">
        <f ca="1">IF(OFFSET('IWP07'!Std9BillingInfo14, 0, 1, 1, 1)=DATE(1900,1,0), DATE(1900,1,1), OFFSET('IWP07'!Std9BillingInfo14, 0, 1, 1, 1))</f>
        <v>1</v>
      </c>
      <c r="E2269" s="172">
        <f ca="1">IF(OFFSET('IWP07'!Std9BillingInfo14, 0, 2, 1, 1)=DATE(1900,1,0), DATE(1900,1,1), OFFSET('IWP07'!Std9BillingInfo14, 0, 2, 1, 1))</f>
        <v>1</v>
      </c>
      <c r="F2269" s="187">
        <f ca="1">OFFSET('IWP07'!Std9BillingInfo14, 0, 3, 1, 1)</f>
        <v>0</v>
      </c>
      <c r="G2269" s="187">
        <f ca="1">OFFSET('IWP07'!Std9BillingInfo14, 10, 6, 1, 1)</f>
        <v>0</v>
      </c>
      <c r="H2269" s="187">
        <f ca="1">OFFSET('IWP07'!Std9BillingInfo14, 11, 6, 1, 1)</f>
        <v>0</v>
      </c>
      <c r="I2269" s="187">
        <f ca="1">OFFSET('IWP07'!Std9BillingInfo14, 10, 8, 1, 1)</f>
        <v>0</v>
      </c>
      <c r="J2269" s="187">
        <f ca="1">OFFSET('IWP07'!Std9BillingInfo14, 10, 11, 1, 1)</f>
        <v>0</v>
      </c>
      <c r="K2269" s="187">
        <f ca="1">OFFSET('IWP07'!Std9BillingInfo14, 10, 12, 1, 1)</f>
        <v>0</v>
      </c>
      <c r="L2269" s="179">
        <f ca="1">OFFSET('IWP07'!Std9BillingInfo14, 12, 8, 1, 1)</f>
        <v>0</v>
      </c>
      <c r="M2269" s="129"/>
    </row>
    <row r="2270" spans="1:13" s="146" customFormat="1">
      <c r="A2270" s="183" t="s">
        <v>505</v>
      </c>
      <c r="B2270" s="196">
        <v>15</v>
      </c>
      <c r="C2270" s="195" t="str">
        <f ca="1">IF(OFFSET('IWP07'!Std9BillingInfo15, 0, 0, 1, 1) = 0, "", OFFSET('IWP07'!Std9BillingInfo15, 0, 0, 1, 1))</f>
        <v/>
      </c>
      <c r="D2270" s="172">
        <f ca="1">IF(OFFSET('IWP07'!Std9BillingInfo15, 0, 1, 1, 1)=DATE(1900,1,0), DATE(1900,1,1), OFFSET('IWP07'!Std9BillingInfo15, 0, 1, 1, 1))</f>
        <v>1</v>
      </c>
      <c r="E2270" s="172">
        <f ca="1">IF(OFFSET('IWP07'!Std9BillingInfo15, 0, 2, 1, 1)=DATE(1900,1,0), DATE(1900,1,1), OFFSET('IWP07'!Std9BillingInfo15, 0, 2, 1, 1))</f>
        <v>1</v>
      </c>
      <c r="F2270" s="187">
        <f ca="1">OFFSET('IWP07'!Std9BillingInfo15, 0, 3, 1, 1)</f>
        <v>0</v>
      </c>
      <c r="G2270" s="187">
        <f ca="1">OFFSET('IWP07'!Std9BillingInfo15, 10, 6, 1, 1)</f>
        <v>0</v>
      </c>
      <c r="H2270" s="187">
        <f ca="1">OFFSET('IWP07'!Std9BillingInfo15, 11, 6, 1, 1)</f>
        <v>0</v>
      </c>
      <c r="I2270" s="187">
        <f ca="1">OFFSET('IWP07'!Std9BillingInfo15, 10, 8, 1, 1)</f>
        <v>0</v>
      </c>
      <c r="J2270" s="187">
        <f ca="1">OFFSET('IWP07'!Std9BillingInfo15, 10, 11, 1, 1)</f>
        <v>0</v>
      </c>
      <c r="K2270" s="187">
        <f ca="1">OFFSET('IWP07'!Std9BillingInfo15, 10, 12, 1, 1)</f>
        <v>0</v>
      </c>
      <c r="L2270" s="179">
        <f ca="1">OFFSET('IWP07'!Std9BillingInfo15, 12, 8, 1, 1)</f>
        <v>0</v>
      </c>
      <c r="M2270" s="129"/>
    </row>
    <row r="2271" spans="1:13" s="146" customFormat="1">
      <c r="A2271" s="183" t="s">
        <v>505</v>
      </c>
      <c r="B2271" s="196">
        <v>16</v>
      </c>
      <c r="C2271" s="195" t="str">
        <f ca="1">IF(OFFSET('IWP07'!Std9BillingInfo16, 0, 0, 1, 1) = 0, "", OFFSET('IWP07'!Std9BillingInfo16, 0, 0, 1, 1))</f>
        <v/>
      </c>
      <c r="D2271" s="172">
        <f ca="1">IF(OFFSET('IWP07'!Std9BillingInfo16, 0, 1, 1, 1)=DATE(1900,1,0), DATE(1900,1,1), OFFSET('IWP07'!Std9BillingInfo16, 0, 1, 1, 1))</f>
        <v>1</v>
      </c>
      <c r="E2271" s="172">
        <f ca="1">IF(OFFSET('IWP07'!Std9BillingInfo16, 0, 2, 1, 1)=DATE(1900,1,0), DATE(1900,1,1), OFFSET('IWP07'!Std9BillingInfo16, 0, 2, 1, 1))</f>
        <v>1</v>
      </c>
      <c r="F2271" s="187">
        <f ca="1">OFFSET('IWP07'!Std9BillingInfo16, 0, 3, 1, 1)</f>
        <v>0</v>
      </c>
      <c r="G2271" s="187">
        <f ca="1">OFFSET('IWP07'!Std9BillingInfo16, 10, 6, 1, 1)</f>
        <v>0</v>
      </c>
      <c r="H2271" s="187">
        <f ca="1">OFFSET('IWP07'!Std9BillingInfo16, 11, 6, 1, 1)</f>
        <v>0</v>
      </c>
      <c r="I2271" s="187">
        <f ca="1">OFFSET('IWP07'!Std9BillingInfo16, 10, 8, 1, 1)</f>
        <v>0</v>
      </c>
      <c r="J2271" s="187">
        <f ca="1">OFFSET('IWP07'!Std9BillingInfo16, 10, 11, 1, 1)</f>
        <v>0</v>
      </c>
      <c r="K2271" s="187">
        <f ca="1">OFFSET('IWP07'!Std9BillingInfo16, 10, 12, 1, 1)</f>
        <v>0</v>
      </c>
      <c r="L2271" s="179">
        <f ca="1">OFFSET('IWP07'!Std9BillingInfo16, 12, 8, 1, 1)</f>
        <v>0</v>
      </c>
      <c r="M2271" s="129"/>
    </row>
    <row r="2272" spans="1:13" s="146" customFormat="1">
      <c r="A2272" s="183" t="s">
        <v>505</v>
      </c>
      <c r="B2272" s="196">
        <v>17</v>
      </c>
      <c r="C2272" s="195" t="str">
        <f ca="1">IF(OFFSET('IWP07'!Std9BillingInfo17, 0, 0, 1, 1) = 0, "", OFFSET('IWP07'!Std9BillingInfo17, 0, 0, 1, 1))</f>
        <v/>
      </c>
      <c r="D2272" s="172">
        <f ca="1">IF(OFFSET('IWP07'!Std9BillingInfo17, 0, 1, 1, 1)=DATE(1900,1,0), DATE(1900,1,1), OFFSET('IWP07'!Std9BillingInfo17, 0, 1, 1, 1))</f>
        <v>1</v>
      </c>
      <c r="E2272" s="172">
        <f ca="1">IF(OFFSET('IWP07'!Std9BillingInfo17, 0, 2, 1, 1)=DATE(1900,1,0), DATE(1900,1,1), OFFSET('IWP07'!Std9BillingInfo17, 0, 2, 1, 1))</f>
        <v>1</v>
      </c>
      <c r="F2272" s="187">
        <f ca="1">OFFSET('IWP07'!Std9BillingInfo17, 0, 3, 1, 1)</f>
        <v>0</v>
      </c>
      <c r="G2272" s="187">
        <f ca="1">OFFSET('IWP07'!Std9BillingInfo17, 10, 6, 1, 1)</f>
        <v>0</v>
      </c>
      <c r="H2272" s="187">
        <f ca="1">OFFSET('IWP07'!Std9BillingInfo17, 11, 6, 1, 1)</f>
        <v>0</v>
      </c>
      <c r="I2272" s="187">
        <f ca="1">OFFSET('IWP07'!Std9BillingInfo17, 10, 8, 1, 1)</f>
        <v>0</v>
      </c>
      <c r="J2272" s="187">
        <f ca="1">OFFSET('IWP07'!Std9BillingInfo17, 10, 11, 1, 1)</f>
        <v>0</v>
      </c>
      <c r="K2272" s="187">
        <f ca="1">OFFSET('IWP07'!Std9BillingInfo17, 10, 12, 1, 1)</f>
        <v>0</v>
      </c>
      <c r="L2272" s="179">
        <f ca="1">OFFSET('IWP07'!Std9BillingInfo17, 12, 8, 1, 1)</f>
        <v>0</v>
      </c>
      <c r="M2272" s="129"/>
    </row>
    <row r="2273" spans="1:13" s="146" customFormat="1">
      <c r="A2273" s="183" t="s">
        <v>505</v>
      </c>
      <c r="B2273" s="196">
        <v>18</v>
      </c>
      <c r="C2273" s="195" t="str">
        <f ca="1">IF(OFFSET('IWP07'!Std9BillingInfo18, 0, 0, 1, 1) = 0, "", OFFSET('IWP07'!Std9BillingInfo18, 0, 0, 1, 1))</f>
        <v/>
      </c>
      <c r="D2273" s="172">
        <f ca="1">IF(OFFSET('IWP07'!Std9BillingInfo18, 0, 1, 1, 1)=DATE(1900,1,0), DATE(1900,1,1), OFFSET('IWP07'!Std9BillingInfo18, 0, 1, 1, 1))</f>
        <v>1</v>
      </c>
      <c r="E2273" s="172">
        <f ca="1">IF(OFFSET('IWP07'!Std9BillingInfo18, 0, 2, 1, 1)=DATE(1900,1,0), DATE(1900,1,1), OFFSET('IWP07'!Std9BillingInfo18, 0, 2, 1, 1))</f>
        <v>1</v>
      </c>
      <c r="F2273" s="187">
        <f ca="1">OFFSET('IWP07'!Std9BillingInfo18, 0, 3, 1, 1)</f>
        <v>0</v>
      </c>
      <c r="G2273" s="187">
        <f ca="1">OFFSET('IWP07'!Std9BillingInfo18, 10, 6, 1, 1)</f>
        <v>0</v>
      </c>
      <c r="H2273" s="187">
        <f ca="1">OFFSET('IWP07'!Std9BillingInfo18, 11, 6, 1, 1)</f>
        <v>0</v>
      </c>
      <c r="I2273" s="187">
        <f ca="1">OFFSET('IWP07'!Std9BillingInfo18, 10, 8, 1, 1)</f>
        <v>0</v>
      </c>
      <c r="J2273" s="187">
        <f ca="1">OFFSET('IWP07'!Std9BillingInfo18, 10, 11, 1, 1)</f>
        <v>0</v>
      </c>
      <c r="K2273" s="187">
        <f ca="1">OFFSET('IWP07'!Std9BillingInfo18, 10, 12, 1, 1)</f>
        <v>0</v>
      </c>
      <c r="L2273" s="179">
        <f ca="1">OFFSET('IWP07'!Std9BillingInfo18, 12, 8, 1, 1)</f>
        <v>0</v>
      </c>
      <c r="M2273" s="129"/>
    </row>
    <row r="2274" spans="1:13" s="146" customFormat="1">
      <c r="A2274" s="183" t="s">
        <v>506</v>
      </c>
      <c r="B2274" s="196">
        <v>1</v>
      </c>
      <c r="C2274" s="195" t="str">
        <f ca="1">IF(OFFSET('IWP08'!Std9BillingInfo01, 0, 0, 1, 1) = 0, "", OFFSET('IWP08'!Std9BillingInfo01, 0, 0, 1, 1))</f>
        <v/>
      </c>
      <c r="D2274" s="172">
        <f ca="1">IF(OFFSET('IWP08'!Std9BillingInfo01, 0, 1, 1, 1)=DATE(1900,1,0), DATE(1900,1,1), OFFSET('IWP08'!Std9BillingInfo01, 0, 1, 1, 1))</f>
        <v>1</v>
      </c>
      <c r="E2274" s="172">
        <f ca="1">IF(OFFSET('IWP08'!Std9BillingInfo01, 0, 2, 1, 1)=DATE(1900,1,0), DATE(1900,1,1), OFFSET('IWP08'!Std9BillingInfo01, 0, 2, 1, 1))</f>
        <v>1</v>
      </c>
      <c r="F2274" s="187">
        <f ca="1">OFFSET('IWP08'!Std9BillingInfo01, 0, 3, 1, 1)</f>
        <v>0</v>
      </c>
      <c r="G2274" s="187">
        <f ca="1">OFFSET('IWP08'!Std9BillingInfo01, 10, 6, 1, 1)</f>
        <v>0</v>
      </c>
      <c r="H2274" s="187">
        <f ca="1">OFFSET('IWP08'!Std9BillingInfo01, 11, 6, 1, 1)</f>
        <v>0</v>
      </c>
      <c r="I2274" s="187">
        <f ca="1">OFFSET('IWP08'!Std9BillingInfo01, 10, 8, 1, 1)</f>
        <v>0</v>
      </c>
      <c r="J2274" s="187">
        <f ca="1">OFFSET('IWP08'!Std9BillingInfo01, 10, 11, 1, 1)</f>
        <v>0</v>
      </c>
      <c r="K2274" s="187">
        <f ca="1">OFFSET('IWP08'!Std9BillingInfo01, 10, 12, 1, 1)</f>
        <v>0</v>
      </c>
      <c r="L2274" s="179">
        <f ca="1">OFFSET('IWP08'!Std9BillingInfo01, 12, 8, 1, 1)</f>
        <v>0</v>
      </c>
      <c r="M2274" s="129"/>
    </row>
    <row r="2275" spans="1:13" s="146" customFormat="1">
      <c r="A2275" s="183" t="s">
        <v>506</v>
      </c>
      <c r="B2275" s="196">
        <v>2</v>
      </c>
      <c r="C2275" s="195" t="str">
        <f ca="1">IF(OFFSET('IWP08'!Std9BillingInfo02, 0, 0, 1, 1) = 0, "", OFFSET('IWP08'!Std9BillingInfo02, 0, 0, 1, 1))</f>
        <v/>
      </c>
      <c r="D2275" s="172">
        <f ca="1">IF(OFFSET('IWP08'!Std9BillingInfo02, 0, 1, 1, 1)=DATE(1900,1,0), DATE(1900,1,1), OFFSET('IWP08'!Std9BillingInfo02, 0, 1, 1, 1))</f>
        <v>1</v>
      </c>
      <c r="E2275" s="172">
        <f ca="1">IF(OFFSET('IWP08'!Std9BillingInfo02, 0, 2, 1, 1)=DATE(1900,1,0), DATE(1900,1,1), OFFSET('IWP08'!Std9BillingInfo02, 0, 2, 1, 1))</f>
        <v>1</v>
      </c>
      <c r="F2275" s="187">
        <f ca="1">OFFSET('IWP08'!Std9BillingInfo02, 0, 3, 1, 1)</f>
        <v>0</v>
      </c>
      <c r="G2275" s="187">
        <f ca="1">OFFSET('IWP08'!Std9BillingInfo02, 10, 6, 1, 1)</f>
        <v>0</v>
      </c>
      <c r="H2275" s="187">
        <f ca="1">OFFSET('IWP08'!Std9BillingInfo02, 11, 6, 1, 1)</f>
        <v>0</v>
      </c>
      <c r="I2275" s="187">
        <f ca="1">OFFSET('IWP08'!Std9BillingInfo02, 10, 8, 1, 1)</f>
        <v>0</v>
      </c>
      <c r="J2275" s="187">
        <f ca="1">OFFSET('IWP08'!Std9BillingInfo02, 10, 11, 1, 1)</f>
        <v>0</v>
      </c>
      <c r="K2275" s="187">
        <f ca="1">OFFSET('IWP08'!Std9BillingInfo02, 10, 12, 1, 1)</f>
        <v>0</v>
      </c>
      <c r="L2275" s="179">
        <f ca="1">OFFSET('IWP08'!Std9BillingInfo02, 12, 8, 1, 1)</f>
        <v>0</v>
      </c>
      <c r="M2275" s="129"/>
    </row>
    <row r="2276" spans="1:13" s="146" customFormat="1">
      <c r="A2276" s="183" t="s">
        <v>506</v>
      </c>
      <c r="B2276" s="196">
        <v>3</v>
      </c>
      <c r="C2276" s="195" t="str">
        <f ca="1">IF(OFFSET('IWP08'!Std9BillingInfo03, 0, 0, 1, 1) = 0, "", OFFSET('IWP08'!Std9BillingInfo03, 0, 0, 1, 1))</f>
        <v/>
      </c>
      <c r="D2276" s="172">
        <f ca="1">IF(OFFSET('IWP08'!Std9BillingInfo03, 0, 1, 1, 1)=DATE(1900,1,0), DATE(1900,1,1), OFFSET('IWP08'!Std9BillingInfo03, 0, 1, 1, 1))</f>
        <v>1</v>
      </c>
      <c r="E2276" s="172">
        <f ca="1">IF(OFFSET('IWP08'!Std9BillingInfo03, 0, 2, 1, 1)=DATE(1900,1,0), DATE(1900,1,1), OFFSET('IWP08'!Std9BillingInfo03, 0, 2, 1, 1))</f>
        <v>1</v>
      </c>
      <c r="F2276" s="187">
        <f ca="1">OFFSET('IWP08'!Std9BillingInfo03, 0, 3, 1, 1)</f>
        <v>0</v>
      </c>
      <c r="G2276" s="187">
        <f ca="1">OFFSET('IWP08'!Std9BillingInfo03, 10, 6, 1, 1)</f>
        <v>0</v>
      </c>
      <c r="H2276" s="187">
        <f ca="1">OFFSET('IWP08'!Std9BillingInfo03, 11, 6, 1, 1)</f>
        <v>0</v>
      </c>
      <c r="I2276" s="187">
        <f ca="1">OFFSET('IWP08'!Std9BillingInfo03, 10, 8, 1, 1)</f>
        <v>0</v>
      </c>
      <c r="J2276" s="187">
        <f ca="1">OFFSET('IWP08'!Std9BillingInfo03, 10, 11, 1, 1)</f>
        <v>0</v>
      </c>
      <c r="K2276" s="187">
        <f ca="1">OFFSET('IWP08'!Std9BillingInfo03, 10, 12, 1, 1)</f>
        <v>0</v>
      </c>
      <c r="L2276" s="179">
        <f ca="1">OFFSET('IWP08'!Std9BillingInfo03, 12, 8, 1, 1)</f>
        <v>0</v>
      </c>
      <c r="M2276" s="129"/>
    </row>
    <row r="2277" spans="1:13" s="146" customFormat="1">
      <c r="A2277" s="183" t="s">
        <v>506</v>
      </c>
      <c r="B2277" s="196">
        <v>4</v>
      </c>
      <c r="C2277" s="195" t="str">
        <f ca="1">IF(OFFSET('IWP08'!Std9BillingInfo04, 0, 0, 1, 1) = 0, "", OFFSET('IWP08'!Std9BillingInfo04, 0, 0, 1, 1))</f>
        <v/>
      </c>
      <c r="D2277" s="172">
        <f ca="1">IF(OFFSET('IWP08'!Std9BillingInfo04, 0, 1, 1, 1)=DATE(1900,1,0), DATE(1900,1,1), OFFSET('IWP08'!Std9BillingInfo04, 0, 1, 1, 1))</f>
        <v>1</v>
      </c>
      <c r="E2277" s="172">
        <f ca="1">IF(OFFSET('IWP08'!Std9BillingInfo04, 0, 2, 1, 1)=DATE(1900,1,0), DATE(1900,1,1), OFFSET('IWP08'!Std9BillingInfo04, 0, 2, 1, 1))</f>
        <v>1</v>
      </c>
      <c r="F2277" s="187">
        <f ca="1">OFFSET('IWP08'!Std9BillingInfo04, 0, 3, 1, 1)</f>
        <v>0</v>
      </c>
      <c r="G2277" s="187">
        <f ca="1">OFFSET('IWP08'!Std9BillingInfo04, 10, 6, 1, 1)</f>
        <v>0</v>
      </c>
      <c r="H2277" s="187">
        <f ca="1">OFFSET('IWP08'!Std9BillingInfo04, 11, 6, 1, 1)</f>
        <v>0</v>
      </c>
      <c r="I2277" s="187">
        <f ca="1">OFFSET('IWP08'!Std9BillingInfo04, 10, 8, 1, 1)</f>
        <v>0</v>
      </c>
      <c r="J2277" s="187">
        <f ca="1">OFFSET('IWP08'!Std9BillingInfo04, 10, 11, 1, 1)</f>
        <v>0</v>
      </c>
      <c r="K2277" s="187">
        <f ca="1">OFFSET('IWP08'!Std9BillingInfo04, 10, 12, 1, 1)</f>
        <v>0</v>
      </c>
      <c r="L2277" s="179">
        <f ca="1">OFFSET('IWP08'!Std9BillingInfo04, 12, 8, 1, 1)</f>
        <v>0</v>
      </c>
      <c r="M2277" s="129"/>
    </row>
    <row r="2278" spans="1:13" s="146" customFormat="1">
      <c r="A2278" s="183" t="s">
        <v>506</v>
      </c>
      <c r="B2278" s="196">
        <v>5</v>
      </c>
      <c r="C2278" s="195" t="str">
        <f ca="1">IF(OFFSET('IWP08'!Std9BillingInfo05, 0, 0, 1, 1) = 0, "", OFFSET('IWP08'!Std9BillingInfo05, 0, 0, 1, 1))</f>
        <v/>
      </c>
      <c r="D2278" s="172">
        <f ca="1">IF(OFFSET('IWP08'!Std9BillingInfo05, 0, 1, 1, 1)=DATE(1900,1,0), DATE(1900,1,1), OFFSET('IWP08'!Std9BillingInfo05, 0, 1, 1, 1))</f>
        <v>1</v>
      </c>
      <c r="E2278" s="172">
        <f ca="1">IF(OFFSET('IWP08'!Std9BillingInfo05, 0, 2, 1, 1)=DATE(1900,1,0), DATE(1900,1,1), OFFSET('IWP08'!Std9BillingInfo05, 0, 2, 1, 1))</f>
        <v>1</v>
      </c>
      <c r="F2278" s="187">
        <f ca="1">OFFSET('IWP08'!Std9BillingInfo05, 0, 3, 1, 1)</f>
        <v>0</v>
      </c>
      <c r="G2278" s="187">
        <f ca="1">OFFSET('IWP08'!Std9BillingInfo05, 10, 6, 1, 1)</f>
        <v>0</v>
      </c>
      <c r="H2278" s="187">
        <f ca="1">OFFSET('IWP08'!Std9BillingInfo05, 11, 6, 1, 1)</f>
        <v>0</v>
      </c>
      <c r="I2278" s="187">
        <f ca="1">OFFSET('IWP08'!Std9BillingInfo05, 10, 8, 1, 1)</f>
        <v>0</v>
      </c>
      <c r="J2278" s="187">
        <f ca="1">OFFSET('IWP08'!Std9BillingInfo05, 10, 11, 1, 1)</f>
        <v>0</v>
      </c>
      <c r="K2278" s="187">
        <f ca="1">OFFSET('IWP08'!Std9BillingInfo05, 10, 12, 1, 1)</f>
        <v>0</v>
      </c>
      <c r="L2278" s="179">
        <f ca="1">OFFSET('IWP08'!Std9BillingInfo05, 12, 8, 1, 1)</f>
        <v>0</v>
      </c>
      <c r="M2278" s="129"/>
    </row>
    <row r="2279" spans="1:13" s="146" customFormat="1">
      <c r="A2279" s="183" t="s">
        <v>506</v>
      </c>
      <c r="B2279" s="196">
        <v>6</v>
      </c>
      <c r="C2279" s="195" t="str">
        <f ca="1">IF(OFFSET('IWP08'!Std9BillingInfo06, 0, 0, 1, 1) = 0, "", OFFSET('IWP08'!Std9BillingInfo06, 0, 0, 1, 1))</f>
        <v/>
      </c>
      <c r="D2279" s="172">
        <f ca="1">IF(OFFSET('IWP08'!Std9BillingInfo06, 0, 1, 1, 1)=DATE(1900,1,0), DATE(1900,1,1), OFFSET('IWP08'!Std9BillingInfo06, 0, 1, 1, 1))</f>
        <v>1</v>
      </c>
      <c r="E2279" s="172">
        <f ca="1">IF(OFFSET('IWP08'!Std9BillingInfo06, 0, 2, 1, 1)=DATE(1900,1,0), DATE(1900,1,1), OFFSET('IWP08'!Std9BillingInfo06, 0, 2, 1, 1))</f>
        <v>1</v>
      </c>
      <c r="F2279" s="187">
        <f ca="1">OFFSET('IWP08'!Std9BillingInfo06, 0, 3, 1, 1)</f>
        <v>0</v>
      </c>
      <c r="G2279" s="187">
        <f ca="1">OFFSET('IWP08'!Std9BillingInfo06, 10, 6, 1, 1)</f>
        <v>0</v>
      </c>
      <c r="H2279" s="187">
        <f ca="1">OFFSET('IWP08'!Std9BillingInfo06, 11, 6, 1, 1)</f>
        <v>0</v>
      </c>
      <c r="I2279" s="187">
        <f ca="1">OFFSET('IWP08'!Std9BillingInfo06, 10, 8, 1, 1)</f>
        <v>0</v>
      </c>
      <c r="J2279" s="187">
        <f ca="1">OFFSET('IWP08'!Std9BillingInfo06, 10, 11, 1, 1)</f>
        <v>0</v>
      </c>
      <c r="K2279" s="187">
        <f ca="1">OFFSET('IWP08'!Std9BillingInfo06, 10, 12, 1, 1)</f>
        <v>0</v>
      </c>
      <c r="L2279" s="179">
        <f ca="1">OFFSET('IWP08'!Std9BillingInfo06, 12, 8, 1, 1)</f>
        <v>0</v>
      </c>
      <c r="M2279" s="129"/>
    </row>
    <row r="2280" spans="1:13" s="146" customFormat="1">
      <c r="A2280" s="183" t="s">
        <v>506</v>
      </c>
      <c r="B2280" s="196">
        <v>7</v>
      </c>
      <c r="C2280" s="195" t="str">
        <f ca="1">IF(OFFSET('IWP08'!Std9BillingInfo07, 0, 0, 1, 1) = 0, "", OFFSET('IWP08'!Std9BillingInfo07, 0, 0, 1, 1))</f>
        <v/>
      </c>
      <c r="D2280" s="172">
        <f ca="1">IF(OFFSET('IWP08'!Std9BillingInfo07, 0, 1, 1, 1)=DATE(1900,1,0), DATE(1900,1,1), OFFSET('IWP08'!Std9BillingInfo07, 0, 1, 1, 1))</f>
        <v>1</v>
      </c>
      <c r="E2280" s="172">
        <f ca="1">IF(OFFSET('IWP08'!Std9BillingInfo07, 0, 2, 1, 1)=DATE(1900,1,0), DATE(1900,1,1), OFFSET('IWP08'!Std9BillingInfo07, 0, 2, 1, 1))</f>
        <v>1</v>
      </c>
      <c r="F2280" s="187">
        <f ca="1">OFFSET('IWP08'!Std9BillingInfo07, 0, 3, 1, 1)</f>
        <v>0</v>
      </c>
      <c r="G2280" s="187">
        <f ca="1">OFFSET('IWP08'!Std9BillingInfo07, 10, 6, 1, 1)</f>
        <v>0</v>
      </c>
      <c r="H2280" s="187">
        <f ca="1">OFFSET('IWP08'!Std9BillingInfo07, 11, 6, 1, 1)</f>
        <v>0</v>
      </c>
      <c r="I2280" s="187">
        <f ca="1">OFFSET('IWP08'!Std9BillingInfo07, 10, 8, 1, 1)</f>
        <v>0</v>
      </c>
      <c r="J2280" s="187">
        <f ca="1">OFFSET('IWP08'!Std9BillingInfo07, 10, 11, 1, 1)</f>
        <v>0</v>
      </c>
      <c r="K2280" s="187">
        <f ca="1">OFFSET('IWP08'!Std9BillingInfo07, 10, 12, 1, 1)</f>
        <v>0</v>
      </c>
      <c r="L2280" s="179">
        <f ca="1">OFFSET('IWP08'!Std9BillingInfo07, 12, 8, 1, 1)</f>
        <v>0</v>
      </c>
      <c r="M2280" s="129"/>
    </row>
    <row r="2281" spans="1:13" s="146" customFormat="1">
      <c r="A2281" s="183" t="s">
        <v>506</v>
      </c>
      <c r="B2281" s="196">
        <v>8</v>
      </c>
      <c r="C2281" s="195" t="str">
        <f ca="1">IF(OFFSET('IWP08'!Std9BillingInfo08, 0, 0, 1, 1) = 0, "", OFFSET('IWP08'!Std9BillingInfo08, 0, 0, 1, 1))</f>
        <v/>
      </c>
      <c r="D2281" s="172">
        <f ca="1">IF(OFFSET('IWP08'!Std9BillingInfo08, 0, 1, 1, 1)=DATE(1900,1,0), DATE(1900,1,1), OFFSET('IWP08'!Std9BillingInfo08, 0, 1, 1, 1))</f>
        <v>1</v>
      </c>
      <c r="E2281" s="172">
        <f ca="1">IF(OFFSET('IWP08'!Std9BillingInfo08, 0, 2, 1, 1)=DATE(1900,1,0), DATE(1900,1,1), OFFSET('IWP08'!Std9BillingInfo08, 0, 2, 1, 1))</f>
        <v>1</v>
      </c>
      <c r="F2281" s="187">
        <f ca="1">OFFSET('IWP08'!Std9BillingInfo08, 0, 3, 1, 1)</f>
        <v>0</v>
      </c>
      <c r="G2281" s="187">
        <f ca="1">OFFSET('IWP08'!Std9BillingInfo08, 10, 6, 1, 1)</f>
        <v>0</v>
      </c>
      <c r="H2281" s="187">
        <f ca="1">OFFSET('IWP08'!Std9BillingInfo08, 11, 6, 1, 1)</f>
        <v>0</v>
      </c>
      <c r="I2281" s="187">
        <f ca="1">OFFSET('IWP08'!Std9BillingInfo08, 10, 8, 1, 1)</f>
        <v>0</v>
      </c>
      <c r="J2281" s="187">
        <f ca="1">OFFSET('IWP08'!Std9BillingInfo08, 10, 11, 1, 1)</f>
        <v>0</v>
      </c>
      <c r="K2281" s="187">
        <f ca="1">OFFSET('IWP08'!Std9BillingInfo08, 10, 12, 1, 1)</f>
        <v>0</v>
      </c>
      <c r="L2281" s="179">
        <f ca="1">OFFSET('IWP08'!Std9BillingInfo08, 12, 8, 1, 1)</f>
        <v>0</v>
      </c>
      <c r="M2281" s="129"/>
    </row>
    <row r="2282" spans="1:13" s="146" customFormat="1">
      <c r="A2282" s="183" t="s">
        <v>506</v>
      </c>
      <c r="B2282" s="196">
        <v>9</v>
      </c>
      <c r="C2282" s="195" t="str">
        <f ca="1">IF(OFFSET('IWP08'!Std9BillingInfo09, 0, 0, 1, 1) = 0, "", OFFSET('IWP08'!Std9BillingInfo09, 0, 0, 1, 1))</f>
        <v/>
      </c>
      <c r="D2282" s="172">
        <f ca="1">IF(OFFSET('IWP08'!Std9BillingInfo09, 0, 1, 1, 1)=DATE(1900,1,0), DATE(1900,1,1), OFFSET('IWP08'!Std9BillingInfo09, 0, 1, 1, 1))</f>
        <v>1</v>
      </c>
      <c r="E2282" s="172">
        <f ca="1">IF(OFFSET('IWP08'!Std9BillingInfo09, 0, 2, 1, 1)=DATE(1900,1,0), DATE(1900,1,1), OFFSET('IWP08'!Std9BillingInfo09, 0, 2, 1, 1))</f>
        <v>1</v>
      </c>
      <c r="F2282" s="187">
        <f ca="1">OFFSET('IWP08'!Std9BillingInfo09, 0, 3, 1, 1)</f>
        <v>0</v>
      </c>
      <c r="G2282" s="187">
        <f ca="1">OFFSET('IWP08'!Std9BillingInfo09, 10, 6, 1, 1)</f>
        <v>0</v>
      </c>
      <c r="H2282" s="187">
        <f ca="1">OFFSET('IWP08'!Std9BillingInfo09, 11, 6, 1, 1)</f>
        <v>0</v>
      </c>
      <c r="I2282" s="187">
        <f ca="1">OFFSET('IWP08'!Std9BillingInfo09, 10, 8, 1, 1)</f>
        <v>0</v>
      </c>
      <c r="J2282" s="187">
        <f ca="1">OFFSET('IWP08'!Std9BillingInfo09, 10, 11, 1, 1)</f>
        <v>0</v>
      </c>
      <c r="K2282" s="187">
        <f ca="1">OFFSET('IWP08'!Std9BillingInfo09, 10, 12, 1, 1)</f>
        <v>0</v>
      </c>
      <c r="L2282" s="179">
        <f ca="1">OFFSET('IWP08'!Std9BillingInfo09, 12, 8, 1, 1)</f>
        <v>0</v>
      </c>
      <c r="M2282" s="129"/>
    </row>
    <row r="2283" spans="1:13" s="146" customFormat="1">
      <c r="A2283" s="183" t="s">
        <v>506</v>
      </c>
      <c r="B2283" s="196">
        <v>10</v>
      </c>
      <c r="C2283" s="195" t="str">
        <f ca="1">IF(OFFSET('IWP08'!Std9BillingInfo10, 0, 0, 1, 1) = 0, "", OFFSET('IWP08'!Std9BillingInfo10, 0, 0, 1, 1))</f>
        <v/>
      </c>
      <c r="D2283" s="172">
        <f ca="1">IF(OFFSET('IWP08'!Std9BillingInfo10, 0, 1, 1, 1)=DATE(1900,1,0), DATE(1900,1,1), OFFSET('IWP08'!Std9BillingInfo10, 0, 1, 1, 1))</f>
        <v>1</v>
      </c>
      <c r="E2283" s="172">
        <f ca="1">IF(OFFSET('IWP08'!Std9BillingInfo10, 0, 2, 1, 1)=DATE(1900,1,0), DATE(1900,1,1), OFFSET('IWP08'!Std9BillingInfo10, 0, 2, 1, 1))</f>
        <v>1</v>
      </c>
      <c r="F2283" s="187">
        <f ca="1">OFFSET('IWP08'!Std9BillingInfo10, 0, 3, 1, 1)</f>
        <v>0</v>
      </c>
      <c r="G2283" s="187">
        <f ca="1">OFFSET('IWP08'!Std9BillingInfo10, 10, 6, 1, 1)</f>
        <v>0</v>
      </c>
      <c r="H2283" s="187">
        <f ca="1">OFFSET('IWP08'!Std9BillingInfo10, 11, 6, 1, 1)</f>
        <v>0</v>
      </c>
      <c r="I2283" s="187">
        <f ca="1">OFFSET('IWP08'!Std9BillingInfo10, 10, 8, 1, 1)</f>
        <v>0</v>
      </c>
      <c r="J2283" s="187">
        <f ca="1">OFFSET('IWP08'!Std9BillingInfo10, 10, 11, 1, 1)</f>
        <v>0</v>
      </c>
      <c r="K2283" s="187">
        <f ca="1">OFFSET('IWP08'!Std9BillingInfo10, 10, 12, 1, 1)</f>
        <v>0</v>
      </c>
      <c r="L2283" s="179">
        <f ca="1">OFFSET('IWP08'!Std9BillingInfo10, 12, 8, 1, 1)</f>
        <v>0</v>
      </c>
      <c r="M2283" s="129"/>
    </row>
    <row r="2284" spans="1:13" s="146" customFormat="1">
      <c r="A2284" s="183" t="s">
        <v>506</v>
      </c>
      <c r="B2284" s="196">
        <v>11</v>
      </c>
      <c r="C2284" s="195" t="str">
        <f ca="1">IF(OFFSET('IWP08'!Std9BillingInfo11, 0, 0, 1, 1) = 0, "", OFFSET('IWP08'!Std9BillingInfo11, 0, 0, 1, 1))</f>
        <v/>
      </c>
      <c r="D2284" s="172">
        <f ca="1">IF(OFFSET('IWP08'!Std9BillingInfo11, 0, 1, 1, 1)=DATE(1900,1,0), DATE(1900,1,1), OFFSET('IWP08'!Std9BillingInfo11, 0, 1, 1, 1))</f>
        <v>1</v>
      </c>
      <c r="E2284" s="172">
        <f ca="1">IF(OFFSET('IWP08'!Std9BillingInfo11, 0, 2, 1, 1)=DATE(1900,1,0), DATE(1900,1,1), OFFSET('IWP08'!Std9BillingInfo11, 0, 2, 1, 1))</f>
        <v>1</v>
      </c>
      <c r="F2284" s="187">
        <f ca="1">OFFSET('IWP08'!Std9BillingInfo11, 0, 3, 1, 1)</f>
        <v>0</v>
      </c>
      <c r="G2284" s="187">
        <f ca="1">OFFSET('IWP08'!Std9BillingInfo11, 10, 6, 1, 1)</f>
        <v>0</v>
      </c>
      <c r="H2284" s="187">
        <f ca="1">OFFSET('IWP08'!Std9BillingInfo11, 11, 6, 1, 1)</f>
        <v>0</v>
      </c>
      <c r="I2284" s="187">
        <f ca="1">OFFSET('IWP08'!Std9BillingInfo11, 10, 8, 1, 1)</f>
        <v>0</v>
      </c>
      <c r="J2284" s="187">
        <f ca="1">OFFSET('IWP08'!Std9BillingInfo11, 10, 11, 1, 1)</f>
        <v>0</v>
      </c>
      <c r="K2284" s="187">
        <f ca="1">OFFSET('IWP08'!Std9BillingInfo11, 10, 12, 1, 1)</f>
        <v>0</v>
      </c>
      <c r="L2284" s="179">
        <f ca="1">OFFSET('IWP08'!Std9BillingInfo11, 12, 8, 1, 1)</f>
        <v>0</v>
      </c>
      <c r="M2284" s="129"/>
    </row>
    <row r="2285" spans="1:13" s="146" customFormat="1">
      <c r="A2285" s="183" t="s">
        <v>506</v>
      </c>
      <c r="B2285" s="196">
        <v>12</v>
      </c>
      <c r="C2285" s="195" t="str">
        <f ca="1">IF(OFFSET('IWP08'!Std9BillingInfo12, 0, 0, 1, 1) = 0, "", OFFSET('IWP08'!Std9BillingInfo12, 0, 0, 1, 1))</f>
        <v/>
      </c>
      <c r="D2285" s="172">
        <f ca="1">IF(OFFSET('IWP08'!Std9BillingInfo12, 0, 1, 1, 1)=DATE(1900,1,0), DATE(1900,1,1), OFFSET('IWP08'!Std9BillingInfo12, 0, 1, 1, 1))</f>
        <v>1</v>
      </c>
      <c r="E2285" s="172">
        <f ca="1">IF(OFFSET('IWP08'!Std9BillingInfo12, 0, 2, 1, 1)=DATE(1900,1,0), DATE(1900,1,1), OFFSET('IWP08'!Std9BillingInfo12, 0, 2, 1, 1))</f>
        <v>1</v>
      </c>
      <c r="F2285" s="187">
        <f ca="1">OFFSET('IWP08'!Std9BillingInfo12, 0, 3, 1, 1)</f>
        <v>0</v>
      </c>
      <c r="G2285" s="187">
        <f ca="1">OFFSET('IWP08'!Std9BillingInfo12, 10, 6, 1, 1)</f>
        <v>0</v>
      </c>
      <c r="H2285" s="187">
        <f ca="1">OFFSET('IWP08'!Std9BillingInfo12, 11, 6, 1, 1)</f>
        <v>0</v>
      </c>
      <c r="I2285" s="187">
        <f ca="1">OFFSET('IWP08'!Std9BillingInfo12, 10, 8, 1, 1)</f>
        <v>0</v>
      </c>
      <c r="J2285" s="187">
        <f ca="1">OFFSET('IWP08'!Std9BillingInfo12, 10, 11, 1, 1)</f>
        <v>0</v>
      </c>
      <c r="K2285" s="187">
        <f ca="1">OFFSET('IWP08'!Std9BillingInfo12, 10, 12, 1, 1)</f>
        <v>0</v>
      </c>
      <c r="L2285" s="179">
        <f ca="1">OFFSET('IWP08'!Std9BillingInfo12, 12, 8, 1, 1)</f>
        <v>0</v>
      </c>
      <c r="M2285" s="129"/>
    </row>
    <row r="2286" spans="1:13" s="146" customFormat="1">
      <c r="A2286" s="183" t="s">
        <v>506</v>
      </c>
      <c r="B2286" s="196">
        <v>13</v>
      </c>
      <c r="C2286" s="195" t="str">
        <f ca="1">IF(OFFSET('IWP08'!Std9BillingInfo13, 0, 0, 1, 1) = 0, "", OFFSET('IWP08'!Std9BillingInfo13, 0, 0, 1, 1))</f>
        <v/>
      </c>
      <c r="D2286" s="172">
        <f ca="1">IF(OFFSET('IWP08'!Std9BillingInfo13, 0, 1, 1, 1)=DATE(1900,1,0), DATE(1900,1,1), OFFSET('IWP08'!Std9BillingInfo13, 0, 1, 1, 1))</f>
        <v>1</v>
      </c>
      <c r="E2286" s="172">
        <f ca="1">IF(OFFSET('IWP08'!Std9BillingInfo13, 0, 2, 1, 1)=DATE(1900,1,0), DATE(1900,1,1), OFFSET('IWP08'!Std9BillingInfo13, 0, 2, 1, 1))</f>
        <v>1</v>
      </c>
      <c r="F2286" s="187">
        <f ca="1">OFFSET('IWP08'!Std9BillingInfo13, 0, 3, 1, 1)</f>
        <v>0</v>
      </c>
      <c r="G2286" s="187">
        <f ca="1">OFFSET('IWP08'!Std9BillingInfo13, 10, 6, 1, 1)</f>
        <v>0</v>
      </c>
      <c r="H2286" s="187">
        <f ca="1">OFFSET('IWP08'!Std9BillingInfo13, 11, 6, 1, 1)</f>
        <v>0</v>
      </c>
      <c r="I2286" s="187">
        <f ca="1">OFFSET('IWP08'!Std9BillingInfo13, 10, 8, 1, 1)</f>
        <v>0</v>
      </c>
      <c r="J2286" s="187">
        <f ca="1">OFFSET('IWP08'!Std9BillingInfo13, 10, 11, 1, 1)</f>
        <v>0</v>
      </c>
      <c r="K2286" s="187">
        <f ca="1">OFFSET('IWP08'!Std9BillingInfo13, 10, 12, 1, 1)</f>
        <v>0</v>
      </c>
      <c r="L2286" s="179">
        <f ca="1">OFFSET('IWP08'!Std9BillingInfo13, 12, 8, 1, 1)</f>
        <v>0</v>
      </c>
      <c r="M2286" s="129"/>
    </row>
    <row r="2287" spans="1:13" s="146" customFormat="1">
      <c r="A2287" s="183" t="s">
        <v>506</v>
      </c>
      <c r="B2287" s="196">
        <v>14</v>
      </c>
      <c r="C2287" s="195" t="str">
        <f ca="1">IF(OFFSET('IWP08'!Std9BillingInfo14, 0, 0, 1, 1) = 0, "", OFFSET('IWP08'!Std9BillingInfo14, 0, 0, 1, 1))</f>
        <v/>
      </c>
      <c r="D2287" s="172">
        <f ca="1">IF(OFFSET('IWP08'!Std9BillingInfo14, 0, 1, 1, 1)=DATE(1900,1,0), DATE(1900,1,1), OFFSET('IWP08'!Std9BillingInfo14, 0, 1, 1, 1))</f>
        <v>1</v>
      </c>
      <c r="E2287" s="172">
        <f ca="1">IF(OFFSET('IWP08'!Std9BillingInfo14, 0, 2, 1, 1)=DATE(1900,1,0), DATE(1900,1,1), OFFSET('IWP08'!Std9BillingInfo14, 0, 2, 1, 1))</f>
        <v>1</v>
      </c>
      <c r="F2287" s="187">
        <f ca="1">OFFSET('IWP08'!Std9BillingInfo14, 0, 3, 1, 1)</f>
        <v>0</v>
      </c>
      <c r="G2287" s="187">
        <f ca="1">OFFSET('IWP08'!Std9BillingInfo14, 10, 6, 1, 1)</f>
        <v>0</v>
      </c>
      <c r="H2287" s="187">
        <f ca="1">OFFSET('IWP08'!Std9BillingInfo14, 11, 6, 1, 1)</f>
        <v>0</v>
      </c>
      <c r="I2287" s="187">
        <f ca="1">OFFSET('IWP08'!Std9BillingInfo14, 10, 8, 1, 1)</f>
        <v>0</v>
      </c>
      <c r="J2287" s="187">
        <f ca="1">OFFSET('IWP08'!Std9BillingInfo14, 10, 11, 1, 1)</f>
        <v>0</v>
      </c>
      <c r="K2287" s="187">
        <f ca="1">OFFSET('IWP08'!Std9BillingInfo14, 10, 12, 1, 1)</f>
        <v>0</v>
      </c>
      <c r="L2287" s="179">
        <f ca="1">OFFSET('IWP08'!Std9BillingInfo14, 12, 8, 1, 1)</f>
        <v>0</v>
      </c>
      <c r="M2287" s="129"/>
    </row>
    <row r="2288" spans="1:13" s="146" customFormat="1">
      <c r="A2288" s="183" t="s">
        <v>506</v>
      </c>
      <c r="B2288" s="196">
        <v>15</v>
      </c>
      <c r="C2288" s="195" t="str">
        <f ca="1">IF(OFFSET('IWP08'!Std9BillingInfo15, 0, 0, 1, 1) = 0, "", OFFSET('IWP08'!Std9BillingInfo15, 0, 0, 1, 1))</f>
        <v/>
      </c>
      <c r="D2288" s="172">
        <f ca="1">IF(OFFSET('IWP08'!Std9BillingInfo15, 0, 1, 1, 1)=DATE(1900,1,0), DATE(1900,1,1), OFFSET('IWP08'!Std9BillingInfo15, 0, 1, 1, 1))</f>
        <v>1</v>
      </c>
      <c r="E2288" s="172">
        <f ca="1">IF(OFFSET('IWP08'!Std9BillingInfo15, 0, 2, 1, 1)=DATE(1900,1,0), DATE(1900,1,1), OFFSET('IWP08'!Std9BillingInfo15, 0, 2, 1, 1))</f>
        <v>1</v>
      </c>
      <c r="F2288" s="187">
        <f ca="1">OFFSET('IWP08'!Std9BillingInfo15, 0, 3, 1, 1)</f>
        <v>0</v>
      </c>
      <c r="G2288" s="187">
        <f ca="1">OFFSET('IWP08'!Std9BillingInfo15, 10, 6, 1, 1)</f>
        <v>0</v>
      </c>
      <c r="H2288" s="187">
        <f ca="1">OFFSET('IWP08'!Std9BillingInfo15, 11, 6, 1, 1)</f>
        <v>0</v>
      </c>
      <c r="I2288" s="187">
        <f ca="1">OFFSET('IWP08'!Std9BillingInfo15, 10, 8, 1, 1)</f>
        <v>0</v>
      </c>
      <c r="J2288" s="187">
        <f ca="1">OFFSET('IWP08'!Std9BillingInfo15, 10, 11, 1, 1)</f>
        <v>0</v>
      </c>
      <c r="K2288" s="187">
        <f ca="1">OFFSET('IWP08'!Std9BillingInfo15, 10, 12, 1, 1)</f>
        <v>0</v>
      </c>
      <c r="L2288" s="179">
        <f ca="1">OFFSET('IWP08'!Std9BillingInfo15, 12, 8, 1, 1)</f>
        <v>0</v>
      </c>
      <c r="M2288" s="129"/>
    </row>
    <row r="2289" spans="1:13" s="146" customFormat="1">
      <c r="A2289" s="183" t="s">
        <v>506</v>
      </c>
      <c r="B2289" s="196">
        <v>16</v>
      </c>
      <c r="C2289" s="195" t="str">
        <f ca="1">IF(OFFSET('IWP08'!Std9BillingInfo16, 0, 0, 1, 1) = 0, "", OFFSET('IWP08'!Std9BillingInfo16, 0, 0, 1, 1))</f>
        <v/>
      </c>
      <c r="D2289" s="172">
        <f ca="1">IF(OFFSET('IWP08'!Std9BillingInfo16, 0, 1, 1, 1)=DATE(1900,1,0), DATE(1900,1,1), OFFSET('IWP08'!Std9BillingInfo16, 0, 1, 1, 1))</f>
        <v>1</v>
      </c>
      <c r="E2289" s="172">
        <f ca="1">IF(OFFSET('IWP08'!Std9BillingInfo16, 0, 2, 1, 1)=DATE(1900,1,0), DATE(1900,1,1), OFFSET('IWP08'!Std9BillingInfo16, 0, 2, 1, 1))</f>
        <v>1</v>
      </c>
      <c r="F2289" s="187">
        <f ca="1">OFFSET('IWP08'!Std9BillingInfo16, 0, 3, 1, 1)</f>
        <v>0</v>
      </c>
      <c r="G2289" s="187">
        <f ca="1">OFFSET('IWP08'!Std9BillingInfo16, 10, 6, 1, 1)</f>
        <v>0</v>
      </c>
      <c r="H2289" s="187">
        <f ca="1">OFFSET('IWP08'!Std9BillingInfo16, 11, 6, 1, 1)</f>
        <v>0</v>
      </c>
      <c r="I2289" s="187">
        <f ca="1">OFFSET('IWP08'!Std9BillingInfo16, 10, 8, 1, 1)</f>
        <v>0</v>
      </c>
      <c r="J2289" s="187">
        <f ca="1">OFFSET('IWP08'!Std9BillingInfo16, 10, 11, 1, 1)</f>
        <v>0</v>
      </c>
      <c r="K2289" s="187">
        <f ca="1">OFFSET('IWP08'!Std9BillingInfo16, 10, 12, 1, 1)</f>
        <v>0</v>
      </c>
      <c r="L2289" s="179">
        <f ca="1">OFFSET('IWP08'!Std9BillingInfo16, 12, 8, 1, 1)</f>
        <v>0</v>
      </c>
      <c r="M2289" s="129"/>
    </row>
    <row r="2290" spans="1:13" s="146" customFormat="1">
      <c r="A2290" s="183" t="s">
        <v>506</v>
      </c>
      <c r="B2290" s="196">
        <v>17</v>
      </c>
      <c r="C2290" s="195" t="str">
        <f ca="1">IF(OFFSET('IWP08'!Std9BillingInfo17, 0, 0, 1, 1) = 0, "", OFFSET('IWP08'!Std9BillingInfo17, 0, 0, 1, 1))</f>
        <v/>
      </c>
      <c r="D2290" s="172">
        <f ca="1">IF(OFFSET('IWP08'!Std9BillingInfo17, 0, 1, 1, 1)=DATE(1900,1,0), DATE(1900,1,1), OFFSET('IWP08'!Std9BillingInfo17, 0, 1, 1, 1))</f>
        <v>1</v>
      </c>
      <c r="E2290" s="172">
        <f ca="1">IF(OFFSET('IWP08'!Std9BillingInfo17, 0, 2, 1, 1)=DATE(1900,1,0), DATE(1900,1,1), OFFSET('IWP08'!Std9BillingInfo17, 0, 2, 1, 1))</f>
        <v>1</v>
      </c>
      <c r="F2290" s="187">
        <f ca="1">OFFSET('IWP08'!Std9BillingInfo17, 0, 3, 1, 1)</f>
        <v>0</v>
      </c>
      <c r="G2290" s="187">
        <f ca="1">OFFSET('IWP08'!Std9BillingInfo17, 10, 6, 1, 1)</f>
        <v>0</v>
      </c>
      <c r="H2290" s="187">
        <f ca="1">OFFSET('IWP08'!Std9BillingInfo17, 11, 6, 1, 1)</f>
        <v>0</v>
      </c>
      <c r="I2290" s="187">
        <f ca="1">OFFSET('IWP08'!Std9BillingInfo17, 10, 8, 1, 1)</f>
        <v>0</v>
      </c>
      <c r="J2290" s="187">
        <f ca="1">OFFSET('IWP08'!Std9BillingInfo17, 10, 11, 1, 1)</f>
        <v>0</v>
      </c>
      <c r="K2290" s="187">
        <f ca="1">OFFSET('IWP08'!Std9BillingInfo17, 10, 12, 1, 1)</f>
        <v>0</v>
      </c>
      <c r="L2290" s="179">
        <f ca="1">OFFSET('IWP08'!Std9BillingInfo17, 12, 8, 1, 1)</f>
        <v>0</v>
      </c>
      <c r="M2290" s="129"/>
    </row>
    <row r="2291" spans="1:13" s="146" customFormat="1">
      <c r="A2291" s="183" t="s">
        <v>506</v>
      </c>
      <c r="B2291" s="196">
        <v>18</v>
      </c>
      <c r="C2291" s="195" t="str">
        <f ca="1">IF(OFFSET('IWP08'!Std9BillingInfo18, 0, 0, 1, 1) = 0, "", OFFSET('IWP08'!Std9BillingInfo18, 0, 0, 1, 1))</f>
        <v/>
      </c>
      <c r="D2291" s="172">
        <f ca="1">IF(OFFSET('IWP08'!Std9BillingInfo18, 0, 1, 1, 1)=DATE(1900,1,0), DATE(1900,1,1), OFFSET('IWP08'!Std9BillingInfo18, 0, 1, 1, 1))</f>
        <v>1</v>
      </c>
      <c r="E2291" s="172">
        <f ca="1">IF(OFFSET('IWP08'!Std9BillingInfo18, 0, 2, 1, 1)=DATE(1900,1,0), DATE(1900,1,1), OFFSET('IWP08'!Std9BillingInfo18, 0, 2, 1, 1))</f>
        <v>1</v>
      </c>
      <c r="F2291" s="187">
        <f ca="1">OFFSET('IWP08'!Std9BillingInfo18, 0, 3, 1, 1)</f>
        <v>0</v>
      </c>
      <c r="G2291" s="187">
        <f ca="1">OFFSET('IWP08'!Std9BillingInfo18, 10, 6, 1, 1)</f>
        <v>0</v>
      </c>
      <c r="H2291" s="187">
        <f ca="1">OFFSET('IWP08'!Std9BillingInfo18, 11, 6, 1, 1)</f>
        <v>0</v>
      </c>
      <c r="I2291" s="187">
        <f ca="1">OFFSET('IWP08'!Std9BillingInfo18, 10, 8, 1, 1)</f>
        <v>0</v>
      </c>
      <c r="J2291" s="187">
        <f ca="1">OFFSET('IWP08'!Std9BillingInfo18, 10, 11, 1, 1)</f>
        <v>0</v>
      </c>
      <c r="K2291" s="187">
        <f ca="1">OFFSET('IWP08'!Std9BillingInfo18, 10, 12, 1, 1)</f>
        <v>0</v>
      </c>
      <c r="L2291" s="179">
        <f ca="1">OFFSET('IWP08'!Std9BillingInfo18, 12, 8, 1, 1)</f>
        <v>0</v>
      </c>
      <c r="M2291" s="129"/>
    </row>
    <row r="2292" spans="1:13" s="146" customFormat="1">
      <c r="A2292" s="183" t="s">
        <v>507</v>
      </c>
      <c r="B2292" s="196">
        <v>1</v>
      </c>
      <c r="C2292" s="195" t="str">
        <f ca="1">IF(OFFSET('IWP09'!Std9BillingInfo01, 0, 0, 1, 1) = 0, "", OFFSET('IWP09'!Std9BillingInfo01, 0, 0, 1, 1))</f>
        <v/>
      </c>
      <c r="D2292" s="172">
        <f ca="1">IF(OFFSET('IWP09'!Std9BillingInfo01, 0, 1, 1, 1)=DATE(1900,1,0), DATE(1900,1,1), OFFSET('IWP09'!Std9BillingInfo01, 0, 1, 1, 1))</f>
        <v>1</v>
      </c>
      <c r="E2292" s="172">
        <f ca="1">IF(OFFSET('IWP09'!Std9BillingInfo01, 0, 2, 1, 1)=DATE(1900,1,0), DATE(1900,1,1), OFFSET('IWP09'!Std9BillingInfo01, 0, 2, 1, 1))</f>
        <v>1</v>
      </c>
      <c r="F2292" s="187">
        <f ca="1">OFFSET('IWP09'!Std9BillingInfo01, 0, 3, 1, 1)</f>
        <v>0</v>
      </c>
      <c r="G2292" s="187">
        <f ca="1">OFFSET('IWP09'!Std9BillingInfo01, 10, 6, 1, 1)</f>
        <v>0</v>
      </c>
      <c r="H2292" s="187">
        <f ca="1">OFFSET('IWP09'!Std9BillingInfo01, 11, 6, 1, 1)</f>
        <v>0</v>
      </c>
      <c r="I2292" s="187">
        <f ca="1">OFFSET('IWP09'!Std9BillingInfo01, 10, 8, 1, 1)</f>
        <v>0</v>
      </c>
      <c r="J2292" s="187">
        <f ca="1">OFFSET('IWP09'!Std9BillingInfo01, 10, 11, 1, 1)</f>
        <v>0</v>
      </c>
      <c r="K2292" s="187">
        <f ca="1">OFFSET('IWP09'!Std9BillingInfo01, 10, 12, 1, 1)</f>
        <v>0</v>
      </c>
      <c r="L2292" s="179">
        <f ca="1">OFFSET('IWP09'!Std9BillingInfo01, 12, 8, 1, 1)</f>
        <v>0</v>
      </c>
      <c r="M2292" s="129"/>
    </row>
    <row r="2293" spans="1:13" s="146" customFormat="1">
      <c r="A2293" s="183" t="s">
        <v>507</v>
      </c>
      <c r="B2293" s="196">
        <v>2</v>
      </c>
      <c r="C2293" s="195" t="str">
        <f ca="1">IF(OFFSET('IWP09'!Std9BillingInfo02, 0, 0, 1, 1) = 0, "", OFFSET('IWP09'!Std9BillingInfo02, 0, 0, 1, 1))</f>
        <v/>
      </c>
      <c r="D2293" s="172">
        <f ca="1">IF(OFFSET('IWP09'!Std9BillingInfo02, 0, 1, 1, 1)=DATE(1900,1,0), DATE(1900,1,1), OFFSET('IWP09'!Std9BillingInfo02, 0, 1, 1, 1))</f>
        <v>1</v>
      </c>
      <c r="E2293" s="172">
        <f ca="1">IF(OFFSET('IWP09'!Std9BillingInfo02, 0, 2, 1, 1)=DATE(1900,1,0), DATE(1900,1,1), OFFSET('IWP09'!Std9BillingInfo02, 0, 2, 1, 1))</f>
        <v>1</v>
      </c>
      <c r="F2293" s="187">
        <f ca="1">OFFSET('IWP09'!Std9BillingInfo02, 0, 3, 1, 1)</f>
        <v>0</v>
      </c>
      <c r="G2293" s="187">
        <f ca="1">OFFSET('IWP09'!Std9BillingInfo02, 10, 6, 1, 1)</f>
        <v>0</v>
      </c>
      <c r="H2293" s="187">
        <f ca="1">OFFSET('IWP09'!Std9BillingInfo02, 11, 6, 1, 1)</f>
        <v>0</v>
      </c>
      <c r="I2293" s="187">
        <f ca="1">OFFSET('IWP09'!Std9BillingInfo02, 10, 8, 1, 1)</f>
        <v>0</v>
      </c>
      <c r="J2293" s="187">
        <f ca="1">OFFSET('IWP09'!Std9BillingInfo02, 10, 11, 1, 1)</f>
        <v>0</v>
      </c>
      <c r="K2293" s="187">
        <f ca="1">OFFSET('IWP09'!Std9BillingInfo02, 10, 12, 1, 1)</f>
        <v>0</v>
      </c>
      <c r="L2293" s="179">
        <f ca="1">OFFSET('IWP09'!Std9BillingInfo02, 12, 8, 1, 1)</f>
        <v>0</v>
      </c>
      <c r="M2293" s="129"/>
    </row>
    <row r="2294" spans="1:13" s="146" customFormat="1">
      <c r="A2294" s="183" t="s">
        <v>507</v>
      </c>
      <c r="B2294" s="196">
        <v>3</v>
      </c>
      <c r="C2294" s="195" t="str">
        <f ca="1">IF(OFFSET('IWP09'!Std9BillingInfo03, 0, 0, 1, 1) = 0, "", OFFSET('IWP09'!Std9BillingInfo03, 0, 0, 1, 1))</f>
        <v/>
      </c>
      <c r="D2294" s="172">
        <f ca="1">IF(OFFSET('IWP09'!Std9BillingInfo03, 0, 1, 1, 1)=DATE(1900,1,0), DATE(1900,1,1), OFFSET('IWP09'!Std9BillingInfo03, 0, 1, 1, 1))</f>
        <v>1</v>
      </c>
      <c r="E2294" s="172">
        <f ca="1">IF(OFFSET('IWP09'!Std9BillingInfo03, 0, 2, 1, 1)=DATE(1900,1,0), DATE(1900,1,1), OFFSET('IWP09'!Std9BillingInfo03, 0, 2, 1, 1))</f>
        <v>1</v>
      </c>
      <c r="F2294" s="187">
        <f ca="1">OFFSET('IWP09'!Std9BillingInfo03, 0, 3, 1, 1)</f>
        <v>0</v>
      </c>
      <c r="G2294" s="187">
        <f ca="1">OFFSET('IWP09'!Std9BillingInfo03, 10, 6, 1, 1)</f>
        <v>0</v>
      </c>
      <c r="H2294" s="187">
        <f ca="1">OFFSET('IWP09'!Std9BillingInfo03, 11, 6, 1, 1)</f>
        <v>0</v>
      </c>
      <c r="I2294" s="187">
        <f ca="1">OFFSET('IWP09'!Std9BillingInfo03, 10, 8, 1, 1)</f>
        <v>0</v>
      </c>
      <c r="J2294" s="187">
        <f ca="1">OFFSET('IWP09'!Std9BillingInfo03, 10, 11, 1, 1)</f>
        <v>0</v>
      </c>
      <c r="K2294" s="187">
        <f ca="1">OFFSET('IWP09'!Std9BillingInfo03, 10, 12, 1, 1)</f>
        <v>0</v>
      </c>
      <c r="L2294" s="179">
        <f ca="1">OFFSET('IWP09'!Std9BillingInfo03, 12, 8, 1, 1)</f>
        <v>0</v>
      </c>
      <c r="M2294" s="129"/>
    </row>
    <row r="2295" spans="1:13" s="146" customFormat="1">
      <c r="A2295" s="183" t="s">
        <v>507</v>
      </c>
      <c r="B2295" s="196">
        <v>4</v>
      </c>
      <c r="C2295" s="195" t="str">
        <f ca="1">IF(OFFSET('IWP09'!Std9BillingInfo04, 0, 0, 1, 1) = 0, "", OFFSET('IWP09'!Std9BillingInfo04, 0, 0, 1, 1))</f>
        <v/>
      </c>
      <c r="D2295" s="172">
        <f ca="1">IF(OFFSET('IWP09'!Std9BillingInfo04, 0, 1, 1, 1)=DATE(1900,1,0), DATE(1900,1,1), OFFSET('IWP09'!Std9BillingInfo04, 0, 1, 1, 1))</f>
        <v>1</v>
      </c>
      <c r="E2295" s="172">
        <f ca="1">IF(OFFSET('IWP09'!Std9BillingInfo04, 0, 2, 1, 1)=DATE(1900,1,0), DATE(1900,1,1), OFFSET('IWP09'!Std9BillingInfo04, 0, 2, 1, 1))</f>
        <v>1</v>
      </c>
      <c r="F2295" s="187">
        <f ca="1">OFFSET('IWP09'!Std9BillingInfo04, 0, 3, 1, 1)</f>
        <v>0</v>
      </c>
      <c r="G2295" s="187">
        <f ca="1">OFFSET('IWP09'!Std9BillingInfo04, 10, 6, 1, 1)</f>
        <v>0</v>
      </c>
      <c r="H2295" s="187">
        <f ca="1">OFFSET('IWP09'!Std9BillingInfo04, 11, 6, 1, 1)</f>
        <v>0</v>
      </c>
      <c r="I2295" s="187">
        <f ca="1">OFFSET('IWP09'!Std9BillingInfo04, 10, 8, 1, 1)</f>
        <v>0</v>
      </c>
      <c r="J2295" s="187">
        <f ca="1">OFFSET('IWP09'!Std9BillingInfo04, 10, 11, 1, 1)</f>
        <v>0</v>
      </c>
      <c r="K2295" s="187">
        <f ca="1">OFFSET('IWP09'!Std9BillingInfo04, 10, 12, 1, 1)</f>
        <v>0</v>
      </c>
      <c r="L2295" s="179">
        <f ca="1">OFFSET('IWP09'!Std9BillingInfo04, 12, 8, 1, 1)</f>
        <v>0</v>
      </c>
      <c r="M2295" s="129"/>
    </row>
    <row r="2296" spans="1:13" s="146" customFormat="1">
      <c r="A2296" s="183" t="s">
        <v>507</v>
      </c>
      <c r="B2296" s="196">
        <v>5</v>
      </c>
      <c r="C2296" s="195" t="str">
        <f ca="1">IF(OFFSET('IWP09'!Std9BillingInfo05, 0, 0, 1, 1) = 0, "", OFFSET('IWP09'!Std9BillingInfo05, 0, 0, 1, 1))</f>
        <v/>
      </c>
      <c r="D2296" s="172">
        <f ca="1">IF(OFFSET('IWP09'!Std9BillingInfo05, 0, 1, 1, 1)=DATE(1900,1,0), DATE(1900,1,1), OFFSET('IWP09'!Std9BillingInfo05, 0, 1, 1, 1))</f>
        <v>1</v>
      </c>
      <c r="E2296" s="172">
        <f ca="1">IF(OFFSET('IWP09'!Std9BillingInfo05, 0, 2, 1, 1)=DATE(1900,1,0), DATE(1900,1,1), OFFSET('IWP09'!Std9BillingInfo05, 0, 2, 1, 1))</f>
        <v>1</v>
      </c>
      <c r="F2296" s="187">
        <f ca="1">OFFSET('IWP09'!Std9BillingInfo05, 0, 3, 1, 1)</f>
        <v>0</v>
      </c>
      <c r="G2296" s="187">
        <f ca="1">OFFSET('IWP09'!Std9BillingInfo05, 10, 6, 1, 1)</f>
        <v>0</v>
      </c>
      <c r="H2296" s="187">
        <f ca="1">OFFSET('IWP09'!Std9BillingInfo05, 11, 6, 1, 1)</f>
        <v>0</v>
      </c>
      <c r="I2296" s="187">
        <f ca="1">OFFSET('IWP09'!Std9BillingInfo05, 10, 8, 1, 1)</f>
        <v>0</v>
      </c>
      <c r="J2296" s="187">
        <f ca="1">OFFSET('IWP09'!Std9BillingInfo05, 10, 11, 1, 1)</f>
        <v>0</v>
      </c>
      <c r="K2296" s="187">
        <f ca="1">OFFSET('IWP09'!Std9BillingInfo05, 10, 12, 1, 1)</f>
        <v>0</v>
      </c>
      <c r="L2296" s="179">
        <f ca="1">OFFSET('IWP09'!Std9BillingInfo05, 12, 8, 1, 1)</f>
        <v>0</v>
      </c>
      <c r="M2296" s="129"/>
    </row>
    <row r="2297" spans="1:13" s="146" customFormat="1">
      <c r="A2297" s="183" t="s">
        <v>507</v>
      </c>
      <c r="B2297" s="196">
        <v>6</v>
      </c>
      <c r="C2297" s="195" t="str">
        <f ca="1">IF(OFFSET('IWP09'!Std9BillingInfo06, 0, 0, 1, 1) = 0, "", OFFSET('IWP09'!Std9BillingInfo06, 0, 0, 1, 1))</f>
        <v/>
      </c>
      <c r="D2297" s="172">
        <f ca="1">IF(OFFSET('IWP09'!Std9BillingInfo06, 0, 1, 1, 1)=DATE(1900,1,0), DATE(1900,1,1), OFFSET('IWP09'!Std9BillingInfo06, 0, 1, 1, 1))</f>
        <v>1</v>
      </c>
      <c r="E2297" s="172">
        <f ca="1">IF(OFFSET('IWP09'!Std9BillingInfo06, 0, 2, 1, 1)=DATE(1900,1,0), DATE(1900,1,1), OFFSET('IWP09'!Std9BillingInfo06, 0, 2, 1, 1))</f>
        <v>1</v>
      </c>
      <c r="F2297" s="187">
        <f ca="1">OFFSET('IWP09'!Std9BillingInfo06, 0, 3, 1, 1)</f>
        <v>0</v>
      </c>
      <c r="G2297" s="187">
        <f ca="1">OFFSET('IWP09'!Std9BillingInfo06, 10, 6, 1, 1)</f>
        <v>0</v>
      </c>
      <c r="H2297" s="187">
        <f ca="1">OFFSET('IWP09'!Std9BillingInfo06, 11, 6, 1, 1)</f>
        <v>0</v>
      </c>
      <c r="I2297" s="187">
        <f ca="1">OFFSET('IWP09'!Std9BillingInfo06, 10, 8, 1, 1)</f>
        <v>0</v>
      </c>
      <c r="J2297" s="187">
        <f ca="1">OFFSET('IWP09'!Std9BillingInfo06, 10, 11, 1, 1)</f>
        <v>0</v>
      </c>
      <c r="K2297" s="187">
        <f ca="1">OFFSET('IWP09'!Std9BillingInfo06, 10, 12, 1, 1)</f>
        <v>0</v>
      </c>
      <c r="L2297" s="179">
        <f ca="1">OFFSET('IWP09'!Std9BillingInfo06, 12, 8, 1, 1)</f>
        <v>0</v>
      </c>
      <c r="M2297" s="129"/>
    </row>
    <row r="2298" spans="1:13" s="146" customFormat="1">
      <c r="A2298" s="183" t="s">
        <v>507</v>
      </c>
      <c r="B2298" s="196">
        <v>7</v>
      </c>
      <c r="C2298" s="195" t="str">
        <f ca="1">IF(OFFSET('IWP09'!Std9BillingInfo07, 0, 0, 1, 1) = 0, "", OFFSET('IWP09'!Std9BillingInfo07, 0, 0, 1, 1))</f>
        <v/>
      </c>
      <c r="D2298" s="172">
        <f ca="1">IF(OFFSET('IWP09'!Std9BillingInfo07, 0, 1, 1, 1)=DATE(1900,1,0), DATE(1900,1,1), OFFSET('IWP09'!Std9BillingInfo07, 0, 1, 1, 1))</f>
        <v>1</v>
      </c>
      <c r="E2298" s="172">
        <f ca="1">IF(OFFSET('IWP09'!Std9BillingInfo07, 0, 2, 1, 1)=DATE(1900,1,0), DATE(1900,1,1), OFFSET('IWP09'!Std9BillingInfo07, 0, 2, 1, 1))</f>
        <v>1</v>
      </c>
      <c r="F2298" s="187">
        <f ca="1">OFFSET('IWP09'!Std9BillingInfo07, 0, 3, 1, 1)</f>
        <v>0</v>
      </c>
      <c r="G2298" s="187">
        <f ca="1">OFFSET('IWP09'!Std9BillingInfo07, 10, 6, 1, 1)</f>
        <v>0</v>
      </c>
      <c r="H2298" s="187">
        <f ca="1">OFFSET('IWP09'!Std9BillingInfo07, 11, 6, 1, 1)</f>
        <v>0</v>
      </c>
      <c r="I2298" s="187">
        <f ca="1">OFFSET('IWP09'!Std9BillingInfo07, 10, 8, 1, 1)</f>
        <v>0</v>
      </c>
      <c r="J2298" s="187">
        <f ca="1">OFFSET('IWP09'!Std9BillingInfo07, 10, 11, 1, 1)</f>
        <v>0</v>
      </c>
      <c r="K2298" s="187">
        <f ca="1">OFFSET('IWP09'!Std9BillingInfo07, 10, 12, 1, 1)</f>
        <v>0</v>
      </c>
      <c r="L2298" s="179">
        <f ca="1">OFFSET('IWP09'!Std9BillingInfo07, 12, 8, 1, 1)</f>
        <v>0</v>
      </c>
      <c r="M2298" s="129"/>
    </row>
    <row r="2299" spans="1:13" s="146" customFormat="1">
      <c r="A2299" s="183" t="s">
        <v>507</v>
      </c>
      <c r="B2299" s="196">
        <v>8</v>
      </c>
      <c r="C2299" s="195" t="str">
        <f ca="1">IF(OFFSET('IWP09'!Std9BillingInfo08, 0, 0, 1, 1) = 0, "", OFFSET('IWP09'!Std9BillingInfo08, 0, 0, 1, 1))</f>
        <v/>
      </c>
      <c r="D2299" s="172">
        <f ca="1">IF(OFFSET('IWP09'!Std9BillingInfo08, 0, 1, 1, 1)=DATE(1900,1,0), DATE(1900,1,1), OFFSET('IWP09'!Std9BillingInfo08, 0, 1, 1, 1))</f>
        <v>1</v>
      </c>
      <c r="E2299" s="172">
        <f ca="1">IF(OFFSET('IWP09'!Std9BillingInfo08, 0, 2, 1, 1)=DATE(1900,1,0), DATE(1900,1,1), OFFSET('IWP09'!Std9BillingInfo08, 0, 2, 1, 1))</f>
        <v>1</v>
      </c>
      <c r="F2299" s="187">
        <f ca="1">OFFSET('IWP09'!Std9BillingInfo08, 0, 3, 1, 1)</f>
        <v>0</v>
      </c>
      <c r="G2299" s="187">
        <f ca="1">OFFSET('IWP09'!Std9BillingInfo08, 10, 6, 1, 1)</f>
        <v>0</v>
      </c>
      <c r="H2299" s="187">
        <f ca="1">OFFSET('IWP09'!Std9BillingInfo08, 11, 6, 1, 1)</f>
        <v>0</v>
      </c>
      <c r="I2299" s="187">
        <f ca="1">OFFSET('IWP09'!Std9BillingInfo08, 10, 8, 1, 1)</f>
        <v>0</v>
      </c>
      <c r="J2299" s="187">
        <f ca="1">OFFSET('IWP09'!Std9BillingInfo08, 10, 11, 1, 1)</f>
        <v>0</v>
      </c>
      <c r="K2299" s="187">
        <f ca="1">OFFSET('IWP09'!Std9BillingInfo08, 10, 12, 1, 1)</f>
        <v>0</v>
      </c>
      <c r="L2299" s="179">
        <f ca="1">OFFSET('IWP09'!Std9BillingInfo08, 12, 8, 1, 1)</f>
        <v>0</v>
      </c>
      <c r="M2299" s="129"/>
    </row>
    <row r="2300" spans="1:13" s="146" customFormat="1">
      <c r="A2300" s="183" t="s">
        <v>507</v>
      </c>
      <c r="B2300" s="196">
        <v>9</v>
      </c>
      <c r="C2300" s="195" t="str">
        <f ca="1">IF(OFFSET('IWP09'!Std9BillingInfo09, 0, 0, 1, 1) = 0, "", OFFSET('IWP09'!Std9BillingInfo09, 0, 0, 1, 1))</f>
        <v/>
      </c>
      <c r="D2300" s="172">
        <f ca="1">IF(OFFSET('IWP09'!Std9BillingInfo09, 0, 1, 1, 1)=DATE(1900,1,0), DATE(1900,1,1), OFFSET('IWP09'!Std9BillingInfo09, 0, 1, 1, 1))</f>
        <v>1</v>
      </c>
      <c r="E2300" s="172">
        <f ca="1">IF(OFFSET('IWP09'!Std9BillingInfo09, 0, 2, 1, 1)=DATE(1900,1,0), DATE(1900,1,1), OFFSET('IWP09'!Std9BillingInfo09, 0, 2, 1, 1))</f>
        <v>1</v>
      </c>
      <c r="F2300" s="187">
        <f ca="1">OFFSET('IWP09'!Std9BillingInfo09, 0, 3, 1, 1)</f>
        <v>0</v>
      </c>
      <c r="G2300" s="187">
        <f ca="1">OFFSET('IWP09'!Std9BillingInfo09, 10, 6, 1, 1)</f>
        <v>0</v>
      </c>
      <c r="H2300" s="187">
        <f ca="1">OFFSET('IWP09'!Std9BillingInfo09, 11, 6, 1, 1)</f>
        <v>0</v>
      </c>
      <c r="I2300" s="187">
        <f ca="1">OFFSET('IWP09'!Std9BillingInfo09, 10, 8, 1, 1)</f>
        <v>0</v>
      </c>
      <c r="J2300" s="187">
        <f ca="1">OFFSET('IWP09'!Std9BillingInfo09, 10, 11, 1, 1)</f>
        <v>0</v>
      </c>
      <c r="K2300" s="187">
        <f ca="1">OFFSET('IWP09'!Std9BillingInfo09, 10, 12, 1, 1)</f>
        <v>0</v>
      </c>
      <c r="L2300" s="179">
        <f ca="1">OFFSET('IWP09'!Std9BillingInfo09, 12, 8, 1, 1)</f>
        <v>0</v>
      </c>
      <c r="M2300" s="129"/>
    </row>
    <row r="2301" spans="1:13" s="146" customFormat="1">
      <c r="A2301" s="183" t="s">
        <v>507</v>
      </c>
      <c r="B2301" s="196">
        <v>10</v>
      </c>
      <c r="C2301" s="195" t="str">
        <f ca="1">IF(OFFSET('IWP09'!Std9BillingInfo10, 0, 0, 1, 1) = 0, "", OFFSET('IWP09'!Std9BillingInfo10, 0, 0, 1, 1))</f>
        <v/>
      </c>
      <c r="D2301" s="172">
        <f ca="1">IF(OFFSET('IWP09'!Std9BillingInfo10, 0, 1, 1, 1)=DATE(1900,1,0), DATE(1900,1,1), OFFSET('IWP09'!Std9BillingInfo10, 0, 1, 1, 1))</f>
        <v>1</v>
      </c>
      <c r="E2301" s="172">
        <f ca="1">IF(OFFSET('IWP09'!Std9BillingInfo10, 0, 2, 1, 1)=DATE(1900,1,0), DATE(1900,1,1), OFFSET('IWP09'!Std9BillingInfo10, 0, 2, 1, 1))</f>
        <v>1</v>
      </c>
      <c r="F2301" s="187">
        <f ca="1">OFFSET('IWP09'!Std9BillingInfo10, 0, 3, 1, 1)</f>
        <v>0</v>
      </c>
      <c r="G2301" s="187">
        <f ca="1">OFFSET('IWP09'!Std9BillingInfo10, 10, 6, 1, 1)</f>
        <v>0</v>
      </c>
      <c r="H2301" s="187">
        <f ca="1">OFFSET('IWP09'!Std9BillingInfo10, 11, 6, 1, 1)</f>
        <v>0</v>
      </c>
      <c r="I2301" s="187">
        <f ca="1">OFFSET('IWP09'!Std9BillingInfo10, 10, 8, 1, 1)</f>
        <v>0</v>
      </c>
      <c r="J2301" s="187">
        <f ca="1">OFFSET('IWP09'!Std9BillingInfo10, 10, 11, 1, 1)</f>
        <v>0</v>
      </c>
      <c r="K2301" s="187">
        <f ca="1">OFFSET('IWP09'!Std9BillingInfo10, 10, 12, 1, 1)</f>
        <v>0</v>
      </c>
      <c r="L2301" s="179">
        <f ca="1">OFFSET('IWP09'!Std9BillingInfo10, 12, 8, 1, 1)</f>
        <v>0</v>
      </c>
      <c r="M2301" s="129"/>
    </row>
    <row r="2302" spans="1:13" s="146" customFormat="1">
      <c r="A2302" s="183" t="s">
        <v>507</v>
      </c>
      <c r="B2302" s="196">
        <v>11</v>
      </c>
      <c r="C2302" s="195" t="str">
        <f ca="1">IF(OFFSET('IWP09'!Std9BillingInfo11, 0, 0, 1, 1) = 0, "", OFFSET('IWP09'!Std9BillingInfo11, 0, 0, 1, 1))</f>
        <v/>
      </c>
      <c r="D2302" s="172">
        <f ca="1">IF(OFFSET('IWP09'!Std9BillingInfo11, 0, 1, 1, 1)=DATE(1900,1,0), DATE(1900,1,1), OFFSET('IWP09'!Std9BillingInfo11, 0, 1, 1, 1))</f>
        <v>1</v>
      </c>
      <c r="E2302" s="172">
        <f ca="1">IF(OFFSET('IWP09'!Std9BillingInfo11, 0, 2, 1, 1)=DATE(1900,1,0), DATE(1900,1,1), OFFSET('IWP09'!Std9BillingInfo11, 0, 2, 1, 1))</f>
        <v>1</v>
      </c>
      <c r="F2302" s="187">
        <f ca="1">OFFSET('IWP09'!Std9BillingInfo11, 0, 3, 1, 1)</f>
        <v>0</v>
      </c>
      <c r="G2302" s="187">
        <f ca="1">OFFSET('IWP09'!Std9BillingInfo11, 10, 6, 1, 1)</f>
        <v>0</v>
      </c>
      <c r="H2302" s="187">
        <f ca="1">OFFSET('IWP09'!Std9BillingInfo11, 11, 6, 1, 1)</f>
        <v>0</v>
      </c>
      <c r="I2302" s="187">
        <f ca="1">OFFSET('IWP09'!Std9BillingInfo11, 10, 8, 1, 1)</f>
        <v>0</v>
      </c>
      <c r="J2302" s="187">
        <f ca="1">OFFSET('IWP09'!Std9BillingInfo11, 10, 11, 1, 1)</f>
        <v>0</v>
      </c>
      <c r="K2302" s="187">
        <f ca="1">OFFSET('IWP09'!Std9BillingInfo11, 10, 12, 1, 1)</f>
        <v>0</v>
      </c>
      <c r="L2302" s="179">
        <f ca="1">OFFSET('IWP09'!Std9BillingInfo11, 12, 8, 1, 1)</f>
        <v>0</v>
      </c>
      <c r="M2302" s="129"/>
    </row>
    <row r="2303" spans="1:13" s="146" customFormat="1">
      <c r="A2303" s="183" t="s">
        <v>507</v>
      </c>
      <c r="B2303" s="196">
        <v>12</v>
      </c>
      <c r="C2303" s="195" t="str">
        <f ca="1">IF(OFFSET('IWP09'!Std9BillingInfo12, 0, 0, 1, 1) = 0, "", OFFSET('IWP09'!Std9BillingInfo12, 0, 0, 1, 1))</f>
        <v/>
      </c>
      <c r="D2303" s="172">
        <f ca="1">IF(OFFSET('IWP09'!Std9BillingInfo12, 0, 1, 1, 1)=DATE(1900,1,0), DATE(1900,1,1), OFFSET('IWP09'!Std9BillingInfo12, 0, 1, 1, 1))</f>
        <v>1</v>
      </c>
      <c r="E2303" s="172">
        <f ca="1">IF(OFFSET('IWP09'!Std9BillingInfo12, 0, 2, 1, 1)=DATE(1900,1,0), DATE(1900,1,1), OFFSET('IWP09'!Std9BillingInfo12, 0, 2, 1, 1))</f>
        <v>1</v>
      </c>
      <c r="F2303" s="187">
        <f ca="1">OFFSET('IWP09'!Std9BillingInfo12, 0, 3, 1, 1)</f>
        <v>0</v>
      </c>
      <c r="G2303" s="187">
        <f ca="1">OFFSET('IWP09'!Std9BillingInfo12, 10, 6, 1, 1)</f>
        <v>0</v>
      </c>
      <c r="H2303" s="187">
        <f ca="1">OFFSET('IWP09'!Std9BillingInfo12, 11, 6, 1, 1)</f>
        <v>0</v>
      </c>
      <c r="I2303" s="187">
        <f ca="1">OFFSET('IWP09'!Std9BillingInfo12, 10, 8, 1, 1)</f>
        <v>0</v>
      </c>
      <c r="J2303" s="187">
        <f ca="1">OFFSET('IWP09'!Std9BillingInfo12, 10, 11, 1, 1)</f>
        <v>0</v>
      </c>
      <c r="K2303" s="187">
        <f ca="1">OFFSET('IWP09'!Std9BillingInfo12, 10, 12, 1, 1)</f>
        <v>0</v>
      </c>
      <c r="L2303" s="179">
        <f ca="1">OFFSET('IWP09'!Std9BillingInfo12, 12, 8, 1, 1)</f>
        <v>0</v>
      </c>
      <c r="M2303" s="129"/>
    </row>
    <row r="2304" spans="1:13" s="146" customFormat="1">
      <c r="A2304" s="183" t="s">
        <v>507</v>
      </c>
      <c r="B2304" s="196">
        <v>13</v>
      </c>
      <c r="C2304" s="195" t="str">
        <f ca="1">IF(OFFSET('IWP09'!Std9BillingInfo13, 0, 0, 1, 1) = 0, "", OFFSET('IWP09'!Std9BillingInfo13, 0, 0, 1, 1))</f>
        <v/>
      </c>
      <c r="D2304" s="172">
        <f ca="1">IF(OFFSET('IWP09'!Std9BillingInfo13, 0, 1, 1, 1)=DATE(1900,1,0), DATE(1900,1,1), OFFSET('IWP09'!Std9BillingInfo13, 0, 1, 1, 1))</f>
        <v>1</v>
      </c>
      <c r="E2304" s="172">
        <f ca="1">IF(OFFSET('IWP09'!Std9BillingInfo13, 0, 2, 1, 1)=DATE(1900,1,0), DATE(1900,1,1), OFFSET('IWP09'!Std9BillingInfo13, 0, 2, 1, 1))</f>
        <v>1</v>
      </c>
      <c r="F2304" s="187">
        <f ca="1">OFFSET('IWP09'!Std9BillingInfo13, 0, 3, 1, 1)</f>
        <v>0</v>
      </c>
      <c r="G2304" s="187">
        <f ca="1">OFFSET('IWP09'!Std9BillingInfo13, 10, 6, 1, 1)</f>
        <v>0</v>
      </c>
      <c r="H2304" s="187">
        <f ca="1">OFFSET('IWP09'!Std9BillingInfo13, 11, 6, 1, 1)</f>
        <v>0</v>
      </c>
      <c r="I2304" s="187">
        <f ca="1">OFFSET('IWP09'!Std9BillingInfo13, 10, 8, 1, 1)</f>
        <v>0</v>
      </c>
      <c r="J2304" s="187">
        <f ca="1">OFFSET('IWP09'!Std9BillingInfo13, 10, 11, 1, 1)</f>
        <v>0</v>
      </c>
      <c r="K2304" s="187">
        <f ca="1">OFFSET('IWP09'!Std9BillingInfo13, 10, 12, 1, 1)</f>
        <v>0</v>
      </c>
      <c r="L2304" s="179">
        <f ca="1">OFFSET('IWP09'!Std9BillingInfo13, 12, 8, 1, 1)</f>
        <v>0</v>
      </c>
      <c r="M2304" s="129"/>
    </row>
    <row r="2305" spans="1:13" s="146" customFormat="1">
      <c r="A2305" s="183" t="s">
        <v>507</v>
      </c>
      <c r="B2305" s="196">
        <v>14</v>
      </c>
      <c r="C2305" s="195" t="str">
        <f ca="1">IF(OFFSET('IWP09'!Std9BillingInfo14, 0, 0, 1, 1) = 0, "", OFFSET('IWP09'!Std9BillingInfo14, 0, 0, 1, 1))</f>
        <v/>
      </c>
      <c r="D2305" s="172">
        <f ca="1">IF(OFFSET('IWP09'!Std9BillingInfo14, 0, 1, 1, 1)=DATE(1900,1,0), DATE(1900,1,1), OFFSET('IWP09'!Std9BillingInfo14, 0, 1, 1, 1))</f>
        <v>1</v>
      </c>
      <c r="E2305" s="172">
        <f ca="1">IF(OFFSET('IWP09'!Std9BillingInfo14, 0, 2, 1, 1)=DATE(1900,1,0), DATE(1900,1,1), OFFSET('IWP09'!Std9BillingInfo14, 0, 2, 1, 1))</f>
        <v>1</v>
      </c>
      <c r="F2305" s="187">
        <f ca="1">OFFSET('IWP09'!Std9BillingInfo14, 0, 3, 1, 1)</f>
        <v>0</v>
      </c>
      <c r="G2305" s="187">
        <f ca="1">OFFSET('IWP09'!Std9BillingInfo14, 10, 6, 1, 1)</f>
        <v>0</v>
      </c>
      <c r="H2305" s="187">
        <f ca="1">OFFSET('IWP09'!Std9BillingInfo14, 11, 6, 1, 1)</f>
        <v>0</v>
      </c>
      <c r="I2305" s="187">
        <f ca="1">OFFSET('IWP09'!Std9BillingInfo14, 10, 8, 1, 1)</f>
        <v>0</v>
      </c>
      <c r="J2305" s="187">
        <f ca="1">OFFSET('IWP09'!Std9BillingInfo14, 10, 11, 1, 1)</f>
        <v>0</v>
      </c>
      <c r="K2305" s="187">
        <f ca="1">OFFSET('IWP09'!Std9BillingInfo14, 10, 12, 1, 1)</f>
        <v>0</v>
      </c>
      <c r="L2305" s="179">
        <f ca="1">OFFSET('IWP09'!Std9BillingInfo14, 12, 8, 1, 1)</f>
        <v>0</v>
      </c>
      <c r="M2305" s="129"/>
    </row>
    <row r="2306" spans="1:13" s="146" customFormat="1">
      <c r="A2306" s="183" t="s">
        <v>507</v>
      </c>
      <c r="B2306" s="196">
        <v>15</v>
      </c>
      <c r="C2306" s="195" t="str">
        <f ca="1">IF(OFFSET('IWP09'!Std9BillingInfo15, 0, 0, 1, 1) = 0, "", OFFSET('IWP09'!Std9BillingInfo15, 0, 0, 1, 1))</f>
        <v/>
      </c>
      <c r="D2306" s="172">
        <f ca="1">IF(OFFSET('IWP09'!Std9BillingInfo15, 0, 1, 1, 1)=DATE(1900,1,0), DATE(1900,1,1), OFFSET('IWP09'!Std9BillingInfo15, 0, 1, 1, 1))</f>
        <v>1</v>
      </c>
      <c r="E2306" s="172">
        <f ca="1">IF(OFFSET('IWP09'!Std9BillingInfo15, 0, 2, 1, 1)=DATE(1900,1,0), DATE(1900,1,1), OFFSET('IWP09'!Std9BillingInfo15, 0, 2, 1, 1))</f>
        <v>1</v>
      </c>
      <c r="F2306" s="187">
        <f ca="1">OFFSET('IWP09'!Std9BillingInfo15, 0, 3, 1, 1)</f>
        <v>0</v>
      </c>
      <c r="G2306" s="187">
        <f ca="1">OFFSET('IWP09'!Std9BillingInfo15, 10, 6, 1, 1)</f>
        <v>0</v>
      </c>
      <c r="H2306" s="187">
        <f ca="1">OFFSET('IWP09'!Std9BillingInfo15, 11, 6, 1, 1)</f>
        <v>0</v>
      </c>
      <c r="I2306" s="187">
        <f ca="1">OFFSET('IWP09'!Std9BillingInfo15, 10, 8, 1, 1)</f>
        <v>0</v>
      </c>
      <c r="J2306" s="187">
        <f ca="1">OFFSET('IWP09'!Std9BillingInfo15, 10, 11, 1, 1)</f>
        <v>0</v>
      </c>
      <c r="K2306" s="187">
        <f ca="1">OFFSET('IWP09'!Std9BillingInfo15, 10, 12, 1, 1)</f>
        <v>0</v>
      </c>
      <c r="L2306" s="179">
        <f ca="1">OFFSET('IWP09'!Std9BillingInfo15, 12, 8, 1, 1)</f>
        <v>0</v>
      </c>
      <c r="M2306" s="129"/>
    </row>
    <row r="2307" spans="1:13" s="146" customFormat="1">
      <c r="A2307" s="183" t="s">
        <v>507</v>
      </c>
      <c r="B2307" s="196">
        <v>16</v>
      </c>
      <c r="C2307" s="195" t="str">
        <f ca="1">IF(OFFSET('IWP09'!Std9BillingInfo16, 0, 0, 1, 1) = 0, "", OFFSET('IWP09'!Std9BillingInfo16, 0, 0, 1, 1))</f>
        <v/>
      </c>
      <c r="D2307" s="172">
        <f ca="1">IF(OFFSET('IWP09'!Std9BillingInfo16, 0, 1, 1, 1)=DATE(1900,1,0), DATE(1900,1,1), OFFSET('IWP09'!Std9BillingInfo16, 0, 1, 1, 1))</f>
        <v>1</v>
      </c>
      <c r="E2307" s="172">
        <f ca="1">IF(OFFSET('IWP09'!Std9BillingInfo16, 0, 2, 1, 1)=DATE(1900,1,0), DATE(1900,1,1), OFFSET('IWP09'!Std9BillingInfo16, 0, 2, 1, 1))</f>
        <v>1</v>
      </c>
      <c r="F2307" s="187">
        <f ca="1">OFFSET('IWP09'!Std9BillingInfo16, 0, 3, 1, 1)</f>
        <v>0</v>
      </c>
      <c r="G2307" s="187">
        <f ca="1">OFFSET('IWP09'!Std9BillingInfo16, 10, 6, 1, 1)</f>
        <v>0</v>
      </c>
      <c r="H2307" s="187">
        <f ca="1">OFFSET('IWP09'!Std9BillingInfo16, 11, 6, 1, 1)</f>
        <v>0</v>
      </c>
      <c r="I2307" s="187">
        <f ca="1">OFFSET('IWP09'!Std9BillingInfo16, 10, 8, 1, 1)</f>
        <v>0</v>
      </c>
      <c r="J2307" s="187">
        <f ca="1">OFFSET('IWP09'!Std9BillingInfo16, 10, 11, 1, 1)</f>
        <v>0</v>
      </c>
      <c r="K2307" s="187">
        <f ca="1">OFFSET('IWP09'!Std9BillingInfo16, 10, 12, 1, 1)</f>
        <v>0</v>
      </c>
      <c r="L2307" s="179">
        <f ca="1">OFFSET('IWP09'!Std9BillingInfo16, 12, 8, 1, 1)</f>
        <v>0</v>
      </c>
      <c r="M2307" s="129"/>
    </row>
    <row r="2308" spans="1:13" s="146" customFormat="1">
      <c r="A2308" s="183" t="s">
        <v>507</v>
      </c>
      <c r="B2308" s="196">
        <v>17</v>
      </c>
      <c r="C2308" s="195" t="str">
        <f ca="1">IF(OFFSET('IWP09'!Std9BillingInfo17, 0, 0, 1, 1) = 0, "", OFFSET('IWP09'!Std9BillingInfo17, 0, 0, 1, 1))</f>
        <v/>
      </c>
      <c r="D2308" s="172">
        <f ca="1">IF(OFFSET('IWP09'!Std9BillingInfo17, 0, 1, 1, 1)=DATE(1900,1,0), DATE(1900,1,1), OFFSET('IWP09'!Std9BillingInfo17, 0, 1, 1, 1))</f>
        <v>1</v>
      </c>
      <c r="E2308" s="172">
        <f ca="1">IF(OFFSET('IWP09'!Std9BillingInfo17, 0, 2, 1, 1)=DATE(1900,1,0), DATE(1900,1,1), OFFSET('IWP09'!Std9BillingInfo17, 0, 2, 1, 1))</f>
        <v>1</v>
      </c>
      <c r="F2308" s="187">
        <f ca="1">OFFSET('IWP09'!Std9BillingInfo17, 0, 3, 1, 1)</f>
        <v>0</v>
      </c>
      <c r="G2308" s="187">
        <f ca="1">OFFSET('IWP09'!Std9BillingInfo17, 10, 6, 1, 1)</f>
        <v>0</v>
      </c>
      <c r="H2308" s="187">
        <f ca="1">OFFSET('IWP09'!Std9BillingInfo17, 11, 6, 1, 1)</f>
        <v>0</v>
      </c>
      <c r="I2308" s="187">
        <f ca="1">OFFSET('IWP09'!Std9BillingInfo17, 10, 8, 1, 1)</f>
        <v>0</v>
      </c>
      <c r="J2308" s="187">
        <f ca="1">OFFSET('IWP09'!Std9BillingInfo17, 10, 11, 1, 1)</f>
        <v>0</v>
      </c>
      <c r="K2308" s="187">
        <f ca="1">OFFSET('IWP09'!Std9BillingInfo17, 10, 12, 1, 1)</f>
        <v>0</v>
      </c>
      <c r="L2308" s="179">
        <f ca="1">OFFSET('IWP09'!Std9BillingInfo17, 12, 8, 1, 1)</f>
        <v>0</v>
      </c>
      <c r="M2308" s="129"/>
    </row>
    <row r="2309" spans="1:13" s="146" customFormat="1">
      <c r="A2309" s="183" t="s">
        <v>507</v>
      </c>
      <c r="B2309" s="196">
        <v>18</v>
      </c>
      <c r="C2309" s="195" t="str">
        <f ca="1">IF(OFFSET('IWP09'!Std9BillingInfo18, 0, 0, 1, 1) = 0, "", OFFSET('IWP09'!Std9BillingInfo18, 0, 0, 1, 1))</f>
        <v/>
      </c>
      <c r="D2309" s="172">
        <f ca="1">IF(OFFSET('IWP09'!Std9BillingInfo18, 0, 1, 1, 1)=DATE(1900,1,0), DATE(1900,1,1), OFFSET('IWP09'!Std9BillingInfo18, 0, 1, 1, 1))</f>
        <v>1</v>
      </c>
      <c r="E2309" s="172">
        <f ca="1">IF(OFFSET('IWP09'!Std9BillingInfo18, 0, 2, 1, 1)=DATE(1900,1,0), DATE(1900,1,1), OFFSET('IWP09'!Std9BillingInfo18, 0, 2, 1, 1))</f>
        <v>1</v>
      </c>
      <c r="F2309" s="187">
        <f ca="1">OFFSET('IWP09'!Std9BillingInfo18, 0, 3, 1, 1)</f>
        <v>0</v>
      </c>
      <c r="G2309" s="187">
        <f ca="1">OFFSET('IWP09'!Std9BillingInfo18, 10, 6, 1, 1)</f>
        <v>0</v>
      </c>
      <c r="H2309" s="187">
        <f ca="1">OFFSET('IWP09'!Std9BillingInfo18, 11, 6, 1, 1)</f>
        <v>0</v>
      </c>
      <c r="I2309" s="187">
        <f ca="1">OFFSET('IWP09'!Std9BillingInfo18, 10, 8, 1, 1)</f>
        <v>0</v>
      </c>
      <c r="J2309" s="187">
        <f ca="1">OFFSET('IWP09'!Std9BillingInfo18, 10, 11, 1, 1)</f>
        <v>0</v>
      </c>
      <c r="K2309" s="187">
        <f ca="1">OFFSET('IWP09'!Std9BillingInfo18, 10, 12, 1, 1)</f>
        <v>0</v>
      </c>
      <c r="L2309" s="179">
        <f ca="1">OFFSET('IWP09'!Std9BillingInfo18, 12, 8, 1, 1)</f>
        <v>0</v>
      </c>
      <c r="M2309" s="129"/>
    </row>
    <row r="2310" spans="1:13" s="146" customFormat="1">
      <c r="A2310" s="183" t="s">
        <v>508</v>
      </c>
      <c r="B2310" s="196">
        <v>1</v>
      </c>
      <c r="C2310" s="195" t="str">
        <f ca="1">IF(OFFSET('IWP10'!Std9BillingInfo01, 0, 0, 1, 1) = 0, "", OFFSET('IWP10'!Std9BillingInfo01, 0, 0, 1, 1))</f>
        <v/>
      </c>
      <c r="D2310" s="172">
        <f ca="1">IF(OFFSET('IWP10'!Std9BillingInfo01, 0, 1, 1, 1)=DATE(1900,1,0), DATE(1900,1,1), OFFSET('IWP10'!Std9BillingInfo01, 0, 1, 1, 1))</f>
        <v>1</v>
      </c>
      <c r="E2310" s="172">
        <f ca="1">IF(OFFSET('IWP10'!Std9BillingInfo01, 0, 2, 1, 1)=DATE(1900,1,0), DATE(1900,1,1), OFFSET('IWP10'!Std9BillingInfo01, 0, 2, 1, 1))</f>
        <v>1</v>
      </c>
      <c r="F2310" s="187">
        <f ca="1">OFFSET('IWP10'!Std9BillingInfo01, 0, 3, 1, 1)</f>
        <v>0</v>
      </c>
      <c r="G2310" s="187">
        <f ca="1">OFFSET('IWP10'!Std9BillingInfo01, 10, 6, 1, 1)</f>
        <v>0</v>
      </c>
      <c r="H2310" s="187">
        <f ca="1">OFFSET('IWP10'!Std9BillingInfo01, 11, 6, 1, 1)</f>
        <v>0</v>
      </c>
      <c r="I2310" s="187">
        <f ca="1">OFFSET('IWP10'!Std9BillingInfo01, 10, 8, 1, 1)</f>
        <v>0</v>
      </c>
      <c r="J2310" s="187">
        <f ca="1">OFFSET('IWP10'!Std9BillingInfo01, 10, 11, 1, 1)</f>
        <v>0</v>
      </c>
      <c r="K2310" s="187">
        <f ca="1">OFFSET('IWP10'!Std9BillingInfo01, 10, 12, 1, 1)</f>
        <v>0</v>
      </c>
      <c r="L2310" s="179">
        <f ca="1">OFFSET('IWP10'!Std9BillingInfo01, 12, 8, 1, 1)</f>
        <v>0</v>
      </c>
      <c r="M2310" s="129"/>
    </row>
    <row r="2311" spans="1:13" s="146" customFormat="1">
      <c r="A2311" s="183" t="s">
        <v>508</v>
      </c>
      <c r="B2311" s="196">
        <v>2</v>
      </c>
      <c r="C2311" s="195" t="str">
        <f ca="1">IF(OFFSET('IWP10'!Std9BillingInfo02, 0, 0, 1, 1) = 0, "", OFFSET('IWP10'!Std9BillingInfo02, 0, 0, 1, 1))</f>
        <v/>
      </c>
      <c r="D2311" s="172">
        <f ca="1">IF(OFFSET('IWP10'!Std9BillingInfo02, 0, 1, 1, 1)=DATE(1900,1,0), DATE(1900,1,1), OFFSET('IWP10'!Std9BillingInfo02, 0, 1, 1, 1))</f>
        <v>1</v>
      </c>
      <c r="E2311" s="172">
        <f ca="1">IF(OFFSET('IWP10'!Std9BillingInfo02, 0, 2, 1, 1)=DATE(1900,1,0), DATE(1900,1,1), OFFSET('IWP10'!Std9BillingInfo02, 0, 2, 1, 1))</f>
        <v>1</v>
      </c>
      <c r="F2311" s="187">
        <f ca="1">OFFSET('IWP10'!Std9BillingInfo02, 0, 3, 1, 1)</f>
        <v>0</v>
      </c>
      <c r="G2311" s="187">
        <f ca="1">OFFSET('IWP10'!Std9BillingInfo02, 10, 6, 1, 1)</f>
        <v>0</v>
      </c>
      <c r="H2311" s="187">
        <f ca="1">OFFSET('IWP10'!Std9BillingInfo02, 11, 6, 1, 1)</f>
        <v>0</v>
      </c>
      <c r="I2311" s="187">
        <f ca="1">OFFSET('IWP10'!Std9BillingInfo02, 10, 8, 1, 1)</f>
        <v>0</v>
      </c>
      <c r="J2311" s="187">
        <f ca="1">OFFSET('IWP10'!Std9BillingInfo02, 10, 11, 1, 1)</f>
        <v>0</v>
      </c>
      <c r="K2311" s="187">
        <f ca="1">OFFSET('IWP10'!Std9BillingInfo02, 10, 12, 1, 1)</f>
        <v>0</v>
      </c>
      <c r="L2311" s="179">
        <f ca="1">OFFSET('IWP10'!Std9BillingInfo02, 12, 8, 1, 1)</f>
        <v>0</v>
      </c>
      <c r="M2311" s="129"/>
    </row>
    <row r="2312" spans="1:13" s="146" customFormat="1">
      <c r="A2312" s="183" t="s">
        <v>508</v>
      </c>
      <c r="B2312" s="196">
        <v>3</v>
      </c>
      <c r="C2312" s="195" t="str">
        <f ca="1">IF(OFFSET('IWP10'!Std9BillingInfo03, 0, 0, 1, 1) = 0, "", OFFSET('IWP10'!Std9BillingInfo03, 0, 0, 1, 1))</f>
        <v/>
      </c>
      <c r="D2312" s="172">
        <f ca="1">IF(OFFSET('IWP10'!Std9BillingInfo03, 0, 1, 1, 1)=DATE(1900,1,0), DATE(1900,1,1), OFFSET('IWP10'!Std9BillingInfo03, 0, 1, 1, 1))</f>
        <v>1</v>
      </c>
      <c r="E2312" s="172">
        <f ca="1">IF(OFFSET('IWP10'!Std9BillingInfo03, 0, 2, 1, 1)=DATE(1900,1,0), DATE(1900,1,1), OFFSET('IWP10'!Std9BillingInfo03, 0, 2, 1, 1))</f>
        <v>1</v>
      </c>
      <c r="F2312" s="187">
        <f ca="1">OFFSET('IWP10'!Std9BillingInfo03, 0, 3, 1, 1)</f>
        <v>0</v>
      </c>
      <c r="G2312" s="187">
        <f ca="1">OFFSET('IWP10'!Std9BillingInfo03, 10, 6, 1, 1)</f>
        <v>0</v>
      </c>
      <c r="H2312" s="187">
        <f ca="1">OFFSET('IWP10'!Std9BillingInfo03, 11, 6, 1, 1)</f>
        <v>0</v>
      </c>
      <c r="I2312" s="187">
        <f ca="1">OFFSET('IWP10'!Std9BillingInfo03, 10, 8, 1, 1)</f>
        <v>0</v>
      </c>
      <c r="J2312" s="187">
        <f ca="1">OFFSET('IWP10'!Std9BillingInfo03, 10, 11, 1, 1)</f>
        <v>0</v>
      </c>
      <c r="K2312" s="187">
        <f ca="1">OFFSET('IWP10'!Std9BillingInfo03, 10, 12, 1, 1)</f>
        <v>0</v>
      </c>
      <c r="L2312" s="179">
        <f ca="1">OFFSET('IWP10'!Std9BillingInfo03, 12, 8, 1, 1)</f>
        <v>0</v>
      </c>
      <c r="M2312" s="129"/>
    </row>
    <row r="2313" spans="1:13" s="146" customFormat="1">
      <c r="A2313" s="183" t="s">
        <v>508</v>
      </c>
      <c r="B2313" s="196">
        <v>4</v>
      </c>
      <c r="C2313" s="195" t="str">
        <f ca="1">IF(OFFSET('IWP10'!Std9BillingInfo04, 0, 0, 1, 1) = 0, "", OFFSET('IWP10'!Std9BillingInfo04, 0, 0, 1, 1))</f>
        <v/>
      </c>
      <c r="D2313" s="172">
        <f ca="1">IF(OFFSET('IWP10'!Std9BillingInfo04, 0, 1, 1, 1)=DATE(1900,1,0), DATE(1900,1,1), OFFSET('IWP10'!Std9BillingInfo04, 0, 1, 1, 1))</f>
        <v>1</v>
      </c>
      <c r="E2313" s="172">
        <f ca="1">IF(OFFSET('IWP10'!Std9BillingInfo04, 0, 2, 1, 1)=DATE(1900,1,0), DATE(1900,1,1), OFFSET('IWP10'!Std9BillingInfo04, 0, 2, 1, 1))</f>
        <v>1</v>
      </c>
      <c r="F2313" s="187">
        <f ca="1">OFFSET('IWP10'!Std9BillingInfo04, 0, 3, 1, 1)</f>
        <v>0</v>
      </c>
      <c r="G2313" s="187">
        <f ca="1">OFFSET('IWP10'!Std9BillingInfo04, 10, 6, 1, 1)</f>
        <v>0</v>
      </c>
      <c r="H2313" s="187">
        <f ca="1">OFFSET('IWP10'!Std9BillingInfo04, 11, 6, 1, 1)</f>
        <v>0</v>
      </c>
      <c r="I2313" s="187">
        <f ca="1">OFFSET('IWP10'!Std9BillingInfo04, 10, 8, 1, 1)</f>
        <v>0</v>
      </c>
      <c r="J2313" s="187">
        <f ca="1">OFFSET('IWP10'!Std9BillingInfo04, 10, 11, 1, 1)</f>
        <v>0</v>
      </c>
      <c r="K2313" s="187">
        <f ca="1">OFFSET('IWP10'!Std9BillingInfo04, 10, 12, 1, 1)</f>
        <v>0</v>
      </c>
      <c r="L2313" s="179">
        <f ca="1">OFFSET('IWP10'!Std9BillingInfo04, 12, 8, 1, 1)</f>
        <v>0</v>
      </c>
      <c r="M2313" s="129"/>
    </row>
    <row r="2314" spans="1:13" s="146" customFormat="1">
      <c r="A2314" s="183" t="s">
        <v>508</v>
      </c>
      <c r="B2314" s="196">
        <v>5</v>
      </c>
      <c r="C2314" s="195" t="str">
        <f ca="1">IF(OFFSET('IWP10'!Std9BillingInfo05, 0, 0, 1, 1) = 0, "", OFFSET('IWP10'!Std9BillingInfo05, 0, 0, 1, 1))</f>
        <v/>
      </c>
      <c r="D2314" s="172">
        <f ca="1">IF(OFFSET('IWP10'!Std9BillingInfo05, 0, 1, 1, 1)=DATE(1900,1,0), DATE(1900,1,1), OFFSET('IWP10'!Std9BillingInfo05, 0, 1, 1, 1))</f>
        <v>1</v>
      </c>
      <c r="E2314" s="172">
        <f ca="1">IF(OFFSET('IWP10'!Std9BillingInfo05, 0, 2, 1, 1)=DATE(1900,1,0), DATE(1900,1,1), OFFSET('IWP10'!Std9BillingInfo05, 0, 2, 1, 1))</f>
        <v>1</v>
      </c>
      <c r="F2314" s="187">
        <f ca="1">OFFSET('IWP10'!Std9BillingInfo05, 0, 3, 1, 1)</f>
        <v>0</v>
      </c>
      <c r="G2314" s="187">
        <f ca="1">OFFSET('IWP10'!Std9BillingInfo05, 10, 6, 1, 1)</f>
        <v>0</v>
      </c>
      <c r="H2314" s="187">
        <f ca="1">OFFSET('IWP10'!Std9BillingInfo05, 11, 6, 1, 1)</f>
        <v>0</v>
      </c>
      <c r="I2314" s="187">
        <f ca="1">OFFSET('IWP10'!Std9BillingInfo05, 10, 8, 1, 1)</f>
        <v>0</v>
      </c>
      <c r="J2314" s="187">
        <f ca="1">OFFSET('IWP10'!Std9BillingInfo05, 10, 11, 1, 1)</f>
        <v>0</v>
      </c>
      <c r="K2314" s="187">
        <f ca="1">OFFSET('IWP10'!Std9BillingInfo05, 10, 12, 1, 1)</f>
        <v>0</v>
      </c>
      <c r="L2314" s="179">
        <f ca="1">OFFSET('IWP10'!Std9BillingInfo05, 12, 8, 1, 1)</f>
        <v>0</v>
      </c>
      <c r="M2314" s="129"/>
    </row>
    <row r="2315" spans="1:13" s="146" customFormat="1">
      <c r="A2315" s="183" t="s">
        <v>508</v>
      </c>
      <c r="B2315" s="196">
        <v>6</v>
      </c>
      <c r="C2315" s="195" t="str">
        <f ca="1">IF(OFFSET('IWP10'!Std9BillingInfo06, 0, 0, 1, 1) = 0, "", OFFSET('IWP10'!Std9BillingInfo06, 0, 0, 1, 1))</f>
        <v/>
      </c>
      <c r="D2315" s="172">
        <f ca="1">IF(OFFSET('IWP10'!Std9BillingInfo06, 0, 1, 1, 1)=DATE(1900,1,0), DATE(1900,1,1), OFFSET('IWP10'!Std9BillingInfo06, 0, 1, 1, 1))</f>
        <v>1</v>
      </c>
      <c r="E2315" s="172">
        <f ca="1">IF(OFFSET('IWP10'!Std9BillingInfo06, 0, 2, 1, 1)=DATE(1900,1,0), DATE(1900,1,1), OFFSET('IWP10'!Std9BillingInfo06, 0, 2, 1, 1))</f>
        <v>1</v>
      </c>
      <c r="F2315" s="187">
        <f ca="1">OFFSET('IWP10'!Std9BillingInfo06, 0, 3, 1, 1)</f>
        <v>0</v>
      </c>
      <c r="G2315" s="187">
        <f ca="1">OFFSET('IWP10'!Std9BillingInfo06, 10, 6, 1, 1)</f>
        <v>0</v>
      </c>
      <c r="H2315" s="187">
        <f ca="1">OFFSET('IWP10'!Std9BillingInfo06, 11, 6, 1, 1)</f>
        <v>0</v>
      </c>
      <c r="I2315" s="187">
        <f ca="1">OFFSET('IWP10'!Std9BillingInfo06, 10, 8, 1, 1)</f>
        <v>0</v>
      </c>
      <c r="J2315" s="187">
        <f ca="1">OFFSET('IWP10'!Std9BillingInfo06, 10, 11, 1, 1)</f>
        <v>0</v>
      </c>
      <c r="K2315" s="187">
        <f ca="1">OFFSET('IWP10'!Std9BillingInfo06, 10, 12, 1, 1)</f>
        <v>0</v>
      </c>
      <c r="L2315" s="179">
        <f ca="1">OFFSET('IWP10'!Std9BillingInfo06, 12, 8, 1, 1)</f>
        <v>0</v>
      </c>
      <c r="M2315" s="129"/>
    </row>
    <row r="2316" spans="1:13" s="146" customFormat="1">
      <c r="A2316" s="183" t="s">
        <v>508</v>
      </c>
      <c r="B2316" s="196">
        <v>7</v>
      </c>
      <c r="C2316" s="195" t="str">
        <f ca="1">IF(OFFSET('IWP10'!Std9BillingInfo07, 0, 0, 1, 1) = 0, "", OFFSET('IWP10'!Std9BillingInfo07, 0, 0, 1, 1))</f>
        <v/>
      </c>
      <c r="D2316" s="172">
        <f ca="1">IF(OFFSET('IWP10'!Std9BillingInfo07, 0, 1, 1, 1)=DATE(1900,1,0), DATE(1900,1,1), OFFSET('IWP10'!Std9BillingInfo07, 0, 1, 1, 1))</f>
        <v>1</v>
      </c>
      <c r="E2316" s="172">
        <f ca="1">IF(OFFSET('IWP10'!Std9BillingInfo07, 0, 2, 1, 1)=DATE(1900,1,0), DATE(1900,1,1), OFFSET('IWP10'!Std9BillingInfo07, 0, 2, 1, 1))</f>
        <v>1</v>
      </c>
      <c r="F2316" s="187">
        <f ca="1">OFFSET('IWP10'!Std9BillingInfo07, 0, 3, 1, 1)</f>
        <v>0</v>
      </c>
      <c r="G2316" s="187">
        <f ca="1">OFFSET('IWP10'!Std9BillingInfo07, 10, 6, 1, 1)</f>
        <v>0</v>
      </c>
      <c r="H2316" s="187">
        <f ca="1">OFFSET('IWP10'!Std9BillingInfo07, 11, 6, 1, 1)</f>
        <v>0</v>
      </c>
      <c r="I2316" s="187">
        <f ca="1">OFFSET('IWP10'!Std9BillingInfo07, 10, 8, 1, 1)</f>
        <v>0</v>
      </c>
      <c r="J2316" s="187">
        <f ca="1">OFFSET('IWP10'!Std9BillingInfo07, 10, 11, 1, 1)</f>
        <v>0</v>
      </c>
      <c r="K2316" s="187">
        <f ca="1">OFFSET('IWP10'!Std9BillingInfo07, 10, 12, 1, 1)</f>
        <v>0</v>
      </c>
      <c r="L2316" s="179">
        <f ca="1">OFFSET('IWP10'!Std9BillingInfo07, 12, 8, 1, 1)</f>
        <v>0</v>
      </c>
      <c r="M2316" s="129"/>
    </row>
    <row r="2317" spans="1:13" s="146" customFormat="1">
      <c r="A2317" s="183" t="s">
        <v>508</v>
      </c>
      <c r="B2317" s="196">
        <v>8</v>
      </c>
      <c r="C2317" s="195" t="str">
        <f ca="1">IF(OFFSET('IWP10'!Std9BillingInfo08, 0, 0, 1, 1) = 0, "", OFFSET('IWP10'!Std9BillingInfo08, 0, 0, 1, 1))</f>
        <v/>
      </c>
      <c r="D2317" s="172">
        <f ca="1">IF(OFFSET('IWP10'!Std9BillingInfo08, 0, 1, 1, 1)=DATE(1900,1,0), DATE(1900,1,1), OFFSET('IWP10'!Std9BillingInfo08, 0, 1, 1, 1))</f>
        <v>1</v>
      </c>
      <c r="E2317" s="172">
        <f ca="1">IF(OFFSET('IWP10'!Std9BillingInfo08, 0, 2, 1, 1)=DATE(1900,1,0), DATE(1900,1,1), OFFSET('IWP10'!Std9BillingInfo08, 0, 2, 1, 1))</f>
        <v>1</v>
      </c>
      <c r="F2317" s="187">
        <f ca="1">OFFSET('IWP10'!Std9BillingInfo08, 0, 3, 1, 1)</f>
        <v>0</v>
      </c>
      <c r="G2317" s="187">
        <f ca="1">OFFSET('IWP10'!Std9BillingInfo08, 10, 6, 1, 1)</f>
        <v>0</v>
      </c>
      <c r="H2317" s="187">
        <f ca="1">OFFSET('IWP10'!Std9BillingInfo08, 11, 6, 1, 1)</f>
        <v>0</v>
      </c>
      <c r="I2317" s="187">
        <f ca="1">OFFSET('IWP10'!Std9BillingInfo08, 10, 8, 1, 1)</f>
        <v>0</v>
      </c>
      <c r="J2317" s="187">
        <f ca="1">OFFSET('IWP10'!Std9BillingInfo08, 10, 11, 1, 1)</f>
        <v>0</v>
      </c>
      <c r="K2317" s="187">
        <f ca="1">OFFSET('IWP10'!Std9BillingInfo08, 10, 12, 1, 1)</f>
        <v>0</v>
      </c>
      <c r="L2317" s="179">
        <f ca="1">OFFSET('IWP10'!Std9BillingInfo08, 12, 8, 1, 1)</f>
        <v>0</v>
      </c>
      <c r="M2317" s="129"/>
    </row>
    <row r="2318" spans="1:13" s="146" customFormat="1">
      <c r="A2318" s="183" t="s">
        <v>508</v>
      </c>
      <c r="B2318" s="196">
        <v>9</v>
      </c>
      <c r="C2318" s="195" t="str">
        <f ca="1">IF(OFFSET('IWP10'!Std9BillingInfo09, 0, 0, 1, 1) = 0, "", OFFSET('IWP10'!Std9BillingInfo09, 0, 0, 1, 1))</f>
        <v/>
      </c>
      <c r="D2318" s="172">
        <f ca="1">IF(OFFSET('IWP10'!Std9BillingInfo09, 0, 1, 1, 1)=DATE(1900,1,0), DATE(1900,1,1), OFFSET('IWP10'!Std9BillingInfo09, 0, 1, 1, 1))</f>
        <v>1</v>
      </c>
      <c r="E2318" s="172">
        <f ca="1">IF(OFFSET('IWP10'!Std9BillingInfo09, 0, 2, 1, 1)=DATE(1900,1,0), DATE(1900,1,1), OFFSET('IWP10'!Std9BillingInfo09, 0, 2, 1, 1))</f>
        <v>1</v>
      </c>
      <c r="F2318" s="187">
        <f ca="1">OFFSET('IWP10'!Std9BillingInfo09, 0, 3, 1, 1)</f>
        <v>0</v>
      </c>
      <c r="G2318" s="187">
        <f ca="1">OFFSET('IWP10'!Std9BillingInfo09, 10, 6, 1, 1)</f>
        <v>0</v>
      </c>
      <c r="H2318" s="187">
        <f ca="1">OFFSET('IWP10'!Std9BillingInfo09, 11, 6, 1, 1)</f>
        <v>0</v>
      </c>
      <c r="I2318" s="187">
        <f ca="1">OFFSET('IWP10'!Std9BillingInfo09, 10, 8, 1, 1)</f>
        <v>0</v>
      </c>
      <c r="J2318" s="187">
        <f ca="1">OFFSET('IWP10'!Std9BillingInfo09, 10, 11, 1, 1)</f>
        <v>0</v>
      </c>
      <c r="K2318" s="187">
        <f ca="1">OFFSET('IWP10'!Std9BillingInfo09, 10, 12, 1, 1)</f>
        <v>0</v>
      </c>
      <c r="L2318" s="179">
        <f ca="1">OFFSET('IWP10'!Std9BillingInfo09, 12, 8, 1, 1)</f>
        <v>0</v>
      </c>
      <c r="M2318" s="129"/>
    </row>
    <row r="2319" spans="1:13" s="146" customFormat="1">
      <c r="A2319" s="183" t="s">
        <v>508</v>
      </c>
      <c r="B2319" s="196">
        <v>10</v>
      </c>
      <c r="C2319" s="195" t="str">
        <f ca="1">IF(OFFSET('IWP10'!Std9BillingInfo10, 0, 0, 1, 1) = 0, "", OFFSET('IWP10'!Std9BillingInfo10, 0, 0, 1, 1))</f>
        <v/>
      </c>
      <c r="D2319" s="172">
        <f ca="1">IF(OFFSET('IWP10'!Std9BillingInfo10, 0, 1, 1, 1)=DATE(1900,1,0), DATE(1900,1,1), OFFSET('IWP10'!Std9BillingInfo10, 0, 1, 1, 1))</f>
        <v>1</v>
      </c>
      <c r="E2319" s="172">
        <f ca="1">IF(OFFSET('IWP10'!Std9BillingInfo10, 0, 2, 1, 1)=DATE(1900,1,0), DATE(1900,1,1), OFFSET('IWP10'!Std9BillingInfo10, 0, 2, 1, 1))</f>
        <v>1</v>
      </c>
      <c r="F2319" s="187">
        <f ca="1">OFFSET('IWP10'!Std9BillingInfo10, 0, 3, 1, 1)</f>
        <v>0</v>
      </c>
      <c r="G2319" s="187">
        <f ca="1">OFFSET('IWP10'!Std9BillingInfo10, 10, 6, 1, 1)</f>
        <v>0</v>
      </c>
      <c r="H2319" s="187">
        <f ca="1">OFFSET('IWP10'!Std9BillingInfo10, 11, 6, 1, 1)</f>
        <v>0</v>
      </c>
      <c r="I2319" s="187">
        <f ca="1">OFFSET('IWP10'!Std9BillingInfo10, 10, 8, 1, 1)</f>
        <v>0</v>
      </c>
      <c r="J2319" s="187">
        <f ca="1">OFFSET('IWP10'!Std9BillingInfo10, 10, 11, 1, 1)</f>
        <v>0</v>
      </c>
      <c r="K2319" s="187">
        <f ca="1">OFFSET('IWP10'!Std9BillingInfo10, 10, 12, 1, 1)</f>
        <v>0</v>
      </c>
      <c r="L2319" s="179">
        <f ca="1">OFFSET('IWP10'!Std9BillingInfo10, 12, 8, 1, 1)</f>
        <v>0</v>
      </c>
      <c r="M2319" s="129"/>
    </row>
    <row r="2320" spans="1:13" s="146" customFormat="1">
      <c r="A2320" s="183" t="s">
        <v>508</v>
      </c>
      <c r="B2320" s="196">
        <v>11</v>
      </c>
      <c r="C2320" s="195" t="str">
        <f ca="1">IF(OFFSET('IWP10'!Std9BillingInfo11, 0, 0, 1, 1) = 0, "", OFFSET('IWP10'!Std9BillingInfo11, 0, 0, 1, 1))</f>
        <v/>
      </c>
      <c r="D2320" s="172">
        <f ca="1">IF(OFFSET('IWP10'!Std9BillingInfo11, 0, 1, 1, 1)=DATE(1900,1,0), DATE(1900,1,1), OFFSET('IWP10'!Std9BillingInfo11, 0, 1, 1, 1))</f>
        <v>1</v>
      </c>
      <c r="E2320" s="172">
        <f ca="1">IF(OFFSET('IWP10'!Std9BillingInfo11, 0, 2, 1, 1)=DATE(1900,1,0), DATE(1900,1,1), OFFSET('IWP10'!Std9BillingInfo11, 0, 2, 1, 1))</f>
        <v>1</v>
      </c>
      <c r="F2320" s="187">
        <f ca="1">OFFSET('IWP10'!Std9BillingInfo11, 0, 3, 1, 1)</f>
        <v>0</v>
      </c>
      <c r="G2320" s="187">
        <f ca="1">OFFSET('IWP10'!Std9BillingInfo11, 10, 6, 1, 1)</f>
        <v>0</v>
      </c>
      <c r="H2320" s="187">
        <f ca="1">OFFSET('IWP10'!Std9BillingInfo11, 11, 6, 1, 1)</f>
        <v>0</v>
      </c>
      <c r="I2320" s="187">
        <f ca="1">OFFSET('IWP10'!Std9BillingInfo11, 10, 8, 1, 1)</f>
        <v>0</v>
      </c>
      <c r="J2320" s="187">
        <f ca="1">OFFSET('IWP10'!Std9BillingInfo11, 10, 11, 1, 1)</f>
        <v>0</v>
      </c>
      <c r="K2320" s="187">
        <f ca="1">OFFSET('IWP10'!Std9BillingInfo11, 10, 12, 1, 1)</f>
        <v>0</v>
      </c>
      <c r="L2320" s="179">
        <f ca="1">OFFSET('IWP10'!Std9BillingInfo11, 12, 8, 1, 1)</f>
        <v>0</v>
      </c>
      <c r="M2320" s="129"/>
    </row>
    <row r="2321" spans="1:13" s="146" customFormat="1">
      <c r="A2321" s="183" t="s">
        <v>508</v>
      </c>
      <c r="B2321" s="196">
        <v>12</v>
      </c>
      <c r="C2321" s="195" t="str">
        <f ca="1">IF(OFFSET('IWP10'!Std9BillingInfo12, 0, 0, 1, 1) = 0, "", OFFSET('IWP10'!Std9BillingInfo12, 0, 0, 1, 1))</f>
        <v/>
      </c>
      <c r="D2321" s="172">
        <f ca="1">IF(OFFSET('IWP10'!Std9BillingInfo12, 0, 1, 1, 1)=DATE(1900,1,0), DATE(1900,1,1), OFFSET('IWP10'!Std9BillingInfo12, 0, 1, 1, 1))</f>
        <v>1</v>
      </c>
      <c r="E2321" s="172">
        <f ca="1">IF(OFFSET('IWP10'!Std9BillingInfo12, 0, 2, 1, 1)=DATE(1900,1,0), DATE(1900,1,1), OFFSET('IWP10'!Std9BillingInfo12, 0, 2, 1, 1))</f>
        <v>1</v>
      </c>
      <c r="F2321" s="187">
        <f ca="1">OFFSET('IWP10'!Std9BillingInfo12, 0, 3, 1, 1)</f>
        <v>0</v>
      </c>
      <c r="G2321" s="187">
        <f ca="1">OFFSET('IWP10'!Std9BillingInfo12, 10, 6, 1, 1)</f>
        <v>0</v>
      </c>
      <c r="H2321" s="187">
        <f ca="1">OFFSET('IWP10'!Std9BillingInfo12, 11, 6, 1, 1)</f>
        <v>0</v>
      </c>
      <c r="I2321" s="187">
        <f ca="1">OFFSET('IWP10'!Std9BillingInfo12, 10, 8, 1, 1)</f>
        <v>0</v>
      </c>
      <c r="J2321" s="187">
        <f ca="1">OFFSET('IWP10'!Std9BillingInfo12, 10, 11, 1, 1)</f>
        <v>0</v>
      </c>
      <c r="K2321" s="187">
        <f ca="1">OFFSET('IWP10'!Std9BillingInfo12, 10, 12, 1, 1)</f>
        <v>0</v>
      </c>
      <c r="L2321" s="179">
        <f ca="1">OFFSET('IWP10'!Std9BillingInfo12, 12, 8, 1, 1)</f>
        <v>0</v>
      </c>
      <c r="M2321" s="129"/>
    </row>
    <row r="2322" spans="1:13" s="146" customFormat="1">
      <c r="A2322" s="183" t="s">
        <v>508</v>
      </c>
      <c r="B2322" s="196">
        <v>13</v>
      </c>
      <c r="C2322" s="195" t="str">
        <f ca="1">IF(OFFSET('IWP10'!Std9BillingInfo13, 0, 0, 1, 1) = 0, "", OFFSET('IWP10'!Std9BillingInfo13, 0, 0, 1, 1))</f>
        <v/>
      </c>
      <c r="D2322" s="172">
        <f ca="1">IF(OFFSET('IWP10'!Std9BillingInfo13, 0, 1, 1, 1)=DATE(1900,1,0), DATE(1900,1,1), OFFSET('IWP10'!Std9BillingInfo13, 0, 1, 1, 1))</f>
        <v>1</v>
      </c>
      <c r="E2322" s="172">
        <f ca="1">IF(OFFSET('IWP10'!Std9BillingInfo13, 0, 2, 1, 1)=DATE(1900,1,0), DATE(1900,1,1), OFFSET('IWP10'!Std9BillingInfo13, 0, 2, 1, 1))</f>
        <v>1</v>
      </c>
      <c r="F2322" s="187">
        <f ca="1">OFFSET('IWP10'!Std9BillingInfo13, 0, 3, 1, 1)</f>
        <v>0</v>
      </c>
      <c r="G2322" s="187">
        <f ca="1">OFFSET('IWP10'!Std9BillingInfo13, 10, 6, 1, 1)</f>
        <v>0</v>
      </c>
      <c r="H2322" s="187">
        <f ca="1">OFFSET('IWP10'!Std9BillingInfo13, 11, 6, 1, 1)</f>
        <v>0</v>
      </c>
      <c r="I2322" s="187">
        <f ca="1">OFFSET('IWP10'!Std9BillingInfo13, 10, 8, 1, 1)</f>
        <v>0</v>
      </c>
      <c r="J2322" s="187">
        <f ca="1">OFFSET('IWP10'!Std9BillingInfo13, 10, 11, 1, 1)</f>
        <v>0</v>
      </c>
      <c r="K2322" s="187">
        <f ca="1">OFFSET('IWP10'!Std9BillingInfo13, 10, 12, 1, 1)</f>
        <v>0</v>
      </c>
      <c r="L2322" s="179">
        <f ca="1">OFFSET('IWP10'!Std9BillingInfo13, 12, 8, 1, 1)</f>
        <v>0</v>
      </c>
      <c r="M2322" s="129"/>
    </row>
    <row r="2323" spans="1:13" s="146" customFormat="1">
      <c r="A2323" s="183" t="s">
        <v>508</v>
      </c>
      <c r="B2323" s="196">
        <v>14</v>
      </c>
      <c r="C2323" s="195" t="str">
        <f ca="1">IF(OFFSET('IWP10'!Std9BillingInfo14, 0, 0, 1, 1) = 0, "", OFFSET('IWP10'!Std9BillingInfo14, 0, 0, 1, 1))</f>
        <v/>
      </c>
      <c r="D2323" s="172">
        <f ca="1">IF(OFFSET('IWP10'!Std9BillingInfo14, 0, 1, 1, 1)=DATE(1900,1,0), DATE(1900,1,1), OFFSET('IWP10'!Std9BillingInfo14, 0, 1, 1, 1))</f>
        <v>1</v>
      </c>
      <c r="E2323" s="172">
        <f ca="1">IF(OFFSET('IWP10'!Std9BillingInfo14, 0, 2, 1, 1)=DATE(1900,1,0), DATE(1900,1,1), OFFSET('IWP10'!Std9BillingInfo14, 0, 2, 1, 1))</f>
        <v>1</v>
      </c>
      <c r="F2323" s="187">
        <f ca="1">OFFSET('IWP10'!Std9BillingInfo14, 0, 3, 1, 1)</f>
        <v>0</v>
      </c>
      <c r="G2323" s="187">
        <f ca="1">OFFSET('IWP10'!Std9BillingInfo14, 10, 6, 1, 1)</f>
        <v>0</v>
      </c>
      <c r="H2323" s="187">
        <f ca="1">OFFSET('IWP10'!Std9BillingInfo14, 11, 6, 1, 1)</f>
        <v>0</v>
      </c>
      <c r="I2323" s="187">
        <f ca="1">OFFSET('IWP10'!Std9BillingInfo14, 10, 8, 1, 1)</f>
        <v>0</v>
      </c>
      <c r="J2323" s="187">
        <f ca="1">OFFSET('IWP10'!Std9BillingInfo14, 10, 11, 1, 1)</f>
        <v>0</v>
      </c>
      <c r="K2323" s="187">
        <f ca="1">OFFSET('IWP10'!Std9BillingInfo14, 10, 12, 1, 1)</f>
        <v>0</v>
      </c>
      <c r="L2323" s="179">
        <f ca="1">OFFSET('IWP10'!Std9BillingInfo14, 12, 8, 1, 1)</f>
        <v>0</v>
      </c>
      <c r="M2323" s="129"/>
    </row>
    <row r="2324" spans="1:13" s="146" customFormat="1">
      <c r="A2324" s="183" t="s">
        <v>508</v>
      </c>
      <c r="B2324" s="196">
        <v>15</v>
      </c>
      <c r="C2324" s="195" t="str">
        <f ca="1">IF(OFFSET('IWP10'!Std9BillingInfo15, 0, 0, 1, 1) = 0, "", OFFSET('IWP10'!Std9BillingInfo15, 0, 0, 1, 1))</f>
        <v/>
      </c>
      <c r="D2324" s="172">
        <f ca="1">IF(OFFSET('IWP10'!Std9BillingInfo15, 0, 1, 1, 1)=DATE(1900,1,0), DATE(1900,1,1), OFFSET('IWP10'!Std9BillingInfo15, 0, 1, 1, 1))</f>
        <v>1</v>
      </c>
      <c r="E2324" s="172">
        <f ca="1">IF(OFFSET('IWP10'!Std9BillingInfo15, 0, 2, 1, 1)=DATE(1900,1,0), DATE(1900,1,1), OFFSET('IWP10'!Std9BillingInfo15, 0, 2, 1, 1))</f>
        <v>1</v>
      </c>
      <c r="F2324" s="187">
        <f ca="1">OFFSET('IWP10'!Std9BillingInfo15, 0, 3, 1, 1)</f>
        <v>0</v>
      </c>
      <c r="G2324" s="187">
        <f ca="1">OFFSET('IWP10'!Std9BillingInfo15, 10, 6, 1, 1)</f>
        <v>0</v>
      </c>
      <c r="H2324" s="187">
        <f ca="1">OFFSET('IWP10'!Std9BillingInfo15, 11, 6, 1, 1)</f>
        <v>0</v>
      </c>
      <c r="I2324" s="187">
        <f ca="1">OFFSET('IWP10'!Std9BillingInfo15, 10, 8, 1, 1)</f>
        <v>0</v>
      </c>
      <c r="J2324" s="187">
        <f ca="1">OFFSET('IWP10'!Std9BillingInfo15, 10, 11, 1, 1)</f>
        <v>0</v>
      </c>
      <c r="K2324" s="187">
        <f ca="1">OFFSET('IWP10'!Std9BillingInfo15, 10, 12, 1, 1)</f>
        <v>0</v>
      </c>
      <c r="L2324" s="179">
        <f ca="1">OFFSET('IWP10'!Std9BillingInfo15, 12, 8, 1, 1)</f>
        <v>0</v>
      </c>
      <c r="M2324" s="129"/>
    </row>
    <row r="2325" spans="1:13" s="146" customFormat="1">
      <c r="A2325" s="183" t="s">
        <v>508</v>
      </c>
      <c r="B2325" s="196">
        <v>16</v>
      </c>
      <c r="C2325" s="195" t="str">
        <f ca="1">IF(OFFSET('IWP10'!Std9BillingInfo16, 0, 0, 1, 1) = 0, "", OFFSET('IWP10'!Std9BillingInfo16, 0, 0, 1, 1))</f>
        <v/>
      </c>
      <c r="D2325" s="172">
        <f ca="1">IF(OFFSET('IWP10'!Std9BillingInfo16, 0, 1, 1, 1)=DATE(1900,1,0), DATE(1900,1,1), OFFSET('IWP10'!Std9BillingInfo16, 0, 1, 1, 1))</f>
        <v>1</v>
      </c>
      <c r="E2325" s="172">
        <f ca="1">IF(OFFSET('IWP10'!Std9BillingInfo16, 0, 2, 1, 1)=DATE(1900,1,0), DATE(1900,1,1), OFFSET('IWP10'!Std9BillingInfo16, 0, 2, 1, 1))</f>
        <v>1</v>
      </c>
      <c r="F2325" s="187">
        <f ca="1">OFFSET('IWP10'!Std9BillingInfo16, 0, 3, 1, 1)</f>
        <v>0</v>
      </c>
      <c r="G2325" s="187">
        <f ca="1">OFFSET('IWP10'!Std9BillingInfo16, 10, 6, 1, 1)</f>
        <v>0</v>
      </c>
      <c r="H2325" s="187">
        <f ca="1">OFFSET('IWP10'!Std9BillingInfo16, 11, 6, 1, 1)</f>
        <v>0</v>
      </c>
      <c r="I2325" s="187">
        <f ca="1">OFFSET('IWP10'!Std9BillingInfo16, 10, 8, 1, 1)</f>
        <v>0</v>
      </c>
      <c r="J2325" s="187">
        <f ca="1">OFFSET('IWP10'!Std9BillingInfo16, 10, 11, 1, 1)</f>
        <v>0</v>
      </c>
      <c r="K2325" s="187">
        <f ca="1">OFFSET('IWP10'!Std9BillingInfo16, 10, 12, 1, 1)</f>
        <v>0</v>
      </c>
      <c r="L2325" s="179">
        <f ca="1">OFFSET('IWP10'!Std9BillingInfo16, 12, 8, 1, 1)</f>
        <v>0</v>
      </c>
      <c r="M2325" s="129"/>
    </row>
    <row r="2326" spans="1:13" s="146" customFormat="1">
      <c r="A2326" s="183" t="s">
        <v>508</v>
      </c>
      <c r="B2326" s="196">
        <v>17</v>
      </c>
      <c r="C2326" s="195" t="str">
        <f ca="1">IF(OFFSET('IWP10'!Std9BillingInfo17, 0, 0, 1, 1) = 0, "", OFFSET('IWP10'!Std9BillingInfo17, 0, 0, 1, 1))</f>
        <v/>
      </c>
      <c r="D2326" s="172">
        <f ca="1">IF(OFFSET('IWP10'!Std9BillingInfo17, 0, 1, 1, 1)=DATE(1900,1,0), DATE(1900,1,1), OFFSET('IWP10'!Std9BillingInfo17, 0, 1, 1, 1))</f>
        <v>1</v>
      </c>
      <c r="E2326" s="172">
        <f ca="1">IF(OFFSET('IWP10'!Std9BillingInfo17, 0, 2, 1, 1)=DATE(1900,1,0), DATE(1900,1,1), OFFSET('IWP10'!Std9BillingInfo17, 0, 2, 1, 1))</f>
        <v>1</v>
      </c>
      <c r="F2326" s="187">
        <f ca="1">OFFSET('IWP10'!Std9BillingInfo17, 0, 3, 1, 1)</f>
        <v>0</v>
      </c>
      <c r="G2326" s="187">
        <f ca="1">OFFSET('IWP10'!Std9BillingInfo17, 10, 6, 1, 1)</f>
        <v>0</v>
      </c>
      <c r="H2326" s="187">
        <f ca="1">OFFSET('IWP10'!Std9BillingInfo17, 11, 6, 1, 1)</f>
        <v>0</v>
      </c>
      <c r="I2326" s="187">
        <f ca="1">OFFSET('IWP10'!Std9BillingInfo17, 10, 8, 1, 1)</f>
        <v>0</v>
      </c>
      <c r="J2326" s="187">
        <f ca="1">OFFSET('IWP10'!Std9BillingInfo17, 10, 11, 1, 1)</f>
        <v>0</v>
      </c>
      <c r="K2326" s="187">
        <f ca="1">OFFSET('IWP10'!Std9BillingInfo17, 10, 12, 1, 1)</f>
        <v>0</v>
      </c>
      <c r="L2326" s="179">
        <f ca="1">OFFSET('IWP10'!Std9BillingInfo17, 12, 8, 1, 1)</f>
        <v>0</v>
      </c>
      <c r="M2326" s="129"/>
    </row>
    <row r="2327" spans="1:13" s="146" customFormat="1">
      <c r="A2327" s="183" t="s">
        <v>508</v>
      </c>
      <c r="B2327" s="196">
        <v>18</v>
      </c>
      <c r="C2327" s="195" t="str">
        <f ca="1">IF(OFFSET('IWP10'!Std9BillingInfo18, 0, 0, 1, 1) = 0, "", OFFSET('IWP10'!Std9BillingInfo18, 0, 0, 1, 1))</f>
        <v/>
      </c>
      <c r="D2327" s="172">
        <f ca="1">IF(OFFSET('IWP10'!Std9BillingInfo18, 0, 1, 1, 1)=DATE(1900,1,0), DATE(1900,1,1), OFFSET('IWP10'!Std9BillingInfo18, 0, 1, 1, 1))</f>
        <v>1</v>
      </c>
      <c r="E2327" s="172">
        <f ca="1">IF(OFFSET('IWP10'!Std9BillingInfo18, 0, 2, 1, 1)=DATE(1900,1,0), DATE(1900,1,1), OFFSET('IWP10'!Std9BillingInfo18, 0, 2, 1, 1))</f>
        <v>1</v>
      </c>
      <c r="F2327" s="187">
        <f ca="1">OFFSET('IWP10'!Std9BillingInfo18, 0, 3, 1, 1)</f>
        <v>0</v>
      </c>
      <c r="G2327" s="187">
        <f ca="1">OFFSET('IWP10'!Std9BillingInfo18, 10, 6, 1, 1)</f>
        <v>0</v>
      </c>
      <c r="H2327" s="187">
        <f ca="1">OFFSET('IWP10'!Std9BillingInfo18, 11, 6, 1, 1)</f>
        <v>0</v>
      </c>
      <c r="I2327" s="187">
        <f ca="1">OFFSET('IWP10'!Std9BillingInfo18, 10, 8, 1, 1)</f>
        <v>0</v>
      </c>
      <c r="J2327" s="187">
        <f ca="1">OFFSET('IWP10'!Std9BillingInfo18, 10, 11, 1, 1)</f>
        <v>0</v>
      </c>
      <c r="K2327" s="187">
        <f ca="1">OFFSET('IWP10'!Std9BillingInfo18, 10, 12, 1, 1)</f>
        <v>0</v>
      </c>
      <c r="L2327" s="179">
        <f ca="1">OFFSET('IWP10'!Std9BillingInfo18, 12, 8, 1, 1)</f>
        <v>0</v>
      </c>
      <c r="M2327" s="129"/>
    </row>
    <row r="2328" spans="1:13" s="146" customFormat="1">
      <c r="A2328" s="183" t="s">
        <v>509</v>
      </c>
      <c r="B2328" s="196">
        <v>1</v>
      </c>
      <c r="C2328" s="195" t="str">
        <f ca="1">IF(OFFSET('IWP11'!Std9BillingInfo01, 0, 0, 1, 1) = 0, "", OFFSET('IWP11'!Std9BillingInfo01, 0, 0, 1, 1))</f>
        <v/>
      </c>
      <c r="D2328" s="172">
        <f ca="1">IF(OFFSET('IWP11'!Std9BillingInfo01, 0, 1, 1, 1)=DATE(1900,1,0), DATE(1900,1,1), OFFSET('IWP11'!Std9BillingInfo01, 0, 1, 1, 1))</f>
        <v>1</v>
      </c>
      <c r="E2328" s="172">
        <f ca="1">IF(OFFSET('IWP11'!Std9BillingInfo01, 0, 2, 1, 1)=DATE(1900,1,0), DATE(1900,1,1), OFFSET('IWP11'!Std9BillingInfo01, 0, 2, 1, 1))</f>
        <v>1</v>
      </c>
      <c r="F2328" s="187">
        <f ca="1">OFFSET('IWP11'!Std9BillingInfo01, 0, 3, 1, 1)</f>
        <v>0</v>
      </c>
      <c r="G2328" s="187">
        <f ca="1">OFFSET('IWP11'!Std9BillingInfo01, 10, 6, 1, 1)</f>
        <v>0</v>
      </c>
      <c r="H2328" s="187">
        <f ca="1">OFFSET('IWP11'!Std9BillingInfo01, 11, 6, 1, 1)</f>
        <v>0</v>
      </c>
      <c r="I2328" s="187">
        <f ca="1">OFFSET('IWP11'!Std9BillingInfo01, 10, 8, 1, 1)</f>
        <v>0</v>
      </c>
      <c r="J2328" s="187">
        <f ca="1">OFFSET('IWP11'!Std9BillingInfo01, 10, 11, 1, 1)</f>
        <v>0</v>
      </c>
      <c r="K2328" s="187">
        <f ca="1">OFFSET('IWP11'!Std9BillingInfo01, 10, 12, 1, 1)</f>
        <v>0</v>
      </c>
      <c r="L2328" s="179">
        <f ca="1">OFFSET('IWP11'!Std9BillingInfo01, 12, 8, 1, 1)</f>
        <v>0</v>
      </c>
      <c r="M2328" s="129"/>
    </row>
    <row r="2329" spans="1:13" s="146" customFormat="1">
      <c r="A2329" s="183" t="s">
        <v>509</v>
      </c>
      <c r="B2329" s="196">
        <v>2</v>
      </c>
      <c r="C2329" s="195" t="str">
        <f ca="1">IF(OFFSET('IWP11'!Std9BillingInfo02, 0, 0, 1, 1) = 0, "", OFFSET('IWP11'!Std9BillingInfo02, 0, 0, 1, 1))</f>
        <v/>
      </c>
      <c r="D2329" s="172">
        <f ca="1">IF(OFFSET('IWP11'!Std9BillingInfo02, 0, 1, 1, 1)=DATE(1900,1,0), DATE(1900,1,1), OFFSET('IWP11'!Std9BillingInfo02, 0, 1, 1, 1))</f>
        <v>1</v>
      </c>
      <c r="E2329" s="172">
        <f ca="1">IF(OFFSET('IWP11'!Std9BillingInfo02, 0, 2, 1, 1)=DATE(1900,1,0), DATE(1900,1,1), OFFSET('IWP11'!Std9BillingInfo02, 0, 2, 1, 1))</f>
        <v>1</v>
      </c>
      <c r="F2329" s="187">
        <f ca="1">OFFSET('IWP11'!Std9BillingInfo02, 0, 3, 1, 1)</f>
        <v>0</v>
      </c>
      <c r="G2329" s="187">
        <f ca="1">OFFSET('IWP11'!Std9BillingInfo02, 10, 6, 1, 1)</f>
        <v>0</v>
      </c>
      <c r="H2329" s="187">
        <f ca="1">OFFSET('IWP11'!Std9BillingInfo02, 11, 6, 1, 1)</f>
        <v>0</v>
      </c>
      <c r="I2329" s="187">
        <f ca="1">OFFSET('IWP11'!Std9BillingInfo02, 10, 8, 1, 1)</f>
        <v>0</v>
      </c>
      <c r="J2329" s="187">
        <f ca="1">OFFSET('IWP11'!Std9BillingInfo02, 10, 11, 1, 1)</f>
        <v>0</v>
      </c>
      <c r="K2329" s="187">
        <f ca="1">OFFSET('IWP11'!Std9BillingInfo02, 10, 12, 1, 1)</f>
        <v>0</v>
      </c>
      <c r="L2329" s="179">
        <f ca="1">OFFSET('IWP11'!Std9BillingInfo02, 12, 8, 1, 1)</f>
        <v>0</v>
      </c>
      <c r="M2329" s="129"/>
    </row>
    <row r="2330" spans="1:13" s="146" customFormat="1">
      <c r="A2330" s="183" t="s">
        <v>509</v>
      </c>
      <c r="B2330" s="196">
        <v>3</v>
      </c>
      <c r="C2330" s="195" t="str">
        <f ca="1">IF(OFFSET('IWP11'!Std9BillingInfo03, 0, 0, 1, 1) = 0, "", OFFSET('IWP11'!Std9BillingInfo03, 0, 0, 1, 1))</f>
        <v/>
      </c>
      <c r="D2330" s="172">
        <f ca="1">IF(OFFSET('IWP11'!Std9BillingInfo03, 0, 1, 1, 1)=DATE(1900,1,0), DATE(1900,1,1), OFFSET('IWP11'!Std9BillingInfo03, 0, 1, 1, 1))</f>
        <v>1</v>
      </c>
      <c r="E2330" s="172">
        <f ca="1">IF(OFFSET('IWP11'!Std9BillingInfo03, 0, 2, 1, 1)=DATE(1900,1,0), DATE(1900,1,1), OFFSET('IWP11'!Std9BillingInfo03, 0, 2, 1, 1))</f>
        <v>1</v>
      </c>
      <c r="F2330" s="187">
        <f ca="1">OFFSET('IWP11'!Std9BillingInfo03, 0, 3, 1, 1)</f>
        <v>0</v>
      </c>
      <c r="G2330" s="187">
        <f ca="1">OFFSET('IWP11'!Std9BillingInfo03, 10, 6, 1, 1)</f>
        <v>0</v>
      </c>
      <c r="H2330" s="187">
        <f ca="1">OFFSET('IWP11'!Std9BillingInfo03, 11, 6, 1, 1)</f>
        <v>0</v>
      </c>
      <c r="I2330" s="187">
        <f ca="1">OFFSET('IWP11'!Std9BillingInfo03, 10, 8, 1, 1)</f>
        <v>0</v>
      </c>
      <c r="J2330" s="187">
        <f ca="1">OFFSET('IWP11'!Std9BillingInfo03, 10, 11, 1, 1)</f>
        <v>0</v>
      </c>
      <c r="K2330" s="187">
        <f ca="1">OFFSET('IWP11'!Std9BillingInfo03, 10, 12, 1, 1)</f>
        <v>0</v>
      </c>
      <c r="L2330" s="179">
        <f ca="1">OFFSET('IWP11'!Std9BillingInfo03, 12, 8, 1, 1)</f>
        <v>0</v>
      </c>
      <c r="M2330" s="129"/>
    </row>
    <row r="2331" spans="1:13" s="146" customFormat="1">
      <c r="A2331" s="183" t="s">
        <v>509</v>
      </c>
      <c r="B2331" s="196">
        <v>4</v>
      </c>
      <c r="C2331" s="195" t="str">
        <f ca="1">IF(OFFSET('IWP11'!Std9BillingInfo04, 0, 0, 1, 1) = 0, "", OFFSET('IWP11'!Std9BillingInfo04, 0, 0, 1, 1))</f>
        <v/>
      </c>
      <c r="D2331" s="172">
        <f ca="1">IF(OFFSET('IWP11'!Std9BillingInfo04, 0, 1, 1, 1)=DATE(1900,1,0), DATE(1900,1,1), OFFSET('IWP11'!Std9BillingInfo04, 0, 1, 1, 1))</f>
        <v>1</v>
      </c>
      <c r="E2331" s="172">
        <f ca="1">IF(OFFSET('IWP11'!Std9BillingInfo04, 0, 2, 1, 1)=DATE(1900,1,0), DATE(1900,1,1), OFFSET('IWP11'!Std9BillingInfo04, 0, 2, 1, 1))</f>
        <v>1</v>
      </c>
      <c r="F2331" s="187">
        <f ca="1">OFFSET('IWP11'!Std9BillingInfo04, 0, 3, 1, 1)</f>
        <v>0</v>
      </c>
      <c r="G2331" s="187">
        <f ca="1">OFFSET('IWP11'!Std9BillingInfo04, 10, 6, 1, 1)</f>
        <v>0</v>
      </c>
      <c r="H2331" s="187">
        <f ca="1">OFFSET('IWP11'!Std9BillingInfo04, 11, 6, 1, 1)</f>
        <v>0</v>
      </c>
      <c r="I2331" s="187">
        <f ca="1">OFFSET('IWP11'!Std9BillingInfo04, 10, 8, 1, 1)</f>
        <v>0</v>
      </c>
      <c r="J2331" s="187">
        <f ca="1">OFFSET('IWP11'!Std9BillingInfo04, 10, 11, 1, 1)</f>
        <v>0</v>
      </c>
      <c r="K2331" s="187">
        <f ca="1">OFFSET('IWP11'!Std9BillingInfo04, 10, 12, 1, 1)</f>
        <v>0</v>
      </c>
      <c r="L2331" s="179">
        <f ca="1">OFFSET('IWP11'!Std9BillingInfo04, 12, 8, 1, 1)</f>
        <v>0</v>
      </c>
      <c r="M2331" s="129"/>
    </row>
    <row r="2332" spans="1:13" s="146" customFormat="1">
      <c r="A2332" s="183" t="s">
        <v>509</v>
      </c>
      <c r="B2332" s="196">
        <v>5</v>
      </c>
      <c r="C2332" s="195" t="str">
        <f ca="1">IF(OFFSET('IWP11'!Std9BillingInfo05, 0, 0, 1, 1) = 0, "", OFFSET('IWP11'!Std9BillingInfo05, 0, 0, 1, 1))</f>
        <v/>
      </c>
      <c r="D2332" s="172">
        <f ca="1">IF(OFFSET('IWP11'!Std9BillingInfo05, 0, 1, 1, 1)=DATE(1900,1,0), DATE(1900,1,1), OFFSET('IWP11'!Std9BillingInfo05, 0, 1, 1, 1))</f>
        <v>1</v>
      </c>
      <c r="E2332" s="172">
        <f ca="1">IF(OFFSET('IWP11'!Std9BillingInfo05, 0, 2, 1, 1)=DATE(1900,1,0), DATE(1900,1,1), OFFSET('IWP11'!Std9BillingInfo05, 0, 2, 1, 1))</f>
        <v>1</v>
      </c>
      <c r="F2332" s="187">
        <f ca="1">OFFSET('IWP11'!Std9BillingInfo05, 0, 3, 1, 1)</f>
        <v>0</v>
      </c>
      <c r="G2332" s="187">
        <f ca="1">OFFSET('IWP11'!Std9BillingInfo05, 10, 6, 1, 1)</f>
        <v>0</v>
      </c>
      <c r="H2332" s="187">
        <f ca="1">OFFSET('IWP11'!Std9BillingInfo05, 11, 6, 1, 1)</f>
        <v>0</v>
      </c>
      <c r="I2332" s="187">
        <f ca="1">OFFSET('IWP11'!Std9BillingInfo05, 10, 8, 1, 1)</f>
        <v>0</v>
      </c>
      <c r="J2332" s="187">
        <f ca="1">OFFSET('IWP11'!Std9BillingInfo05, 10, 11, 1, 1)</f>
        <v>0</v>
      </c>
      <c r="K2332" s="187">
        <f ca="1">OFFSET('IWP11'!Std9BillingInfo05, 10, 12, 1, 1)</f>
        <v>0</v>
      </c>
      <c r="L2332" s="179">
        <f ca="1">OFFSET('IWP11'!Std9BillingInfo05, 12, 8, 1, 1)</f>
        <v>0</v>
      </c>
      <c r="M2332" s="129"/>
    </row>
    <row r="2333" spans="1:13" s="146" customFormat="1">
      <c r="A2333" s="183" t="s">
        <v>509</v>
      </c>
      <c r="B2333" s="196">
        <v>6</v>
      </c>
      <c r="C2333" s="195" t="str">
        <f ca="1">IF(OFFSET('IWP11'!Std9BillingInfo06, 0, 0, 1, 1) = 0, "", OFFSET('IWP11'!Std9BillingInfo06, 0, 0, 1, 1))</f>
        <v/>
      </c>
      <c r="D2333" s="172">
        <f ca="1">IF(OFFSET('IWP11'!Std9BillingInfo06, 0, 1, 1, 1)=DATE(1900,1,0), DATE(1900,1,1), OFFSET('IWP11'!Std9BillingInfo06, 0, 1, 1, 1))</f>
        <v>1</v>
      </c>
      <c r="E2333" s="172">
        <f ca="1">IF(OFFSET('IWP11'!Std9BillingInfo06, 0, 2, 1, 1)=DATE(1900,1,0), DATE(1900,1,1), OFFSET('IWP11'!Std9BillingInfo06, 0, 2, 1, 1))</f>
        <v>1</v>
      </c>
      <c r="F2333" s="187">
        <f ca="1">OFFSET('IWP11'!Std9BillingInfo06, 0, 3, 1, 1)</f>
        <v>0</v>
      </c>
      <c r="G2333" s="187">
        <f ca="1">OFFSET('IWP11'!Std9BillingInfo06, 10, 6, 1, 1)</f>
        <v>0</v>
      </c>
      <c r="H2333" s="187">
        <f ca="1">OFFSET('IWP11'!Std9BillingInfo06, 11, 6, 1, 1)</f>
        <v>0</v>
      </c>
      <c r="I2333" s="187">
        <f ca="1">OFFSET('IWP11'!Std9BillingInfo06, 10, 8, 1, 1)</f>
        <v>0</v>
      </c>
      <c r="J2333" s="187">
        <f ca="1">OFFSET('IWP11'!Std9BillingInfo06, 10, 11, 1, 1)</f>
        <v>0</v>
      </c>
      <c r="K2333" s="187">
        <f ca="1">OFFSET('IWP11'!Std9BillingInfo06, 10, 12, 1, 1)</f>
        <v>0</v>
      </c>
      <c r="L2333" s="179">
        <f ca="1">OFFSET('IWP11'!Std9BillingInfo06, 12, 8, 1, 1)</f>
        <v>0</v>
      </c>
      <c r="M2333" s="129"/>
    </row>
    <row r="2334" spans="1:13" s="146" customFormat="1">
      <c r="A2334" s="183" t="s">
        <v>509</v>
      </c>
      <c r="B2334" s="196">
        <v>7</v>
      </c>
      <c r="C2334" s="195" t="str">
        <f ca="1">IF(OFFSET('IWP11'!Std9BillingInfo07, 0, 0, 1, 1) = 0, "", OFFSET('IWP11'!Std9BillingInfo07, 0, 0, 1, 1))</f>
        <v/>
      </c>
      <c r="D2334" s="172">
        <f ca="1">IF(OFFSET('IWP11'!Std9BillingInfo07, 0, 1, 1, 1)=DATE(1900,1,0), DATE(1900,1,1), OFFSET('IWP11'!Std9BillingInfo07, 0, 1, 1, 1))</f>
        <v>1</v>
      </c>
      <c r="E2334" s="172">
        <f ca="1">IF(OFFSET('IWP11'!Std9BillingInfo07, 0, 2, 1, 1)=DATE(1900,1,0), DATE(1900,1,1), OFFSET('IWP11'!Std9BillingInfo07, 0, 2, 1, 1))</f>
        <v>1</v>
      </c>
      <c r="F2334" s="187">
        <f ca="1">OFFSET('IWP11'!Std9BillingInfo07, 0, 3, 1, 1)</f>
        <v>0</v>
      </c>
      <c r="G2334" s="187">
        <f ca="1">OFFSET('IWP11'!Std9BillingInfo07, 10, 6, 1, 1)</f>
        <v>0</v>
      </c>
      <c r="H2334" s="187">
        <f ca="1">OFFSET('IWP11'!Std9BillingInfo07, 11, 6, 1, 1)</f>
        <v>0</v>
      </c>
      <c r="I2334" s="187">
        <f ca="1">OFFSET('IWP11'!Std9BillingInfo07, 10, 8, 1, 1)</f>
        <v>0</v>
      </c>
      <c r="J2334" s="187">
        <f ca="1">OFFSET('IWP11'!Std9BillingInfo07, 10, 11, 1, 1)</f>
        <v>0</v>
      </c>
      <c r="K2334" s="187">
        <f ca="1">OFFSET('IWP11'!Std9BillingInfo07, 10, 12, 1, 1)</f>
        <v>0</v>
      </c>
      <c r="L2334" s="179">
        <f ca="1">OFFSET('IWP11'!Std9BillingInfo07, 12, 8, 1, 1)</f>
        <v>0</v>
      </c>
      <c r="M2334" s="129"/>
    </row>
    <row r="2335" spans="1:13" s="146" customFormat="1">
      <c r="A2335" s="183" t="s">
        <v>509</v>
      </c>
      <c r="B2335" s="196">
        <v>8</v>
      </c>
      <c r="C2335" s="195" t="str">
        <f ca="1">IF(OFFSET('IWP11'!Std9BillingInfo08, 0, 0, 1, 1) = 0, "", OFFSET('IWP11'!Std9BillingInfo08, 0, 0, 1, 1))</f>
        <v/>
      </c>
      <c r="D2335" s="172">
        <f ca="1">IF(OFFSET('IWP11'!Std9BillingInfo08, 0, 1, 1, 1)=DATE(1900,1,0), DATE(1900,1,1), OFFSET('IWP11'!Std9BillingInfo08, 0, 1, 1, 1))</f>
        <v>1</v>
      </c>
      <c r="E2335" s="172">
        <f ca="1">IF(OFFSET('IWP11'!Std9BillingInfo08, 0, 2, 1, 1)=DATE(1900,1,0), DATE(1900,1,1), OFFSET('IWP11'!Std9BillingInfo08, 0, 2, 1, 1))</f>
        <v>1</v>
      </c>
      <c r="F2335" s="187">
        <f ca="1">OFFSET('IWP11'!Std9BillingInfo08, 0, 3, 1, 1)</f>
        <v>0</v>
      </c>
      <c r="G2335" s="187">
        <f ca="1">OFFSET('IWP11'!Std9BillingInfo08, 10, 6, 1, 1)</f>
        <v>0</v>
      </c>
      <c r="H2335" s="187">
        <f ca="1">OFFSET('IWP11'!Std9BillingInfo08, 11, 6, 1, 1)</f>
        <v>0</v>
      </c>
      <c r="I2335" s="187">
        <f ca="1">OFFSET('IWP11'!Std9BillingInfo08, 10, 8, 1, 1)</f>
        <v>0</v>
      </c>
      <c r="J2335" s="187">
        <f ca="1">OFFSET('IWP11'!Std9BillingInfo08, 10, 11, 1, 1)</f>
        <v>0</v>
      </c>
      <c r="K2335" s="187">
        <f ca="1">OFFSET('IWP11'!Std9BillingInfo08, 10, 12, 1, 1)</f>
        <v>0</v>
      </c>
      <c r="L2335" s="179">
        <f ca="1">OFFSET('IWP11'!Std9BillingInfo08, 12, 8, 1, 1)</f>
        <v>0</v>
      </c>
      <c r="M2335" s="129"/>
    </row>
    <row r="2336" spans="1:13" s="146" customFormat="1">
      <c r="A2336" s="183" t="s">
        <v>509</v>
      </c>
      <c r="B2336" s="196">
        <v>9</v>
      </c>
      <c r="C2336" s="195" t="str">
        <f ca="1">IF(OFFSET('IWP11'!Std9BillingInfo09, 0, 0, 1, 1) = 0, "", OFFSET('IWP11'!Std9BillingInfo09, 0, 0, 1, 1))</f>
        <v/>
      </c>
      <c r="D2336" s="172">
        <f ca="1">IF(OFFSET('IWP11'!Std9BillingInfo09, 0, 1, 1, 1)=DATE(1900,1,0), DATE(1900,1,1), OFFSET('IWP11'!Std9BillingInfo09, 0, 1, 1, 1))</f>
        <v>1</v>
      </c>
      <c r="E2336" s="172">
        <f ca="1">IF(OFFSET('IWP11'!Std9BillingInfo09, 0, 2, 1, 1)=DATE(1900,1,0), DATE(1900,1,1), OFFSET('IWP11'!Std9BillingInfo09, 0, 2, 1, 1))</f>
        <v>1</v>
      </c>
      <c r="F2336" s="187">
        <f ca="1">OFFSET('IWP11'!Std9BillingInfo09, 0, 3, 1, 1)</f>
        <v>0</v>
      </c>
      <c r="G2336" s="187">
        <f ca="1">OFFSET('IWP11'!Std9BillingInfo09, 10, 6, 1, 1)</f>
        <v>0</v>
      </c>
      <c r="H2336" s="187">
        <f ca="1">OFFSET('IWP11'!Std9BillingInfo09, 11, 6, 1, 1)</f>
        <v>0</v>
      </c>
      <c r="I2336" s="187">
        <f ca="1">OFFSET('IWP11'!Std9BillingInfo09, 10, 8, 1, 1)</f>
        <v>0</v>
      </c>
      <c r="J2336" s="187">
        <f ca="1">OFFSET('IWP11'!Std9BillingInfo09, 10, 11, 1, 1)</f>
        <v>0</v>
      </c>
      <c r="K2336" s="187">
        <f ca="1">OFFSET('IWP11'!Std9BillingInfo09, 10, 12, 1, 1)</f>
        <v>0</v>
      </c>
      <c r="L2336" s="179">
        <f ca="1">OFFSET('IWP11'!Std9BillingInfo09, 12, 8, 1, 1)</f>
        <v>0</v>
      </c>
      <c r="M2336" s="129"/>
    </row>
    <row r="2337" spans="1:13" s="146" customFormat="1">
      <c r="A2337" s="183" t="s">
        <v>509</v>
      </c>
      <c r="B2337" s="196">
        <v>10</v>
      </c>
      <c r="C2337" s="195" t="str">
        <f ca="1">IF(OFFSET('IWP11'!Std9BillingInfo10, 0, 0, 1, 1) = 0, "", OFFSET('IWP11'!Std9BillingInfo10, 0, 0, 1, 1))</f>
        <v/>
      </c>
      <c r="D2337" s="172">
        <f ca="1">IF(OFFSET('IWP11'!Std9BillingInfo10, 0, 1, 1, 1)=DATE(1900,1,0), DATE(1900,1,1), OFFSET('IWP11'!Std9BillingInfo10, 0, 1, 1, 1))</f>
        <v>1</v>
      </c>
      <c r="E2337" s="172">
        <f ca="1">IF(OFFSET('IWP11'!Std9BillingInfo10, 0, 2, 1, 1)=DATE(1900,1,0), DATE(1900,1,1), OFFSET('IWP11'!Std9BillingInfo10, 0, 2, 1, 1))</f>
        <v>1</v>
      </c>
      <c r="F2337" s="187">
        <f ca="1">OFFSET('IWP11'!Std9BillingInfo10, 0, 3, 1, 1)</f>
        <v>0</v>
      </c>
      <c r="G2337" s="187">
        <f ca="1">OFFSET('IWP11'!Std9BillingInfo10, 10, 6, 1, 1)</f>
        <v>0</v>
      </c>
      <c r="H2337" s="187">
        <f ca="1">OFFSET('IWP11'!Std9BillingInfo10, 11, 6, 1, 1)</f>
        <v>0</v>
      </c>
      <c r="I2337" s="187">
        <f ca="1">OFFSET('IWP11'!Std9BillingInfo10, 10, 8, 1, 1)</f>
        <v>0</v>
      </c>
      <c r="J2337" s="187">
        <f ca="1">OFFSET('IWP11'!Std9BillingInfo10, 10, 11, 1, 1)</f>
        <v>0</v>
      </c>
      <c r="K2337" s="187">
        <f ca="1">OFFSET('IWP11'!Std9BillingInfo10, 10, 12, 1, 1)</f>
        <v>0</v>
      </c>
      <c r="L2337" s="179">
        <f ca="1">OFFSET('IWP11'!Std9BillingInfo10, 12, 8, 1, 1)</f>
        <v>0</v>
      </c>
      <c r="M2337" s="129"/>
    </row>
    <row r="2338" spans="1:13" s="146" customFormat="1">
      <c r="A2338" s="183" t="s">
        <v>509</v>
      </c>
      <c r="B2338" s="196">
        <v>11</v>
      </c>
      <c r="C2338" s="195" t="str">
        <f ca="1">IF(OFFSET('IWP11'!Std9BillingInfo11, 0, 0, 1, 1) = 0, "", OFFSET('IWP11'!Std9BillingInfo11, 0, 0, 1, 1))</f>
        <v/>
      </c>
      <c r="D2338" s="172">
        <f ca="1">IF(OFFSET('IWP11'!Std9BillingInfo11, 0, 1, 1, 1)=DATE(1900,1,0), DATE(1900,1,1), OFFSET('IWP11'!Std9BillingInfo11, 0, 1, 1, 1))</f>
        <v>1</v>
      </c>
      <c r="E2338" s="172">
        <f ca="1">IF(OFFSET('IWP11'!Std9BillingInfo11, 0, 2, 1, 1)=DATE(1900,1,0), DATE(1900,1,1), OFFSET('IWP11'!Std9BillingInfo11, 0, 2, 1, 1))</f>
        <v>1</v>
      </c>
      <c r="F2338" s="187">
        <f ca="1">OFFSET('IWP11'!Std9BillingInfo11, 0, 3, 1, 1)</f>
        <v>0</v>
      </c>
      <c r="G2338" s="187">
        <f ca="1">OFFSET('IWP11'!Std9BillingInfo11, 10, 6, 1, 1)</f>
        <v>0</v>
      </c>
      <c r="H2338" s="187">
        <f ca="1">OFFSET('IWP11'!Std9BillingInfo11, 11, 6, 1, 1)</f>
        <v>0</v>
      </c>
      <c r="I2338" s="187">
        <f ca="1">OFFSET('IWP11'!Std9BillingInfo11, 10, 8, 1, 1)</f>
        <v>0</v>
      </c>
      <c r="J2338" s="187">
        <f ca="1">OFFSET('IWP11'!Std9BillingInfo11, 10, 11, 1, 1)</f>
        <v>0</v>
      </c>
      <c r="K2338" s="187">
        <f ca="1">OFFSET('IWP11'!Std9BillingInfo11, 10, 12, 1, 1)</f>
        <v>0</v>
      </c>
      <c r="L2338" s="179">
        <f ca="1">OFFSET('IWP11'!Std9BillingInfo11, 12, 8, 1, 1)</f>
        <v>0</v>
      </c>
      <c r="M2338" s="129"/>
    </row>
    <row r="2339" spans="1:13" s="146" customFormat="1">
      <c r="A2339" s="183" t="s">
        <v>509</v>
      </c>
      <c r="B2339" s="196">
        <v>12</v>
      </c>
      <c r="C2339" s="195" t="str">
        <f ca="1">IF(OFFSET('IWP11'!Std9BillingInfo12, 0, 0, 1, 1) = 0, "", OFFSET('IWP11'!Std9BillingInfo12, 0, 0, 1, 1))</f>
        <v/>
      </c>
      <c r="D2339" s="172">
        <f ca="1">IF(OFFSET('IWP11'!Std9BillingInfo12, 0, 1, 1, 1)=DATE(1900,1,0), DATE(1900,1,1), OFFSET('IWP11'!Std9BillingInfo12, 0, 1, 1, 1))</f>
        <v>1</v>
      </c>
      <c r="E2339" s="172">
        <f ca="1">IF(OFFSET('IWP11'!Std9BillingInfo12, 0, 2, 1, 1)=DATE(1900,1,0), DATE(1900,1,1), OFFSET('IWP11'!Std9BillingInfo12, 0, 2, 1, 1))</f>
        <v>1</v>
      </c>
      <c r="F2339" s="187">
        <f ca="1">OFFSET('IWP11'!Std9BillingInfo12, 0, 3, 1, 1)</f>
        <v>0</v>
      </c>
      <c r="G2339" s="187">
        <f ca="1">OFFSET('IWP11'!Std9BillingInfo12, 10, 6, 1, 1)</f>
        <v>0</v>
      </c>
      <c r="H2339" s="187">
        <f ca="1">OFFSET('IWP11'!Std9BillingInfo12, 11, 6, 1, 1)</f>
        <v>0</v>
      </c>
      <c r="I2339" s="187">
        <f ca="1">OFFSET('IWP11'!Std9BillingInfo12, 10, 8, 1, 1)</f>
        <v>0</v>
      </c>
      <c r="J2339" s="187">
        <f ca="1">OFFSET('IWP11'!Std9BillingInfo12, 10, 11, 1, 1)</f>
        <v>0</v>
      </c>
      <c r="K2339" s="187">
        <f ca="1">OFFSET('IWP11'!Std9BillingInfo12, 10, 12, 1, 1)</f>
        <v>0</v>
      </c>
      <c r="L2339" s="179">
        <f ca="1">OFFSET('IWP11'!Std9BillingInfo12, 12, 8, 1, 1)</f>
        <v>0</v>
      </c>
      <c r="M2339" s="129"/>
    </row>
    <row r="2340" spans="1:13" s="146" customFormat="1">
      <c r="A2340" s="183" t="s">
        <v>509</v>
      </c>
      <c r="B2340" s="196">
        <v>13</v>
      </c>
      <c r="C2340" s="195" t="str">
        <f ca="1">IF(OFFSET('IWP11'!Std9BillingInfo13, 0, 0, 1, 1) = 0, "", OFFSET('IWP11'!Std9BillingInfo13, 0, 0, 1, 1))</f>
        <v/>
      </c>
      <c r="D2340" s="172">
        <f ca="1">IF(OFFSET('IWP11'!Std9BillingInfo13, 0, 1, 1, 1)=DATE(1900,1,0), DATE(1900,1,1), OFFSET('IWP11'!Std9BillingInfo13, 0, 1, 1, 1))</f>
        <v>1</v>
      </c>
      <c r="E2340" s="172">
        <f ca="1">IF(OFFSET('IWP11'!Std9BillingInfo13, 0, 2, 1, 1)=DATE(1900,1,0), DATE(1900,1,1), OFFSET('IWP11'!Std9BillingInfo13, 0, 2, 1, 1))</f>
        <v>1</v>
      </c>
      <c r="F2340" s="187">
        <f ca="1">OFFSET('IWP11'!Std9BillingInfo13, 0, 3, 1, 1)</f>
        <v>0</v>
      </c>
      <c r="G2340" s="187">
        <f ca="1">OFFSET('IWP11'!Std9BillingInfo13, 10, 6, 1, 1)</f>
        <v>0</v>
      </c>
      <c r="H2340" s="187">
        <f ca="1">OFFSET('IWP11'!Std9BillingInfo13, 11, 6, 1, 1)</f>
        <v>0</v>
      </c>
      <c r="I2340" s="187">
        <f ca="1">OFFSET('IWP11'!Std9BillingInfo13, 10, 8, 1, 1)</f>
        <v>0</v>
      </c>
      <c r="J2340" s="187">
        <f ca="1">OFFSET('IWP11'!Std9BillingInfo13, 10, 11, 1, 1)</f>
        <v>0</v>
      </c>
      <c r="K2340" s="187">
        <f ca="1">OFFSET('IWP11'!Std9BillingInfo13, 10, 12, 1, 1)</f>
        <v>0</v>
      </c>
      <c r="L2340" s="179">
        <f ca="1">OFFSET('IWP11'!Std9BillingInfo13, 12, 8, 1, 1)</f>
        <v>0</v>
      </c>
      <c r="M2340" s="129"/>
    </row>
    <row r="2341" spans="1:13" s="146" customFormat="1">
      <c r="A2341" s="183" t="s">
        <v>509</v>
      </c>
      <c r="B2341" s="196">
        <v>14</v>
      </c>
      <c r="C2341" s="195" t="str">
        <f ca="1">IF(OFFSET('IWP11'!Std9BillingInfo14, 0, 0, 1, 1) = 0, "", OFFSET('IWP11'!Std9BillingInfo14, 0, 0, 1, 1))</f>
        <v/>
      </c>
      <c r="D2341" s="172">
        <f ca="1">IF(OFFSET('IWP11'!Std9BillingInfo14, 0, 1, 1, 1)=DATE(1900,1,0), DATE(1900,1,1), OFFSET('IWP11'!Std9BillingInfo14, 0, 1, 1, 1))</f>
        <v>1</v>
      </c>
      <c r="E2341" s="172">
        <f ca="1">IF(OFFSET('IWP11'!Std9BillingInfo14, 0, 2, 1, 1)=DATE(1900,1,0), DATE(1900,1,1), OFFSET('IWP11'!Std9BillingInfo14, 0, 2, 1, 1))</f>
        <v>1</v>
      </c>
      <c r="F2341" s="187">
        <f ca="1">OFFSET('IWP11'!Std9BillingInfo14, 0, 3, 1, 1)</f>
        <v>0</v>
      </c>
      <c r="G2341" s="187">
        <f ca="1">OFFSET('IWP11'!Std9BillingInfo14, 10, 6, 1, 1)</f>
        <v>0</v>
      </c>
      <c r="H2341" s="187">
        <f ca="1">OFFSET('IWP11'!Std9BillingInfo14, 11, 6, 1, 1)</f>
        <v>0</v>
      </c>
      <c r="I2341" s="187">
        <f ca="1">OFFSET('IWP11'!Std9BillingInfo14, 10, 8, 1, 1)</f>
        <v>0</v>
      </c>
      <c r="J2341" s="187">
        <f ca="1">OFFSET('IWP11'!Std9BillingInfo14, 10, 11, 1, 1)</f>
        <v>0</v>
      </c>
      <c r="K2341" s="187">
        <f ca="1">OFFSET('IWP11'!Std9BillingInfo14, 10, 12, 1, 1)</f>
        <v>0</v>
      </c>
      <c r="L2341" s="179">
        <f ca="1">OFFSET('IWP11'!Std9BillingInfo14, 12, 8, 1, 1)</f>
        <v>0</v>
      </c>
      <c r="M2341" s="129"/>
    </row>
    <row r="2342" spans="1:13" s="146" customFormat="1">
      <c r="A2342" s="183" t="s">
        <v>509</v>
      </c>
      <c r="B2342" s="196">
        <v>15</v>
      </c>
      <c r="C2342" s="195" t="str">
        <f ca="1">IF(OFFSET('IWP11'!Std9BillingInfo15, 0, 0, 1, 1) = 0, "", OFFSET('IWP11'!Std9BillingInfo15, 0, 0, 1, 1))</f>
        <v/>
      </c>
      <c r="D2342" s="172">
        <f ca="1">IF(OFFSET('IWP11'!Std9BillingInfo15, 0, 1, 1, 1)=DATE(1900,1,0), DATE(1900,1,1), OFFSET('IWP11'!Std9BillingInfo15, 0, 1, 1, 1))</f>
        <v>1</v>
      </c>
      <c r="E2342" s="172">
        <f ca="1">IF(OFFSET('IWP11'!Std9BillingInfo15, 0, 2, 1, 1)=DATE(1900,1,0), DATE(1900,1,1), OFFSET('IWP11'!Std9BillingInfo15, 0, 2, 1, 1))</f>
        <v>1</v>
      </c>
      <c r="F2342" s="187">
        <f ca="1">OFFSET('IWP11'!Std9BillingInfo15, 0, 3, 1, 1)</f>
        <v>0</v>
      </c>
      <c r="G2342" s="187">
        <f ca="1">OFFSET('IWP11'!Std9BillingInfo15, 10, 6, 1, 1)</f>
        <v>0</v>
      </c>
      <c r="H2342" s="187">
        <f ca="1">OFFSET('IWP11'!Std9BillingInfo15, 11, 6, 1, 1)</f>
        <v>0</v>
      </c>
      <c r="I2342" s="187">
        <f ca="1">OFFSET('IWP11'!Std9BillingInfo15, 10, 8, 1, 1)</f>
        <v>0</v>
      </c>
      <c r="J2342" s="187">
        <f ca="1">OFFSET('IWP11'!Std9BillingInfo15, 10, 11, 1, 1)</f>
        <v>0</v>
      </c>
      <c r="K2342" s="187">
        <f ca="1">OFFSET('IWP11'!Std9BillingInfo15, 10, 12, 1, 1)</f>
        <v>0</v>
      </c>
      <c r="L2342" s="179">
        <f ca="1">OFFSET('IWP11'!Std9BillingInfo15, 12, 8, 1, 1)</f>
        <v>0</v>
      </c>
      <c r="M2342" s="129"/>
    </row>
    <row r="2343" spans="1:13" s="146" customFormat="1">
      <c r="A2343" s="183" t="s">
        <v>509</v>
      </c>
      <c r="B2343" s="196">
        <v>16</v>
      </c>
      <c r="C2343" s="195" t="str">
        <f ca="1">IF(OFFSET('IWP11'!Std9BillingInfo16, 0, 0, 1, 1) = 0, "", OFFSET('IWP11'!Std9BillingInfo16, 0, 0, 1, 1))</f>
        <v/>
      </c>
      <c r="D2343" s="172">
        <f ca="1">IF(OFFSET('IWP11'!Std9BillingInfo16, 0, 1, 1, 1)=DATE(1900,1,0), DATE(1900,1,1), OFFSET('IWP11'!Std9BillingInfo16, 0, 1, 1, 1))</f>
        <v>1</v>
      </c>
      <c r="E2343" s="172">
        <f ca="1">IF(OFFSET('IWP11'!Std9BillingInfo16, 0, 2, 1, 1)=DATE(1900,1,0), DATE(1900,1,1), OFFSET('IWP11'!Std9BillingInfo16, 0, 2, 1, 1))</f>
        <v>1</v>
      </c>
      <c r="F2343" s="187">
        <f ca="1">OFFSET('IWP11'!Std9BillingInfo16, 0, 3, 1, 1)</f>
        <v>0</v>
      </c>
      <c r="G2343" s="187">
        <f ca="1">OFFSET('IWP11'!Std9BillingInfo16, 10, 6, 1, 1)</f>
        <v>0</v>
      </c>
      <c r="H2343" s="187">
        <f ca="1">OFFSET('IWP11'!Std9BillingInfo16, 11, 6, 1, 1)</f>
        <v>0</v>
      </c>
      <c r="I2343" s="187">
        <f ca="1">OFFSET('IWP11'!Std9BillingInfo16, 10, 8, 1, 1)</f>
        <v>0</v>
      </c>
      <c r="J2343" s="187">
        <f ca="1">OFFSET('IWP11'!Std9BillingInfo16, 10, 11, 1, 1)</f>
        <v>0</v>
      </c>
      <c r="K2343" s="187">
        <f ca="1">OFFSET('IWP11'!Std9BillingInfo16, 10, 12, 1, 1)</f>
        <v>0</v>
      </c>
      <c r="L2343" s="179">
        <f ca="1">OFFSET('IWP11'!Std9BillingInfo16, 12, 8, 1, 1)</f>
        <v>0</v>
      </c>
      <c r="M2343" s="129"/>
    </row>
    <row r="2344" spans="1:13" s="146" customFormat="1">
      <c r="A2344" s="183" t="s">
        <v>509</v>
      </c>
      <c r="B2344" s="196">
        <v>17</v>
      </c>
      <c r="C2344" s="195" t="str">
        <f ca="1">IF(OFFSET('IWP11'!Std9BillingInfo17, 0, 0, 1, 1) = 0, "", OFFSET('IWP11'!Std9BillingInfo17, 0, 0, 1, 1))</f>
        <v/>
      </c>
      <c r="D2344" s="172">
        <f ca="1">IF(OFFSET('IWP11'!Std9BillingInfo17, 0, 1, 1, 1)=DATE(1900,1,0), DATE(1900,1,1), OFFSET('IWP11'!Std9BillingInfo17, 0, 1, 1, 1))</f>
        <v>1</v>
      </c>
      <c r="E2344" s="172">
        <f ca="1">IF(OFFSET('IWP11'!Std9BillingInfo17, 0, 2, 1, 1)=DATE(1900,1,0), DATE(1900,1,1), OFFSET('IWP11'!Std9BillingInfo17, 0, 2, 1, 1))</f>
        <v>1</v>
      </c>
      <c r="F2344" s="187">
        <f ca="1">OFFSET('IWP11'!Std9BillingInfo17, 0, 3, 1, 1)</f>
        <v>0</v>
      </c>
      <c r="G2344" s="187">
        <f ca="1">OFFSET('IWP11'!Std9BillingInfo17, 10, 6, 1, 1)</f>
        <v>0</v>
      </c>
      <c r="H2344" s="187">
        <f ca="1">OFFSET('IWP11'!Std9BillingInfo17, 11, 6, 1, 1)</f>
        <v>0</v>
      </c>
      <c r="I2344" s="187">
        <f ca="1">OFFSET('IWP11'!Std9BillingInfo17, 10, 8, 1, 1)</f>
        <v>0</v>
      </c>
      <c r="J2344" s="187">
        <f ca="1">OFFSET('IWP11'!Std9BillingInfo17, 10, 11, 1, 1)</f>
        <v>0</v>
      </c>
      <c r="K2344" s="187">
        <f ca="1">OFFSET('IWP11'!Std9BillingInfo17, 10, 12, 1, 1)</f>
        <v>0</v>
      </c>
      <c r="L2344" s="179">
        <f ca="1">OFFSET('IWP11'!Std9BillingInfo17, 12, 8, 1, 1)</f>
        <v>0</v>
      </c>
      <c r="M2344" s="129"/>
    </row>
    <row r="2345" spans="1:13" s="146" customFormat="1">
      <c r="A2345" s="183" t="s">
        <v>509</v>
      </c>
      <c r="B2345" s="196">
        <v>18</v>
      </c>
      <c r="C2345" s="195" t="str">
        <f ca="1">IF(OFFSET('IWP11'!Std9BillingInfo18, 0, 0, 1, 1) = 0, "", OFFSET('IWP11'!Std9BillingInfo18, 0, 0, 1, 1))</f>
        <v/>
      </c>
      <c r="D2345" s="172">
        <f ca="1">IF(OFFSET('IWP11'!Std9BillingInfo18, 0, 1, 1, 1)=DATE(1900,1,0), DATE(1900,1,1), OFFSET('IWP11'!Std9BillingInfo18, 0, 1, 1, 1))</f>
        <v>1</v>
      </c>
      <c r="E2345" s="172">
        <f ca="1">IF(OFFSET('IWP11'!Std9BillingInfo18, 0, 2, 1, 1)=DATE(1900,1,0), DATE(1900,1,1), OFFSET('IWP11'!Std9BillingInfo18, 0, 2, 1, 1))</f>
        <v>1</v>
      </c>
      <c r="F2345" s="187">
        <f ca="1">OFFSET('IWP11'!Std9BillingInfo18, 0, 3, 1, 1)</f>
        <v>0</v>
      </c>
      <c r="G2345" s="187">
        <f ca="1">OFFSET('IWP11'!Std9BillingInfo18, 10, 6, 1, 1)</f>
        <v>0</v>
      </c>
      <c r="H2345" s="187">
        <f ca="1">OFFSET('IWP11'!Std9BillingInfo18, 11, 6, 1, 1)</f>
        <v>0</v>
      </c>
      <c r="I2345" s="187">
        <f ca="1">OFFSET('IWP11'!Std9BillingInfo18, 10, 8, 1, 1)</f>
        <v>0</v>
      </c>
      <c r="J2345" s="187">
        <f ca="1">OFFSET('IWP11'!Std9BillingInfo18, 10, 11, 1, 1)</f>
        <v>0</v>
      </c>
      <c r="K2345" s="187">
        <f ca="1">OFFSET('IWP11'!Std9BillingInfo18, 10, 12, 1, 1)</f>
        <v>0</v>
      </c>
      <c r="L2345" s="179">
        <f ca="1">OFFSET('IWP11'!Std9BillingInfo18, 12, 8, 1, 1)</f>
        <v>0</v>
      </c>
      <c r="M2345" s="129"/>
    </row>
    <row r="2346" spans="1:13" s="146" customFormat="1">
      <c r="A2346" s="183" t="s">
        <v>510</v>
      </c>
      <c r="B2346" s="196">
        <v>1</v>
      </c>
      <c r="C2346" s="195" t="str">
        <f ca="1">IF(OFFSET('IWP12'!Std9BillingInfo01, 0, 0, 1, 1) = 0, "", OFFSET('IWP12'!Std9BillingInfo01, 0, 0, 1, 1))</f>
        <v/>
      </c>
      <c r="D2346" s="172">
        <f ca="1">IF(OFFSET('IWP12'!Std9BillingInfo01, 0, 1, 1, 1)=DATE(1900,1,0), DATE(1900,1,1), OFFSET('IWP12'!Std9BillingInfo01, 0, 1, 1, 1))</f>
        <v>1</v>
      </c>
      <c r="E2346" s="172">
        <f ca="1">IF(OFFSET('IWP12'!Std9BillingInfo01, 0, 2, 1, 1)=DATE(1900,1,0), DATE(1900,1,1), OFFSET('IWP12'!Std9BillingInfo01, 0, 2, 1, 1))</f>
        <v>1</v>
      </c>
      <c r="F2346" s="187">
        <f ca="1">OFFSET('IWP12'!Std9BillingInfo01, 0, 3, 1, 1)</f>
        <v>0</v>
      </c>
      <c r="G2346" s="187">
        <f ca="1">OFFSET('IWP12'!Std9BillingInfo01, 10, 6, 1, 1)</f>
        <v>0</v>
      </c>
      <c r="H2346" s="187">
        <f ca="1">OFFSET('IWP12'!Std9BillingInfo01, 11, 6, 1, 1)</f>
        <v>0</v>
      </c>
      <c r="I2346" s="187">
        <f ca="1">OFFSET('IWP12'!Std9BillingInfo01, 10, 8, 1, 1)</f>
        <v>0</v>
      </c>
      <c r="J2346" s="187">
        <f ca="1">OFFSET('IWP12'!Std9BillingInfo01, 10, 11, 1, 1)</f>
        <v>0</v>
      </c>
      <c r="K2346" s="187">
        <f ca="1">OFFSET('IWP12'!Std9BillingInfo01, 10, 12, 1, 1)</f>
        <v>0</v>
      </c>
      <c r="L2346" s="179">
        <f ca="1">OFFSET('IWP12'!Std9BillingInfo01, 12, 8, 1, 1)</f>
        <v>0</v>
      </c>
      <c r="M2346" s="129"/>
    </row>
    <row r="2347" spans="1:13" s="146" customFormat="1">
      <c r="A2347" s="183" t="s">
        <v>510</v>
      </c>
      <c r="B2347" s="196">
        <v>2</v>
      </c>
      <c r="C2347" s="195" t="str">
        <f ca="1">IF(OFFSET('IWP12'!Std9BillingInfo02, 0, 0, 1, 1) = 0, "", OFFSET('IWP12'!Std9BillingInfo02, 0, 0, 1, 1))</f>
        <v/>
      </c>
      <c r="D2347" s="172">
        <f ca="1">IF(OFFSET('IWP12'!Std9BillingInfo02, 0, 1, 1, 1)=DATE(1900,1,0), DATE(1900,1,1), OFFSET('IWP12'!Std9BillingInfo02, 0, 1, 1, 1))</f>
        <v>1</v>
      </c>
      <c r="E2347" s="172">
        <f ca="1">IF(OFFSET('IWP12'!Std9BillingInfo02, 0, 2, 1, 1)=DATE(1900,1,0), DATE(1900,1,1), OFFSET('IWP12'!Std9BillingInfo02, 0, 2, 1, 1))</f>
        <v>1</v>
      </c>
      <c r="F2347" s="187">
        <f ca="1">OFFSET('IWP12'!Std9BillingInfo02, 0, 3, 1, 1)</f>
        <v>0</v>
      </c>
      <c r="G2347" s="187">
        <f ca="1">OFFSET('IWP12'!Std9BillingInfo02, 10, 6, 1, 1)</f>
        <v>0</v>
      </c>
      <c r="H2347" s="187">
        <f ca="1">OFFSET('IWP12'!Std9BillingInfo02, 11, 6, 1, 1)</f>
        <v>0</v>
      </c>
      <c r="I2347" s="187">
        <f ca="1">OFFSET('IWP12'!Std9BillingInfo02, 10, 8, 1, 1)</f>
        <v>0</v>
      </c>
      <c r="J2347" s="187">
        <f ca="1">OFFSET('IWP12'!Std9BillingInfo02, 10, 11, 1, 1)</f>
        <v>0</v>
      </c>
      <c r="K2347" s="187">
        <f ca="1">OFFSET('IWP12'!Std9BillingInfo02, 10, 12, 1, 1)</f>
        <v>0</v>
      </c>
      <c r="L2347" s="179">
        <f ca="1">OFFSET('IWP12'!Std9BillingInfo02, 12, 8, 1, 1)</f>
        <v>0</v>
      </c>
      <c r="M2347" s="129"/>
    </row>
    <row r="2348" spans="1:13" s="146" customFormat="1">
      <c r="A2348" s="183" t="s">
        <v>510</v>
      </c>
      <c r="B2348" s="196">
        <v>3</v>
      </c>
      <c r="C2348" s="195" t="str">
        <f ca="1">IF(OFFSET('IWP12'!Std9BillingInfo03, 0, 0, 1, 1) = 0, "", OFFSET('IWP12'!Std9BillingInfo03, 0, 0, 1, 1))</f>
        <v/>
      </c>
      <c r="D2348" s="172">
        <f ca="1">IF(OFFSET('IWP12'!Std9BillingInfo03, 0, 1, 1, 1)=DATE(1900,1,0), DATE(1900,1,1), OFFSET('IWP12'!Std9BillingInfo03, 0, 1, 1, 1))</f>
        <v>1</v>
      </c>
      <c r="E2348" s="172">
        <f ca="1">IF(OFFSET('IWP12'!Std9BillingInfo03, 0, 2, 1, 1)=DATE(1900,1,0), DATE(1900,1,1), OFFSET('IWP12'!Std9BillingInfo03, 0, 2, 1, 1))</f>
        <v>1</v>
      </c>
      <c r="F2348" s="187">
        <f ca="1">OFFSET('IWP12'!Std9BillingInfo03, 0, 3, 1, 1)</f>
        <v>0</v>
      </c>
      <c r="G2348" s="187">
        <f ca="1">OFFSET('IWP12'!Std9BillingInfo03, 10, 6, 1, 1)</f>
        <v>0</v>
      </c>
      <c r="H2348" s="187">
        <f ca="1">OFFSET('IWP12'!Std9BillingInfo03, 11, 6, 1, 1)</f>
        <v>0</v>
      </c>
      <c r="I2348" s="187">
        <f ca="1">OFFSET('IWP12'!Std9BillingInfo03, 10, 8, 1, 1)</f>
        <v>0</v>
      </c>
      <c r="J2348" s="187">
        <f ca="1">OFFSET('IWP12'!Std9BillingInfo03, 10, 11, 1, 1)</f>
        <v>0</v>
      </c>
      <c r="K2348" s="187">
        <f ca="1">OFFSET('IWP12'!Std9BillingInfo03, 10, 12, 1, 1)</f>
        <v>0</v>
      </c>
      <c r="L2348" s="179">
        <f ca="1">OFFSET('IWP12'!Std9BillingInfo03, 12, 8, 1, 1)</f>
        <v>0</v>
      </c>
      <c r="M2348" s="129"/>
    </row>
    <row r="2349" spans="1:13" s="146" customFormat="1">
      <c r="A2349" s="183" t="s">
        <v>510</v>
      </c>
      <c r="B2349" s="196">
        <v>4</v>
      </c>
      <c r="C2349" s="195" t="str">
        <f ca="1">IF(OFFSET('IWP12'!Std9BillingInfo04, 0, 0, 1, 1) = 0, "", OFFSET('IWP12'!Std9BillingInfo04, 0, 0, 1, 1))</f>
        <v/>
      </c>
      <c r="D2349" s="172">
        <f ca="1">IF(OFFSET('IWP12'!Std9BillingInfo04, 0, 1, 1, 1)=DATE(1900,1,0), DATE(1900,1,1), OFFSET('IWP12'!Std9BillingInfo04, 0, 1, 1, 1))</f>
        <v>1</v>
      </c>
      <c r="E2349" s="172">
        <f ca="1">IF(OFFSET('IWP12'!Std9BillingInfo04, 0, 2, 1, 1)=DATE(1900,1,0), DATE(1900,1,1), OFFSET('IWP12'!Std9BillingInfo04, 0, 2, 1, 1))</f>
        <v>1</v>
      </c>
      <c r="F2349" s="187">
        <f ca="1">OFFSET('IWP12'!Std9BillingInfo04, 0, 3, 1, 1)</f>
        <v>0</v>
      </c>
      <c r="G2349" s="187">
        <f ca="1">OFFSET('IWP12'!Std9BillingInfo04, 10, 6, 1, 1)</f>
        <v>0</v>
      </c>
      <c r="H2349" s="187">
        <f ca="1">OFFSET('IWP12'!Std9BillingInfo04, 11, 6, 1, 1)</f>
        <v>0</v>
      </c>
      <c r="I2349" s="187">
        <f ca="1">OFFSET('IWP12'!Std9BillingInfo04, 10, 8, 1, 1)</f>
        <v>0</v>
      </c>
      <c r="J2349" s="187">
        <f ca="1">OFFSET('IWP12'!Std9BillingInfo04, 10, 11, 1, 1)</f>
        <v>0</v>
      </c>
      <c r="K2349" s="187">
        <f ca="1">OFFSET('IWP12'!Std9BillingInfo04, 10, 12, 1, 1)</f>
        <v>0</v>
      </c>
      <c r="L2349" s="179">
        <f ca="1">OFFSET('IWP12'!Std9BillingInfo04, 12, 8, 1, 1)</f>
        <v>0</v>
      </c>
      <c r="M2349" s="129"/>
    </row>
    <row r="2350" spans="1:13" s="146" customFormat="1">
      <c r="A2350" s="183" t="s">
        <v>510</v>
      </c>
      <c r="B2350" s="196">
        <v>5</v>
      </c>
      <c r="C2350" s="195" t="str">
        <f ca="1">IF(OFFSET('IWP12'!Std9BillingInfo05, 0, 0, 1, 1) = 0, "", OFFSET('IWP12'!Std9BillingInfo05, 0, 0, 1, 1))</f>
        <v/>
      </c>
      <c r="D2350" s="172">
        <f ca="1">IF(OFFSET('IWP12'!Std9BillingInfo05, 0, 1, 1, 1)=DATE(1900,1,0), DATE(1900,1,1), OFFSET('IWP12'!Std9BillingInfo05, 0, 1, 1, 1))</f>
        <v>1</v>
      </c>
      <c r="E2350" s="172">
        <f ca="1">IF(OFFSET('IWP12'!Std9BillingInfo05, 0, 2, 1, 1)=DATE(1900,1,0), DATE(1900,1,1), OFFSET('IWP12'!Std9BillingInfo05, 0, 2, 1, 1))</f>
        <v>1</v>
      </c>
      <c r="F2350" s="187">
        <f ca="1">OFFSET('IWP12'!Std9BillingInfo05, 0, 3, 1, 1)</f>
        <v>0</v>
      </c>
      <c r="G2350" s="187">
        <f ca="1">OFFSET('IWP12'!Std9BillingInfo05, 10, 6, 1, 1)</f>
        <v>0</v>
      </c>
      <c r="H2350" s="187">
        <f ca="1">OFFSET('IWP12'!Std9BillingInfo05, 11, 6, 1, 1)</f>
        <v>0</v>
      </c>
      <c r="I2350" s="187">
        <f ca="1">OFFSET('IWP12'!Std9BillingInfo05, 10, 8, 1, 1)</f>
        <v>0</v>
      </c>
      <c r="J2350" s="187">
        <f ca="1">OFFSET('IWP12'!Std9BillingInfo05, 10, 11, 1, 1)</f>
        <v>0</v>
      </c>
      <c r="K2350" s="187">
        <f ca="1">OFFSET('IWP12'!Std9BillingInfo05, 10, 12, 1, 1)</f>
        <v>0</v>
      </c>
      <c r="L2350" s="179">
        <f ca="1">OFFSET('IWP12'!Std9BillingInfo05, 12, 8, 1, 1)</f>
        <v>0</v>
      </c>
      <c r="M2350" s="129"/>
    </row>
    <row r="2351" spans="1:13" s="146" customFormat="1">
      <c r="A2351" s="183" t="s">
        <v>510</v>
      </c>
      <c r="B2351" s="196">
        <v>6</v>
      </c>
      <c r="C2351" s="195" t="str">
        <f ca="1">IF(OFFSET('IWP12'!Std9BillingInfo06, 0, 0, 1, 1) = 0, "", OFFSET('IWP12'!Std9BillingInfo06, 0, 0, 1, 1))</f>
        <v/>
      </c>
      <c r="D2351" s="172">
        <f ca="1">IF(OFFSET('IWP12'!Std9BillingInfo06, 0, 1, 1, 1)=DATE(1900,1,0), DATE(1900,1,1), OFFSET('IWP12'!Std9BillingInfo06, 0, 1, 1, 1))</f>
        <v>1</v>
      </c>
      <c r="E2351" s="172">
        <f ca="1">IF(OFFSET('IWP12'!Std9BillingInfo06, 0, 2, 1, 1)=DATE(1900,1,0), DATE(1900,1,1), OFFSET('IWP12'!Std9BillingInfo06, 0, 2, 1, 1))</f>
        <v>1</v>
      </c>
      <c r="F2351" s="187">
        <f ca="1">OFFSET('IWP12'!Std9BillingInfo06, 0, 3, 1, 1)</f>
        <v>0</v>
      </c>
      <c r="G2351" s="187">
        <f ca="1">OFFSET('IWP12'!Std9BillingInfo06, 10, 6, 1, 1)</f>
        <v>0</v>
      </c>
      <c r="H2351" s="187">
        <f ca="1">OFFSET('IWP12'!Std9BillingInfo06, 11, 6, 1, 1)</f>
        <v>0</v>
      </c>
      <c r="I2351" s="187">
        <f ca="1">OFFSET('IWP12'!Std9BillingInfo06, 10, 8, 1, 1)</f>
        <v>0</v>
      </c>
      <c r="J2351" s="187">
        <f ca="1">OFFSET('IWP12'!Std9BillingInfo06, 10, 11, 1, 1)</f>
        <v>0</v>
      </c>
      <c r="K2351" s="187">
        <f ca="1">OFFSET('IWP12'!Std9BillingInfo06, 10, 12, 1, 1)</f>
        <v>0</v>
      </c>
      <c r="L2351" s="179">
        <f ca="1">OFFSET('IWP12'!Std9BillingInfo06, 12, 8, 1, 1)</f>
        <v>0</v>
      </c>
      <c r="M2351" s="129"/>
    </row>
    <row r="2352" spans="1:13" s="146" customFormat="1">
      <c r="A2352" s="183" t="s">
        <v>510</v>
      </c>
      <c r="B2352" s="196">
        <v>7</v>
      </c>
      <c r="C2352" s="195" t="str">
        <f ca="1">IF(OFFSET('IWP12'!Std9BillingInfo07, 0, 0, 1, 1) = 0, "", OFFSET('IWP12'!Std9BillingInfo07, 0, 0, 1, 1))</f>
        <v/>
      </c>
      <c r="D2352" s="172">
        <f ca="1">IF(OFFSET('IWP12'!Std9BillingInfo07, 0, 1, 1, 1)=DATE(1900,1,0), DATE(1900,1,1), OFFSET('IWP12'!Std9BillingInfo07, 0, 1, 1, 1))</f>
        <v>1</v>
      </c>
      <c r="E2352" s="172">
        <f ca="1">IF(OFFSET('IWP12'!Std9BillingInfo07, 0, 2, 1, 1)=DATE(1900,1,0), DATE(1900,1,1), OFFSET('IWP12'!Std9BillingInfo07, 0, 2, 1, 1))</f>
        <v>1</v>
      </c>
      <c r="F2352" s="187">
        <f ca="1">OFFSET('IWP12'!Std9BillingInfo07, 0, 3, 1, 1)</f>
        <v>0</v>
      </c>
      <c r="G2352" s="187">
        <f ca="1">OFFSET('IWP12'!Std9BillingInfo07, 10, 6, 1, 1)</f>
        <v>0</v>
      </c>
      <c r="H2352" s="187">
        <f ca="1">OFFSET('IWP12'!Std9BillingInfo07, 11, 6, 1, 1)</f>
        <v>0</v>
      </c>
      <c r="I2352" s="187">
        <f ca="1">OFFSET('IWP12'!Std9BillingInfo07, 10, 8, 1, 1)</f>
        <v>0</v>
      </c>
      <c r="J2352" s="187">
        <f ca="1">OFFSET('IWP12'!Std9BillingInfo07, 10, 11, 1, 1)</f>
        <v>0</v>
      </c>
      <c r="K2352" s="187">
        <f ca="1">OFFSET('IWP12'!Std9BillingInfo07, 10, 12, 1, 1)</f>
        <v>0</v>
      </c>
      <c r="L2352" s="179">
        <f ca="1">OFFSET('IWP12'!Std9BillingInfo07, 12, 8, 1, 1)</f>
        <v>0</v>
      </c>
      <c r="M2352" s="129"/>
    </row>
    <row r="2353" spans="1:13" s="146" customFormat="1">
      <c r="A2353" s="183" t="s">
        <v>510</v>
      </c>
      <c r="B2353" s="196">
        <v>8</v>
      </c>
      <c r="C2353" s="195" t="str">
        <f ca="1">IF(OFFSET('IWP12'!Std9BillingInfo08, 0, 0, 1, 1) = 0, "", OFFSET('IWP12'!Std9BillingInfo08, 0, 0, 1, 1))</f>
        <v/>
      </c>
      <c r="D2353" s="172">
        <f ca="1">IF(OFFSET('IWP12'!Std9BillingInfo08, 0, 1, 1, 1)=DATE(1900,1,0), DATE(1900,1,1), OFFSET('IWP12'!Std9BillingInfo08, 0, 1, 1, 1))</f>
        <v>1</v>
      </c>
      <c r="E2353" s="172">
        <f ca="1">IF(OFFSET('IWP12'!Std9BillingInfo08, 0, 2, 1, 1)=DATE(1900,1,0), DATE(1900,1,1), OFFSET('IWP12'!Std9BillingInfo08, 0, 2, 1, 1))</f>
        <v>1</v>
      </c>
      <c r="F2353" s="187">
        <f ca="1">OFFSET('IWP12'!Std9BillingInfo08, 0, 3, 1, 1)</f>
        <v>0</v>
      </c>
      <c r="G2353" s="187">
        <f ca="1">OFFSET('IWP12'!Std9BillingInfo08, 10, 6, 1, 1)</f>
        <v>0</v>
      </c>
      <c r="H2353" s="187">
        <f ca="1">OFFSET('IWP12'!Std9BillingInfo08, 11, 6, 1, 1)</f>
        <v>0</v>
      </c>
      <c r="I2353" s="187">
        <f ca="1">OFFSET('IWP12'!Std9BillingInfo08, 10, 8, 1, 1)</f>
        <v>0</v>
      </c>
      <c r="J2353" s="187">
        <f ca="1">OFFSET('IWP12'!Std9BillingInfo08, 10, 11, 1, 1)</f>
        <v>0</v>
      </c>
      <c r="K2353" s="187">
        <f ca="1">OFFSET('IWP12'!Std9BillingInfo08, 10, 12, 1, 1)</f>
        <v>0</v>
      </c>
      <c r="L2353" s="179">
        <f ca="1">OFFSET('IWP12'!Std9BillingInfo08, 12, 8, 1, 1)</f>
        <v>0</v>
      </c>
      <c r="M2353" s="129"/>
    </row>
    <row r="2354" spans="1:13" s="146" customFormat="1">
      <c r="A2354" s="183" t="s">
        <v>510</v>
      </c>
      <c r="B2354" s="196">
        <v>9</v>
      </c>
      <c r="C2354" s="195" t="str">
        <f ca="1">IF(OFFSET('IWP12'!Std9BillingInfo09, 0, 0, 1, 1) = 0, "", OFFSET('IWP12'!Std9BillingInfo09, 0, 0, 1, 1))</f>
        <v/>
      </c>
      <c r="D2354" s="172">
        <f ca="1">IF(OFFSET('IWP12'!Std9BillingInfo09, 0, 1, 1, 1)=DATE(1900,1,0), DATE(1900,1,1), OFFSET('IWP12'!Std9BillingInfo09, 0, 1, 1, 1))</f>
        <v>1</v>
      </c>
      <c r="E2354" s="172">
        <f ca="1">IF(OFFSET('IWP12'!Std9BillingInfo09, 0, 2, 1, 1)=DATE(1900,1,0), DATE(1900,1,1), OFFSET('IWP12'!Std9BillingInfo09, 0, 2, 1, 1))</f>
        <v>1</v>
      </c>
      <c r="F2354" s="187">
        <f ca="1">OFFSET('IWP12'!Std9BillingInfo09, 0, 3, 1, 1)</f>
        <v>0</v>
      </c>
      <c r="G2354" s="187">
        <f ca="1">OFFSET('IWP12'!Std9BillingInfo09, 10, 6, 1, 1)</f>
        <v>0</v>
      </c>
      <c r="H2354" s="187">
        <f ca="1">OFFSET('IWP12'!Std9BillingInfo09, 11, 6, 1, 1)</f>
        <v>0</v>
      </c>
      <c r="I2354" s="187">
        <f ca="1">OFFSET('IWP12'!Std9BillingInfo09, 10, 8, 1, 1)</f>
        <v>0</v>
      </c>
      <c r="J2354" s="187">
        <f ca="1">OFFSET('IWP12'!Std9BillingInfo09, 10, 11, 1, 1)</f>
        <v>0</v>
      </c>
      <c r="K2354" s="187">
        <f ca="1">OFFSET('IWP12'!Std9BillingInfo09, 10, 12, 1, 1)</f>
        <v>0</v>
      </c>
      <c r="L2354" s="179">
        <f ca="1">OFFSET('IWP12'!Std9BillingInfo09, 12, 8, 1, 1)</f>
        <v>0</v>
      </c>
      <c r="M2354" s="129"/>
    </row>
    <row r="2355" spans="1:13" s="146" customFormat="1">
      <c r="A2355" s="183" t="s">
        <v>510</v>
      </c>
      <c r="B2355" s="196">
        <v>10</v>
      </c>
      <c r="C2355" s="195" t="str">
        <f ca="1">IF(OFFSET('IWP12'!Std9BillingInfo10, 0, 0, 1, 1) = 0, "", OFFSET('IWP12'!Std9BillingInfo10, 0, 0, 1, 1))</f>
        <v/>
      </c>
      <c r="D2355" s="172">
        <f ca="1">IF(OFFSET('IWP12'!Std9BillingInfo10, 0, 1, 1, 1)=DATE(1900,1,0), DATE(1900,1,1), OFFSET('IWP12'!Std9BillingInfo10, 0, 1, 1, 1))</f>
        <v>1</v>
      </c>
      <c r="E2355" s="172">
        <f ca="1">IF(OFFSET('IWP12'!Std9BillingInfo10, 0, 2, 1, 1)=DATE(1900,1,0), DATE(1900,1,1), OFFSET('IWP12'!Std9BillingInfo10, 0, 2, 1, 1))</f>
        <v>1</v>
      </c>
      <c r="F2355" s="187">
        <f ca="1">OFFSET('IWP12'!Std9BillingInfo10, 0, 3, 1, 1)</f>
        <v>0</v>
      </c>
      <c r="G2355" s="187">
        <f ca="1">OFFSET('IWP12'!Std9BillingInfo10, 10, 6, 1, 1)</f>
        <v>0</v>
      </c>
      <c r="H2355" s="187">
        <f ca="1">OFFSET('IWP12'!Std9BillingInfo10, 11, 6, 1, 1)</f>
        <v>0</v>
      </c>
      <c r="I2355" s="187">
        <f ca="1">OFFSET('IWP12'!Std9BillingInfo10, 10, 8, 1, 1)</f>
        <v>0</v>
      </c>
      <c r="J2355" s="187">
        <f ca="1">OFFSET('IWP12'!Std9BillingInfo10, 10, 11, 1, 1)</f>
        <v>0</v>
      </c>
      <c r="K2355" s="187">
        <f ca="1">OFFSET('IWP12'!Std9BillingInfo10, 10, 12, 1, 1)</f>
        <v>0</v>
      </c>
      <c r="L2355" s="179">
        <f ca="1">OFFSET('IWP12'!Std9BillingInfo10, 12, 8, 1, 1)</f>
        <v>0</v>
      </c>
      <c r="M2355" s="129"/>
    </row>
    <row r="2356" spans="1:13" s="146" customFormat="1">
      <c r="A2356" s="183" t="s">
        <v>510</v>
      </c>
      <c r="B2356" s="196">
        <v>11</v>
      </c>
      <c r="C2356" s="195" t="str">
        <f ca="1">IF(OFFSET('IWP12'!Std9BillingInfo11, 0, 0, 1, 1) = 0, "", OFFSET('IWP12'!Std9BillingInfo11, 0, 0, 1, 1))</f>
        <v/>
      </c>
      <c r="D2356" s="172">
        <f ca="1">IF(OFFSET('IWP12'!Std9BillingInfo11, 0, 1, 1, 1)=DATE(1900,1,0), DATE(1900,1,1), OFFSET('IWP12'!Std9BillingInfo11, 0, 1, 1, 1))</f>
        <v>1</v>
      </c>
      <c r="E2356" s="172">
        <f ca="1">IF(OFFSET('IWP12'!Std9BillingInfo11, 0, 2, 1, 1)=DATE(1900,1,0), DATE(1900,1,1), OFFSET('IWP12'!Std9BillingInfo11, 0, 2, 1, 1))</f>
        <v>1</v>
      </c>
      <c r="F2356" s="187">
        <f ca="1">OFFSET('IWP12'!Std9BillingInfo11, 0, 3, 1, 1)</f>
        <v>0</v>
      </c>
      <c r="G2356" s="187">
        <f ca="1">OFFSET('IWP12'!Std9BillingInfo11, 10, 6, 1, 1)</f>
        <v>0</v>
      </c>
      <c r="H2356" s="187">
        <f ca="1">OFFSET('IWP12'!Std9BillingInfo11, 11, 6, 1, 1)</f>
        <v>0</v>
      </c>
      <c r="I2356" s="187">
        <f ca="1">OFFSET('IWP12'!Std9BillingInfo11, 10, 8, 1, 1)</f>
        <v>0</v>
      </c>
      <c r="J2356" s="187">
        <f ca="1">OFFSET('IWP12'!Std9BillingInfo11, 10, 11, 1, 1)</f>
        <v>0</v>
      </c>
      <c r="K2356" s="187">
        <f ca="1">OFFSET('IWP12'!Std9BillingInfo11, 10, 12, 1, 1)</f>
        <v>0</v>
      </c>
      <c r="L2356" s="179">
        <f ca="1">OFFSET('IWP12'!Std9BillingInfo11, 12, 8, 1, 1)</f>
        <v>0</v>
      </c>
      <c r="M2356" s="129"/>
    </row>
    <row r="2357" spans="1:13" s="146" customFormat="1">
      <c r="A2357" s="183" t="s">
        <v>510</v>
      </c>
      <c r="B2357" s="196">
        <v>12</v>
      </c>
      <c r="C2357" s="195" t="str">
        <f ca="1">IF(OFFSET('IWP12'!Std9BillingInfo12, 0, 0, 1, 1) = 0, "", OFFSET('IWP12'!Std9BillingInfo12, 0, 0, 1, 1))</f>
        <v/>
      </c>
      <c r="D2357" s="172">
        <f ca="1">IF(OFFSET('IWP12'!Std9BillingInfo12, 0, 1, 1, 1)=DATE(1900,1,0), DATE(1900,1,1), OFFSET('IWP12'!Std9BillingInfo12, 0, 1, 1, 1))</f>
        <v>1</v>
      </c>
      <c r="E2357" s="172">
        <f ca="1">IF(OFFSET('IWP12'!Std9BillingInfo12, 0, 2, 1, 1)=DATE(1900,1,0), DATE(1900,1,1), OFFSET('IWP12'!Std9BillingInfo12, 0, 2, 1, 1))</f>
        <v>1</v>
      </c>
      <c r="F2357" s="187">
        <f ca="1">OFFSET('IWP12'!Std9BillingInfo12, 0, 3, 1, 1)</f>
        <v>0</v>
      </c>
      <c r="G2357" s="187">
        <f ca="1">OFFSET('IWP12'!Std9BillingInfo12, 10, 6, 1, 1)</f>
        <v>0</v>
      </c>
      <c r="H2357" s="187">
        <f ca="1">OFFSET('IWP12'!Std9BillingInfo12, 11, 6, 1, 1)</f>
        <v>0</v>
      </c>
      <c r="I2357" s="187">
        <f ca="1">OFFSET('IWP12'!Std9BillingInfo12, 10, 8, 1, 1)</f>
        <v>0</v>
      </c>
      <c r="J2357" s="187">
        <f ca="1">OFFSET('IWP12'!Std9BillingInfo12, 10, 11, 1, 1)</f>
        <v>0</v>
      </c>
      <c r="K2357" s="187">
        <f ca="1">OFFSET('IWP12'!Std9BillingInfo12, 10, 12, 1, 1)</f>
        <v>0</v>
      </c>
      <c r="L2357" s="179">
        <f ca="1">OFFSET('IWP12'!Std9BillingInfo12, 12, 8, 1, 1)</f>
        <v>0</v>
      </c>
      <c r="M2357" s="129"/>
    </row>
    <row r="2358" spans="1:13" s="146" customFormat="1">
      <c r="A2358" s="183" t="s">
        <v>510</v>
      </c>
      <c r="B2358" s="196">
        <v>13</v>
      </c>
      <c r="C2358" s="195" t="str">
        <f ca="1">IF(OFFSET('IWP12'!Std9BillingInfo13, 0, 0, 1, 1) = 0, "", OFFSET('IWP12'!Std9BillingInfo13, 0, 0, 1, 1))</f>
        <v/>
      </c>
      <c r="D2358" s="172">
        <f ca="1">IF(OFFSET('IWP12'!Std9BillingInfo13, 0, 1, 1, 1)=DATE(1900,1,0), DATE(1900,1,1), OFFSET('IWP12'!Std9BillingInfo13, 0, 1, 1, 1))</f>
        <v>1</v>
      </c>
      <c r="E2358" s="172">
        <f ca="1">IF(OFFSET('IWP12'!Std9BillingInfo13, 0, 2, 1, 1)=DATE(1900,1,0), DATE(1900,1,1), OFFSET('IWP12'!Std9BillingInfo13, 0, 2, 1, 1))</f>
        <v>1</v>
      </c>
      <c r="F2358" s="187">
        <f ca="1">OFFSET('IWP12'!Std9BillingInfo13, 0, 3, 1, 1)</f>
        <v>0</v>
      </c>
      <c r="G2358" s="187">
        <f ca="1">OFFSET('IWP12'!Std9BillingInfo13, 10, 6, 1, 1)</f>
        <v>0</v>
      </c>
      <c r="H2358" s="187">
        <f ca="1">OFFSET('IWP12'!Std9BillingInfo13, 11, 6, 1, 1)</f>
        <v>0</v>
      </c>
      <c r="I2358" s="187">
        <f ca="1">OFFSET('IWP12'!Std9BillingInfo13, 10, 8, 1, 1)</f>
        <v>0</v>
      </c>
      <c r="J2358" s="187">
        <f ca="1">OFFSET('IWP12'!Std9BillingInfo13, 10, 11, 1, 1)</f>
        <v>0</v>
      </c>
      <c r="K2358" s="187">
        <f ca="1">OFFSET('IWP12'!Std9BillingInfo13, 10, 12, 1, 1)</f>
        <v>0</v>
      </c>
      <c r="L2358" s="179">
        <f ca="1">OFFSET('IWP12'!Std9BillingInfo13, 12, 8, 1, 1)</f>
        <v>0</v>
      </c>
      <c r="M2358" s="129"/>
    </row>
    <row r="2359" spans="1:13" s="146" customFormat="1">
      <c r="A2359" s="183" t="s">
        <v>510</v>
      </c>
      <c r="B2359" s="196">
        <v>14</v>
      </c>
      <c r="C2359" s="195" t="str">
        <f ca="1">IF(OFFSET('IWP12'!Std9BillingInfo14, 0, 0, 1, 1) = 0, "", OFFSET('IWP12'!Std9BillingInfo14, 0, 0, 1, 1))</f>
        <v/>
      </c>
      <c r="D2359" s="172">
        <f ca="1">IF(OFFSET('IWP12'!Std9BillingInfo14, 0, 1, 1, 1)=DATE(1900,1,0), DATE(1900,1,1), OFFSET('IWP12'!Std9BillingInfo14, 0, 1, 1, 1))</f>
        <v>1</v>
      </c>
      <c r="E2359" s="172">
        <f ca="1">IF(OFFSET('IWP12'!Std9BillingInfo14, 0, 2, 1, 1)=DATE(1900,1,0), DATE(1900,1,1), OFFSET('IWP12'!Std9BillingInfo14, 0, 2, 1, 1))</f>
        <v>1</v>
      </c>
      <c r="F2359" s="187">
        <f ca="1">OFFSET('IWP12'!Std9BillingInfo14, 0, 3, 1, 1)</f>
        <v>0</v>
      </c>
      <c r="G2359" s="187">
        <f ca="1">OFFSET('IWP12'!Std9BillingInfo14, 10, 6, 1, 1)</f>
        <v>0</v>
      </c>
      <c r="H2359" s="187">
        <f ca="1">OFFSET('IWP12'!Std9BillingInfo14, 11, 6, 1, 1)</f>
        <v>0</v>
      </c>
      <c r="I2359" s="187">
        <f ca="1">OFFSET('IWP12'!Std9BillingInfo14, 10, 8, 1, 1)</f>
        <v>0</v>
      </c>
      <c r="J2359" s="187">
        <f ca="1">OFFSET('IWP12'!Std9BillingInfo14, 10, 11, 1, 1)</f>
        <v>0</v>
      </c>
      <c r="K2359" s="187">
        <f ca="1">OFFSET('IWP12'!Std9BillingInfo14, 10, 12, 1, 1)</f>
        <v>0</v>
      </c>
      <c r="L2359" s="179">
        <f ca="1">OFFSET('IWP12'!Std9BillingInfo14, 12, 8, 1, 1)</f>
        <v>0</v>
      </c>
      <c r="M2359" s="129"/>
    </row>
    <row r="2360" spans="1:13" s="146" customFormat="1">
      <c r="A2360" s="183" t="s">
        <v>510</v>
      </c>
      <c r="B2360" s="196">
        <v>15</v>
      </c>
      <c r="C2360" s="195" t="str">
        <f ca="1">IF(OFFSET('IWP12'!Std9BillingInfo15, 0, 0, 1, 1) = 0, "", OFFSET('IWP12'!Std9BillingInfo15, 0, 0, 1, 1))</f>
        <v/>
      </c>
      <c r="D2360" s="172">
        <f ca="1">IF(OFFSET('IWP12'!Std9BillingInfo15, 0, 1, 1, 1)=DATE(1900,1,0), DATE(1900,1,1), OFFSET('IWP12'!Std9BillingInfo15, 0, 1, 1, 1))</f>
        <v>1</v>
      </c>
      <c r="E2360" s="172">
        <f ca="1">IF(OFFSET('IWP12'!Std9BillingInfo15, 0, 2, 1, 1)=DATE(1900,1,0), DATE(1900,1,1), OFFSET('IWP12'!Std9BillingInfo15, 0, 2, 1, 1))</f>
        <v>1</v>
      </c>
      <c r="F2360" s="187">
        <f ca="1">OFFSET('IWP12'!Std9BillingInfo15, 0, 3, 1, 1)</f>
        <v>0</v>
      </c>
      <c r="G2360" s="187">
        <f ca="1">OFFSET('IWP12'!Std9BillingInfo15, 10, 6, 1, 1)</f>
        <v>0</v>
      </c>
      <c r="H2360" s="187">
        <f ca="1">OFFSET('IWP12'!Std9BillingInfo15, 11, 6, 1, 1)</f>
        <v>0</v>
      </c>
      <c r="I2360" s="187">
        <f ca="1">OFFSET('IWP12'!Std9BillingInfo15, 10, 8, 1, 1)</f>
        <v>0</v>
      </c>
      <c r="J2360" s="187">
        <f ca="1">OFFSET('IWP12'!Std9BillingInfo15, 10, 11, 1, 1)</f>
        <v>0</v>
      </c>
      <c r="K2360" s="187">
        <f ca="1">OFFSET('IWP12'!Std9BillingInfo15, 10, 12, 1, 1)</f>
        <v>0</v>
      </c>
      <c r="L2360" s="179">
        <f ca="1">OFFSET('IWP12'!Std9BillingInfo15, 12, 8, 1, 1)</f>
        <v>0</v>
      </c>
      <c r="M2360" s="129"/>
    </row>
    <row r="2361" spans="1:13" s="146" customFormat="1">
      <c r="A2361" s="183" t="s">
        <v>510</v>
      </c>
      <c r="B2361" s="196">
        <v>16</v>
      </c>
      <c r="C2361" s="195" t="str">
        <f ca="1">IF(OFFSET('IWP12'!Std9BillingInfo16, 0, 0, 1, 1) = 0, "", OFFSET('IWP12'!Std9BillingInfo16, 0, 0, 1, 1))</f>
        <v/>
      </c>
      <c r="D2361" s="172">
        <f ca="1">IF(OFFSET('IWP12'!Std9BillingInfo16, 0, 1, 1, 1)=DATE(1900,1,0), DATE(1900,1,1), OFFSET('IWP12'!Std9BillingInfo16, 0, 1, 1, 1))</f>
        <v>1</v>
      </c>
      <c r="E2361" s="172">
        <f ca="1">IF(OFFSET('IWP12'!Std9BillingInfo16, 0, 2, 1, 1)=DATE(1900,1,0), DATE(1900,1,1), OFFSET('IWP12'!Std9BillingInfo16, 0, 2, 1, 1))</f>
        <v>1</v>
      </c>
      <c r="F2361" s="187">
        <f ca="1">OFFSET('IWP12'!Std9BillingInfo16, 0, 3, 1, 1)</f>
        <v>0</v>
      </c>
      <c r="G2361" s="187">
        <f ca="1">OFFSET('IWP12'!Std9BillingInfo16, 10, 6, 1, 1)</f>
        <v>0</v>
      </c>
      <c r="H2361" s="187">
        <f ca="1">OFFSET('IWP12'!Std9BillingInfo16, 11, 6, 1, 1)</f>
        <v>0</v>
      </c>
      <c r="I2361" s="187">
        <f ca="1">OFFSET('IWP12'!Std9BillingInfo16, 10, 8, 1, 1)</f>
        <v>0</v>
      </c>
      <c r="J2361" s="187">
        <f ca="1">OFFSET('IWP12'!Std9BillingInfo16, 10, 11, 1, 1)</f>
        <v>0</v>
      </c>
      <c r="K2361" s="187">
        <f ca="1">OFFSET('IWP12'!Std9BillingInfo16, 10, 12, 1, 1)</f>
        <v>0</v>
      </c>
      <c r="L2361" s="179">
        <f ca="1">OFFSET('IWP12'!Std9BillingInfo16, 12, 8, 1, 1)</f>
        <v>0</v>
      </c>
      <c r="M2361" s="129"/>
    </row>
    <row r="2362" spans="1:13" s="146" customFormat="1">
      <c r="A2362" s="183" t="s">
        <v>510</v>
      </c>
      <c r="B2362" s="196">
        <v>17</v>
      </c>
      <c r="C2362" s="195" t="str">
        <f ca="1">IF(OFFSET('IWP12'!Std9BillingInfo17, 0, 0, 1, 1) = 0, "", OFFSET('IWP12'!Std9BillingInfo17, 0, 0, 1, 1))</f>
        <v/>
      </c>
      <c r="D2362" s="172">
        <f ca="1">IF(OFFSET('IWP12'!Std9BillingInfo17, 0, 1, 1, 1)=DATE(1900,1,0), DATE(1900,1,1), OFFSET('IWP12'!Std9BillingInfo17, 0, 1, 1, 1))</f>
        <v>1</v>
      </c>
      <c r="E2362" s="172">
        <f ca="1">IF(OFFSET('IWP12'!Std9BillingInfo17, 0, 2, 1, 1)=DATE(1900,1,0), DATE(1900,1,1), OFFSET('IWP12'!Std9BillingInfo17, 0, 2, 1, 1))</f>
        <v>1</v>
      </c>
      <c r="F2362" s="187">
        <f ca="1">OFFSET('IWP12'!Std9BillingInfo17, 0, 3, 1, 1)</f>
        <v>0</v>
      </c>
      <c r="G2362" s="187">
        <f ca="1">OFFSET('IWP12'!Std9BillingInfo17, 10, 6, 1, 1)</f>
        <v>0</v>
      </c>
      <c r="H2362" s="187">
        <f ca="1">OFFSET('IWP12'!Std9BillingInfo17, 11, 6, 1, 1)</f>
        <v>0</v>
      </c>
      <c r="I2362" s="187">
        <f ca="1">OFFSET('IWP12'!Std9BillingInfo17, 10, 8, 1, 1)</f>
        <v>0</v>
      </c>
      <c r="J2362" s="187">
        <f ca="1">OFFSET('IWP12'!Std9BillingInfo17, 10, 11, 1, 1)</f>
        <v>0</v>
      </c>
      <c r="K2362" s="187">
        <f ca="1">OFFSET('IWP12'!Std9BillingInfo17, 10, 12, 1, 1)</f>
        <v>0</v>
      </c>
      <c r="L2362" s="179">
        <f ca="1">OFFSET('IWP12'!Std9BillingInfo17, 12, 8, 1, 1)</f>
        <v>0</v>
      </c>
      <c r="M2362" s="129"/>
    </row>
    <row r="2363" spans="1:13" s="146" customFormat="1">
      <c r="A2363" s="183" t="s">
        <v>510</v>
      </c>
      <c r="B2363" s="196">
        <v>18</v>
      </c>
      <c r="C2363" s="195" t="str">
        <f ca="1">IF(OFFSET('IWP12'!Std9BillingInfo18, 0, 0, 1, 1) = 0, "", OFFSET('IWP12'!Std9BillingInfo18, 0, 0, 1, 1))</f>
        <v/>
      </c>
      <c r="D2363" s="172">
        <f ca="1">IF(OFFSET('IWP12'!Std9BillingInfo18, 0, 1, 1, 1)=DATE(1900,1,0), DATE(1900,1,1), OFFSET('IWP12'!Std9BillingInfo18, 0, 1, 1, 1))</f>
        <v>1</v>
      </c>
      <c r="E2363" s="172">
        <f ca="1">IF(OFFSET('IWP12'!Std9BillingInfo18, 0, 2, 1, 1)=DATE(1900,1,0), DATE(1900,1,1), OFFSET('IWP12'!Std9BillingInfo18, 0, 2, 1, 1))</f>
        <v>1</v>
      </c>
      <c r="F2363" s="187">
        <f ca="1">OFFSET('IWP12'!Std9BillingInfo18, 0, 3, 1, 1)</f>
        <v>0</v>
      </c>
      <c r="G2363" s="187">
        <f ca="1">OFFSET('IWP12'!Std9BillingInfo18, 10, 6, 1, 1)</f>
        <v>0</v>
      </c>
      <c r="H2363" s="187">
        <f ca="1">OFFSET('IWP12'!Std9BillingInfo18, 11, 6, 1, 1)</f>
        <v>0</v>
      </c>
      <c r="I2363" s="187">
        <f ca="1">OFFSET('IWP12'!Std9BillingInfo18, 10, 8, 1, 1)</f>
        <v>0</v>
      </c>
      <c r="J2363" s="187">
        <f ca="1">OFFSET('IWP12'!Std9BillingInfo18, 10, 11, 1, 1)</f>
        <v>0</v>
      </c>
      <c r="K2363" s="187">
        <f ca="1">OFFSET('IWP12'!Std9BillingInfo18, 10, 12, 1, 1)</f>
        <v>0</v>
      </c>
      <c r="L2363" s="179">
        <f ca="1">OFFSET('IWP12'!Std9BillingInfo18, 12, 8, 1, 1)</f>
        <v>0</v>
      </c>
      <c r="M2363" s="129"/>
    </row>
    <row r="2364" spans="1:13" s="146" customFormat="1">
      <c r="A2364" s="183" t="s">
        <v>511</v>
      </c>
      <c r="B2364" s="196">
        <v>1</v>
      </c>
      <c r="C2364" s="195" t="str">
        <f ca="1">IF(OFFSET('IWP13'!Std9BillingInfo01, 0, 0, 1, 1) = 0, "", OFFSET('IWP13'!Std9BillingInfo01, 0, 0, 1, 1))</f>
        <v/>
      </c>
      <c r="D2364" s="172">
        <f ca="1">IF(OFFSET('IWP13'!Std9BillingInfo01, 0, 1, 1, 1)=DATE(1900,1,0), DATE(1900,1,1), OFFSET('IWP13'!Std9BillingInfo01, 0, 1, 1, 1))</f>
        <v>1</v>
      </c>
      <c r="E2364" s="172">
        <f ca="1">IF(OFFSET('IWP13'!Std9BillingInfo01, 0, 2, 1, 1)=DATE(1900,1,0), DATE(1900,1,1), OFFSET('IWP13'!Std9BillingInfo01, 0, 2, 1, 1))</f>
        <v>1</v>
      </c>
      <c r="F2364" s="187">
        <f ca="1">OFFSET('IWP13'!Std9BillingInfo01, 0, 3, 1, 1)</f>
        <v>0</v>
      </c>
      <c r="G2364" s="187">
        <f ca="1">OFFSET('IWP13'!Std9BillingInfo01, 10, 6, 1, 1)</f>
        <v>0</v>
      </c>
      <c r="H2364" s="187">
        <f ca="1">OFFSET('IWP13'!Std9BillingInfo01, 11, 6, 1, 1)</f>
        <v>0</v>
      </c>
      <c r="I2364" s="187">
        <f ca="1">OFFSET('IWP13'!Std9BillingInfo01, 10, 8, 1, 1)</f>
        <v>0</v>
      </c>
      <c r="J2364" s="187">
        <f ca="1">OFFSET('IWP13'!Std9BillingInfo01, 10, 11, 1, 1)</f>
        <v>0</v>
      </c>
      <c r="K2364" s="187">
        <f ca="1">OFFSET('IWP13'!Std9BillingInfo01, 10, 12, 1, 1)</f>
        <v>0</v>
      </c>
      <c r="L2364" s="179">
        <f ca="1">OFFSET('IWP13'!Std9BillingInfo01, 12, 8, 1, 1)</f>
        <v>0</v>
      </c>
      <c r="M2364" s="129"/>
    </row>
    <row r="2365" spans="1:13" s="146" customFormat="1">
      <c r="A2365" s="183" t="s">
        <v>511</v>
      </c>
      <c r="B2365" s="196">
        <v>2</v>
      </c>
      <c r="C2365" s="195" t="str">
        <f ca="1">IF(OFFSET('IWP13'!Std9BillingInfo02, 0, 0, 1, 1) = 0, "", OFFSET('IWP13'!Std9BillingInfo02, 0, 0, 1, 1))</f>
        <v/>
      </c>
      <c r="D2365" s="172">
        <f ca="1">IF(OFFSET('IWP13'!Std9BillingInfo02, 0, 1, 1, 1)=DATE(1900,1,0), DATE(1900,1,1), OFFSET('IWP13'!Std9BillingInfo02, 0, 1, 1, 1))</f>
        <v>1</v>
      </c>
      <c r="E2365" s="172">
        <f ca="1">IF(OFFSET('IWP13'!Std9BillingInfo02, 0, 2, 1, 1)=DATE(1900,1,0), DATE(1900,1,1), OFFSET('IWP13'!Std9BillingInfo02, 0, 2, 1, 1))</f>
        <v>1</v>
      </c>
      <c r="F2365" s="187">
        <f ca="1">OFFSET('IWP13'!Std9BillingInfo02, 0, 3, 1, 1)</f>
        <v>0</v>
      </c>
      <c r="G2365" s="187">
        <f ca="1">OFFSET('IWP13'!Std9BillingInfo02, 10, 6, 1, 1)</f>
        <v>0</v>
      </c>
      <c r="H2365" s="187">
        <f ca="1">OFFSET('IWP13'!Std9BillingInfo02, 11, 6, 1, 1)</f>
        <v>0</v>
      </c>
      <c r="I2365" s="187">
        <f ca="1">OFFSET('IWP13'!Std9BillingInfo02, 10, 8, 1, 1)</f>
        <v>0</v>
      </c>
      <c r="J2365" s="187">
        <f ca="1">OFFSET('IWP13'!Std9BillingInfo02, 10, 11, 1, 1)</f>
        <v>0</v>
      </c>
      <c r="K2365" s="187">
        <f ca="1">OFFSET('IWP13'!Std9BillingInfo02, 10, 12, 1, 1)</f>
        <v>0</v>
      </c>
      <c r="L2365" s="179">
        <f ca="1">OFFSET('IWP13'!Std9BillingInfo02, 12, 8, 1, 1)</f>
        <v>0</v>
      </c>
      <c r="M2365" s="129"/>
    </row>
    <row r="2366" spans="1:13" s="146" customFormat="1">
      <c r="A2366" s="183" t="s">
        <v>511</v>
      </c>
      <c r="B2366" s="196">
        <v>3</v>
      </c>
      <c r="C2366" s="195" t="str">
        <f ca="1">IF(OFFSET('IWP13'!Std9BillingInfo03, 0, 0, 1, 1) = 0, "", OFFSET('IWP13'!Std9BillingInfo03, 0, 0, 1, 1))</f>
        <v/>
      </c>
      <c r="D2366" s="172">
        <f ca="1">IF(OFFSET('IWP13'!Std9BillingInfo03, 0, 1, 1, 1)=DATE(1900,1,0), DATE(1900,1,1), OFFSET('IWP13'!Std9BillingInfo03, 0, 1, 1, 1))</f>
        <v>1</v>
      </c>
      <c r="E2366" s="172">
        <f ca="1">IF(OFFSET('IWP13'!Std9BillingInfo03, 0, 2, 1, 1)=DATE(1900,1,0), DATE(1900,1,1), OFFSET('IWP13'!Std9BillingInfo03, 0, 2, 1, 1))</f>
        <v>1</v>
      </c>
      <c r="F2366" s="187">
        <f ca="1">OFFSET('IWP13'!Std9BillingInfo03, 0, 3, 1, 1)</f>
        <v>0</v>
      </c>
      <c r="G2366" s="187">
        <f ca="1">OFFSET('IWP13'!Std9BillingInfo03, 10, 6, 1, 1)</f>
        <v>0</v>
      </c>
      <c r="H2366" s="187">
        <f ca="1">OFFSET('IWP13'!Std9BillingInfo03, 11, 6, 1, 1)</f>
        <v>0</v>
      </c>
      <c r="I2366" s="187">
        <f ca="1">OFFSET('IWP13'!Std9BillingInfo03, 10, 8, 1, 1)</f>
        <v>0</v>
      </c>
      <c r="J2366" s="187">
        <f ca="1">OFFSET('IWP13'!Std9BillingInfo03, 10, 11, 1, 1)</f>
        <v>0</v>
      </c>
      <c r="K2366" s="187">
        <f ca="1">OFFSET('IWP13'!Std9BillingInfo03, 10, 12, 1, 1)</f>
        <v>0</v>
      </c>
      <c r="L2366" s="179">
        <f ca="1">OFFSET('IWP13'!Std9BillingInfo03, 12, 8, 1, 1)</f>
        <v>0</v>
      </c>
      <c r="M2366" s="129"/>
    </row>
    <row r="2367" spans="1:13" s="146" customFormat="1">
      <c r="A2367" s="183" t="s">
        <v>511</v>
      </c>
      <c r="B2367" s="196">
        <v>4</v>
      </c>
      <c r="C2367" s="195" t="str">
        <f ca="1">IF(OFFSET('IWP13'!Std9BillingInfo04, 0, 0, 1, 1) = 0, "", OFFSET('IWP13'!Std9BillingInfo04, 0, 0, 1, 1))</f>
        <v/>
      </c>
      <c r="D2367" s="172">
        <f ca="1">IF(OFFSET('IWP13'!Std9BillingInfo04, 0, 1, 1, 1)=DATE(1900,1,0), DATE(1900,1,1), OFFSET('IWP13'!Std9BillingInfo04, 0, 1, 1, 1))</f>
        <v>1</v>
      </c>
      <c r="E2367" s="172">
        <f ca="1">IF(OFFSET('IWP13'!Std9BillingInfo04, 0, 2, 1, 1)=DATE(1900,1,0), DATE(1900,1,1), OFFSET('IWP13'!Std9BillingInfo04, 0, 2, 1, 1))</f>
        <v>1</v>
      </c>
      <c r="F2367" s="187">
        <f ca="1">OFFSET('IWP13'!Std9BillingInfo04, 0, 3, 1, 1)</f>
        <v>0</v>
      </c>
      <c r="G2367" s="187">
        <f ca="1">OFFSET('IWP13'!Std9BillingInfo04, 10, 6, 1, 1)</f>
        <v>0</v>
      </c>
      <c r="H2367" s="187">
        <f ca="1">OFFSET('IWP13'!Std9BillingInfo04, 11, 6, 1, 1)</f>
        <v>0</v>
      </c>
      <c r="I2367" s="187">
        <f ca="1">OFFSET('IWP13'!Std9BillingInfo04, 10, 8, 1, 1)</f>
        <v>0</v>
      </c>
      <c r="J2367" s="187">
        <f ca="1">OFFSET('IWP13'!Std9BillingInfo04, 10, 11, 1, 1)</f>
        <v>0</v>
      </c>
      <c r="K2367" s="187">
        <f ca="1">OFFSET('IWP13'!Std9BillingInfo04, 10, 12, 1, 1)</f>
        <v>0</v>
      </c>
      <c r="L2367" s="179">
        <f ca="1">OFFSET('IWP13'!Std9BillingInfo04, 12, 8, 1, 1)</f>
        <v>0</v>
      </c>
      <c r="M2367" s="129"/>
    </row>
    <row r="2368" spans="1:13" s="146" customFormat="1">
      <c r="A2368" s="183" t="s">
        <v>511</v>
      </c>
      <c r="B2368" s="196">
        <v>5</v>
      </c>
      <c r="C2368" s="195" t="str">
        <f ca="1">IF(OFFSET('IWP13'!Std9BillingInfo05, 0, 0, 1, 1) = 0, "", OFFSET('IWP13'!Std9BillingInfo05, 0, 0, 1, 1))</f>
        <v/>
      </c>
      <c r="D2368" s="172">
        <f ca="1">IF(OFFSET('IWP13'!Std9BillingInfo05, 0, 1, 1, 1)=DATE(1900,1,0), DATE(1900,1,1), OFFSET('IWP13'!Std9BillingInfo05, 0, 1, 1, 1))</f>
        <v>1</v>
      </c>
      <c r="E2368" s="172">
        <f ca="1">IF(OFFSET('IWP13'!Std9BillingInfo05, 0, 2, 1, 1)=DATE(1900,1,0), DATE(1900,1,1), OFFSET('IWP13'!Std9BillingInfo05, 0, 2, 1, 1))</f>
        <v>1</v>
      </c>
      <c r="F2368" s="187">
        <f ca="1">OFFSET('IWP13'!Std9BillingInfo05, 0, 3, 1, 1)</f>
        <v>0</v>
      </c>
      <c r="G2368" s="187">
        <f ca="1">OFFSET('IWP13'!Std9BillingInfo05, 10, 6, 1, 1)</f>
        <v>0</v>
      </c>
      <c r="H2368" s="187">
        <f ca="1">OFFSET('IWP13'!Std9BillingInfo05, 11, 6, 1, 1)</f>
        <v>0</v>
      </c>
      <c r="I2368" s="187">
        <f ca="1">OFFSET('IWP13'!Std9BillingInfo05, 10, 8, 1, 1)</f>
        <v>0</v>
      </c>
      <c r="J2368" s="187">
        <f ca="1">OFFSET('IWP13'!Std9BillingInfo05, 10, 11, 1, 1)</f>
        <v>0</v>
      </c>
      <c r="K2368" s="187">
        <f ca="1">OFFSET('IWP13'!Std9BillingInfo05, 10, 12, 1, 1)</f>
        <v>0</v>
      </c>
      <c r="L2368" s="179">
        <f ca="1">OFFSET('IWP13'!Std9BillingInfo05, 12, 8, 1, 1)</f>
        <v>0</v>
      </c>
      <c r="M2368" s="129"/>
    </row>
    <row r="2369" spans="1:13" s="146" customFormat="1">
      <c r="A2369" s="183" t="s">
        <v>511</v>
      </c>
      <c r="B2369" s="196">
        <v>6</v>
      </c>
      <c r="C2369" s="195" t="str">
        <f ca="1">IF(OFFSET('IWP13'!Std9BillingInfo06, 0, 0, 1, 1) = 0, "", OFFSET('IWP13'!Std9BillingInfo06, 0, 0, 1, 1))</f>
        <v/>
      </c>
      <c r="D2369" s="172">
        <f ca="1">IF(OFFSET('IWP13'!Std9BillingInfo06, 0, 1, 1, 1)=DATE(1900,1,0), DATE(1900,1,1), OFFSET('IWP13'!Std9BillingInfo06, 0, 1, 1, 1))</f>
        <v>1</v>
      </c>
      <c r="E2369" s="172">
        <f ca="1">IF(OFFSET('IWP13'!Std9BillingInfo06, 0, 2, 1, 1)=DATE(1900,1,0), DATE(1900,1,1), OFFSET('IWP13'!Std9BillingInfo06, 0, 2, 1, 1))</f>
        <v>1</v>
      </c>
      <c r="F2369" s="187">
        <f ca="1">OFFSET('IWP13'!Std9BillingInfo06, 0, 3, 1, 1)</f>
        <v>0</v>
      </c>
      <c r="G2369" s="187">
        <f ca="1">OFFSET('IWP13'!Std9BillingInfo06, 10, 6, 1, 1)</f>
        <v>0</v>
      </c>
      <c r="H2369" s="187">
        <f ca="1">OFFSET('IWP13'!Std9BillingInfo06, 11, 6, 1, 1)</f>
        <v>0</v>
      </c>
      <c r="I2369" s="187">
        <f ca="1">OFFSET('IWP13'!Std9BillingInfo06, 10, 8, 1, 1)</f>
        <v>0</v>
      </c>
      <c r="J2369" s="187">
        <f ca="1">OFFSET('IWP13'!Std9BillingInfo06, 10, 11, 1, 1)</f>
        <v>0</v>
      </c>
      <c r="K2369" s="187">
        <f ca="1">OFFSET('IWP13'!Std9BillingInfo06, 10, 12, 1, 1)</f>
        <v>0</v>
      </c>
      <c r="L2369" s="179">
        <f ca="1">OFFSET('IWP13'!Std9BillingInfo06, 12, 8, 1, 1)</f>
        <v>0</v>
      </c>
      <c r="M2369" s="129"/>
    </row>
    <row r="2370" spans="1:13" s="146" customFormat="1">
      <c r="A2370" s="183" t="s">
        <v>511</v>
      </c>
      <c r="B2370" s="196">
        <v>7</v>
      </c>
      <c r="C2370" s="195" t="str">
        <f ca="1">IF(OFFSET('IWP13'!Std9BillingInfo07, 0, 0, 1, 1) = 0, "", OFFSET('IWP13'!Std9BillingInfo07, 0, 0, 1, 1))</f>
        <v/>
      </c>
      <c r="D2370" s="172">
        <f ca="1">IF(OFFSET('IWP13'!Std9BillingInfo07, 0, 1, 1, 1)=DATE(1900,1,0), DATE(1900,1,1), OFFSET('IWP13'!Std9BillingInfo07, 0, 1, 1, 1))</f>
        <v>1</v>
      </c>
      <c r="E2370" s="172">
        <f ca="1">IF(OFFSET('IWP13'!Std9BillingInfo07, 0, 2, 1, 1)=DATE(1900,1,0), DATE(1900,1,1), OFFSET('IWP13'!Std9BillingInfo07, 0, 2, 1, 1))</f>
        <v>1</v>
      </c>
      <c r="F2370" s="187">
        <f ca="1">OFFSET('IWP13'!Std9BillingInfo07, 0, 3, 1, 1)</f>
        <v>0</v>
      </c>
      <c r="G2370" s="187">
        <f ca="1">OFFSET('IWP13'!Std9BillingInfo07, 10, 6, 1, 1)</f>
        <v>0</v>
      </c>
      <c r="H2370" s="187">
        <f ca="1">OFFSET('IWP13'!Std9BillingInfo07, 11, 6, 1, 1)</f>
        <v>0</v>
      </c>
      <c r="I2370" s="187">
        <f ca="1">OFFSET('IWP13'!Std9BillingInfo07, 10, 8, 1, 1)</f>
        <v>0</v>
      </c>
      <c r="J2370" s="187">
        <f ca="1">OFFSET('IWP13'!Std9BillingInfo07, 10, 11, 1, 1)</f>
        <v>0</v>
      </c>
      <c r="K2370" s="187">
        <f ca="1">OFFSET('IWP13'!Std9BillingInfo07, 10, 12, 1, 1)</f>
        <v>0</v>
      </c>
      <c r="L2370" s="179">
        <f ca="1">OFFSET('IWP13'!Std9BillingInfo07, 12, 8, 1, 1)</f>
        <v>0</v>
      </c>
      <c r="M2370" s="129"/>
    </row>
    <row r="2371" spans="1:13" s="146" customFormat="1">
      <c r="A2371" s="183" t="s">
        <v>511</v>
      </c>
      <c r="B2371" s="196">
        <v>8</v>
      </c>
      <c r="C2371" s="195" t="str">
        <f ca="1">IF(OFFSET('IWP13'!Std9BillingInfo08, 0, 0, 1, 1) = 0, "", OFFSET('IWP13'!Std9BillingInfo08, 0, 0, 1, 1))</f>
        <v/>
      </c>
      <c r="D2371" s="172">
        <f ca="1">IF(OFFSET('IWP13'!Std9BillingInfo08, 0, 1, 1, 1)=DATE(1900,1,0), DATE(1900,1,1), OFFSET('IWP13'!Std9BillingInfo08, 0, 1, 1, 1))</f>
        <v>1</v>
      </c>
      <c r="E2371" s="172">
        <f ca="1">IF(OFFSET('IWP13'!Std9BillingInfo08, 0, 2, 1, 1)=DATE(1900,1,0), DATE(1900,1,1), OFFSET('IWP13'!Std9BillingInfo08, 0, 2, 1, 1))</f>
        <v>1</v>
      </c>
      <c r="F2371" s="187">
        <f ca="1">OFFSET('IWP13'!Std9BillingInfo08, 0, 3, 1, 1)</f>
        <v>0</v>
      </c>
      <c r="G2371" s="187">
        <f ca="1">OFFSET('IWP13'!Std9BillingInfo08, 10, 6, 1, 1)</f>
        <v>0</v>
      </c>
      <c r="H2371" s="187">
        <f ca="1">OFFSET('IWP13'!Std9BillingInfo08, 11, 6, 1, 1)</f>
        <v>0</v>
      </c>
      <c r="I2371" s="187">
        <f ca="1">OFFSET('IWP13'!Std9BillingInfo08, 10, 8, 1, 1)</f>
        <v>0</v>
      </c>
      <c r="J2371" s="187">
        <f ca="1">OFFSET('IWP13'!Std9BillingInfo08, 10, 11, 1, 1)</f>
        <v>0</v>
      </c>
      <c r="K2371" s="187">
        <f ca="1">OFFSET('IWP13'!Std9BillingInfo08, 10, 12, 1, 1)</f>
        <v>0</v>
      </c>
      <c r="L2371" s="179">
        <f ca="1">OFFSET('IWP13'!Std9BillingInfo08, 12, 8, 1, 1)</f>
        <v>0</v>
      </c>
      <c r="M2371" s="129"/>
    </row>
    <row r="2372" spans="1:13" s="146" customFormat="1">
      <c r="A2372" s="183" t="s">
        <v>511</v>
      </c>
      <c r="B2372" s="196">
        <v>9</v>
      </c>
      <c r="C2372" s="195" t="str">
        <f ca="1">IF(OFFSET('IWP13'!Std9BillingInfo09, 0, 0, 1, 1) = 0, "", OFFSET('IWP13'!Std9BillingInfo09, 0, 0, 1, 1))</f>
        <v/>
      </c>
      <c r="D2372" s="172">
        <f ca="1">IF(OFFSET('IWP13'!Std9BillingInfo09, 0, 1, 1, 1)=DATE(1900,1,0), DATE(1900,1,1), OFFSET('IWP13'!Std9BillingInfo09, 0, 1, 1, 1))</f>
        <v>1</v>
      </c>
      <c r="E2372" s="172">
        <f ca="1">IF(OFFSET('IWP13'!Std9BillingInfo09, 0, 2, 1, 1)=DATE(1900,1,0), DATE(1900,1,1), OFFSET('IWP13'!Std9BillingInfo09, 0, 2, 1, 1))</f>
        <v>1</v>
      </c>
      <c r="F2372" s="187">
        <f ca="1">OFFSET('IWP13'!Std9BillingInfo09, 0, 3, 1, 1)</f>
        <v>0</v>
      </c>
      <c r="G2372" s="187">
        <f ca="1">OFFSET('IWP13'!Std9BillingInfo09, 10, 6, 1, 1)</f>
        <v>0</v>
      </c>
      <c r="H2372" s="187">
        <f ca="1">OFFSET('IWP13'!Std9BillingInfo09, 11, 6, 1, 1)</f>
        <v>0</v>
      </c>
      <c r="I2372" s="187">
        <f ca="1">OFFSET('IWP13'!Std9BillingInfo09, 10, 8, 1, 1)</f>
        <v>0</v>
      </c>
      <c r="J2372" s="187">
        <f ca="1">OFFSET('IWP13'!Std9BillingInfo09, 10, 11, 1, 1)</f>
        <v>0</v>
      </c>
      <c r="K2372" s="187">
        <f ca="1">OFFSET('IWP13'!Std9BillingInfo09, 10, 12, 1, 1)</f>
        <v>0</v>
      </c>
      <c r="L2372" s="179">
        <f ca="1">OFFSET('IWP13'!Std9BillingInfo09, 12, 8, 1, 1)</f>
        <v>0</v>
      </c>
      <c r="M2372" s="129"/>
    </row>
    <row r="2373" spans="1:13" s="146" customFormat="1">
      <c r="A2373" s="183" t="s">
        <v>511</v>
      </c>
      <c r="B2373" s="196">
        <v>10</v>
      </c>
      <c r="C2373" s="195" t="str">
        <f ca="1">IF(OFFSET('IWP13'!Std9BillingInfo10, 0, 0, 1, 1) = 0, "", OFFSET('IWP13'!Std9BillingInfo10, 0, 0, 1, 1))</f>
        <v/>
      </c>
      <c r="D2373" s="172">
        <f ca="1">IF(OFFSET('IWP13'!Std9BillingInfo10, 0, 1, 1, 1)=DATE(1900,1,0), DATE(1900,1,1), OFFSET('IWP13'!Std9BillingInfo10, 0, 1, 1, 1))</f>
        <v>1</v>
      </c>
      <c r="E2373" s="172">
        <f ca="1">IF(OFFSET('IWP13'!Std9BillingInfo10, 0, 2, 1, 1)=DATE(1900,1,0), DATE(1900,1,1), OFFSET('IWP13'!Std9BillingInfo10, 0, 2, 1, 1))</f>
        <v>1</v>
      </c>
      <c r="F2373" s="187">
        <f ca="1">OFFSET('IWP13'!Std9BillingInfo10, 0, 3, 1, 1)</f>
        <v>0</v>
      </c>
      <c r="G2373" s="187">
        <f ca="1">OFFSET('IWP13'!Std9BillingInfo10, 10, 6, 1, 1)</f>
        <v>0</v>
      </c>
      <c r="H2373" s="187">
        <f ca="1">OFFSET('IWP13'!Std9BillingInfo10, 11, 6, 1, 1)</f>
        <v>0</v>
      </c>
      <c r="I2373" s="187">
        <f ca="1">OFFSET('IWP13'!Std9BillingInfo10, 10, 8, 1, 1)</f>
        <v>0</v>
      </c>
      <c r="J2373" s="187">
        <f ca="1">OFFSET('IWP13'!Std9BillingInfo10, 10, 11, 1, 1)</f>
        <v>0</v>
      </c>
      <c r="K2373" s="187">
        <f ca="1">OFFSET('IWP13'!Std9BillingInfo10, 10, 12, 1, 1)</f>
        <v>0</v>
      </c>
      <c r="L2373" s="179">
        <f ca="1">OFFSET('IWP13'!Std9BillingInfo10, 12, 8, 1, 1)</f>
        <v>0</v>
      </c>
      <c r="M2373" s="129"/>
    </row>
    <row r="2374" spans="1:13" s="146" customFormat="1">
      <c r="A2374" s="183" t="s">
        <v>511</v>
      </c>
      <c r="B2374" s="196">
        <v>11</v>
      </c>
      <c r="C2374" s="195" t="str">
        <f ca="1">IF(OFFSET('IWP13'!Std9BillingInfo11, 0, 0, 1, 1) = 0, "", OFFSET('IWP13'!Std9BillingInfo11, 0, 0, 1, 1))</f>
        <v/>
      </c>
      <c r="D2374" s="172">
        <f ca="1">IF(OFFSET('IWP13'!Std9BillingInfo11, 0, 1, 1, 1)=DATE(1900,1,0), DATE(1900,1,1), OFFSET('IWP13'!Std9BillingInfo11, 0, 1, 1, 1))</f>
        <v>1</v>
      </c>
      <c r="E2374" s="172">
        <f ca="1">IF(OFFSET('IWP13'!Std9BillingInfo11, 0, 2, 1, 1)=DATE(1900,1,0), DATE(1900,1,1), OFFSET('IWP13'!Std9BillingInfo11, 0, 2, 1, 1))</f>
        <v>1</v>
      </c>
      <c r="F2374" s="187">
        <f ca="1">OFFSET('IWP13'!Std9BillingInfo11, 0, 3, 1, 1)</f>
        <v>0</v>
      </c>
      <c r="G2374" s="187">
        <f ca="1">OFFSET('IWP13'!Std9BillingInfo11, 10, 6, 1, 1)</f>
        <v>0</v>
      </c>
      <c r="H2374" s="187">
        <f ca="1">OFFSET('IWP13'!Std9BillingInfo11, 11, 6, 1, 1)</f>
        <v>0</v>
      </c>
      <c r="I2374" s="187">
        <f ca="1">OFFSET('IWP13'!Std9BillingInfo11, 10, 8, 1, 1)</f>
        <v>0</v>
      </c>
      <c r="J2374" s="187">
        <f ca="1">OFFSET('IWP13'!Std9BillingInfo11, 10, 11, 1, 1)</f>
        <v>0</v>
      </c>
      <c r="K2374" s="187">
        <f ca="1">OFFSET('IWP13'!Std9BillingInfo11, 10, 12, 1, 1)</f>
        <v>0</v>
      </c>
      <c r="L2374" s="179">
        <f ca="1">OFFSET('IWP13'!Std9BillingInfo11, 12, 8, 1, 1)</f>
        <v>0</v>
      </c>
      <c r="M2374" s="129"/>
    </row>
    <row r="2375" spans="1:13" s="146" customFormat="1">
      <c r="A2375" s="183" t="s">
        <v>511</v>
      </c>
      <c r="B2375" s="196">
        <v>12</v>
      </c>
      <c r="C2375" s="195" t="str">
        <f ca="1">IF(OFFSET('IWP13'!Std9BillingInfo12, 0, 0, 1, 1) = 0, "", OFFSET('IWP13'!Std9BillingInfo12, 0, 0, 1, 1))</f>
        <v/>
      </c>
      <c r="D2375" s="172">
        <f ca="1">IF(OFFSET('IWP13'!Std9BillingInfo12, 0, 1, 1, 1)=DATE(1900,1,0), DATE(1900,1,1), OFFSET('IWP13'!Std9BillingInfo12, 0, 1, 1, 1))</f>
        <v>1</v>
      </c>
      <c r="E2375" s="172">
        <f ca="1">IF(OFFSET('IWP13'!Std9BillingInfo12, 0, 2, 1, 1)=DATE(1900,1,0), DATE(1900,1,1), OFFSET('IWP13'!Std9BillingInfo12, 0, 2, 1, 1))</f>
        <v>1</v>
      </c>
      <c r="F2375" s="187">
        <f ca="1">OFFSET('IWP13'!Std9BillingInfo12, 0, 3, 1, 1)</f>
        <v>0</v>
      </c>
      <c r="G2375" s="187">
        <f ca="1">OFFSET('IWP13'!Std9BillingInfo12, 10, 6, 1, 1)</f>
        <v>0</v>
      </c>
      <c r="H2375" s="187">
        <f ca="1">OFFSET('IWP13'!Std9BillingInfo12, 11, 6, 1, 1)</f>
        <v>0</v>
      </c>
      <c r="I2375" s="187">
        <f ca="1">OFFSET('IWP13'!Std9BillingInfo12, 10, 8, 1, 1)</f>
        <v>0</v>
      </c>
      <c r="J2375" s="187">
        <f ca="1">OFFSET('IWP13'!Std9BillingInfo12, 10, 11, 1, 1)</f>
        <v>0</v>
      </c>
      <c r="K2375" s="187">
        <f ca="1">OFFSET('IWP13'!Std9BillingInfo12, 10, 12, 1, 1)</f>
        <v>0</v>
      </c>
      <c r="L2375" s="179">
        <f ca="1">OFFSET('IWP13'!Std9BillingInfo12, 12, 8, 1, 1)</f>
        <v>0</v>
      </c>
      <c r="M2375" s="129"/>
    </row>
    <row r="2376" spans="1:13" s="146" customFormat="1">
      <c r="A2376" s="183" t="s">
        <v>511</v>
      </c>
      <c r="B2376" s="196">
        <v>13</v>
      </c>
      <c r="C2376" s="195" t="str">
        <f ca="1">IF(OFFSET('IWP13'!Std9BillingInfo13, 0, 0, 1, 1) = 0, "", OFFSET('IWP13'!Std9BillingInfo13, 0, 0, 1, 1))</f>
        <v/>
      </c>
      <c r="D2376" s="172">
        <f ca="1">IF(OFFSET('IWP13'!Std9BillingInfo13, 0, 1, 1, 1)=DATE(1900,1,0), DATE(1900,1,1), OFFSET('IWP13'!Std9BillingInfo13, 0, 1, 1, 1))</f>
        <v>1</v>
      </c>
      <c r="E2376" s="172">
        <f ca="1">IF(OFFSET('IWP13'!Std9BillingInfo13, 0, 2, 1, 1)=DATE(1900,1,0), DATE(1900,1,1), OFFSET('IWP13'!Std9BillingInfo13, 0, 2, 1, 1))</f>
        <v>1</v>
      </c>
      <c r="F2376" s="187">
        <f ca="1">OFFSET('IWP13'!Std9BillingInfo13, 0, 3, 1, 1)</f>
        <v>0</v>
      </c>
      <c r="G2376" s="187">
        <f ca="1">OFFSET('IWP13'!Std9BillingInfo13, 10, 6, 1, 1)</f>
        <v>0</v>
      </c>
      <c r="H2376" s="187">
        <f ca="1">OFFSET('IWP13'!Std9BillingInfo13, 11, 6, 1, 1)</f>
        <v>0</v>
      </c>
      <c r="I2376" s="187">
        <f ca="1">OFFSET('IWP13'!Std9BillingInfo13, 10, 8, 1, 1)</f>
        <v>0</v>
      </c>
      <c r="J2376" s="187">
        <f ca="1">OFFSET('IWP13'!Std9BillingInfo13, 10, 11, 1, 1)</f>
        <v>0</v>
      </c>
      <c r="K2376" s="187">
        <f ca="1">OFFSET('IWP13'!Std9BillingInfo13, 10, 12, 1, 1)</f>
        <v>0</v>
      </c>
      <c r="L2376" s="179">
        <f ca="1">OFFSET('IWP13'!Std9BillingInfo13, 12, 8, 1, 1)</f>
        <v>0</v>
      </c>
      <c r="M2376" s="129"/>
    </row>
    <row r="2377" spans="1:13" s="146" customFormat="1">
      <c r="A2377" s="183" t="s">
        <v>511</v>
      </c>
      <c r="B2377" s="196">
        <v>14</v>
      </c>
      <c r="C2377" s="195" t="str">
        <f ca="1">IF(OFFSET('IWP13'!Std9BillingInfo14, 0, 0, 1, 1) = 0, "", OFFSET('IWP13'!Std9BillingInfo14, 0, 0, 1, 1))</f>
        <v/>
      </c>
      <c r="D2377" s="172">
        <f ca="1">IF(OFFSET('IWP13'!Std9BillingInfo14, 0, 1, 1, 1)=DATE(1900,1,0), DATE(1900,1,1), OFFSET('IWP13'!Std9BillingInfo14, 0, 1, 1, 1))</f>
        <v>1</v>
      </c>
      <c r="E2377" s="172">
        <f ca="1">IF(OFFSET('IWP13'!Std9BillingInfo14, 0, 2, 1, 1)=DATE(1900,1,0), DATE(1900,1,1), OFFSET('IWP13'!Std9BillingInfo14, 0, 2, 1, 1))</f>
        <v>1</v>
      </c>
      <c r="F2377" s="187">
        <f ca="1">OFFSET('IWP13'!Std9BillingInfo14, 0, 3, 1, 1)</f>
        <v>0</v>
      </c>
      <c r="G2377" s="187">
        <f ca="1">OFFSET('IWP13'!Std9BillingInfo14, 10, 6, 1, 1)</f>
        <v>0</v>
      </c>
      <c r="H2377" s="187">
        <f ca="1">OFFSET('IWP13'!Std9BillingInfo14, 11, 6, 1, 1)</f>
        <v>0</v>
      </c>
      <c r="I2377" s="187">
        <f ca="1">OFFSET('IWP13'!Std9BillingInfo14, 10, 8, 1, 1)</f>
        <v>0</v>
      </c>
      <c r="J2377" s="187">
        <f ca="1">OFFSET('IWP13'!Std9BillingInfo14, 10, 11, 1, 1)</f>
        <v>0</v>
      </c>
      <c r="K2377" s="187">
        <f ca="1">OFFSET('IWP13'!Std9BillingInfo14, 10, 12, 1, 1)</f>
        <v>0</v>
      </c>
      <c r="L2377" s="179">
        <f ca="1">OFFSET('IWP13'!Std9BillingInfo14, 12, 8, 1, 1)</f>
        <v>0</v>
      </c>
      <c r="M2377" s="129"/>
    </row>
    <row r="2378" spans="1:13" s="146" customFormat="1">
      <c r="A2378" s="183" t="s">
        <v>511</v>
      </c>
      <c r="B2378" s="196">
        <v>15</v>
      </c>
      <c r="C2378" s="195" t="str">
        <f ca="1">IF(OFFSET('IWP13'!Std9BillingInfo15, 0, 0, 1, 1) = 0, "", OFFSET('IWP13'!Std9BillingInfo15, 0, 0, 1, 1))</f>
        <v/>
      </c>
      <c r="D2378" s="172">
        <f ca="1">IF(OFFSET('IWP13'!Std9BillingInfo15, 0, 1, 1, 1)=DATE(1900,1,0), DATE(1900,1,1), OFFSET('IWP13'!Std9BillingInfo15, 0, 1, 1, 1))</f>
        <v>1</v>
      </c>
      <c r="E2378" s="172">
        <f ca="1">IF(OFFSET('IWP13'!Std9BillingInfo15, 0, 2, 1, 1)=DATE(1900,1,0), DATE(1900,1,1), OFFSET('IWP13'!Std9BillingInfo15, 0, 2, 1, 1))</f>
        <v>1</v>
      </c>
      <c r="F2378" s="187">
        <f ca="1">OFFSET('IWP13'!Std9BillingInfo15, 0, 3, 1, 1)</f>
        <v>0</v>
      </c>
      <c r="G2378" s="187">
        <f ca="1">OFFSET('IWP13'!Std9BillingInfo15, 10, 6, 1, 1)</f>
        <v>0</v>
      </c>
      <c r="H2378" s="187">
        <f ca="1">OFFSET('IWP13'!Std9BillingInfo15, 11, 6, 1, 1)</f>
        <v>0</v>
      </c>
      <c r="I2378" s="187">
        <f ca="1">OFFSET('IWP13'!Std9BillingInfo15, 10, 8, 1, 1)</f>
        <v>0</v>
      </c>
      <c r="J2378" s="187">
        <f ca="1">OFFSET('IWP13'!Std9BillingInfo15, 10, 11, 1, 1)</f>
        <v>0</v>
      </c>
      <c r="K2378" s="187">
        <f ca="1">OFFSET('IWP13'!Std9BillingInfo15, 10, 12, 1, 1)</f>
        <v>0</v>
      </c>
      <c r="L2378" s="179">
        <f ca="1">OFFSET('IWP13'!Std9BillingInfo15, 12, 8, 1, 1)</f>
        <v>0</v>
      </c>
      <c r="M2378" s="129"/>
    </row>
    <row r="2379" spans="1:13" s="146" customFormat="1">
      <c r="A2379" s="183" t="s">
        <v>511</v>
      </c>
      <c r="B2379" s="196">
        <v>16</v>
      </c>
      <c r="C2379" s="195" t="str">
        <f ca="1">IF(OFFSET('IWP13'!Std9BillingInfo16, 0, 0, 1, 1) = 0, "", OFFSET('IWP13'!Std9BillingInfo16, 0, 0, 1, 1))</f>
        <v/>
      </c>
      <c r="D2379" s="172">
        <f ca="1">IF(OFFSET('IWP13'!Std9BillingInfo16, 0, 1, 1, 1)=DATE(1900,1,0), DATE(1900,1,1), OFFSET('IWP13'!Std9BillingInfo16, 0, 1, 1, 1))</f>
        <v>1</v>
      </c>
      <c r="E2379" s="172">
        <f ca="1">IF(OFFSET('IWP13'!Std9BillingInfo16, 0, 2, 1, 1)=DATE(1900,1,0), DATE(1900,1,1), OFFSET('IWP13'!Std9BillingInfo16, 0, 2, 1, 1))</f>
        <v>1</v>
      </c>
      <c r="F2379" s="187">
        <f ca="1">OFFSET('IWP13'!Std9BillingInfo16, 0, 3, 1, 1)</f>
        <v>0</v>
      </c>
      <c r="G2379" s="187">
        <f ca="1">OFFSET('IWP13'!Std9BillingInfo16, 10, 6, 1, 1)</f>
        <v>0</v>
      </c>
      <c r="H2379" s="187">
        <f ca="1">OFFSET('IWP13'!Std9BillingInfo16, 11, 6, 1, 1)</f>
        <v>0</v>
      </c>
      <c r="I2379" s="187">
        <f ca="1">OFFSET('IWP13'!Std9BillingInfo16, 10, 8, 1, 1)</f>
        <v>0</v>
      </c>
      <c r="J2379" s="187">
        <f ca="1">OFFSET('IWP13'!Std9BillingInfo16, 10, 11, 1, 1)</f>
        <v>0</v>
      </c>
      <c r="K2379" s="187">
        <f ca="1">OFFSET('IWP13'!Std9BillingInfo16, 10, 12, 1, 1)</f>
        <v>0</v>
      </c>
      <c r="L2379" s="179">
        <f ca="1">OFFSET('IWP13'!Std9BillingInfo16, 12, 8, 1, 1)</f>
        <v>0</v>
      </c>
      <c r="M2379" s="129"/>
    </row>
    <row r="2380" spans="1:13" s="146" customFormat="1">
      <c r="A2380" s="183" t="s">
        <v>511</v>
      </c>
      <c r="B2380" s="196">
        <v>17</v>
      </c>
      <c r="C2380" s="195" t="str">
        <f ca="1">IF(OFFSET('IWP13'!Std9BillingInfo17, 0, 0, 1, 1) = 0, "", OFFSET('IWP13'!Std9BillingInfo17, 0, 0, 1, 1))</f>
        <v/>
      </c>
      <c r="D2380" s="172">
        <f ca="1">IF(OFFSET('IWP13'!Std9BillingInfo17, 0, 1, 1, 1)=DATE(1900,1,0), DATE(1900,1,1), OFFSET('IWP13'!Std9BillingInfo17, 0, 1, 1, 1))</f>
        <v>1</v>
      </c>
      <c r="E2380" s="172">
        <f ca="1">IF(OFFSET('IWP13'!Std9BillingInfo17, 0, 2, 1, 1)=DATE(1900,1,0), DATE(1900,1,1), OFFSET('IWP13'!Std9BillingInfo17, 0, 2, 1, 1))</f>
        <v>1</v>
      </c>
      <c r="F2380" s="187">
        <f ca="1">OFFSET('IWP13'!Std9BillingInfo17, 0, 3, 1, 1)</f>
        <v>0</v>
      </c>
      <c r="G2380" s="187">
        <f ca="1">OFFSET('IWP13'!Std9BillingInfo17, 10, 6, 1, 1)</f>
        <v>0</v>
      </c>
      <c r="H2380" s="187">
        <f ca="1">OFFSET('IWP13'!Std9BillingInfo17, 11, 6, 1, 1)</f>
        <v>0</v>
      </c>
      <c r="I2380" s="187">
        <f ca="1">OFFSET('IWP13'!Std9BillingInfo17, 10, 8, 1, 1)</f>
        <v>0</v>
      </c>
      <c r="J2380" s="187">
        <f ca="1">OFFSET('IWP13'!Std9BillingInfo17, 10, 11, 1, 1)</f>
        <v>0</v>
      </c>
      <c r="K2380" s="187">
        <f ca="1">OFFSET('IWP13'!Std9BillingInfo17, 10, 12, 1, 1)</f>
        <v>0</v>
      </c>
      <c r="L2380" s="179">
        <f ca="1">OFFSET('IWP13'!Std9BillingInfo17, 12, 8, 1, 1)</f>
        <v>0</v>
      </c>
      <c r="M2380" s="129"/>
    </row>
    <row r="2381" spans="1:13" s="146" customFormat="1">
      <c r="A2381" s="183" t="s">
        <v>511</v>
      </c>
      <c r="B2381" s="196">
        <v>18</v>
      </c>
      <c r="C2381" s="195" t="str">
        <f ca="1">IF(OFFSET('IWP13'!Std9BillingInfo18, 0, 0, 1, 1) = 0, "", OFFSET('IWP13'!Std9BillingInfo18, 0, 0, 1, 1))</f>
        <v/>
      </c>
      <c r="D2381" s="172">
        <f ca="1">IF(OFFSET('IWP13'!Std9BillingInfo18, 0, 1, 1, 1)=DATE(1900,1,0), DATE(1900,1,1), OFFSET('IWP13'!Std9BillingInfo18, 0, 1, 1, 1))</f>
        <v>1</v>
      </c>
      <c r="E2381" s="172">
        <f ca="1">IF(OFFSET('IWP13'!Std9BillingInfo18, 0, 2, 1, 1)=DATE(1900,1,0), DATE(1900,1,1), OFFSET('IWP13'!Std9BillingInfo18, 0, 2, 1, 1))</f>
        <v>1</v>
      </c>
      <c r="F2381" s="187">
        <f ca="1">OFFSET('IWP13'!Std9BillingInfo18, 0, 3, 1, 1)</f>
        <v>0</v>
      </c>
      <c r="G2381" s="187">
        <f ca="1">OFFSET('IWP13'!Std9BillingInfo18, 10, 6, 1, 1)</f>
        <v>0</v>
      </c>
      <c r="H2381" s="187">
        <f ca="1">OFFSET('IWP13'!Std9BillingInfo18, 11, 6, 1, 1)</f>
        <v>0</v>
      </c>
      <c r="I2381" s="187">
        <f ca="1">OFFSET('IWP13'!Std9BillingInfo18, 10, 8, 1, 1)</f>
        <v>0</v>
      </c>
      <c r="J2381" s="187">
        <f ca="1">OFFSET('IWP13'!Std9BillingInfo18, 10, 11, 1, 1)</f>
        <v>0</v>
      </c>
      <c r="K2381" s="187">
        <f ca="1">OFFSET('IWP13'!Std9BillingInfo18, 10, 12, 1, 1)</f>
        <v>0</v>
      </c>
      <c r="L2381" s="179">
        <f ca="1">OFFSET('IWP13'!Std9BillingInfo18, 12, 8, 1, 1)</f>
        <v>0</v>
      </c>
      <c r="M2381" s="129"/>
    </row>
    <row r="2382" spans="1:13" s="146" customFormat="1">
      <c r="A2382" s="183" t="s">
        <v>512</v>
      </c>
      <c r="B2382" s="196">
        <v>1</v>
      </c>
      <c r="C2382" s="195" t="str">
        <f ca="1">IF(OFFSET('IWP14'!Std9BillingInfo01, 0, 0, 1, 1) = 0, "", OFFSET('IWP14'!Std9BillingInfo01, 0, 0, 1, 1))</f>
        <v/>
      </c>
      <c r="D2382" s="172">
        <f ca="1">IF(OFFSET('IWP14'!Std9BillingInfo01, 0, 1, 1, 1)=DATE(1900,1,0), DATE(1900,1,1), OFFSET('IWP14'!Std9BillingInfo01, 0, 1, 1, 1))</f>
        <v>1</v>
      </c>
      <c r="E2382" s="172">
        <f ca="1">IF(OFFSET('IWP14'!Std9BillingInfo01, 0, 2, 1, 1)=DATE(1900,1,0), DATE(1900,1,1), OFFSET('IWP14'!Std9BillingInfo01, 0, 2, 1, 1))</f>
        <v>1</v>
      </c>
      <c r="F2382" s="187">
        <f ca="1">OFFSET('IWP14'!Std9BillingInfo01, 0, 3, 1, 1)</f>
        <v>0</v>
      </c>
      <c r="G2382" s="187">
        <f ca="1">OFFSET('IWP14'!Std9BillingInfo01, 10, 6, 1, 1)</f>
        <v>0</v>
      </c>
      <c r="H2382" s="187">
        <f ca="1">OFFSET('IWP14'!Std9BillingInfo01, 11, 6, 1, 1)</f>
        <v>0</v>
      </c>
      <c r="I2382" s="187">
        <f ca="1">OFFSET('IWP14'!Std9BillingInfo01, 10, 8, 1, 1)</f>
        <v>0</v>
      </c>
      <c r="J2382" s="187">
        <f ca="1">OFFSET('IWP14'!Std9BillingInfo01, 10, 11, 1, 1)</f>
        <v>0</v>
      </c>
      <c r="K2382" s="187">
        <f ca="1">OFFSET('IWP14'!Std9BillingInfo01, 10, 12, 1, 1)</f>
        <v>0</v>
      </c>
      <c r="L2382" s="179">
        <f ca="1">OFFSET('IWP14'!Std9BillingInfo01, 12, 8, 1, 1)</f>
        <v>0</v>
      </c>
      <c r="M2382" s="129"/>
    </row>
    <row r="2383" spans="1:13" s="146" customFormat="1">
      <c r="A2383" s="183" t="s">
        <v>512</v>
      </c>
      <c r="B2383" s="196">
        <v>2</v>
      </c>
      <c r="C2383" s="195" t="str">
        <f ca="1">IF(OFFSET('IWP14'!Std9BillingInfo02, 0, 0, 1, 1) = 0, "", OFFSET('IWP14'!Std9BillingInfo02, 0, 0, 1, 1))</f>
        <v/>
      </c>
      <c r="D2383" s="172">
        <f ca="1">IF(OFFSET('IWP14'!Std9BillingInfo02, 0, 1, 1, 1)=DATE(1900,1,0), DATE(1900,1,1), OFFSET('IWP14'!Std9BillingInfo02, 0, 1, 1, 1))</f>
        <v>1</v>
      </c>
      <c r="E2383" s="172">
        <f ca="1">IF(OFFSET('IWP14'!Std9BillingInfo02, 0, 2, 1, 1)=DATE(1900,1,0), DATE(1900,1,1), OFFSET('IWP14'!Std9BillingInfo02, 0, 2, 1, 1))</f>
        <v>1</v>
      </c>
      <c r="F2383" s="187">
        <f ca="1">OFFSET('IWP14'!Std9BillingInfo02, 0, 3, 1, 1)</f>
        <v>0</v>
      </c>
      <c r="G2383" s="187">
        <f ca="1">OFFSET('IWP14'!Std9BillingInfo02, 10, 6, 1, 1)</f>
        <v>0</v>
      </c>
      <c r="H2383" s="187">
        <f ca="1">OFFSET('IWP14'!Std9BillingInfo02, 11, 6, 1, 1)</f>
        <v>0</v>
      </c>
      <c r="I2383" s="187">
        <f ca="1">OFFSET('IWP14'!Std9BillingInfo02, 10, 8, 1, 1)</f>
        <v>0</v>
      </c>
      <c r="J2383" s="187">
        <f ca="1">OFFSET('IWP14'!Std9BillingInfo02, 10, 11, 1, 1)</f>
        <v>0</v>
      </c>
      <c r="K2383" s="187">
        <f ca="1">OFFSET('IWP14'!Std9BillingInfo02, 10, 12, 1, 1)</f>
        <v>0</v>
      </c>
      <c r="L2383" s="179">
        <f ca="1">OFFSET('IWP14'!Std9BillingInfo02, 12, 8, 1, 1)</f>
        <v>0</v>
      </c>
      <c r="M2383" s="129"/>
    </row>
    <row r="2384" spans="1:13" s="146" customFormat="1">
      <c r="A2384" s="183" t="s">
        <v>512</v>
      </c>
      <c r="B2384" s="196">
        <v>3</v>
      </c>
      <c r="C2384" s="195" t="str">
        <f ca="1">IF(OFFSET('IWP14'!Std9BillingInfo03, 0, 0, 1, 1) = 0, "", OFFSET('IWP14'!Std9BillingInfo03, 0, 0, 1, 1))</f>
        <v/>
      </c>
      <c r="D2384" s="172">
        <f ca="1">IF(OFFSET('IWP14'!Std9BillingInfo03, 0, 1, 1, 1)=DATE(1900,1,0), DATE(1900,1,1), OFFSET('IWP14'!Std9BillingInfo03, 0, 1, 1, 1))</f>
        <v>1</v>
      </c>
      <c r="E2384" s="172">
        <f ca="1">IF(OFFSET('IWP14'!Std9BillingInfo03, 0, 2, 1, 1)=DATE(1900,1,0), DATE(1900,1,1), OFFSET('IWP14'!Std9BillingInfo03, 0, 2, 1, 1))</f>
        <v>1</v>
      </c>
      <c r="F2384" s="187">
        <f ca="1">OFFSET('IWP14'!Std9BillingInfo03, 0, 3, 1, 1)</f>
        <v>0</v>
      </c>
      <c r="G2384" s="187">
        <f ca="1">OFFSET('IWP14'!Std9BillingInfo03, 10, 6, 1, 1)</f>
        <v>0</v>
      </c>
      <c r="H2384" s="187">
        <f ca="1">OFFSET('IWP14'!Std9BillingInfo03, 11, 6, 1, 1)</f>
        <v>0</v>
      </c>
      <c r="I2384" s="187">
        <f ca="1">OFFSET('IWP14'!Std9BillingInfo03, 10, 8, 1, 1)</f>
        <v>0</v>
      </c>
      <c r="J2384" s="187">
        <f ca="1">OFFSET('IWP14'!Std9BillingInfo03, 10, 11, 1, 1)</f>
        <v>0</v>
      </c>
      <c r="K2384" s="187">
        <f ca="1">OFFSET('IWP14'!Std9BillingInfo03, 10, 12, 1, 1)</f>
        <v>0</v>
      </c>
      <c r="L2384" s="179">
        <f ca="1">OFFSET('IWP14'!Std9BillingInfo03, 12, 8, 1, 1)</f>
        <v>0</v>
      </c>
      <c r="M2384" s="129"/>
    </row>
    <row r="2385" spans="1:13" s="146" customFormat="1">
      <c r="A2385" s="183" t="s">
        <v>512</v>
      </c>
      <c r="B2385" s="196">
        <v>4</v>
      </c>
      <c r="C2385" s="195" t="str">
        <f ca="1">IF(OFFSET('IWP14'!Std9BillingInfo04, 0, 0, 1, 1) = 0, "", OFFSET('IWP14'!Std9BillingInfo04, 0, 0, 1, 1))</f>
        <v/>
      </c>
      <c r="D2385" s="172">
        <f ca="1">IF(OFFSET('IWP14'!Std9BillingInfo04, 0, 1, 1, 1)=DATE(1900,1,0), DATE(1900,1,1), OFFSET('IWP14'!Std9BillingInfo04, 0, 1, 1, 1))</f>
        <v>1</v>
      </c>
      <c r="E2385" s="172">
        <f ca="1">IF(OFFSET('IWP14'!Std9BillingInfo04, 0, 2, 1, 1)=DATE(1900,1,0), DATE(1900,1,1), OFFSET('IWP14'!Std9BillingInfo04, 0, 2, 1, 1))</f>
        <v>1</v>
      </c>
      <c r="F2385" s="187">
        <f ca="1">OFFSET('IWP14'!Std9BillingInfo04, 0, 3, 1, 1)</f>
        <v>0</v>
      </c>
      <c r="G2385" s="187">
        <f ca="1">OFFSET('IWP14'!Std9BillingInfo04, 10, 6, 1, 1)</f>
        <v>0</v>
      </c>
      <c r="H2385" s="187">
        <f ca="1">OFFSET('IWP14'!Std9BillingInfo04, 11, 6, 1, 1)</f>
        <v>0</v>
      </c>
      <c r="I2385" s="187">
        <f ca="1">OFFSET('IWP14'!Std9BillingInfo04, 10, 8, 1, 1)</f>
        <v>0</v>
      </c>
      <c r="J2385" s="187">
        <f ca="1">OFFSET('IWP14'!Std9BillingInfo04, 10, 11, 1, 1)</f>
        <v>0</v>
      </c>
      <c r="K2385" s="187">
        <f ca="1">OFFSET('IWP14'!Std9BillingInfo04, 10, 12, 1, 1)</f>
        <v>0</v>
      </c>
      <c r="L2385" s="179">
        <f ca="1">OFFSET('IWP14'!Std9BillingInfo04, 12, 8, 1, 1)</f>
        <v>0</v>
      </c>
      <c r="M2385" s="129"/>
    </row>
    <row r="2386" spans="1:13" s="146" customFormat="1">
      <c r="A2386" s="183" t="s">
        <v>512</v>
      </c>
      <c r="B2386" s="196">
        <v>5</v>
      </c>
      <c r="C2386" s="195" t="str">
        <f ca="1">IF(OFFSET('IWP14'!Std9BillingInfo05, 0, 0, 1, 1) = 0, "", OFFSET('IWP14'!Std9BillingInfo05, 0, 0, 1, 1))</f>
        <v/>
      </c>
      <c r="D2386" s="172">
        <f ca="1">IF(OFFSET('IWP14'!Std9BillingInfo05, 0, 1, 1, 1)=DATE(1900,1,0), DATE(1900,1,1), OFFSET('IWP14'!Std9BillingInfo05, 0, 1, 1, 1))</f>
        <v>1</v>
      </c>
      <c r="E2386" s="172">
        <f ca="1">IF(OFFSET('IWP14'!Std9BillingInfo05, 0, 2, 1, 1)=DATE(1900,1,0), DATE(1900,1,1), OFFSET('IWP14'!Std9BillingInfo05, 0, 2, 1, 1))</f>
        <v>1</v>
      </c>
      <c r="F2386" s="187">
        <f ca="1">OFFSET('IWP14'!Std9BillingInfo05, 0, 3, 1, 1)</f>
        <v>0</v>
      </c>
      <c r="G2386" s="187">
        <f ca="1">OFFSET('IWP14'!Std9BillingInfo05, 10, 6, 1, 1)</f>
        <v>0</v>
      </c>
      <c r="H2386" s="187">
        <f ca="1">OFFSET('IWP14'!Std9BillingInfo05, 11, 6, 1, 1)</f>
        <v>0</v>
      </c>
      <c r="I2386" s="187">
        <f ca="1">OFFSET('IWP14'!Std9BillingInfo05, 10, 8, 1, 1)</f>
        <v>0</v>
      </c>
      <c r="J2386" s="187">
        <f ca="1">OFFSET('IWP14'!Std9BillingInfo05, 10, 11, 1, 1)</f>
        <v>0</v>
      </c>
      <c r="K2386" s="187">
        <f ca="1">OFFSET('IWP14'!Std9BillingInfo05, 10, 12, 1, 1)</f>
        <v>0</v>
      </c>
      <c r="L2386" s="179">
        <f ca="1">OFFSET('IWP14'!Std9BillingInfo05, 12, 8, 1, 1)</f>
        <v>0</v>
      </c>
      <c r="M2386" s="129"/>
    </row>
    <row r="2387" spans="1:13" s="146" customFormat="1">
      <c r="A2387" s="183" t="s">
        <v>512</v>
      </c>
      <c r="B2387" s="196">
        <v>6</v>
      </c>
      <c r="C2387" s="195" t="str">
        <f ca="1">IF(OFFSET('IWP14'!Std9BillingInfo06, 0, 0, 1, 1) = 0, "", OFFSET('IWP14'!Std9BillingInfo06, 0, 0, 1, 1))</f>
        <v/>
      </c>
      <c r="D2387" s="172">
        <f ca="1">IF(OFFSET('IWP14'!Std9BillingInfo06, 0, 1, 1, 1)=DATE(1900,1,0), DATE(1900,1,1), OFFSET('IWP14'!Std9BillingInfo06, 0, 1, 1, 1))</f>
        <v>1</v>
      </c>
      <c r="E2387" s="172">
        <f ca="1">IF(OFFSET('IWP14'!Std9BillingInfo06, 0, 2, 1, 1)=DATE(1900,1,0), DATE(1900,1,1), OFFSET('IWP14'!Std9BillingInfo06, 0, 2, 1, 1))</f>
        <v>1</v>
      </c>
      <c r="F2387" s="187">
        <f ca="1">OFFSET('IWP14'!Std9BillingInfo06, 0, 3, 1, 1)</f>
        <v>0</v>
      </c>
      <c r="G2387" s="187">
        <f ca="1">OFFSET('IWP14'!Std9BillingInfo06, 10, 6, 1, 1)</f>
        <v>0</v>
      </c>
      <c r="H2387" s="187">
        <f ca="1">OFFSET('IWP14'!Std9BillingInfo06, 11, 6, 1, 1)</f>
        <v>0</v>
      </c>
      <c r="I2387" s="187">
        <f ca="1">OFFSET('IWP14'!Std9BillingInfo06, 10, 8, 1, 1)</f>
        <v>0</v>
      </c>
      <c r="J2387" s="187">
        <f ca="1">OFFSET('IWP14'!Std9BillingInfo06, 10, 11, 1, 1)</f>
        <v>0</v>
      </c>
      <c r="K2387" s="187">
        <f ca="1">OFFSET('IWP14'!Std9BillingInfo06, 10, 12, 1, 1)</f>
        <v>0</v>
      </c>
      <c r="L2387" s="179">
        <f ca="1">OFFSET('IWP14'!Std9BillingInfo06, 12, 8, 1, 1)</f>
        <v>0</v>
      </c>
      <c r="M2387" s="129"/>
    </row>
    <row r="2388" spans="1:13" s="146" customFormat="1">
      <c r="A2388" s="183" t="s">
        <v>512</v>
      </c>
      <c r="B2388" s="196">
        <v>7</v>
      </c>
      <c r="C2388" s="195" t="str">
        <f ca="1">IF(OFFSET('IWP14'!Std9BillingInfo07, 0, 0, 1, 1) = 0, "", OFFSET('IWP14'!Std9BillingInfo07, 0, 0, 1, 1))</f>
        <v/>
      </c>
      <c r="D2388" s="172">
        <f ca="1">IF(OFFSET('IWP14'!Std9BillingInfo07, 0, 1, 1, 1)=DATE(1900,1,0), DATE(1900,1,1), OFFSET('IWP14'!Std9BillingInfo07, 0, 1, 1, 1))</f>
        <v>1</v>
      </c>
      <c r="E2388" s="172">
        <f ca="1">IF(OFFSET('IWP14'!Std9BillingInfo07, 0, 2, 1, 1)=DATE(1900,1,0), DATE(1900,1,1), OFFSET('IWP14'!Std9BillingInfo07, 0, 2, 1, 1))</f>
        <v>1</v>
      </c>
      <c r="F2388" s="187">
        <f ca="1">OFFSET('IWP14'!Std9BillingInfo07, 0, 3, 1, 1)</f>
        <v>0</v>
      </c>
      <c r="G2388" s="187">
        <f ca="1">OFFSET('IWP14'!Std9BillingInfo07, 10, 6, 1, 1)</f>
        <v>0</v>
      </c>
      <c r="H2388" s="187">
        <f ca="1">OFFSET('IWP14'!Std9BillingInfo07, 11, 6, 1, 1)</f>
        <v>0</v>
      </c>
      <c r="I2388" s="187">
        <f ca="1">OFFSET('IWP14'!Std9BillingInfo07, 10, 8, 1, 1)</f>
        <v>0</v>
      </c>
      <c r="J2388" s="187">
        <f ca="1">OFFSET('IWP14'!Std9BillingInfo07, 10, 11, 1, 1)</f>
        <v>0</v>
      </c>
      <c r="K2388" s="187">
        <f ca="1">OFFSET('IWP14'!Std9BillingInfo07, 10, 12, 1, 1)</f>
        <v>0</v>
      </c>
      <c r="L2388" s="179">
        <f ca="1">OFFSET('IWP14'!Std9BillingInfo07, 12, 8, 1, 1)</f>
        <v>0</v>
      </c>
      <c r="M2388" s="129"/>
    </row>
    <row r="2389" spans="1:13" s="146" customFormat="1">
      <c r="A2389" s="183" t="s">
        <v>512</v>
      </c>
      <c r="B2389" s="196">
        <v>8</v>
      </c>
      <c r="C2389" s="195" t="str">
        <f ca="1">IF(OFFSET('IWP14'!Std9BillingInfo08, 0, 0, 1, 1) = 0, "", OFFSET('IWP14'!Std9BillingInfo08, 0, 0, 1, 1))</f>
        <v/>
      </c>
      <c r="D2389" s="172">
        <f ca="1">IF(OFFSET('IWP14'!Std9BillingInfo08, 0, 1, 1, 1)=DATE(1900,1,0), DATE(1900,1,1), OFFSET('IWP14'!Std9BillingInfo08, 0, 1, 1, 1))</f>
        <v>1</v>
      </c>
      <c r="E2389" s="172">
        <f ca="1">IF(OFFSET('IWP14'!Std9BillingInfo08, 0, 2, 1, 1)=DATE(1900,1,0), DATE(1900,1,1), OFFSET('IWP14'!Std9BillingInfo08, 0, 2, 1, 1))</f>
        <v>1</v>
      </c>
      <c r="F2389" s="187">
        <f ca="1">OFFSET('IWP14'!Std9BillingInfo08, 0, 3, 1, 1)</f>
        <v>0</v>
      </c>
      <c r="G2389" s="187">
        <f ca="1">OFFSET('IWP14'!Std9BillingInfo08, 10, 6, 1, 1)</f>
        <v>0</v>
      </c>
      <c r="H2389" s="187">
        <f ca="1">OFFSET('IWP14'!Std9BillingInfo08, 11, 6, 1, 1)</f>
        <v>0</v>
      </c>
      <c r="I2389" s="187">
        <f ca="1">OFFSET('IWP14'!Std9BillingInfo08, 10, 8, 1, 1)</f>
        <v>0</v>
      </c>
      <c r="J2389" s="187">
        <f ca="1">OFFSET('IWP14'!Std9BillingInfo08, 10, 11, 1, 1)</f>
        <v>0</v>
      </c>
      <c r="K2389" s="187">
        <f ca="1">OFFSET('IWP14'!Std9BillingInfo08, 10, 12, 1, 1)</f>
        <v>0</v>
      </c>
      <c r="L2389" s="179">
        <f ca="1">OFFSET('IWP14'!Std9BillingInfo08, 12, 8, 1, 1)</f>
        <v>0</v>
      </c>
      <c r="M2389" s="129"/>
    </row>
    <row r="2390" spans="1:13" s="146" customFormat="1">
      <c r="A2390" s="183" t="s">
        <v>512</v>
      </c>
      <c r="B2390" s="196">
        <v>9</v>
      </c>
      <c r="C2390" s="195" t="str">
        <f ca="1">IF(OFFSET('IWP14'!Std9BillingInfo09, 0, 0, 1, 1) = 0, "", OFFSET('IWP14'!Std9BillingInfo09, 0, 0, 1, 1))</f>
        <v/>
      </c>
      <c r="D2390" s="172">
        <f ca="1">IF(OFFSET('IWP14'!Std9BillingInfo09, 0, 1, 1, 1)=DATE(1900,1,0), DATE(1900,1,1), OFFSET('IWP14'!Std9BillingInfo09, 0, 1, 1, 1))</f>
        <v>1</v>
      </c>
      <c r="E2390" s="172">
        <f ca="1">IF(OFFSET('IWP14'!Std9BillingInfo09, 0, 2, 1, 1)=DATE(1900,1,0), DATE(1900,1,1), OFFSET('IWP14'!Std9BillingInfo09, 0, 2, 1, 1))</f>
        <v>1</v>
      </c>
      <c r="F2390" s="187">
        <f ca="1">OFFSET('IWP14'!Std9BillingInfo09, 0, 3, 1, 1)</f>
        <v>0</v>
      </c>
      <c r="G2390" s="187">
        <f ca="1">OFFSET('IWP14'!Std9BillingInfo09, 10, 6, 1, 1)</f>
        <v>0</v>
      </c>
      <c r="H2390" s="187">
        <f ca="1">OFFSET('IWP14'!Std9BillingInfo09, 11, 6, 1, 1)</f>
        <v>0</v>
      </c>
      <c r="I2390" s="187">
        <f ca="1">OFFSET('IWP14'!Std9BillingInfo09, 10, 8, 1, 1)</f>
        <v>0</v>
      </c>
      <c r="J2390" s="187">
        <f ca="1">OFFSET('IWP14'!Std9BillingInfo09, 10, 11, 1, 1)</f>
        <v>0</v>
      </c>
      <c r="K2390" s="187">
        <f ca="1">OFFSET('IWP14'!Std9BillingInfo09, 10, 12, 1, 1)</f>
        <v>0</v>
      </c>
      <c r="L2390" s="179">
        <f ca="1">OFFSET('IWP14'!Std9BillingInfo09, 12, 8, 1, 1)</f>
        <v>0</v>
      </c>
      <c r="M2390" s="129"/>
    </row>
    <row r="2391" spans="1:13" s="146" customFormat="1">
      <c r="A2391" s="183" t="s">
        <v>512</v>
      </c>
      <c r="B2391" s="196">
        <v>10</v>
      </c>
      <c r="C2391" s="195" t="str">
        <f ca="1">IF(OFFSET('IWP14'!Std9BillingInfo10, 0, 0, 1, 1) = 0, "", OFFSET('IWP14'!Std9BillingInfo10, 0, 0, 1, 1))</f>
        <v/>
      </c>
      <c r="D2391" s="172">
        <f ca="1">IF(OFFSET('IWP14'!Std9BillingInfo10, 0, 1, 1, 1)=DATE(1900,1,0), DATE(1900,1,1), OFFSET('IWP14'!Std9BillingInfo10, 0, 1, 1, 1))</f>
        <v>1</v>
      </c>
      <c r="E2391" s="172">
        <f ca="1">IF(OFFSET('IWP14'!Std9BillingInfo10, 0, 2, 1, 1)=DATE(1900,1,0), DATE(1900,1,1), OFFSET('IWP14'!Std9BillingInfo10, 0, 2, 1, 1))</f>
        <v>1</v>
      </c>
      <c r="F2391" s="187">
        <f ca="1">OFFSET('IWP14'!Std9BillingInfo10, 0, 3, 1, 1)</f>
        <v>0</v>
      </c>
      <c r="G2391" s="187">
        <f ca="1">OFFSET('IWP14'!Std9BillingInfo10, 10, 6, 1, 1)</f>
        <v>0</v>
      </c>
      <c r="H2391" s="187">
        <f ca="1">OFFSET('IWP14'!Std9BillingInfo10, 11, 6, 1, 1)</f>
        <v>0</v>
      </c>
      <c r="I2391" s="187">
        <f ca="1">OFFSET('IWP14'!Std9BillingInfo10, 10, 8, 1, 1)</f>
        <v>0</v>
      </c>
      <c r="J2391" s="187">
        <f ca="1">OFFSET('IWP14'!Std9BillingInfo10, 10, 11, 1, 1)</f>
        <v>0</v>
      </c>
      <c r="K2391" s="187">
        <f ca="1">OFFSET('IWP14'!Std9BillingInfo10, 10, 12, 1, 1)</f>
        <v>0</v>
      </c>
      <c r="L2391" s="179">
        <f ca="1">OFFSET('IWP14'!Std9BillingInfo10, 12, 8, 1, 1)</f>
        <v>0</v>
      </c>
      <c r="M2391" s="129"/>
    </row>
    <row r="2392" spans="1:13" s="146" customFormat="1">
      <c r="A2392" s="183" t="s">
        <v>512</v>
      </c>
      <c r="B2392" s="196">
        <v>11</v>
      </c>
      <c r="C2392" s="195" t="str">
        <f ca="1">IF(OFFSET('IWP14'!Std9BillingInfo11, 0, 0, 1, 1) = 0, "", OFFSET('IWP14'!Std9BillingInfo11, 0, 0, 1, 1))</f>
        <v/>
      </c>
      <c r="D2392" s="172">
        <f ca="1">IF(OFFSET('IWP14'!Std9BillingInfo11, 0, 1, 1, 1)=DATE(1900,1,0), DATE(1900,1,1), OFFSET('IWP14'!Std9BillingInfo11, 0, 1, 1, 1))</f>
        <v>1</v>
      </c>
      <c r="E2392" s="172">
        <f ca="1">IF(OFFSET('IWP14'!Std9BillingInfo11, 0, 2, 1, 1)=DATE(1900,1,0), DATE(1900,1,1), OFFSET('IWP14'!Std9BillingInfo11, 0, 2, 1, 1))</f>
        <v>1</v>
      </c>
      <c r="F2392" s="187">
        <f ca="1">OFFSET('IWP14'!Std9BillingInfo11, 0, 3, 1, 1)</f>
        <v>0</v>
      </c>
      <c r="G2392" s="187">
        <f ca="1">OFFSET('IWP14'!Std9BillingInfo11, 10, 6, 1, 1)</f>
        <v>0</v>
      </c>
      <c r="H2392" s="187">
        <f ca="1">OFFSET('IWP14'!Std9BillingInfo11, 11, 6, 1, 1)</f>
        <v>0</v>
      </c>
      <c r="I2392" s="187">
        <f ca="1">OFFSET('IWP14'!Std9BillingInfo11, 10, 8, 1, 1)</f>
        <v>0</v>
      </c>
      <c r="J2392" s="187">
        <f ca="1">OFFSET('IWP14'!Std9BillingInfo11, 10, 11, 1, 1)</f>
        <v>0</v>
      </c>
      <c r="K2392" s="187">
        <f ca="1">OFFSET('IWP14'!Std9BillingInfo11, 10, 12, 1, 1)</f>
        <v>0</v>
      </c>
      <c r="L2392" s="179">
        <f ca="1">OFFSET('IWP14'!Std9BillingInfo11, 12, 8, 1, 1)</f>
        <v>0</v>
      </c>
      <c r="M2392" s="129"/>
    </row>
    <row r="2393" spans="1:13" s="146" customFormat="1">
      <c r="A2393" s="183" t="s">
        <v>512</v>
      </c>
      <c r="B2393" s="196">
        <v>12</v>
      </c>
      <c r="C2393" s="195" t="str">
        <f ca="1">IF(OFFSET('IWP14'!Std9BillingInfo12, 0, 0, 1, 1) = 0, "", OFFSET('IWP14'!Std9BillingInfo12, 0, 0, 1, 1))</f>
        <v/>
      </c>
      <c r="D2393" s="172">
        <f ca="1">IF(OFFSET('IWP14'!Std9BillingInfo12, 0, 1, 1, 1)=DATE(1900,1,0), DATE(1900,1,1), OFFSET('IWP14'!Std9BillingInfo12, 0, 1, 1, 1))</f>
        <v>1</v>
      </c>
      <c r="E2393" s="172">
        <f ca="1">IF(OFFSET('IWP14'!Std9BillingInfo12, 0, 2, 1, 1)=DATE(1900,1,0), DATE(1900,1,1), OFFSET('IWP14'!Std9BillingInfo12, 0, 2, 1, 1))</f>
        <v>1</v>
      </c>
      <c r="F2393" s="187">
        <f ca="1">OFFSET('IWP14'!Std9BillingInfo12, 0, 3, 1, 1)</f>
        <v>0</v>
      </c>
      <c r="G2393" s="187">
        <f ca="1">OFFSET('IWP14'!Std9BillingInfo12, 10, 6, 1, 1)</f>
        <v>0</v>
      </c>
      <c r="H2393" s="187">
        <f ca="1">OFFSET('IWP14'!Std9BillingInfo12, 11, 6, 1, 1)</f>
        <v>0</v>
      </c>
      <c r="I2393" s="187">
        <f ca="1">OFFSET('IWP14'!Std9BillingInfo12, 10, 8, 1, 1)</f>
        <v>0</v>
      </c>
      <c r="J2393" s="187">
        <f ca="1">OFFSET('IWP14'!Std9BillingInfo12, 10, 11, 1, 1)</f>
        <v>0</v>
      </c>
      <c r="K2393" s="187">
        <f ca="1">OFFSET('IWP14'!Std9BillingInfo12, 10, 12, 1, 1)</f>
        <v>0</v>
      </c>
      <c r="L2393" s="179">
        <f ca="1">OFFSET('IWP14'!Std9BillingInfo12, 12, 8, 1, 1)</f>
        <v>0</v>
      </c>
      <c r="M2393" s="129"/>
    </row>
    <row r="2394" spans="1:13" s="146" customFormat="1">
      <c r="A2394" s="183" t="s">
        <v>512</v>
      </c>
      <c r="B2394" s="196">
        <v>13</v>
      </c>
      <c r="C2394" s="195" t="str">
        <f ca="1">IF(OFFSET('IWP14'!Std9BillingInfo13, 0, 0, 1, 1) = 0, "", OFFSET('IWP14'!Std9BillingInfo13, 0, 0, 1, 1))</f>
        <v/>
      </c>
      <c r="D2394" s="172">
        <f ca="1">IF(OFFSET('IWP14'!Std9BillingInfo13, 0, 1, 1, 1)=DATE(1900,1,0), DATE(1900,1,1), OFFSET('IWP14'!Std9BillingInfo13, 0, 1, 1, 1))</f>
        <v>1</v>
      </c>
      <c r="E2394" s="172">
        <f ca="1">IF(OFFSET('IWP14'!Std9BillingInfo13, 0, 2, 1, 1)=DATE(1900,1,0), DATE(1900,1,1), OFFSET('IWP14'!Std9BillingInfo13, 0, 2, 1, 1))</f>
        <v>1</v>
      </c>
      <c r="F2394" s="187">
        <f ca="1">OFFSET('IWP14'!Std9BillingInfo13, 0, 3, 1, 1)</f>
        <v>0</v>
      </c>
      <c r="G2394" s="187">
        <f ca="1">OFFSET('IWP14'!Std9BillingInfo13, 10, 6, 1, 1)</f>
        <v>0</v>
      </c>
      <c r="H2394" s="187">
        <f ca="1">OFFSET('IWP14'!Std9BillingInfo13, 11, 6, 1, 1)</f>
        <v>0</v>
      </c>
      <c r="I2394" s="187">
        <f ca="1">OFFSET('IWP14'!Std9BillingInfo13, 10, 8, 1, 1)</f>
        <v>0</v>
      </c>
      <c r="J2394" s="187">
        <f ca="1">OFFSET('IWP14'!Std9BillingInfo13, 10, 11, 1, 1)</f>
        <v>0</v>
      </c>
      <c r="K2394" s="187">
        <f ca="1">OFFSET('IWP14'!Std9BillingInfo13, 10, 12, 1, 1)</f>
        <v>0</v>
      </c>
      <c r="L2394" s="179">
        <f ca="1">OFFSET('IWP14'!Std9BillingInfo13, 12, 8, 1, 1)</f>
        <v>0</v>
      </c>
      <c r="M2394" s="129"/>
    </row>
    <row r="2395" spans="1:13" s="146" customFormat="1">
      <c r="A2395" s="183" t="s">
        <v>512</v>
      </c>
      <c r="B2395" s="196">
        <v>14</v>
      </c>
      <c r="C2395" s="195" t="str">
        <f ca="1">IF(OFFSET('IWP14'!Std9BillingInfo14, 0, 0, 1, 1) = 0, "", OFFSET('IWP14'!Std9BillingInfo14, 0, 0, 1, 1))</f>
        <v/>
      </c>
      <c r="D2395" s="172">
        <f ca="1">IF(OFFSET('IWP14'!Std9BillingInfo14, 0, 1, 1, 1)=DATE(1900,1,0), DATE(1900,1,1), OFFSET('IWP14'!Std9BillingInfo14, 0, 1, 1, 1))</f>
        <v>1</v>
      </c>
      <c r="E2395" s="172">
        <f ca="1">IF(OFFSET('IWP14'!Std9BillingInfo14, 0, 2, 1, 1)=DATE(1900,1,0), DATE(1900,1,1), OFFSET('IWP14'!Std9BillingInfo14, 0, 2, 1, 1))</f>
        <v>1</v>
      </c>
      <c r="F2395" s="187">
        <f ca="1">OFFSET('IWP14'!Std9BillingInfo14, 0, 3, 1, 1)</f>
        <v>0</v>
      </c>
      <c r="G2395" s="187">
        <f ca="1">OFFSET('IWP14'!Std9BillingInfo14, 10, 6, 1, 1)</f>
        <v>0</v>
      </c>
      <c r="H2395" s="187">
        <f ca="1">OFFSET('IWP14'!Std9BillingInfo14, 11, 6, 1, 1)</f>
        <v>0</v>
      </c>
      <c r="I2395" s="187">
        <f ca="1">OFFSET('IWP14'!Std9BillingInfo14, 10, 8, 1, 1)</f>
        <v>0</v>
      </c>
      <c r="J2395" s="187">
        <f ca="1">OFFSET('IWP14'!Std9BillingInfo14, 10, 11, 1, 1)</f>
        <v>0</v>
      </c>
      <c r="K2395" s="187">
        <f ca="1">OFFSET('IWP14'!Std9BillingInfo14, 10, 12, 1, 1)</f>
        <v>0</v>
      </c>
      <c r="L2395" s="179">
        <f ca="1">OFFSET('IWP14'!Std9BillingInfo14, 12, 8, 1, 1)</f>
        <v>0</v>
      </c>
      <c r="M2395" s="129"/>
    </row>
    <row r="2396" spans="1:13" s="146" customFormat="1">
      <c r="A2396" s="183" t="s">
        <v>512</v>
      </c>
      <c r="B2396" s="196">
        <v>15</v>
      </c>
      <c r="C2396" s="195" t="str">
        <f ca="1">IF(OFFSET('IWP14'!Std9BillingInfo15, 0, 0, 1, 1) = 0, "", OFFSET('IWP14'!Std9BillingInfo15, 0, 0, 1, 1))</f>
        <v/>
      </c>
      <c r="D2396" s="172">
        <f ca="1">IF(OFFSET('IWP14'!Std9BillingInfo15, 0, 1, 1, 1)=DATE(1900,1,0), DATE(1900,1,1), OFFSET('IWP14'!Std9BillingInfo15, 0, 1, 1, 1))</f>
        <v>1</v>
      </c>
      <c r="E2396" s="172">
        <f ca="1">IF(OFFSET('IWP14'!Std9BillingInfo15, 0, 2, 1, 1)=DATE(1900,1,0), DATE(1900,1,1), OFFSET('IWP14'!Std9BillingInfo15, 0, 2, 1, 1))</f>
        <v>1</v>
      </c>
      <c r="F2396" s="187">
        <f ca="1">OFFSET('IWP14'!Std9BillingInfo15, 0, 3, 1, 1)</f>
        <v>0</v>
      </c>
      <c r="G2396" s="187">
        <f ca="1">OFFSET('IWP14'!Std9BillingInfo15, 10, 6, 1, 1)</f>
        <v>0</v>
      </c>
      <c r="H2396" s="187">
        <f ca="1">OFFSET('IWP14'!Std9BillingInfo15, 11, 6, 1, 1)</f>
        <v>0</v>
      </c>
      <c r="I2396" s="187">
        <f ca="1">OFFSET('IWP14'!Std9BillingInfo15, 10, 8, 1, 1)</f>
        <v>0</v>
      </c>
      <c r="J2396" s="187">
        <f ca="1">OFFSET('IWP14'!Std9BillingInfo15, 10, 11, 1, 1)</f>
        <v>0</v>
      </c>
      <c r="K2396" s="187">
        <f ca="1">OFFSET('IWP14'!Std9BillingInfo15, 10, 12, 1, 1)</f>
        <v>0</v>
      </c>
      <c r="L2396" s="179">
        <f ca="1">OFFSET('IWP14'!Std9BillingInfo15, 12, 8, 1, 1)</f>
        <v>0</v>
      </c>
      <c r="M2396" s="129"/>
    </row>
    <row r="2397" spans="1:13" s="146" customFormat="1">
      <c r="A2397" s="183" t="s">
        <v>512</v>
      </c>
      <c r="B2397" s="196">
        <v>16</v>
      </c>
      <c r="C2397" s="195" t="str">
        <f ca="1">IF(OFFSET('IWP14'!Std9BillingInfo16, 0, 0, 1, 1) = 0, "", OFFSET('IWP14'!Std9BillingInfo16, 0, 0, 1, 1))</f>
        <v/>
      </c>
      <c r="D2397" s="172">
        <f ca="1">IF(OFFSET('IWP14'!Std9BillingInfo16, 0, 1, 1, 1)=DATE(1900,1,0), DATE(1900,1,1), OFFSET('IWP14'!Std9BillingInfo16, 0, 1, 1, 1))</f>
        <v>1</v>
      </c>
      <c r="E2397" s="172">
        <f ca="1">IF(OFFSET('IWP14'!Std9BillingInfo16, 0, 2, 1, 1)=DATE(1900,1,0), DATE(1900,1,1), OFFSET('IWP14'!Std9BillingInfo16, 0, 2, 1, 1))</f>
        <v>1</v>
      </c>
      <c r="F2397" s="187">
        <f ca="1">OFFSET('IWP14'!Std9BillingInfo16, 0, 3, 1, 1)</f>
        <v>0</v>
      </c>
      <c r="G2397" s="187">
        <f ca="1">OFFSET('IWP14'!Std9BillingInfo16, 10, 6, 1, 1)</f>
        <v>0</v>
      </c>
      <c r="H2397" s="187">
        <f ca="1">OFFSET('IWP14'!Std9BillingInfo16, 11, 6, 1, 1)</f>
        <v>0</v>
      </c>
      <c r="I2397" s="187">
        <f ca="1">OFFSET('IWP14'!Std9BillingInfo16, 10, 8, 1, 1)</f>
        <v>0</v>
      </c>
      <c r="J2397" s="187">
        <f ca="1">OFFSET('IWP14'!Std9BillingInfo16, 10, 11, 1, 1)</f>
        <v>0</v>
      </c>
      <c r="K2397" s="187">
        <f ca="1">OFFSET('IWP14'!Std9BillingInfo16, 10, 12, 1, 1)</f>
        <v>0</v>
      </c>
      <c r="L2397" s="179">
        <f ca="1">OFFSET('IWP14'!Std9BillingInfo16, 12, 8, 1, 1)</f>
        <v>0</v>
      </c>
      <c r="M2397" s="129"/>
    </row>
    <row r="2398" spans="1:13" s="146" customFormat="1">
      <c r="A2398" s="183" t="s">
        <v>512</v>
      </c>
      <c r="B2398" s="196">
        <v>17</v>
      </c>
      <c r="C2398" s="195" t="str">
        <f ca="1">IF(OFFSET('IWP14'!Std9BillingInfo17, 0, 0, 1, 1) = 0, "", OFFSET('IWP14'!Std9BillingInfo17, 0, 0, 1, 1))</f>
        <v/>
      </c>
      <c r="D2398" s="172">
        <f ca="1">IF(OFFSET('IWP14'!Std9BillingInfo17, 0, 1, 1, 1)=DATE(1900,1,0), DATE(1900,1,1), OFFSET('IWP14'!Std9BillingInfo17, 0, 1, 1, 1))</f>
        <v>1</v>
      </c>
      <c r="E2398" s="172">
        <f ca="1">IF(OFFSET('IWP14'!Std9BillingInfo17, 0, 2, 1, 1)=DATE(1900,1,0), DATE(1900,1,1), OFFSET('IWP14'!Std9BillingInfo17, 0, 2, 1, 1))</f>
        <v>1</v>
      </c>
      <c r="F2398" s="187">
        <f ca="1">OFFSET('IWP14'!Std9BillingInfo17, 0, 3, 1, 1)</f>
        <v>0</v>
      </c>
      <c r="G2398" s="187">
        <f ca="1">OFFSET('IWP14'!Std9BillingInfo17, 10, 6, 1, 1)</f>
        <v>0</v>
      </c>
      <c r="H2398" s="187">
        <f ca="1">OFFSET('IWP14'!Std9BillingInfo17, 11, 6, 1, 1)</f>
        <v>0</v>
      </c>
      <c r="I2398" s="187">
        <f ca="1">OFFSET('IWP14'!Std9BillingInfo17, 10, 8, 1, 1)</f>
        <v>0</v>
      </c>
      <c r="J2398" s="187">
        <f ca="1">OFFSET('IWP14'!Std9BillingInfo17, 10, 11, 1, 1)</f>
        <v>0</v>
      </c>
      <c r="K2398" s="187">
        <f ca="1">OFFSET('IWP14'!Std9BillingInfo17, 10, 12, 1, 1)</f>
        <v>0</v>
      </c>
      <c r="L2398" s="179">
        <f ca="1">OFFSET('IWP14'!Std9BillingInfo17, 12, 8, 1, 1)</f>
        <v>0</v>
      </c>
      <c r="M2398" s="129"/>
    </row>
    <row r="2399" spans="1:13" s="146" customFormat="1">
      <c r="A2399" s="183" t="s">
        <v>512</v>
      </c>
      <c r="B2399" s="196">
        <v>18</v>
      </c>
      <c r="C2399" s="195" t="str">
        <f ca="1">IF(OFFSET('IWP14'!Std9BillingInfo18, 0, 0, 1, 1) = 0, "", OFFSET('IWP14'!Std9BillingInfo18, 0, 0, 1, 1))</f>
        <v/>
      </c>
      <c r="D2399" s="172">
        <f ca="1">IF(OFFSET('IWP14'!Std9BillingInfo18, 0, 1, 1, 1)=DATE(1900,1,0), DATE(1900,1,1), OFFSET('IWP14'!Std9BillingInfo18, 0, 1, 1, 1))</f>
        <v>1</v>
      </c>
      <c r="E2399" s="172">
        <f ca="1">IF(OFFSET('IWP14'!Std9BillingInfo18, 0, 2, 1, 1)=DATE(1900,1,0), DATE(1900,1,1), OFFSET('IWP14'!Std9BillingInfo18, 0, 2, 1, 1))</f>
        <v>1</v>
      </c>
      <c r="F2399" s="187">
        <f ca="1">OFFSET('IWP14'!Std9BillingInfo18, 0, 3, 1, 1)</f>
        <v>0</v>
      </c>
      <c r="G2399" s="187">
        <f ca="1">OFFSET('IWP14'!Std9BillingInfo18, 10, 6, 1, 1)</f>
        <v>0</v>
      </c>
      <c r="H2399" s="187">
        <f ca="1">OFFSET('IWP14'!Std9BillingInfo18, 11, 6, 1, 1)</f>
        <v>0</v>
      </c>
      <c r="I2399" s="187">
        <f ca="1">OFFSET('IWP14'!Std9BillingInfo18, 10, 8, 1, 1)</f>
        <v>0</v>
      </c>
      <c r="J2399" s="187">
        <f ca="1">OFFSET('IWP14'!Std9BillingInfo18, 10, 11, 1, 1)</f>
        <v>0</v>
      </c>
      <c r="K2399" s="187">
        <f ca="1">OFFSET('IWP14'!Std9BillingInfo18, 10, 12, 1, 1)</f>
        <v>0</v>
      </c>
      <c r="L2399" s="179">
        <f ca="1">OFFSET('IWP14'!Std9BillingInfo18, 12, 8, 1, 1)</f>
        <v>0</v>
      </c>
      <c r="M2399" s="129"/>
    </row>
    <row r="2400" spans="1:13" s="146" customFormat="1">
      <c r="A2400" s="183" t="s">
        <v>513</v>
      </c>
      <c r="B2400" s="196">
        <v>1</v>
      </c>
      <c r="C2400" s="195" t="str">
        <f ca="1">IF(OFFSET('IWP15'!Std9BillingInfo01, 0, 0, 1, 1) = 0, "", OFFSET('IWP15'!Std9BillingInfo01, 0, 0, 1, 1))</f>
        <v/>
      </c>
      <c r="D2400" s="172">
        <f ca="1">IF(OFFSET('IWP15'!Std9BillingInfo01, 0, 1, 1, 1)=DATE(1900,1,0), DATE(1900,1,1), OFFSET('IWP15'!Std9BillingInfo01, 0, 1, 1, 1))</f>
        <v>1</v>
      </c>
      <c r="E2400" s="172">
        <f ca="1">IF(OFFSET('IWP15'!Std9BillingInfo01, 0, 2, 1, 1)=DATE(1900,1,0), DATE(1900,1,1), OFFSET('IWP15'!Std9BillingInfo01, 0, 2, 1, 1))</f>
        <v>1</v>
      </c>
      <c r="F2400" s="187">
        <f ca="1">OFFSET('IWP15'!Std9BillingInfo01, 0, 3, 1, 1)</f>
        <v>0</v>
      </c>
      <c r="G2400" s="187">
        <f ca="1">OFFSET('IWP15'!Std9BillingInfo01, 10, 6, 1, 1)</f>
        <v>0</v>
      </c>
      <c r="H2400" s="187">
        <f ca="1">OFFSET('IWP15'!Std9BillingInfo01, 11, 6, 1, 1)</f>
        <v>0</v>
      </c>
      <c r="I2400" s="187">
        <f ca="1">OFFSET('IWP15'!Std9BillingInfo01, 10, 8, 1, 1)</f>
        <v>0</v>
      </c>
      <c r="J2400" s="187">
        <f ca="1">OFFSET('IWP15'!Std9BillingInfo01, 10, 11, 1, 1)</f>
        <v>0</v>
      </c>
      <c r="K2400" s="187">
        <f ca="1">OFFSET('IWP15'!Std9BillingInfo01, 10, 12, 1, 1)</f>
        <v>0</v>
      </c>
      <c r="L2400" s="179">
        <f ca="1">OFFSET('IWP15'!Std9BillingInfo01, 12, 8, 1, 1)</f>
        <v>0</v>
      </c>
      <c r="M2400" s="129"/>
    </row>
    <row r="2401" spans="1:13" s="146" customFormat="1">
      <c r="A2401" s="183" t="s">
        <v>513</v>
      </c>
      <c r="B2401" s="196">
        <v>2</v>
      </c>
      <c r="C2401" s="195" t="str">
        <f ca="1">IF(OFFSET('IWP15'!Std9BillingInfo02, 0, 0, 1, 1) = 0, "", OFFSET('IWP15'!Std9BillingInfo02, 0, 0, 1, 1))</f>
        <v/>
      </c>
      <c r="D2401" s="172">
        <f ca="1">IF(OFFSET('IWP15'!Std9BillingInfo02, 0, 1, 1, 1)=DATE(1900,1,0), DATE(1900,1,1), OFFSET('IWP15'!Std9BillingInfo02, 0, 1, 1, 1))</f>
        <v>1</v>
      </c>
      <c r="E2401" s="172">
        <f ca="1">IF(OFFSET('IWP15'!Std9BillingInfo02, 0, 2, 1, 1)=DATE(1900,1,0), DATE(1900,1,1), OFFSET('IWP15'!Std9BillingInfo02, 0, 2, 1, 1))</f>
        <v>1</v>
      </c>
      <c r="F2401" s="187">
        <f ca="1">OFFSET('IWP15'!Std9BillingInfo02, 0, 3, 1, 1)</f>
        <v>0</v>
      </c>
      <c r="G2401" s="187">
        <f ca="1">OFFSET('IWP15'!Std9BillingInfo02, 10, 6, 1, 1)</f>
        <v>0</v>
      </c>
      <c r="H2401" s="187">
        <f ca="1">OFFSET('IWP15'!Std9BillingInfo02, 11, 6, 1, 1)</f>
        <v>0</v>
      </c>
      <c r="I2401" s="187">
        <f ca="1">OFFSET('IWP15'!Std9BillingInfo02, 10, 8, 1, 1)</f>
        <v>0</v>
      </c>
      <c r="J2401" s="187">
        <f ca="1">OFFSET('IWP15'!Std9BillingInfo02, 10, 11, 1, 1)</f>
        <v>0</v>
      </c>
      <c r="K2401" s="187">
        <f ca="1">OFFSET('IWP15'!Std9BillingInfo02, 10, 12, 1, 1)</f>
        <v>0</v>
      </c>
      <c r="L2401" s="179">
        <f ca="1">OFFSET('IWP15'!Std9BillingInfo02, 12, 8, 1, 1)</f>
        <v>0</v>
      </c>
      <c r="M2401" s="129"/>
    </row>
    <row r="2402" spans="1:13" s="146" customFormat="1">
      <c r="A2402" s="183" t="s">
        <v>513</v>
      </c>
      <c r="B2402" s="196">
        <v>3</v>
      </c>
      <c r="C2402" s="195" t="str">
        <f ca="1">IF(OFFSET('IWP15'!Std9BillingInfo03, 0, 0, 1, 1) = 0, "", OFFSET('IWP15'!Std9BillingInfo03, 0, 0, 1, 1))</f>
        <v/>
      </c>
      <c r="D2402" s="172">
        <f ca="1">IF(OFFSET('IWP15'!Std9BillingInfo03, 0, 1, 1, 1)=DATE(1900,1,0), DATE(1900,1,1), OFFSET('IWP15'!Std9BillingInfo03, 0, 1, 1, 1))</f>
        <v>1</v>
      </c>
      <c r="E2402" s="172">
        <f ca="1">IF(OFFSET('IWP15'!Std9BillingInfo03, 0, 2, 1, 1)=DATE(1900,1,0), DATE(1900,1,1), OFFSET('IWP15'!Std9BillingInfo03, 0, 2, 1, 1))</f>
        <v>1</v>
      </c>
      <c r="F2402" s="187">
        <f ca="1">OFFSET('IWP15'!Std9BillingInfo03, 0, 3, 1, 1)</f>
        <v>0</v>
      </c>
      <c r="G2402" s="187">
        <f ca="1">OFFSET('IWP15'!Std9BillingInfo03, 10, 6, 1, 1)</f>
        <v>0</v>
      </c>
      <c r="H2402" s="187">
        <f ca="1">OFFSET('IWP15'!Std9BillingInfo03, 11, 6, 1, 1)</f>
        <v>0</v>
      </c>
      <c r="I2402" s="187">
        <f ca="1">OFFSET('IWP15'!Std9BillingInfo03, 10, 8, 1, 1)</f>
        <v>0</v>
      </c>
      <c r="J2402" s="187">
        <f ca="1">OFFSET('IWP15'!Std9BillingInfo03, 10, 11, 1, 1)</f>
        <v>0</v>
      </c>
      <c r="K2402" s="187">
        <f ca="1">OFFSET('IWP15'!Std9BillingInfo03, 10, 12, 1, 1)</f>
        <v>0</v>
      </c>
      <c r="L2402" s="179">
        <f ca="1">OFFSET('IWP15'!Std9BillingInfo03, 12, 8, 1, 1)</f>
        <v>0</v>
      </c>
      <c r="M2402" s="129"/>
    </row>
    <row r="2403" spans="1:13" s="146" customFormat="1">
      <c r="A2403" s="183" t="s">
        <v>513</v>
      </c>
      <c r="B2403" s="196">
        <v>4</v>
      </c>
      <c r="C2403" s="195" t="str">
        <f ca="1">IF(OFFSET('IWP15'!Std9BillingInfo04, 0, 0, 1, 1) = 0, "", OFFSET('IWP15'!Std9BillingInfo04, 0, 0, 1, 1))</f>
        <v/>
      </c>
      <c r="D2403" s="172">
        <f ca="1">IF(OFFSET('IWP15'!Std9BillingInfo04, 0, 1, 1, 1)=DATE(1900,1,0), DATE(1900,1,1), OFFSET('IWP15'!Std9BillingInfo04, 0, 1, 1, 1))</f>
        <v>1</v>
      </c>
      <c r="E2403" s="172">
        <f ca="1">IF(OFFSET('IWP15'!Std9BillingInfo04, 0, 2, 1, 1)=DATE(1900,1,0), DATE(1900,1,1), OFFSET('IWP15'!Std9BillingInfo04, 0, 2, 1, 1))</f>
        <v>1</v>
      </c>
      <c r="F2403" s="187">
        <f ca="1">OFFSET('IWP15'!Std9BillingInfo04, 0, 3, 1, 1)</f>
        <v>0</v>
      </c>
      <c r="G2403" s="187">
        <f ca="1">OFFSET('IWP15'!Std9BillingInfo04, 10, 6, 1, 1)</f>
        <v>0</v>
      </c>
      <c r="H2403" s="187">
        <f ca="1">OFFSET('IWP15'!Std9BillingInfo04, 11, 6, 1, 1)</f>
        <v>0</v>
      </c>
      <c r="I2403" s="187">
        <f ca="1">OFFSET('IWP15'!Std9BillingInfo04, 10, 8, 1, 1)</f>
        <v>0</v>
      </c>
      <c r="J2403" s="187">
        <f ca="1">OFFSET('IWP15'!Std9BillingInfo04, 10, 11, 1, 1)</f>
        <v>0</v>
      </c>
      <c r="K2403" s="187">
        <f ca="1">OFFSET('IWP15'!Std9BillingInfo04, 10, 12, 1, 1)</f>
        <v>0</v>
      </c>
      <c r="L2403" s="179">
        <f ca="1">OFFSET('IWP15'!Std9BillingInfo04, 12, 8, 1, 1)</f>
        <v>0</v>
      </c>
      <c r="M2403" s="129"/>
    </row>
    <row r="2404" spans="1:13" s="146" customFormat="1">
      <c r="A2404" s="183" t="s">
        <v>513</v>
      </c>
      <c r="B2404" s="196">
        <v>5</v>
      </c>
      <c r="C2404" s="195" t="str">
        <f ca="1">IF(OFFSET('IWP15'!Std9BillingInfo05, 0, 0, 1, 1) = 0, "", OFFSET('IWP15'!Std9BillingInfo05, 0, 0, 1, 1))</f>
        <v/>
      </c>
      <c r="D2404" s="172">
        <f ca="1">IF(OFFSET('IWP15'!Std9BillingInfo05, 0, 1, 1, 1)=DATE(1900,1,0), DATE(1900,1,1), OFFSET('IWP15'!Std9BillingInfo05, 0, 1, 1, 1))</f>
        <v>1</v>
      </c>
      <c r="E2404" s="172">
        <f ca="1">IF(OFFSET('IWP15'!Std9BillingInfo05, 0, 2, 1, 1)=DATE(1900,1,0), DATE(1900,1,1), OFFSET('IWP15'!Std9BillingInfo05, 0, 2, 1, 1))</f>
        <v>1</v>
      </c>
      <c r="F2404" s="187">
        <f ca="1">OFFSET('IWP15'!Std9BillingInfo05, 0, 3, 1, 1)</f>
        <v>0</v>
      </c>
      <c r="G2404" s="187">
        <f ca="1">OFFSET('IWP15'!Std9BillingInfo05, 10, 6, 1, 1)</f>
        <v>0</v>
      </c>
      <c r="H2404" s="187">
        <f ca="1">OFFSET('IWP15'!Std9BillingInfo05, 11, 6, 1, 1)</f>
        <v>0</v>
      </c>
      <c r="I2404" s="187">
        <f ca="1">OFFSET('IWP15'!Std9BillingInfo05, 10, 8, 1, 1)</f>
        <v>0</v>
      </c>
      <c r="J2404" s="187">
        <f ca="1">OFFSET('IWP15'!Std9BillingInfo05, 10, 11, 1, 1)</f>
        <v>0</v>
      </c>
      <c r="K2404" s="187">
        <f ca="1">OFFSET('IWP15'!Std9BillingInfo05, 10, 12, 1, 1)</f>
        <v>0</v>
      </c>
      <c r="L2404" s="179">
        <f ca="1">OFFSET('IWP15'!Std9BillingInfo05, 12, 8, 1, 1)</f>
        <v>0</v>
      </c>
      <c r="M2404" s="129"/>
    </row>
    <row r="2405" spans="1:13" s="146" customFormat="1">
      <c r="A2405" s="183" t="s">
        <v>513</v>
      </c>
      <c r="B2405" s="196">
        <v>6</v>
      </c>
      <c r="C2405" s="195" t="str">
        <f ca="1">IF(OFFSET('IWP15'!Std9BillingInfo06, 0, 0, 1, 1) = 0, "", OFFSET('IWP15'!Std9BillingInfo06, 0, 0, 1, 1))</f>
        <v/>
      </c>
      <c r="D2405" s="172">
        <f ca="1">IF(OFFSET('IWP15'!Std9BillingInfo06, 0, 1, 1, 1)=DATE(1900,1,0), DATE(1900,1,1), OFFSET('IWP15'!Std9BillingInfo06, 0, 1, 1, 1))</f>
        <v>1</v>
      </c>
      <c r="E2405" s="172">
        <f ca="1">IF(OFFSET('IWP15'!Std9BillingInfo06, 0, 2, 1, 1)=DATE(1900,1,0), DATE(1900,1,1), OFFSET('IWP15'!Std9BillingInfo06, 0, 2, 1, 1))</f>
        <v>1</v>
      </c>
      <c r="F2405" s="187">
        <f ca="1">OFFSET('IWP15'!Std9BillingInfo06, 0, 3, 1, 1)</f>
        <v>0</v>
      </c>
      <c r="G2405" s="187">
        <f ca="1">OFFSET('IWP15'!Std9BillingInfo06, 10, 6, 1, 1)</f>
        <v>0</v>
      </c>
      <c r="H2405" s="187">
        <f ca="1">OFFSET('IWP15'!Std9BillingInfo06, 11, 6, 1, 1)</f>
        <v>0</v>
      </c>
      <c r="I2405" s="187">
        <f ca="1">OFFSET('IWP15'!Std9BillingInfo06, 10, 8, 1, 1)</f>
        <v>0</v>
      </c>
      <c r="J2405" s="187">
        <f ca="1">OFFSET('IWP15'!Std9BillingInfo06, 10, 11, 1, 1)</f>
        <v>0</v>
      </c>
      <c r="K2405" s="187">
        <f ca="1">OFFSET('IWP15'!Std9BillingInfo06, 10, 12, 1, 1)</f>
        <v>0</v>
      </c>
      <c r="L2405" s="179">
        <f ca="1">OFFSET('IWP15'!Std9BillingInfo06, 12, 8, 1, 1)</f>
        <v>0</v>
      </c>
      <c r="M2405" s="129"/>
    </row>
    <row r="2406" spans="1:13" s="146" customFormat="1">
      <c r="A2406" s="183" t="s">
        <v>513</v>
      </c>
      <c r="B2406" s="196">
        <v>7</v>
      </c>
      <c r="C2406" s="195" t="str">
        <f ca="1">IF(OFFSET('IWP15'!Std9BillingInfo07, 0, 0, 1, 1) = 0, "", OFFSET('IWP15'!Std9BillingInfo07, 0, 0, 1, 1))</f>
        <v/>
      </c>
      <c r="D2406" s="172">
        <f ca="1">IF(OFFSET('IWP15'!Std9BillingInfo07, 0, 1, 1, 1)=DATE(1900,1,0), DATE(1900,1,1), OFFSET('IWP15'!Std9BillingInfo07, 0, 1, 1, 1))</f>
        <v>1</v>
      </c>
      <c r="E2406" s="172">
        <f ca="1">IF(OFFSET('IWP15'!Std9BillingInfo07, 0, 2, 1, 1)=DATE(1900,1,0), DATE(1900,1,1), OFFSET('IWP15'!Std9BillingInfo07, 0, 2, 1, 1))</f>
        <v>1</v>
      </c>
      <c r="F2406" s="187">
        <f ca="1">OFFSET('IWP15'!Std9BillingInfo07, 0, 3, 1, 1)</f>
        <v>0</v>
      </c>
      <c r="G2406" s="187">
        <f ca="1">OFFSET('IWP15'!Std9BillingInfo07, 10, 6, 1, 1)</f>
        <v>0</v>
      </c>
      <c r="H2406" s="187">
        <f ca="1">OFFSET('IWP15'!Std9BillingInfo07, 11, 6, 1, 1)</f>
        <v>0</v>
      </c>
      <c r="I2406" s="187">
        <f ca="1">OFFSET('IWP15'!Std9BillingInfo07, 10, 8, 1, 1)</f>
        <v>0</v>
      </c>
      <c r="J2406" s="187">
        <f ca="1">OFFSET('IWP15'!Std9BillingInfo07, 10, 11, 1, 1)</f>
        <v>0</v>
      </c>
      <c r="K2406" s="187">
        <f ca="1">OFFSET('IWP15'!Std9BillingInfo07, 10, 12, 1, 1)</f>
        <v>0</v>
      </c>
      <c r="L2406" s="179">
        <f ca="1">OFFSET('IWP15'!Std9BillingInfo07, 12, 8, 1, 1)</f>
        <v>0</v>
      </c>
      <c r="M2406" s="129"/>
    </row>
    <row r="2407" spans="1:13" s="146" customFormat="1">
      <c r="A2407" s="183" t="s">
        <v>513</v>
      </c>
      <c r="B2407" s="196">
        <v>8</v>
      </c>
      <c r="C2407" s="195" t="str">
        <f ca="1">IF(OFFSET('IWP15'!Std9BillingInfo08, 0, 0, 1, 1) = 0, "", OFFSET('IWP15'!Std9BillingInfo08, 0, 0, 1, 1))</f>
        <v/>
      </c>
      <c r="D2407" s="172">
        <f ca="1">IF(OFFSET('IWP15'!Std9BillingInfo08, 0, 1, 1, 1)=DATE(1900,1,0), DATE(1900,1,1), OFFSET('IWP15'!Std9BillingInfo08, 0, 1, 1, 1))</f>
        <v>1</v>
      </c>
      <c r="E2407" s="172">
        <f ca="1">IF(OFFSET('IWP15'!Std9BillingInfo08, 0, 2, 1, 1)=DATE(1900,1,0), DATE(1900,1,1), OFFSET('IWP15'!Std9BillingInfo08, 0, 2, 1, 1))</f>
        <v>1</v>
      </c>
      <c r="F2407" s="187">
        <f ca="1">OFFSET('IWP15'!Std9BillingInfo08, 0, 3, 1, 1)</f>
        <v>0</v>
      </c>
      <c r="G2407" s="187">
        <f ca="1">OFFSET('IWP15'!Std9BillingInfo08, 10, 6, 1, 1)</f>
        <v>0</v>
      </c>
      <c r="H2407" s="187">
        <f ca="1">OFFSET('IWP15'!Std9BillingInfo08, 11, 6, 1, 1)</f>
        <v>0</v>
      </c>
      <c r="I2407" s="187">
        <f ca="1">OFFSET('IWP15'!Std9BillingInfo08, 10, 8, 1, 1)</f>
        <v>0</v>
      </c>
      <c r="J2407" s="187">
        <f ca="1">OFFSET('IWP15'!Std9BillingInfo08, 10, 11, 1, 1)</f>
        <v>0</v>
      </c>
      <c r="K2407" s="187">
        <f ca="1">OFFSET('IWP15'!Std9BillingInfo08, 10, 12, 1, 1)</f>
        <v>0</v>
      </c>
      <c r="L2407" s="179">
        <f ca="1">OFFSET('IWP15'!Std9BillingInfo08, 12, 8, 1, 1)</f>
        <v>0</v>
      </c>
      <c r="M2407" s="129"/>
    </row>
    <row r="2408" spans="1:13" s="146" customFormat="1">
      <c r="A2408" s="183" t="s">
        <v>513</v>
      </c>
      <c r="B2408" s="196">
        <v>9</v>
      </c>
      <c r="C2408" s="195" t="str">
        <f ca="1">IF(OFFSET('IWP15'!Std9BillingInfo09, 0, 0, 1, 1) = 0, "", OFFSET('IWP15'!Std9BillingInfo09, 0, 0, 1, 1))</f>
        <v/>
      </c>
      <c r="D2408" s="172">
        <f ca="1">IF(OFFSET('IWP15'!Std9BillingInfo09, 0, 1, 1, 1)=DATE(1900,1,0), DATE(1900,1,1), OFFSET('IWP15'!Std9BillingInfo09, 0, 1, 1, 1))</f>
        <v>1</v>
      </c>
      <c r="E2408" s="172">
        <f ca="1">IF(OFFSET('IWP15'!Std9BillingInfo09, 0, 2, 1, 1)=DATE(1900,1,0), DATE(1900,1,1), OFFSET('IWP15'!Std9BillingInfo09, 0, 2, 1, 1))</f>
        <v>1</v>
      </c>
      <c r="F2408" s="187">
        <f ca="1">OFFSET('IWP15'!Std9BillingInfo09, 0, 3, 1, 1)</f>
        <v>0</v>
      </c>
      <c r="G2408" s="187">
        <f ca="1">OFFSET('IWP15'!Std9BillingInfo09, 10, 6, 1, 1)</f>
        <v>0</v>
      </c>
      <c r="H2408" s="187">
        <f ca="1">OFFSET('IWP15'!Std9BillingInfo09, 11, 6, 1, 1)</f>
        <v>0</v>
      </c>
      <c r="I2408" s="187">
        <f ca="1">OFFSET('IWP15'!Std9BillingInfo09, 10, 8, 1, 1)</f>
        <v>0</v>
      </c>
      <c r="J2408" s="187">
        <f ca="1">OFFSET('IWP15'!Std9BillingInfo09, 10, 11, 1, 1)</f>
        <v>0</v>
      </c>
      <c r="K2408" s="187">
        <f ca="1">OFFSET('IWP15'!Std9BillingInfo09, 10, 12, 1, 1)</f>
        <v>0</v>
      </c>
      <c r="L2408" s="179">
        <f ca="1">OFFSET('IWP15'!Std9BillingInfo09, 12, 8, 1, 1)</f>
        <v>0</v>
      </c>
      <c r="M2408" s="129"/>
    </row>
    <row r="2409" spans="1:13" s="146" customFormat="1">
      <c r="A2409" s="183" t="s">
        <v>513</v>
      </c>
      <c r="B2409" s="196">
        <v>10</v>
      </c>
      <c r="C2409" s="195" t="str">
        <f ca="1">IF(OFFSET('IWP15'!Std9BillingInfo10, 0, 0, 1, 1) = 0, "", OFFSET('IWP15'!Std9BillingInfo10, 0, 0, 1, 1))</f>
        <v/>
      </c>
      <c r="D2409" s="172">
        <f ca="1">IF(OFFSET('IWP15'!Std9BillingInfo10, 0, 1, 1, 1)=DATE(1900,1,0), DATE(1900,1,1), OFFSET('IWP15'!Std9BillingInfo10, 0, 1, 1, 1))</f>
        <v>1</v>
      </c>
      <c r="E2409" s="172">
        <f ca="1">IF(OFFSET('IWP15'!Std9BillingInfo10, 0, 2, 1, 1)=DATE(1900,1,0), DATE(1900,1,1), OFFSET('IWP15'!Std9BillingInfo10, 0, 2, 1, 1))</f>
        <v>1</v>
      </c>
      <c r="F2409" s="187">
        <f ca="1">OFFSET('IWP15'!Std9BillingInfo10, 0, 3, 1, 1)</f>
        <v>0</v>
      </c>
      <c r="G2409" s="187">
        <f ca="1">OFFSET('IWP15'!Std9BillingInfo10, 10, 6, 1, 1)</f>
        <v>0</v>
      </c>
      <c r="H2409" s="187">
        <f ca="1">OFFSET('IWP15'!Std9BillingInfo10, 11, 6, 1, 1)</f>
        <v>0</v>
      </c>
      <c r="I2409" s="187">
        <f ca="1">OFFSET('IWP15'!Std9BillingInfo10, 10, 8, 1, 1)</f>
        <v>0</v>
      </c>
      <c r="J2409" s="187">
        <f ca="1">OFFSET('IWP15'!Std9BillingInfo10, 10, 11, 1, 1)</f>
        <v>0</v>
      </c>
      <c r="K2409" s="187">
        <f ca="1">OFFSET('IWP15'!Std9BillingInfo10, 10, 12, 1, 1)</f>
        <v>0</v>
      </c>
      <c r="L2409" s="179">
        <f ca="1">OFFSET('IWP15'!Std9BillingInfo10, 12, 8, 1, 1)</f>
        <v>0</v>
      </c>
      <c r="M2409" s="129"/>
    </row>
    <row r="2410" spans="1:13" s="146" customFormat="1">
      <c r="A2410" s="183" t="s">
        <v>513</v>
      </c>
      <c r="B2410" s="196">
        <v>11</v>
      </c>
      <c r="C2410" s="195" t="str">
        <f ca="1">IF(OFFSET('IWP15'!Std9BillingInfo11, 0, 0, 1, 1) = 0, "", OFFSET('IWP15'!Std9BillingInfo11, 0, 0, 1, 1))</f>
        <v/>
      </c>
      <c r="D2410" s="172">
        <f ca="1">IF(OFFSET('IWP15'!Std9BillingInfo11, 0, 1, 1, 1)=DATE(1900,1,0), DATE(1900,1,1), OFFSET('IWP15'!Std9BillingInfo11, 0, 1, 1, 1))</f>
        <v>1</v>
      </c>
      <c r="E2410" s="172">
        <f ca="1">IF(OFFSET('IWP15'!Std9BillingInfo11, 0, 2, 1, 1)=DATE(1900,1,0), DATE(1900,1,1), OFFSET('IWP15'!Std9BillingInfo11, 0, 2, 1, 1))</f>
        <v>1</v>
      </c>
      <c r="F2410" s="187">
        <f ca="1">OFFSET('IWP15'!Std9BillingInfo11, 0, 3, 1, 1)</f>
        <v>0</v>
      </c>
      <c r="G2410" s="187">
        <f ca="1">OFFSET('IWP15'!Std9BillingInfo11, 10, 6, 1, 1)</f>
        <v>0</v>
      </c>
      <c r="H2410" s="187">
        <f ca="1">OFFSET('IWP15'!Std9BillingInfo11, 11, 6, 1, 1)</f>
        <v>0</v>
      </c>
      <c r="I2410" s="187">
        <f ca="1">OFFSET('IWP15'!Std9BillingInfo11, 10, 8, 1, 1)</f>
        <v>0</v>
      </c>
      <c r="J2410" s="187">
        <f ca="1">OFFSET('IWP15'!Std9BillingInfo11, 10, 11, 1, 1)</f>
        <v>0</v>
      </c>
      <c r="K2410" s="187">
        <f ca="1">OFFSET('IWP15'!Std9BillingInfo11, 10, 12, 1, 1)</f>
        <v>0</v>
      </c>
      <c r="L2410" s="179">
        <f ca="1">OFFSET('IWP15'!Std9BillingInfo11, 12, 8, 1, 1)</f>
        <v>0</v>
      </c>
      <c r="M2410" s="129"/>
    </row>
    <row r="2411" spans="1:13" s="146" customFormat="1">
      <c r="A2411" s="183" t="s">
        <v>513</v>
      </c>
      <c r="B2411" s="196">
        <v>12</v>
      </c>
      <c r="C2411" s="195" t="str">
        <f ca="1">IF(OFFSET('IWP15'!Std9BillingInfo12, 0, 0, 1, 1) = 0, "", OFFSET('IWP15'!Std9BillingInfo12, 0, 0, 1, 1))</f>
        <v/>
      </c>
      <c r="D2411" s="172">
        <f ca="1">IF(OFFSET('IWP15'!Std9BillingInfo12, 0, 1, 1, 1)=DATE(1900,1,0), DATE(1900,1,1), OFFSET('IWP15'!Std9BillingInfo12, 0, 1, 1, 1))</f>
        <v>1</v>
      </c>
      <c r="E2411" s="172">
        <f ca="1">IF(OFFSET('IWP15'!Std9BillingInfo12, 0, 2, 1, 1)=DATE(1900,1,0), DATE(1900,1,1), OFFSET('IWP15'!Std9BillingInfo12, 0, 2, 1, 1))</f>
        <v>1</v>
      </c>
      <c r="F2411" s="187">
        <f ca="1">OFFSET('IWP15'!Std9BillingInfo12, 0, 3, 1, 1)</f>
        <v>0</v>
      </c>
      <c r="G2411" s="187">
        <f ca="1">OFFSET('IWP15'!Std9BillingInfo12, 10, 6, 1, 1)</f>
        <v>0</v>
      </c>
      <c r="H2411" s="187">
        <f ca="1">OFFSET('IWP15'!Std9BillingInfo12, 11, 6, 1, 1)</f>
        <v>0</v>
      </c>
      <c r="I2411" s="187">
        <f ca="1">OFFSET('IWP15'!Std9BillingInfo12, 10, 8, 1, 1)</f>
        <v>0</v>
      </c>
      <c r="J2411" s="187">
        <f ca="1">OFFSET('IWP15'!Std9BillingInfo12, 10, 11, 1, 1)</f>
        <v>0</v>
      </c>
      <c r="K2411" s="187">
        <f ca="1">OFFSET('IWP15'!Std9BillingInfo12, 10, 12, 1, 1)</f>
        <v>0</v>
      </c>
      <c r="L2411" s="179">
        <f ca="1">OFFSET('IWP15'!Std9BillingInfo12, 12, 8, 1, 1)</f>
        <v>0</v>
      </c>
      <c r="M2411" s="129"/>
    </row>
    <row r="2412" spans="1:13" s="146" customFormat="1">
      <c r="A2412" s="183" t="s">
        <v>513</v>
      </c>
      <c r="B2412" s="196">
        <v>13</v>
      </c>
      <c r="C2412" s="195" t="str">
        <f ca="1">IF(OFFSET('IWP15'!Std9BillingInfo13, 0, 0, 1, 1) = 0, "", OFFSET('IWP15'!Std9BillingInfo13, 0, 0, 1, 1))</f>
        <v/>
      </c>
      <c r="D2412" s="172">
        <f ca="1">IF(OFFSET('IWP15'!Std9BillingInfo13, 0, 1, 1, 1)=DATE(1900,1,0), DATE(1900,1,1), OFFSET('IWP15'!Std9BillingInfo13, 0, 1, 1, 1))</f>
        <v>1</v>
      </c>
      <c r="E2412" s="172">
        <f ca="1">IF(OFFSET('IWP15'!Std9BillingInfo13, 0, 2, 1, 1)=DATE(1900,1,0), DATE(1900,1,1), OFFSET('IWP15'!Std9BillingInfo13, 0, 2, 1, 1))</f>
        <v>1</v>
      </c>
      <c r="F2412" s="187">
        <f ca="1">OFFSET('IWP15'!Std9BillingInfo13, 0, 3, 1, 1)</f>
        <v>0</v>
      </c>
      <c r="G2412" s="187">
        <f ca="1">OFFSET('IWP15'!Std9BillingInfo13, 10, 6, 1, 1)</f>
        <v>0</v>
      </c>
      <c r="H2412" s="187">
        <f ca="1">OFFSET('IWP15'!Std9BillingInfo13, 11, 6, 1, 1)</f>
        <v>0</v>
      </c>
      <c r="I2412" s="187">
        <f ca="1">OFFSET('IWP15'!Std9BillingInfo13, 10, 8, 1, 1)</f>
        <v>0</v>
      </c>
      <c r="J2412" s="187">
        <f ca="1">OFFSET('IWP15'!Std9BillingInfo13, 10, 11, 1, 1)</f>
        <v>0</v>
      </c>
      <c r="K2412" s="187">
        <f ca="1">OFFSET('IWP15'!Std9BillingInfo13, 10, 12, 1, 1)</f>
        <v>0</v>
      </c>
      <c r="L2412" s="179">
        <f ca="1">OFFSET('IWP15'!Std9BillingInfo13, 12, 8, 1, 1)</f>
        <v>0</v>
      </c>
      <c r="M2412" s="129"/>
    </row>
    <row r="2413" spans="1:13" s="146" customFormat="1">
      <c r="A2413" s="183" t="s">
        <v>513</v>
      </c>
      <c r="B2413" s="196">
        <v>14</v>
      </c>
      <c r="C2413" s="195" t="str">
        <f ca="1">IF(OFFSET('IWP15'!Std9BillingInfo14, 0, 0, 1, 1) = 0, "", OFFSET('IWP15'!Std9BillingInfo14, 0, 0, 1, 1))</f>
        <v/>
      </c>
      <c r="D2413" s="172">
        <f ca="1">IF(OFFSET('IWP15'!Std9BillingInfo14, 0, 1, 1, 1)=DATE(1900,1,0), DATE(1900,1,1), OFFSET('IWP15'!Std9BillingInfo14, 0, 1, 1, 1))</f>
        <v>1</v>
      </c>
      <c r="E2413" s="172">
        <f ca="1">IF(OFFSET('IWP15'!Std9BillingInfo14, 0, 2, 1, 1)=DATE(1900,1,0), DATE(1900,1,1), OFFSET('IWP15'!Std9BillingInfo14, 0, 2, 1, 1))</f>
        <v>1</v>
      </c>
      <c r="F2413" s="187">
        <f ca="1">OFFSET('IWP15'!Std9BillingInfo14, 0, 3, 1, 1)</f>
        <v>0</v>
      </c>
      <c r="G2413" s="187">
        <f ca="1">OFFSET('IWP15'!Std9BillingInfo14, 10, 6, 1, 1)</f>
        <v>0</v>
      </c>
      <c r="H2413" s="187">
        <f ca="1">OFFSET('IWP15'!Std9BillingInfo14, 11, 6, 1, 1)</f>
        <v>0</v>
      </c>
      <c r="I2413" s="187">
        <f ca="1">OFFSET('IWP15'!Std9BillingInfo14, 10, 8, 1, 1)</f>
        <v>0</v>
      </c>
      <c r="J2413" s="187">
        <f ca="1">OFFSET('IWP15'!Std9BillingInfo14, 10, 11, 1, 1)</f>
        <v>0</v>
      </c>
      <c r="K2413" s="187">
        <f ca="1">OFFSET('IWP15'!Std9BillingInfo14, 10, 12, 1, 1)</f>
        <v>0</v>
      </c>
      <c r="L2413" s="179">
        <f ca="1">OFFSET('IWP15'!Std9BillingInfo14, 12, 8, 1, 1)</f>
        <v>0</v>
      </c>
      <c r="M2413" s="129"/>
    </row>
    <row r="2414" spans="1:13" s="146" customFormat="1">
      <c r="A2414" s="183" t="s">
        <v>513</v>
      </c>
      <c r="B2414" s="196">
        <v>15</v>
      </c>
      <c r="C2414" s="195" t="str">
        <f ca="1">IF(OFFSET('IWP15'!Std9BillingInfo15, 0, 0, 1, 1) = 0, "", OFFSET('IWP15'!Std9BillingInfo15, 0, 0, 1, 1))</f>
        <v/>
      </c>
      <c r="D2414" s="172">
        <f ca="1">IF(OFFSET('IWP15'!Std9BillingInfo15, 0, 1, 1, 1)=DATE(1900,1,0), DATE(1900,1,1), OFFSET('IWP15'!Std9BillingInfo15, 0, 1, 1, 1))</f>
        <v>1</v>
      </c>
      <c r="E2414" s="172">
        <f ca="1">IF(OFFSET('IWP15'!Std9BillingInfo15, 0, 2, 1, 1)=DATE(1900,1,0), DATE(1900,1,1), OFFSET('IWP15'!Std9BillingInfo15, 0, 2, 1, 1))</f>
        <v>1</v>
      </c>
      <c r="F2414" s="187">
        <f ca="1">OFFSET('IWP15'!Std9BillingInfo15, 0, 3, 1, 1)</f>
        <v>0</v>
      </c>
      <c r="G2414" s="187">
        <f ca="1">OFFSET('IWP15'!Std9BillingInfo15, 10, 6, 1, 1)</f>
        <v>0</v>
      </c>
      <c r="H2414" s="187">
        <f ca="1">OFFSET('IWP15'!Std9BillingInfo15, 11, 6, 1, 1)</f>
        <v>0</v>
      </c>
      <c r="I2414" s="187">
        <f ca="1">OFFSET('IWP15'!Std9BillingInfo15, 10, 8, 1, 1)</f>
        <v>0</v>
      </c>
      <c r="J2414" s="187">
        <f ca="1">OFFSET('IWP15'!Std9BillingInfo15, 10, 11, 1, 1)</f>
        <v>0</v>
      </c>
      <c r="K2414" s="187">
        <f ca="1">OFFSET('IWP15'!Std9BillingInfo15, 10, 12, 1, 1)</f>
        <v>0</v>
      </c>
      <c r="L2414" s="179">
        <f ca="1">OFFSET('IWP15'!Std9BillingInfo15, 12, 8, 1, 1)</f>
        <v>0</v>
      </c>
      <c r="M2414" s="129"/>
    </row>
    <row r="2415" spans="1:13" s="146" customFormat="1">
      <c r="A2415" s="183" t="s">
        <v>513</v>
      </c>
      <c r="B2415" s="196">
        <v>16</v>
      </c>
      <c r="C2415" s="195" t="str">
        <f ca="1">IF(OFFSET('IWP15'!Std9BillingInfo16, 0, 0, 1, 1) = 0, "", OFFSET('IWP15'!Std9BillingInfo16, 0, 0, 1, 1))</f>
        <v/>
      </c>
      <c r="D2415" s="172">
        <f ca="1">IF(OFFSET('IWP15'!Std9BillingInfo16, 0, 1, 1, 1)=DATE(1900,1,0), DATE(1900,1,1), OFFSET('IWP15'!Std9BillingInfo16, 0, 1, 1, 1))</f>
        <v>1</v>
      </c>
      <c r="E2415" s="172">
        <f ca="1">IF(OFFSET('IWP15'!Std9BillingInfo16, 0, 2, 1, 1)=DATE(1900,1,0), DATE(1900,1,1), OFFSET('IWP15'!Std9BillingInfo16, 0, 2, 1, 1))</f>
        <v>1</v>
      </c>
      <c r="F2415" s="187">
        <f ca="1">OFFSET('IWP15'!Std9BillingInfo16, 0, 3, 1, 1)</f>
        <v>0</v>
      </c>
      <c r="G2415" s="187">
        <f ca="1">OFFSET('IWP15'!Std9BillingInfo16, 10, 6, 1, 1)</f>
        <v>0</v>
      </c>
      <c r="H2415" s="187">
        <f ca="1">OFFSET('IWP15'!Std9BillingInfo16, 11, 6, 1, 1)</f>
        <v>0</v>
      </c>
      <c r="I2415" s="187">
        <f ca="1">OFFSET('IWP15'!Std9BillingInfo16, 10, 8, 1, 1)</f>
        <v>0</v>
      </c>
      <c r="J2415" s="187">
        <f ca="1">OFFSET('IWP15'!Std9BillingInfo16, 10, 11, 1, 1)</f>
        <v>0</v>
      </c>
      <c r="K2415" s="187">
        <f ca="1">OFFSET('IWP15'!Std9BillingInfo16, 10, 12, 1, 1)</f>
        <v>0</v>
      </c>
      <c r="L2415" s="179">
        <f ca="1">OFFSET('IWP15'!Std9BillingInfo16, 12, 8, 1, 1)</f>
        <v>0</v>
      </c>
      <c r="M2415" s="129"/>
    </row>
    <row r="2416" spans="1:13" s="146" customFormat="1">
      <c r="A2416" s="183" t="s">
        <v>513</v>
      </c>
      <c r="B2416" s="196">
        <v>17</v>
      </c>
      <c r="C2416" s="195" t="str">
        <f ca="1">IF(OFFSET('IWP15'!Std9BillingInfo17, 0, 0, 1, 1) = 0, "", OFFSET('IWP15'!Std9BillingInfo17, 0, 0, 1, 1))</f>
        <v/>
      </c>
      <c r="D2416" s="172">
        <f ca="1">IF(OFFSET('IWP15'!Std9BillingInfo17, 0, 1, 1, 1)=DATE(1900,1,0), DATE(1900,1,1), OFFSET('IWP15'!Std9BillingInfo17, 0, 1, 1, 1))</f>
        <v>1</v>
      </c>
      <c r="E2416" s="172">
        <f ca="1">IF(OFFSET('IWP15'!Std9BillingInfo17, 0, 2, 1, 1)=DATE(1900,1,0), DATE(1900,1,1), OFFSET('IWP15'!Std9BillingInfo17, 0, 2, 1, 1))</f>
        <v>1</v>
      </c>
      <c r="F2416" s="187">
        <f ca="1">OFFSET('IWP15'!Std9BillingInfo17, 0, 3, 1, 1)</f>
        <v>0</v>
      </c>
      <c r="G2416" s="187">
        <f ca="1">OFFSET('IWP15'!Std9BillingInfo17, 10, 6, 1, 1)</f>
        <v>0</v>
      </c>
      <c r="H2416" s="187">
        <f ca="1">OFFSET('IWP15'!Std9BillingInfo17, 11, 6, 1, 1)</f>
        <v>0</v>
      </c>
      <c r="I2416" s="187">
        <f ca="1">OFFSET('IWP15'!Std9BillingInfo17, 10, 8, 1, 1)</f>
        <v>0</v>
      </c>
      <c r="J2416" s="187">
        <f ca="1">OFFSET('IWP15'!Std9BillingInfo17, 10, 11, 1, 1)</f>
        <v>0</v>
      </c>
      <c r="K2416" s="187">
        <f ca="1">OFFSET('IWP15'!Std9BillingInfo17, 10, 12, 1, 1)</f>
        <v>0</v>
      </c>
      <c r="L2416" s="179">
        <f ca="1">OFFSET('IWP15'!Std9BillingInfo17, 12, 8, 1, 1)</f>
        <v>0</v>
      </c>
      <c r="M2416" s="129"/>
    </row>
    <row r="2417" spans="1:13" s="146" customFormat="1">
      <c r="A2417" s="183" t="s">
        <v>513</v>
      </c>
      <c r="B2417" s="196">
        <v>18</v>
      </c>
      <c r="C2417" s="195" t="str">
        <f ca="1">IF(OFFSET('IWP15'!Std9BillingInfo18, 0, 0, 1, 1) = 0, "", OFFSET('IWP15'!Std9BillingInfo18, 0, 0, 1, 1))</f>
        <v/>
      </c>
      <c r="D2417" s="172">
        <f ca="1">IF(OFFSET('IWP15'!Std9BillingInfo18, 0, 1, 1, 1)=DATE(1900,1,0), DATE(1900,1,1), OFFSET('IWP15'!Std9BillingInfo18, 0, 1, 1, 1))</f>
        <v>1</v>
      </c>
      <c r="E2417" s="172">
        <f ca="1">IF(OFFSET('IWP15'!Std9BillingInfo18, 0, 2, 1, 1)=DATE(1900,1,0), DATE(1900,1,1), OFFSET('IWP15'!Std9BillingInfo18, 0, 2, 1, 1))</f>
        <v>1</v>
      </c>
      <c r="F2417" s="187">
        <f ca="1">OFFSET('IWP15'!Std9BillingInfo18, 0, 3, 1, 1)</f>
        <v>0</v>
      </c>
      <c r="G2417" s="187">
        <f ca="1">OFFSET('IWP15'!Std9BillingInfo18, 10, 6, 1, 1)</f>
        <v>0</v>
      </c>
      <c r="H2417" s="187">
        <f ca="1">OFFSET('IWP15'!Std9BillingInfo18, 11, 6, 1, 1)</f>
        <v>0</v>
      </c>
      <c r="I2417" s="187">
        <f ca="1">OFFSET('IWP15'!Std9BillingInfo18, 10, 8, 1, 1)</f>
        <v>0</v>
      </c>
      <c r="J2417" s="187">
        <f ca="1">OFFSET('IWP15'!Std9BillingInfo18, 10, 11, 1, 1)</f>
        <v>0</v>
      </c>
      <c r="K2417" s="187">
        <f ca="1">OFFSET('IWP15'!Std9BillingInfo18, 10, 12, 1, 1)</f>
        <v>0</v>
      </c>
      <c r="L2417" s="179">
        <f ca="1">OFFSET('IWP15'!Std9BillingInfo18, 12, 8, 1, 1)</f>
        <v>0</v>
      </c>
      <c r="M2417" s="129"/>
    </row>
    <row r="2418" spans="1:13" s="146" customFormat="1">
      <c r="A2418" s="183" t="s">
        <v>514</v>
      </c>
      <c r="B2418" s="196">
        <v>1</v>
      </c>
      <c r="C2418" s="195" t="str">
        <f ca="1">IF(OFFSET('IWP16'!Std9BillingInfo01, 0, 0, 1, 1) = 0, "", OFFSET('IWP16'!Std9BillingInfo01, 0, 0, 1, 1))</f>
        <v/>
      </c>
      <c r="D2418" s="172">
        <f ca="1">IF(OFFSET('IWP16'!Std9BillingInfo01, 0, 1, 1, 1)=DATE(1900,1,0), DATE(1900,1,1), OFFSET('IWP16'!Std9BillingInfo01, 0, 1, 1, 1))</f>
        <v>1</v>
      </c>
      <c r="E2418" s="172">
        <f ca="1">IF(OFFSET('IWP16'!Std9BillingInfo01, 0, 2, 1, 1)=DATE(1900,1,0), DATE(1900,1,1), OFFSET('IWP16'!Std9BillingInfo01, 0, 2, 1, 1))</f>
        <v>1</v>
      </c>
      <c r="F2418" s="187">
        <f ca="1">OFFSET('IWP16'!Std9BillingInfo01, 0, 3, 1, 1)</f>
        <v>0</v>
      </c>
      <c r="G2418" s="187">
        <f ca="1">OFFSET('IWP16'!Std9BillingInfo01, 10, 6, 1, 1)</f>
        <v>0</v>
      </c>
      <c r="H2418" s="187">
        <f ca="1">OFFSET('IWP16'!Std9BillingInfo01, 11, 6, 1, 1)</f>
        <v>0</v>
      </c>
      <c r="I2418" s="187">
        <f ca="1">OFFSET('IWP16'!Std9BillingInfo01, 10, 8, 1, 1)</f>
        <v>0</v>
      </c>
      <c r="J2418" s="187">
        <f ca="1">OFFSET('IWP16'!Std9BillingInfo01, 10, 11, 1, 1)</f>
        <v>0</v>
      </c>
      <c r="K2418" s="187">
        <f ca="1">OFFSET('IWP16'!Std9BillingInfo01, 10, 12, 1, 1)</f>
        <v>0</v>
      </c>
      <c r="L2418" s="179">
        <f ca="1">OFFSET('IWP16'!Std9BillingInfo01, 12, 8, 1, 1)</f>
        <v>0</v>
      </c>
      <c r="M2418" s="129"/>
    </row>
    <row r="2419" spans="1:13" s="146" customFormat="1">
      <c r="A2419" s="183" t="s">
        <v>514</v>
      </c>
      <c r="B2419" s="196">
        <v>2</v>
      </c>
      <c r="C2419" s="195" t="str">
        <f ca="1">IF(OFFSET('IWP16'!Std9BillingInfo02, 0, 0, 1, 1) = 0, "", OFFSET('IWP16'!Std9BillingInfo02, 0, 0, 1, 1))</f>
        <v/>
      </c>
      <c r="D2419" s="172">
        <f ca="1">IF(OFFSET('IWP16'!Std9BillingInfo02, 0, 1, 1, 1)=DATE(1900,1,0), DATE(1900,1,1), OFFSET('IWP16'!Std9BillingInfo02, 0, 1, 1, 1))</f>
        <v>1</v>
      </c>
      <c r="E2419" s="172">
        <f ca="1">IF(OFFSET('IWP16'!Std9BillingInfo02, 0, 2, 1, 1)=DATE(1900,1,0), DATE(1900,1,1), OFFSET('IWP16'!Std9BillingInfo02, 0, 2, 1, 1))</f>
        <v>1</v>
      </c>
      <c r="F2419" s="187">
        <f ca="1">OFFSET('IWP16'!Std9BillingInfo02, 0, 3, 1, 1)</f>
        <v>0</v>
      </c>
      <c r="G2419" s="187">
        <f ca="1">OFFSET('IWP16'!Std9BillingInfo02, 10, 6, 1, 1)</f>
        <v>0</v>
      </c>
      <c r="H2419" s="187">
        <f ca="1">OFFSET('IWP16'!Std9BillingInfo02, 11, 6, 1, 1)</f>
        <v>0</v>
      </c>
      <c r="I2419" s="187">
        <f ca="1">OFFSET('IWP16'!Std9BillingInfo02, 10, 8, 1, 1)</f>
        <v>0</v>
      </c>
      <c r="J2419" s="187">
        <f ca="1">OFFSET('IWP16'!Std9BillingInfo02, 10, 11, 1, 1)</f>
        <v>0</v>
      </c>
      <c r="K2419" s="187">
        <f ca="1">OFFSET('IWP16'!Std9BillingInfo02, 10, 12, 1, 1)</f>
        <v>0</v>
      </c>
      <c r="L2419" s="179">
        <f ca="1">OFFSET('IWP16'!Std9BillingInfo02, 12, 8, 1, 1)</f>
        <v>0</v>
      </c>
      <c r="M2419" s="129"/>
    </row>
    <row r="2420" spans="1:13" s="146" customFormat="1">
      <c r="A2420" s="183" t="s">
        <v>514</v>
      </c>
      <c r="B2420" s="196">
        <v>3</v>
      </c>
      <c r="C2420" s="195" t="str">
        <f ca="1">IF(OFFSET('IWP16'!Std9BillingInfo03, 0, 0, 1, 1) = 0, "", OFFSET('IWP16'!Std9BillingInfo03, 0, 0, 1, 1))</f>
        <v/>
      </c>
      <c r="D2420" s="172">
        <f ca="1">IF(OFFSET('IWP16'!Std9BillingInfo03, 0, 1, 1, 1)=DATE(1900,1,0), DATE(1900,1,1), OFFSET('IWP16'!Std9BillingInfo03, 0, 1, 1, 1))</f>
        <v>1</v>
      </c>
      <c r="E2420" s="172">
        <f ca="1">IF(OFFSET('IWP16'!Std9BillingInfo03, 0, 2, 1, 1)=DATE(1900,1,0), DATE(1900,1,1), OFFSET('IWP16'!Std9BillingInfo03, 0, 2, 1, 1))</f>
        <v>1</v>
      </c>
      <c r="F2420" s="187">
        <f ca="1">OFFSET('IWP16'!Std9BillingInfo03, 0, 3, 1, 1)</f>
        <v>0</v>
      </c>
      <c r="G2420" s="187">
        <f ca="1">OFFSET('IWP16'!Std9BillingInfo03, 10, 6, 1, 1)</f>
        <v>0</v>
      </c>
      <c r="H2420" s="187">
        <f ca="1">OFFSET('IWP16'!Std9BillingInfo03, 11, 6, 1, 1)</f>
        <v>0</v>
      </c>
      <c r="I2420" s="187">
        <f ca="1">OFFSET('IWP16'!Std9BillingInfo03, 10, 8, 1, 1)</f>
        <v>0</v>
      </c>
      <c r="J2420" s="187">
        <f ca="1">OFFSET('IWP16'!Std9BillingInfo03, 10, 11, 1, 1)</f>
        <v>0</v>
      </c>
      <c r="K2420" s="187">
        <f ca="1">OFFSET('IWP16'!Std9BillingInfo03, 10, 12, 1, 1)</f>
        <v>0</v>
      </c>
      <c r="L2420" s="179">
        <f ca="1">OFFSET('IWP16'!Std9BillingInfo03, 12, 8, 1, 1)</f>
        <v>0</v>
      </c>
      <c r="M2420" s="129"/>
    </row>
    <row r="2421" spans="1:13" s="146" customFormat="1">
      <c r="A2421" s="183" t="s">
        <v>514</v>
      </c>
      <c r="B2421" s="196">
        <v>4</v>
      </c>
      <c r="C2421" s="195" t="str">
        <f ca="1">IF(OFFSET('IWP16'!Std9BillingInfo04, 0, 0, 1, 1) = 0, "", OFFSET('IWP16'!Std9BillingInfo04, 0, 0, 1, 1))</f>
        <v/>
      </c>
      <c r="D2421" s="172">
        <f ca="1">IF(OFFSET('IWP16'!Std9BillingInfo04, 0, 1, 1, 1)=DATE(1900,1,0), DATE(1900,1,1), OFFSET('IWP16'!Std9BillingInfo04, 0, 1, 1, 1))</f>
        <v>1</v>
      </c>
      <c r="E2421" s="172">
        <f ca="1">IF(OFFSET('IWP16'!Std9BillingInfo04, 0, 2, 1, 1)=DATE(1900,1,0), DATE(1900,1,1), OFFSET('IWP16'!Std9BillingInfo04, 0, 2, 1, 1))</f>
        <v>1</v>
      </c>
      <c r="F2421" s="187">
        <f ca="1">OFFSET('IWP16'!Std9BillingInfo04, 0, 3, 1, 1)</f>
        <v>0</v>
      </c>
      <c r="G2421" s="187">
        <f ca="1">OFFSET('IWP16'!Std9BillingInfo04, 10, 6, 1, 1)</f>
        <v>0</v>
      </c>
      <c r="H2421" s="187">
        <f ca="1">OFFSET('IWP16'!Std9BillingInfo04, 11, 6, 1, 1)</f>
        <v>0</v>
      </c>
      <c r="I2421" s="187">
        <f ca="1">OFFSET('IWP16'!Std9BillingInfo04, 10, 8, 1, 1)</f>
        <v>0</v>
      </c>
      <c r="J2421" s="187">
        <f ca="1">OFFSET('IWP16'!Std9BillingInfo04, 10, 11, 1, 1)</f>
        <v>0</v>
      </c>
      <c r="K2421" s="187">
        <f ca="1">OFFSET('IWP16'!Std9BillingInfo04, 10, 12, 1, 1)</f>
        <v>0</v>
      </c>
      <c r="L2421" s="179">
        <f ca="1">OFFSET('IWP16'!Std9BillingInfo04, 12, 8, 1, 1)</f>
        <v>0</v>
      </c>
      <c r="M2421" s="129"/>
    </row>
    <row r="2422" spans="1:13" s="146" customFormat="1">
      <c r="A2422" s="183" t="s">
        <v>514</v>
      </c>
      <c r="B2422" s="196">
        <v>5</v>
      </c>
      <c r="C2422" s="195" t="str">
        <f ca="1">IF(OFFSET('IWP16'!Std9BillingInfo05, 0, 0, 1, 1) = 0, "", OFFSET('IWP16'!Std9BillingInfo05, 0, 0, 1, 1))</f>
        <v/>
      </c>
      <c r="D2422" s="172">
        <f ca="1">IF(OFFSET('IWP16'!Std9BillingInfo05, 0, 1, 1, 1)=DATE(1900,1,0), DATE(1900,1,1), OFFSET('IWP16'!Std9BillingInfo05, 0, 1, 1, 1))</f>
        <v>1</v>
      </c>
      <c r="E2422" s="172">
        <f ca="1">IF(OFFSET('IWP16'!Std9BillingInfo05, 0, 2, 1, 1)=DATE(1900,1,0), DATE(1900,1,1), OFFSET('IWP16'!Std9BillingInfo05, 0, 2, 1, 1))</f>
        <v>1</v>
      </c>
      <c r="F2422" s="187">
        <f ca="1">OFFSET('IWP16'!Std9BillingInfo05, 0, 3, 1, 1)</f>
        <v>0</v>
      </c>
      <c r="G2422" s="187">
        <f ca="1">OFFSET('IWP16'!Std9BillingInfo05, 10, 6, 1, 1)</f>
        <v>0</v>
      </c>
      <c r="H2422" s="187">
        <f ca="1">OFFSET('IWP16'!Std9BillingInfo05, 11, 6, 1, 1)</f>
        <v>0</v>
      </c>
      <c r="I2422" s="187">
        <f ca="1">OFFSET('IWP16'!Std9BillingInfo05, 10, 8, 1, 1)</f>
        <v>0</v>
      </c>
      <c r="J2422" s="187">
        <f ca="1">OFFSET('IWP16'!Std9BillingInfo05, 10, 11, 1, 1)</f>
        <v>0</v>
      </c>
      <c r="K2422" s="187">
        <f ca="1">OFFSET('IWP16'!Std9BillingInfo05, 10, 12, 1, 1)</f>
        <v>0</v>
      </c>
      <c r="L2422" s="179">
        <f ca="1">OFFSET('IWP16'!Std9BillingInfo05, 12, 8, 1, 1)</f>
        <v>0</v>
      </c>
      <c r="M2422" s="129"/>
    </row>
    <row r="2423" spans="1:13" s="146" customFormat="1">
      <c r="A2423" s="183" t="s">
        <v>514</v>
      </c>
      <c r="B2423" s="196">
        <v>6</v>
      </c>
      <c r="C2423" s="195" t="str">
        <f ca="1">IF(OFFSET('IWP16'!Std9BillingInfo06, 0, 0, 1, 1) = 0, "", OFFSET('IWP16'!Std9BillingInfo06, 0, 0, 1, 1))</f>
        <v/>
      </c>
      <c r="D2423" s="172">
        <f ca="1">IF(OFFSET('IWP16'!Std9BillingInfo06, 0, 1, 1, 1)=DATE(1900,1,0), DATE(1900,1,1), OFFSET('IWP16'!Std9BillingInfo06, 0, 1, 1, 1))</f>
        <v>1</v>
      </c>
      <c r="E2423" s="172">
        <f ca="1">IF(OFFSET('IWP16'!Std9BillingInfo06, 0, 2, 1, 1)=DATE(1900,1,0), DATE(1900,1,1), OFFSET('IWP16'!Std9BillingInfo06, 0, 2, 1, 1))</f>
        <v>1</v>
      </c>
      <c r="F2423" s="187">
        <f ca="1">OFFSET('IWP16'!Std9BillingInfo06, 0, 3, 1, 1)</f>
        <v>0</v>
      </c>
      <c r="G2423" s="187">
        <f ca="1">OFFSET('IWP16'!Std9BillingInfo06, 10, 6, 1, 1)</f>
        <v>0</v>
      </c>
      <c r="H2423" s="187">
        <f ca="1">OFFSET('IWP16'!Std9BillingInfo06, 11, 6, 1, 1)</f>
        <v>0</v>
      </c>
      <c r="I2423" s="187">
        <f ca="1">OFFSET('IWP16'!Std9BillingInfo06, 10, 8, 1, 1)</f>
        <v>0</v>
      </c>
      <c r="J2423" s="187">
        <f ca="1">OFFSET('IWP16'!Std9BillingInfo06, 10, 11, 1, 1)</f>
        <v>0</v>
      </c>
      <c r="K2423" s="187">
        <f ca="1">OFFSET('IWP16'!Std9BillingInfo06, 10, 12, 1, 1)</f>
        <v>0</v>
      </c>
      <c r="L2423" s="179">
        <f ca="1">OFFSET('IWP16'!Std9BillingInfo06, 12, 8, 1, 1)</f>
        <v>0</v>
      </c>
      <c r="M2423" s="129"/>
    </row>
    <row r="2424" spans="1:13" s="146" customFormat="1">
      <c r="A2424" s="183" t="s">
        <v>514</v>
      </c>
      <c r="B2424" s="196">
        <v>7</v>
      </c>
      <c r="C2424" s="195" t="str">
        <f ca="1">IF(OFFSET('IWP16'!Std9BillingInfo07, 0, 0, 1, 1) = 0, "", OFFSET('IWP16'!Std9BillingInfo07, 0, 0, 1, 1))</f>
        <v/>
      </c>
      <c r="D2424" s="172">
        <f ca="1">IF(OFFSET('IWP16'!Std9BillingInfo07, 0, 1, 1, 1)=DATE(1900,1,0), DATE(1900,1,1), OFFSET('IWP16'!Std9BillingInfo07, 0, 1, 1, 1))</f>
        <v>1</v>
      </c>
      <c r="E2424" s="172">
        <f ca="1">IF(OFFSET('IWP16'!Std9BillingInfo07, 0, 2, 1, 1)=DATE(1900,1,0), DATE(1900,1,1), OFFSET('IWP16'!Std9BillingInfo07, 0, 2, 1, 1))</f>
        <v>1</v>
      </c>
      <c r="F2424" s="187">
        <f ca="1">OFFSET('IWP16'!Std9BillingInfo07, 0, 3, 1, 1)</f>
        <v>0</v>
      </c>
      <c r="G2424" s="187">
        <f ca="1">OFFSET('IWP16'!Std9BillingInfo07, 10, 6, 1, 1)</f>
        <v>0</v>
      </c>
      <c r="H2424" s="187">
        <f ca="1">OFFSET('IWP16'!Std9BillingInfo07, 11, 6, 1, 1)</f>
        <v>0</v>
      </c>
      <c r="I2424" s="187">
        <f ca="1">OFFSET('IWP16'!Std9BillingInfo07, 10, 8, 1, 1)</f>
        <v>0</v>
      </c>
      <c r="J2424" s="187">
        <f ca="1">OFFSET('IWP16'!Std9BillingInfo07, 10, 11, 1, 1)</f>
        <v>0</v>
      </c>
      <c r="K2424" s="187">
        <f ca="1">OFFSET('IWP16'!Std9BillingInfo07, 10, 12, 1, 1)</f>
        <v>0</v>
      </c>
      <c r="L2424" s="179">
        <f ca="1">OFFSET('IWP16'!Std9BillingInfo07, 12, 8, 1, 1)</f>
        <v>0</v>
      </c>
      <c r="M2424" s="129"/>
    </row>
    <row r="2425" spans="1:13" s="146" customFormat="1">
      <c r="A2425" s="183" t="s">
        <v>514</v>
      </c>
      <c r="B2425" s="196">
        <v>8</v>
      </c>
      <c r="C2425" s="195" t="str">
        <f ca="1">IF(OFFSET('IWP16'!Std9BillingInfo08, 0, 0, 1, 1) = 0, "", OFFSET('IWP16'!Std9BillingInfo08, 0, 0, 1, 1))</f>
        <v/>
      </c>
      <c r="D2425" s="172">
        <f ca="1">IF(OFFSET('IWP16'!Std9BillingInfo08, 0, 1, 1, 1)=DATE(1900,1,0), DATE(1900,1,1), OFFSET('IWP16'!Std9BillingInfo08, 0, 1, 1, 1))</f>
        <v>1</v>
      </c>
      <c r="E2425" s="172">
        <f ca="1">IF(OFFSET('IWP16'!Std9BillingInfo08, 0, 2, 1, 1)=DATE(1900,1,0), DATE(1900,1,1), OFFSET('IWP16'!Std9BillingInfo08, 0, 2, 1, 1))</f>
        <v>1</v>
      </c>
      <c r="F2425" s="187">
        <f ca="1">OFFSET('IWP16'!Std9BillingInfo08, 0, 3, 1, 1)</f>
        <v>0</v>
      </c>
      <c r="G2425" s="187">
        <f ca="1">OFFSET('IWP16'!Std9BillingInfo08, 10, 6, 1, 1)</f>
        <v>0</v>
      </c>
      <c r="H2425" s="187">
        <f ca="1">OFFSET('IWP16'!Std9BillingInfo08, 11, 6, 1, 1)</f>
        <v>0</v>
      </c>
      <c r="I2425" s="187">
        <f ca="1">OFFSET('IWP16'!Std9BillingInfo08, 10, 8, 1, 1)</f>
        <v>0</v>
      </c>
      <c r="J2425" s="187">
        <f ca="1">OFFSET('IWP16'!Std9BillingInfo08, 10, 11, 1, 1)</f>
        <v>0</v>
      </c>
      <c r="K2425" s="187">
        <f ca="1">OFFSET('IWP16'!Std9BillingInfo08, 10, 12, 1, 1)</f>
        <v>0</v>
      </c>
      <c r="L2425" s="179">
        <f ca="1">OFFSET('IWP16'!Std9BillingInfo08, 12, 8, 1, 1)</f>
        <v>0</v>
      </c>
      <c r="M2425" s="129"/>
    </row>
    <row r="2426" spans="1:13" s="146" customFormat="1">
      <c r="A2426" s="183" t="s">
        <v>514</v>
      </c>
      <c r="B2426" s="196">
        <v>9</v>
      </c>
      <c r="C2426" s="195" t="str">
        <f ca="1">IF(OFFSET('IWP16'!Std9BillingInfo09, 0, 0, 1, 1) = 0, "", OFFSET('IWP16'!Std9BillingInfo09, 0, 0, 1, 1))</f>
        <v/>
      </c>
      <c r="D2426" s="172">
        <f ca="1">IF(OFFSET('IWP16'!Std9BillingInfo09, 0, 1, 1, 1)=DATE(1900,1,0), DATE(1900,1,1), OFFSET('IWP16'!Std9BillingInfo09, 0, 1, 1, 1))</f>
        <v>1</v>
      </c>
      <c r="E2426" s="172">
        <f ca="1">IF(OFFSET('IWP16'!Std9BillingInfo09, 0, 2, 1, 1)=DATE(1900,1,0), DATE(1900,1,1), OFFSET('IWP16'!Std9BillingInfo09, 0, 2, 1, 1))</f>
        <v>1</v>
      </c>
      <c r="F2426" s="187">
        <f ca="1">OFFSET('IWP16'!Std9BillingInfo09, 0, 3, 1, 1)</f>
        <v>0</v>
      </c>
      <c r="G2426" s="187">
        <f ca="1">OFFSET('IWP16'!Std9BillingInfo09, 10, 6, 1, 1)</f>
        <v>0</v>
      </c>
      <c r="H2426" s="187">
        <f ca="1">OFFSET('IWP16'!Std9BillingInfo09, 11, 6, 1, 1)</f>
        <v>0</v>
      </c>
      <c r="I2426" s="187">
        <f ca="1">OFFSET('IWP16'!Std9BillingInfo09, 10, 8, 1, 1)</f>
        <v>0</v>
      </c>
      <c r="J2426" s="187">
        <f ca="1">OFFSET('IWP16'!Std9BillingInfo09, 10, 11, 1, 1)</f>
        <v>0</v>
      </c>
      <c r="K2426" s="187">
        <f ca="1">OFFSET('IWP16'!Std9BillingInfo09, 10, 12, 1, 1)</f>
        <v>0</v>
      </c>
      <c r="L2426" s="179">
        <f ca="1">OFFSET('IWP16'!Std9BillingInfo09, 12, 8, 1, 1)</f>
        <v>0</v>
      </c>
      <c r="M2426" s="129"/>
    </row>
    <row r="2427" spans="1:13" s="146" customFormat="1">
      <c r="A2427" s="183" t="s">
        <v>514</v>
      </c>
      <c r="B2427" s="196">
        <v>10</v>
      </c>
      <c r="C2427" s="195" t="str">
        <f ca="1">IF(OFFSET('IWP16'!Std9BillingInfo10, 0, 0, 1, 1) = 0, "", OFFSET('IWP16'!Std9BillingInfo10, 0, 0, 1, 1))</f>
        <v/>
      </c>
      <c r="D2427" s="172">
        <f ca="1">IF(OFFSET('IWP16'!Std9BillingInfo10, 0, 1, 1, 1)=DATE(1900,1,0), DATE(1900,1,1), OFFSET('IWP16'!Std9BillingInfo10, 0, 1, 1, 1))</f>
        <v>1</v>
      </c>
      <c r="E2427" s="172">
        <f ca="1">IF(OFFSET('IWP16'!Std9BillingInfo10, 0, 2, 1, 1)=DATE(1900,1,0), DATE(1900,1,1), OFFSET('IWP16'!Std9BillingInfo10, 0, 2, 1, 1))</f>
        <v>1</v>
      </c>
      <c r="F2427" s="187">
        <f ca="1">OFFSET('IWP16'!Std9BillingInfo10, 0, 3, 1, 1)</f>
        <v>0</v>
      </c>
      <c r="G2427" s="187">
        <f ca="1">OFFSET('IWP16'!Std9BillingInfo10, 10, 6, 1, 1)</f>
        <v>0</v>
      </c>
      <c r="H2427" s="187">
        <f ca="1">OFFSET('IWP16'!Std9BillingInfo10, 11, 6, 1, 1)</f>
        <v>0</v>
      </c>
      <c r="I2427" s="187">
        <f ca="1">OFFSET('IWP16'!Std9BillingInfo10, 10, 8, 1, 1)</f>
        <v>0</v>
      </c>
      <c r="J2427" s="187">
        <f ca="1">OFFSET('IWP16'!Std9BillingInfo10, 10, 11, 1, 1)</f>
        <v>0</v>
      </c>
      <c r="K2427" s="187">
        <f ca="1">OFFSET('IWP16'!Std9BillingInfo10, 10, 12, 1, 1)</f>
        <v>0</v>
      </c>
      <c r="L2427" s="179">
        <f ca="1">OFFSET('IWP16'!Std9BillingInfo10, 12, 8, 1, 1)</f>
        <v>0</v>
      </c>
      <c r="M2427" s="129"/>
    </row>
    <row r="2428" spans="1:13" s="146" customFormat="1">
      <c r="A2428" s="183" t="s">
        <v>514</v>
      </c>
      <c r="B2428" s="196">
        <v>11</v>
      </c>
      <c r="C2428" s="195" t="str">
        <f ca="1">IF(OFFSET('IWP16'!Std9BillingInfo11, 0, 0, 1, 1) = 0, "", OFFSET('IWP16'!Std9BillingInfo11, 0, 0, 1, 1))</f>
        <v/>
      </c>
      <c r="D2428" s="172">
        <f ca="1">IF(OFFSET('IWP16'!Std9BillingInfo11, 0, 1, 1, 1)=DATE(1900,1,0), DATE(1900,1,1), OFFSET('IWP16'!Std9BillingInfo11, 0, 1, 1, 1))</f>
        <v>1</v>
      </c>
      <c r="E2428" s="172">
        <f ca="1">IF(OFFSET('IWP16'!Std9BillingInfo11, 0, 2, 1, 1)=DATE(1900,1,0), DATE(1900,1,1), OFFSET('IWP16'!Std9BillingInfo11, 0, 2, 1, 1))</f>
        <v>1</v>
      </c>
      <c r="F2428" s="187">
        <f ca="1">OFFSET('IWP16'!Std9BillingInfo11, 0, 3, 1, 1)</f>
        <v>0</v>
      </c>
      <c r="G2428" s="187">
        <f ca="1">OFFSET('IWP16'!Std9BillingInfo11, 10, 6, 1, 1)</f>
        <v>0</v>
      </c>
      <c r="H2428" s="187">
        <f ca="1">OFFSET('IWP16'!Std9BillingInfo11, 11, 6, 1, 1)</f>
        <v>0</v>
      </c>
      <c r="I2428" s="187">
        <f ca="1">OFFSET('IWP16'!Std9BillingInfo11, 10, 8, 1, 1)</f>
        <v>0</v>
      </c>
      <c r="J2428" s="187">
        <f ca="1">OFFSET('IWP16'!Std9BillingInfo11, 10, 11, 1, 1)</f>
        <v>0</v>
      </c>
      <c r="K2428" s="187">
        <f ca="1">OFFSET('IWP16'!Std9BillingInfo11, 10, 12, 1, 1)</f>
        <v>0</v>
      </c>
      <c r="L2428" s="179">
        <f ca="1">OFFSET('IWP16'!Std9BillingInfo11, 12, 8, 1, 1)</f>
        <v>0</v>
      </c>
      <c r="M2428" s="129"/>
    </row>
    <row r="2429" spans="1:13" s="146" customFormat="1">
      <c r="A2429" s="183" t="s">
        <v>514</v>
      </c>
      <c r="B2429" s="196">
        <v>12</v>
      </c>
      <c r="C2429" s="195" t="str">
        <f ca="1">IF(OFFSET('IWP16'!Std9BillingInfo12, 0, 0, 1, 1) = 0, "", OFFSET('IWP16'!Std9BillingInfo12, 0, 0, 1, 1))</f>
        <v/>
      </c>
      <c r="D2429" s="172">
        <f ca="1">IF(OFFSET('IWP16'!Std9BillingInfo12, 0, 1, 1, 1)=DATE(1900,1,0), DATE(1900,1,1), OFFSET('IWP16'!Std9BillingInfo12, 0, 1, 1, 1))</f>
        <v>1</v>
      </c>
      <c r="E2429" s="172">
        <f ca="1">IF(OFFSET('IWP16'!Std9BillingInfo12, 0, 2, 1, 1)=DATE(1900,1,0), DATE(1900,1,1), OFFSET('IWP16'!Std9BillingInfo12, 0, 2, 1, 1))</f>
        <v>1</v>
      </c>
      <c r="F2429" s="187">
        <f ca="1">OFFSET('IWP16'!Std9BillingInfo12, 0, 3, 1, 1)</f>
        <v>0</v>
      </c>
      <c r="G2429" s="187">
        <f ca="1">OFFSET('IWP16'!Std9BillingInfo12, 10, 6, 1, 1)</f>
        <v>0</v>
      </c>
      <c r="H2429" s="187">
        <f ca="1">OFFSET('IWP16'!Std9BillingInfo12, 11, 6, 1, 1)</f>
        <v>0</v>
      </c>
      <c r="I2429" s="187">
        <f ca="1">OFFSET('IWP16'!Std9BillingInfo12, 10, 8, 1, 1)</f>
        <v>0</v>
      </c>
      <c r="J2429" s="187">
        <f ca="1">OFFSET('IWP16'!Std9BillingInfo12, 10, 11, 1, 1)</f>
        <v>0</v>
      </c>
      <c r="K2429" s="187">
        <f ca="1">OFFSET('IWP16'!Std9BillingInfo12, 10, 12, 1, 1)</f>
        <v>0</v>
      </c>
      <c r="L2429" s="179">
        <f ca="1">OFFSET('IWP16'!Std9BillingInfo12, 12, 8, 1, 1)</f>
        <v>0</v>
      </c>
      <c r="M2429" s="129"/>
    </row>
    <row r="2430" spans="1:13" s="146" customFormat="1">
      <c r="A2430" s="183" t="s">
        <v>514</v>
      </c>
      <c r="B2430" s="196">
        <v>13</v>
      </c>
      <c r="C2430" s="195" t="str">
        <f ca="1">IF(OFFSET('IWP16'!Std9BillingInfo13, 0, 0, 1, 1) = 0, "", OFFSET('IWP16'!Std9BillingInfo13, 0, 0, 1, 1))</f>
        <v/>
      </c>
      <c r="D2430" s="172">
        <f ca="1">IF(OFFSET('IWP16'!Std9BillingInfo13, 0, 1, 1, 1)=DATE(1900,1,0), DATE(1900,1,1), OFFSET('IWP16'!Std9BillingInfo13, 0, 1, 1, 1))</f>
        <v>1</v>
      </c>
      <c r="E2430" s="172">
        <f ca="1">IF(OFFSET('IWP16'!Std9BillingInfo13, 0, 2, 1, 1)=DATE(1900,1,0), DATE(1900,1,1), OFFSET('IWP16'!Std9BillingInfo13, 0, 2, 1, 1))</f>
        <v>1</v>
      </c>
      <c r="F2430" s="187">
        <f ca="1">OFFSET('IWP16'!Std9BillingInfo13, 0, 3, 1, 1)</f>
        <v>0</v>
      </c>
      <c r="G2430" s="187">
        <f ca="1">OFFSET('IWP16'!Std9BillingInfo13, 10, 6, 1, 1)</f>
        <v>0</v>
      </c>
      <c r="H2430" s="187">
        <f ca="1">OFFSET('IWP16'!Std9BillingInfo13, 11, 6, 1, 1)</f>
        <v>0</v>
      </c>
      <c r="I2430" s="187">
        <f ca="1">OFFSET('IWP16'!Std9BillingInfo13, 10, 8, 1, 1)</f>
        <v>0</v>
      </c>
      <c r="J2430" s="187">
        <f ca="1">OFFSET('IWP16'!Std9BillingInfo13, 10, 11, 1, 1)</f>
        <v>0</v>
      </c>
      <c r="K2430" s="187">
        <f ca="1">OFFSET('IWP16'!Std9BillingInfo13, 10, 12, 1, 1)</f>
        <v>0</v>
      </c>
      <c r="L2430" s="179">
        <f ca="1">OFFSET('IWP16'!Std9BillingInfo13, 12, 8, 1, 1)</f>
        <v>0</v>
      </c>
      <c r="M2430" s="129"/>
    </row>
    <row r="2431" spans="1:13" s="146" customFormat="1">
      <c r="A2431" s="183" t="s">
        <v>514</v>
      </c>
      <c r="B2431" s="196">
        <v>14</v>
      </c>
      <c r="C2431" s="195" t="str">
        <f ca="1">IF(OFFSET('IWP16'!Std9BillingInfo14, 0, 0, 1, 1) = 0, "", OFFSET('IWP16'!Std9BillingInfo14, 0, 0, 1, 1))</f>
        <v/>
      </c>
      <c r="D2431" s="172">
        <f ca="1">IF(OFFSET('IWP16'!Std9BillingInfo14, 0, 1, 1, 1)=DATE(1900,1,0), DATE(1900,1,1), OFFSET('IWP16'!Std9BillingInfo14, 0, 1, 1, 1))</f>
        <v>1</v>
      </c>
      <c r="E2431" s="172">
        <f ca="1">IF(OFFSET('IWP16'!Std9BillingInfo14, 0, 2, 1, 1)=DATE(1900,1,0), DATE(1900,1,1), OFFSET('IWP16'!Std9BillingInfo14, 0, 2, 1, 1))</f>
        <v>1</v>
      </c>
      <c r="F2431" s="187">
        <f ca="1">OFFSET('IWP16'!Std9BillingInfo14, 0, 3, 1, 1)</f>
        <v>0</v>
      </c>
      <c r="G2431" s="187">
        <f ca="1">OFFSET('IWP16'!Std9BillingInfo14, 10, 6, 1, 1)</f>
        <v>0</v>
      </c>
      <c r="H2431" s="187">
        <f ca="1">OFFSET('IWP16'!Std9BillingInfo14, 11, 6, 1, 1)</f>
        <v>0</v>
      </c>
      <c r="I2431" s="187">
        <f ca="1">OFFSET('IWP16'!Std9BillingInfo14, 10, 8, 1, 1)</f>
        <v>0</v>
      </c>
      <c r="J2431" s="187">
        <f ca="1">OFFSET('IWP16'!Std9BillingInfo14, 10, 11, 1, 1)</f>
        <v>0</v>
      </c>
      <c r="K2431" s="187">
        <f ca="1">OFFSET('IWP16'!Std9BillingInfo14, 10, 12, 1, 1)</f>
        <v>0</v>
      </c>
      <c r="L2431" s="179">
        <f ca="1">OFFSET('IWP16'!Std9BillingInfo14, 12, 8, 1, 1)</f>
        <v>0</v>
      </c>
      <c r="M2431" s="129"/>
    </row>
    <row r="2432" spans="1:13" s="146" customFormat="1">
      <c r="A2432" s="183" t="s">
        <v>514</v>
      </c>
      <c r="B2432" s="196">
        <v>15</v>
      </c>
      <c r="C2432" s="195" t="str">
        <f ca="1">IF(OFFSET('IWP16'!Std9BillingInfo15, 0, 0, 1, 1) = 0, "", OFFSET('IWP16'!Std9BillingInfo15, 0, 0, 1, 1))</f>
        <v/>
      </c>
      <c r="D2432" s="172">
        <f ca="1">IF(OFFSET('IWP16'!Std9BillingInfo15, 0, 1, 1, 1)=DATE(1900,1,0), DATE(1900,1,1), OFFSET('IWP16'!Std9BillingInfo15, 0, 1, 1, 1))</f>
        <v>1</v>
      </c>
      <c r="E2432" s="172">
        <f ca="1">IF(OFFSET('IWP16'!Std9BillingInfo15, 0, 2, 1, 1)=DATE(1900,1,0), DATE(1900,1,1), OFFSET('IWP16'!Std9BillingInfo15, 0, 2, 1, 1))</f>
        <v>1</v>
      </c>
      <c r="F2432" s="187">
        <f ca="1">OFFSET('IWP16'!Std9BillingInfo15, 0, 3, 1, 1)</f>
        <v>0</v>
      </c>
      <c r="G2432" s="187">
        <f ca="1">OFFSET('IWP16'!Std9BillingInfo15, 10, 6, 1, 1)</f>
        <v>0</v>
      </c>
      <c r="H2432" s="187">
        <f ca="1">OFFSET('IWP16'!Std9BillingInfo15, 11, 6, 1, 1)</f>
        <v>0</v>
      </c>
      <c r="I2432" s="187">
        <f ca="1">OFFSET('IWP16'!Std9BillingInfo15, 10, 8, 1, 1)</f>
        <v>0</v>
      </c>
      <c r="J2432" s="187">
        <f ca="1">OFFSET('IWP16'!Std9BillingInfo15, 10, 11, 1, 1)</f>
        <v>0</v>
      </c>
      <c r="K2432" s="187">
        <f ca="1">OFFSET('IWP16'!Std9BillingInfo15, 10, 12, 1, 1)</f>
        <v>0</v>
      </c>
      <c r="L2432" s="179">
        <f ca="1">OFFSET('IWP16'!Std9BillingInfo15, 12, 8, 1, 1)</f>
        <v>0</v>
      </c>
      <c r="M2432" s="129"/>
    </row>
    <row r="2433" spans="1:13" s="146" customFormat="1">
      <c r="A2433" s="183" t="s">
        <v>514</v>
      </c>
      <c r="B2433" s="196">
        <v>16</v>
      </c>
      <c r="C2433" s="195" t="str">
        <f ca="1">IF(OFFSET('IWP16'!Std9BillingInfo16, 0, 0, 1, 1) = 0, "", OFFSET('IWP16'!Std9BillingInfo16, 0, 0, 1, 1))</f>
        <v/>
      </c>
      <c r="D2433" s="172">
        <f ca="1">IF(OFFSET('IWP16'!Std9BillingInfo16, 0, 1, 1, 1)=DATE(1900,1,0), DATE(1900,1,1), OFFSET('IWP16'!Std9BillingInfo16, 0, 1, 1, 1))</f>
        <v>1</v>
      </c>
      <c r="E2433" s="172">
        <f ca="1">IF(OFFSET('IWP16'!Std9BillingInfo16, 0, 2, 1, 1)=DATE(1900,1,0), DATE(1900,1,1), OFFSET('IWP16'!Std9BillingInfo16, 0, 2, 1, 1))</f>
        <v>1</v>
      </c>
      <c r="F2433" s="187">
        <f ca="1">OFFSET('IWP16'!Std9BillingInfo16, 0, 3, 1, 1)</f>
        <v>0</v>
      </c>
      <c r="G2433" s="187">
        <f ca="1">OFFSET('IWP16'!Std9BillingInfo16, 10, 6, 1, 1)</f>
        <v>0</v>
      </c>
      <c r="H2433" s="187">
        <f ca="1">OFFSET('IWP16'!Std9BillingInfo16, 11, 6, 1, 1)</f>
        <v>0</v>
      </c>
      <c r="I2433" s="187">
        <f ca="1">OFFSET('IWP16'!Std9BillingInfo16, 10, 8, 1, 1)</f>
        <v>0</v>
      </c>
      <c r="J2433" s="187">
        <f ca="1">OFFSET('IWP16'!Std9BillingInfo16, 10, 11, 1, 1)</f>
        <v>0</v>
      </c>
      <c r="K2433" s="187">
        <f ca="1">OFFSET('IWP16'!Std9BillingInfo16, 10, 12, 1, 1)</f>
        <v>0</v>
      </c>
      <c r="L2433" s="179">
        <f ca="1">OFFSET('IWP16'!Std9BillingInfo16, 12, 8, 1, 1)</f>
        <v>0</v>
      </c>
      <c r="M2433" s="129"/>
    </row>
    <row r="2434" spans="1:13" s="146" customFormat="1">
      <c r="A2434" s="183" t="s">
        <v>514</v>
      </c>
      <c r="B2434" s="196">
        <v>17</v>
      </c>
      <c r="C2434" s="195" t="str">
        <f ca="1">IF(OFFSET('IWP16'!Std9BillingInfo17, 0, 0, 1, 1) = 0, "", OFFSET('IWP16'!Std9BillingInfo17, 0, 0, 1, 1))</f>
        <v/>
      </c>
      <c r="D2434" s="172">
        <f ca="1">IF(OFFSET('IWP16'!Std9BillingInfo17, 0, 1, 1, 1)=DATE(1900,1,0), DATE(1900,1,1), OFFSET('IWP16'!Std9BillingInfo17, 0, 1, 1, 1))</f>
        <v>1</v>
      </c>
      <c r="E2434" s="172">
        <f ca="1">IF(OFFSET('IWP16'!Std9BillingInfo17, 0, 2, 1, 1)=DATE(1900,1,0), DATE(1900,1,1), OFFSET('IWP16'!Std9BillingInfo17, 0, 2, 1, 1))</f>
        <v>1</v>
      </c>
      <c r="F2434" s="187">
        <f ca="1">OFFSET('IWP16'!Std9BillingInfo17, 0, 3, 1, 1)</f>
        <v>0</v>
      </c>
      <c r="G2434" s="187">
        <f ca="1">OFFSET('IWP16'!Std9BillingInfo17, 10, 6, 1, 1)</f>
        <v>0</v>
      </c>
      <c r="H2434" s="187">
        <f ca="1">OFFSET('IWP16'!Std9BillingInfo17, 11, 6, 1, 1)</f>
        <v>0</v>
      </c>
      <c r="I2434" s="187">
        <f ca="1">OFFSET('IWP16'!Std9BillingInfo17, 10, 8, 1, 1)</f>
        <v>0</v>
      </c>
      <c r="J2434" s="187">
        <f ca="1">OFFSET('IWP16'!Std9BillingInfo17, 10, 11, 1, 1)</f>
        <v>0</v>
      </c>
      <c r="K2434" s="187">
        <f ca="1">OFFSET('IWP16'!Std9BillingInfo17, 10, 12, 1, 1)</f>
        <v>0</v>
      </c>
      <c r="L2434" s="179">
        <f ca="1">OFFSET('IWP16'!Std9BillingInfo17, 12, 8, 1, 1)</f>
        <v>0</v>
      </c>
      <c r="M2434" s="129"/>
    </row>
    <row r="2435" spans="1:13" s="146" customFormat="1">
      <c r="A2435" s="183" t="s">
        <v>514</v>
      </c>
      <c r="B2435" s="196">
        <v>18</v>
      </c>
      <c r="C2435" s="195" t="str">
        <f ca="1">IF(OFFSET('IWP16'!Std9BillingInfo18, 0, 0, 1, 1) = 0, "", OFFSET('IWP16'!Std9BillingInfo18, 0, 0, 1, 1))</f>
        <v/>
      </c>
      <c r="D2435" s="172">
        <f ca="1">IF(OFFSET('IWP16'!Std9BillingInfo18, 0, 1, 1, 1)=DATE(1900,1,0), DATE(1900,1,1), OFFSET('IWP16'!Std9BillingInfo18, 0, 1, 1, 1))</f>
        <v>1</v>
      </c>
      <c r="E2435" s="172">
        <f ca="1">IF(OFFSET('IWP16'!Std9BillingInfo18, 0, 2, 1, 1)=DATE(1900,1,0), DATE(1900,1,1), OFFSET('IWP16'!Std9BillingInfo18, 0, 2, 1, 1))</f>
        <v>1</v>
      </c>
      <c r="F2435" s="187">
        <f ca="1">OFFSET('IWP16'!Std9BillingInfo18, 0, 3, 1, 1)</f>
        <v>0</v>
      </c>
      <c r="G2435" s="187">
        <f ca="1">OFFSET('IWP16'!Std9BillingInfo18, 10, 6, 1, 1)</f>
        <v>0</v>
      </c>
      <c r="H2435" s="187">
        <f ca="1">OFFSET('IWP16'!Std9BillingInfo18, 11, 6, 1, 1)</f>
        <v>0</v>
      </c>
      <c r="I2435" s="187">
        <f ca="1">OFFSET('IWP16'!Std9BillingInfo18, 10, 8, 1, 1)</f>
        <v>0</v>
      </c>
      <c r="J2435" s="187">
        <f ca="1">OFFSET('IWP16'!Std9BillingInfo18, 10, 11, 1, 1)</f>
        <v>0</v>
      </c>
      <c r="K2435" s="187">
        <f ca="1">OFFSET('IWP16'!Std9BillingInfo18, 10, 12, 1, 1)</f>
        <v>0</v>
      </c>
      <c r="L2435" s="179">
        <f ca="1">OFFSET('IWP16'!Std9BillingInfo18, 12, 8, 1, 1)</f>
        <v>0</v>
      </c>
      <c r="M2435" s="129"/>
    </row>
    <row r="2436" spans="1:13" s="146" customFormat="1">
      <c r="A2436" s="183" t="s">
        <v>515</v>
      </c>
      <c r="B2436" s="196">
        <v>1</v>
      </c>
      <c r="C2436" s="195" t="str">
        <f ca="1">IF(OFFSET('IWP17'!Std9BillingInfo01, 0, 0, 1, 1) = 0, "", OFFSET('IWP17'!Std9BillingInfo01, 0, 0, 1, 1))</f>
        <v/>
      </c>
      <c r="D2436" s="172">
        <f ca="1">IF(OFFSET('IWP17'!Std9BillingInfo01, 0, 1, 1, 1)=DATE(1900,1,0), DATE(1900,1,1), OFFSET('IWP17'!Std9BillingInfo01, 0, 1, 1, 1))</f>
        <v>1</v>
      </c>
      <c r="E2436" s="172">
        <f ca="1">IF(OFFSET('IWP17'!Std9BillingInfo01, 0, 2, 1, 1)=DATE(1900,1,0), DATE(1900,1,1), OFFSET('IWP17'!Std9BillingInfo01, 0, 2, 1, 1))</f>
        <v>1</v>
      </c>
      <c r="F2436" s="187">
        <f ca="1">OFFSET('IWP17'!Std9BillingInfo01, 0, 3, 1, 1)</f>
        <v>0</v>
      </c>
      <c r="G2436" s="187">
        <f ca="1">OFFSET('IWP17'!Std9BillingInfo01, 10, 6, 1, 1)</f>
        <v>0</v>
      </c>
      <c r="H2436" s="187">
        <f ca="1">OFFSET('IWP17'!Std9BillingInfo01, 11, 6, 1, 1)</f>
        <v>0</v>
      </c>
      <c r="I2436" s="187">
        <f ca="1">OFFSET('IWP17'!Std9BillingInfo01, 10, 8, 1, 1)</f>
        <v>0</v>
      </c>
      <c r="J2436" s="187">
        <f ca="1">OFFSET('IWP17'!Std9BillingInfo01, 10, 11, 1, 1)</f>
        <v>0</v>
      </c>
      <c r="K2436" s="187">
        <f ca="1">OFFSET('IWP17'!Std9BillingInfo01, 10, 12, 1, 1)</f>
        <v>0</v>
      </c>
      <c r="L2436" s="179">
        <f ca="1">OFFSET('IWP17'!Std9BillingInfo01, 12, 8, 1, 1)</f>
        <v>0</v>
      </c>
      <c r="M2436" s="129"/>
    </row>
    <row r="2437" spans="1:13" s="146" customFormat="1">
      <c r="A2437" s="183" t="s">
        <v>515</v>
      </c>
      <c r="B2437" s="196">
        <v>2</v>
      </c>
      <c r="C2437" s="195" t="str">
        <f ca="1">IF(OFFSET('IWP17'!Std9BillingInfo02, 0, 0, 1, 1) = 0, "", OFFSET('IWP17'!Std9BillingInfo02, 0, 0, 1, 1))</f>
        <v/>
      </c>
      <c r="D2437" s="172">
        <f ca="1">IF(OFFSET('IWP17'!Std9BillingInfo02, 0, 1, 1, 1)=DATE(1900,1,0), DATE(1900,1,1), OFFSET('IWP17'!Std9BillingInfo02, 0, 1, 1, 1))</f>
        <v>1</v>
      </c>
      <c r="E2437" s="172">
        <f ca="1">IF(OFFSET('IWP17'!Std9BillingInfo02, 0, 2, 1, 1)=DATE(1900,1,0), DATE(1900,1,1), OFFSET('IWP17'!Std9BillingInfo02, 0, 2, 1, 1))</f>
        <v>1</v>
      </c>
      <c r="F2437" s="187">
        <f ca="1">OFFSET('IWP17'!Std9BillingInfo02, 0, 3, 1, 1)</f>
        <v>0</v>
      </c>
      <c r="G2437" s="187">
        <f ca="1">OFFSET('IWP17'!Std9BillingInfo02, 10, 6, 1, 1)</f>
        <v>0</v>
      </c>
      <c r="H2437" s="187">
        <f ca="1">OFFSET('IWP17'!Std9BillingInfo02, 11, 6, 1, 1)</f>
        <v>0</v>
      </c>
      <c r="I2437" s="187">
        <f ca="1">OFFSET('IWP17'!Std9BillingInfo02, 10, 8, 1, 1)</f>
        <v>0</v>
      </c>
      <c r="J2437" s="187">
        <f ca="1">OFFSET('IWP17'!Std9BillingInfo02, 10, 11, 1, 1)</f>
        <v>0</v>
      </c>
      <c r="K2437" s="187">
        <f ca="1">OFFSET('IWP17'!Std9BillingInfo02, 10, 12, 1, 1)</f>
        <v>0</v>
      </c>
      <c r="L2437" s="179">
        <f ca="1">OFFSET('IWP17'!Std9BillingInfo02, 12, 8, 1, 1)</f>
        <v>0</v>
      </c>
      <c r="M2437" s="129"/>
    </row>
    <row r="2438" spans="1:13" s="146" customFormat="1">
      <c r="A2438" s="183" t="s">
        <v>515</v>
      </c>
      <c r="B2438" s="196">
        <v>3</v>
      </c>
      <c r="C2438" s="195" t="str">
        <f ca="1">IF(OFFSET('IWP17'!Std9BillingInfo03, 0, 0, 1, 1) = 0, "", OFFSET('IWP17'!Std9BillingInfo03, 0, 0, 1, 1))</f>
        <v/>
      </c>
      <c r="D2438" s="172">
        <f ca="1">IF(OFFSET('IWP17'!Std9BillingInfo03, 0, 1, 1, 1)=DATE(1900,1,0), DATE(1900,1,1), OFFSET('IWP17'!Std9BillingInfo03, 0, 1, 1, 1))</f>
        <v>1</v>
      </c>
      <c r="E2438" s="172">
        <f ca="1">IF(OFFSET('IWP17'!Std9BillingInfo03, 0, 2, 1, 1)=DATE(1900,1,0), DATE(1900,1,1), OFFSET('IWP17'!Std9BillingInfo03, 0, 2, 1, 1))</f>
        <v>1</v>
      </c>
      <c r="F2438" s="187">
        <f ca="1">OFFSET('IWP17'!Std9BillingInfo03, 0, 3, 1, 1)</f>
        <v>0</v>
      </c>
      <c r="G2438" s="187">
        <f ca="1">OFFSET('IWP17'!Std9BillingInfo03, 10, 6, 1, 1)</f>
        <v>0</v>
      </c>
      <c r="H2438" s="187">
        <f ca="1">OFFSET('IWP17'!Std9BillingInfo03, 11, 6, 1, 1)</f>
        <v>0</v>
      </c>
      <c r="I2438" s="187">
        <f ca="1">OFFSET('IWP17'!Std9BillingInfo03, 10, 8, 1, 1)</f>
        <v>0</v>
      </c>
      <c r="J2438" s="187">
        <f ca="1">OFFSET('IWP17'!Std9BillingInfo03, 10, 11, 1, 1)</f>
        <v>0</v>
      </c>
      <c r="K2438" s="187">
        <f ca="1">OFFSET('IWP17'!Std9BillingInfo03, 10, 12, 1, 1)</f>
        <v>0</v>
      </c>
      <c r="L2438" s="179">
        <f ca="1">OFFSET('IWP17'!Std9BillingInfo03, 12, 8, 1, 1)</f>
        <v>0</v>
      </c>
      <c r="M2438" s="129"/>
    </row>
    <row r="2439" spans="1:13" s="146" customFormat="1">
      <c r="A2439" s="183" t="s">
        <v>515</v>
      </c>
      <c r="B2439" s="196">
        <v>4</v>
      </c>
      <c r="C2439" s="195" t="str">
        <f ca="1">IF(OFFSET('IWP17'!Std9BillingInfo04, 0, 0, 1, 1) = 0, "", OFFSET('IWP17'!Std9BillingInfo04, 0, 0, 1, 1))</f>
        <v/>
      </c>
      <c r="D2439" s="172">
        <f ca="1">IF(OFFSET('IWP17'!Std9BillingInfo04, 0, 1, 1, 1)=DATE(1900,1,0), DATE(1900,1,1), OFFSET('IWP17'!Std9BillingInfo04, 0, 1, 1, 1))</f>
        <v>1</v>
      </c>
      <c r="E2439" s="172">
        <f ca="1">IF(OFFSET('IWP17'!Std9BillingInfo04, 0, 2, 1, 1)=DATE(1900,1,0), DATE(1900,1,1), OFFSET('IWP17'!Std9BillingInfo04, 0, 2, 1, 1))</f>
        <v>1</v>
      </c>
      <c r="F2439" s="187">
        <f ca="1">OFFSET('IWP17'!Std9BillingInfo04, 0, 3, 1, 1)</f>
        <v>0</v>
      </c>
      <c r="G2439" s="187">
        <f ca="1">OFFSET('IWP17'!Std9BillingInfo04, 10, 6, 1, 1)</f>
        <v>0</v>
      </c>
      <c r="H2439" s="187">
        <f ca="1">OFFSET('IWP17'!Std9BillingInfo04, 11, 6, 1, 1)</f>
        <v>0</v>
      </c>
      <c r="I2439" s="187">
        <f ca="1">OFFSET('IWP17'!Std9BillingInfo04, 10, 8, 1, 1)</f>
        <v>0</v>
      </c>
      <c r="J2439" s="187">
        <f ca="1">OFFSET('IWP17'!Std9BillingInfo04, 10, 11, 1, 1)</f>
        <v>0</v>
      </c>
      <c r="K2439" s="187">
        <f ca="1">OFFSET('IWP17'!Std9BillingInfo04, 10, 12, 1, 1)</f>
        <v>0</v>
      </c>
      <c r="L2439" s="179">
        <f ca="1">OFFSET('IWP17'!Std9BillingInfo04, 12, 8, 1, 1)</f>
        <v>0</v>
      </c>
      <c r="M2439" s="129"/>
    </row>
    <row r="2440" spans="1:13" s="146" customFormat="1">
      <c r="A2440" s="183" t="s">
        <v>515</v>
      </c>
      <c r="B2440" s="196">
        <v>5</v>
      </c>
      <c r="C2440" s="195" t="str">
        <f ca="1">IF(OFFSET('IWP17'!Std9BillingInfo05, 0, 0, 1, 1) = 0, "", OFFSET('IWP17'!Std9BillingInfo05, 0, 0, 1, 1))</f>
        <v/>
      </c>
      <c r="D2440" s="172">
        <f ca="1">IF(OFFSET('IWP17'!Std9BillingInfo05, 0, 1, 1, 1)=DATE(1900,1,0), DATE(1900,1,1), OFFSET('IWP17'!Std9BillingInfo05, 0, 1, 1, 1))</f>
        <v>1</v>
      </c>
      <c r="E2440" s="172">
        <f ca="1">IF(OFFSET('IWP17'!Std9BillingInfo05, 0, 2, 1, 1)=DATE(1900,1,0), DATE(1900,1,1), OFFSET('IWP17'!Std9BillingInfo05, 0, 2, 1, 1))</f>
        <v>1</v>
      </c>
      <c r="F2440" s="187">
        <f ca="1">OFFSET('IWP17'!Std9BillingInfo05, 0, 3, 1, 1)</f>
        <v>0</v>
      </c>
      <c r="G2440" s="187">
        <f ca="1">OFFSET('IWP17'!Std9BillingInfo05, 10, 6, 1, 1)</f>
        <v>0</v>
      </c>
      <c r="H2440" s="187">
        <f ca="1">OFFSET('IWP17'!Std9BillingInfo05, 11, 6, 1, 1)</f>
        <v>0</v>
      </c>
      <c r="I2440" s="187">
        <f ca="1">OFFSET('IWP17'!Std9BillingInfo05, 10, 8, 1, 1)</f>
        <v>0</v>
      </c>
      <c r="J2440" s="187">
        <f ca="1">OFFSET('IWP17'!Std9BillingInfo05, 10, 11, 1, 1)</f>
        <v>0</v>
      </c>
      <c r="K2440" s="187">
        <f ca="1">OFFSET('IWP17'!Std9BillingInfo05, 10, 12, 1, 1)</f>
        <v>0</v>
      </c>
      <c r="L2440" s="179">
        <f ca="1">OFFSET('IWP17'!Std9BillingInfo05, 12, 8, 1, 1)</f>
        <v>0</v>
      </c>
      <c r="M2440" s="129"/>
    </row>
    <row r="2441" spans="1:13" s="146" customFormat="1">
      <c r="A2441" s="183" t="s">
        <v>515</v>
      </c>
      <c r="B2441" s="196">
        <v>6</v>
      </c>
      <c r="C2441" s="195" t="str">
        <f ca="1">IF(OFFSET('IWP17'!Std9BillingInfo06, 0, 0, 1, 1) = 0, "", OFFSET('IWP17'!Std9BillingInfo06, 0, 0, 1, 1))</f>
        <v/>
      </c>
      <c r="D2441" s="172">
        <f ca="1">IF(OFFSET('IWP17'!Std9BillingInfo06, 0, 1, 1, 1)=DATE(1900,1,0), DATE(1900,1,1), OFFSET('IWP17'!Std9BillingInfo06, 0, 1, 1, 1))</f>
        <v>1</v>
      </c>
      <c r="E2441" s="172">
        <f ca="1">IF(OFFSET('IWP17'!Std9BillingInfo06, 0, 2, 1, 1)=DATE(1900,1,0), DATE(1900,1,1), OFFSET('IWP17'!Std9BillingInfo06, 0, 2, 1, 1))</f>
        <v>1</v>
      </c>
      <c r="F2441" s="187">
        <f ca="1">OFFSET('IWP17'!Std9BillingInfo06, 0, 3, 1, 1)</f>
        <v>0</v>
      </c>
      <c r="G2441" s="187">
        <f ca="1">OFFSET('IWP17'!Std9BillingInfo06, 10, 6, 1, 1)</f>
        <v>0</v>
      </c>
      <c r="H2441" s="187">
        <f ca="1">OFFSET('IWP17'!Std9BillingInfo06, 11, 6, 1, 1)</f>
        <v>0</v>
      </c>
      <c r="I2441" s="187">
        <f ca="1">OFFSET('IWP17'!Std9BillingInfo06, 10, 8, 1, 1)</f>
        <v>0</v>
      </c>
      <c r="J2441" s="187">
        <f ca="1">OFFSET('IWP17'!Std9BillingInfo06, 10, 11, 1, 1)</f>
        <v>0</v>
      </c>
      <c r="K2441" s="187">
        <f ca="1">OFFSET('IWP17'!Std9BillingInfo06, 10, 12, 1, 1)</f>
        <v>0</v>
      </c>
      <c r="L2441" s="179">
        <f ca="1">OFFSET('IWP17'!Std9BillingInfo06, 12, 8, 1, 1)</f>
        <v>0</v>
      </c>
      <c r="M2441" s="129"/>
    </row>
    <row r="2442" spans="1:13" s="146" customFormat="1">
      <c r="A2442" s="183" t="s">
        <v>515</v>
      </c>
      <c r="B2442" s="196">
        <v>7</v>
      </c>
      <c r="C2442" s="195" t="str">
        <f ca="1">IF(OFFSET('IWP17'!Std9BillingInfo07, 0, 0, 1, 1) = 0, "", OFFSET('IWP17'!Std9BillingInfo07, 0, 0, 1, 1))</f>
        <v/>
      </c>
      <c r="D2442" s="172">
        <f ca="1">IF(OFFSET('IWP17'!Std9BillingInfo07, 0, 1, 1, 1)=DATE(1900,1,0), DATE(1900,1,1), OFFSET('IWP17'!Std9BillingInfo07, 0, 1, 1, 1))</f>
        <v>1</v>
      </c>
      <c r="E2442" s="172">
        <f ca="1">IF(OFFSET('IWP17'!Std9BillingInfo07, 0, 2, 1, 1)=DATE(1900,1,0), DATE(1900,1,1), OFFSET('IWP17'!Std9BillingInfo07, 0, 2, 1, 1))</f>
        <v>1</v>
      </c>
      <c r="F2442" s="187">
        <f ca="1">OFFSET('IWP17'!Std9BillingInfo07, 0, 3, 1, 1)</f>
        <v>0</v>
      </c>
      <c r="G2442" s="187">
        <f ca="1">OFFSET('IWP17'!Std9BillingInfo07, 10, 6, 1, 1)</f>
        <v>0</v>
      </c>
      <c r="H2442" s="187">
        <f ca="1">OFFSET('IWP17'!Std9BillingInfo07, 11, 6, 1, 1)</f>
        <v>0</v>
      </c>
      <c r="I2442" s="187">
        <f ca="1">OFFSET('IWP17'!Std9BillingInfo07, 10, 8, 1, 1)</f>
        <v>0</v>
      </c>
      <c r="J2442" s="187">
        <f ca="1">OFFSET('IWP17'!Std9BillingInfo07, 10, 11, 1, 1)</f>
        <v>0</v>
      </c>
      <c r="K2442" s="187">
        <f ca="1">OFFSET('IWP17'!Std9BillingInfo07, 10, 12, 1, 1)</f>
        <v>0</v>
      </c>
      <c r="L2442" s="179">
        <f ca="1">OFFSET('IWP17'!Std9BillingInfo07, 12, 8, 1, 1)</f>
        <v>0</v>
      </c>
      <c r="M2442" s="129"/>
    </row>
    <row r="2443" spans="1:13" s="146" customFormat="1">
      <c r="A2443" s="183" t="s">
        <v>515</v>
      </c>
      <c r="B2443" s="196">
        <v>8</v>
      </c>
      <c r="C2443" s="195" t="str">
        <f ca="1">IF(OFFSET('IWP17'!Std9BillingInfo08, 0, 0, 1, 1) = 0, "", OFFSET('IWP17'!Std9BillingInfo08, 0, 0, 1, 1))</f>
        <v/>
      </c>
      <c r="D2443" s="172">
        <f ca="1">IF(OFFSET('IWP17'!Std9BillingInfo08, 0, 1, 1, 1)=DATE(1900,1,0), DATE(1900,1,1), OFFSET('IWP17'!Std9BillingInfo08, 0, 1, 1, 1))</f>
        <v>1</v>
      </c>
      <c r="E2443" s="172">
        <f ca="1">IF(OFFSET('IWP17'!Std9BillingInfo08, 0, 2, 1, 1)=DATE(1900,1,0), DATE(1900,1,1), OFFSET('IWP17'!Std9BillingInfo08, 0, 2, 1, 1))</f>
        <v>1</v>
      </c>
      <c r="F2443" s="187">
        <f ca="1">OFFSET('IWP17'!Std9BillingInfo08, 0, 3, 1, 1)</f>
        <v>0</v>
      </c>
      <c r="G2443" s="187">
        <f ca="1">OFFSET('IWP17'!Std9BillingInfo08, 10, 6, 1, 1)</f>
        <v>0</v>
      </c>
      <c r="H2443" s="187">
        <f ca="1">OFFSET('IWP17'!Std9BillingInfo08, 11, 6, 1, 1)</f>
        <v>0</v>
      </c>
      <c r="I2443" s="187">
        <f ca="1">OFFSET('IWP17'!Std9BillingInfo08, 10, 8, 1, 1)</f>
        <v>0</v>
      </c>
      <c r="J2443" s="187">
        <f ca="1">OFFSET('IWP17'!Std9BillingInfo08, 10, 11, 1, 1)</f>
        <v>0</v>
      </c>
      <c r="K2443" s="187">
        <f ca="1">OFFSET('IWP17'!Std9BillingInfo08, 10, 12, 1, 1)</f>
        <v>0</v>
      </c>
      <c r="L2443" s="179">
        <f ca="1">OFFSET('IWP17'!Std9BillingInfo08, 12, 8, 1, 1)</f>
        <v>0</v>
      </c>
      <c r="M2443" s="129"/>
    </row>
    <row r="2444" spans="1:13" s="146" customFormat="1">
      <c r="A2444" s="183" t="s">
        <v>515</v>
      </c>
      <c r="B2444" s="196">
        <v>9</v>
      </c>
      <c r="C2444" s="195" t="str">
        <f ca="1">IF(OFFSET('IWP17'!Std9BillingInfo09, 0, 0, 1, 1) = 0, "", OFFSET('IWP17'!Std9BillingInfo09, 0, 0, 1, 1))</f>
        <v/>
      </c>
      <c r="D2444" s="172">
        <f ca="1">IF(OFFSET('IWP17'!Std9BillingInfo09, 0, 1, 1, 1)=DATE(1900,1,0), DATE(1900,1,1), OFFSET('IWP17'!Std9BillingInfo09, 0, 1, 1, 1))</f>
        <v>1</v>
      </c>
      <c r="E2444" s="172">
        <f ca="1">IF(OFFSET('IWP17'!Std9BillingInfo09, 0, 2, 1, 1)=DATE(1900,1,0), DATE(1900,1,1), OFFSET('IWP17'!Std9BillingInfo09, 0, 2, 1, 1))</f>
        <v>1</v>
      </c>
      <c r="F2444" s="187">
        <f ca="1">OFFSET('IWP17'!Std9BillingInfo09, 0, 3, 1, 1)</f>
        <v>0</v>
      </c>
      <c r="G2444" s="187">
        <f ca="1">OFFSET('IWP17'!Std9BillingInfo09, 10, 6, 1, 1)</f>
        <v>0</v>
      </c>
      <c r="H2444" s="187">
        <f ca="1">OFFSET('IWP17'!Std9BillingInfo09, 11, 6, 1, 1)</f>
        <v>0</v>
      </c>
      <c r="I2444" s="187">
        <f ca="1">OFFSET('IWP17'!Std9BillingInfo09, 10, 8, 1, 1)</f>
        <v>0</v>
      </c>
      <c r="J2444" s="187">
        <f ca="1">OFFSET('IWP17'!Std9BillingInfo09, 10, 11, 1, 1)</f>
        <v>0</v>
      </c>
      <c r="K2444" s="187">
        <f ca="1">OFFSET('IWP17'!Std9BillingInfo09, 10, 12, 1, 1)</f>
        <v>0</v>
      </c>
      <c r="L2444" s="179">
        <f ca="1">OFFSET('IWP17'!Std9BillingInfo09, 12, 8, 1, 1)</f>
        <v>0</v>
      </c>
      <c r="M2444" s="129"/>
    </row>
    <row r="2445" spans="1:13" s="146" customFormat="1">
      <c r="A2445" s="183" t="s">
        <v>515</v>
      </c>
      <c r="B2445" s="196">
        <v>10</v>
      </c>
      <c r="C2445" s="195" t="str">
        <f ca="1">IF(OFFSET('IWP17'!Std9BillingInfo10, 0, 0, 1, 1) = 0, "", OFFSET('IWP17'!Std9BillingInfo10, 0, 0, 1, 1))</f>
        <v/>
      </c>
      <c r="D2445" s="172">
        <f ca="1">IF(OFFSET('IWP17'!Std9BillingInfo10, 0, 1, 1, 1)=DATE(1900,1,0), DATE(1900,1,1), OFFSET('IWP17'!Std9BillingInfo10, 0, 1, 1, 1))</f>
        <v>1</v>
      </c>
      <c r="E2445" s="172">
        <f ca="1">IF(OFFSET('IWP17'!Std9BillingInfo10, 0, 2, 1, 1)=DATE(1900,1,0), DATE(1900,1,1), OFFSET('IWP17'!Std9BillingInfo10, 0, 2, 1, 1))</f>
        <v>1</v>
      </c>
      <c r="F2445" s="187">
        <f ca="1">OFFSET('IWP17'!Std9BillingInfo10, 0, 3, 1, 1)</f>
        <v>0</v>
      </c>
      <c r="G2445" s="187">
        <f ca="1">OFFSET('IWP17'!Std9BillingInfo10, 10, 6, 1, 1)</f>
        <v>0</v>
      </c>
      <c r="H2445" s="187">
        <f ca="1">OFFSET('IWP17'!Std9BillingInfo10, 11, 6, 1, 1)</f>
        <v>0</v>
      </c>
      <c r="I2445" s="187">
        <f ca="1">OFFSET('IWP17'!Std9BillingInfo10, 10, 8, 1, 1)</f>
        <v>0</v>
      </c>
      <c r="J2445" s="187">
        <f ca="1">OFFSET('IWP17'!Std9BillingInfo10, 10, 11, 1, 1)</f>
        <v>0</v>
      </c>
      <c r="K2445" s="187">
        <f ca="1">OFFSET('IWP17'!Std9BillingInfo10, 10, 12, 1, 1)</f>
        <v>0</v>
      </c>
      <c r="L2445" s="179">
        <f ca="1">OFFSET('IWP17'!Std9BillingInfo10, 12, 8, 1, 1)</f>
        <v>0</v>
      </c>
      <c r="M2445" s="129"/>
    </row>
    <row r="2446" spans="1:13" s="146" customFormat="1">
      <c r="A2446" s="183" t="s">
        <v>515</v>
      </c>
      <c r="B2446" s="196">
        <v>11</v>
      </c>
      <c r="C2446" s="195" t="str">
        <f ca="1">IF(OFFSET('IWP17'!Std9BillingInfo11, 0, 0, 1, 1) = 0, "", OFFSET('IWP17'!Std9BillingInfo11, 0, 0, 1, 1))</f>
        <v/>
      </c>
      <c r="D2446" s="172">
        <f ca="1">IF(OFFSET('IWP17'!Std9BillingInfo11, 0, 1, 1, 1)=DATE(1900,1,0), DATE(1900,1,1), OFFSET('IWP17'!Std9BillingInfo11, 0, 1, 1, 1))</f>
        <v>1</v>
      </c>
      <c r="E2446" s="172">
        <f ca="1">IF(OFFSET('IWP17'!Std9BillingInfo11, 0, 2, 1, 1)=DATE(1900,1,0), DATE(1900,1,1), OFFSET('IWP17'!Std9BillingInfo11, 0, 2, 1, 1))</f>
        <v>1</v>
      </c>
      <c r="F2446" s="187">
        <f ca="1">OFFSET('IWP17'!Std9BillingInfo11, 0, 3, 1, 1)</f>
        <v>0</v>
      </c>
      <c r="G2446" s="187">
        <f ca="1">OFFSET('IWP17'!Std9BillingInfo11, 10, 6, 1, 1)</f>
        <v>0</v>
      </c>
      <c r="H2446" s="187">
        <f ca="1">OFFSET('IWP17'!Std9BillingInfo11, 11, 6, 1, 1)</f>
        <v>0</v>
      </c>
      <c r="I2446" s="187">
        <f ca="1">OFFSET('IWP17'!Std9BillingInfo11, 10, 8, 1, 1)</f>
        <v>0</v>
      </c>
      <c r="J2446" s="187">
        <f ca="1">OFFSET('IWP17'!Std9BillingInfo11, 10, 11, 1, 1)</f>
        <v>0</v>
      </c>
      <c r="K2446" s="187">
        <f ca="1">OFFSET('IWP17'!Std9BillingInfo11, 10, 12, 1, 1)</f>
        <v>0</v>
      </c>
      <c r="L2446" s="179">
        <f ca="1">OFFSET('IWP17'!Std9BillingInfo11, 12, 8, 1, 1)</f>
        <v>0</v>
      </c>
      <c r="M2446" s="129"/>
    </row>
    <row r="2447" spans="1:13" s="146" customFormat="1">
      <c r="A2447" s="183" t="s">
        <v>515</v>
      </c>
      <c r="B2447" s="196">
        <v>12</v>
      </c>
      <c r="C2447" s="195" t="str">
        <f ca="1">IF(OFFSET('IWP17'!Std9BillingInfo12, 0, 0, 1, 1) = 0, "", OFFSET('IWP17'!Std9BillingInfo12, 0, 0, 1, 1))</f>
        <v/>
      </c>
      <c r="D2447" s="172">
        <f ca="1">IF(OFFSET('IWP17'!Std9BillingInfo12, 0, 1, 1, 1)=DATE(1900,1,0), DATE(1900,1,1), OFFSET('IWP17'!Std9BillingInfo12, 0, 1, 1, 1))</f>
        <v>1</v>
      </c>
      <c r="E2447" s="172">
        <f ca="1">IF(OFFSET('IWP17'!Std9BillingInfo12, 0, 2, 1, 1)=DATE(1900,1,0), DATE(1900,1,1), OFFSET('IWP17'!Std9BillingInfo12, 0, 2, 1, 1))</f>
        <v>1</v>
      </c>
      <c r="F2447" s="187">
        <f ca="1">OFFSET('IWP17'!Std9BillingInfo12, 0, 3, 1, 1)</f>
        <v>0</v>
      </c>
      <c r="G2447" s="187">
        <f ca="1">OFFSET('IWP17'!Std9BillingInfo12, 10, 6, 1, 1)</f>
        <v>0</v>
      </c>
      <c r="H2447" s="187">
        <f ca="1">OFFSET('IWP17'!Std9BillingInfo12, 11, 6, 1, 1)</f>
        <v>0</v>
      </c>
      <c r="I2447" s="187">
        <f ca="1">OFFSET('IWP17'!Std9BillingInfo12, 10, 8, 1, 1)</f>
        <v>0</v>
      </c>
      <c r="J2447" s="187">
        <f ca="1">OFFSET('IWP17'!Std9BillingInfo12, 10, 11, 1, 1)</f>
        <v>0</v>
      </c>
      <c r="K2447" s="187">
        <f ca="1">OFFSET('IWP17'!Std9BillingInfo12, 10, 12, 1, 1)</f>
        <v>0</v>
      </c>
      <c r="L2447" s="179">
        <f ca="1">OFFSET('IWP17'!Std9BillingInfo12, 12, 8, 1, 1)</f>
        <v>0</v>
      </c>
      <c r="M2447" s="129"/>
    </row>
    <row r="2448" spans="1:13" s="146" customFormat="1">
      <c r="A2448" s="183" t="s">
        <v>515</v>
      </c>
      <c r="B2448" s="196">
        <v>13</v>
      </c>
      <c r="C2448" s="195" t="str">
        <f ca="1">IF(OFFSET('IWP17'!Std9BillingInfo13, 0, 0, 1, 1) = 0, "", OFFSET('IWP17'!Std9BillingInfo13, 0, 0, 1, 1))</f>
        <v/>
      </c>
      <c r="D2448" s="172">
        <f ca="1">IF(OFFSET('IWP17'!Std9BillingInfo13, 0, 1, 1, 1)=DATE(1900,1,0), DATE(1900,1,1), OFFSET('IWP17'!Std9BillingInfo13, 0, 1, 1, 1))</f>
        <v>1</v>
      </c>
      <c r="E2448" s="172">
        <f ca="1">IF(OFFSET('IWP17'!Std9BillingInfo13, 0, 2, 1, 1)=DATE(1900,1,0), DATE(1900,1,1), OFFSET('IWP17'!Std9BillingInfo13, 0, 2, 1, 1))</f>
        <v>1</v>
      </c>
      <c r="F2448" s="187">
        <f ca="1">OFFSET('IWP17'!Std9BillingInfo13, 0, 3, 1, 1)</f>
        <v>0</v>
      </c>
      <c r="G2448" s="187">
        <f ca="1">OFFSET('IWP17'!Std9BillingInfo13, 10, 6, 1, 1)</f>
        <v>0</v>
      </c>
      <c r="H2448" s="187">
        <f ca="1">OFFSET('IWP17'!Std9BillingInfo13, 11, 6, 1, 1)</f>
        <v>0</v>
      </c>
      <c r="I2448" s="187">
        <f ca="1">OFFSET('IWP17'!Std9BillingInfo13, 10, 8, 1, 1)</f>
        <v>0</v>
      </c>
      <c r="J2448" s="187">
        <f ca="1">OFFSET('IWP17'!Std9BillingInfo13, 10, 11, 1, 1)</f>
        <v>0</v>
      </c>
      <c r="K2448" s="187">
        <f ca="1">OFFSET('IWP17'!Std9BillingInfo13, 10, 12, 1, 1)</f>
        <v>0</v>
      </c>
      <c r="L2448" s="179">
        <f ca="1">OFFSET('IWP17'!Std9BillingInfo13, 12, 8, 1, 1)</f>
        <v>0</v>
      </c>
      <c r="M2448" s="129"/>
    </row>
    <row r="2449" spans="1:13" s="146" customFormat="1">
      <c r="A2449" s="183" t="s">
        <v>515</v>
      </c>
      <c r="B2449" s="196">
        <v>14</v>
      </c>
      <c r="C2449" s="195" t="str">
        <f ca="1">IF(OFFSET('IWP17'!Std9BillingInfo14, 0, 0, 1, 1) = 0, "", OFFSET('IWP17'!Std9BillingInfo14, 0, 0, 1, 1))</f>
        <v/>
      </c>
      <c r="D2449" s="172">
        <f ca="1">IF(OFFSET('IWP17'!Std9BillingInfo14, 0, 1, 1, 1)=DATE(1900,1,0), DATE(1900,1,1), OFFSET('IWP17'!Std9BillingInfo14, 0, 1, 1, 1))</f>
        <v>1</v>
      </c>
      <c r="E2449" s="172">
        <f ca="1">IF(OFFSET('IWP17'!Std9BillingInfo14, 0, 2, 1, 1)=DATE(1900,1,0), DATE(1900,1,1), OFFSET('IWP17'!Std9BillingInfo14, 0, 2, 1, 1))</f>
        <v>1</v>
      </c>
      <c r="F2449" s="187">
        <f ca="1">OFFSET('IWP17'!Std9BillingInfo14, 0, 3, 1, 1)</f>
        <v>0</v>
      </c>
      <c r="G2449" s="187">
        <f ca="1">OFFSET('IWP17'!Std9BillingInfo14, 10, 6, 1, 1)</f>
        <v>0</v>
      </c>
      <c r="H2449" s="187">
        <f ca="1">OFFSET('IWP17'!Std9BillingInfo14, 11, 6, 1, 1)</f>
        <v>0</v>
      </c>
      <c r="I2449" s="187">
        <f ca="1">OFFSET('IWP17'!Std9BillingInfo14, 10, 8, 1, 1)</f>
        <v>0</v>
      </c>
      <c r="J2449" s="187">
        <f ca="1">OFFSET('IWP17'!Std9BillingInfo14, 10, 11, 1, 1)</f>
        <v>0</v>
      </c>
      <c r="K2449" s="187">
        <f ca="1">OFFSET('IWP17'!Std9BillingInfo14, 10, 12, 1, 1)</f>
        <v>0</v>
      </c>
      <c r="L2449" s="179">
        <f ca="1">OFFSET('IWP17'!Std9BillingInfo14, 12, 8, 1, 1)</f>
        <v>0</v>
      </c>
      <c r="M2449" s="129"/>
    </row>
    <row r="2450" spans="1:13" s="146" customFormat="1">
      <c r="A2450" s="183" t="s">
        <v>515</v>
      </c>
      <c r="B2450" s="196">
        <v>15</v>
      </c>
      <c r="C2450" s="195" t="str">
        <f ca="1">IF(OFFSET('IWP17'!Std9BillingInfo15, 0, 0, 1, 1) = 0, "", OFFSET('IWP17'!Std9BillingInfo15, 0, 0, 1, 1))</f>
        <v/>
      </c>
      <c r="D2450" s="172">
        <f ca="1">IF(OFFSET('IWP17'!Std9BillingInfo15, 0, 1, 1, 1)=DATE(1900,1,0), DATE(1900,1,1), OFFSET('IWP17'!Std9BillingInfo15, 0, 1, 1, 1))</f>
        <v>1</v>
      </c>
      <c r="E2450" s="172">
        <f ca="1">IF(OFFSET('IWP17'!Std9BillingInfo15, 0, 2, 1, 1)=DATE(1900,1,0), DATE(1900,1,1), OFFSET('IWP17'!Std9BillingInfo15, 0, 2, 1, 1))</f>
        <v>1</v>
      </c>
      <c r="F2450" s="187">
        <f ca="1">OFFSET('IWP17'!Std9BillingInfo15, 0, 3, 1, 1)</f>
        <v>0</v>
      </c>
      <c r="G2450" s="187">
        <f ca="1">OFFSET('IWP17'!Std9BillingInfo15, 10, 6, 1, 1)</f>
        <v>0</v>
      </c>
      <c r="H2450" s="187">
        <f ca="1">OFFSET('IWP17'!Std9BillingInfo15, 11, 6, 1, 1)</f>
        <v>0</v>
      </c>
      <c r="I2450" s="187">
        <f ca="1">OFFSET('IWP17'!Std9BillingInfo15, 10, 8, 1, 1)</f>
        <v>0</v>
      </c>
      <c r="J2450" s="187">
        <f ca="1">OFFSET('IWP17'!Std9BillingInfo15, 10, 11, 1, 1)</f>
        <v>0</v>
      </c>
      <c r="K2450" s="187">
        <f ca="1">OFFSET('IWP17'!Std9BillingInfo15, 10, 12, 1, 1)</f>
        <v>0</v>
      </c>
      <c r="L2450" s="179">
        <f ca="1">OFFSET('IWP17'!Std9BillingInfo15, 12, 8, 1, 1)</f>
        <v>0</v>
      </c>
      <c r="M2450" s="129"/>
    </row>
    <row r="2451" spans="1:13" s="146" customFormat="1">
      <c r="A2451" s="183" t="s">
        <v>515</v>
      </c>
      <c r="B2451" s="196">
        <v>16</v>
      </c>
      <c r="C2451" s="195" t="str">
        <f ca="1">IF(OFFSET('IWP17'!Std9BillingInfo16, 0, 0, 1, 1) = 0, "", OFFSET('IWP17'!Std9BillingInfo16, 0, 0, 1, 1))</f>
        <v/>
      </c>
      <c r="D2451" s="172">
        <f ca="1">IF(OFFSET('IWP17'!Std9BillingInfo16, 0, 1, 1, 1)=DATE(1900,1,0), DATE(1900,1,1), OFFSET('IWP17'!Std9BillingInfo16, 0, 1, 1, 1))</f>
        <v>1</v>
      </c>
      <c r="E2451" s="172">
        <f ca="1">IF(OFFSET('IWP17'!Std9BillingInfo16, 0, 2, 1, 1)=DATE(1900,1,0), DATE(1900,1,1), OFFSET('IWP17'!Std9BillingInfo16, 0, 2, 1, 1))</f>
        <v>1</v>
      </c>
      <c r="F2451" s="187">
        <f ca="1">OFFSET('IWP17'!Std9BillingInfo16, 0, 3, 1, 1)</f>
        <v>0</v>
      </c>
      <c r="G2451" s="187">
        <f ca="1">OFFSET('IWP17'!Std9BillingInfo16, 10, 6, 1, 1)</f>
        <v>0</v>
      </c>
      <c r="H2451" s="187">
        <f ca="1">OFFSET('IWP17'!Std9BillingInfo16, 11, 6, 1, 1)</f>
        <v>0</v>
      </c>
      <c r="I2451" s="187">
        <f ca="1">OFFSET('IWP17'!Std9BillingInfo16, 10, 8, 1, 1)</f>
        <v>0</v>
      </c>
      <c r="J2451" s="187">
        <f ca="1">OFFSET('IWP17'!Std9BillingInfo16, 10, 11, 1, 1)</f>
        <v>0</v>
      </c>
      <c r="K2451" s="187">
        <f ca="1">OFFSET('IWP17'!Std9BillingInfo16, 10, 12, 1, 1)</f>
        <v>0</v>
      </c>
      <c r="L2451" s="179">
        <f ca="1">OFFSET('IWP17'!Std9BillingInfo16, 12, 8, 1, 1)</f>
        <v>0</v>
      </c>
      <c r="M2451" s="129"/>
    </row>
    <row r="2452" spans="1:13" s="146" customFormat="1">
      <c r="A2452" s="183" t="s">
        <v>515</v>
      </c>
      <c r="B2452" s="196">
        <v>17</v>
      </c>
      <c r="C2452" s="195" t="str">
        <f ca="1">IF(OFFSET('IWP17'!Std9BillingInfo17, 0, 0, 1, 1) = 0, "", OFFSET('IWP17'!Std9BillingInfo17, 0, 0, 1, 1))</f>
        <v/>
      </c>
      <c r="D2452" s="172">
        <f ca="1">IF(OFFSET('IWP17'!Std9BillingInfo17, 0, 1, 1, 1)=DATE(1900,1,0), DATE(1900,1,1), OFFSET('IWP17'!Std9BillingInfo17, 0, 1, 1, 1))</f>
        <v>1</v>
      </c>
      <c r="E2452" s="172">
        <f ca="1">IF(OFFSET('IWP17'!Std9BillingInfo17, 0, 2, 1, 1)=DATE(1900,1,0), DATE(1900,1,1), OFFSET('IWP17'!Std9BillingInfo17, 0, 2, 1, 1))</f>
        <v>1</v>
      </c>
      <c r="F2452" s="187">
        <f ca="1">OFFSET('IWP17'!Std9BillingInfo17, 0, 3, 1, 1)</f>
        <v>0</v>
      </c>
      <c r="G2452" s="187">
        <f ca="1">OFFSET('IWP17'!Std9BillingInfo17, 10, 6, 1, 1)</f>
        <v>0</v>
      </c>
      <c r="H2452" s="187">
        <f ca="1">OFFSET('IWP17'!Std9BillingInfo17, 11, 6, 1, 1)</f>
        <v>0</v>
      </c>
      <c r="I2452" s="187">
        <f ca="1">OFFSET('IWP17'!Std9BillingInfo17, 10, 8, 1, 1)</f>
        <v>0</v>
      </c>
      <c r="J2452" s="187">
        <f ca="1">OFFSET('IWP17'!Std9BillingInfo17, 10, 11, 1, 1)</f>
        <v>0</v>
      </c>
      <c r="K2452" s="187">
        <f ca="1">OFFSET('IWP17'!Std9BillingInfo17, 10, 12, 1, 1)</f>
        <v>0</v>
      </c>
      <c r="L2452" s="179">
        <f ca="1">OFFSET('IWP17'!Std9BillingInfo17, 12, 8, 1, 1)</f>
        <v>0</v>
      </c>
      <c r="M2452" s="129"/>
    </row>
    <row r="2453" spans="1:13" s="146" customFormat="1">
      <c r="A2453" s="183" t="s">
        <v>515</v>
      </c>
      <c r="B2453" s="196">
        <v>18</v>
      </c>
      <c r="C2453" s="195" t="str">
        <f ca="1">IF(OFFSET('IWP17'!Std9BillingInfo18, 0, 0, 1, 1) = 0, "", OFFSET('IWP17'!Std9BillingInfo18, 0, 0, 1, 1))</f>
        <v/>
      </c>
      <c r="D2453" s="172">
        <f ca="1">IF(OFFSET('IWP17'!Std9BillingInfo18, 0, 1, 1, 1)=DATE(1900,1,0), DATE(1900,1,1), OFFSET('IWP17'!Std9BillingInfo18, 0, 1, 1, 1))</f>
        <v>1</v>
      </c>
      <c r="E2453" s="172">
        <f ca="1">IF(OFFSET('IWP17'!Std9BillingInfo18, 0, 2, 1, 1)=DATE(1900,1,0), DATE(1900,1,1), OFFSET('IWP17'!Std9BillingInfo18, 0, 2, 1, 1))</f>
        <v>1</v>
      </c>
      <c r="F2453" s="187">
        <f ca="1">OFFSET('IWP17'!Std9BillingInfo18, 0, 3, 1, 1)</f>
        <v>0</v>
      </c>
      <c r="G2453" s="187">
        <f ca="1">OFFSET('IWP17'!Std9BillingInfo18, 10, 6, 1, 1)</f>
        <v>0</v>
      </c>
      <c r="H2453" s="187">
        <f ca="1">OFFSET('IWP17'!Std9BillingInfo18, 11, 6, 1, 1)</f>
        <v>0</v>
      </c>
      <c r="I2453" s="187">
        <f ca="1">OFFSET('IWP17'!Std9BillingInfo18, 10, 8, 1, 1)</f>
        <v>0</v>
      </c>
      <c r="J2453" s="187">
        <f ca="1">OFFSET('IWP17'!Std9BillingInfo18, 10, 11, 1, 1)</f>
        <v>0</v>
      </c>
      <c r="K2453" s="187">
        <f ca="1">OFFSET('IWP17'!Std9BillingInfo18, 10, 12, 1, 1)</f>
        <v>0</v>
      </c>
      <c r="L2453" s="179">
        <f ca="1">OFFSET('IWP17'!Std9BillingInfo18, 12, 8, 1, 1)</f>
        <v>0</v>
      </c>
      <c r="M2453" s="129"/>
    </row>
    <row r="2454" spans="1:13" s="146" customFormat="1">
      <c r="A2454" s="183" t="s">
        <v>516</v>
      </c>
      <c r="B2454" s="196">
        <v>1</v>
      </c>
      <c r="C2454" s="195" t="str">
        <f ca="1">IF(OFFSET('IWP18'!Std9BillingInfo01, 0, 0, 1, 1) = 0, "", OFFSET('IWP18'!Std9BillingInfo01, 0, 0, 1, 1))</f>
        <v/>
      </c>
      <c r="D2454" s="172">
        <f ca="1">IF(OFFSET('IWP18'!Std9BillingInfo01, 0, 1, 1, 1)=DATE(1900,1,0), DATE(1900,1,1), OFFSET('IWP18'!Std9BillingInfo01, 0, 1, 1, 1))</f>
        <v>1</v>
      </c>
      <c r="E2454" s="172">
        <f ca="1">IF(OFFSET('IWP18'!Std9BillingInfo01, 0, 2, 1, 1)=DATE(1900,1,0), DATE(1900,1,1), OFFSET('IWP18'!Std9BillingInfo01, 0, 2, 1, 1))</f>
        <v>1</v>
      </c>
      <c r="F2454" s="187">
        <f ca="1">OFFSET('IWP18'!Std9BillingInfo01, 0, 3, 1, 1)</f>
        <v>0</v>
      </c>
      <c r="G2454" s="187">
        <f ca="1">OFFSET('IWP18'!Std9BillingInfo01, 10, 6, 1, 1)</f>
        <v>0</v>
      </c>
      <c r="H2454" s="187">
        <f ca="1">OFFSET('IWP18'!Std9BillingInfo01, 11, 6, 1, 1)</f>
        <v>0</v>
      </c>
      <c r="I2454" s="187">
        <f ca="1">OFFSET('IWP18'!Std9BillingInfo01, 10, 8, 1, 1)</f>
        <v>0</v>
      </c>
      <c r="J2454" s="187">
        <f ca="1">OFFSET('IWP18'!Std9BillingInfo01, 10, 11, 1, 1)</f>
        <v>0</v>
      </c>
      <c r="K2454" s="187">
        <f ca="1">OFFSET('IWP18'!Std9BillingInfo01, 10, 12, 1, 1)</f>
        <v>0</v>
      </c>
      <c r="L2454" s="179">
        <f ca="1">OFFSET('IWP18'!Std9BillingInfo01, 12, 8, 1, 1)</f>
        <v>0</v>
      </c>
      <c r="M2454" s="129"/>
    </row>
    <row r="2455" spans="1:13" s="146" customFormat="1">
      <c r="A2455" s="183" t="s">
        <v>516</v>
      </c>
      <c r="B2455" s="196">
        <v>2</v>
      </c>
      <c r="C2455" s="195" t="str">
        <f ca="1">IF(OFFSET('IWP18'!Std9BillingInfo02, 0, 0, 1, 1) = 0, "", OFFSET('IWP18'!Std9BillingInfo02, 0, 0, 1, 1))</f>
        <v/>
      </c>
      <c r="D2455" s="172">
        <f ca="1">IF(OFFSET('IWP18'!Std9BillingInfo02, 0, 1, 1, 1)=DATE(1900,1,0), DATE(1900,1,1), OFFSET('IWP18'!Std9BillingInfo02, 0, 1, 1, 1))</f>
        <v>1</v>
      </c>
      <c r="E2455" s="172">
        <f ca="1">IF(OFFSET('IWP18'!Std9BillingInfo02, 0, 2, 1, 1)=DATE(1900,1,0), DATE(1900,1,1), OFFSET('IWP18'!Std9BillingInfo02, 0, 2, 1, 1))</f>
        <v>1</v>
      </c>
      <c r="F2455" s="187">
        <f ca="1">OFFSET('IWP18'!Std9BillingInfo02, 0, 3, 1, 1)</f>
        <v>0</v>
      </c>
      <c r="G2455" s="187">
        <f ca="1">OFFSET('IWP18'!Std9BillingInfo02, 10, 6, 1, 1)</f>
        <v>0</v>
      </c>
      <c r="H2455" s="187">
        <f ca="1">OFFSET('IWP18'!Std9BillingInfo02, 11, 6, 1, 1)</f>
        <v>0</v>
      </c>
      <c r="I2455" s="187">
        <f ca="1">OFFSET('IWP18'!Std9BillingInfo02, 10, 8, 1, 1)</f>
        <v>0</v>
      </c>
      <c r="J2455" s="187">
        <f ca="1">OFFSET('IWP18'!Std9BillingInfo02, 10, 11, 1, 1)</f>
        <v>0</v>
      </c>
      <c r="K2455" s="187">
        <f ca="1">OFFSET('IWP18'!Std9BillingInfo02, 10, 12, 1, 1)</f>
        <v>0</v>
      </c>
      <c r="L2455" s="179">
        <f ca="1">OFFSET('IWP18'!Std9BillingInfo02, 12, 8, 1, 1)</f>
        <v>0</v>
      </c>
      <c r="M2455" s="129"/>
    </row>
    <row r="2456" spans="1:13" s="146" customFormat="1">
      <c r="A2456" s="183" t="s">
        <v>516</v>
      </c>
      <c r="B2456" s="196">
        <v>3</v>
      </c>
      <c r="C2456" s="195" t="str">
        <f ca="1">IF(OFFSET('IWP18'!Std9BillingInfo03, 0, 0, 1, 1) = 0, "", OFFSET('IWP18'!Std9BillingInfo03, 0, 0, 1, 1))</f>
        <v/>
      </c>
      <c r="D2456" s="172">
        <f ca="1">IF(OFFSET('IWP18'!Std9BillingInfo03, 0, 1, 1, 1)=DATE(1900,1,0), DATE(1900,1,1), OFFSET('IWP18'!Std9BillingInfo03, 0, 1, 1, 1))</f>
        <v>1</v>
      </c>
      <c r="E2456" s="172">
        <f ca="1">IF(OFFSET('IWP18'!Std9BillingInfo03, 0, 2, 1, 1)=DATE(1900,1,0), DATE(1900,1,1), OFFSET('IWP18'!Std9BillingInfo03, 0, 2, 1, 1))</f>
        <v>1</v>
      </c>
      <c r="F2456" s="187">
        <f ca="1">OFFSET('IWP18'!Std9BillingInfo03, 0, 3, 1, 1)</f>
        <v>0</v>
      </c>
      <c r="G2456" s="187">
        <f ca="1">OFFSET('IWP18'!Std9BillingInfo03, 10, 6, 1, 1)</f>
        <v>0</v>
      </c>
      <c r="H2456" s="187">
        <f ca="1">OFFSET('IWP18'!Std9BillingInfo03, 11, 6, 1, 1)</f>
        <v>0</v>
      </c>
      <c r="I2456" s="187">
        <f ca="1">OFFSET('IWP18'!Std9BillingInfo03, 10, 8, 1, 1)</f>
        <v>0</v>
      </c>
      <c r="J2456" s="187">
        <f ca="1">OFFSET('IWP18'!Std9BillingInfo03, 10, 11, 1, 1)</f>
        <v>0</v>
      </c>
      <c r="K2456" s="187">
        <f ca="1">OFFSET('IWP18'!Std9BillingInfo03, 10, 12, 1, 1)</f>
        <v>0</v>
      </c>
      <c r="L2456" s="179">
        <f ca="1">OFFSET('IWP18'!Std9BillingInfo03, 12, 8, 1, 1)</f>
        <v>0</v>
      </c>
      <c r="M2456" s="129"/>
    </row>
    <row r="2457" spans="1:13" s="146" customFormat="1">
      <c r="A2457" s="183" t="s">
        <v>516</v>
      </c>
      <c r="B2457" s="196">
        <v>4</v>
      </c>
      <c r="C2457" s="195" t="str">
        <f ca="1">IF(OFFSET('IWP18'!Std9BillingInfo04, 0, 0, 1, 1) = 0, "", OFFSET('IWP18'!Std9BillingInfo04, 0, 0, 1, 1))</f>
        <v/>
      </c>
      <c r="D2457" s="172">
        <f ca="1">IF(OFFSET('IWP18'!Std9BillingInfo04, 0, 1, 1, 1)=DATE(1900,1,0), DATE(1900,1,1), OFFSET('IWP18'!Std9BillingInfo04, 0, 1, 1, 1))</f>
        <v>1</v>
      </c>
      <c r="E2457" s="172">
        <f ca="1">IF(OFFSET('IWP18'!Std9BillingInfo04, 0, 2, 1, 1)=DATE(1900,1,0), DATE(1900,1,1), OFFSET('IWP18'!Std9BillingInfo04, 0, 2, 1, 1))</f>
        <v>1</v>
      </c>
      <c r="F2457" s="187">
        <f ca="1">OFFSET('IWP18'!Std9BillingInfo04, 0, 3, 1, 1)</f>
        <v>0</v>
      </c>
      <c r="G2457" s="187">
        <f ca="1">OFFSET('IWP18'!Std9BillingInfo04, 10, 6, 1, 1)</f>
        <v>0</v>
      </c>
      <c r="H2457" s="187">
        <f ca="1">OFFSET('IWP18'!Std9BillingInfo04, 11, 6, 1, 1)</f>
        <v>0</v>
      </c>
      <c r="I2457" s="187">
        <f ca="1">OFFSET('IWP18'!Std9BillingInfo04, 10, 8, 1, 1)</f>
        <v>0</v>
      </c>
      <c r="J2457" s="187">
        <f ca="1">OFFSET('IWP18'!Std9BillingInfo04, 10, 11, 1, 1)</f>
        <v>0</v>
      </c>
      <c r="K2457" s="187">
        <f ca="1">OFFSET('IWP18'!Std9BillingInfo04, 10, 12, 1, 1)</f>
        <v>0</v>
      </c>
      <c r="L2457" s="179">
        <f ca="1">OFFSET('IWP18'!Std9BillingInfo04, 12, 8, 1, 1)</f>
        <v>0</v>
      </c>
      <c r="M2457" s="129"/>
    </row>
    <row r="2458" spans="1:13" s="146" customFormat="1">
      <c r="A2458" s="183" t="s">
        <v>516</v>
      </c>
      <c r="B2458" s="196">
        <v>5</v>
      </c>
      <c r="C2458" s="195" t="str">
        <f ca="1">IF(OFFSET('IWP18'!Std9BillingInfo05, 0, 0, 1, 1) = 0, "", OFFSET('IWP18'!Std9BillingInfo05, 0, 0, 1, 1))</f>
        <v/>
      </c>
      <c r="D2458" s="172">
        <f ca="1">IF(OFFSET('IWP18'!Std9BillingInfo05, 0, 1, 1, 1)=DATE(1900,1,0), DATE(1900,1,1), OFFSET('IWP18'!Std9BillingInfo05, 0, 1, 1, 1))</f>
        <v>1</v>
      </c>
      <c r="E2458" s="172">
        <f ca="1">IF(OFFSET('IWP18'!Std9BillingInfo05, 0, 2, 1, 1)=DATE(1900,1,0), DATE(1900,1,1), OFFSET('IWP18'!Std9BillingInfo05, 0, 2, 1, 1))</f>
        <v>1</v>
      </c>
      <c r="F2458" s="187">
        <f ca="1">OFFSET('IWP18'!Std9BillingInfo05, 0, 3, 1, 1)</f>
        <v>0</v>
      </c>
      <c r="G2458" s="187">
        <f ca="1">OFFSET('IWP18'!Std9BillingInfo05, 10, 6, 1, 1)</f>
        <v>0</v>
      </c>
      <c r="H2458" s="187">
        <f ca="1">OFFSET('IWP18'!Std9BillingInfo05, 11, 6, 1, 1)</f>
        <v>0</v>
      </c>
      <c r="I2458" s="187">
        <f ca="1">OFFSET('IWP18'!Std9BillingInfo05, 10, 8, 1, 1)</f>
        <v>0</v>
      </c>
      <c r="J2458" s="187">
        <f ca="1">OFFSET('IWP18'!Std9BillingInfo05, 10, 11, 1, 1)</f>
        <v>0</v>
      </c>
      <c r="K2458" s="187">
        <f ca="1">OFFSET('IWP18'!Std9BillingInfo05, 10, 12, 1, 1)</f>
        <v>0</v>
      </c>
      <c r="L2458" s="179">
        <f ca="1">OFFSET('IWP18'!Std9BillingInfo05, 12, 8, 1, 1)</f>
        <v>0</v>
      </c>
      <c r="M2458" s="129"/>
    </row>
    <row r="2459" spans="1:13" s="146" customFormat="1">
      <c r="A2459" s="183" t="s">
        <v>516</v>
      </c>
      <c r="B2459" s="196">
        <v>6</v>
      </c>
      <c r="C2459" s="195" t="str">
        <f ca="1">IF(OFFSET('IWP18'!Std9BillingInfo06, 0, 0, 1, 1) = 0, "", OFFSET('IWP18'!Std9BillingInfo06, 0, 0, 1, 1))</f>
        <v/>
      </c>
      <c r="D2459" s="172">
        <f ca="1">IF(OFFSET('IWP18'!Std9BillingInfo06, 0, 1, 1, 1)=DATE(1900,1,0), DATE(1900,1,1), OFFSET('IWP18'!Std9BillingInfo06, 0, 1, 1, 1))</f>
        <v>1</v>
      </c>
      <c r="E2459" s="172">
        <f ca="1">IF(OFFSET('IWP18'!Std9BillingInfo06, 0, 2, 1, 1)=DATE(1900,1,0), DATE(1900,1,1), OFFSET('IWP18'!Std9BillingInfo06, 0, 2, 1, 1))</f>
        <v>1</v>
      </c>
      <c r="F2459" s="187">
        <f ca="1">OFFSET('IWP18'!Std9BillingInfo06, 0, 3, 1, 1)</f>
        <v>0</v>
      </c>
      <c r="G2459" s="187">
        <f ca="1">OFFSET('IWP18'!Std9BillingInfo06, 10, 6, 1, 1)</f>
        <v>0</v>
      </c>
      <c r="H2459" s="187">
        <f ca="1">OFFSET('IWP18'!Std9BillingInfo06, 11, 6, 1, 1)</f>
        <v>0</v>
      </c>
      <c r="I2459" s="187">
        <f ca="1">OFFSET('IWP18'!Std9BillingInfo06, 10, 8, 1, 1)</f>
        <v>0</v>
      </c>
      <c r="J2459" s="187">
        <f ca="1">OFFSET('IWP18'!Std9BillingInfo06, 10, 11, 1, 1)</f>
        <v>0</v>
      </c>
      <c r="K2459" s="187">
        <f ca="1">OFFSET('IWP18'!Std9BillingInfo06, 10, 12, 1, 1)</f>
        <v>0</v>
      </c>
      <c r="L2459" s="179">
        <f ca="1">OFFSET('IWP18'!Std9BillingInfo06, 12, 8, 1, 1)</f>
        <v>0</v>
      </c>
      <c r="M2459" s="129"/>
    </row>
    <row r="2460" spans="1:13" s="146" customFormat="1">
      <c r="A2460" s="183" t="s">
        <v>516</v>
      </c>
      <c r="B2460" s="196">
        <v>7</v>
      </c>
      <c r="C2460" s="195" t="str">
        <f ca="1">IF(OFFSET('IWP18'!Std9BillingInfo07, 0, 0, 1, 1) = 0, "", OFFSET('IWP18'!Std9BillingInfo07, 0, 0, 1, 1))</f>
        <v/>
      </c>
      <c r="D2460" s="172">
        <f ca="1">IF(OFFSET('IWP18'!Std9BillingInfo07, 0, 1, 1, 1)=DATE(1900,1,0), DATE(1900,1,1), OFFSET('IWP18'!Std9BillingInfo07, 0, 1, 1, 1))</f>
        <v>1</v>
      </c>
      <c r="E2460" s="172">
        <f ca="1">IF(OFFSET('IWP18'!Std9BillingInfo07, 0, 2, 1, 1)=DATE(1900,1,0), DATE(1900,1,1), OFFSET('IWP18'!Std9BillingInfo07, 0, 2, 1, 1))</f>
        <v>1</v>
      </c>
      <c r="F2460" s="187">
        <f ca="1">OFFSET('IWP18'!Std9BillingInfo07, 0, 3, 1, 1)</f>
        <v>0</v>
      </c>
      <c r="G2460" s="187">
        <f ca="1">OFFSET('IWP18'!Std9BillingInfo07, 10, 6, 1, 1)</f>
        <v>0</v>
      </c>
      <c r="H2460" s="187">
        <f ca="1">OFFSET('IWP18'!Std9BillingInfo07, 11, 6, 1, 1)</f>
        <v>0</v>
      </c>
      <c r="I2460" s="187">
        <f ca="1">OFFSET('IWP18'!Std9BillingInfo07, 10, 8, 1, 1)</f>
        <v>0</v>
      </c>
      <c r="J2460" s="187">
        <f ca="1">OFFSET('IWP18'!Std9BillingInfo07, 10, 11, 1, 1)</f>
        <v>0</v>
      </c>
      <c r="K2460" s="187">
        <f ca="1">OFFSET('IWP18'!Std9BillingInfo07, 10, 12, 1, 1)</f>
        <v>0</v>
      </c>
      <c r="L2460" s="179">
        <f ca="1">OFFSET('IWP18'!Std9BillingInfo07, 12, 8, 1, 1)</f>
        <v>0</v>
      </c>
      <c r="M2460" s="129"/>
    </row>
    <row r="2461" spans="1:13" s="146" customFormat="1">
      <c r="A2461" s="183" t="s">
        <v>516</v>
      </c>
      <c r="B2461" s="196">
        <v>8</v>
      </c>
      <c r="C2461" s="195" t="str">
        <f ca="1">IF(OFFSET('IWP18'!Std9BillingInfo08, 0, 0, 1, 1) = 0, "", OFFSET('IWP18'!Std9BillingInfo08, 0, 0, 1, 1))</f>
        <v/>
      </c>
      <c r="D2461" s="172">
        <f ca="1">IF(OFFSET('IWP18'!Std9BillingInfo08, 0, 1, 1, 1)=DATE(1900,1,0), DATE(1900,1,1), OFFSET('IWP18'!Std9BillingInfo08, 0, 1, 1, 1))</f>
        <v>1</v>
      </c>
      <c r="E2461" s="172">
        <f ca="1">IF(OFFSET('IWP18'!Std9BillingInfo08, 0, 2, 1, 1)=DATE(1900,1,0), DATE(1900,1,1), OFFSET('IWP18'!Std9BillingInfo08, 0, 2, 1, 1))</f>
        <v>1</v>
      </c>
      <c r="F2461" s="187">
        <f ca="1">OFFSET('IWP18'!Std9BillingInfo08, 0, 3, 1, 1)</f>
        <v>0</v>
      </c>
      <c r="G2461" s="187">
        <f ca="1">OFFSET('IWP18'!Std9BillingInfo08, 10, 6, 1, 1)</f>
        <v>0</v>
      </c>
      <c r="H2461" s="187">
        <f ca="1">OFFSET('IWP18'!Std9BillingInfo08, 11, 6, 1, 1)</f>
        <v>0</v>
      </c>
      <c r="I2461" s="187">
        <f ca="1">OFFSET('IWP18'!Std9BillingInfo08, 10, 8, 1, 1)</f>
        <v>0</v>
      </c>
      <c r="J2461" s="187">
        <f ca="1">OFFSET('IWP18'!Std9BillingInfo08, 10, 11, 1, 1)</f>
        <v>0</v>
      </c>
      <c r="K2461" s="187">
        <f ca="1">OFFSET('IWP18'!Std9BillingInfo08, 10, 12, 1, 1)</f>
        <v>0</v>
      </c>
      <c r="L2461" s="179">
        <f ca="1">OFFSET('IWP18'!Std9BillingInfo08, 12, 8, 1, 1)</f>
        <v>0</v>
      </c>
      <c r="M2461" s="129"/>
    </row>
    <row r="2462" spans="1:13" s="146" customFormat="1">
      <c r="A2462" s="183" t="s">
        <v>516</v>
      </c>
      <c r="B2462" s="196">
        <v>9</v>
      </c>
      <c r="C2462" s="195" t="str">
        <f ca="1">IF(OFFSET('IWP18'!Std9BillingInfo09, 0, 0, 1, 1) = 0, "", OFFSET('IWP18'!Std9BillingInfo09, 0, 0, 1, 1))</f>
        <v/>
      </c>
      <c r="D2462" s="172">
        <f ca="1">IF(OFFSET('IWP18'!Std9BillingInfo09, 0, 1, 1, 1)=DATE(1900,1,0), DATE(1900,1,1), OFFSET('IWP18'!Std9BillingInfo09, 0, 1, 1, 1))</f>
        <v>1</v>
      </c>
      <c r="E2462" s="172">
        <f ca="1">IF(OFFSET('IWP18'!Std9BillingInfo09, 0, 2, 1, 1)=DATE(1900,1,0), DATE(1900,1,1), OFFSET('IWP18'!Std9BillingInfo09, 0, 2, 1, 1))</f>
        <v>1</v>
      </c>
      <c r="F2462" s="187">
        <f ca="1">OFFSET('IWP18'!Std9BillingInfo09, 0, 3, 1, 1)</f>
        <v>0</v>
      </c>
      <c r="G2462" s="187">
        <f ca="1">OFFSET('IWP18'!Std9BillingInfo09, 10, 6, 1, 1)</f>
        <v>0</v>
      </c>
      <c r="H2462" s="187">
        <f ca="1">OFFSET('IWP18'!Std9BillingInfo09, 11, 6, 1, 1)</f>
        <v>0</v>
      </c>
      <c r="I2462" s="187">
        <f ca="1">OFFSET('IWP18'!Std9BillingInfo09, 10, 8, 1, 1)</f>
        <v>0</v>
      </c>
      <c r="J2462" s="187">
        <f ca="1">OFFSET('IWP18'!Std9BillingInfo09, 10, 11, 1, 1)</f>
        <v>0</v>
      </c>
      <c r="K2462" s="187">
        <f ca="1">OFFSET('IWP18'!Std9BillingInfo09, 10, 12, 1, 1)</f>
        <v>0</v>
      </c>
      <c r="L2462" s="179">
        <f ca="1">OFFSET('IWP18'!Std9BillingInfo09, 12, 8, 1, 1)</f>
        <v>0</v>
      </c>
      <c r="M2462" s="129"/>
    </row>
    <row r="2463" spans="1:13" s="146" customFormat="1">
      <c r="A2463" s="183" t="s">
        <v>516</v>
      </c>
      <c r="B2463" s="196">
        <v>10</v>
      </c>
      <c r="C2463" s="195" t="str">
        <f ca="1">IF(OFFSET('IWP18'!Std9BillingInfo10, 0, 0, 1, 1) = 0, "", OFFSET('IWP18'!Std9BillingInfo10, 0, 0, 1, 1))</f>
        <v/>
      </c>
      <c r="D2463" s="172">
        <f ca="1">IF(OFFSET('IWP18'!Std9BillingInfo10, 0, 1, 1, 1)=DATE(1900,1,0), DATE(1900,1,1), OFFSET('IWP18'!Std9BillingInfo10, 0, 1, 1, 1))</f>
        <v>1</v>
      </c>
      <c r="E2463" s="172">
        <f ca="1">IF(OFFSET('IWP18'!Std9BillingInfo10, 0, 2, 1, 1)=DATE(1900,1,0), DATE(1900,1,1), OFFSET('IWP18'!Std9BillingInfo10, 0, 2, 1, 1))</f>
        <v>1</v>
      </c>
      <c r="F2463" s="187">
        <f ca="1">OFFSET('IWP18'!Std9BillingInfo10, 0, 3, 1, 1)</f>
        <v>0</v>
      </c>
      <c r="G2463" s="187">
        <f ca="1">OFFSET('IWP18'!Std9BillingInfo10, 10, 6, 1, 1)</f>
        <v>0</v>
      </c>
      <c r="H2463" s="187">
        <f ca="1">OFFSET('IWP18'!Std9BillingInfo10, 11, 6, 1, 1)</f>
        <v>0</v>
      </c>
      <c r="I2463" s="187">
        <f ca="1">OFFSET('IWP18'!Std9BillingInfo10, 10, 8, 1, 1)</f>
        <v>0</v>
      </c>
      <c r="J2463" s="187">
        <f ca="1">OFFSET('IWP18'!Std9BillingInfo10, 10, 11, 1, 1)</f>
        <v>0</v>
      </c>
      <c r="K2463" s="187">
        <f ca="1">OFFSET('IWP18'!Std9BillingInfo10, 10, 12, 1, 1)</f>
        <v>0</v>
      </c>
      <c r="L2463" s="179">
        <f ca="1">OFFSET('IWP18'!Std9BillingInfo10, 12, 8, 1, 1)</f>
        <v>0</v>
      </c>
      <c r="M2463" s="129"/>
    </row>
    <row r="2464" spans="1:13" s="146" customFormat="1">
      <c r="A2464" s="183" t="s">
        <v>516</v>
      </c>
      <c r="B2464" s="196">
        <v>11</v>
      </c>
      <c r="C2464" s="195" t="str">
        <f ca="1">IF(OFFSET('IWP18'!Std9BillingInfo11, 0, 0, 1, 1) = 0, "", OFFSET('IWP18'!Std9BillingInfo11, 0, 0, 1, 1))</f>
        <v/>
      </c>
      <c r="D2464" s="172">
        <f ca="1">IF(OFFSET('IWP18'!Std9BillingInfo11, 0, 1, 1, 1)=DATE(1900,1,0), DATE(1900,1,1), OFFSET('IWP18'!Std9BillingInfo11, 0, 1, 1, 1))</f>
        <v>1</v>
      </c>
      <c r="E2464" s="172">
        <f ca="1">IF(OFFSET('IWP18'!Std9BillingInfo11, 0, 2, 1, 1)=DATE(1900,1,0), DATE(1900,1,1), OFFSET('IWP18'!Std9BillingInfo11, 0, 2, 1, 1))</f>
        <v>1</v>
      </c>
      <c r="F2464" s="187">
        <f ca="1">OFFSET('IWP18'!Std9BillingInfo11, 0, 3, 1, 1)</f>
        <v>0</v>
      </c>
      <c r="G2464" s="187">
        <f ca="1">OFFSET('IWP18'!Std9BillingInfo11, 10, 6, 1, 1)</f>
        <v>0</v>
      </c>
      <c r="H2464" s="187">
        <f ca="1">OFFSET('IWP18'!Std9BillingInfo11, 11, 6, 1, 1)</f>
        <v>0</v>
      </c>
      <c r="I2464" s="187">
        <f ca="1">OFFSET('IWP18'!Std9BillingInfo11, 10, 8, 1, 1)</f>
        <v>0</v>
      </c>
      <c r="J2464" s="187">
        <f ca="1">OFFSET('IWP18'!Std9BillingInfo11, 10, 11, 1, 1)</f>
        <v>0</v>
      </c>
      <c r="K2464" s="187">
        <f ca="1">OFFSET('IWP18'!Std9BillingInfo11, 10, 12, 1, 1)</f>
        <v>0</v>
      </c>
      <c r="L2464" s="179">
        <f ca="1">OFFSET('IWP18'!Std9BillingInfo11, 12, 8, 1, 1)</f>
        <v>0</v>
      </c>
      <c r="M2464" s="129"/>
    </row>
    <row r="2465" spans="1:13" s="146" customFormat="1">
      <c r="A2465" s="183" t="s">
        <v>516</v>
      </c>
      <c r="B2465" s="196">
        <v>12</v>
      </c>
      <c r="C2465" s="195" t="str">
        <f ca="1">IF(OFFSET('IWP18'!Std9BillingInfo12, 0, 0, 1, 1) = 0, "", OFFSET('IWP18'!Std9BillingInfo12, 0, 0, 1, 1))</f>
        <v/>
      </c>
      <c r="D2465" s="172">
        <f ca="1">IF(OFFSET('IWP18'!Std9BillingInfo12, 0, 1, 1, 1)=DATE(1900,1,0), DATE(1900,1,1), OFFSET('IWP18'!Std9BillingInfo12, 0, 1, 1, 1))</f>
        <v>1</v>
      </c>
      <c r="E2465" s="172">
        <f ca="1">IF(OFFSET('IWP18'!Std9BillingInfo12, 0, 2, 1, 1)=DATE(1900,1,0), DATE(1900,1,1), OFFSET('IWP18'!Std9BillingInfo12, 0, 2, 1, 1))</f>
        <v>1</v>
      </c>
      <c r="F2465" s="187">
        <f ca="1">OFFSET('IWP18'!Std9BillingInfo12, 0, 3, 1, 1)</f>
        <v>0</v>
      </c>
      <c r="G2465" s="187">
        <f ca="1">OFFSET('IWP18'!Std9BillingInfo12, 10, 6, 1, 1)</f>
        <v>0</v>
      </c>
      <c r="H2465" s="187">
        <f ca="1">OFFSET('IWP18'!Std9BillingInfo12, 11, 6, 1, 1)</f>
        <v>0</v>
      </c>
      <c r="I2465" s="187">
        <f ca="1">OFFSET('IWP18'!Std9BillingInfo12, 10, 8, 1, 1)</f>
        <v>0</v>
      </c>
      <c r="J2465" s="187">
        <f ca="1">OFFSET('IWP18'!Std9BillingInfo12, 10, 11, 1, 1)</f>
        <v>0</v>
      </c>
      <c r="K2465" s="187">
        <f ca="1">OFFSET('IWP18'!Std9BillingInfo12, 10, 12, 1, 1)</f>
        <v>0</v>
      </c>
      <c r="L2465" s="179">
        <f ca="1">OFFSET('IWP18'!Std9BillingInfo12, 12, 8, 1, 1)</f>
        <v>0</v>
      </c>
      <c r="M2465" s="129"/>
    </row>
    <row r="2466" spans="1:13" s="146" customFormat="1">
      <c r="A2466" s="183" t="s">
        <v>516</v>
      </c>
      <c r="B2466" s="196">
        <v>13</v>
      </c>
      <c r="C2466" s="195" t="str">
        <f ca="1">IF(OFFSET('IWP18'!Std9BillingInfo13, 0, 0, 1, 1) = 0, "", OFFSET('IWP18'!Std9BillingInfo13, 0, 0, 1, 1))</f>
        <v/>
      </c>
      <c r="D2466" s="172">
        <f ca="1">IF(OFFSET('IWP18'!Std9BillingInfo13, 0, 1, 1, 1)=DATE(1900,1,0), DATE(1900,1,1), OFFSET('IWP18'!Std9BillingInfo13, 0, 1, 1, 1))</f>
        <v>1</v>
      </c>
      <c r="E2466" s="172">
        <f ca="1">IF(OFFSET('IWP18'!Std9BillingInfo13, 0, 2, 1, 1)=DATE(1900,1,0), DATE(1900,1,1), OFFSET('IWP18'!Std9BillingInfo13, 0, 2, 1, 1))</f>
        <v>1</v>
      </c>
      <c r="F2466" s="187">
        <f ca="1">OFFSET('IWP18'!Std9BillingInfo13, 0, 3, 1, 1)</f>
        <v>0</v>
      </c>
      <c r="G2466" s="187">
        <f ca="1">OFFSET('IWP18'!Std9BillingInfo13, 10, 6, 1, 1)</f>
        <v>0</v>
      </c>
      <c r="H2466" s="187">
        <f ca="1">OFFSET('IWP18'!Std9BillingInfo13, 11, 6, 1, 1)</f>
        <v>0</v>
      </c>
      <c r="I2466" s="187">
        <f ca="1">OFFSET('IWP18'!Std9BillingInfo13, 10, 8, 1, 1)</f>
        <v>0</v>
      </c>
      <c r="J2466" s="187">
        <f ca="1">OFFSET('IWP18'!Std9BillingInfo13, 10, 11, 1, 1)</f>
        <v>0</v>
      </c>
      <c r="K2466" s="187">
        <f ca="1">OFFSET('IWP18'!Std9BillingInfo13, 10, 12, 1, 1)</f>
        <v>0</v>
      </c>
      <c r="L2466" s="179">
        <f ca="1">OFFSET('IWP18'!Std9BillingInfo13, 12, 8, 1, 1)</f>
        <v>0</v>
      </c>
      <c r="M2466" s="129"/>
    </row>
    <row r="2467" spans="1:13" s="146" customFormat="1">
      <c r="A2467" s="183" t="s">
        <v>516</v>
      </c>
      <c r="B2467" s="196">
        <v>14</v>
      </c>
      <c r="C2467" s="195" t="str">
        <f ca="1">IF(OFFSET('IWP18'!Std9BillingInfo14, 0, 0, 1, 1) = 0, "", OFFSET('IWP18'!Std9BillingInfo14, 0, 0, 1, 1))</f>
        <v/>
      </c>
      <c r="D2467" s="172">
        <f ca="1">IF(OFFSET('IWP18'!Std9BillingInfo14, 0, 1, 1, 1)=DATE(1900,1,0), DATE(1900,1,1), OFFSET('IWP18'!Std9BillingInfo14, 0, 1, 1, 1))</f>
        <v>1</v>
      </c>
      <c r="E2467" s="172">
        <f ca="1">IF(OFFSET('IWP18'!Std9BillingInfo14, 0, 2, 1, 1)=DATE(1900,1,0), DATE(1900,1,1), OFFSET('IWP18'!Std9BillingInfo14, 0, 2, 1, 1))</f>
        <v>1</v>
      </c>
      <c r="F2467" s="187">
        <f ca="1">OFFSET('IWP18'!Std9BillingInfo14, 0, 3, 1, 1)</f>
        <v>0</v>
      </c>
      <c r="G2467" s="187">
        <f ca="1">OFFSET('IWP18'!Std9BillingInfo14, 10, 6, 1, 1)</f>
        <v>0</v>
      </c>
      <c r="H2467" s="187">
        <f ca="1">OFFSET('IWP18'!Std9BillingInfo14, 11, 6, 1, 1)</f>
        <v>0</v>
      </c>
      <c r="I2467" s="187">
        <f ca="1">OFFSET('IWP18'!Std9BillingInfo14, 10, 8, 1, 1)</f>
        <v>0</v>
      </c>
      <c r="J2467" s="187">
        <f ca="1">OFFSET('IWP18'!Std9BillingInfo14, 10, 11, 1, 1)</f>
        <v>0</v>
      </c>
      <c r="K2467" s="187">
        <f ca="1">OFFSET('IWP18'!Std9BillingInfo14, 10, 12, 1, 1)</f>
        <v>0</v>
      </c>
      <c r="L2467" s="179">
        <f ca="1">OFFSET('IWP18'!Std9BillingInfo14, 12, 8, 1, 1)</f>
        <v>0</v>
      </c>
      <c r="M2467" s="129"/>
    </row>
    <row r="2468" spans="1:13" s="146" customFormat="1">
      <c r="A2468" s="183" t="s">
        <v>516</v>
      </c>
      <c r="B2468" s="196">
        <v>15</v>
      </c>
      <c r="C2468" s="195" t="str">
        <f ca="1">IF(OFFSET('IWP18'!Std9BillingInfo15, 0, 0, 1, 1) = 0, "", OFFSET('IWP18'!Std9BillingInfo15, 0, 0, 1, 1))</f>
        <v/>
      </c>
      <c r="D2468" s="172">
        <f ca="1">IF(OFFSET('IWP18'!Std9BillingInfo15, 0, 1, 1, 1)=DATE(1900,1,0), DATE(1900,1,1), OFFSET('IWP18'!Std9BillingInfo15, 0, 1, 1, 1))</f>
        <v>1</v>
      </c>
      <c r="E2468" s="172">
        <f ca="1">IF(OFFSET('IWP18'!Std9BillingInfo15, 0, 2, 1, 1)=DATE(1900,1,0), DATE(1900,1,1), OFFSET('IWP18'!Std9BillingInfo15, 0, 2, 1, 1))</f>
        <v>1</v>
      </c>
      <c r="F2468" s="187">
        <f ca="1">OFFSET('IWP18'!Std9BillingInfo15, 0, 3, 1, 1)</f>
        <v>0</v>
      </c>
      <c r="G2468" s="187">
        <f ca="1">OFFSET('IWP18'!Std9BillingInfo15, 10, 6, 1, 1)</f>
        <v>0</v>
      </c>
      <c r="H2468" s="187">
        <f ca="1">OFFSET('IWP18'!Std9BillingInfo15, 11, 6, 1, 1)</f>
        <v>0</v>
      </c>
      <c r="I2468" s="187">
        <f ca="1">OFFSET('IWP18'!Std9BillingInfo15, 10, 8, 1, 1)</f>
        <v>0</v>
      </c>
      <c r="J2468" s="187">
        <f ca="1">OFFSET('IWP18'!Std9BillingInfo15, 10, 11, 1, 1)</f>
        <v>0</v>
      </c>
      <c r="K2468" s="187">
        <f ca="1">OFFSET('IWP18'!Std9BillingInfo15, 10, 12, 1, 1)</f>
        <v>0</v>
      </c>
      <c r="L2468" s="179">
        <f ca="1">OFFSET('IWP18'!Std9BillingInfo15, 12, 8, 1, 1)</f>
        <v>0</v>
      </c>
      <c r="M2468" s="129"/>
    </row>
    <row r="2469" spans="1:13" s="146" customFormat="1">
      <c r="A2469" s="183" t="s">
        <v>516</v>
      </c>
      <c r="B2469" s="196">
        <v>16</v>
      </c>
      <c r="C2469" s="195" t="str">
        <f ca="1">IF(OFFSET('IWP18'!Std9BillingInfo16, 0, 0, 1, 1) = 0, "", OFFSET('IWP18'!Std9BillingInfo16, 0, 0, 1, 1))</f>
        <v/>
      </c>
      <c r="D2469" s="172">
        <f ca="1">IF(OFFSET('IWP18'!Std9BillingInfo16, 0, 1, 1, 1)=DATE(1900,1,0), DATE(1900,1,1), OFFSET('IWP18'!Std9BillingInfo16, 0, 1, 1, 1))</f>
        <v>1</v>
      </c>
      <c r="E2469" s="172">
        <f ca="1">IF(OFFSET('IWP18'!Std9BillingInfo16, 0, 2, 1, 1)=DATE(1900,1,0), DATE(1900,1,1), OFFSET('IWP18'!Std9BillingInfo16, 0, 2, 1, 1))</f>
        <v>1</v>
      </c>
      <c r="F2469" s="187">
        <f ca="1">OFFSET('IWP18'!Std9BillingInfo16, 0, 3, 1, 1)</f>
        <v>0</v>
      </c>
      <c r="G2469" s="187">
        <f ca="1">OFFSET('IWP18'!Std9BillingInfo16, 10, 6, 1, 1)</f>
        <v>0</v>
      </c>
      <c r="H2469" s="187">
        <f ca="1">OFFSET('IWP18'!Std9BillingInfo16, 11, 6, 1, 1)</f>
        <v>0</v>
      </c>
      <c r="I2469" s="187">
        <f ca="1">OFFSET('IWP18'!Std9BillingInfo16, 10, 8, 1, 1)</f>
        <v>0</v>
      </c>
      <c r="J2469" s="187">
        <f ca="1">OFFSET('IWP18'!Std9BillingInfo16, 10, 11, 1, 1)</f>
        <v>0</v>
      </c>
      <c r="K2469" s="187">
        <f ca="1">OFFSET('IWP18'!Std9BillingInfo16, 10, 12, 1, 1)</f>
        <v>0</v>
      </c>
      <c r="L2469" s="179">
        <f ca="1">OFFSET('IWP18'!Std9BillingInfo16, 12, 8, 1, 1)</f>
        <v>0</v>
      </c>
      <c r="M2469" s="129"/>
    </row>
    <row r="2470" spans="1:13" s="146" customFormat="1">
      <c r="A2470" s="183" t="s">
        <v>516</v>
      </c>
      <c r="B2470" s="196">
        <v>17</v>
      </c>
      <c r="C2470" s="195" t="str">
        <f ca="1">IF(OFFSET('IWP18'!Std9BillingInfo17, 0, 0, 1, 1) = 0, "", OFFSET('IWP18'!Std9BillingInfo17, 0, 0, 1, 1))</f>
        <v/>
      </c>
      <c r="D2470" s="172">
        <f ca="1">IF(OFFSET('IWP18'!Std9BillingInfo17, 0, 1, 1, 1)=DATE(1900,1,0), DATE(1900,1,1), OFFSET('IWP18'!Std9BillingInfo17, 0, 1, 1, 1))</f>
        <v>1</v>
      </c>
      <c r="E2470" s="172">
        <f ca="1">IF(OFFSET('IWP18'!Std9BillingInfo17, 0, 2, 1, 1)=DATE(1900,1,0), DATE(1900,1,1), OFFSET('IWP18'!Std9BillingInfo17, 0, 2, 1, 1))</f>
        <v>1</v>
      </c>
      <c r="F2470" s="187">
        <f ca="1">OFFSET('IWP18'!Std9BillingInfo17, 0, 3, 1, 1)</f>
        <v>0</v>
      </c>
      <c r="G2470" s="187">
        <f ca="1">OFFSET('IWP18'!Std9BillingInfo17, 10, 6, 1, 1)</f>
        <v>0</v>
      </c>
      <c r="H2470" s="187">
        <f ca="1">OFFSET('IWP18'!Std9BillingInfo17, 11, 6, 1, 1)</f>
        <v>0</v>
      </c>
      <c r="I2470" s="187">
        <f ca="1">OFFSET('IWP18'!Std9BillingInfo17, 10, 8, 1, 1)</f>
        <v>0</v>
      </c>
      <c r="J2470" s="187">
        <f ca="1">OFFSET('IWP18'!Std9BillingInfo17, 10, 11, 1, 1)</f>
        <v>0</v>
      </c>
      <c r="K2470" s="187">
        <f ca="1">OFFSET('IWP18'!Std9BillingInfo17, 10, 12, 1, 1)</f>
        <v>0</v>
      </c>
      <c r="L2470" s="179">
        <f ca="1">OFFSET('IWP18'!Std9BillingInfo17, 12, 8, 1, 1)</f>
        <v>0</v>
      </c>
      <c r="M2470" s="129"/>
    </row>
    <row r="2471" spans="1:13" s="146" customFormat="1">
      <c r="A2471" s="183" t="s">
        <v>516</v>
      </c>
      <c r="B2471" s="196">
        <v>18</v>
      </c>
      <c r="C2471" s="195" t="str">
        <f ca="1">IF(OFFSET('IWP18'!Std9BillingInfo18, 0, 0, 1, 1) = 0, "", OFFSET('IWP18'!Std9BillingInfo18, 0, 0, 1, 1))</f>
        <v/>
      </c>
      <c r="D2471" s="172">
        <f ca="1">IF(OFFSET('IWP18'!Std9BillingInfo18, 0, 1, 1, 1)=DATE(1900,1,0), DATE(1900,1,1), OFFSET('IWP18'!Std9BillingInfo18, 0, 1, 1, 1))</f>
        <v>1</v>
      </c>
      <c r="E2471" s="172">
        <f ca="1">IF(OFFSET('IWP18'!Std9BillingInfo18, 0, 2, 1, 1)=DATE(1900,1,0), DATE(1900,1,1), OFFSET('IWP18'!Std9BillingInfo18, 0, 2, 1, 1))</f>
        <v>1</v>
      </c>
      <c r="F2471" s="187">
        <f ca="1">OFFSET('IWP18'!Std9BillingInfo18, 0, 3, 1, 1)</f>
        <v>0</v>
      </c>
      <c r="G2471" s="187">
        <f ca="1">OFFSET('IWP18'!Std9BillingInfo18, 10, 6, 1, 1)</f>
        <v>0</v>
      </c>
      <c r="H2471" s="187">
        <f ca="1">OFFSET('IWP18'!Std9BillingInfo18, 11, 6, 1, 1)</f>
        <v>0</v>
      </c>
      <c r="I2471" s="187">
        <f ca="1">OFFSET('IWP18'!Std9BillingInfo18, 10, 8, 1, 1)</f>
        <v>0</v>
      </c>
      <c r="J2471" s="187">
        <f ca="1">OFFSET('IWP18'!Std9BillingInfo18, 10, 11, 1, 1)</f>
        <v>0</v>
      </c>
      <c r="K2471" s="187">
        <f ca="1">OFFSET('IWP18'!Std9BillingInfo18, 10, 12, 1, 1)</f>
        <v>0</v>
      </c>
      <c r="L2471" s="179">
        <f ca="1">OFFSET('IWP18'!Std9BillingInfo18, 12, 8, 1, 1)</f>
        <v>0</v>
      </c>
      <c r="M2471" s="129"/>
    </row>
    <row r="2472" spans="1:13" s="146" customFormat="1">
      <c r="A2472" s="183" t="s">
        <v>517</v>
      </c>
      <c r="B2472" s="196">
        <v>1</v>
      </c>
      <c r="C2472" s="195" t="str">
        <f ca="1">IF(OFFSET('IWP19'!Std9BillingInfo01, 0, 0, 1, 1) = 0, "", OFFSET('IWP19'!Std9BillingInfo01, 0, 0, 1, 1))</f>
        <v/>
      </c>
      <c r="D2472" s="172">
        <f ca="1">IF(OFFSET('IWP19'!Std9BillingInfo01, 0, 1, 1, 1)=DATE(1900,1,0), DATE(1900,1,1), OFFSET('IWP19'!Std9BillingInfo01, 0, 1, 1, 1))</f>
        <v>1</v>
      </c>
      <c r="E2472" s="172">
        <f ca="1">IF(OFFSET('IWP19'!Std9BillingInfo01, 0, 2, 1, 1)=DATE(1900,1,0), DATE(1900,1,1), OFFSET('IWP19'!Std9BillingInfo01, 0, 2, 1, 1))</f>
        <v>1</v>
      </c>
      <c r="F2472" s="187">
        <f ca="1">OFFSET('IWP19'!Std9BillingInfo01, 0, 3, 1, 1)</f>
        <v>0</v>
      </c>
      <c r="G2472" s="187">
        <f ca="1">OFFSET('IWP19'!Std9BillingInfo01, 10, 6, 1, 1)</f>
        <v>0</v>
      </c>
      <c r="H2472" s="187">
        <f ca="1">OFFSET('IWP19'!Std9BillingInfo01, 11, 6, 1, 1)</f>
        <v>0</v>
      </c>
      <c r="I2472" s="187">
        <f ca="1">OFFSET('IWP19'!Std9BillingInfo01, 10, 8, 1, 1)</f>
        <v>0</v>
      </c>
      <c r="J2472" s="187">
        <f ca="1">OFFSET('IWP19'!Std9BillingInfo01, 10, 11, 1, 1)</f>
        <v>0</v>
      </c>
      <c r="K2472" s="187">
        <f ca="1">OFFSET('IWP19'!Std9BillingInfo01, 10, 12, 1, 1)</f>
        <v>0</v>
      </c>
      <c r="L2472" s="179">
        <f ca="1">OFFSET('IWP19'!Std9BillingInfo01, 12, 8, 1, 1)</f>
        <v>0</v>
      </c>
      <c r="M2472" s="129"/>
    </row>
    <row r="2473" spans="1:13" s="146" customFormat="1">
      <c r="A2473" s="183" t="s">
        <v>517</v>
      </c>
      <c r="B2473" s="196">
        <v>2</v>
      </c>
      <c r="C2473" s="195" t="str">
        <f ca="1">IF(OFFSET('IWP19'!Std9BillingInfo02, 0, 0, 1, 1) = 0, "", OFFSET('IWP19'!Std9BillingInfo02, 0, 0, 1, 1))</f>
        <v/>
      </c>
      <c r="D2473" s="172">
        <f ca="1">IF(OFFSET('IWP19'!Std9BillingInfo02, 0, 1, 1, 1)=DATE(1900,1,0), DATE(1900,1,1), OFFSET('IWP19'!Std9BillingInfo02, 0, 1, 1, 1))</f>
        <v>1</v>
      </c>
      <c r="E2473" s="172">
        <f ca="1">IF(OFFSET('IWP19'!Std9BillingInfo02, 0, 2, 1, 1)=DATE(1900,1,0), DATE(1900,1,1), OFFSET('IWP19'!Std9BillingInfo02, 0, 2, 1, 1))</f>
        <v>1</v>
      </c>
      <c r="F2473" s="187">
        <f ca="1">OFFSET('IWP19'!Std9BillingInfo02, 0, 3, 1, 1)</f>
        <v>0</v>
      </c>
      <c r="G2473" s="187">
        <f ca="1">OFFSET('IWP19'!Std9BillingInfo02, 10, 6, 1, 1)</f>
        <v>0</v>
      </c>
      <c r="H2473" s="187">
        <f ca="1">OFFSET('IWP19'!Std9BillingInfo02, 11, 6, 1, 1)</f>
        <v>0</v>
      </c>
      <c r="I2473" s="187">
        <f ca="1">OFFSET('IWP19'!Std9BillingInfo02, 10, 8, 1, 1)</f>
        <v>0</v>
      </c>
      <c r="J2473" s="187">
        <f ca="1">OFFSET('IWP19'!Std9BillingInfo02, 10, 11, 1, 1)</f>
        <v>0</v>
      </c>
      <c r="K2473" s="187">
        <f ca="1">OFFSET('IWP19'!Std9BillingInfo02, 10, 12, 1, 1)</f>
        <v>0</v>
      </c>
      <c r="L2473" s="179">
        <f ca="1">OFFSET('IWP19'!Std9BillingInfo02, 12, 8, 1, 1)</f>
        <v>0</v>
      </c>
      <c r="M2473" s="129"/>
    </row>
    <row r="2474" spans="1:13" s="146" customFormat="1">
      <c r="A2474" s="183" t="s">
        <v>517</v>
      </c>
      <c r="B2474" s="196">
        <v>3</v>
      </c>
      <c r="C2474" s="195" t="str">
        <f ca="1">IF(OFFSET('IWP19'!Std9BillingInfo03, 0, 0, 1, 1) = 0, "", OFFSET('IWP19'!Std9BillingInfo03, 0, 0, 1, 1))</f>
        <v/>
      </c>
      <c r="D2474" s="172">
        <f ca="1">IF(OFFSET('IWP19'!Std9BillingInfo03, 0, 1, 1, 1)=DATE(1900,1,0), DATE(1900,1,1), OFFSET('IWP19'!Std9BillingInfo03, 0, 1, 1, 1))</f>
        <v>1</v>
      </c>
      <c r="E2474" s="172">
        <f ca="1">IF(OFFSET('IWP19'!Std9BillingInfo03, 0, 2, 1, 1)=DATE(1900,1,0), DATE(1900,1,1), OFFSET('IWP19'!Std9BillingInfo03, 0, 2, 1, 1))</f>
        <v>1</v>
      </c>
      <c r="F2474" s="187">
        <f ca="1">OFFSET('IWP19'!Std9BillingInfo03, 0, 3, 1, 1)</f>
        <v>0</v>
      </c>
      <c r="G2474" s="187">
        <f ca="1">OFFSET('IWP19'!Std9BillingInfo03, 10, 6, 1, 1)</f>
        <v>0</v>
      </c>
      <c r="H2474" s="187">
        <f ca="1">OFFSET('IWP19'!Std9BillingInfo03, 11, 6, 1, 1)</f>
        <v>0</v>
      </c>
      <c r="I2474" s="187">
        <f ca="1">OFFSET('IWP19'!Std9BillingInfo03, 10, 8, 1, 1)</f>
        <v>0</v>
      </c>
      <c r="J2474" s="187">
        <f ca="1">OFFSET('IWP19'!Std9BillingInfo03, 10, 11, 1, 1)</f>
        <v>0</v>
      </c>
      <c r="K2474" s="187">
        <f ca="1">OFFSET('IWP19'!Std9BillingInfo03, 10, 12, 1, 1)</f>
        <v>0</v>
      </c>
      <c r="L2474" s="179">
        <f ca="1">OFFSET('IWP19'!Std9BillingInfo03, 12, 8, 1, 1)</f>
        <v>0</v>
      </c>
      <c r="M2474" s="129"/>
    </row>
    <row r="2475" spans="1:13" s="146" customFormat="1">
      <c r="A2475" s="183" t="s">
        <v>517</v>
      </c>
      <c r="B2475" s="196">
        <v>4</v>
      </c>
      <c r="C2475" s="195" t="str">
        <f ca="1">IF(OFFSET('IWP19'!Std9BillingInfo04, 0, 0, 1, 1) = 0, "", OFFSET('IWP19'!Std9BillingInfo04, 0, 0, 1, 1))</f>
        <v/>
      </c>
      <c r="D2475" s="172">
        <f ca="1">IF(OFFSET('IWP19'!Std9BillingInfo04, 0, 1, 1, 1)=DATE(1900,1,0), DATE(1900,1,1), OFFSET('IWP19'!Std9BillingInfo04, 0, 1, 1, 1))</f>
        <v>1</v>
      </c>
      <c r="E2475" s="172">
        <f ca="1">IF(OFFSET('IWP19'!Std9BillingInfo04, 0, 2, 1, 1)=DATE(1900,1,0), DATE(1900,1,1), OFFSET('IWP19'!Std9BillingInfo04, 0, 2, 1, 1))</f>
        <v>1</v>
      </c>
      <c r="F2475" s="187">
        <f ca="1">OFFSET('IWP19'!Std9BillingInfo04, 0, 3, 1, 1)</f>
        <v>0</v>
      </c>
      <c r="G2475" s="187">
        <f ca="1">OFFSET('IWP19'!Std9BillingInfo04, 10, 6, 1, 1)</f>
        <v>0</v>
      </c>
      <c r="H2475" s="187">
        <f ca="1">OFFSET('IWP19'!Std9BillingInfo04, 11, 6, 1, 1)</f>
        <v>0</v>
      </c>
      <c r="I2475" s="187">
        <f ca="1">OFFSET('IWP19'!Std9BillingInfo04, 10, 8, 1, 1)</f>
        <v>0</v>
      </c>
      <c r="J2475" s="187">
        <f ca="1">OFFSET('IWP19'!Std9BillingInfo04, 10, 11, 1, 1)</f>
        <v>0</v>
      </c>
      <c r="K2475" s="187">
        <f ca="1">OFFSET('IWP19'!Std9BillingInfo04, 10, 12, 1, 1)</f>
        <v>0</v>
      </c>
      <c r="L2475" s="179">
        <f ca="1">OFFSET('IWP19'!Std9BillingInfo04, 12, 8, 1, 1)</f>
        <v>0</v>
      </c>
      <c r="M2475" s="129"/>
    </row>
    <row r="2476" spans="1:13" s="146" customFormat="1">
      <c r="A2476" s="183" t="s">
        <v>517</v>
      </c>
      <c r="B2476" s="196">
        <v>5</v>
      </c>
      <c r="C2476" s="195" t="str">
        <f ca="1">IF(OFFSET('IWP19'!Std9BillingInfo05, 0, 0, 1, 1) = 0, "", OFFSET('IWP19'!Std9BillingInfo05, 0, 0, 1, 1))</f>
        <v/>
      </c>
      <c r="D2476" s="172">
        <f ca="1">IF(OFFSET('IWP19'!Std9BillingInfo05, 0, 1, 1, 1)=DATE(1900,1,0), DATE(1900,1,1), OFFSET('IWP19'!Std9BillingInfo05, 0, 1, 1, 1))</f>
        <v>1</v>
      </c>
      <c r="E2476" s="172">
        <f ca="1">IF(OFFSET('IWP19'!Std9BillingInfo05, 0, 2, 1, 1)=DATE(1900,1,0), DATE(1900,1,1), OFFSET('IWP19'!Std9BillingInfo05, 0, 2, 1, 1))</f>
        <v>1</v>
      </c>
      <c r="F2476" s="187">
        <f ca="1">OFFSET('IWP19'!Std9BillingInfo05, 0, 3, 1, 1)</f>
        <v>0</v>
      </c>
      <c r="G2476" s="187">
        <f ca="1">OFFSET('IWP19'!Std9BillingInfo05, 10, 6, 1, 1)</f>
        <v>0</v>
      </c>
      <c r="H2476" s="187">
        <f ca="1">OFFSET('IWP19'!Std9BillingInfo05, 11, 6, 1, 1)</f>
        <v>0</v>
      </c>
      <c r="I2476" s="187">
        <f ca="1">OFFSET('IWP19'!Std9BillingInfo05, 10, 8, 1, 1)</f>
        <v>0</v>
      </c>
      <c r="J2476" s="187">
        <f ca="1">OFFSET('IWP19'!Std9BillingInfo05, 10, 11, 1, 1)</f>
        <v>0</v>
      </c>
      <c r="K2476" s="187">
        <f ca="1">OFFSET('IWP19'!Std9BillingInfo05, 10, 12, 1, 1)</f>
        <v>0</v>
      </c>
      <c r="L2476" s="179">
        <f ca="1">OFFSET('IWP19'!Std9BillingInfo05, 12, 8, 1, 1)</f>
        <v>0</v>
      </c>
      <c r="M2476" s="129"/>
    </row>
    <row r="2477" spans="1:13" s="146" customFormat="1">
      <c r="A2477" s="183" t="s">
        <v>517</v>
      </c>
      <c r="B2477" s="196">
        <v>6</v>
      </c>
      <c r="C2477" s="195" t="str">
        <f ca="1">IF(OFFSET('IWP19'!Std9BillingInfo06, 0, 0, 1, 1) = 0, "", OFFSET('IWP19'!Std9BillingInfo06, 0, 0, 1, 1))</f>
        <v/>
      </c>
      <c r="D2477" s="172">
        <f ca="1">IF(OFFSET('IWP19'!Std9BillingInfo06, 0, 1, 1, 1)=DATE(1900,1,0), DATE(1900,1,1), OFFSET('IWP19'!Std9BillingInfo06, 0, 1, 1, 1))</f>
        <v>1</v>
      </c>
      <c r="E2477" s="172">
        <f ca="1">IF(OFFSET('IWP19'!Std9BillingInfo06, 0, 2, 1, 1)=DATE(1900,1,0), DATE(1900,1,1), OFFSET('IWP19'!Std9BillingInfo06, 0, 2, 1, 1))</f>
        <v>1</v>
      </c>
      <c r="F2477" s="187">
        <f ca="1">OFFSET('IWP19'!Std9BillingInfo06, 0, 3, 1, 1)</f>
        <v>0</v>
      </c>
      <c r="G2477" s="187">
        <f ca="1">OFFSET('IWP19'!Std9BillingInfo06, 10, 6, 1, 1)</f>
        <v>0</v>
      </c>
      <c r="H2477" s="187">
        <f ca="1">OFFSET('IWP19'!Std9BillingInfo06, 11, 6, 1, 1)</f>
        <v>0</v>
      </c>
      <c r="I2477" s="187">
        <f ca="1">OFFSET('IWP19'!Std9BillingInfo06, 10, 8, 1, 1)</f>
        <v>0</v>
      </c>
      <c r="J2477" s="187">
        <f ca="1">OFFSET('IWP19'!Std9BillingInfo06, 10, 11, 1, 1)</f>
        <v>0</v>
      </c>
      <c r="K2477" s="187">
        <f ca="1">OFFSET('IWP19'!Std9BillingInfo06, 10, 12, 1, 1)</f>
        <v>0</v>
      </c>
      <c r="L2477" s="179">
        <f ca="1">OFFSET('IWP19'!Std9BillingInfo06, 12, 8, 1, 1)</f>
        <v>0</v>
      </c>
      <c r="M2477" s="129"/>
    </row>
    <row r="2478" spans="1:13" s="146" customFormat="1">
      <c r="A2478" s="183" t="s">
        <v>517</v>
      </c>
      <c r="B2478" s="196">
        <v>7</v>
      </c>
      <c r="C2478" s="195" t="str">
        <f ca="1">IF(OFFSET('IWP19'!Std9BillingInfo07, 0, 0, 1, 1) = 0, "", OFFSET('IWP19'!Std9BillingInfo07, 0, 0, 1, 1))</f>
        <v/>
      </c>
      <c r="D2478" s="172">
        <f ca="1">IF(OFFSET('IWP19'!Std9BillingInfo07, 0, 1, 1, 1)=DATE(1900,1,0), DATE(1900,1,1), OFFSET('IWP19'!Std9BillingInfo07, 0, 1, 1, 1))</f>
        <v>1</v>
      </c>
      <c r="E2478" s="172">
        <f ca="1">IF(OFFSET('IWP19'!Std9BillingInfo07, 0, 2, 1, 1)=DATE(1900,1,0), DATE(1900,1,1), OFFSET('IWP19'!Std9BillingInfo07, 0, 2, 1, 1))</f>
        <v>1</v>
      </c>
      <c r="F2478" s="187">
        <f ca="1">OFFSET('IWP19'!Std9BillingInfo07, 0, 3, 1, 1)</f>
        <v>0</v>
      </c>
      <c r="G2478" s="187">
        <f ca="1">OFFSET('IWP19'!Std9BillingInfo07, 10, 6, 1, 1)</f>
        <v>0</v>
      </c>
      <c r="H2478" s="187">
        <f ca="1">OFFSET('IWP19'!Std9BillingInfo07, 11, 6, 1, 1)</f>
        <v>0</v>
      </c>
      <c r="I2478" s="187">
        <f ca="1">OFFSET('IWP19'!Std9BillingInfo07, 10, 8, 1, 1)</f>
        <v>0</v>
      </c>
      <c r="J2478" s="187">
        <f ca="1">OFFSET('IWP19'!Std9BillingInfo07, 10, 11, 1, 1)</f>
        <v>0</v>
      </c>
      <c r="K2478" s="187">
        <f ca="1">OFFSET('IWP19'!Std9BillingInfo07, 10, 12, 1, 1)</f>
        <v>0</v>
      </c>
      <c r="L2478" s="179">
        <f ca="1">OFFSET('IWP19'!Std9BillingInfo07, 12, 8, 1, 1)</f>
        <v>0</v>
      </c>
      <c r="M2478" s="129"/>
    </row>
    <row r="2479" spans="1:13" s="146" customFormat="1">
      <c r="A2479" s="183" t="s">
        <v>517</v>
      </c>
      <c r="B2479" s="196">
        <v>8</v>
      </c>
      <c r="C2479" s="195" t="str">
        <f ca="1">IF(OFFSET('IWP19'!Std9BillingInfo08, 0, 0, 1, 1) = 0, "", OFFSET('IWP19'!Std9BillingInfo08, 0, 0, 1, 1))</f>
        <v/>
      </c>
      <c r="D2479" s="172">
        <f ca="1">IF(OFFSET('IWP19'!Std9BillingInfo08, 0, 1, 1, 1)=DATE(1900,1,0), DATE(1900,1,1), OFFSET('IWP19'!Std9BillingInfo08, 0, 1, 1, 1))</f>
        <v>1</v>
      </c>
      <c r="E2479" s="172">
        <f ca="1">IF(OFFSET('IWP19'!Std9BillingInfo08, 0, 2, 1, 1)=DATE(1900,1,0), DATE(1900,1,1), OFFSET('IWP19'!Std9BillingInfo08, 0, 2, 1, 1))</f>
        <v>1</v>
      </c>
      <c r="F2479" s="187">
        <f ca="1">OFFSET('IWP19'!Std9BillingInfo08, 0, 3, 1, 1)</f>
        <v>0</v>
      </c>
      <c r="G2479" s="187">
        <f ca="1">OFFSET('IWP19'!Std9BillingInfo08, 10, 6, 1, 1)</f>
        <v>0</v>
      </c>
      <c r="H2479" s="187">
        <f ca="1">OFFSET('IWP19'!Std9BillingInfo08, 11, 6, 1, 1)</f>
        <v>0</v>
      </c>
      <c r="I2479" s="187">
        <f ca="1">OFFSET('IWP19'!Std9BillingInfo08, 10, 8, 1, 1)</f>
        <v>0</v>
      </c>
      <c r="J2479" s="187">
        <f ca="1">OFFSET('IWP19'!Std9BillingInfo08, 10, 11, 1, 1)</f>
        <v>0</v>
      </c>
      <c r="K2479" s="187">
        <f ca="1">OFFSET('IWP19'!Std9BillingInfo08, 10, 12, 1, 1)</f>
        <v>0</v>
      </c>
      <c r="L2479" s="179">
        <f ca="1">OFFSET('IWP19'!Std9BillingInfo08, 12, 8, 1, 1)</f>
        <v>0</v>
      </c>
      <c r="M2479" s="129"/>
    </row>
    <row r="2480" spans="1:13" s="146" customFormat="1">
      <c r="A2480" s="183" t="s">
        <v>517</v>
      </c>
      <c r="B2480" s="196">
        <v>9</v>
      </c>
      <c r="C2480" s="195" t="str">
        <f ca="1">IF(OFFSET('IWP19'!Std9BillingInfo09, 0, 0, 1, 1) = 0, "", OFFSET('IWP19'!Std9BillingInfo09, 0, 0, 1, 1))</f>
        <v/>
      </c>
      <c r="D2480" s="172">
        <f ca="1">IF(OFFSET('IWP19'!Std9BillingInfo09, 0, 1, 1, 1)=DATE(1900,1,0), DATE(1900,1,1), OFFSET('IWP19'!Std9BillingInfo09, 0, 1, 1, 1))</f>
        <v>1</v>
      </c>
      <c r="E2480" s="172">
        <f ca="1">IF(OFFSET('IWP19'!Std9BillingInfo09, 0, 2, 1, 1)=DATE(1900,1,0), DATE(1900,1,1), OFFSET('IWP19'!Std9BillingInfo09, 0, 2, 1, 1))</f>
        <v>1</v>
      </c>
      <c r="F2480" s="187">
        <f ca="1">OFFSET('IWP19'!Std9BillingInfo09, 0, 3, 1, 1)</f>
        <v>0</v>
      </c>
      <c r="G2480" s="187">
        <f ca="1">OFFSET('IWP19'!Std9BillingInfo09, 10, 6, 1, 1)</f>
        <v>0</v>
      </c>
      <c r="H2480" s="187">
        <f ca="1">OFFSET('IWP19'!Std9BillingInfo09, 11, 6, 1, 1)</f>
        <v>0</v>
      </c>
      <c r="I2480" s="187">
        <f ca="1">OFFSET('IWP19'!Std9BillingInfo09, 10, 8, 1, 1)</f>
        <v>0</v>
      </c>
      <c r="J2480" s="187">
        <f ca="1">OFFSET('IWP19'!Std9BillingInfo09, 10, 11, 1, 1)</f>
        <v>0</v>
      </c>
      <c r="K2480" s="187">
        <f ca="1">OFFSET('IWP19'!Std9BillingInfo09, 10, 12, 1, 1)</f>
        <v>0</v>
      </c>
      <c r="L2480" s="179">
        <f ca="1">OFFSET('IWP19'!Std9BillingInfo09, 12, 8, 1, 1)</f>
        <v>0</v>
      </c>
      <c r="M2480" s="129"/>
    </row>
    <row r="2481" spans="1:13" s="146" customFormat="1">
      <c r="A2481" s="183" t="s">
        <v>517</v>
      </c>
      <c r="B2481" s="196">
        <v>10</v>
      </c>
      <c r="C2481" s="195" t="str">
        <f ca="1">IF(OFFSET('IWP19'!Std9BillingInfo10, 0, 0, 1, 1) = 0, "", OFFSET('IWP19'!Std9BillingInfo10, 0, 0, 1, 1))</f>
        <v/>
      </c>
      <c r="D2481" s="172">
        <f ca="1">IF(OFFSET('IWP19'!Std9BillingInfo10, 0, 1, 1, 1)=DATE(1900,1,0), DATE(1900,1,1), OFFSET('IWP19'!Std9BillingInfo10, 0, 1, 1, 1))</f>
        <v>1</v>
      </c>
      <c r="E2481" s="172">
        <f ca="1">IF(OFFSET('IWP19'!Std9BillingInfo10, 0, 2, 1, 1)=DATE(1900,1,0), DATE(1900,1,1), OFFSET('IWP19'!Std9BillingInfo10, 0, 2, 1, 1))</f>
        <v>1</v>
      </c>
      <c r="F2481" s="187">
        <f ca="1">OFFSET('IWP19'!Std9BillingInfo10, 0, 3, 1, 1)</f>
        <v>0</v>
      </c>
      <c r="G2481" s="187">
        <f ca="1">OFFSET('IWP19'!Std9BillingInfo10, 10, 6, 1, 1)</f>
        <v>0</v>
      </c>
      <c r="H2481" s="187">
        <f ca="1">OFFSET('IWP19'!Std9BillingInfo10, 11, 6, 1, 1)</f>
        <v>0</v>
      </c>
      <c r="I2481" s="187">
        <f ca="1">OFFSET('IWP19'!Std9BillingInfo10, 10, 8, 1, 1)</f>
        <v>0</v>
      </c>
      <c r="J2481" s="187">
        <f ca="1">OFFSET('IWP19'!Std9BillingInfo10, 10, 11, 1, 1)</f>
        <v>0</v>
      </c>
      <c r="K2481" s="187">
        <f ca="1">OFFSET('IWP19'!Std9BillingInfo10, 10, 12, 1, 1)</f>
        <v>0</v>
      </c>
      <c r="L2481" s="179">
        <f ca="1">OFFSET('IWP19'!Std9BillingInfo10, 12, 8, 1, 1)</f>
        <v>0</v>
      </c>
      <c r="M2481" s="129"/>
    </row>
    <row r="2482" spans="1:13" s="146" customFormat="1">
      <c r="A2482" s="183" t="s">
        <v>517</v>
      </c>
      <c r="B2482" s="196">
        <v>11</v>
      </c>
      <c r="C2482" s="195" t="str">
        <f ca="1">IF(OFFSET('IWP19'!Std9BillingInfo11, 0, 0, 1, 1) = 0, "", OFFSET('IWP19'!Std9BillingInfo11, 0, 0, 1, 1))</f>
        <v/>
      </c>
      <c r="D2482" s="172">
        <f ca="1">IF(OFFSET('IWP19'!Std9BillingInfo11, 0, 1, 1, 1)=DATE(1900,1,0), DATE(1900,1,1), OFFSET('IWP19'!Std9BillingInfo11, 0, 1, 1, 1))</f>
        <v>1</v>
      </c>
      <c r="E2482" s="172">
        <f ca="1">IF(OFFSET('IWP19'!Std9BillingInfo11, 0, 2, 1, 1)=DATE(1900,1,0), DATE(1900,1,1), OFFSET('IWP19'!Std9BillingInfo11, 0, 2, 1, 1))</f>
        <v>1</v>
      </c>
      <c r="F2482" s="187">
        <f ca="1">OFFSET('IWP19'!Std9BillingInfo11, 0, 3, 1, 1)</f>
        <v>0</v>
      </c>
      <c r="G2482" s="187">
        <f ca="1">OFFSET('IWP19'!Std9BillingInfo11, 10, 6, 1, 1)</f>
        <v>0</v>
      </c>
      <c r="H2482" s="187">
        <f ca="1">OFFSET('IWP19'!Std9BillingInfo11, 11, 6, 1, 1)</f>
        <v>0</v>
      </c>
      <c r="I2482" s="187">
        <f ca="1">OFFSET('IWP19'!Std9BillingInfo11, 10, 8, 1, 1)</f>
        <v>0</v>
      </c>
      <c r="J2482" s="187">
        <f ca="1">OFFSET('IWP19'!Std9BillingInfo11, 10, 11, 1, 1)</f>
        <v>0</v>
      </c>
      <c r="K2482" s="187">
        <f ca="1">OFFSET('IWP19'!Std9BillingInfo11, 10, 12, 1, 1)</f>
        <v>0</v>
      </c>
      <c r="L2482" s="179">
        <f ca="1">OFFSET('IWP19'!Std9BillingInfo11, 12, 8, 1, 1)</f>
        <v>0</v>
      </c>
      <c r="M2482" s="129"/>
    </row>
    <row r="2483" spans="1:13" s="146" customFormat="1">
      <c r="A2483" s="183" t="s">
        <v>517</v>
      </c>
      <c r="B2483" s="196">
        <v>12</v>
      </c>
      <c r="C2483" s="195" t="str">
        <f ca="1">IF(OFFSET('IWP19'!Std9BillingInfo12, 0, 0, 1, 1) = 0, "", OFFSET('IWP19'!Std9BillingInfo12, 0, 0, 1, 1))</f>
        <v/>
      </c>
      <c r="D2483" s="172">
        <f ca="1">IF(OFFSET('IWP19'!Std9BillingInfo12, 0, 1, 1, 1)=DATE(1900,1,0), DATE(1900,1,1), OFFSET('IWP19'!Std9BillingInfo12, 0, 1, 1, 1))</f>
        <v>1</v>
      </c>
      <c r="E2483" s="172">
        <f ca="1">IF(OFFSET('IWP19'!Std9BillingInfo12, 0, 2, 1, 1)=DATE(1900,1,0), DATE(1900,1,1), OFFSET('IWP19'!Std9BillingInfo12, 0, 2, 1, 1))</f>
        <v>1</v>
      </c>
      <c r="F2483" s="187">
        <f ca="1">OFFSET('IWP19'!Std9BillingInfo12, 0, 3, 1, 1)</f>
        <v>0</v>
      </c>
      <c r="G2483" s="187">
        <f ca="1">OFFSET('IWP19'!Std9BillingInfo12, 10, 6, 1, 1)</f>
        <v>0</v>
      </c>
      <c r="H2483" s="187">
        <f ca="1">OFFSET('IWP19'!Std9BillingInfo12, 11, 6, 1, 1)</f>
        <v>0</v>
      </c>
      <c r="I2483" s="187">
        <f ca="1">OFFSET('IWP19'!Std9BillingInfo12, 10, 8, 1, 1)</f>
        <v>0</v>
      </c>
      <c r="J2483" s="187">
        <f ca="1">OFFSET('IWP19'!Std9BillingInfo12, 10, 11, 1, 1)</f>
        <v>0</v>
      </c>
      <c r="K2483" s="187">
        <f ca="1">OFFSET('IWP19'!Std9BillingInfo12, 10, 12, 1, 1)</f>
        <v>0</v>
      </c>
      <c r="L2483" s="179">
        <f ca="1">OFFSET('IWP19'!Std9BillingInfo12, 12, 8, 1, 1)</f>
        <v>0</v>
      </c>
      <c r="M2483" s="129"/>
    </row>
    <row r="2484" spans="1:13" s="146" customFormat="1">
      <c r="A2484" s="183" t="s">
        <v>517</v>
      </c>
      <c r="B2484" s="196">
        <v>13</v>
      </c>
      <c r="C2484" s="195" t="str">
        <f ca="1">IF(OFFSET('IWP19'!Std9BillingInfo13, 0, 0, 1, 1) = 0, "", OFFSET('IWP19'!Std9BillingInfo13, 0, 0, 1, 1))</f>
        <v/>
      </c>
      <c r="D2484" s="172">
        <f ca="1">IF(OFFSET('IWP19'!Std9BillingInfo13, 0, 1, 1, 1)=DATE(1900,1,0), DATE(1900,1,1), OFFSET('IWP19'!Std9BillingInfo13, 0, 1, 1, 1))</f>
        <v>1</v>
      </c>
      <c r="E2484" s="172">
        <f ca="1">IF(OFFSET('IWP19'!Std9BillingInfo13, 0, 2, 1, 1)=DATE(1900,1,0), DATE(1900,1,1), OFFSET('IWP19'!Std9BillingInfo13, 0, 2, 1, 1))</f>
        <v>1</v>
      </c>
      <c r="F2484" s="187">
        <f ca="1">OFFSET('IWP19'!Std9BillingInfo13, 0, 3, 1, 1)</f>
        <v>0</v>
      </c>
      <c r="G2484" s="187">
        <f ca="1">OFFSET('IWP19'!Std9BillingInfo13, 10, 6, 1, 1)</f>
        <v>0</v>
      </c>
      <c r="H2484" s="187">
        <f ca="1">OFFSET('IWP19'!Std9BillingInfo13, 11, 6, 1, 1)</f>
        <v>0</v>
      </c>
      <c r="I2484" s="187">
        <f ca="1">OFFSET('IWP19'!Std9BillingInfo13, 10, 8, 1, 1)</f>
        <v>0</v>
      </c>
      <c r="J2484" s="187">
        <f ca="1">OFFSET('IWP19'!Std9BillingInfo13, 10, 11, 1, 1)</f>
        <v>0</v>
      </c>
      <c r="K2484" s="187">
        <f ca="1">OFFSET('IWP19'!Std9BillingInfo13, 10, 12, 1, 1)</f>
        <v>0</v>
      </c>
      <c r="L2484" s="179">
        <f ca="1">OFFSET('IWP19'!Std9BillingInfo13, 12, 8, 1, 1)</f>
        <v>0</v>
      </c>
      <c r="M2484" s="129"/>
    </row>
    <row r="2485" spans="1:13" s="146" customFormat="1">
      <c r="A2485" s="183" t="s">
        <v>517</v>
      </c>
      <c r="B2485" s="196">
        <v>14</v>
      </c>
      <c r="C2485" s="195" t="str">
        <f ca="1">IF(OFFSET('IWP19'!Std9BillingInfo14, 0, 0, 1, 1) = 0, "", OFFSET('IWP19'!Std9BillingInfo14, 0, 0, 1, 1))</f>
        <v/>
      </c>
      <c r="D2485" s="172">
        <f ca="1">IF(OFFSET('IWP19'!Std9BillingInfo14, 0, 1, 1, 1)=DATE(1900,1,0), DATE(1900,1,1), OFFSET('IWP19'!Std9BillingInfo14, 0, 1, 1, 1))</f>
        <v>1</v>
      </c>
      <c r="E2485" s="172">
        <f ca="1">IF(OFFSET('IWP19'!Std9BillingInfo14, 0, 2, 1, 1)=DATE(1900,1,0), DATE(1900,1,1), OFFSET('IWP19'!Std9BillingInfo14, 0, 2, 1, 1))</f>
        <v>1</v>
      </c>
      <c r="F2485" s="187">
        <f ca="1">OFFSET('IWP19'!Std9BillingInfo14, 0, 3, 1, 1)</f>
        <v>0</v>
      </c>
      <c r="G2485" s="187">
        <f ca="1">OFFSET('IWP19'!Std9BillingInfo14, 10, 6, 1, 1)</f>
        <v>0</v>
      </c>
      <c r="H2485" s="187">
        <f ca="1">OFFSET('IWP19'!Std9BillingInfo14, 11, 6, 1, 1)</f>
        <v>0</v>
      </c>
      <c r="I2485" s="187">
        <f ca="1">OFFSET('IWP19'!Std9BillingInfo14, 10, 8, 1, 1)</f>
        <v>0</v>
      </c>
      <c r="J2485" s="187">
        <f ca="1">OFFSET('IWP19'!Std9BillingInfo14, 10, 11, 1, 1)</f>
        <v>0</v>
      </c>
      <c r="K2485" s="187">
        <f ca="1">OFFSET('IWP19'!Std9BillingInfo14, 10, 12, 1, 1)</f>
        <v>0</v>
      </c>
      <c r="L2485" s="179">
        <f ca="1">OFFSET('IWP19'!Std9BillingInfo14, 12, 8, 1, 1)</f>
        <v>0</v>
      </c>
      <c r="M2485" s="129"/>
    </row>
    <row r="2486" spans="1:13" s="146" customFormat="1">
      <c r="A2486" s="183" t="s">
        <v>517</v>
      </c>
      <c r="B2486" s="196">
        <v>15</v>
      </c>
      <c r="C2486" s="195" t="str">
        <f ca="1">IF(OFFSET('IWP19'!Std9BillingInfo15, 0, 0, 1, 1) = 0, "", OFFSET('IWP19'!Std9BillingInfo15, 0, 0, 1, 1))</f>
        <v/>
      </c>
      <c r="D2486" s="172">
        <f ca="1">IF(OFFSET('IWP19'!Std9BillingInfo15, 0, 1, 1, 1)=DATE(1900,1,0), DATE(1900,1,1), OFFSET('IWP19'!Std9BillingInfo15, 0, 1, 1, 1))</f>
        <v>1</v>
      </c>
      <c r="E2486" s="172">
        <f ca="1">IF(OFFSET('IWP19'!Std9BillingInfo15, 0, 2, 1, 1)=DATE(1900,1,0), DATE(1900,1,1), OFFSET('IWP19'!Std9BillingInfo15, 0, 2, 1, 1))</f>
        <v>1</v>
      </c>
      <c r="F2486" s="187">
        <f ca="1">OFFSET('IWP19'!Std9BillingInfo15, 0, 3, 1, 1)</f>
        <v>0</v>
      </c>
      <c r="G2486" s="187">
        <f ca="1">OFFSET('IWP19'!Std9BillingInfo15, 10, 6, 1, 1)</f>
        <v>0</v>
      </c>
      <c r="H2486" s="187">
        <f ca="1">OFFSET('IWP19'!Std9BillingInfo15, 11, 6, 1, 1)</f>
        <v>0</v>
      </c>
      <c r="I2486" s="187">
        <f ca="1">OFFSET('IWP19'!Std9BillingInfo15, 10, 8, 1, 1)</f>
        <v>0</v>
      </c>
      <c r="J2486" s="187">
        <f ca="1">OFFSET('IWP19'!Std9BillingInfo15, 10, 11, 1, 1)</f>
        <v>0</v>
      </c>
      <c r="K2486" s="187">
        <f ca="1">OFFSET('IWP19'!Std9BillingInfo15, 10, 12, 1, 1)</f>
        <v>0</v>
      </c>
      <c r="L2486" s="179">
        <f ca="1">OFFSET('IWP19'!Std9BillingInfo15, 12, 8, 1, 1)</f>
        <v>0</v>
      </c>
      <c r="M2486" s="129"/>
    </row>
    <row r="2487" spans="1:13" s="146" customFormat="1">
      <c r="A2487" s="183" t="s">
        <v>517</v>
      </c>
      <c r="B2487" s="196">
        <v>16</v>
      </c>
      <c r="C2487" s="195" t="str">
        <f ca="1">IF(OFFSET('IWP19'!Std9BillingInfo16, 0, 0, 1, 1) = 0, "", OFFSET('IWP19'!Std9BillingInfo16, 0, 0, 1, 1))</f>
        <v/>
      </c>
      <c r="D2487" s="172">
        <f ca="1">IF(OFFSET('IWP19'!Std9BillingInfo16, 0, 1, 1, 1)=DATE(1900,1,0), DATE(1900,1,1), OFFSET('IWP19'!Std9BillingInfo16, 0, 1, 1, 1))</f>
        <v>1</v>
      </c>
      <c r="E2487" s="172">
        <f ca="1">IF(OFFSET('IWP19'!Std9BillingInfo16, 0, 2, 1, 1)=DATE(1900,1,0), DATE(1900,1,1), OFFSET('IWP19'!Std9BillingInfo16, 0, 2, 1, 1))</f>
        <v>1</v>
      </c>
      <c r="F2487" s="187">
        <f ca="1">OFFSET('IWP19'!Std9BillingInfo16, 0, 3, 1, 1)</f>
        <v>0</v>
      </c>
      <c r="G2487" s="187">
        <f ca="1">OFFSET('IWP19'!Std9BillingInfo16, 10, 6, 1, 1)</f>
        <v>0</v>
      </c>
      <c r="H2487" s="187">
        <f ca="1">OFFSET('IWP19'!Std9BillingInfo16, 11, 6, 1, 1)</f>
        <v>0</v>
      </c>
      <c r="I2487" s="187">
        <f ca="1">OFFSET('IWP19'!Std9BillingInfo16, 10, 8, 1, 1)</f>
        <v>0</v>
      </c>
      <c r="J2487" s="187">
        <f ca="1">OFFSET('IWP19'!Std9BillingInfo16, 10, 11, 1, 1)</f>
        <v>0</v>
      </c>
      <c r="K2487" s="187">
        <f ca="1">OFFSET('IWP19'!Std9BillingInfo16, 10, 12, 1, 1)</f>
        <v>0</v>
      </c>
      <c r="L2487" s="179">
        <f ca="1">OFFSET('IWP19'!Std9BillingInfo16, 12, 8, 1, 1)</f>
        <v>0</v>
      </c>
      <c r="M2487" s="129"/>
    </row>
    <row r="2488" spans="1:13" s="146" customFormat="1">
      <c r="A2488" s="183" t="s">
        <v>517</v>
      </c>
      <c r="B2488" s="196">
        <v>17</v>
      </c>
      <c r="C2488" s="195" t="str">
        <f ca="1">IF(OFFSET('IWP19'!Std9BillingInfo17, 0, 0, 1, 1) = 0, "", OFFSET('IWP19'!Std9BillingInfo17, 0, 0, 1, 1))</f>
        <v/>
      </c>
      <c r="D2488" s="172">
        <f ca="1">IF(OFFSET('IWP19'!Std9BillingInfo17, 0, 1, 1, 1)=DATE(1900,1,0), DATE(1900,1,1), OFFSET('IWP19'!Std9BillingInfo17, 0, 1, 1, 1))</f>
        <v>1</v>
      </c>
      <c r="E2488" s="172">
        <f ca="1">IF(OFFSET('IWP19'!Std9BillingInfo17, 0, 2, 1, 1)=DATE(1900,1,0), DATE(1900,1,1), OFFSET('IWP19'!Std9BillingInfo17, 0, 2, 1, 1))</f>
        <v>1</v>
      </c>
      <c r="F2488" s="187">
        <f ca="1">OFFSET('IWP19'!Std9BillingInfo17, 0, 3, 1, 1)</f>
        <v>0</v>
      </c>
      <c r="G2488" s="187">
        <f ca="1">OFFSET('IWP19'!Std9BillingInfo17, 10, 6, 1, 1)</f>
        <v>0</v>
      </c>
      <c r="H2488" s="187">
        <f ca="1">OFFSET('IWP19'!Std9BillingInfo17, 11, 6, 1, 1)</f>
        <v>0</v>
      </c>
      <c r="I2488" s="187">
        <f ca="1">OFFSET('IWP19'!Std9BillingInfo17, 10, 8, 1, 1)</f>
        <v>0</v>
      </c>
      <c r="J2488" s="187">
        <f ca="1">OFFSET('IWP19'!Std9BillingInfo17, 10, 11, 1, 1)</f>
        <v>0</v>
      </c>
      <c r="K2488" s="187">
        <f ca="1">OFFSET('IWP19'!Std9BillingInfo17, 10, 12, 1, 1)</f>
        <v>0</v>
      </c>
      <c r="L2488" s="179">
        <f ca="1">OFFSET('IWP19'!Std9BillingInfo17, 12, 8, 1, 1)</f>
        <v>0</v>
      </c>
      <c r="M2488" s="129"/>
    </row>
    <row r="2489" spans="1:13" s="146" customFormat="1">
      <c r="A2489" s="183" t="s">
        <v>517</v>
      </c>
      <c r="B2489" s="196">
        <v>18</v>
      </c>
      <c r="C2489" s="195" t="str">
        <f ca="1">IF(OFFSET('IWP19'!Std9BillingInfo18, 0, 0, 1, 1) = 0, "", OFFSET('IWP19'!Std9BillingInfo18, 0, 0, 1, 1))</f>
        <v/>
      </c>
      <c r="D2489" s="172">
        <f ca="1">IF(OFFSET('IWP19'!Std9BillingInfo18, 0, 1, 1, 1)=DATE(1900,1,0), DATE(1900,1,1), OFFSET('IWP19'!Std9BillingInfo18, 0, 1, 1, 1))</f>
        <v>1</v>
      </c>
      <c r="E2489" s="172">
        <f ca="1">IF(OFFSET('IWP19'!Std9BillingInfo18, 0, 2, 1, 1)=DATE(1900,1,0), DATE(1900,1,1), OFFSET('IWP19'!Std9BillingInfo18, 0, 2, 1, 1))</f>
        <v>1</v>
      </c>
      <c r="F2489" s="187">
        <f ca="1">OFFSET('IWP19'!Std9BillingInfo18, 0, 3, 1, 1)</f>
        <v>0</v>
      </c>
      <c r="G2489" s="187">
        <f ca="1">OFFSET('IWP19'!Std9BillingInfo18, 10, 6, 1, 1)</f>
        <v>0</v>
      </c>
      <c r="H2489" s="187">
        <f ca="1">OFFSET('IWP19'!Std9BillingInfo18, 11, 6, 1, 1)</f>
        <v>0</v>
      </c>
      <c r="I2489" s="187">
        <f ca="1">OFFSET('IWP19'!Std9BillingInfo18, 10, 8, 1, 1)</f>
        <v>0</v>
      </c>
      <c r="J2489" s="187">
        <f ca="1">OFFSET('IWP19'!Std9BillingInfo18, 10, 11, 1, 1)</f>
        <v>0</v>
      </c>
      <c r="K2489" s="187">
        <f ca="1">OFFSET('IWP19'!Std9BillingInfo18, 10, 12, 1, 1)</f>
        <v>0</v>
      </c>
      <c r="L2489" s="179">
        <f ca="1">OFFSET('IWP19'!Std9BillingInfo18, 12, 8, 1, 1)</f>
        <v>0</v>
      </c>
      <c r="M2489" s="129"/>
    </row>
    <row r="2490" spans="1:13" s="146" customFormat="1">
      <c r="A2490" s="183" t="s">
        <v>518</v>
      </c>
      <c r="B2490" s="196">
        <v>1</v>
      </c>
      <c r="C2490" s="195" t="str">
        <f ca="1">IF(OFFSET('IWP20'!Std9BillingInfo01, 0, 0, 1, 1) = 0, "", OFFSET('IWP20'!Std9BillingInfo01, 0, 0, 1, 1))</f>
        <v/>
      </c>
      <c r="D2490" s="172">
        <f ca="1">IF(OFFSET('IWP20'!Std9BillingInfo01, 0, 1, 1, 1)=DATE(1900,1,0), DATE(1900,1,1), OFFSET('IWP20'!Std9BillingInfo01, 0, 1, 1, 1))</f>
        <v>1</v>
      </c>
      <c r="E2490" s="172">
        <f ca="1">IF(OFFSET('IWP20'!Std9BillingInfo01, 0, 2, 1, 1)=DATE(1900,1,0), DATE(1900,1,1), OFFSET('IWP20'!Std9BillingInfo01, 0, 2, 1, 1))</f>
        <v>1</v>
      </c>
      <c r="F2490" s="187">
        <f ca="1">OFFSET('IWP20'!Std9BillingInfo01, 0, 3, 1, 1)</f>
        <v>0</v>
      </c>
      <c r="G2490" s="187">
        <f ca="1">OFFSET('IWP20'!Std9BillingInfo01, 10, 6, 1, 1)</f>
        <v>0</v>
      </c>
      <c r="H2490" s="187">
        <f ca="1">OFFSET('IWP20'!Std9BillingInfo01, 11, 6, 1, 1)</f>
        <v>0</v>
      </c>
      <c r="I2490" s="187">
        <f ca="1">OFFSET('IWP20'!Std9BillingInfo01, 10, 8, 1, 1)</f>
        <v>0</v>
      </c>
      <c r="J2490" s="187">
        <f ca="1">OFFSET('IWP20'!Std9BillingInfo01, 10, 11, 1, 1)</f>
        <v>0</v>
      </c>
      <c r="K2490" s="187">
        <f ca="1">OFFSET('IWP20'!Std9BillingInfo01, 10, 12, 1, 1)</f>
        <v>0</v>
      </c>
      <c r="L2490" s="179">
        <f ca="1">OFFSET('IWP20'!Std9BillingInfo01, 12, 8, 1, 1)</f>
        <v>0</v>
      </c>
      <c r="M2490" s="129"/>
    </row>
    <row r="2491" spans="1:13" s="146" customFormat="1">
      <c r="A2491" s="183" t="s">
        <v>518</v>
      </c>
      <c r="B2491" s="196">
        <v>2</v>
      </c>
      <c r="C2491" s="195" t="str">
        <f ca="1">IF(OFFSET('IWP20'!Std9BillingInfo02, 0, 0, 1, 1) = 0, "", OFFSET('IWP20'!Std9BillingInfo02, 0, 0, 1, 1))</f>
        <v/>
      </c>
      <c r="D2491" s="172">
        <f ca="1">IF(OFFSET('IWP20'!Std9BillingInfo02, 0, 1, 1, 1)=DATE(1900,1,0), DATE(1900,1,1), OFFSET('IWP20'!Std9BillingInfo02, 0, 1, 1, 1))</f>
        <v>1</v>
      </c>
      <c r="E2491" s="172">
        <f ca="1">IF(OFFSET('IWP20'!Std9BillingInfo02, 0, 2, 1, 1)=DATE(1900,1,0), DATE(1900,1,1), OFFSET('IWP20'!Std9BillingInfo02, 0, 2, 1, 1))</f>
        <v>1</v>
      </c>
      <c r="F2491" s="187">
        <f ca="1">OFFSET('IWP20'!Std9BillingInfo02, 0, 3, 1, 1)</f>
        <v>0</v>
      </c>
      <c r="G2491" s="187">
        <f ca="1">OFFSET('IWP20'!Std9BillingInfo02, 10, 6, 1, 1)</f>
        <v>0</v>
      </c>
      <c r="H2491" s="187">
        <f ca="1">OFFSET('IWP20'!Std9BillingInfo02, 11, 6, 1, 1)</f>
        <v>0</v>
      </c>
      <c r="I2491" s="187">
        <f ca="1">OFFSET('IWP20'!Std9BillingInfo02, 10, 8, 1, 1)</f>
        <v>0</v>
      </c>
      <c r="J2491" s="187">
        <f ca="1">OFFSET('IWP20'!Std9BillingInfo02, 10, 11, 1, 1)</f>
        <v>0</v>
      </c>
      <c r="K2491" s="187">
        <f ca="1">OFFSET('IWP20'!Std9BillingInfo02, 10, 12, 1, 1)</f>
        <v>0</v>
      </c>
      <c r="L2491" s="179">
        <f ca="1">OFFSET('IWP20'!Std9BillingInfo02, 12, 8, 1, 1)</f>
        <v>0</v>
      </c>
      <c r="M2491" s="129"/>
    </row>
    <row r="2492" spans="1:13" s="146" customFormat="1">
      <c r="A2492" s="183" t="s">
        <v>518</v>
      </c>
      <c r="B2492" s="196">
        <v>3</v>
      </c>
      <c r="C2492" s="195" t="str">
        <f ca="1">IF(OFFSET('IWP20'!Std9BillingInfo03, 0, 0, 1, 1) = 0, "", OFFSET('IWP20'!Std9BillingInfo03, 0, 0, 1, 1))</f>
        <v/>
      </c>
      <c r="D2492" s="172">
        <f ca="1">IF(OFFSET('IWP20'!Std9BillingInfo03, 0, 1, 1, 1)=DATE(1900,1,0), DATE(1900,1,1), OFFSET('IWP20'!Std9BillingInfo03, 0, 1, 1, 1))</f>
        <v>1</v>
      </c>
      <c r="E2492" s="172">
        <f ca="1">IF(OFFSET('IWP20'!Std9BillingInfo03, 0, 2, 1, 1)=DATE(1900,1,0), DATE(1900,1,1), OFFSET('IWP20'!Std9BillingInfo03, 0, 2, 1, 1))</f>
        <v>1</v>
      </c>
      <c r="F2492" s="187">
        <f ca="1">OFFSET('IWP20'!Std9BillingInfo03, 0, 3, 1, 1)</f>
        <v>0</v>
      </c>
      <c r="G2492" s="187">
        <f ca="1">OFFSET('IWP20'!Std9BillingInfo03, 10, 6, 1, 1)</f>
        <v>0</v>
      </c>
      <c r="H2492" s="187">
        <f ca="1">OFFSET('IWP20'!Std9BillingInfo03, 11, 6, 1, 1)</f>
        <v>0</v>
      </c>
      <c r="I2492" s="187">
        <f ca="1">OFFSET('IWP20'!Std9BillingInfo03, 10, 8, 1, 1)</f>
        <v>0</v>
      </c>
      <c r="J2492" s="187">
        <f ca="1">OFFSET('IWP20'!Std9BillingInfo03, 10, 11, 1, 1)</f>
        <v>0</v>
      </c>
      <c r="K2492" s="187">
        <f ca="1">OFFSET('IWP20'!Std9BillingInfo03, 10, 12, 1, 1)</f>
        <v>0</v>
      </c>
      <c r="L2492" s="179">
        <f ca="1">OFFSET('IWP20'!Std9BillingInfo03, 12, 8, 1, 1)</f>
        <v>0</v>
      </c>
      <c r="M2492" s="129"/>
    </row>
    <row r="2493" spans="1:13" s="146" customFormat="1">
      <c r="A2493" s="183" t="s">
        <v>518</v>
      </c>
      <c r="B2493" s="196">
        <v>4</v>
      </c>
      <c r="C2493" s="195" t="str">
        <f ca="1">IF(OFFSET('IWP20'!Std9BillingInfo04, 0, 0, 1, 1) = 0, "", OFFSET('IWP20'!Std9BillingInfo04, 0, 0, 1, 1))</f>
        <v/>
      </c>
      <c r="D2493" s="172">
        <f ca="1">IF(OFFSET('IWP20'!Std9BillingInfo04, 0, 1, 1, 1)=DATE(1900,1,0), DATE(1900,1,1), OFFSET('IWP20'!Std9BillingInfo04, 0, 1, 1, 1))</f>
        <v>1</v>
      </c>
      <c r="E2493" s="172">
        <f ca="1">IF(OFFSET('IWP20'!Std9BillingInfo04, 0, 2, 1, 1)=DATE(1900,1,0), DATE(1900,1,1), OFFSET('IWP20'!Std9BillingInfo04, 0, 2, 1, 1))</f>
        <v>1</v>
      </c>
      <c r="F2493" s="187">
        <f ca="1">OFFSET('IWP20'!Std9BillingInfo04, 0, 3, 1, 1)</f>
        <v>0</v>
      </c>
      <c r="G2493" s="187">
        <f ca="1">OFFSET('IWP20'!Std9BillingInfo04, 10, 6, 1, 1)</f>
        <v>0</v>
      </c>
      <c r="H2493" s="187">
        <f ca="1">OFFSET('IWP20'!Std9BillingInfo04, 11, 6, 1, 1)</f>
        <v>0</v>
      </c>
      <c r="I2493" s="187">
        <f ca="1">OFFSET('IWP20'!Std9BillingInfo04, 10, 8, 1, 1)</f>
        <v>0</v>
      </c>
      <c r="J2493" s="187">
        <f ca="1">OFFSET('IWP20'!Std9BillingInfo04, 10, 11, 1, 1)</f>
        <v>0</v>
      </c>
      <c r="K2493" s="187">
        <f ca="1">OFFSET('IWP20'!Std9BillingInfo04, 10, 12, 1, 1)</f>
        <v>0</v>
      </c>
      <c r="L2493" s="179">
        <f ca="1">OFFSET('IWP20'!Std9BillingInfo04, 12, 8, 1, 1)</f>
        <v>0</v>
      </c>
      <c r="M2493" s="129"/>
    </row>
    <row r="2494" spans="1:13" s="146" customFormat="1">
      <c r="A2494" s="183" t="s">
        <v>518</v>
      </c>
      <c r="B2494" s="196">
        <v>5</v>
      </c>
      <c r="C2494" s="195" t="str">
        <f ca="1">IF(OFFSET('IWP20'!Std9BillingInfo05, 0, 0, 1, 1) = 0, "", OFFSET('IWP20'!Std9BillingInfo05, 0, 0, 1, 1))</f>
        <v/>
      </c>
      <c r="D2494" s="172">
        <f ca="1">IF(OFFSET('IWP20'!Std9BillingInfo05, 0, 1, 1, 1)=DATE(1900,1,0), DATE(1900,1,1), OFFSET('IWP20'!Std9BillingInfo05, 0, 1, 1, 1))</f>
        <v>1</v>
      </c>
      <c r="E2494" s="172">
        <f ca="1">IF(OFFSET('IWP20'!Std9BillingInfo05, 0, 2, 1, 1)=DATE(1900,1,0), DATE(1900,1,1), OFFSET('IWP20'!Std9BillingInfo05, 0, 2, 1, 1))</f>
        <v>1</v>
      </c>
      <c r="F2494" s="187">
        <f ca="1">OFFSET('IWP20'!Std9BillingInfo05, 0, 3, 1, 1)</f>
        <v>0</v>
      </c>
      <c r="G2494" s="187">
        <f ca="1">OFFSET('IWP20'!Std9BillingInfo05, 10, 6, 1, 1)</f>
        <v>0</v>
      </c>
      <c r="H2494" s="187">
        <f ca="1">OFFSET('IWP20'!Std9BillingInfo05, 11, 6, 1, 1)</f>
        <v>0</v>
      </c>
      <c r="I2494" s="187">
        <f ca="1">OFFSET('IWP20'!Std9BillingInfo05, 10, 8, 1, 1)</f>
        <v>0</v>
      </c>
      <c r="J2494" s="187">
        <f ca="1">OFFSET('IWP20'!Std9BillingInfo05, 10, 11, 1, 1)</f>
        <v>0</v>
      </c>
      <c r="K2494" s="187">
        <f ca="1">OFFSET('IWP20'!Std9BillingInfo05, 10, 12, 1, 1)</f>
        <v>0</v>
      </c>
      <c r="L2494" s="179">
        <f ca="1">OFFSET('IWP20'!Std9BillingInfo05, 12, 8, 1, 1)</f>
        <v>0</v>
      </c>
      <c r="M2494" s="129"/>
    </row>
    <row r="2495" spans="1:13" s="146" customFormat="1">
      <c r="A2495" s="183" t="s">
        <v>518</v>
      </c>
      <c r="B2495" s="196">
        <v>6</v>
      </c>
      <c r="C2495" s="195" t="str">
        <f ca="1">IF(OFFSET('IWP20'!Std9BillingInfo06, 0, 0, 1, 1) = 0, "", OFFSET('IWP20'!Std9BillingInfo06, 0, 0, 1, 1))</f>
        <v/>
      </c>
      <c r="D2495" s="172">
        <f ca="1">IF(OFFSET('IWP20'!Std9BillingInfo06, 0, 1, 1, 1)=DATE(1900,1,0), DATE(1900,1,1), OFFSET('IWP20'!Std9BillingInfo06, 0, 1, 1, 1))</f>
        <v>1</v>
      </c>
      <c r="E2495" s="172">
        <f ca="1">IF(OFFSET('IWP20'!Std9BillingInfo06, 0, 2, 1, 1)=DATE(1900,1,0), DATE(1900,1,1), OFFSET('IWP20'!Std9BillingInfo06, 0, 2, 1, 1))</f>
        <v>1</v>
      </c>
      <c r="F2495" s="187">
        <f ca="1">OFFSET('IWP20'!Std9BillingInfo06, 0, 3, 1, 1)</f>
        <v>0</v>
      </c>
      <c r="G2495" s="187">
        <f ca="1">OFFSET('IWP20'!Std9BillingInfo06, 10, 6, 1, 1)</f>
        <v>0</v>
      </c>
      <c r="H2495" s="187">
        <f ca="1">OFFSET('IWP20'!Std9BillingInfo06, 11, 6, 1, 1)</f>
        <v>0</v>
      </c>
      <c r="I2495" s="187">
        <f ca="1">OFFSET('IWP20'!Std9BillingInfo06, 10, 8, 1, 1)</f>
        <v>0</v>
      </c>
      <c r="J2495" s="187">
        <f ca="1">OFFSET('IWP20'!Std9BillingInfo06, 10, 11, 1, 1)</f>
        <v>0</v>
      </c>
      <c r="K2495" s="187">
        <f ca="1">OFFSET('IWP20'!Std9BillingInfo06, 10, 12, 1, 1)</f>
        <v>0</v>
      </c>
      <c r="L2495" s="179">
        <f ca="1">OFFSET('IWP20'!Std9BillingInfo06, 12, 8, 1, 1)</f>
        <v>0</v>
      </c>
      <c r="M2495" s="129"/>
    </row>
    <row r="2496" spans="1:13" s="146" customFormat="1">
      <c r="A2496" s="183" t="s">
        <v>518</v>
      </c>
      <c r="B2496" s="196">
        <v>7</v>
      </c>
      <c r="C2496" s="195" t="str">
        <f ca="1">IF(OFFSET('IWP20'!Std9BillingInfo07, 0, 0, 1, 1) = 0, "", OFFSET('IWP20'!Std9BillingInfo07, 0, 0, 1, 1))</f>
        <v/>
      </c>
      <c r="D2496" s="172">
        <f ca="1">IF(OFFSET('IWP20'!Std9BillingInfo07, 0, 1, 1, 1)=DATE(1900,1,0), DATE(1900,1,1), OFFSET('IWP20'!Std9BillingInfo07, 0, 1, 1, 1))</f>
        <v>1</v>
      </c>
      <c r="E2496" s="172">
        <f ca="1">IF(OFFSET('IWP20'!Std9BillingInfo07, 0, 2, 1, 1)=DATE(1900,1,0), DATE(1900,1,1), OFFSET('IWP20'!Std9BillingInfo07, 0, 2, 1, 1))</f>
        <v>1</v>
      </c>
      <c r="F2496" s="187">
        <f ca="1">OFFSET('IWP20'!Std9BillingInfo07, 0, 3, 1, 1)</f>
        <v>0</v>
      </c>
      <c r="G2496" s="187">
        <f ca="1">OFFSET('IWP20'!Std9BillingInfo07, 10, 6, 1, 1)</f>
        <v>0</v>
      </c>
      <c r="H2496" s="187">
        <f ca="1">OFFSET('IWP20'!Std9BillingInfo07, 11, 6, 1, 1)</f>
        <v>0</v>
      </c>
      <c r="I2496" s="187">
        <f ca="1">OFFSET('IWP20'!Std9BillingInfo07, 10, 8, 1, 1)</f>
        <v>0</v>
      </c>
      <c r="J2496" s="187">
        <f ca="1">OFFSET('IWP20'!Std9BillingInfo07, 10, 11, 1, 1)</f>
        <v>0</v>
      </c>
      <c r="K2496" s="187">
        <f ca="1">OFFSET('IWP20'!Std9BillingInfo07, 10, 12, 1, 1)</f>
        <v>0</v>
      </c>
      <c r="L2496" s="179">
        <f ca="1">OFFSET('IWP20'!Std9BillingInfo07, 12, 8, 1, 1)</f>
        <v>0</v>
      </c>
      <c r="M2496" s="129"/>
    </row>
    <row r="2497" spans="1:13" s="146" customFormat="1">
      <c r="A2497" s="183" t="s">
        <v>518</v>
      </c>
      <c r="B2497" s="196">
        <v>8</v>
      </c>
      <c r="C2497" s="195" t="str">
        <f ca="1">IF(OFFSET('IWP20'!Std9BillingInfo08, 0, 0, 1, 1) = 0, "", OFFSET('IWP20'!Std9BillingInfo08, 0, 0, 1, 1))</f>
        <v/>
      </c>
      <c r="D2497" s="172">
        <f ca="1">IF(OFFSET('IWP20'!Std9BillingInfo08, 0, 1, 1, 1)=DATE(1900,1,0), DATE(1900,1,1), OFFSET('IWP20'!Std9BillingInfo08, 0, 1, 1, 1))</f>
        <v>1</v>
      </c>
      <c r="E2497" s="172">
        <f ca="1">IF(OFFSET('IWP20'!Std9BillingInfo08, 0, 2, 1, 1)=DATE(1900,1,0), DATE(1900,1,1), OFFSET('IWP20'!Std9BillingInfo08, 0, 2, 1, 1))</f>
        <v>1</v>
      </c>
      <c r="F2497" s="187">
        <f ca="1">OFFSET('IWP20'!Std9BillingInfo08, 0, 3, 1, 1)</f>
        <v>0</v>
      </c>
      <c r="G2497" s="187">
        <f ca="1">OFFSET('IWP20'!Std9BillingInfo08, 10, 6, 1, 1)</f>
        <v>0</v>
      </c>
      <c r="H2497" s="187">
        <f ca="1">OFFSET('IWP20'!Std9BillingInfo08, 11, 6, 1, 1)</f>
        <v>0</v>
      </c>
      <c r="I2497" s="187">
        <f ca="1">OFFSET('IWP20'!Std9BillingInfo08, 10, 8, 1, 1)</f>
        <v>0</v>
      </c>
      <c r="J2497" s="187">
        <f ca="1">OFFSET('IWP20'!Std9BillingInfo08, 10, 11, 1, 1)</f>
        <v>0</v>
      </c>
      <c r="K2497" s="187">
        <f ca="1">OFFSET('IWP20'!Std9BillingInfo08, 10, 12, 1, 1)</f>
        <v>0</v>
      </c>
      <c r="L2497" s="179">
        <f ca="1">OFFSET('IWP20'!Std9BillingInfo08, 12, 8, 1, 1)</f>
        <v>0</v>
      </c>
      <c r="M2497" s="129"/>
    </row>
    <row r="2498" spans="1:13" s="146" customFormat="1">
      <c r="A2498" s="183" t="s">
        <v>518</v>
      </c>
      <c r="B2498" s="196">
        <v>9</v>
      </c>
      <c r="C2498" s="195" t="str">
        <f ca="1">IF(OFFSET('IWP20'!Std9BillingInfo09, 0, 0, 1, 1) = 0, "", OFFSET('IWP20'!Std9BillingInfo09, 0, 0, 1, 1))</f>
        <v/>
      </c>
      <c r="D2498" s="172">
        <f ca="1">IF(OFFSET('IWP20'!Std9BillingInfo09, 0, 1, 1, 1)=DATE(1900,1,0), DATE(1900,1,1), OFFSET('IWP20'!Std9BillingInfo09, 0, 1, 1, 1))</f>
        <v>1</v>
      </c>
      <c r="E2498" s="172">
        <f ca="1">IF(OFFSET('IWP20'!Std9BillingInfo09, 0, 2, 1, 1)=DATE(1900,1,0), DATE(1900,1,1), OFFSET('IWP20'!Std9BillingInfo09, 0, 2, 1, 1))</f>
        <v>1</v>
      </c>
      <c r="F2498" s="187">
        <f ca="1">OFFSET('IWP20'!Std9BillingInfo09, 0, 3, 1, 1)</f>
        <v>0</v>
      </c>
      <c r="G2498" s="187">
        <f ca="1">OFFSET('IWP20'!Std9BillingInfo09, 10, 6, 1, 1)</f>
        <v>0</v>
      </c>
      <c r="H2498" s="187">
        <f ca="1">OFFSET('IWP20'!Std9BillingInfo09, 11, 6, 1, 1)</f>
        <v>0</v>
      </c>
      <c r="I2498" s="187">
        <f ca="1">OFFSET('IWP20'!Std9BillingInfo09, 10, 8, 1, 1)</f>
        <v>0</v>
      </c>
      <c r="J2498" s="187">
        <f ca="1">OFFSET('IWP20'!Std9BillingInfo09, 10, 11, 1, 1)</f>
        <v>0</v>
      </c>
      <c r="K2498" s="187">
        <f ca="1">OFFSET('IWP20'!Std9BillingInfo09, 10, 12, 1, 1)</f>
        <v>0</v>
      </c>
      <c r="L2498" s="179">
        <f ca="1">OFFSET('IWP20'!Std9BillingInfo09, 12, 8, 1, 1)</f>
        <v>0</v>
      </c>
      <c r="M2498" s="129"/>
    </row>
    <row r="2499" spans="1:13" s="146" customFormat="1">
      <c r="A2499" s="183" t="s">
        <v>518</v>
      </c>
      <c r="B2499" s="196">
        <v>10</v>
      </c>
      <c r="C2499" s="195" t="str">
        <f ca="1">IF(OFFSET('IWP20'!Std9BillingInfo10, 0, 0, 1, 1) = 0, "", OFFSET('IWP20'!Std9BillingInfo10, 0, 0, 1, 1))</f>
        <v/>
      </c>
      <c r="D2499" s="172">
        <f ca="1">IF(OFFSET('IWP20'!Std9BillingInfo10, 0, 1, 1, 1)=DATE(1900,1,0), DATE(1900,1,1), OFFSET('IWP20'!Std9BillingInfo10, 0, 1, 1, 1))</f>
        <v>1</v>
      </c>
      <c r="E2499" s="172">
        <f ca="1">IF(OFFSET('IWP20'!Std9BillingInfo10, 0, 2, 1, 1)=DATE(1900,1,0), DATE(1900,1,1), OFFSET('IWP20'!Std9BillingInfo10, 0, 2, 1, 1))</f>
        <v>1</v>
      </c>
      <c r="F2499" s="187">
        <f ca="1">OFFSET('IWP20'!Std9BillingInfo10, 0, 3, 1, 1)</f>
        <v>0</v>
      </c>
      <c r="G2499" s="187">
        <f ca="1">OFFSET('IWP20'!Std9BillingInfo10, 10, 6, 1, 1)</f>
        <v>0</v>
      </c>
      <c r="H2499" s="187">
        <f ca="1">OFFSET('IWP20'!Std9BillingInfo10, 11, 6, 1, 1)</f>
        <v>0</v>
      </c>
      <c r="I2499" s="187">
        <f ca="1">OFFSET('IWP20'!Std9BillingInfo10, 10, 8, 1, 1)</f>
        <v>0</v>
      </c>
      <c r="J2499" s="187">
        <f ca="1">OFFSET('IWP20'!Std9BillingInfo10, 10, 11, 1, 1)</f>
        <v>0</v>
      </c>
      <c r="K2499" s="187">
        <f ca="1">OFFSET('IWP20'!Std9BillingInfo10, 10, 12, 1, 1)</f>
        <v>0</v>
      </c>
      <c r="L2499" s="179">
        <f ca="1">OFFSET('IWP20'!Std9BillingInfo10, 12, 8, 1, 1)</f>
        <v>0</v>
      </c>
      <c r="M2499" s="129"/>
    </row>
    <row r="2500" spans="1:13" s="146" customFormat="1">
      <c r="A2500" s="183" t="s">
        <v>518</v>
      </c>
      <c r="B2500" s="196">
        <v>11</v>
      </c>
      <c r="C2500" s="195" t="str">
        <f ca="1">IF(OFFSET('IWP20'!Std9BillingInfo11, 0, 0, 1, 1) = 0, "", OFFSET('IWP20'!Std9BillingInfo11, 0, 0, 1, 1))</f>
        <v/>
      </c>
      <c r="D2500" s="172">
        <f ca="1">IF(OFFSET('IWP20'!Std9BillingInfo11, 0, 1, 1, 1)=DATE(1900,1,0), DATE(1900,1,1), OFFSET('IWP20'!Std9BillingInfo11, 0, 1, 1, 1))</f>
        <v>1</v>
      </c>
      <c r="E2500" s="172">
        <f ca="1">IF(OFFSET('IWP20'!Std9BillingInfo11, 0, 2, 1, 1)=DATE(1900,1,0), DATE(1900,1,1), OFFSET('IWP20'!Std9BillingInfo11, 0, 2, 1, 1))</f>
        <v>1</v>
      </c>
      <c r="F2500" s="187">
        <f ca="1">OFFSET('IWP20'!Std9BillingInfo11, 0, 3, 1, 1)</f>
        <v>0</v>
      </c>
      <c r="G2500" s="187">
        <f ca="1">OFFSET('IWP20'!Std9BillingInfo11, 10, 6, 1, 1)</f>
        <v>0</v>
      </c>
      <c r="H2500" s="187">
        <f ca="1">OFFSET('IWP20'!Std9BillingInfo11, 11, 6, 1, 1)</f>
        <v>0</v>
      </c>
      <c r="I2500" s="187">
        <f ca="1">OFFSET('IWP20'!Std9BillingInfo11, 10, 8, 1, 1)</f>
        <v>0</v>
      </c>
      <c r="J2500" s="187">
        <f ca="1">OFFSET('IWP20'!Std9BillingInfo11, 10, 11, 1, 1)</f>
        <v>0</v>
      </c>
      <c r="K2500" s="187">
        <f ca="1">OFFSET('IWP20'!Std9BillingInfo11, 10, 12, 1, 1)</f>
        <v>0</v>
      </c>
      <c r="L2500" s="179">
        <f ca="1">OFFSET('IWP20'!Std9BillingInfo11, 12, 8, 1, 1)</f>
        <v>0</v>
      </c>
      <c r="M2500" s="129"/>
    </row>
    <row r="2501" spans="1:13" s="146" customFormat="1">
      <c r="A2501" s="183" t="s">
        <v>518</v>
      </c>
      <c r="B2501" s="196">
        <v>12</v>
      </c>
      <c r="C2501" s="195" t="str">
        <f ca="1">IF(OFFSET('IWP20'!Std9BillingInfo12, 0, 0, 1, 1) = 0, "", OFFSET('IWP20'!Std9BillingInfo12, 0, 0, 1, 1))</f>
        <v/>
      </c>
      <c r="D2501" s="172">
        <f ca="1">IF(OFFSET('IWP20'!Std9BillingInfo12, 0, 1, 1, 1)=DATE(1900,1,0), DATE(1900,1,1), OFFSET('IWP20'!Std9BillingInfo12, 0, 1, 1, 1))</f>
        <v>1</v>
      </c>
      <c r="E2501" s="172">
        <f ca="1">IF(OFFSET('IWP20'!Std9BillingInfo12, 0, 2, 1, 1)=DATE(1900,1,0), DATE(1900,1,1), OFFSET('IWP20'!Std9BillingInfo12, 0, 2, 1, 1))</f>
        <v>1</v>
      </c>
      <c r="F2501" s="187">
        <f ca="1">OFFSET('IWP20'!Std9BillingInfo12, 0, 3, 1, 1)</f>
        <v>0</v>
      </c>
      <c r="G2501" s="187">
        <f ca="1">OFFSET('IWP20'!Std9BillingInfo12, 10, 6, 1, 1)</f>
        <v>0</v>
      </c>
      <c r="H2501" s="187">
        <f ca="1">OFFSET('IWP20'!Std9BillingInfo12, 11, 6, 1, 1)</f>
        <v>0</v>
      </c>
      <c r="I2501" s="187">
        <f ca="1">OFFSET('IWP20'!Std9BillingInfo12, 10, 8, 1, 1)</f>
        <v>0</v>
      </c>
      <c r="J2501" s="187">
        <f ca="1">OFFSET('IWP20'!Std9BillingInfo12, 10, 11, 1, 1)</f>
        <v>0</v>
      </c>
      <c r="K2501" s="187">
        <f ca="1">OFFSET('IWP20'!Std9BillingInfo12, 10, 12, 1, 1)</f>
        <v>0</v>
      </c>
      <c r="L2501" s="179">
        <f ca="1">OFFSET('IWP20'!Std9BillingInfo12, 12, 8, 1, 1)</f>
        <v>0</v>
      </c>
      <c r="M2501" s="129"/>
    </row>
    <row r="2502" spans="1:13" s="146" customFormat="1">
      <c r="A2502" s="183" t="s">
        <v>518</v>
      </c>
      <c r="B2502" s="196">
        <v>13</v>
      </c>
      <c r="C2502" s="195" t="str">
        <f ca="1">IF(OFFSET('IWP20'!Std9BillingInfo13, 0, 0, 1, 1) = 0, "", OFFSET('IWP20'!Std9BillingInfo13, 0, 0, 1, 1))</f>
        <v/>
      </c>
      <c r="D2502" s="172">
        <f ca="1">IF(OFFSET('IWP20'!Std9BillingInfo13, 0, 1, 1, 1)=DATE(1900,1,0), DATE(1900,1,1), OFFSET('IWP20'!Std9BillingInfo13, 0, 1, 1, 1))</f>
        <v>1</v>
      </c>
      <c r="E2502" s="172">
        <f ca="1">IF(OFFSET('IWP20'!Std9BillingInfo13, 0, 2, 1, 1)=DATE(1900,1,0), DATE(1900,1,1), OFFSET('IWP20'!Std9BillingInfo13, 0, 2, 1, 1))</f>
        <v>1</v>
      </c>
      <c r="F2502" s="187">
        <f ca="1">OFFSET('IWP20'!Std9BillingInfo13, 0, 3, 1, 1)</f>
        <v>0</v>
      </c>
      <c r="G2502" s="187">
        <f ca="1">OFFSET('IWP20'!Std9BillingInfo13, 10, 6, 1, 1)</f>
        <v>0</v>
      </c>
      <c r="H2502" s="187">
        <f ca="1">OFFSET('IWP20'!Std9BillingInfo13, 11, 6, 1, 1)</f>
        <v>0</v>
      </c>
      <c r="I2502" s="187">
        <f ca="1">OFFSET('IWP20'!Std9BillingInfo13, 10, 8, 1, 1)</f>
        <v>0</v>
      </c>
      <c r="J2502" s="187">
        <f ca="1">OFFSET('IWP20'!Std9BillingInfo13, 10, 11, 1, 1)</f>
        <v>0</v>
      </c>
      <c r="K2502" s="187">
        <f ca="1">OFFSET('IWP20'!Std9BillingInfo13, 10, 12, 1, 1)</f>
        <v>0</v>
      </c>
      <c r="L2502" s="179">
        <f ca="1">OFFSET('IWP20'!Std9BillingInfo13, 12, 8, 1, 1)</f>
        <v>0</v>
      </c>
      <c r="M2502" s="129"/>
    </row>
    <row r="2503" spans="1:13" s="146" customFormat="1">
      <c r="A2503" s="183" t="s">
        <v>518</v>
      </c>
      <c r="B2503" s="196">
        <v>14</v>
      </c>
      <c r="C2503" s="195" t="str">
        <f ca="1">IF(OFFSET('IWP20'!Std9BillingInfo14, 0, 0, 1, 1) = 0, "", OFFSET('IWP20'!Std9BillingInfo14, 0, 0, 1, 1))</f>
        <v/>
      </c>
      <c r="D2503" s="172">
        <f ca="1">IF(OFFSET('IWP20'!Std9BillingInfo14, 0, 1, 1, 1)=DATE(1900,1,0), DATE(1900,1,1), OFFSET('IWP20'!Std9BillingInfo14, 0, 1, 1, 1))</f>
        <v>1</v>
      </c>
      <c r="E2503" s="172">
        <f ca="1">IF(OFFSET('IWP20'!Std9BillingInfo14, 0, 2, 1, 1)=DATE(1900,1,0), DATE(1900,1,1), OFFSET('IWP20'!Std9BillingInfo14, 0, 2, 1, 1))</f>
        <v>1</v>
      </c>
      <c r="F2503" s="187">
        <f ca="1">OFFSET('IWP20'!Std9BillingInfo14, 0, 3, 1, 1)</f>
        <v>0</v>
      </c>
      <c r="G2503" s="187">
        <f ca="1">OFFSET('IWP20'!Std9BillingInfo14, 10, 6, 1, 1)</f>
        <v>0</v>
      </c>
      <c r="H2503" s="187">
        <f ca="1">OFFSET('IWP20'!Std9BillingInfo14, 11, 6, 1, 1)</f>
        <v>0</v>
      </c>
      <c r="I2503" s="187">
        <f ca="1">OFFSET('IWP20'!Std9BillingInfo14, 10, 8, 1, 1)</f>
        <v>0</v>
      </c>
      <c r="J2503" s="187">
        <f ca="1">OFFSET('IWP20'!Std9BillingInfo14, 10, 11, 1, 1)</f>
        <v>0</v>
      </c>
      <c r="K2503" s="187">
        <f ca="1">OFFSET('IWP20'!Std9BillingInfo14, 10, 12, 1, 1)</f>
        <v>0</v>
      </c>
      <c r="L2503" s="179">
        <f ca="1">OFFSET('IWP20'!Std9BillingInfo14, 12, 8, 1, 1)</f>
        <v>0</v>
      </c>
      <c r="M2503" s="129"/>
    </row>
    <row r="2504" spans="1:13" s="146" customFormat="1">
      <c r="A2504" s="183" t="s">
        <v>518</v>
      </c>
      <c r="B2504" s="196">
        <v>15</v>
      </c>
      <c r="C2504" s="195" t="str">
        <f ca="1">IF(OFFSET('IWP20'!Std9BillingInfo15, 0, 0, 1, 1) = 0, "", OFFSET('IWP20'!Std9BillingInfo15, 0, 0, 1, 1))</f>
        <v/>
      </c>
      <c r="D2504" s="172">
        <f ca="1">IF(OFFSET('IWP20'!Std9BillingInfo15, 0, 1, 1, 1)=DATE(1900,1,0), DATE(1900,1,1), OFFSET('IWP20'!Std9BillingInfo15, 0, 1, 1, 1))</f>
        <v>1</v>
      </c>
      <c r="E2504" s="172">
        <f ca="1">IF(OFFSET('IWP20'!Std9BillingInfo15, 0, 2, 1, 1)=DATE(1900,1,0), DATE(1900,1,1), OFFSET('IWP20'!Std9BillingInfo15, 0, 2, 1, 1))</f>
        <v>1</v>
      </c>
      <c r="F2504" s="187">
        <f ca="1">OFFSET('IWP20'!Std9BillingInfo15, 0, 3, 1, 1)</f>
        <v>0</v>
      </c>
      <c r="G2504" s="187">
        <f ca="1">OFFSET('IWP20'!Std9BillingInfo15, 10, 6, 1, 1)</f>
        <v>0</v>
      </c>
      <c r="H2504" s="187">
        <f ca="1">OFFSET('IWP20'!Std9BillingInfo15, 11, 6, 1, 1)</f>
        <v>0</v>
      </c>
      <c r="I2504" s="187">
        <f ca="1">OFFSET('IWP20'!Std9BillingInfo15, 10, 8, 1, 1)</f>
        <v>0</v>
      </c>
      <c r="J2504" s="187">
        <f ca="1">OFFSET('IWP20'!Std9BillingInfo15, 10, 11, 1, 1)</f>
        <v>0</v>
      </c>
      <c r="K2504" s="187">
        <f ca="1">OFFSET('IWP20'!Std9BillingInfo15, 10, 12, 1, 1)</f>
        <v>0</v>
      </c>
      <c r="L2504" s="179">
        <f ca="1">OFFSET('IWP20'!Std9BillingInfo15, 12, 8, 1, 1)</f>
        <v>0</v>
      </c>
      <c r="M2504" s="129"/>
    </row>
    <row r="2505" spans="1:13" s="146" customFormat="1">
      <c r="A2505" s="183" t="s">
        <v>518</v>
      </c>
      <c r="B2505" s="196">
        <v>16</v>
      </c>
      <c r="C2505" s="195" t="str">
        <f ca="1">IF(OFFSET('IWP20'!Std9BillingInfo16, 0, 0, 1, 1) = 0, "", OFFSET('IWP20'!Std9BillingInfo16, 0, 0, 1, 1))</f>
        <v/>
      </c>
      <c r="D2505" s="172">
        <f ca="1">IF(OFFSET('IWP20'!Std9BillingInfo16, 0, 1, 1, 1)=DATE(1900,1,0), DATE(1900,1,1), OFFSET('IWP20'!Std9BillingInfo16, 0, 1, 1, 1))</f>
        <v>1</v>
      </c>
      <c r="E2505" s="172">
        <f ca="1">IF(OFFSET('IWP20'!Std9BillingInfo16, 0, 2, 1, 1)=DATE(1900,1,0), DATE(1900,1,1), OFFSET('IWP20'!Std9BillingInfo16, 0, 2, 1, 1))</f>
        <v>1</v>
      </c>
      <c r="F2505" s="187">
        <f ca="1">OFFSET('IWP20'!Std9BillingInfo16, 0, 3, 1, 1)</f>
        <v>0</v>
      </c>
      <c r="G2505" s="187">
        <f ca="1">OFFSET('IWP20'!Std9BillingInfo16, 10, 6, 1, 1)</f>
        <v>0</v>
      </c>
      <c r="H2505" s="187">
        <f ca="1">OFFSET('IWP20'!Std9BillingInfo16, 11, 6, 1, 1)</f>
        <v>0</v>
      </c>
      <c r="I2505" s="187">
        <f ca="1">OFFSET('IWP20'!Std9BillingInfo16, 10, 8, 1, 1)</f>
        <v>0</v>
      </c>
      <c r="J2505" s="187">
        <f ca="1">OFFSET('IWP20'!Std9BillingInfo16, 10, 11, 1, 1)</f>
        <v>0</v>
      </c>
      <c r="K2505" s="187">
        <f ca="1">OFFSET('IWP20'!Std9BillingInfo16, 10, 12, 1, 1)</f>
        <v>0</v>
      </c>
      <c r="L2505" s="179">
        <f ca="1">OFFSET('IWP20'!Std9BillingInfo16, 12, 8, 1, 1)</f>
        <v>0</v>
      </c>
      <c r="M2505" s="129"/>
    </row>
    <row r="2506" spans="1:13" s="146" customFormat="1">
      <c r="A2506" s="183" t="s">
        <v>518</v>
      </c>
      <c r="B2506" s="196">
        <v>17</v>
      </c>
      <c r="C2506" s="195" t="str">
        <f ca="1">IF(OFFSET('IWP20'!Std9BillingInfo17, 0, 0, 1, 1) = 0, "", OFFSET('IWP20'!Std9BillingInfo17, 0, 0, 1, 1))</f>
        <v/>
      </c>
      <c r="D2506" s="172">
        <f ca="1">IF(OFFSET('IWP20'!Std9BillingInfo17, 0, 1, 1, 1)=DATE(1900,1,0), DATE(1900,1,1), OFFSET('IWP20'!Std9BillingInfo17, 0, 1, 1, 1))</f>
        <v>1</v>
      </c>
      <c r="E2506" s="172">
        <f ca="1">IF(OFFSET('IWP20'!Std9BillingInfo17, 0, 2, 1, 1)=DATE(1900,1,0), DATE(1900,1,1), OFFSET('IWP20'!Std9BillingInfo17, 0, 2, 1, 1))</f>
        <v>1</v>
      </c>
      <c r="F2506" s="187">
        <f ca="1">OFFSET('IWP20'!Std9BillingInfo17, 0, 3, 1, 1)</f>
        <v>0</v>
      </c>
      <c r="G2506" s="187">
        <f ca="1">OFFSET('IWP20'!Std9BillingInfo17, 10, 6, 1, 1)</f>
        <v>0</v>
      </c>
      <c r="H2506" s="187">
        <f ca="1">OFFSET('IWP20'!Std9BillingInfo17, 11, 6, 1, 1)</f>
        <v>0</v>
      </c>
      <c r="I2506" s="187">
        <f ca="1">OFFSET('IWP20'!Std9BillingInfo17, 10, 8, 1, 1)</f>
        <v>0</v>
      </c>
      <c r="J2506" s="187">
        <f ca="1">OFFSET('IWP20'!Std9BillingInfo17, 10, 11, 1, 1)</f>
        <v>0</v>
      </c>
      <c r="K2506" s="187">
        <f ca="1">OFFSET('IWP20'!Std9BillingInfo17, 10, 12, 1, 1)</f>
        <v>0</v>
      </c>
      <c r="L2506" s="179">
        <f ca="1">OFFSET('IWP20'!Std9BillingInfo17, 12, 8, 1, 1)</f>
        <v>0</v>
      </c>
      <c r="M2506" s="129"/>
    </row>
    <row r="2507" spans="1:13" s="146" customFormat="1">
      <c r="A2507" s="183" t="s">
        <v>518</v>
      </c>
      <c r="B2507" s="196">
        <v>18</v>
      </c>
      <c r="C2507" s="195" t="str">
        <f ca="1">IF(OFFSET('IWP20'!Std9BillingInfo18, 0, 0, 1, 1) = 0, "", OFFSET('IWP20'!Std9BillingInfo18, 0, 0, 1, 1))</f>
        <v/>
      </c>
      <c r="D2507" s="172">
        <f ca="1">IF(OFFSET('IWP20'!Std9BillingInfo18, 0, 1, 1, 1)=DATE(1900,1,0), DATE(1900,1,1), OFFSET('IWP20'!Std9BillingInfo18, 0, 1, 1, 1))</f>
        <v>1</v>
      </c>
      <c r="E2507" s="172">
        <f ca="1">IF(OFFSET('IWP20'!Std9BillingInfo18, 0, 2, 1, 1)=DATE(1900,1,0), DATE(1900,1,1), OFFSET('IWP20'!Std9BillingInfo18, 0, 2, 1, 1))</f>
        <v>1</v>
      </c>
      <c r="F2507" s="187">
        <f ca="1">OFFSET('IWP20'!Std9BillingInfo18, 0, 3, 1, 1)</f>
        <v>0</v>
      </c>
      <c r="G2507" s="187">
        <f ca="1">OFFSET('IWP20'!Std9BillingInfo18, 10, 6, 1, 1)</f>
        <v>0</v>
      </c>
      <c r="H2507" s="187">
        <f ca="1">OFFSET('IWP20'!Std9BillingInfo18, 11, 6, 1, 1)</f>
        <v>0</v>
      </c>
      <c r="I2507" s="187">
        <f ca="1">OFFSET('IWP20'!Std9BillingInfo18, 10, 8, 1, 1)</f>
        <v>0</v>
      </c>
      <c r="J2507" s="187">
        <f ca="1">OFFSET('IWP20'!Std9BillingInfo18, 10, 11, 1, 1)</f>
        <v>0</v>
      </c>
      <c r="K2507" s="187">
        <f ca="1">OFFSET('IWP20'!Std9BillingInfo18, 10, 12, 1, 1)</f>
        <v>0</v>
      </c>
      <c r="L2507" s="179">
        <f ca="1">OFFSET('IWP20'!Std9BillingInfo18, 12, 8, 1, 1)</f>
        <v>0</v>
      </c>
      <c r="M2507" s="129"/>
    </row>
    <row r="2508" spans="1:13" s="146" customFormat="1">
      <c r="A2508" s="183" t="s">
        <v>519</v>
      </c>
      <c r="B2508" s="196">
        <v>1</v>
      </c>
      <c r="C2508" s="195" t="str">
        <f ca="1">IF(OFFSET('IWP21'!Std9BillingInfo01, 0, 0, 1, 1) = 0, "", OFFSET('IWP21'!Std9BillingInfo01, 0, 0, 1, 1))</f>
        <v/>
      </c>
      <c r="D2508" s="172">
        <f ca="1">IF(OFFSET('IWP21'!Std9BillingInfo01, 0, 1, 1, 1)=DATE(1900,1,0), DATE(1900,1,1), OFFSET('IWP21'!Std9BillingInfo01, 0, 1, 1, 1))</f>
        <v>1</v>
      </c>
      <c r="E2508" s="172">
        <f ca="1">IF(OFFSET('IWP21'!Std9BillingInfo01, 0, 2, 1, 1)=DATE(1900,1,0), DATE(1900,1,1), OFFSET('IWP21'!Std9BillingInfo01, 0, 2, 1, 1))</f>
        <v>1</v>
      </c>
      <c r="F2508" s="187">
        <f ca="1">OFFSET('IWP21'!Std9BillingInfo01, 0, 3, 1, 1)</f>
        <v>0</v>
      </c>
      <c r="G2508" s="187">
        <f ca="1">OFFSET('IWP21'!Std9BillingInfo01, 10, 6, 1, 1)</f>
        <v>0</v>
      </c>
      <c r="H2508" s="187">
        <f ca="1">OFFSET('IWP21'!Std9BillingInfo01, 11, 6, 1, 1)</f>
        <v>0</v>
      </c>
      <c r="I2508" s="187">
        <f ca="1">OFFSET('IWP21'!Std9BillingInfo01, 10, 8, 1, 1)</f>
        <v>0</v>
      </c>
      <c r="J2508" s="187">
        <f ca="1">OFFSET('IWP21'!Std9BillingInfo01, 10, 11, 1, 1)</f>
        <v>0</v>
      </c>
      <c r="K2508" s="187">
        <f ca="1">OFFSET('IWP21'!Std9BillingInfo01, 10, 12, 1, 1)</f>
        <v>0</v>
      </c>
      <c r="L2508" s="179">
        <f ca="1">OFFSET('IWP21'!Std9BillingInfo01, 12, 8, 1, 1)</f>
        <v>0</v>
      </c>
      <c r="M2508" s="129"/>
    </row>
    <row r="2509" spans="1:13" s="146" customFormat="1">
      <c r="A2509" s="183" t="s">
        <v>519</v>
      </c>
      <c r="B2509" s="196">
        <v>2</v>
      </c>
      <c r="C2509" s="195" t="str">
        <f ca="1">IF(OFFSET('IWP21'!Std9BillingInfo02, 0, 0, 1, 1) = 0, "", OFFSET('IWP21'!Std9BillingInfo02, 0, 0, 1, 1))</f>
        <v/>
      </c>
      <c r="D2509" s="172">
        <f ca="1">IF(OFFSET('IWP21'!Std9BillingInfo02, 0, 1, 1, 1)=DATE(1900,1,0), DATE(1900,1,1), OFFSET('IWP21'!Std9BillingInfo02, 0, 1, 1, 1))</f>
        <v>1</v>
      </c>
      <c r="E2509" s="172">
        <f ca="1">IF(OFFSET('IWP21'!Std9BillingInfo02, 0, 2, 1, 1)=DATE(1900,1,0), DATE(1900,1,1), OFFSET('IWP21'!Std9BillingInfo02, 0, 2, 1, 1))</f>
        <v>1</v>
      </c>
      <c r="F2509" s="187">
        <f ca="1">OFFSET('IWP21'!Std9BillingInfo02, 0, 3, 1, 1)</f>
        <v>0</v>
      </c>
      <c r="G2509" s="187">
        <f ca="1">OFFSET('IWP21'!Std9BillingInfo02, 10, 6, 1, 1)</f>
        <v>0</v>
      </c>
      <c r="H2509" s="187">
        <f ca="1">OFFSET('IWP21'!Std9BillingInfo02, 11, 6, 1, 1)</f>
        <v>0</v>
      </c>
      <c r="I2509" s="187">
        <f ca="1">OFFSET('IWP21'!Std9BillingInfo02, 10, 8, 1, 1)</f>
        <v>0</v>
      </c>
      <c r="J2509" s="187">
        <f ca="1">OFFSET('IWP21'!Std9BillingInfo02, 10, 11, 1, 1)</f>
        <v>0</v>
      </c>
      <c r="K2509" s="187">
        <f ca="1">OFFSET('IWP21'!Std9BillingInfo02, 10, 12, 1, 1)</f>
        <v>0</v>
      </c>
      <c r="L2509" s="179">
        <f ca="1">OFFSET('IWP21'!Std9BillingInfo02, 12, 8, 1, 1)</f>
        <v>0</v>
      </c>
      <c r="M2509" s="129"/>
    </row>
    <row r="2510" spans="1:13" s="146" customFormat="1">
      <c r="A2510" s="183" t="s">
        <v>519</v>
      </c>
      <c r="B2510" s="196">
        <v>3</v>
      </c>
      <c r="C2510" s="195" t="str">
        <f ca="1">IF(OFFSET('IWP21'!Std9BillingInfo03, 0, 0, 1, 1) = 0, "", OFFSET('IWP21'!Std9BillingInfo03, 0, 0, 1, 1))</f>
        <v/>
      </c>
      <c r="D2510" s="172">
        <f ca="1">IF(OFFSET('IWP21'!Std9BillingInfo03, 0, 1, 1, 1)=DATE(1900,1,0), DATE(1900,1,1), OFFSET('IWP21'!Std9BillingInfo03, 0, 1, 1, 1))</f>
        <v>1</v>
      </c>
      <c r="E2510" s="172">
        <f ca="1">IF(OFFSET('IWP21'!Std9BillingInfo03, 0, 2, 1, 1)=DATE(1900,1,0), DATE(1900,1,1), OFFSET('IWP21'!Std9BillingInfo03, 0, 2, 1, 1))</f>
        <v>1</v>
      </c>
      <c r="F2510" s="187">
        <f ca="1">OFFSET('IWP21'!Std9BillingInfo03, 0, 3, 1, 1)</f>
        <v>0</v>
      </c>
      <c r="G2510" s="187">
        <f ca="1">OFFSET('IWP21'!Std9BillingInfo03, 10, 6, 1, 1)</f>
        <v>0</v>
      </c>
      <c r="H2510" s="187">
        <f ca="1">OFFSET('IWP21'!Std9BillingInfo03, 11, 6, 1, 1)</f>
        <v>0</v>
      </c>
      <c r="I2510" s="187">
        <f ca="1">OFFSET('IWP21'!Std9BillingInfo03, 10, 8, 1, 1)</f>
        <v>0</v>
      </c>
      <c r="J2510" s="187">
        <f ca="1">OFFSET('IWP21'!Std9BillingInfo03, 10, 11, 1, 1)</f>
        <v>0</v>
      </c>
      <c r="K2510" s="187">
        <f ca="1">OFFSET('IWP21'!Std9BillingInfo03, 10, 12, 1, 1)</f>
        <v>0</v>
      </c>
      <c r="L2510" s="179">
        <f ca="1">OFFSET('IWP21'!Std9BillingInfo03, 12, 8, 1, 1)</f>
        <v>0</v>
      </c>
      <c r="M2510" s="129"/>
    </row>
    <row r="2511" spans="1:13" s="146" customFormat="1">
      <c r="A2511" s="183" t="s">
        <v>519</v>
      </c>
      <c r="B2511" s="196">
        <v>4</v>
      </c>
      <c r="C2511" s="195" t="str">
        <f ca="1">IF(OFFSET('IWP21'!Std9BillingInfo04, 0, 0, 1, 1) = 0, "", OFFSET('IWP21'!Std9BillingInfo04, 0, 0, 1, 1))</f>
        <v/>
      </c>
      <c r="D2511" s="172">
        <f ca="1">IF(OFFSET('IWP21'!Std9BillingInfo04, 0, 1, 1, 1)=DATE(1900,1,0), DATE(1900,1,1), OFFSET('IWP21'!Std9BillingInfo04, 0, 1, 1, 1))</f>
        <v>1</v>
      </c>
      <c r="E2511" s="172">
        <f ca="1">IF(OFFSET('IWP21'!Std9BillingInfo04, 0, 2, 1, 1)=DATE(1900,1,0), DATE(1900,1,1), OFFSET('IWP21'!Std9BillingInfo04, 0, 2, 1, 1))</f>
        <v>1</v>
      </c>
      <c r="F2511" s="187">
        <f ca="1">OFFSET('IWP21'!Std9BillingInfo04, 0, 3, 1, 1)</f>
        <v>0</v>
      </c>
      <c r="G2511" s="187">
        <f ca="1">OFFSET('IWP21'!Std9BillingInfo04, 10, 6, 1, 1)</f>
        <v>0</v>
      </c>
      <c r="H2511" s="187">
        <f ca="1">OFFSET('IWP21'!Std9BillingInfo04, 11, 6, 1, 1)</f>
        <v>0</v>
      </c>
      <c r="I2511" s="187">
        <f ca="1">OFFSET('IWP21'!Std9BillingInfo04, 10, 8, 1, 1)</f>
        <v>0</v>
      </c>
      <c r="J2511" s="187">
        <f ca="1">OFFSET('IWP21'!Std9BillingInfo04, 10, 11, 1, 1)</f>
        <v>0</v>
      </c>
      <c r="K2511" s="187">
        <f ca="1">OFFSET('IWP21'!Std9BillingInfo04, 10, 12, 1, 1)</f>
        <v>0</v>
      </c>
      <c r="L2511" s="179">
        <f ca="1">OFFSET('IWP21'!Std9BillingInfo04, 12, 8, 1, 1)</f>
        <v>0</v>
      </c>
      <c r="M2511" s="129"/>
    </row>
    <row r="2512" spans="1:13" s="146" customFormat="1">
      <c r="A2512" s="183" t="s">
        <v>519</v>
      </c>
      <c r="B2512" s="196">
        <v>5</v>
      </c>
      <c r="C2512" s="195" t="str">
        <f ca="1">IF(OFFSET('IWP21'!Std9BillingInfo05, 0, 0, 1, 1) = 0, "", OFFSET('IWP21'!Std9BillingInfo05, 0, 0, 1, 1))</f>
        <v/>
      </c>
      <c r="D2512" s="172">
        <f ca="1">IF(OFFSET('IWP21'!Std9BillingInfo05, 0, 1, 1, 1)=DATE(1900,1,0), DATE(1900,1,1), OFFSET('IWP21'!Std9BillingInfo05, 0, 1, 1, 1))</f>
        <v>1</v>
      </c>
      <c r="E2512" s="172">
        <f ca="1">IF(OFFSET('IWP21'!Std9BillingInfo05, 0, 2, 1, 1)=DATE(1900,1,0), DATE(1900,1,1), OFFSET('IWP21'!Std9BillingInfo05, 0, 2, 1, 1))</f>
        <v>1</v>
      </c>
      <c r="F2512" s="187">
        <f ca="1">OFFSET('IWP21'!Std9BillingInfo05, 0, 3, 1, 1)</f>
        <v>0</v>
      </c>
      <c r="G2512" s="187">
        <f ca="1">OFFSET('IWP21'!Std9BillingInfo05, 10, 6, 1, 1)</f>
        <v>0</v>
      </c>
      <c r="H2512" s="187">
        <f ca="1">OFFSET('IWP21'!Std9BillingInfo05, 11, 6, 1, 1)</f>
        <v>0</v>
      </c>
      <c r="I2512" s="187">
        <f ca="1">OFFSET('IWP21'!Std9BillingInfo05, 10, 8, 1, 1)</f>
        <v>0</v>
      </c>
      <c r="J2512" s="187">
        <f ca="1">OFFSET('IWP21'!Std9BillingInfo05, 10, 11, 1, 1)</f>
        <v>0</v>
      </c>
      <c r="K2512" s="187">
        <f ca="1">OFFSET('IWP21'!Std9BillingInfo05, 10, 12, 1, 1)</f>
        <v>0</v>
      </c>
      <c r="L2512" s="179">
        <f ca="1">OFFSET('IWP21'!Std9BillingInfo05, 12, 8, 1, 1)</f>
        <v>0</v>
      </c>
      <c r="M2512" s="129"/>
    </row>
    <row r="2513" spans="1:13" s="146" customFormat="1">
      <c r="A2513" s="183" t="s">
        <v>519</v>
      </c>
      <c r="B2513" s="196">
        <v>6</v>
      </c>
      <c r="C2513" s="195" t="str">
        <f ca="1">IF(OFFSET('IWP21'!Std9BillingInfo06, 0, 0, 1, 1) = 0, "", OFFSET('IWP21'!Std9BillingInfo06, 0, 0, 1, 1))</f>
        <v/>
      </c>
      <c r="D2513" s="172">
        <f ca="1">IF(OFFSET('IWP21'!Std9BillingInfo06, 0, 1, 1, 1)=DATE(1900,1,0), DATE(1900,1,1), OFFSET('IWP21'!Std9BillingInfo06, 0, 1, 1, 1))</f>
        <v>1</v>
      </c>
      <c r="E2513" s="172">
        <f ca="1">IF(OFFSET('IWP21'!Std9BillingInfo06, 0, 2, 1, 1)=DATE(1900,1,0), DATE(1900,1,1), OFFSET('IWP21'!Std9BillingInfo06, 0, 2, 1, 1))</f>
        <v>1</v>
      </c>
      <c r="F2513" s="187">
        <f ca="1">OFFSET('IWP21'!Std9BillingInfo06, 0, 3, 1, 1)</f>
        <v>0</v>
      </c>
      <c r="G2513" s="187">
        <f ca="1">OFFSET('IWP21'!Std9BillingInfo06, 10, 6, 1, 1)</f>
        <v>0</v>
      </c>
      <c r="H2513" s="187">
        <f ca="1">OFFSET('IWP21'!Std9BillingInfo06, 11, 6, 1, 1)</f>
        <v>0</v>
      </c>
      <c r="I2513" s="187">
        <f ca="1">OFFSET('IWP21'!Std9BillingInfo06, 10, 8, 1, 1)</f>
        <v>0</v>
      </c>
      <c r="J2513" s="187">
        <f ca="1">OFFSET('IWP21'!Std9BillingInfo06, 10, 11, 1, 1)</f>
        <v>0</v>
      </c>
      <c r="K2513" s="187">
        <f ca="1">OFFSET('IWP21'!Std9BillingInfo06, 10, 12, 1, 1)</f>
        <v>0</v>
      </c>
      <c r="L2513" s="179">
        <f ca="1">OFFSET('IWP21'!Std9BillingInfo06, 12, 8, 1, 1)</f>
        <v>0</v>
      </c>
      <c r="M2513" s="129"/>
    </row>
    <row r="2514" spans="1:13" s="146" customFormat="1">
      <c r="A2514" s="183" t="s">
        <v>519</v>
      </c>
      <c r="B2514" s="196">
        <v>7</v>
      </c>
      <c r="C2514" s="195" t="str">
        <f ca="1">IF(OFFSET('IWP21'!Std9BillingInfo07, 0, 0, 1, 1) = 0, "", OFFSET('IWP21'!Std9BillingInfo07, 0, 0, 1, 1))</f>
        <v/>
      </c>
      <c r="D2514" s="172">
        <f ca="1">IF(OFFSET('IWP21'!Std9BillingInfo07, 0, 1, 1, 1)=DATE(1900,1,0), DATE(1900,1,1), OFFSET('IWP21'!Std9BillingInfo07, 0, 1, 1, 1))</f>
        <v>1</v>
      </c>
      <c r="E2514" s="172">
        <f ca="1">IF(OFFSET('IWP21'!Std9BillingInfo07, 0, 2, 1, 1)=DATE(1900,1,0), DATE(1900,1,1), OFFSET('IWP21'!Std9BillingInfo07, 0, 2, 1, 1))</f>
        <v>1</v>
      </c>
      <c r="F2514" s="187">
        <f ca="1">OFFSET('IWP21'!Std9BillingInfo07, 0, 3, 1, 1)</f>
        <v>0</v>
      </c>
      <c r="G2514" s="187">
        <f ca="1">OFFSET('IWP21'!Std9BillingInfo07, 10, 6, 1, 1)</f>
        <v>0</v>
      </c>
      <c r="H2514" s="187">
        <f ca="1">OFFSET('IWP21'!Std9BillingInfo07, 11, 6, 1, 1)</f>
        <v>0</v>
      </c>
      <c r="I2514" s="187">
        <f ca="1">OFFSET('IWP21'!Std9BillingInfo07, 10, 8, 1, 1)</f>
        <v>0</v>
      </c>
      <c r="J2514" s="187">
        <f ca="1">OFFSET('IWP21'!Std9BillingInfo07, 10, 11, 1, 1)</f>
        <v>0</v>
      </c>
      <c r="K2514" s="187">
        <f ca="1">OFFSET('IWP21'!Std9BillingInfo07, 10, 12, 1, 1)</f>
        <v>0</v>
      </c>
      <c r="L2514" s="179">
        <f ca="1">OFFSET('IWP21'!Std9BillingInfo07, 12, 8, 1, 1)</f>
        <v>0</v>
      </c>
      <c r="M2514" s="129"/>
    </row>
    <row r="2515" spans="1:13" s="146" customFormat="1">
      <c r="A2515" s="183" t="s">
        <v>519</v>
      </c>
      <c r="B2515" s="196">
        <v>8</v>
      </c>
      <c r="C2515" s="195" t="str">
        <f ca="1">IF(OFFSET('IWP21'!Std9BillingInfo08, 0, 0, 1, 1) = 0, "", OFFSET('IWP21'!Std9BillingInfo08, 0, 0, 1, 1))</f>
        <v/>
      </c>
      <c r="D2515" s="172">
        <f ca="1">IF(OFFSET('IWP21'!Std9BillingInfo08, 0, 1, 1, 1)=DATE(1900,1,0), DATE(1900,1,1), OFFSET('IWP21'!Std9BillingInfo08, 0, 1, 1, 1))</f>
        <v>1</v>
      </c>
      <c r="E2515" s="172">
        <f ca="1">IF(OFFSET('IWP21'!Std9BillingInfo08, 0, 2, 1, 1)=DATE(1900,1,0), DATE(1900,1,1), OFFSET('IWP21'!Std9BillingInfo08, 0, 2, 1, 1))</f>
        <v>1</v>
      </c>
      <c r="F2515" s="187">
        <f ca="1">OFFSET('IWP21'!Std9BillingInfo08, 0, 3, 1, 1)</f>
        <v>0</v>
      </c>
      <c r="G2515" s="187">
        <f ca="1">OFFSET('IWP21'!Std9BillingInfo08, 10, 6, 1, 1)</f>
        <v>0</v>
      </c>
      <c r="H2515" s="187">
        <f ca="1">OFFSET('IWP21'!Std9BillingInfo08, 11, 6, 1, 1)</f>
        <v>0</v>
      </c>
      <c r="I2515" s="187">
        <f ca="1">OFFSET('IWP21'!Std9BillingInfo08, 10, 8, 1, 1)</f>
        <v>0</v>
      </c>
      <c r="J2515" s="187">
        <f ca="1">OFFSET('IWP21'!Std9BillingInfo08, 10, 11, 1, 1)</f>
        <v>0</v>
      </c>
      <c r="K2515" s="187">
        <f ca="1">OFFSET('IWP21'!Std9BillingInfo08, 10, 12, 1, 1)</f>
        <v>0</v>
      </c>
      <c r="L2515" s="179">
        <f ca="1">OFFSET('IWP21'!Std9BillingInfo08, 12, 8, 1, 1)</f>
        <v>0</v>
      </c>
      <c r="M2515" s="129"/>
    </row>
    <row r="2516" spans="1:13" s="146" customFormat="1">
      <c r="A2516" s="183" t="s">
        <v>519</v>
      </c>
      <c r="B2516" s="196">
        <v>9</v>
      </c>
      <c r="C2516" s="195" t="str">
        <f ca="1">IF(OFFSET('IWP21'!Std9BillingInfo09, 0, 0, 1, 1) = 0, "", OFFSET('IWP21'!Std9BillingInfo09, 0, 0, 1, 1))</f>
        <v/>
      </c>
      <c r="D2516" s="172">
        <f ca="1">IF(OFFSET('IWP21'!Std9BillingInfo09, 0, 1, 1, 1)=DATE(1900,1,0), DATE(1900,1,1), OFFSET('IWP21'!Std9BillingInfo09, 0, 1, 1, 1))</f>
        <v>1</v>
      </c>
      <c r="E2516" s="172">
        <f ca="1">IF(OFFSET('IWP21'!Std9BillingInfo09, 0, 2, 1, 1)=DATE(1900,1,0), DATE(1900,1,1), OFFSET('IWP21'!Std9BillingInfo09, 0, 2, 1, 1))</f>
        <v>1</v>
      </c>
      <c r="F2516" s="187">
        <f ca="1">OFFSET('IWP21'!Std9BillingInfo09, 0, 3, 1, 1)</f>
        <v>0</v>
      </c>
      <c r="G2516" s="187">
        <f ca="1">OFFSET('IWP21'!Std9BillingInfo09, 10, 6, 1, 1)</f>
        <v>0</v>
      </c>
      <c r="H2516" s="187">
        <f ca="1">OFFSET('IWP21'!Std9BillingInfo09, 11, 6, 1, 1)</f>
        <v>0</v>
      </c>
      <c r="I2516" s="187">
        <f ca="1">OFFSET('IWP21'!Std9BillingInfo09, 10, 8, 1, 1)</f>
        <v>0</v>
      </c>
      <c r="J2516" s="187">
        <f ca="1">OFFSET('IWP21'!Std9BillingInfo09, 10, 11, 1, 1)</f>
        <v>0</v>
      </c>
      <c r="K2516" s="187">
        <f ca="1">OFFSET('IWP21'!Std9BillingInfo09, 10, 12, 1, 1)</f>
        <v>0</v>
      </c>
      <c r="L2516" s="179">
        <f ca="1">OFFSET('IWP21'!Std9BillingInfo09, 12, 8, 1, 1)</f>
        <v>0</v>
      </c>
      <c r="M2516" s="129"/>
    </row>
    <row r="2517" spans="1:13" s="146" customFormat="1">
      <c r="A2517" s="183" t="s">
        <v>519</v>
      </c>
      <c r="B2517" s="196">
        <v>10</v>
      </c>
      <c r="C2517" s="195" t="str">
        <f ca="1">IF(OFFSET('IWP21'!Std9BillingInfo10, 0, 0, 1, 1) = 0, "", OFFSET('IWP21'!Std9BillingInfo10, 0, 0, 1, 1))</f>
        <v/>
      </c>
      <c r="D2517" s="172">
        <f ca="1">IF(OFFSET('IWP21'!Std9BillingInfo10, 0, 1, 1, 1)=DATE(1900,1,0), DATE(1900,1,1), OFFSET('IWP21'!Std9BillingInfo10, 0, 1, 1, 1))</f>
        <v>1</v>
      </c>
      <c r="E2517" s="172">
        <f ca="1">IF(OFFSET('IWP21'!Std9BillingInfo10, 0, 2, 1, 1)=DATE(1900,1,0), DATE(1900,1,1), OFFSET('IWP21'!Std9BillingInfo10, 0, 2, 1, 1))</f>
        <v>1</v>
      </c>
      <c r="F2517" s="187">
        <f ca="1">OFFSET('IWP21'!Std9BillingInfo10, 0, 3, 1, 1)</f>
        <v>0</v>
      </c>
      <c r="G2517" s="187">
        <f ca="1">OFFSET('IWP21'!Std9BillingInfo10, 10, 6, 1, 1)</f>
        <v>0</v>
      </c>
      <c r="H2517" s="187">
        <f ca="1">OFFSET('IWP21'!Std9BillingInfo10, 11, 6, 1, 1)</f>
        <v>0</v>
      </c>
      <c r="I2517" s="187">
        <f ca="1">OFFSET('IWP21'!Std9BillingInfo10, 10, 8, 1, 1)</f>
        <v>0</v>
      </c>
      <c r="J2517" s="187">
        <f ca="1">OFFSET('IWP21'!Std9BillingInfo10, 10, 11, 1, 1)</f>
        <v>0</v>
      </c>
      <c r="K2517" s="187">
        <f ca="1">OFFSET('IWP21'!Std9BillingInfo10, 10, 12, 1, 1)</f>
        <v>0</v>
      </c>
      <c r="L2517" s="179">
        <f ca="1">OFFSET('IWP21'!Std9BillingInfo10, 12, 8, 1, 1)</f>
        <v>0</v>
      </c>
      <c r="M2517" s="129"/>
    </row>
    <row r="2518" spans="1:13" s="146" customFormat="1">
      <c r="A2518" s="183" t="s">
        <v>519</v>
      </c>
      <c r="B2518" s="196">
        <v>11</v>
      </c>
      <c r="C2518" s="195" t="str">
        <f ca="1">IF(OFFSET('IWP21'!Std9BillingInfo11, 0, 0, 1, 1) = 0, "", OFFSET('IWP21'!Std9BillingInfo11, 0, 0, 1, 1))</f>
        <v/>
      </c>
      <c r="D2518" s="172">
        <f ca="1">IF(OFFSET('IWP21'!Std9BillingInfo11, 0, 1, 1, 1)=DATE(1900,1,0), DATE(1900,1,1), OFFSET('IWP21'!Std9BillingInfo11, 0, 1, 1, 1))</f>
        <v>1</v>
      </c>
      <c r="E2518" s="172">
        <f ca="1">IF(OFFSET('IWP21'!Std9BillingInfo11, 0, 2, 1, 1)=DATE(1900,1,0), DATE(1900,1,1), OFFSET('IWP21'!Std9BillingInfo11, 0, 2, 1, 1))</f>
        <v>1</v>
      </c>
      <c r="F2518" s="187">
        <f ca="1">OFFSET('IWP21'!Std9BillingInfo11, 0, 3, 1, 1)</f>
        <v>0</v>
      </c>
      <c r="G2518" s="187">
        <f ca="1">OFFSET('IWP21'!Std9BillingInfo11, 10, 6, 1, 1)</f>
        <v>0</v>
      </c>
      <c r="H2518" s="187">
        <f ca="1">OFFSET('IWP21'!Std9BillingInfo11, 11, 6, 1, 1)</f>
        <v>0</v>
      </c>
      <c r="I2518" s="187">
        <f ca="1">OFFSET('IWP21'!Std9BillingInfo11, 10, 8, 1, 1)</f>
        <v>0</v>
      </c>
      <c r="J2518" s="187">
        <f ca="1">OFFSET('IWP21'!Std9BillingInfo11, 10, 11, 1, 1)</f>
        <v>0</v>
      </c>
      <c r="K2518" s="187">
        <f ca="1">OFFSET('IWP21'!Std9BillingInfo11, 10, 12, 1, 1)</f>
        <v>0</v>
      </c>
      <c r="L2518" s="179">
        <f ca="1">OFFSET('IWP21'!Std9BillingInfo11, 12, 8, 1, 1)</f>
        <v>0</v>
      </c>
      <c r="M2518" s="129"/>
    </row>
    <row r="2519" spans="1:13" s="146" customFormat="1">
      <c r="A2519" s="183" t="s">
        <v>519</v>
      </c>
      <c r="B2519" s="196">
        <v>12</v>
      </c>
      <c r="C2519" s="195" t="str">
        <f ca="1">IF(OFFSET('IWP21'!Std9BillingInfo12, 0, 0, 1, 1) = 0, "", OFFSET('IWP21'!Std9BillingInfo12, 0, 0, 1, 1))</f>
        <v/>
      </c>
      <c r="D2519" s="172">
        <f ca="1">IF(OFFSET('IWP21'!Std9BillingInfo12, 0, 1, 1, 1)=DATE(1900,1,0), DATE(1900,1,1), OFFSET('IWP21'!Std9BillingInfo12, 0, 1, 1, 1))</f>
        <v>1</v>
      </c>
      <c r="E2519" s="172">
        <f ca="1">IF(OFFSET('IWP21'!Std9BillingInfo12, 0, 2, 1, 1)=DATE(1900,1,0), DATE(1900,1,1), OFFSET('IWP21'!Std9BillingInfo12, 0, 2, 1, 1))</f>
        <v>1</v>
      </c>
      <c r="F2519" s="187">
        <f ca="1">OFFSET('IWP21'!Std9BillingInfo12, 0, 3, 1, 1)</f>
        <v>0</v>
      </c>
      <c r="G2519" s="187">
        <f ca="1">OFFSET('IWP21'!Std9BillingInfo12, 10, 6, 1, 1)</f>
        <v>0</v>
      </c>
      <c r="H2519" s="187">
        <f ca="1">OFFSET('IWP21'!Std9BillingInfo12, 11, 6, 1, 1)</f>
        <v>0</v>
      </c>
      <c r="I2519" s="187">
        <f ca="1">OFFSET('IWP21'!Std9BillingInfo12, 10, 8, 1, 1)</f>
        <v>0</v>
      </c>
      <c r="J2519" s="187">
        <f ca="1">OFFSET('IWP21'!Std9BillingInfo12, 10, 11, 1, 1)</f>
        <v>0</v>
      </c>
      <c r="K2519" s="187">
        <f ca="1">OFFSET('IWP21'!Std9BillingInfo12, 10, 12, 1, 1)</f>
        <v>0</v>
      </c>
      <c r="L2519" s="179">
        <f ca="1">OFFSET('IWP21'!Std9BillingInfo12, 12, 8, 1, 1)</f>
        <v>0</v>
      </c>
      <c r="M2519" s="129"/>
    </row>
    <row r="2520" spans="1:13" s="146" customFormat="1">
      <c r="A2520" s="183" t="s">
        <v>519</v>
      </c>
      <c r="B2520" s="196">
        <v>13</v>
      </c>
      <c r="C2520" s="195" t="str">
        <f ca="1">IF(OFFSET('IWP21'!Std9BillingInfo13, 0, 0, 1, 1) = 0, "", OFFSET('IWP21'!Std9BillingInfo13, 0, 0, 1, 1))</f>
        <v/>
      </c>
      <c r="D2520" s="172">
        <f ca="1">IF(OFFSET('IWP21'!Std9BillingInfo13, 0, 1, 1, 1)=DATE(1900,1,0), DATE(1900,1,1), OFFSET('IWP21'!Std9BillingInfo13, 0, 1, 1, 1))</f>
        <v>1</v>
      </c>
      <c r="E2520" s="172">
        <f ca="1">IF(OFFSET('IWP21'!Std9BillingInfo13, 0, 2, 1, 1)=DATE(1900,1,0), DATE(1900,1,1), OFFSET('IWP21'!Std9BillingInfo13, 0, 2, 1, 1))</f>
        <v>1</v>
      </c>
      <c r="F2520" s="187">
        <f ca="1">OFFSET('IWP21'!Std9BillingInfo13, 0, 3, 1, 1)</f>
        <v>0</v>
      </c>
      <c r="G2520" s="187">
        <f ca="1">OFFSET('IWP21'!Std9BillingInfo13, 10, 6, 1, 1)</f>
        <v>0</v>
      </c>
      <c r="H2520" s="187">
        <f ca="1">OFFSET('IWP21'!Std9BillingInfo13, 11, 6, 1, 1)</f>
        <v>0</v>
      </c>
      <c r="I2520" s="187">
        <f ca="1">OFFSET('IWP21'!Std9BillingInfo13, 10, 8, 1, 1)</f>
        <v>0</v>
      </c>
      <c r="J2520" s="187">
        <f ca="1">OFFSET('IWP21'!Std9BillingInfo13, 10, 11, 1, 1)</f>
        <v>0</v>
      </c>
      <c r="K2520" s="187">
        <f ca="1">OFFSET('IWP21'!Std9BillingInfo13, 10, 12, 1, 1)</f>
        <v>0</v>
      </c>
      <c r="L2520" s="179">
        <f ca="1">OFFSET('IWP21'!Std9BillingInfo13, 12, 8, 1, 1)</f>
        <v>0</v>
      </c>
      <c r="M2520" s="129"/>
    </row>
    <row r="2521" spans="1:13" s="146" customFormat="1">
      <c r="A2521" s="183" t="s">
        <v>519</v>
      </c>
      <c r="B2521" s="196">
        <v>14</v>
      </c>
      <c r="C2521" s="195" t="str">
        <f ca="1">IF(OFFSET('IWP21'!Std9BillingInfo14, 0, 0, 1, 1) = 0, "", OFFSET('IWP21'!Std9BillingInfo14, 0, 0, 1, 1))</f>
        <v/>
      </c>
      <c r="D2521" s="172">
        <f ca="1">IF(OFFSET('IWP21'!Std9BillingInfo14, 0, 1, 1, 1)=DATE(1900,1,0), DATE(1900,1,1), OFFSET('IWP21'!Std9BillingInfo14, 0, 1, 1, 1))</f>
        <v>1</v>
      </c>
      <c r="E2521" s="172">
        <f ca="1">IF(OFFSET('IWP21'!Std9BillingInfo14, 0, 2, 1, 1)=DATE(1900,1,0), DATE(1900,1,1), OFFSET('IWP21'!Std9BillingInfo14, 0, 2, 1, 1))</f>
        <v>1</v>
      </c>
      <c r="F2521" s="187">
        <f ca="1">OFFSET('IWP21'!Std9BillingInfo14, 0, 3, 1, 1)</f>
        <v>0</v>
      </c>
      <c r="G2521" s="187">
        <f ca="1">OFFSET('IWP21'!Std9BillingInfo14, 10, 6, 1, 1)</f>
        <v>0</v>
      </c>
      <c r="H2521" s="187">
        <f ca="1">OFFSET('IWP21'!Std9BillingInfo14, 11, 6, 1, 1)</f>
        <v>0</v>
      </c>
      <c r="I2521" s="187">
        <f ca="1">OFFSET('IWP21'!Std9BillingInfo14, 10, 8, 1, 1)</f>
        <v>0</v>
      </c>
      <c r="J2521" s="187">
        <f ca="1">OFFSET('IWP21'!Std9BillingInfo14, 10, 11, 1, 1)</f>
        <v>0</v>
      </c>
      <c r="K2521" s="187">
        <f ca="1">OFFSET('IWP21'!Std9BillingInfo14, 10, 12, 1, 1)</f>
        <v>0</v>
      </c>
      <c r="L2521" s="179">
        <f ca="1">OFFSET('IWP21'!Std9BillingInfo14, 12, 8, 1, 1)</f>
        <v>0</v>
      </c>
      <c r="M2521" s="129"/>
    </row>
    <row r="2522" spans="1:13" s="146" customFormat="1">
      <c r="A2522" s="183" t="s">
        <v>519</v>
      </c>
      <c r="B2522" s="196">
        <v>15</v>
      </c>
      <c r="C2522" s="195" t="str">
        <f ca="1">IF(OFFSET('IWP21'!Std9BillingInfo15, 0, 0, 1, 1) = 0, "", OFFSET('IWP21'!Std9BillingInfo15, 0, 0, 1, 1))</f>
        <v/>
      </c>
      <c r="D2522" s="172">
        <f ca="1">IF(OFFSET('IWP21'!Std9BillingInfo15, 0, 1, 1, 1)=DATE(1900,1,0), DATE(1900,1,1), OFFSET('IWP21'!Std9BillingInfo15, 0, 1, 1, 1))</f>
        <v>1</v>
      </c>
      <c r="E2522" s="172">
        <f ca="1">IF(OFFSET('IWP21'!Std9BillingInfo15, 0, 2, 1, 1)=DATE(1900,1,0), DATE(1900,1,1), OFFSET('IWP21'!Std9BillingInfo15, 0, 2, 1, 1))</f>
        <v>1</v>
      </c>
      <c r="F2522" s="187">
        <f ca="1">OFFSET('IWP21'!Std9BillingInfo15, 0, 3, 1, 1)</f>
        <v>0</v>
      </c>
      <c r="G2522" s="187">
        <f ca="1">OFFSET('IWP21'!Std9BillingInfo15, 10, 6, 1, 1)</f>
        <v>0</v>
      </c>
      <c r="H2522" s="187">
        <f ca="1">OFFSET('IWP21'!Std9BillingInfo15, 11, 6, 1, 1)</f>
        <v>0</v>
      </c>
      <c r="I2522" s="187">
        <f ca="1">OFFSET('IWP21'!Std9BillingInfo15, 10, 8, 1, 1)</f>
        <v>0</v>
      </c>
      <c r="J2522" s="187">
        <f ca="1">OFFSET('IWP21'!Std9BillingInfo15, 10, 11, 1, 1)</f>
        <v>0</v>
      </c>
      <c r="K2522" s="187">
        <f ca="1">OFFSET('IWP21'!Std9BillingInfo15, 10, 12, 1, 1)</f>
        <v>0</v>
      </c>
      <c r="L2522" s="179">
        <f ca="1">OFFSET('IWP21'!Std9BillingInfo15, 12, 8, 1, 1)</f>
        <v>0</v>
      </c>
      <c r="M2522" s="129"/>
    </row>
    <row r="2523" spans="1:13" s="146" customFormat="1">
      <c r="A2523" s="183" t="s">
        <v>519</v>
      </c>
      <c r="B2523" s="196">
        <v>16</v>
      </c>
      <c r="C2523" s="195" t="str">
        <f ca="1">IF(OFFSET('IWP21'!Std9BillingInfo16, 0, 0, 1, 1) = 0, "", OFFSET('IWP21'!Std9BillingInfo16, 0, 0, 1, 1))</f>
        <v/>
      </c>
      <c r="D2523" s="172">
        <f ca="1">IF(OFFSET('IWP21'!Std9BillingInfo16, 0, 1, 1, 1)=DATE(1900,1,0), DATE(1900,1,1), OFFSET('IWP21'!Std9BillingInfo16, 0, 1, 1, 1))</f>
        <v>1</v>
      </c>
      <c r="E2523" s="172">
        <f ca="1">IF(OFFSET('IWP21'!Std9BillingInfo16, 0, 2, 1, 1)=DATE(1900,1,0), DATE(1900,1,1), OFFSET('IWP21'!Std9BillingInfo16, 0, 2, 1, 1))</f>
        <v>1</v>
      </c>
      <c r="F2523" s="187">
        <f ca="1">OFFSET('IWP21'!Std9BillingInfo16, 0, 3, 1, 1)</f>
        <v>0</v>
      </c>
      <c r="G2523" s="187">
        <f ca="1">OFFSET('IWP21'!Std9BillingInfo16, 10, 6, 1, 1)</f>
        <v>0</v>
      </c>
      <c r="H2523" s="187">
        <f ca="1">OFFSET('IWP21'!Std9BillingInfo16, 11, 6, 1, 1)</f>
        <v>0</v>
      </c>
      <c r="I2523" s="187">
        <f ca="1">OFFSET('IWP21'!Std9BillingInfo16, 10, 8, 1, 1)</f>
        <v>0</v>
      </c>
      <c r="J2523" s="187">
        <f ca="1">OFFSET('IWP21'!Std9BillingInfo16, 10, 11, 1, 1)</f>
        <v>0</v>
      </c>
      <c r="K2523" s="187">
        <f ca="1">OFFSET('IWP21'!Std9BillingInfo16, 10, 12, 1, 1)</f>
        <v>0</v>
      </c>
      <c r="L2523" s="179">
        <f ca="1">OFFSET('IWP21'!Std9BillingInfo16, 12, 8, 1, 1)</f>
        <v>0</v>
      </c>
      <c r="M2523" s="129"/>
    </row>
    <row r="2524" spans="1:13" s="146" customFormat="1">
      <c r="A2524" s="183" t="s">
        <v>519</v>
      </c>
      <c r="B2524" s="196">
        <v>17</v>
      </c>
      <c r="C2524" s="195" t="str">
        <f ca="1">IF(OFFSET('IWP21'!Std9BillingInfo17, 0, 0, 1, 1) = 0, "", OFFSET('IWP21'!Std9BillingInfo17, 0, 0, 1, 1))</f>
        <v/>
      </c>
      <c r="D2524" s="172">
        <f ca="1">IF(OFFSET('IWP21'!Std9BillingInfo17, 0, 1, 1, 1)=DATE(1900,1,0), DATE(1900,1,1), OFFSET('IWP21'!Std9BillingInfo17, 0, 1, 1, 1))</f>
        <v>1</v>
      </c>
      <c r="E2524" s="172">
        <f ca="1">IF(OFFSET('IWP21'!Std9BillingInfo17, 0, 2, 1, 1)=DATE(1900,1,0), DATE(1900,1,1), OFFSET('IWP21'!Std9BillingInfo17, 0, 2, 1, 1))</f>
        <v>1</v>
      </c>
      <c r="F2524" s="187">
        <f ca="1">OFFSET('IWP21'!Std9BillingInfo17, 0, 3, 1, 1)</f>
        <v>0</v>
      </c>
      <c r="G2524" s="187">
        <f ca="1">OFFSET('IWP21'!Std9BillingInfo17, 10, 6, 1, 1)</f>
        <v>0</v>
      </c>
      <c r="H2524" s="187">
        <f ca="1">OFFSET('IWP21'!Std9BillingInfo17, 11, 6, 1, 1)</f>
        <v>0</v>
      </c>
      <c r="I2524" s="187">
        <f ca="1">OFFSET('IWP21'!Std9BillingInfo17, 10, 8, 1, 1)</f>
        <v>0</v>
      </c>
      <c r="J2524" s="187">
        <f ca="1">OFFSET('IWP21'!Std9BillingInfo17, 10, 11, 1, 1)</f>
        <v>0</v>
      </c>
      <c r="K2524" s="187">
        <f ca="1">OFFSET('IWP21'!Std9BillingInfo17, 10, 12, 1, 1)</f>
        <v>0</v>
      </c>
      <c r="L2524" s="179">
        <f ca="1">OFFSET('IWP21'!Std9BillingInfo17, 12, 8, 1, 1)</f>
        <v>0</v>
      </c>
      <c r="M2524" s="129"/>
    </row>
    <row r="2525" spans="1:13" s="146" customFormat="1">
      <c r="A2525" s="183" t="s">
        <v>519</v>
      </c>
      <c r="B2525" s="196">
        <v>18</v>
      </c>
      <c r="C2525" s="195" t="str">
        <f ca="1">IF(OFFSET('IWP21'!Std9BillingInfo18, 0, 0, 1, 1) = 0, "", OFFSET('IWP21'!Std9BillingInfo18, 0, 0, 1, 1))</f>
        <v/>
      </c>
      <c r="D2525" s="172">
        <f ca="1">IF(OFFSET('IWP21'!Std9BillingInfo18, 0, 1, 1, 1)=DATE(1900,1,0), DATE(1900,1,1), OFFSET('IWP21'!Std9BillingInfo18, 0, 1, 1, 1))</f>
        <v>1</v>
      </c>
      <c r="E2525" s="172">
        <f ca="1">IF(OFFSET('IWP21'!Std9BillingInfo18, 0, 2, 1, 1)=DATE(1900,1,0), DATE(1900,1,1), OFFSET('IWP21'!Std9BillingInfo18, 0, 2, 1, 1))</f>
        <v>1</v>
      </c>
      <c r="F2525" s="187">
        <f ca="1">OFFSET('IWP21'!Std9BillingInfo18, 0, 3, 1, 1)</f>
        <v>0</v>
      </c>
      <c r="G2525" s="187">
        <f ca="1">OFFSET('IWP21'!Std9BillingInfo18, 10, 6, 1, 1)</f>
        <v>0</v>
      </c>
      <c r="H2525" s="187">
        <f ca="1">OFFSET('IWP21'!Std9BillingInfo18, 11, 6, 1, 1)</f>
        <v>0</v>
      </c>
      <c r="I2525" s="187">
        <f ca="1">OFFSET('IWP21'!Std9BillingInfo18, 10, 8, 1, 1)</f>
        <v>0</v>
      </c>
      <c r="J2525" s="187">
        <f ca="1">OFFSET('IWP21'!Std9BillingInfo18, 10, 11, 1, 1)</f>
        <v>0</v>
      </c>
      <c r="K2525" s="187">
        <f ca="1">OFFSET('IWP21'!Std9BillingInfo18, 10, 12, 1, 1)</f>
        <v>0</v>
      </c>
      <c r="L2525" s="179">
        <f ca="1">OFFSET('IWP21'!Std9BillingInfo18, 12, 8, 1, 1)</f>
        <v>0</v>
      </c>
      <c r="M2525" s="129"/>
    </row>
    <row r="2526" spans="1:13" s="146" customFormat="1">
      <c r="A2526" s="183" t="s">
        <v>520</v>
      </c>
      <c r="B2526" s="196">
        <v>1</v>
      </c>
      <c r="C2526" s="195" t="str">
        <f ca="1">IF(OFFSET('IWP22'!Std9BillingInfo01, 0, 0, 1, 1) = 0, "", OFFSET('IWP22'!Std9BillingInfo01, 0, 0, 1, 1))</f>
        <v/>
      </c>
      <c r="D2526" s="172">
        <f ca="1">IF(OFFSET('IWP22'!Std9BillingInfo01, 0, 1, 1, 1)=DATE(1900,1,0), DATE(1900,1,1), OFFSET('IWP22'!Std9BillingInfo01, 0, 1, 1, 1))</f>
        <v>1</v>
      </c>
      <c r="E2526" s="172">
        <f ca="1">IF(OFFSET('IWP22'!Std9BillingInfo01, 0, 2, 1, 1)=DATE(1900,1,0), DATE(1900,1,1), OFFSET('IWP22'!Std9BillingInfo01, 0, 2, 1, 1))</f>
        <v>1</v>
      </c>
      <c r="F2526" s="187">
        <f ca="1">OFFSET('IWP22'!Std9BillingInfo01, 0, 3, 1, 1)</f>
        <v>0</v>
      </c>
      <c r="G2526" s="187">
        <f ca="1">OFFSET('IWP22'!Std9BillingInfo01, 10, 6, 1, 1)</f>
        <v>0</v>
      </c>
      <c r="H2526" s="187">
        <f ca="1">OFFSET('IWP22'!Std9BillingInfo01, 11, 6, 1, 1)</f>
        <v>0</v>
      </c>
      <c r="I2526" s="187">
        <f ca="1">OFFSET('IWP22'!Std9BillingInfo01, 10, 8, 1, 1)</f>
        <v>0</v>
      </c>
      <c r="J2526" s="187">
        <f ca="1">OFFSET('IWP22'!Std9BillingInfo01, 10, 11, 1, 1)</f>
        <v>0</v>
      </c>
      <c r="K2526" s="187">
        <f ca="1">OFFSET('IWP22'!Std9BillingInfo01, 10, 12, 1, 1)</f>
        <v>0</v>
      </c>
      <c r="L2526" s="179">
        <f ca="1">OFFSET('IWP22'!Std9BillingInfo01, 12, 8, 1, 1)</f>
        <v>0</v>
      </c>
      <c r="M2526" s="129"/>
    </row>
    <row r="2527" spans="1:13" s="146" customFormat="1">
      <c r="A2527" s="183" t="s">
        <v>520</v>
      </c>
      <c r="B2527" s="196">
        <v>2</v>
      </c>
      <c r="C2527" s="195" t="str">
        <f ca="1">IF(OFFSET('IWP22'!Std9BillingInfo02, 0, 0, 1, 1) = 0, "", OFFSET('IWP22'!Std9BillingInfo02, 0, 0, 1, 1))</f>
        <v/>
      </c>
      <c r="D2527" s="172">
        <f ca="1">IF(OFFSET('IWP22'!Std9BillingInfo02, 0, 1, 1, 1)=DATE(1900,1,0), DATE(1900,1,1), OFFSET('IWP22'!Std9BillingInfo02, 0, 1, 1, 1))</f>
        <v>1</v>
      </c>
      <c r="E2527" s="172">
        <f ca="1">IF(OFFSET('IWP22'!Std9BillingInfo02, 0, 2, 1, 1)=DATE(1900,1,0), DATE(1900,1,1), OFFSET('IWP22'!Std9BillingInfo02, 0, 2, 1, 1))</f>
        <v>1</v>
      </c>
      <c r="F2527" s="187">
        <f ca="1">OFFSET('IWP22'!Std9BillingInfo02, 0, 3, 1, 1)</f>
        <v>0</v>
      </c>
      <c r="G2527" s="187">
        <f ca="1">OFFSET('IWP22'!Std9BillingInfo02, 10, 6, 1, 1)</f>
        <v>0</v>
      </c>
      <c r="H2527" s="187">
        <f ca="1">OFFSET('IWP22'!Std9BillingInfo02, 11, 6, 1, 1)</f>
        <v>0</v>
      </c>
      <c r="I2527" s="187">
        <f ca="1">OFFSET('IWP22'!Std9BillingInfo02, 10, 8, 1, 1)</f>
        <v>0</v>
      </c>
      <c r="J2527" s="187">
        <f ca="1">OFFSET('IWP22'!Std9BillingInfo02, 10, 11, 1, 1)</f>
        <v>0</v>
      </c>
      <c r="K2527" s="187">
        <f ca="1">OFFSET('IWP22'!Std9BillingInfo02, 10, 12, 1, 1)</f>
        <v>0</v>
      </c>
      <c r="L2527" s="179">
        <f ca="1">OFFSET('IWP22'!Std9BillingInfo02, 12, 8, 1, 1)</f>
        <v>0</v>
      </c>
      <c r="M2527" s="129"/>
    </row>
    <row r="2528" spans="1:13" s="146" customFormat="1">
      <c r="A2528" s="183" t="s">
        <v>520</v>
      </c>
      <c r="B2528" s="196">
        <v>3</v>
      </c>
      <c r="C2528" s="195" t="str">
        <f ca="1">IF(OFFSET('IWP22'!Std9BillingInfo03, 0, 0, 1, 1) = 0, "", OFFSET('IWP22'!Std9BillingInfo03, 0, 0, 1, 1))</f>
        <v/>
      </c>
      <c r="D2528" s="172">
        <f ca="1">IF(OFFSET('IWP22'!Std9BillingInfo03, 0, 1, 1, 1)=DATE(1900,1,0), DATE(1900,1,1), OFFSET('IWP22'!Std9BillingInfo03, 0, 1, 1, 1))</f>
        <v>1</v>
      </c>
      <c r="E2528" s="172">
        <f ca="1">IF(OFFSET('IWP22'!Std9BillingInfo03, 0, 2, 1, 1)=DATE(1900,1,0), DATE(1900,1,1), OFFSET('IWP22'!Std9BillingInfo03, 0, 2, 1, 1))</f>
        <v>1</v>
      </c>
      <c r="F2528" s="187">
        <f ca="1">OFFSET('IWP22'!Std9BillingInfo03, 0, 3, 1, 1)</f>
        <v>0</v>
      </c>
      <c r="G2528" s="187">
        <f ca="1">OFFSET('IWP22'!Std9BillingInfo03, 10, 6, 1, 1)</f>
        <v>0</v>
      </c>
      <c r="H2528" s="187">
        <f ca="1">OFFSET('IWP22'!Std9BillingInfo03, 11, 6, 1, 1)</f>
        <v>0</v>
      </c>
      <c r="I2528" s="187">
        <f ca="1">OFFSET('IWP22'!Std9BillingInfo03, 10, 8, 1, 1)</f>
        <v>0</v>
      </c>
      <c r="J2528" s="187">
        <f ca="1">OFFSET('IWP22'!Std9BillingInfo03, 10, 11, 1, 1)</f>
        <v>0</v>
      </c>
      <c r="K2528" s="187">
        <f ca="1">OFFSET('IWP22'!Std9BillingInfo03, 10, 12, 1, 1)</f>
        <v>0</v>
      </c>
      <c r="L2528" s="179">
        <f ca="1">OFFSET('IWP22'!Std9BillingInfo03, 12, 8, 1, 1)</f>
        <v>0</v>
      </c>
      <c r="M2528" s="129"/>
    </row>
    <row r="2529" spans="1:13" s="146" customFormat="1">
      <c r="A2529" s="183" t="s">
        <v>520</v>
      </c>
      <c r="B2529" s="196">
        <v>4</v>
      </c>
      <c r="C2529" s="195" t="str">
        <f ca="1">IF(OFFSET('IWP22'!Std9BillingInfo04, 0, 0, 1, 1) = 0, "", OFFSET('IWP22'!Std9BillingInfo04, 0, 0, 1, 1))</f>
        <v/>
      </c>
      <c r="D2529" s="172">
        <f ca="1">IF(OFFSET('IWP22'!Std9BillingInfo04, 0, 1, 1, 1)=DATE(1900,1,0), DATE(1900,1,1), OFFSET('IWP22'!Std9BillingInfo04, 0, 1, 1, 1))</f>
        <v>1</v>
      </c>
      <c r="E2529" s="172">
        <f ca="1">IF(OFFSET('IWP22'!Std9BillingInfo04, 0, 2, 1, 1)=DATE(1900,1,0), DATE(1900,1,1), OFFSET('IWP22'!Std9BillingInfo04, 0, 2, 1, 1))</f>
        <v>1</v>
      </c>
      <c r="F2529" s="187">
        <f ca="1">OFFSET('IWP22'!Std9BillingInfo04, 0, 3, 1, 1)</f>
        <v>0</v>
      </c>
      <c r="G2529" s="187">
        <f ca="1">OFFSET('IWP22'!Std9BillingInfo04, 10, 6, 1, 1)</f>
        <v>0</v>
      </c>
      <c r="H2529" s="187">
        <f ca="1">OFFSET('IWP22'!Std9BillingInfo04, 11, 6, 1, 1)</f>
        <v>0</v>
      </c>
      <c r="I2529" s="187">
        <f ca="1">OFFSET('IWP22'!Std9BillingInfo04, 10, 8, 1, 1)</f>
        <v>0</v>
      </c>
      <c r="J2529" s="187">
        <f ca="1">OFFSET('IWP22'!Std9BillingInfo04, 10, 11, 1, 1)</f>
        <v>0</v>
      </c>
      <c r="K2529" s="187">
        <f ca="1">OFFSET('IWP22'!Std9BillingInfo04, 10, 12, 1, 1)</f>
        <v>0</v>
      </c>
      <c r="L2529" s="179">
        <f ca="1">OFFSET('IWP22'!Std9BillingInfo04, 12, 8, 1, 1)</f>
        <v>0</v>
      </c>
      <c r="M2529" s="129"/>
    </row>
    <row r="2530" spans="1:13" s="146" customFormat="1">
      <c r="A2530" s="183" t="s">
        <v>520</v>
      </c>
      <c r="B2530" s="196">
        <v>5</v>
      </c>
      <c r="C2530" s="195" t="str">
        <f ca="1">IF(OFFSET('IWP22'!Std9BillingInfo05, 0, 0, 1, 1) = 0, "", OFFSET('IWP22'!Std9BillingInfo05, 0, 0, 1, 1))</f>
        <v/>
      </c>
      <c r="D2530" s="172">
        <f ca="1">IF(OFFSET('IWP22'!Std9BillingInfo05, 0, 1, 1, 1)=DATE(1900,1,0), DATE(1900,1,1), OFFSET('IWP22'!Std9BillingInfo05, 0, 1, 1, 1))</f>
        <v>1</v>
      </c>
      <c r="E2530" s="172">
        <f ca="1">IF(OFFSET('IWP22'!Std9BillingInfo05, 0, 2, 1, 1)=DATE(1900,1,0), DATE(1900,1,1), OFFSET('IWP22'!Std9BillingInfo05, 0, 2, 1, 1))</f>
        <v>1</v>
      </c>
      <c r="F2530" s="187">
        <f ca="1">OFFSET('IWP22'!Std9BillingInfo05, 0, 3, 1, 1)</f>
        <v>0</v>
      </c>
      <c r="G2530" s="187">
        <f ca="1">OFFSET('IWP22'!Std9BillingInfo05, 10, 6, 1, 1)</f>
        <v>0</v>
      </c>
      <c r="H2530" s="187">
        <f ca="1">OFFSET('IWP22'!Std9BillingInfo05, 11, 6, 1, 1)</f>
        <v>0</v>
      </c>
      <c r="I2530" s="187">
        <f ca="1">OFFSET('IWP22'!Std9BillingInfo05, 10, 8, 1, 1)</f>
        <v>0</v>
      </c>
      <c r="J2530" s="187">
        <f ca="1">OFFSET('IWP22'!Std9BillingInfo05, 10, 11, 1, 1)</f>
        <v>0</v>
      </c>
      <c r="K2530" s="187">
        <f ca="1">OFFSET('IWP22'!Std9BillingInfo05, 10, 12, 1, 1)</f>
        <v>0</v>
      </c>
      <c r="L2530" s="179">
        <f ca="1">OFFSET('IWP22'!Std9BillingInfo05, 12, 8, 1, 1)</f>
        <v>0</v>
      </c>
      <c r="M2530" s="129"/>
    </row>
    <row r="2531" spans="1:13" s="146" customFormat="1">
      <c r="A2531" s="183" t="s">
        <v>520</v>
      </c>
      <c r="B2531" s="196">
        <v>6</v>
      </c>
      <c r="C2531" s="195" t="str">
        <f ca="1">IF(OFFSET('IWP22'!Std9BillingInfo06, 0, 0, 1, 1) = 0, "", OFFSET('IWP22'!Std9BillingInfo06, 0, 0, 1, 1))</f>
        <v/>
      </c>
      <c r="D2531" s="172">
        <f ca="1">IF(OFFSET('IWP22'!Std9BillingInfo06, 0, 1, 1, 1)=DATE(1900,1,0), DATE(1900,1,1), OFFSET('IWP22'!Std9BillingInfo06, 0, 1, 1, 1))</f>
        <v>1</v>
      </c>
      <c r="E2531" s="172">
        <f ca="1">IF(OFFSET('IWP22'!Std9BillingInfo06, 0, 2, 1, 1)=DATE(1900,1,0), DATE(1900,1,1), OFFSET('IWP22'!Std9BillingInfo06, 0, 2, 1, 1))</f>
        <v>1</v>
      </c>
      <c r="F2531" s="187">
        <f ca="1">OFFSET('IWP22'!Std9BillingInfo06, 0, 3, 1, 1)</f>
        <v>0</v>
      </c>
      <c r="G2531" s="187">
        <f ca="1">OFFSET('IWP22'!Std9BillingInfo06, 10, 6, 1, 1)</f>
        <v>0</v>
      </c>
      <c r="H2531" s="187">
        <f ca="1">OFFSET('IWP22'!Std9BillingInfo06, 11, 6, 1, 1)</f>
        <v>0</v>
      </c>
      <c r="I2531" s="187">
        <f ca="1">OFFSET('IWP22'!Std9BillingInfo06, 10, 8, 1, 1)</f>
        <v>0</v>
      </c>
      <c r="J2531" s="187">
        <f ca="1">OFFSET('IWP22'!Std9BillingInfo06, 10, 11, 1, 1)</f>
        <v>0</v>
      </c>
      <c r="K2531" s="187">
        <f ca="1">OFFSET('IWP22'!Std9BillingInfo06, 10, 12, 1, 1)</f>
        <v>0</v>
      </c>
      <c r="L2531" s="179">
        <f ca="1">OFFSET('IWP22'!Std9BillingInfo06, 12, 8, 1, 1)</f>
        <v>0</v>
      </c>
      <c r="M2531" s="129"/>
    </row>
    <row r="2532" spans="1:13" s="146" customFormat="1">
      <c r="A2532" s="183" t="s">
        <v>520</v>
      </c>
      <c r="B2532" s="196">
        <v>7</v>
      </c>
      <c r="C2532" s="195" t="str">
        <f ca="1">IF(OFFSET('IWP22'!Std9BillingInfo07, 0, 0, 1, 1) = 0, "", OFFSET('IWP22'!Std9BillingInfo07, 0, 0, 1, 1))</f>
        <v/>
      </c>
      <c r="D2532" s="172">
        <f ca="1">IF(OFFSET('IWP22'!Std9BillingInfo07, 0, 1, 1, 1)=DATE(1900,1,0), DATE(1900,1,1), OFFSET('IWP22'!Std9BillingInfo07, 0, 1, 1, 1))</f>
        <v>1</v>
      </c>
      <c r="E2532" s="172">
        <f ca="1">IF(OFFSET('IWP22'!Std9BillingInfo07, 0, 2, 1, 1)=DATE(1900,1,0), DATE(1900,1,1), OFFSET('IWP22'!Std9BillingInfo07, 0, 2, 1, 1))</f>
        <v>1</v>
      </c>
      <c r="F2532" s="187">
        <f ca="1">OFFSET('IWP22'!Std9BillingInfo07, 0, 3, 1, 1)</f>
        <v>0</v>
      </c>
      <c r="G2532" s="187">
        <f ca="1">OFFSET('IWP22'!Std9BillingInfo07, 10, 6, 1, 1)</f>
        <v>0</v>
      </c>
      <c r="H2532" s="187">
        <f ca="1">OFFSET('IWP22'!Std9BillingInfo07, 11, 6, 1, 1)</f>
        <v>0</v>
      </c>
      <c r="I2532" s="187">
        <f ca="1">OFFSET('IWP22'!Std9BillingInfo07, 10, 8, 1, 1)</f>
        <v>0</v>
      </c>
      <c r="J2532" s="187">
        <f ca="1">OFFSET('IWP22'!Std9BillingInfo07, 10, 11, 1, 1)</f>
        <v>0</v>
      </c>
      <c r="K2532" s="187">
        <f ca="1">OFFSET('IWP22'!Std9BillingInfo07, 10, 12, 1, 1)</f>
        <v>0</v>
      </c>
      <c r="L2532" s="179">
        <f ca="1">OFFSET('IWP22'!Std9BillingInfo07, 12, 8, 1, 1)</f>
        <v>0</v>
      </c>
      <c r="M2532" s="129"/>
    </row>
    <row r="2533" spans="1:13" s="146" customFormat="1">
      <c r="A2533" s="183" t="s">
        <v>520</v>
      </c>
      <c r="B2533" s="196">
        <v>8</v>
      </c>
      <c r="C2533" s="195" t="str">
        <f ca="1">IF(OFFSET('IWP22'!Std9BillingInfo08, 0, 0, 1, 1) = 0, "", OFFSET('IWP22'!Std9BillingInfo08, 0, 0, 1, 1))</f>
        <v/>
      </c>
      <c r="D2533" s="172">
        <f ca="1">IF(OFFSET('IWP22'!Std9BillingInfo08, 0, 1, 1, 1)=DATE(1900,1,0), DATE(1900,1,1), OFFSET('IWP22'!Std9BillingInfo08, 0, 1, 1, 1))</f>
        <v>1</v>
      </c>
      <c r="E2533" s="172">
        <f ca="1">IF(OFFSET('IWP22'!Std9BillingInfo08, 0, 2, 1, 1)=DATE(1900,1,0), DATE(1900,1,1), OFFSET('IWP22'!Std9BillingInfo08, 0, 2, 1, 1))</f>
        <v>1</v>
      </c>
      <c r="F2533" s="187">
        <f ca="1">OFFSET('IWP22'!Std9BillingInfo08, 0, 3, 1, 1)</f>
        <v>0</v>
      </c>
      <c r="G2533" s="187">
        <f ca="1">OFFSET('IWP22'!Std9BillingInfo08, 10, 6, 1, 1)</f>
        <v>0</v>
      </c>
      <c r="H2533" s="187">
        <f ca="1">OFFSET('IWP22'!Std9BillingInfo08, 11, 6, 1, 1)</f>
        <v>0</v>
      </c>
      <c r="I2533" s="187">
        <f ca="1">OFFSET('IWP22'!Std9BillingInfo08, 10, 8, 1, 1)</f>
        <v>0</v>
      </c>
      <c r="J2533" s="187">
        <f ca="1">OFFSET('IWP22'!Std9BillingInfo08, 10, 11, 1, 1)</f>
        <v>0</v>
      </c>
      <c r="K2533" s="187">
        <f ca="1">OFFSET('IWP22'!Std9BillingInfo08, 10, 12, 1, 1)</f>
        <v>0</v>
      </c>
      <c r="L2533" s="179">
        <f ca="1">OFFSET('IWP22'!Std9BillingInfo08, 12, 8, 1, 1)</f>
        <v>0</v>
      </c>
      <c r="M2533" s="129"/>
    </row>
    <row r="2534" spans="1:13" s="146" customFormat="1">
      <c r="A2534" s="183" t="s">
        <v>520</v>
      </c>
      <c r="B2534" s="196">
        <v>9</v>
      </c>
      <c r="C2534" s="195" t="str">
        <f ca="1">IF(OFFSET('IWP22'!Std9BillingInfo09, 0, 0, 1, 1) = 0, "", OFFSET('IWP22'!Std9BillingInfo09, 0, 0, 1, 1))</f>
        <v/>
      </c>
      <c r="D2534" s="172">
        <f ca="1">IF(OFFSET('IWP22'!Std9BillingInfo09, 0, 1, 1, 1)=DATE(1900,1,0), DATE(1900,1,1), OFFSET('IWP22'!Std9BillingInfo09, 0, 1, 1, 1))</f>
        <v>1</v>
      </c>
      <c r="E2534" s="172">
        <f ca="1">IF(OFFSET('IWP22'!Std9BillingInfo09, 0, 2, 1, 1)=DATE(1900,1,0), DATE(1900,1,1), OFFSET('IWP22'!Std9BillingInfo09, 0, 2, 1, 1))</f>
        <v>1</v>
      </c>
      <c r="F2534" s="187">
        <f ca="1">OFFSET('IWP22'!Std9BillingInfo09, 0, 3, 1, 1)</f>
        <v>0</v>
      </c>
      <c r="G2534" s="187">
        <f ca="1">OFFSET('IWP22'!Std9BillingInfo09, 10, 6, 1, 1)</f>
        <v>0</v>
      </c>
      <c r="H2534" s="187">
        <f ca="1">OFFSET('IWP22'!Std9BillingInfo09, 11, 6, 1, 1)</f>
        <v>0</v>
      </c>
      <c r="I2534" s="187">
        <f ca="1">OFFSET('IWP22'!Std9BillingInfo09, 10, 8, 1, 1)</f>
        <v>0</v>
      </c>
      <c r="J2534" s="187">
        <f ca="1">OFFSET('IWP22'!Std9BillingInfo09, 10, 11, 1, 1)</f>
        <v>0</v>
      </c>
      <c r="K2534" s="187">
        <f ca="1">OFFSET('IWP22'!Std9BillingInfo09, 10, 12, 1, 1)</f>
        <v>0</v>
      </c>
      <c r="L2534" s="179">
        <f ca="1">OFFSET('IWP22'!Std9BillingInfo09, 12, 8, 1, 1)</f>
        <v>0</v>
      </c>
      <c r="M2534" s="129"/>
    </row>
    <row r="2535" spans="1:13" s="146" customFormat="1">
      <c r="A2535" s="183" t="s">
        <v>520</v>
      </c>
      <c r="B2535" s="196">
        <v>10</v>
      </c>
      <c r="C2535" s="195" t="str">
        <f ca="1">IF(OFFSET('IWP22'!Std9BillingInfo10, 0, 0, 1, 1) = 0, "", OFFSET('IWP22'!Std9BillingInfo10, 0, 0, 1, 1))</f>
        <v/>
      </c>
      <c r="D2535" s="172">
        <f ca="1">IF(OFFSET('IWP22'!Std9BillingInfo10, 0, 1, 1, 1)=DATE(1900,1,0), DATE(1900,1,1), OFFSET('IWP22'!Std9BillingInfo10, 0, 1, 1, 1))</f>
        <v>1</v>
      </c>
      <c r="E2535" s="172">
        <f ca="1">IF(OFFSET('IWP22'!Std9BillingInfo10, 0, 2, 1, 1)=DATE(1900,1,0), DATE(1900,1,1), OFFSET('IWP22'!Std9BillingInfo10, 0, 2, 1, 1))</f>
        <v>1</v>
      </c>
      <c r="F2535" s="187">
        <f ca="1">OFFSET('IWP22'!Std9BillingInfo10, 0, 3, 1, 1)</f>
        <v>0</v>
      </c>
      <c r="G2535" s="187">
        <f ca="1">OFFSET('IWP22'!Std9BillingInfo10, 10, 6, 1, 1)</f>
        <v>0</v>
      </c>
      <c r="H2535" s="187">
        <f ca="1">OFFSET('IWP22'!Std9BillingInfo10, 11, 6, 1, 1)</f>
        <v>0</v>
      </c>
      <c r="I2535" s="187">
        <f ca="1">OFFSET('IWP22'!Std9BillingInfo10, 10, 8, 1, 1)</f>
        <v>0</v>
      </c>
      <c r="J2535" s="187">
        <f ca="1">OFFSET('IWP22'!Std9BillingInfo10, 10, 11, 1, 1)</f>
        <v>0</v>
      </c>
      <c r="K2535" s="187">
        <f ca="1">OFFSET('IWP22'!Std9BillingInfo10, 10, 12, 1, 1)</f>
        <v>0</v>
      </c>
      <c r="L2535" s="179">
        <f ca="1">OFFSET('IWP22'!Std9BillingInfo10, 12, 8, 1, 1)</f>
        <v>0</v>
      </c>
      <c r="M2535" s="129"/>
    </row>
    <row r="2536" spans="1:13" s="146" customFormat="1">
      <c r="A2536" s="183" t="s">
        <v>520</v>
      </c>
      <c r="B2536" s="196">
        <v>11</v>
      </c>
      <c r="C2536" s="195" t="str">
        <f ca="1">IF(OFFSET('IWP22'!Std9BillingInfo11, 0, 0, 1, 1) = 0, "", OFFSET('IWP22'!Std9BillingInfo11, 0, 0, 1, 1))</f>
        <v/>
      </c>
      <c r="D2536" s="172">
        <f ca="1">IF(OFFSET('IWP22'!Std9BillingInfo11, 0, 1, 1, 1)=DATE(1900,1,0), DATE(1900,1,1), OFFSET('IWP22'!Std9BillingInfo11, 0, 1, 1, 1))</f>
        <v>1</v>
      </c>
      <c r="E2536" s="172">
        <f ca="1">IF(OFFSET('IWP22'!Std9BillingInfo11, 0, 2, 1, 1)=DATE(1900,1,0), DATE(1900,1,1), OFFSET('IWP22'!Std9BillingInfo11, 0, 2, 1, 1))</f>
        <v>1</v>
      </c>
      <c r="F2536" s="187">
        <f ca="1">OFFSET('IWP22'!Std9BillingInfo11, 0, 3, 1, 1)</f>
        <v>0</v>
      </c>
      <c r="G2536" s="187">
        <f ca="1">OFFSET('IWP22'!Std9BillingInfo11, 10, 6, 1, 1)</f>
        <v>0</v>
      </c>
      <c r="H2536" s="187">
        <f ca="1">OFFSET('IWP22'!Std9BillingInfo11, 11, 6, 1, 1)</f>
        <v>0</v>
      </c>
      <c r="I2536" s="187">
        <f ca="1">OFFSET('IWP22'!Std9BillingInfo11, 10, 8, 1, 1)</f>
        <v>0</v>
      </c>
      <c r="J2536" s="187">
        <f ca="1">OFFSET('IWP22'!Std9BillingInfo11, 10, 11, 1, 1)</f>
        <v>0</v>
      </c>
      <c r="K2536" s="187">
        <f ca="1">OFFSET('IWP22'!Std9BillingInfo11, 10, 12, 1, 1)</f>
        <v>0</v>
      </c>
      <c r="L2536" s="179">
        <f ca="1">OFFSET('IWP22'!Std9BillingInfo11, 12, 8, 1, 1)</f>
        <v>0</v>
      </c>
      <c r="M2536" s="129"/>
    </row>
    <row r="2537" spans="1:13" s="146" customFormat="1">
      <c r="A2537" s="183" t="s">
        <v>520</v>
      </c>
      <c r="B2537" s="196">
        <v>12</v>
      </c>
      <c r="C2537" s="195" t="str">
        <f ca="1">IF(OFFSET('IWP22'!Std9BillingInfo12, 0, 0, 1, 1) = 0, "", OFFSET('IWP22'!Std9BillingInfo12, 0, 0, 1, 1))</f>
        <v/>
      </c>
      <c r="D2537" s="172">
        <f ca="1">IF(OFFSET('IWP22'!Std9BillingInfo12, 0, 1, 1, 1)=DATE(1900,1,0), DATE(1900,1,1), OFFSET('IWP22'!Std9BillingInfo12, 0, 1, 1, 1))</f>
        <v>1</v>
      </c>
      <c r="E2537" s="172">
        <f ca="1">IF(OFFSET('IWP22'!Std9BillingInfo12, 0, 2, 1, 1)=DATE(1900,1,0), DATE(1900,1,1), OFFSET('IWP22'!Std9BillingInfo12, 0, 2, 1, 1))</f>
        <v>1</v>
      </c>
      <c r="F2537" s="187">
        <f ca="1">OFFSET('IWP22'!Std9BillingInfo12, 0, 3, 1, 1)</f>
        <v>0</v>
      </c>
      <c r="G2537" s="187">
        <f ca="1">OFFSET('IWP22'!Std9BillingInfo12, 10, 6, 1, 1)</f>
        <v>0</v>
      </c>
      <c r="H2537" s="187">
        <f ca="1">OFFSET('IWP22'!Std9BillingInfo12, 11, 6, 1, 1)</f>
        <v>0</v>
      </c>
      <c r="I2537" s="187">
        <f ca="1">OFFSET('IWP22'!Std9BillingInfo12, 10, 8, 1, 1)</f>
        <v>0</v>
      </c>
      <c r="J2537" s="187">
        <f ca="1">OFFSET('IWP22'!Std9BillingInfo12, 10, 11, 1, 1)</f>
        <v>0</v>
      </c>
      <c r="K2537" s="187">
        <f ca="1">OFFSET('IWP22'!Std9BillingInfo12, 10, 12, 1, 1)</f>
        <v>0</v>
      </c>
      <c r="L2537" s="179">
        <f ca="1">OFFSET('IWP22'!Std9BillingInfo12, 12, 8, 1, 1)</f>
        <v>0</v>
      </c>
      <c r="M2537" s="129"/>
    </row>
    <row r="2538" spans="1:13" s="146" customFormat="1">
      <c r="A2538" s="183" t="s">
        <v>520</v>
      </c>
      <c r="B2538" s="196">
        <v>13</v>
      </c>
      <c r="C2538" s="195" t="str">
        <f ca="1">IF(OFFSET('IWP22'!Std9BillingInfo13, 0, 0, 1, 1) = 0, "", OFFSET('IWP22'!Std9BillingInfo13, 0, 0, 1, 1))</f>
        <v/>
      </c>
      <c r="D2538" s="172">
        <f ca="1">IF(OFFSET('IWP22'!Std9BillingInfo13, 0, 1, 1, 1)=DATE(1900,1,0), DATE(1900,1,1), OFFSET('IWP22'!Std9BillingInfo13, 0, 1, 1, 1))</f>
        <v>1</v>
      </c>
      <c r="E2538" s="172">
        <f ca="1">IF(OFFSET('IWP22'!Std9BillingInfo13, 0, 2, 1, 1)=DATE(1900,1,0), DATE(1900,1,1), OFFSET('IWP22'!Std9BillingInfo13, 0, 2, 1, 1))</f>
        <v>1</v>
      </c>
      <c r="F2538" s="187">
        <f ca="1">OFFSET('IWP22'!Std9BillingInfo13, 0, 3, 1, 1)</f>
        <v>0</v>
      </c>
      <c r="G2538" s="187">
        <f ca="1">OFFSET('IWP22'!Std9BillingInfo13, 10, 6, 1, 1)</f>
        <v>0</v>
      </c>
      <c r="H2538" s="187">
        <f ca="1">OFFSET('IWP22'!Std9BillingInfo13, 11, 6, 1, 1)</f>
        <v>0</v>
      </c>
      <c r="I2538" s="187">
        <f ca="1">OFFSET('IWP22'!Std9BillingInfo13, 10, 8, 1, 1)</f>
        <v>0</v>
      </c>
      <c r="J2538" s="187">
        <f ca="1">OFFSET('IWP22'!Std9BillingInfo13, 10, 11, 1, 1)</f>
        <v>0</v>
      </c>
      <c r="K2538" s="187">
        <f ca="1">OFFSET('IWP22'!Std9BillingInfo13, 10, 12, 1, 1)</f>
        <v>0</v>
      </c>
      <c r="L2538" s="179">
        <f ca="1">OFFSET('IWP22'!Std9BillingInfo13, 12, 8, 1, 1)</f>
        <v>0</v>
      </c>
      <c r="M2538" s="129"/>
    </row>
    <row r="2539" spans="1:13" s="146" customFormat="1">
      <c r="A2539" s="183" t="s">
        <v>520</v>
      </c>
      <c r="B2539" s="196">
        <v>14</v>
      </c>
      <c r="C2539" s="195" t="str">
        <f ca="1">IF(OFFSET('IWP22'!Std9BillingInfo14, 0, 0, 1, 1) = 0, "", OFFSET('IWP22'!Std9BillingInfo14, 0, 0, 1, 1))</f>
        <v/>
      </c>
      <c r="D2539" s="172">
        <f ca="1">IF(OFFSET('IWP22'!Std9BillingInfo14, 0, 1, 1, 1)=DATE(1900,1,0), DATE(1900,1,1), OFFSET('IWP22'!Std9BillingInfo14, 0, 1, 1, 1))</f>
        <v>1</v>
      </c>
      <c r="E2539" s="172">
        <f ca="1">IF(OFFSET('IWP22'!Std9BillingInfo14, 0, 2, 1, 1)=DATE(1900,1,0), DATE(1900,1,1), OFFSET('IWP22'!Std9BillingInfo14, 0, 2, 1, 1))</f>
        <v>1</v>
      </c>
      <c r="F2539" s="187">
        <f ca="1">OFFSET('IWP22'!Std9BillingInfo14, 0, 3, 1, 1)</f>
        <v>0</v>
      </c>
      <c r="G2539" s="187">
        <f ca="1">OFFSET('IWP22'!Std9BillingInfo14, 10, 6, 1, 1)</f>
        <v>0</v>
      </c>
      <c r="H2539" s="187">
        <f ca="1">OFFSET('IWP22'!Std9BillingInfo14, 11, 6, 1, 1)</f>
        <v>0</v>
      </c>
      <c r="I2539" s="187">
        <f ca="1">OFFSET('IWP22'!Std9BillingInfo14, 10, 8, 1, 1)</f>
        <v>0</v>
      </c>
      <c r="J2539" s="187">
        <f ca="1">OFFSET('IWP22'!Std9BillingInfo14, 10, 11, 1, 1)</f>
        <v>0</v>
      </c>
      <c r="K2539" s="187">
        <f ca="1">OFFSET('IWP22'!Std9BillingInfo14, 10, 12, 1, 1)</f>
        <v>0</v>
      </c>
      <c r="L2539" s="179">
        <f ca="1">OFFSET('IWP22'!Std9BillingInfo14, 12, 8, 1, 1)</f>
        <v>0</v>
      </c>
      <c r="M2539" s="129"/>
    </row>
    <row r="2540" spans="1:13" s="146" customFormat="1">
      <c r="A2540" s="183" t="s">
        <v>520</v>
      </c>
      <c r="B2540" s="196">
        <v>15</v>
      </c>
      <c r="C2540" s="195" t="str">
        <f ca="1">IF(OFFSET('IWP22'!Std9BillingInfo15, 0, 0, 1, 1) = 0, "", OFFSET('IWP22'!Std9BillingInfo15, 0, 0, 1, 1))</f>
        <v/>
      </c>
      <c r="D2540" s="172">
        <f ca="1">IF(OFFSET('IWP22'!Std9BillingInfo15, 0, 1, 1, 1)=DATE(1900,1,0), DATE(1900,1,1), OFFSET('IWP22'!Std9BillingInfo15, 0, 1, 1, 1))</f>
        <v>1</v>
      </c>
      <c r="E2540" s="172">
        <f ca="1">IF(OFFSET('IWP22'!Std9BillingInfo15, 0, 2, 1, 1)=DATE(1900,1,0), DATE(1900,1,1), OFFSET('IWP22'!Std9BillingInfo15, 0, 2, 1, 1))</f>
        <v>1</v>
      </c>
      <c r="F2540" s="187">
        <f ca="1">OFFSET('IWP22'!Std9BillingInfo15, 0, 3, 1, 1)</f>
        <v>0</v>
      </c>
      <c r="G2540" s="187">
        <f ca="1">OFFSET('IWP22'!Std9BillingInfo15, 10, 6, 1, 1)</f>
        <v>0</v>
      </c>
      <c r="H2540" s="187">
        <f ca="1">OFFSET('IWP22'!Std9BillingInfo15, 11, 6, 1, 1)</f>
        <v>0</v>
      </c>
      <c r="I2540" s="187">
        <f ca="1">OFFSET('IWP22'!Std9BillingInfo15, 10, 8, 1, 1)</f>
        <v>0</v>
      </c>
      <c r="J2540" s="187">
        <f ca="1">OFFSET('IWP22'!Std9BillingInfo15, 10, 11, 1, 1)</f>
        <v>0</v>
      </c>
      <c r="K2540" s="187">
        <f ca="1">OFFSET('IWP22'!Std9BillingInfo15, 10, 12, 1, 1)</f>
        <v>0</v>
      </c>
      <c r="L2540" s="179">
        <f ca="1">OFFSET('IWP22'!Std9BillingInfo15, 12, 8, 1, 1)</f>
        <v>0</v>
      </c>
      <c r="M2540" s="129"/>
    </row>
    <row r="2541" spans="1:13" s="146" customFormat="1">
      <c r="A2541" s="183" t="s">
        <v>520</v>
      </c>
      <c r="B2541" s="196">
        <v>16</v>
      </c>
      <c r="C2541" s="195" t="str">
        <f ca="1">IF(OFFSET('IWP22'!Std9BillingInfo16, 0, 0, 1, 1) = 0, "", OFFSET('IWP22'!Std9BillingInfo16, 0, 0, 1, 1))</f>
        <v/>
      </c>
      <c r="D2541" s="172">
        <f ca="1">IF(OFFSET('IWP22'!Std9BillingInfo16, 0, 1, 1, 1)=DATE(1900,1,0), DATE(1900,1,1), OFFSET('IWP22'!Std9BillingInfo16, 0, 1, 1, 1))</f>
        <v>1</v>
      </c>
      <c r="E2541" s="172">
        <f ca="1">IF(OFFSET('IWP22'!Std9BillingInfo16, 0, 2, 1, 1)=DATE(1900,1,0), DATE(1900,1,1), OFFSET('IWP22'!Std9BillingInfo16, 0, 2, 1, 1))</f>
        <v>1</v>
      </c>
      <c r="F2541" s="187">
        <f ca="1">OFFSET('IWP22'!Std9BillingInfo16, 0, 3, 1, 1)</f>
        <v>0</v>
      </c>
      <c r="G2541" s="187">
        <f ca="1">OFFSET('IWP22'!Std9BillingInfo16, 10, 6, 1, 1)</f>
        <v>0</v>
      </c>
      <c r="H2541" s="187">
        <f ca="1">OFFSET('IWP22'!Std9BillingInfo16, 11, 6, 1, 1)</f>
        <v>0</v>
      </c>
      <c r="I2541" s="187">
        <f ca="1">OFFSET('IWP22'!Std9BillingInfo16, 10, 8, 1, 1)</f>
        <v>0</v>
      </c>
      <c r="J2541" s="187">
        <f ca="1">OFFSET('IWP22'!Std9BillingInfo16, 10, 11, 1, 1)</f>
        <v>0</v>
      </c>
      <c r="K2541" s="187">
        <f ca="1">OFFSET('IWP22'!Std9BillingInfo16, 10, 12, 1, 1)</f>
        <v>0</v>
      </c>
      <c r="L2541" s="179">
        <f ca="1">OFFSET('IWP22'!Std9BillingInfo16, 12, 8, 1, 1)</f>
        <v>0</v>
      </c>
      <c r="M2541" s="129"/>
    </row>
    <row r="2542" spans="1:13" s="146" customFormat="1">
      <c r="A2542" s="183" t="s">
        <v>520</v>
      </c>
      <c r="B2542" s="196">
        <v>17</v>
      </c>
      <c r="C2542" s="195" t="str">
        <f ca="1">IF(OFFSET('IWP22'!Std9BillingInfo17, 0, 0, 1, 1) = 0, "", OFFSET('IWP22'!Std9BillingInfo17, 0, 0, 1, 1))</f>
        <v/>
      </c>
      <c r="D2542" s="172">
        <f ca="1">IF(OFFSET('IWP22'!Std9BillingInfo17, 0, 1, 1, 1)=DATE(1900,1,0), DATE(1900,1,1), OFFSET('IWP22'!Std9BillingInfo17, 0, 1, 1, 1))</f>
        <v>1</v>
      </c>
      <c r="E2542" s="172">
        <f ca="1">IF(OFFSET('IWP22'!Std9BillingInfo17, 0, 2, 1, 1)=DATE(1900,1,0), DATE(1900,1,1), OFFSET('IWP22'!Std9BillingInfo17, 0, 2, 1, 1))</f>
        <v>1</v>
      </c>
      <c r="F2542" s="187">
        <f ca="1">OFFSET('IWP22'!Std9BillingInfo17, 0, 3, 1, 1)</f>
        <v>0</v>
      </c>
      <c r="G2542" s="187">
        <f ca="1">OFFSET('IWP22'!Std9BillingInfo17, 10, 6, 1, 1)</f>
        <v>0</v>
      </c>
      <c r="H2542" s="187">
        <f ca="1">OFFSET('IWP22'!Std9BillingInfo17, 11, 6, 1, 1)</f>
        <v>0</v>
      </c>
      <c r="I2542" s="187">
        <f ca="1">OFFSET('IWP22'!Std9BillingInfo17, 10, 8, 1, 1)</f>
        <v>0</v>
      </c>
      <c r="J2542" s="187">
        <f ca="1">OFFSET('IWP22'!Std9BillingInfo17, 10, 11, 1, 1)</f>
        <v>0</v>
      </c>
      <c r="K2542" s="187">
        <f ca="1">OFFSET('IWP22'!Std9BillingInfo17, 10, 12, 1, 1)</f>
        <v>0</v>
      </c>
      <c r="L2542" s="179">
        <f ca="1">OFFSET('IWP22'!Std9BillingInfo17, 12, 8, 1, 1)</f>
        <v>0</v>
      </c>
      <c r="M2542" s="129"/>
    </row>
    <row r="2543" spans="1:13" s="146" customFormat="1">
      <c r="A2543" s="183" t="s">
        <v>520</v>
      </c>
      <c r="B2543" s="196">
        <v>18</v>
      </c>
      <c r="C2543" s="195" t="str">
        <f ca="1">IF(OFFSET('IWP22'!Std9BillingInfo18, 0, 0, 1, 1) = 0, "", OFFSET('IWP22'!Std9BillingInfo18, 0, 0, 1, 1))</f>
        <v/>
      </c>
      <c r="D2543" s="172">
        <f ca="1">IF(OFFSET('IWP22'!Std9BillingInfo18, 0, 1, 1, 1)=DATE(1900,1,0), DATE(1900,1,1), OFFSET('IWP22'!Std9BillingInfo18, 0, 1, 1, 1))</f>
        <v>1</v>
      </c>
      <c r="E2543" s="172">
        <f ca="1">IF(OFFSET('IWP22'!Std9BillingInfo18, 0, 2, 1, 1)=DATE(1900,1,0), DATE(1900,1,1), OFFSET('IWP22'!Std9BillingInfo18, 0, 2, 1, 1))</f>
        <v>1</v>
      </c>
      <c r="F2543" s="187">
        <f ca="1">OFFSET('IWP22'!Std9BillingInfo18, 0, 3, 1, 1)</f>
        <v>0</v>
      </c>
      <c r="G2543" s="187">
        <f ca="1">OFFSET('IWP22'!Std9BillingInfo18, 10, 6, 1, 1)</f>
        <v>0</v>
      </c>
      <c r="H2543" s="187">
        <f ca="1">OFFSET('IWP22'!Std9BillingInfo18, 11, 6, 1, 1)</f>
        <v>0</v>
      </c>
      <c r="I2543" s="187">
        <f ca="1">OFFSET('IWP22'!Std9BillingInfo18, 10, 8, 1, 1)</f>
        <v>0</v>
      </c>
      <c r="J2543" s="187">
        <f ca="1">OFFSET('IWP22'!Std9BillingInfo18, 10, 11, 1, 1)</f>
        <v>0</v>
      </c>
      <c r="K2543" s="187">
        <f ca="1">OFFSET('IWP22'!Std9BillingInfo18, 10, 12, 1, 1)</f>
        <v>0</v>
      </c>
      <c r="L2543" s="179">
        <f ca="1">OFFSET('IWP22'!Std9BillingInfo18, 12, 8, 1, 1)</f>
        <v>0</v>
      </c>
      <c r="M2543" s="129"/>
    </row>
    <row r="2544" spans="1:13" s="146" customFormat="1">
      <c r="A2544" s="183" t="s">
        <v>521</v>
      </c>
      <c r="B2544" s="196">
        <v>1</v>
      </c>
      <c r="C2544" s="195" t="str">
        <f ca="1">IF(OFFSET('IWP23'!Std9BillingInfo01, 0, 0, 1, 1) = 0, "", OFFSET('IWP23'!Std9BillingInfo01, 0, 0, 1, 1))</f>
        <v/>
      </c>
      <c r="D2544" s="172">
        <f ca="1">IF(OFFSET('IWP23'!Std9BillingInfo01, 0, 1, 1, 1)=DATE(1900,1,0), DATE(1900,1,1), OFFSET('IWP23'!Std9BillingInfo01, 0, 1, 1, 1))</f>
        <v>1</v>
      </c>
      <c r="E2544" s="172">
        <f ca="1">IF(OFFSET('IWP23'!Std9BillingInfo01, 0, 2, 1, 1)=DATE(1900,1,0), DATE(1900,1,1), OFFSET('IWP23'!Std9BillingInfo01, 0, 2, 1, 1))</f>
        <v>1</v>
      </c>
      <c r="F2544" s="187">
        <f ca="1">OFFSET('IWP23'!Std9BillingInfo01, 0, 3, 1, 1)</f>
        <v>0</v>
      </c>
      <c r="G2544" s="187">
        <f ca="1">OFFSET('IWP23'!Std9BillingInfo01, 10, 6, 1, 1)</f>
        <v>0</v>
      </c>
      <c r="H2544" s="187">
        <f ca="1">OFFSET('IWP23'!Std9BillingInfo01, 11, 6, 1, 1)</f>
        <v>0</v>
      </c>
      <c r="I2544" s="187">
        <f ca="1">OFFSET('IWP23'!Std9BillingInfo01, 10, 8, 1, 1)</f>
        <v>0</v>
      </c>
      <c r="J2544" s="187">
        <f ca="1">OFFSET('IWP23'!Std9BillingInfo01, 10, 11, 1, 1)</f>
        <v>0</v>
      </c>
      <c r="K2544" s="187">
        <f ca="1">OFFSET('IWP23'!Std9BillingInfo01, 10, 12, 1, 1)</f>
        <v>0</v>
      </c>
      <c r="L2544" s="179">
        <f ca="1">OFFSET('IWP23'!Std9BillingInfo01, 12, 8, 1, 1)</f>
        <v>0</v>
      </c>
      <c r="M2544" s="129"/>
    </row>
    <row r="2545" spans="1:13" s="146" customFormat="1">
      <c r="A2545" s="183" t="s">
        <v>521</v>
      </c>
      <c r="B2545" s="196">
        <v>2</v>
      </c>
      <c r="C2545" s="195" t="str">
        <f ca="1">IF(OFFSET('IWP23'!Std9BillingInfo02, 0, 0, 1, 1) = 0, "", OFFSET('IWP23'!Std9BillingInfo02, 0, 0, 1, 1))</f>
        <v/>
      </c>
      <c r="D2545" s="172">
        <f ca="1">IF(OFFSET('IWP23'!Std9BillingInfo02, 0, 1, 1, 1)=DATE(1900,1,0), DATE(1900,1,1), OFFSET('IWP23'!Std9BillingInfo02, 0, 1, 1, 1))</f>
        <v>1</v>
      </c>
      <c r="E2545" s="172">
        <f ca="1">IF(OFFSET('IWP23'!Std9BillingInfo02, 0, 2, 1, 1)=DATE(1900,1,0), DATE(1900,1,1), OFFSET('IWP23'!Std9BillingInfo02, 0, 2, 1, 1))</f>
        <v>1</v>
      </c>
      <c r="F2545" s="187">
        <f ca="1">OFFSET('IWP23'!Std9BillingInfo02, 0, 3, 1, 1)</f>
        <v>0</v>
      </c>
      <c r="G2545" s="187">
        <f ca="1">OFFSET('IWP23'!Std9BillingInfo02, 10, 6, 1, 1)</f>
        <v>0</v>
      </c>
      <c r="H2545" s="187">
        <f ca="1">OFFSET('IWP23'!Std9BillingInfo02, 11, 6, 1, 1)</f>
        <v>0</v>
      </c>
      <c r="I2545" s="187">
        <f ca="1">OFFSET('IWP23'!Std9BillingInfo02, 10, 8, 1, 1)</f>
        <v>0</v>
      </c>
      <c r="J2545" s="187">
        <f ca="1">OFFSET('IWP23'!Std9BillingInfo02, 10, 11, 1, 1)</f>
        <v>0</v>
      </c>
      <c r="K2545" s="187">
        <f ca="1">OFFSET('IWP23'!Std9BillingInfo02, 10, 12, 1, 1)</f>
        <v>0</v>
      </c>
      <c r="L2545" s="179">
        <f ca="1">OFFSET('IWP23'!Std9BillingInfo02, 12, 8, 1, 1)</f>
        <v>0</v>
      </c>
      <c r="M2545" s="129"/>
    </row>
    <row r="2546" spans="1:13" s="146" customFormat="1">
      <c r="A2546" s="183" t="s">
        <v>521</v>
      </c>
      <c r="B2546" s="196">
        <v>3</v>
      </c>
      <c r="C2546" s="195" t="str">
        <f ca="1">IF(OFFSET('IWP23'!Std9BillingInfo03, 0, 0, 1, 1) = 0, "", OFFSET('IWP23'!Std9BillingInfo03, 0, 0, 1, 1))</f>
        <v/>
      </c>
      <c r="D2546" s="172">
        <f ca="1">IF(OFFSET('IWP23'!Std9BillingInfo03, 0, 1, 1, 1)=DATE(1900,1,0), DATE(1900,1,1), OFFSET('IWP23'!Std9BillingInfo03, 0, 1, 1, 1))</f>
        <v>1</v>
      </c>
      <c r="E2546" s="172">
        <f ca="1">IF(OFFSET('IWP23'!Std9BillingInfo03, 0, 2, 1, 1)=DATE(1900,1,0), DATE(1900,1,1), OFFSET('IWP23'!Std9BillingInfo03, 0, 2, 1, 1))</f>
        <v>1</v>
      </c>
      <c r="F2546" s="187">
        <f ca="1">OFFSET('IWP23'!Std9BillingInfo03, 0, 3, 1, 1)</f>
        <v>0</v>
      </c>
      <c r="G2546" s="187">
        <f ca="1">OFFSET('IWP23'!Std9BillingInfo03, 10, 6, 1, 1)</f>
        <v>0</v>
      </c>
      <c r="H2546" s="187">
        <f ca="1">OFFSET('IWP23'!Std9BillingInfo03, 11, 6, 1, 1)</f>
        <v>0</v>
      </c>
      <c r="I2546" s="187">
        <f ca="1">OFFSET('IWP23'!Std9BillingInfo03, 10, 8, 1, 1)</f>
        <v>0</v>
      </c>
      <c r="J2546" s="187">
        <f ca="1">OFFSET('IWP23'!Std9BillingInfo03, 10, 11, 1, 1)</f>
        <v>0</v>
      </c>
      <c r="K2546" s="187">
        <f ca="1">OFFSET('IWP23'!Std9BillingInfo03, 10, 12, 1, 1)</f>
        <v>0</v>
      </c>
      <c r="L2546" s="179">
        <f ca="1">OFFSET('IWP23'!Std9BillingInfo03, 12, 8, 1, 1)</f>
        <v>0</v>
      </c>
      <c r="M2546" s="129"/>
    </row>
    <row r="2547" spans="1:13" s="146" customFormat="1">
      <c r="A2547" s="183" t="s">
        <v>521</v>
      </c>
      <c r="B2547" s="196">
        <v>4</v>
      </c>
      <c r="C2547" s="195" t="str">
        <f ca="1">IF(OFFSET('IWP23'!Std9BillingInfo04, 0, 0, 1, 1) = 0, "", OFFSET('IWP23'!Std9BillingInfo04, 0, 0, 1, 1))</f>
        <v/>
      </c>
      <c r="D2547" s="172">
        <f ca="1">IF(OFFSET('IWP23'!Std9BillingInfo04, 0, 1, 1, 1)=DATE(1900,1,0), DATE(1900,1,1), OFFSET('IWP23'!Std9BillingInfo04, 0, 1, 1, 1))</f>
        <v>1</v>
      </c>
      <c r="E2547" s="172">
        <f ca="1">IF(OFFSET('IWP23'!Std9BillingInfo04, 0, 2, 1, 1)=DATE(1900,1,0), DATE(1900,1,1), OFFSET('IWP23'!Std9BillingInfo04, 0, 2, 1, 1))</f>
        <v>1</v>
      </c>
      <c r="F2547" s="187">
        <f ca="1">OFFSET('IWP23'!Std9BillingInfo04, 0, 3, 1, 1)</f>
        <v>0</v>
      </c>
      <c r="G2547" s="187">
        <f ca="1">OFFSET('IWP23'!Std9BillingInfo04, 10, 6, 1, 1)</f>
        <v>0</v>
      </c>
      <c r="H2547" s="187">
        <f ca="1">OFFSET('IWP23'!Std9BillingInfo04, 11, 6, 1, 1)</f>
        <v>0</v>
      </c>
      <c r="I2547" s="187">
        <f ca="1">OFFSET('IWP23'!Std9BillingInfo04, 10, 8, 1, 1)</f>
        <v>0</v>
      </c>
      <c r="J2547" s="187">
        <f ca="1">OFFSET('IWP23'!Std9BillingInfo04, 10, 11, 1, 1)</f>
        <v>0</v>
      </c>
      <c r="K2547" s="187">
        <f ca="1">OFFSET('IWP23'!Std9BillingInfo04, 10, 12, 1, 1)</f>
        <v>0</v>
      </c>
      <c r="L2547" s="179">
        <f ca="1">OFFSET('IWP23'!Std9BillingInfo04, 12, 8, 1, 1)</f>
        <v>0</v>
      </c>
      <c r="M2547" s="129"/>
    </row>
    <row r="2548" spans="1:13" s="146" customFormat="1">
      <c r="A2548" s="183" t="s">
        <v>521</v>
      </c>
      <c r="B2548" s="196">
        <v>5</v>
      </c>
      <c r="C2548" s="195" t="str">
        <f ca="1">IF(OFFSET('IWP23'!Std9BillingInfo05, 0, 0, 1, 1) = 0, "", OFFSET('IWP23'!Std9BillingInfo05, 0, 0, 1, 1))</f>
        <v/>
      </c>
      <c r="D2548" s="172">
        <f ca="1">IF(OFFSET('IWP23'!Std9BillingInfo05, 0, 1, 1, 1)=DATE(1900,1,0), DATE(1900,1,1), OFFSET('IWP23'!Std9BillingInfo05, 0, 1, 1, 1))</f>
        <v>1</v>
      </c>
      <c r="E2548" s="172">
        <f ca="1">IF(OFFSET('IWP23'!Std9BillingInfo05, 0, 2, 1, 1)=DATE(1900,1,0), DATE(1900,1,1), OFFSET('IWP23'!Std9BillingInfo05, 0, 2, 1, 1))</f>
        <v>1</v>
      </c>
      <c r="F2548" s="187">
        <f ca="1">OFFSET('IWP23'!Std9BillingInfo05, 0, 3, 1, 1)</f>
        <v>0</v>
      </c>
      <c r="G2548" s="187">
        <f ca="1">OFFSET('IWP23'!Std9BillingInfo05, 10, 6, 1, 1)</f>
        <v>0</v>
      </c>
      <c r="H2548" s="187">
        <f ca="1">OFFSET('IWP23'!Std9BillingInfo05, 11, 6, 1, 1)</f>
        <v>0</v>
      </c>
      <c r="I2548" s="187">
        <f ca="1">OFFSET('IWP23'!Std9BillingInfo05, 10, 8, 1, 1)</f>
        <v>0</v>
      </c>
      <c r="J2548" s="187">
        <f ca="1">OFFSET('IWP23'!Std9BillingInfo05, 10, 11, 1, 1)</f>
        <v>0</v>
      </c>
      <c r="K2548" s="187">
        <f ca="1">OFFSET('IWP23'!Std9BillingInfo05, 10, 12, 1, 1)</f>
        <v>0</v>
      </c>
      <c r="L2548" s="179">
        <f ca="1">OFFSET('IWP23'!Std9BillingInfo05, 12, 8, 1, 1)</f>
        <v>0</v>
      </c>
      <c r="M2548" s="129"/>
    </row>
    <row r="2549" spans="1:13" s="146" customFormat="1">
      <c r="A2549" s="183" t="s">
        <v>521</v>
      </c>
      <c r="B2549" s="196">
        <v>6</v>
      </c>
      <c r="C2549" s="195" t="str">
        <f ca="1">IF(OFFSET('IWP23'!Std9BillingInfo06, 0, 0, 1, 1) = 0, "", OFFSET('IWP23'!Std9BillingInfo06, 0, 0, 1, 1))</f>
        <v/>
      </c>
      <c r="D2549" s="172">
        <f ca="1">IF(OFFSET('IWP23'!Std9BillingInfo06, 0, 1, 1, 1)=DATE(1900,1,0), DATE(1900,1,1), OFFSET('IWP23'!Std9BillingInfo06, 0, 1, 1, 1))</f>
        <v>1</v>
      </c>
      <c r="E2549" s="172">
        <f ca="1">IF(OFFSET('IWP23'!Std9BillingInfo06, 0, 2, 1, 1)=DATE(1900,1,0), DATE(1900,1,1), OFFSET('IWP23'!Std9BillingInfo06, 0, 2, 1, 1))</f>
        <v>1</v>
      </c>
      <c r="F2549" s="187">
        <f ca="1">OFFSET('IWP23'!Std9BillingInfo06, 0, 3, 1, 1)</f>
        <v>0</v>
      </c>
      <c r="G2549" s="187">
        <f ca="1">OFFSET('IWP23'!Std9BillingInfo06, 10, 6, 1, 1)</f>
        <v>0</v>
      </c>
      <c r="H2549" s="187">
        <f ca="1">OFFSET('IWP23'!Std9BillingInfo06, 11, 6, 1, 1)</f>
        <v>0</v>
      </c>
      <c r="I2549" s="187">
        <f ca="1">OFFSET('IWP23'!Std9BillingInfo06, 10, 8, 1, 1)</f>
        <v>0</v>
      </c>
      <c r="J2549" s="187">
        <f ca="1">OFFSET('IWP23'!Std9BillingInfo06, 10, 11, 1, 1)</f>
        <v>0</v>
      </c>
      <c r="K2549" s="187">
        <f ca="1">OFFSET('IWP23'!Std9BillingInfo06, 10, 12, 1, 1)</f>
        <v>0</v>
      </c>
      <c r="L2549" s="179">
        <f ca="1">OFFSET('IWP23'!Std9BillingInfo06, 12, 8, 1, 1)</f>
        <v>0</v>
      </c>
      <c r="M2549" s="129"/>
    </row>
    <row r="2550" spans="1:13" s="146" customFormat="1">
      <c r="A2550" s="183" t="s">
        <v>521</v>
      </c>
      <c r="B2550" s="196">
        <v>7</v>
      </c>
      <c r="C2550" s="195" t="str">
        <f ca="1">IF(OFFSET('IWP23'!Std9BillingInfo07, 0, 0, 1, 1) = 0, "", OFFSET('IWP23'!Std9BillingInfo07, 0, 0, 1, 1))</f>
        <v/>
      </c>
      <c r="D2550" s="172">
        <f ca="1">IF(OFFSET('IWP23'!Std9BillingInfo07, 0, 1, 1, 1)=DATE(1900,1,0), DATE(1900,1,1), OFFSET('IWP23'!Std9BillingInfo07, 0, 1, 1, 1))</f>
        <v>1</v>
      </c>
      <c r="E2550" s="172">
        <f ca="1">IF(OFFSET('IWP23'!Std9BillingInfo07, 0, 2, 1, 1)=DATE(1900,1,0), DATE(1900,1,1), OFFSET('IWP23'!Std9BillingInfo07, 0, 2, 1, 1))</f>
        <v>1</v>
      </c>
      <c r="F2550" s="187">
        <f ca="1">OFFSET('IWP23'!Std9BillingInfo07, 0, 3, 1, 1)</f>
        <v>0</v>
      </c>
      <c r="G2550" s="187">
        <f ca="1">OFFSET('IWP23'!Std9BillingInfo07, 10, 6, 1, 1)</f>
        <v>0</v>
      </c>
      <c r="H2550" s="187">
        <f ca="1">OFFSET('IWP23'!Std9BillingInfo07, 11, 6, 1, 1)</f>
        <v>0</v>
      </c>
      <c r="I2550" s="187">
        <f ca="1">OFFSET('IWP23'!Std9BillingInfo07, 10, 8, 1, 1)</f>
        <v>0</v>
      </c>
      <c r="J2550" s="187">
        <f ca="1">OFFSET('IWP23'!Std9BillingInfo07, 10, 11, 1, 1)</f>
        <v>0</v>
      </c>
      <c r="K2550" s="187">
        <f ca="1">OFFSET('IWP23'!Std9BillingInfo07, 10, 12, 1, 1)</f>
        <v>0</v>
      </c>
      <c r="L2550" s="179">
        <f ca="1">OFFSET('IWP23'!Std9BillingInfo07, 12, 8, 1, 1)</f>
        <v>0</v>
      </c>
      <c r="M2550" s="129"/>
    </row>
    <row r="2551" spans="1:13" s="146" customFormat="1">
      <c r="A2551" s="183" t="s">
        <v>521</v>
      </c>
      <c r="B2551" s="196">
        <v>8</v>
      </c>
      <c r="C2551" s="195" t="str">
        <f ca="1">IF(OFFSET('IWP23'!Std9BillingInfo08, 0, 0, 1, 1) = 0, "", OFFSET('IWP23'!Std9BillingInfo08, 0, 0, 1, 1))</f>
        <v/>
      </c>
      <c r="D2551" s="172">
        <f ca="1">IF(OFFSET('IWP23'!Std9BillingInfo08, 0, 1, 1, 1)=DATE(1900,1,0), DATE(1900,1,1), OFFSET('IWP23'!Std9BillingInfo08, 0, 1, 1, 1))</f>
        <v>1</v>
      </c>
      <c r="E2551" s="172">
        <f ca="1">IF(OFFSET('IWP23'!Std9BillingInfo08, 0, 2, 1, 1)=DATE(1900,1,0), DATE(1900,1,1), OFFSET('IWP23'!Std9BillingInfo08, 0, 2, 1, 1))</f>
        <v>1</v>
      </c>
      <c r="F2551" s="187">
        <f ca="1">OFFSET('IWP23'!Std9BillingInfo08, 0, 3, 1, 1)</f>
        <v>0</v>
      </c>
      <c r="G2551" s="187">
        <f ca="1">OFFSET('IWP23'!Std9BillingInfo08, 10, 6, 1, 1)</f>
        <v>0</v>
      </c>
      <c r="H2551" s="187">
        <f ca="1">OFFSET('IWP23'!Std9BillingInfo08, 11, 6, 1, 1)</f>
        <v>0</v>
      </c>
      <c r="I2551" s="187">
        <f ca="1">OFFSET('IWP23'!Std9BillingInfo08, 10, 8, 1, 1)</f>
        <v>0</v>
      </c>
      <c r="J2551" s="187">
        <f ca="1">OFFSET('IWP23'!Std9BillingInfo08, 10, 11, 1, 1)</f>
        <v>0</v>
      </c>
      <c r="K2551" s="187">
        <f ca="1">OFFSET('IWP23'!Std9BillingInfo08, 10, 12, 1, 1)</f>
        <v>0</v>
      </c>
      <c r="L2551" s="179">
        <f ca="1">OFFSET('IWP23'!Std9BillingInfo08, 12, 8, 1, 1)</f>
        <v>0</v>
      </c>
      <c r="M2551" s="129"/>
    </row>
    <row r="2552" spans="1:13" s="146" customFormat="1">
      <c r="A2552" s="183" t="s">
        <v>521</v>
      </c>
      <c r="B2552" s="196">
        <v>9</v>
      </c>
      <c r="C2552" s="195" t="str">
        <f ca="1">IF(OFFSET('IWP23'!Std9BillingInfo09, 0, 0, 1, 1) = 0, "", OFFSET('IWP23'!Std9BillingInfo09, 0, 0, 1, 1))</f>
        <v/>
      </c>
      <c r="D2552" s="172">
        <f ca="1">IF(OFFSET('IWP23'!Std9BillingInfo09, 0, 1, 1, 1)=DATE(1900,1,0), DATE(1900,1,1), OFFSET('IWP23'!Std9BillingInfo09, 0, 1, 1, 1))</f>
        <v>1</v>
      </c>
      <c r="E2552" s="172">
        <f ca="1">IF(OFFSET('IWP23'!Std9BillingInfo09, 0, 2, 1, 1)=DATE(1900,1,0), DATE(1900,1,1), OFFSET('IWP23'!Std9BillingInfo09, 0, 2, 1, 1))</f>
        <v>1</v>
      </c>
      <c r="F2552" s="187">
        <f ca="1">OFFSET('IWP23'!Std9BillingInfo09, 0, 3, 1, 1)</f>
        <v>0</v>
      </c>
      <c r="G2552" s="187">
        <f ca="1">OFFSET('IWP23'!Std9BillingInfo09, 10, 6, 1, 1)</f>
        <v>0</v>
      </c>
      <c r="H2552" s="187">
        <f ca="1">OFFSET('IWP23'!Std9BillingInfo09, 11, 6, 1, 1)</f>
        <v>0</v>
      </c>
      <c r="I2552" s="187">
        <f ca="1">OFFSET('IWP23'!Std9BillingInfo09, 10, 8, 1, 1)</f>
        <v>0</v>
      </c>
      <c r="J2552" s="187">
        <f ca="1">OFFSET('IWP23'!Std9BillingInfo09, 10, 11, 1, 1)</f>
        <v>0</v>
      </c>
      <c r="K2552" s="187">
        <f ca="1">OFFSET('IWP23'!Std9BillingInfo09, 10, 12, 1, 1)</f>
        <v>0</v>
      </c>
      <c r="L2552" s="179">
        <f ca="1">OFFSET('IWP23'!Std9BillingInfo09, 12, 8, 1, 1)</f>
        <v>0</v>
      </c>
      <c r="M2552" s="129"/>
    </row>
    <row r="2553" spans="1:13" s="146" customFormat="1">
      <c r="A2553" s="183" t="s">
        <v>521</v>
      </c>
      <c r="B2553" s="196">
        <v>10</v>
      </c>
      <c r="C2553" s="195" t="str">
        <f ca="1">IF(OFFSET('IWP23'!Std9BillingInfo10, 0, 0, 1, 1) = 0, "", OFFSET('IWP23'!Std9BillingInfo10, 0, 0, 1, 1))</f>
        <v/>
      </c>
      <c r="D2553" s="172">
        <f ca="1">IF(OFFSET('IWP23'!Std9BillingInfo10, 0, 1, 1, 1)=DATE(1900,1,0), DATE(1900,1,1), OFFSET('IWP23'!Std9BillingInfo10, 0, 1, 1, 1))</f>
        <v>1</v>
      </c>
      <c r="E2553" s="172">
        <f ca="1">IF(OFFSET('IWP23'!Std9BillingInfo10, 0, 2, 1, 1)=DATE(1900,1,0), DATE(1900,1,1), OFFSET('IWP23'!Std9BillingInfo10, 0, 2, 1, 1))</f>
        <v>1</v>
      </c>
      <c r="F2553" s="187">
        <f ca="1">OFFSET('IWP23'!Std9BillingInfo10, 0, 3, 1, 1)</f>
        <v>0</v>
      </c>
      <c r="G2553" s="187">
        <f ca="1">OFFSET('IWP23'!Std9BillingInfo10, 10, 6, 1, 1)</f>
        <v>0</v>
      </c>
      <c r="H2553" s="187">
        <f ca="1">OFFSET('IWP23'!Std9BillingInfo10, 11, 6, 1, 1)</f>
        <v>0</v>
      </c>
      <c r="I2553" s="187">
        <f ca="1">OFFSET('IWP23'!Std9BillingInfo10, 10, 8, 1, 1)</f>
        <v>0</v>
      </c>
      <c r="J2553" s="187">
        <f ca="1">OFFSET('IWP23'!Std9BillingInfo10, 10, 11, 1, 1)</f>
        <v>0</v>
      </c>
      <c r="K2553" s="187">
        <f ca="1">OFFSET('IWP23'!Std9BillingInfo10, 10, 12, 1, 1)</f>
        <v>0</v>
      </c>
      <c r="L2553" s="179">
        <f ca="1">OFFSET('IWP23'!Std9BillingInfo10, 12, 8, 1, 1)</f>
        <v>0</v>
      </c>
      <c r="M2553" s="129"/>
    </row>
    <row r="2554" spans="1:13" s="146" customFormat="1">
      <c r="A2554" s="183" t="s">
        <v>521</v>
      </c>
      <c r="B2554" s="196">
        <v>11</v>
      </c>
      <c r="C2554" s="195" t="str">
        <f ca="1">IF(OFFSET('IWP23'!Std9BillingInfo11, 0, 0, 1, 1) = 0, "", OFFSET('IWP23'!Std9BillingInfo11, 0, 0, 1, 1))</f>
        <v/>
      </c>
      <c r="D2554" s="172">
        <f ca="1">IF(OFFSET('IWP23'!Std9BillingInfo11, 0, 1, 1, 1)=DATE(1900,1,0), DATE(1900,1,1), OFFSET('IWP23'!Std9BillingInfo11, 0, 1, 1, 1))</f>
        <v>1</v>
      </c>
      <c r="E2554" s="172">
        <f ca="1">IF(OFFSET('IWP23'!Std9BillingInfo11, 0, 2, 1, 1)=DATE(1900,1,0), DATE(1900,1,1), OFFSET('IWP23'!Std9BillingInfo11, 0, 2, 1, 1))</f>
        <v>1</v>
      </c>
      <c r="F2554" s="187">
        <f ca="1">OFFSET('IWP23'!Std9BillingInfo11, 0, 3, 1, 1)</f>
        <v>0</v>
      </c>
      <c r="G2554" s="187">
        <f ca="1">OFFSET('IWP23'!Std9BillingInfo11, 10, 6, 1, 1)</f>
        <v>0</v>
      </c>
      <c r="H2554" s="187">
        <f ca="1">OFFSET('IWP23'!Std9BillingInfo11, 11, 6, 1, 1)</f>
        <v>0</v>
      </c>
      <c r="I2554" s="187">
        <f ca="1">OFFSET('IWP23'!Std9BillingInfo11, 10, 8, 1, 1)</f>
        <v>0</v>
      </c>
      <c r="J2554" s="187">
        <f ca="1">OFFSET('IWP23'!Std9BillingInfo11, 10, 11, 1, 1)</f>
        <v>0</v>
      </c>
      <c r="K2554" s="187">
        <f ca="1">OFFSET('IWP23'!Std9BillingInfo11, 10, 12, 1, 1)</f>
        <v>0</v>
      </c>
      <c r="L2554" s="179">
        <f ca="1">OFFSET('IWP23'!Std9BillingInfo11, 12, 8, 1, 1)</f>
        <v>0</v>
      </c>
      <c r="M2554" s="129"/>
    </row>
    <row r="2555" spans="1:13" s="146" customFormat="1">
      <c r="A2555" s="183" t="s">
        <v>521</v>
      </c>
      <c r="B2555" s="196">
        <v>12</v>
      </c>
      <c r="C2555" s="195" t="str">
        <f ca="1">IF(OFFSET('IWP23'!Std9BillingInfo12, 0, 0, 1, 1) = 0, "", OFFSET('IWP23'!Std9BillingInfo12, 0, 0, 1, 1))</f>
        <v/>
      </c>
      <c r="D2555" s="172">
        <f ca="1">IF(OFFSET('IWP23'!Std9BillingInfo12, 0, 1, 1, 1)=DATE(1900,1,0), DATE(1900,1,1), OFFSET('IWP23'!Std9BillingInfo12, 0, 1, 1, 1))</f>
        <v>1</v>
      </c>
      <c r="E2555" s="172">
        <f ca="1">IF(OFFSET('IWP23'!Std9BillingInfo12, 0, 2, 1, 1)=DATE(1900,1,0), DATE(1900,1,1), OFFSET('IWP23'!Std9BillingInfo12, 0, 2, 1, 1))</f>
        <v>1</v>
      </c>
      <c r="F2555" s="187">
        <f ca="1">OFFSET('IWP23'!Std9BillingInfo12, 0, 3, 1, 1)</f>
        <v>0</v>
      </c>
      <c r="G2555" s="187">
        <f ca="1">OFFSET('IWP23'!Std9BillingInfo12, 10, 6, 1, 1)</f>
        <v>0</v>
      </c>
      <c r="H2555" s="187">
        <f ca="1">OFFSET('IWP23'!Std9BillingInfo12, 11, 6, 1, 1)</f>
        <v>0</v>
      </c>
      <c r="I2555" s="187">
        <f ca="1">OFFSET('IWP23'!Std9BillingInfo12, 10, 8, 1, 1)</f>
        <v>0</v>
      </c>
      <c r="J2555" s="187">
        <f ca="1">OFFSET('IWP23'!Std9BillingInfo12, 10, 11, 1, 1)</f>
        <v>0</v>
      </c>
      <c r="K2555" s="187">
        <f ca="1">OFFSET('IWP23'!Std9BillingInfo12, 10, 12, 1, 1)</f>
        <v>0</v>
      </c>
      <c r="L2555" s="179">
        <f ca="1">OFFSET('IWP23'!Std9BillingInfo12, 12, 8, 1, 1)</f>
        <v>0</v>
      </c>
      <c r="M2555" s="129"/>
    </row>
    <row r="2556" spans="1:13" s="146" customFormat="1">
      <c r="A2556" s="183" t="s">
        <v>521</v>
      </c>
      <c r="B2556" s="196">
        <v>13</v>
      </c>
      <c r="C2556" s="195" t="str">
        <f ca="1">IF(OFFSET('IWP23'!Std9BillingInfo13, 0, 0, 1, 1) = 0, "", OFFSET('IWP23'!Std9BillingInfo13, 0, 0, 1, 1))</f>
        <v/>
      </c>
      <c r="D2556" s="172">
        <f ca="1">IF(OFFSET('IWP23'!Std9BillingInfo13, 0, 1, 1, 1)=DATE(1900,1,0), DATE(1900,1,1), OFFSET('IWP23'!Std9BillingInfo13, 0, 1, 1, 1))</f>
        <v>1</v>
      </c>
      <c r="E2556" s="172">
        <f ca="1">IF(OFFSET('IWP23'!Std9BillingInfo13, 0, 2, 1, 1)=DATE(1900,1,0), DATE(1900,1,1), OFFSET('IWP23'!Std9BillingInfo13, 0, 2, 1, 1))</f>
        <v>1</v>
      </c>
      <c r="F2556" s="187">
        <f ca="1">OFFSET('IWP23'!Std9BillingInfo13, 0, 3, 1, 1)</f>
        <v>0</v>
      </c>
      <c r="G2556" s="187">
        <f ca="1">OFFSET('IWP23'!Std9BillingInfo13, 10, 6, 1, 1)</f>
        <v>0</v>
      </c>
      <c r="H2556" s="187">
        <f ca="1">OFFSET('IWP23'!Std9BillingInfo13, 11, 6, 1, 1)</f>
        <v>0</v>
      </c>
      <c r="I2556" s="187">
        <f ca="1">OFFSET('IWP23'!Std9BillingInfo13, 10, 8, 1, 1)</f>
        <v>0</v>
      </c>
      <c r="J2556" s="187">
        <f ca="1">OFFSET('IWP23'!Std9BillingInfo13, 10, 11, 1, 1)</f>
        <v>0</v>
      </c>
      <c r="K2556" s="187">
        <f ca="1">OFFSET('IWP23'!Std9BillingInfo13, 10, 12, 1, 1)</f>
        <v>0</v>
      </c>
      <c r="L2556" s="179">
        <f ca="1">OFFSET('IWP23'!Std9BillingInfo13, 12, 8, 1, 1)</f>
        <v>0</v>
      </c>
      <c r="M2556" s="129"/>
    </row>
    <row r="2557" spans="1:13" s="146" customFormat="1">
      <c r="A2557" s="183" t="s">
        <v>521</v>
      </c>
      <c r="B2557" s="196">
        <v>14</v>
      </c>
      <c r="C2557" s="195" t="str">
        <f ca="1">IF(OFFSET('IWP23'!Std9BillingInfo14, 0, 0, 1, 1) = 0, "", OFFSET('IWP23'!Std9BillingInfo14, 0, 0, 1, 1))</f>
        <v/>
      </c>
      <c r="D2557" s="172">
        <f ca="1">IF(OFFSET('IWP23'!Std9BillingInfo14, 0, 1, 1, 1)=DATE(1900,1,0), DATE(1900,1,1), OFFSET('IWP23'!Std9BillingInfo14, 0, 1, 1, 1))</f>
        <v>1</v>
      </c>
      <c r="E2557" s="172">
        <f ca="1">IF(OFFSET('IWP23'!Std9BillingInfo14, 0, 2, 1, 1)=DATE(1900,1,0), DATE(1900,1,1), OFFSET('IWP23'!Std9BillingInfo14, 0, 2, 1, 1))</f>
        <v>1</v>
      </c>
      <c r="F2557" s="187">
        <f ca="1">OFFSET('IWP23'!Std9BillingInfo14, 0, 3, 1, 1)</f>
        <v>0</v>
      </c>
      <c r="G2557" s="187">
        <f ca="1">OFFSET('IWP23'!Std9BillingInfo14, 10, 6, 1, 1)</f>
        <v>0</v>
      </c>
      <c r="H2557" s="187">
        <f ca="1">OFFSET('IWP23'!Std9BillingInfo14, 11, 6, 1, 1)</f>
        <v>0</v>
      </c>
      <c r="I2557" s="187">
        <f ca="1">OFFSET('IWP23'!Std9BillingInfo14, 10, 8, 1, 1)</f>
        <v>0</v>
      </c>
      <c r="J2557" s="187">
        <f ca="1">OFFSET('IWP23'!Std9BillingInfo14, 10, 11, 1, 1)</f>
        <v>0</v>
      </c>
      <c r="K2557" s="187">
        <f ca="1">OFFSET('IWP23'!Std9BillingInfo14, 10, 12, 1, 1)</f>
        <v>0</v>
      </c>
      <c r="L2557" s="179">
        <f ca="1">OFFSET('IWP23'!Std9BillingInfo14, 12, 8, 1, 1)</f>
        <v>0</v>
      </c>
      <c r="M2557" s="129"/>
    </row>
    <row r="2558" spans="1:13" s="146" customFormat="1">
      <c r="A2558" s="183" t="s">
        <v>521</v>
      </c>
      <c r="B2558" s="196">
        <v>15</v>
      </c>
      <c r="C2558" s="195" t="str">
        <f ca="1">IF(OFFSET('IWP23'!Std9BillingInfo15, 0, 0, 1, 1) = 0, "", OFFSET('IWP23'!Std9BillingInfo15, 0, 0, 1, 1))</f>
        <v/>
      </c>
      <c r="D2558" s="172">
        <f ca="1">IF(OFFSET('IWP23'!Std9BillingInfo15, 0, 1, 1, 1)=DATE(1900,1,0), DATE(1900,1,1), OFFSET('IWP23'!Std9BillingInfo15, 0, 1, 1, 1))</f>
        <v>1</v>
      </c>
      <c r="E2558" s="172">
        <f ca="1">IF(OFFSET('IWP23'!Std9BillingInfo15, 0, 2, 1, 1)=DATE(1900,1,0), DATE(1900,1,1), OFFSET('IWP23'!Std9BillingInfo15, 0, 2, 1, 1))</f>
        <v>1</v>
      </c>
      <c r="F2558" s="187">
        <f ca="1">OFFSET('IWP23'!Std9BillingInfo15, 0, 3, 1, 1)</f>
        <v>0</v>
      </c>
      <c r="G2558" s="187">
        <f ca="1">OFFSET('IWP23'!Std9BillingInfo15, 10, 6, 1, 1)</f>
        <v>0</v>
      </c>
      <c r="H2558" s="187">
        <f ca="1">OFFSET('IWP23'!Std9BillingInfo15, 11, 6, 1, 1)</f>
        <v>0</v>
      </c>
      <c r="I2558" s="187">
        <f ca="1">OFFSET('IWP23'!Std9BillingInfo15, 10, 8, 1, 1)</f>
        <v>0</v>
      </c>
      <c r="J2558" s="187">
        <f ca="1">OFFSET('IWP23'!Std9BillingInfo15, 10, 11, 1, 1)</f>
        <v>0</v>
      </c>
      <c r="K2558" s="187">
        <f ca="1">OFFSET('IWP23'!Std9BillingInfo15, 10, 12, 1, 1)</f>
        <v>0</v>
      </c>
      <c r="L2558" s="179">
        <f ca="1">OFFSET('IWP23'!Std9BillingInfo15, 12, 8, 1, 1)</f>
        <v>0</v>
      </c>
      <c r="M2558" s="129"/>
    </row>
    <row r="2559" spans="1:13" s="146" customFormat="1">
      <c r="A2559" s="183" t="s">
        <v>521</v>
      </c>
      <c r="B2559" s="196">
        <v>16</v>
      </c>
      <c r="C2559" s="195" t="str">
        <f ca="1">IF(OFFSET('IWP23'!Std9BillingInfo16, 0, 0, 1, 1) = 0, "", OFFSET('IWP23'!Std9BillingInfo16, 0, 0, 1, 1))</f>
        <v/>
      </c>
      <c r="D2559" s="172">
        <f ca="1">IF(OFFSET('IWP23'!Std9BillingInfo16, 0, 1, 1, 1)=DATE(1900,1,0), DATE(1900,1,1), OFFSET('IWP23'!Std9BillingInfo16, 0, 1, 1, 1))</f>
        <v>1</v>
      </c>
      <c r="E2559" s="172">
        <f ca="1">IF(OFFSET('IWP23'!Std9BillingInfo16, 0, 2, 1, 1)=DATE(1900,1,0), DATE(1900,1,1), OFFSET('IWP23'!Std9BillingInfo16, 0, 2, 1, 1))</f>
        <v>1</v>
      </c>
      <c r="F2559" s="187">
        <f ca="1">OFFSET('IWP23'!Std9BillingInfo16, 0, 3, 1, 1)</f>
        <v>0</v>
      </c>
      <c r="G2559" s="187">
        <f ca="1">OFFSET('IWP23'!Std9BillingInfo16, 10, 6, 1, 1)</f>
        <v>0</v>
      </c>
      <c r="H2559" s="187">
        <f ca="1">OFFSET('IWP23'!Std9BillingInfo16, 11, 6, 1, 1)</f>
        <v>0</v>
      </c>
      <c r="I2559" s="187">
        <f ca="1">OFFSET('IWP23'!Std9BillingInfo16, 10, 8, 1, 1)</f>
        <v>0</v>
      </c>
      <c r="J2559" s="187">
        <f ca="1">OFFSET('IWP23'!Std9BillingInfo16, 10, 11, 1, 1)</f>
        <v>0</v>
      </c>
      <c r="K2559" s="187">
        <f ca="1">OFFSET('IWP23'!Std9BillingInfo16, 10, 12, 1, 1)</f>
        <v>0</v>
      </c>
      <c r="L2559" s="179">
        <f ca="1">OFFSET('IWP23'!Std9BillingInfo16, 12, 8, 1, 1)</f>
        <v>0</v>
      </c>
      <c r="M2559" s="129"/>
    </row>
    <row r="2560" spans="1:13" s="146" customFormat="1">
      <c r="A2560" s="183" t="s">
        <v>521</v>
      </c>
      <c r="B2560" s="196">
        <v>17</v>
      </c>
      <c r="C2560" s="195" t="str">
        <f ca="1">IF(OFFSET('IWP23'!Std9BillingInfo17, 0, 0, 1, 1) = 0, "", OFFSET('IWP23'!Std9BillingInfo17, 0, 0, 1, 1))</f>
        <v/>
      </c>
      <c r="D2560" s="172">
        <f ca="1">IF(OFFSET('IWP23'!Std9BillingInfo17, 0, 1, 1, 1)=DATE(1900,1,0), DATE(1900,1,1), OFFSET('IWP23'!Std9BillingInfo17, 0, 1, 1, 1))</f>
        <v>1</v>
      </c>
      <c r="E2560" s="172">
        <f ca="1">IF(OFFSET('IWP23'!Std9BillingInfo17, 0, 2, 1, 1)=DATE(1900,1,0), DATE(1900,1,1), OFFSET('IWP23'!Std9BillingInfo17, 0, 2, 1, 1))</f>
        <v>1</v>
      </c>
      <c r="F2560" s="187">
        <f ca="1">OFFSET('IWP23'!Std9BillingInfo17, 0, 3, 1, 1)</f>
        <v>0</v>
      </c>
      <c r="G2560" s="187">
        <f ca="1">OFFSET('IWP23'!Std9BillingInfo17, 10, 6, 1, 1)</f>
        <v>0</v>
      </c>
      <c r="H2560" s="187">
        <f ca="1">OFFSET('IWP23'!Std9BillingInfo17, 11, 6, 1, 1)</f>
        <v>0</v>
      </c>
      <c r="I2560" s="187">
        <f ca="1">OFFSET('IWP23'!Std9BillingInfo17, 10, 8, 1, 1)</f>
        <v>0</v>
      </c>
      <c r="J2560" s="187">
        <f ca="1">OFFSET('IWP23'!Std9BillingInfo17, 10, 11, 1, 1)</f>
        <v>0</v>
      </c>
      <c r="K2560" s="187">
        <f ca="1">OFFSET('IWP23'!Std9BillingInfo17, 10, 12, 1, 1)</f>
        <v>0</v>
      </c>
      <c r="L2560" s="179">
        <f ca="1">OFFSET('IWP23'!Std9BillingInfo17, 12, 8, 1, 1)</f>
        <v>0</v>
      </c>
      <c r="M2560" s="129"/>
    </row>
    <row r="2561" spans="1:13" s="146" customFormat="1">
      <c r="A2561" s="183" t="s">
        <v>521</v>
      </c>
      <c r="B2561" s="196">
        <v>18</v>
      </c>
      <c r="C2561" s="195" t="str">
        <f ca="1">IF(OFFSET('IWP23'!Std9BillingInfo18, 0, 0, 1, 1) = 0, "", OFFSET('IWP23'!Std9BillingInfo18, 0, 0, 1, 1))</f>
        <v/>
      </c>
      <c r="D2561" s="172">
        <f ca="1">IF(OFFSET('IWP23'!Std9BillingInfo18, 0, 1, 1, 1)=DATE(1900,1,0), DATE(1900,1,1), OFFSET('IWP23'!Std9BillingInfo18, 0, 1, 1, 1))</f>
        <v>1</v>
      </c>
      <c r="E2561" s="172">
        <f ca="1">IF(OFFSET('IWP23'!Std9BillingInfo18, 0, 2, 1, 1)=DATE(1900,1,0), DATE(1900,1,1), OFFSET('IWP23'!Std9BillingInfo18, 0, 2, 1, 1))</f>
        <v>1</v>
      </c>
      <c r="F2561" s="187">
        <f ca="1">OFFSET('IWP23'!Std9BillingInfo18, 0, 3, 1, 1)</f>
        <v>0</v>
      </c>
      <c r="G2561" s="187">
        <f ca="1">OFFSET('IWP23'!Std9BillingInfo18, 10, 6, 1, 1)</f>
        <v>0</v>
      </c>
      <c r="H2561" s="187">
        <f ca="1">OFFSET('IWP23'!Std9BillingInfo18, 11, 6, 1, 1)</f>
        <v>0</v>
      </c>
      <c r="I2561" s="187">
        <f ca="1">OFFSET('IWP23'!Std9BillingInfo18, 10, 8, 1, 1)</f>
        <v>0</v>
      </c>
      <c r="J2561" s="187">
        <f ca="1">OFFSET('IWP23'!Std9BillingInfo18, 10, 11, 1, 1)</f>
        <v>0</v>
      </c>
      <c r="K2561" s="187">
        <f ca="1">OFFSET('IWP23'!Std9BillingInfo18, 10, 12, 1, 1)</f>
        <v>0</v>
      </c>
      <c r="L2561" s="179">
        <f ca="1">OFFSET('IWP23'!Std9BillingInfo18, 12, 8, 1, 1)</f>
        <v>0</v>
      </c>
      <c r="M2561" s="129"/>
    </row>
    <row r="2562" spans="1:13" s="146" customFormat="1">
      <c r="A2562" s="183" t="s">
        <v>522</v>
      </c>
      <c r="B2562" s="196">
        <v>1</v>
      </c>
      <c r="C2562" s="195" t="str">
        <f ca="1">IF(OFFSET('IWP24'!Std9BillingInfo01, 0, 0, 1, 1) = 0, "", OFFSET('IWP24'!Std9BillingInfo01, 0, 0, 1, 1))</f>
        <v/>
      </c>
      <c r="D2562" s="172">
        <f ca="1">IF(OFFSET('IWP24'!Std9BillingInfo01, 0, 1, 1, 1)=DATE(1900,1,0), DATE(1900,1,1), OFFSET('IWP24'!Std9BillingInfo01, 0, 1, 1, 1))</f>
        <v>1</v>
      </c>
      <c r="E2562" s="172">
        <f ca="1">IF(OFFSET('IWP24'!Std9BillingInfo01, 0, 2, 1, 1)=DATE(1900,1,0), DATE(1900,1,1), OFFSET('IWP24'!Std9BillingInfo01, 0, 2, 1, 1))</f>
        <v>1</v>
      </c>
      <c r="F2562" s="187">
        <f ca="1">OFFSET('IWP24'!Std9BillingInfo01, 0, 3, 1, 1)</f>
        <v>0</v>
      </c>
      <c r="G2562" s="187">
        <f ca="1">OFFSET('IWP24'!Std9BillingInfo01, 10, 6, 1, 1)</f>
        <v>0</v>
      </c>
      <c r="H2562" s="187">
        <f ca="1">OFFSET('IWP24'!Std9BillingInfo01, 11, 6, 1, 1)</f>
        <v>0</v>
      </c>
      <c r="I2562" s="187">
        <f ca="1">OFFSET('IWP24'!Std9BillingInfo01, 10, 8, 1, 1)</f>
        <v>0</v>
      </c>
      <c r="J2562" s="187">
        <f ca="1">OFFSET('IWP24'!Std9BillingInfo01, 10, 11, 1, 1)</f>
        <v>0</v>
      </c>
      <c r="K2562" s="187">
        <f ca="1">OFFSET('IWP24'!Std9BillingInfo01, 10, 12, 1, 1)</f>
        <v>0</v>
      </c>
      <c r="L2562" s="179">
        <f ca="1">OFFSET('IWP24'!Std9BillingInfo01, 12, 8, 1, 1)</f>
        <v>0</v>
      </c>
      <c r="M2562" s="129"/>
    </row>
    <row r="2563" spans="1:13" s="146" customFormat="1">
      <c r="A2563" s="183" t="s">
        <v>522</v>
      </c>
      <c r="B2563" s="196">
        <v>2</v>
      </c>
      <c r="C2563" s="195" t="str">
        <f ca="1">IF(OFFSET('IWP24'!Std9BillingInfo02, 0, 0, 1, 1) = 0, "", OFFSET('IWP24'!Std9BillingInfo02, 0, 0, 1, 1))</f>
        <v/>
      </c>
      <c r="D2563" s="172">
        <f ca="1">IF(OFFSET('IWP24'!Std9BillingInfo02, 0, 1, 1, 1)=DATE(1900,1,0), DATE(1900,1,1), OFFSET('IWP24'!Std9BillingInfo02, 0, 1, 1, 1))</f>
        <v>1</v>
      </c>
      <c r="E2563" s="172">
        <f ca="1">IF(OFFSET('IWP24'!Std9BillingInfo02, 0, 2, 1, 1)=DATE(1900,1,0), DATE(1900,1,1), OFFSET('IWP24'!Std9BillingInfo02, 0, 2, 1, 1))</f>
        <v>1</v>
      </c>
      <c r="F2563" s="187">
        <f ca="1">OFFSET('IWP24'!Std9BillingInfo02, 0, 3, 1, 1)</f>
        <v>0</v>
      </c>
      <c r="G2563" s="187">
        <f ca="1">OFFSET('IWP24'!Std9BillingInfo02, 10, 6, 1, 1)</f>
        <v>0</v>
      </c>
      <c r="H2563" s="187">
        <f ca="1">OFFSET('IWP24'!Std9BillingInfo02, 11, 6, 1, 1)</f>
        <v>0</v>
      </c>
      <c r="I2563" s="187">
        <f ca="1">OFFSET('IWP24'!Std9BillingInfo02, 10, 8, 1, 1)</f>
        <v>0</v>
      </c>
      <c r="J2563" s="187">
        <f ca="1">OFFSET('IWP24'!Std9BillingInfo02, 10, 11, 1, 1)</f>
        <v>0</v>
      </c>
      <c r="K2563" s="187">
        <f ca="1">OFFSET('IWP24'!Std9BillingInfo02, 10, 12, 1, 1)</f>
        <v>0</v>
      </c>
      <c r="L2563" s="179">
        <f ca="1">OFFSET('IWP24'!Std9BillingInfo02, 12, 8, 1, 1)</f>
        <v>0</v>
      </c>
      <c r="M2563" s="129"/>
    </row>
    <row r="2564" spans="1:13" s="146" customFormat="1">
      <c r="A2564" s="183" t="s">
        <v>522</v>
      </c>
      <c r="B2564" s="196">
        <v>3</v>
      </c>
      <c r="C2564" s="195" t="str">
        <f ca="1">IF(OFFSET('IWP24'!Std9BillingInfo03, 0, 0, 1, 1) = 0, "", OFFSET('IWP24'!Std9BillingInfo03, 0, 0, 1, 1))</f>
        <v/>
      </c>
      <c r="D2564" s="172">
        <f ca="1">IF(OFFSET('IWP24'!Std9BillingInfo03, 0, 1, 1, 1)=DATE(1900,1,0), DATE(1900,1,1), OFFSET('IWP24'!Std9BillingInfo03, 0, 1, 1, 1))</f>
        <v>1</v>
      </c>
      <c r="E2564" s="172">
        <f ca="1">IF(OFFSET('IWP24'!Std9BillingInfo03, 0, 2, 1, 1)=DATE(1900,1,0), DATE(1900,1,1), OFFSET('IWP24'!Std9BillingInfo03, 0, 2, 1, 1))</f>
        <v>1</v>
      </c>
      <c r="F2564" s="187">
        <f ca="1">OFFSET('IWP24'!Std9BillingInfo03, 0, 3, 1, 1)</f>
        <v>0</v>
      </c>
      <c r="G2564" s="187">
        <f ca="1">OFFSET('IWP24'!Std9BillingInfo03, 10, 6, 1, 1)</f>
        <v>0</v>
      </c>
      <c r="H2564" s="187">
        <f ca="1">OFFSET('IWP24'!Std9BillingInfo03, 11, 6, 1, 1)</f>
        <v>0</v>
      </c>
      <c r="I2564" s="187">
        <f ca="1">OFFSET('IWP24'!Std9BillingInfo03, 10, 8, 1, 1)</f>
        <v>0</v>
      </c>
      <c r="J2564" s="187">
        <f ca="1">OFFSET('IWP24'!Std9BillingInfo03, 10, 11, 1, 1)</f>
        <v>0</v>
      </c>
      <c r="K2564" s="187">
        <f ca="1">OFFSET('IWP24'!Std9BillingInfo03, 10, 12, 1, 1)</f>
        <v>0</v>
      </c>
      <c r="L2564" s="179">
        <f ca="1">OFFSET('IWP24'!Std9BillingInfo03, 12, 8, 1, 1)</f>
        <v>0</v>
      </c>
      <c r="M2564" s="129"/>
    </row>
    <row r="2565" spans="1:13" s="146" customFormat="1">
      <c r="A2565" s="183" t="s">
        <v>522</v>
      </c>
      <c r="B2565" s="196">
        <v>4</v>
      </c>
      <c r="C2565" s="195" t="str">
        <f ca="1">IF(OFFSET('IWP24'!Std9BillingInfo04, 0, 0, 1, 1) = 0, "", OFFSET('IWP24'!Std9BillingInfo04, 0, 0, 1, 1))</f>
        <v/>
      </c>
      <c r="D2565" s="172">
        <f ca="1">IF(OFFSET('IWP24'!Std9BillingInfo04, 0, 1, 1, 1)=DATE(1900,1,0), DATE(1900,1,1), OFFSET('IWP24'!Std9BillingInfo04, 0, 1, 1, 1))</f>
        <v>1</v>
      </c>
      <c r="E2565" s="172">
        <f ca="1">IF(OFFSET('IWP24'!Std9BillingInfo04, 0, 2, 1, 1)=DATE(1900,1,0), DATE(1900,1,1), OFFSET('IWP24'!Std9BillingInfo04, 0, 2, 1, 1))</f>
        <v>1</v>
      </c>
      <c r="F2565" s="187">
        <f ca="1">OFFSET('IWP24'!Std9BillingInfo04, 0, 3, 1, 1)</f>
        <v>0</v>
      </c>
      <c r="G2565" s="187">
        <f ca="1">OFFSET('IWP24'!Std9BillingInfo04, 10, 6, 1, 1)</f>
        <v>0</v>
      </c>
      <c r="H2565" s="187">
        <f ca="1">OFFSET('IWP24'!Std9BillingInfo04, 11, 6, 1, 1)</f>
        <v>0</v>
      </c>
      <c r="I2565" s="187">
        <f ca="1">OFFSET('IWP24'!Std9BillingInfo04, 10, 8, 1, 1)</f>
        <v>0</v>
      </c>
      <c r="J2565" s="187">
        <f ca="1">OFFSET('IWP24'!Std9BillingInfo04, 10, 11, 1, 1)</f>
        <v>0</v>
      </c>
      <c r="K2565" s="187">
        <f ca="1">OFFSET('IWP24'!Std9BillingInfo04, 10, 12, 1, 1)</f>
        <v>0</v>
      </c>
      <c r="L2565" s="179">
        <f ca="1">OFFSET('IWP24'!Std9BillingInfo04, 12, 8, 1, 1)</f>
        <v>0</v>
      </c>
      <c r="M2565" s="129"/>
    </row>
    <row r="2566" spans="1:13" s="146" customFormat="1">
      <c r="A2566" s="183" t="s">
        <v>522</v>
      </c>
      <c r="B2566" s="196">
        <v>5</v>
      </c>
      <c r="C2566" s="195" t="str">
        <f ca="1">IF(OFFSET('IWP24'!Std9BillingInfo05, 0, 0, 1, 1) = 0, "", OFFSET('IWP24'!Std9BillingInfo05, 0, 0, 1, 1))</f>
        <v/>
      </c>
      <c r="D2566" s="172">
        <f ca="1">IF(OFFSET('IWP24'!Std9BillingInfo05, 0, 1, 1, 1)=DATE(1900,1,0), DATE(1900,1,1), OFFSET('IWP24'!Std9BillingInfo05, 0, 1, 1, 1))</f>
        <v>1</v>
      </c>
      <c r="E2566" s="172">
        <f ca="1">IF(OFFSET('IWP24'!Std9BillingInfo05, 0, 2, 1, 1)=DATE(1900,1,0), DATE(1900,1,1), OFFSET('IWP24'!Std9BillingInfo05, 0, 2, 1, 1))</f>
        <v>1</v>
      </c>
      <c r="F2566" s="187">
        <f ca="1">OFFSET('IWP24'!Std9BillingInfo05, 0, 3, 1, 1)</f>
        <v>0</v>
      </c>
      <c r="G2566" s="187">
        <f ca="1">OFFSET('IWP24'!Std9BillingInfo05, 10, 6, 1, 1)</f>
        <v>0</v>
      </c>
      <c r="H2566" s="187">
        <f ca="1">OFFSET('IWP24'!Std9BillingInfo05, 11, 6, 1, 1)</f>
        <v>0</v>
      </c>
      <c r="I2566" s="187">
        <f ca="1">OFFSET('IWP24'!Std9BillingInfo05, 10, 8, 1, 1)</f>
        <v>0</v>
      </c>
      <c r="J2566" s="187">
        <f ca="1">OFFSET('IWP24'!Std9BillingInfo05, 10, 11, 1, 1)</f>
        <v>0</v>
      </c>
      <c r="K2566" s="187">
        <f ca="1">OFFSET('IWP24'!Std9BillingInfo05, 10, 12, 1, 1)</f>
        <v>0</v>
      </c>
      <c r="L2566" s="179">
        <f ca="1">OFFSET('IWP24'!Std9BillingInfo05, 12, 8, 1, 1)</f>
        <v>0</v>
      </c>
      <c r="M2566" s="129"/>
    </row>
    <row r="2567" spans="1:13" s="146" customFormat="1">
      <c r="A2567" s="183" t="s">
        <v>522</v>
      </c>
      <c r="B2567" s="196">
        <v>6</v>
      </c>
      <c r="C2567" s="195" t="str">
        <f ca="1">IF(OFFSET('IWP24'!Std9BillingInfo06, 0, 0, 1, 1) = 0, "", OFFSET('IWP24'!Std9BillingInfo06, 0, 0, 1, 1))</f>
        <v/>
      </c>
      <c r="D2567" s="172">
        <f ca="1">IF(OFFSET('IWP24'!Std9BillingInfo06, 0, 1, 1, 1)=DATE(1900,1,0), DATE(1900,1,1), OFFSET('IWP24'!Std9BillingInfo06, 0, 1, 1, 1))</f>
        <v>1</v>
      </c>
      <c r="E2567" s="172">
        <f ca="1">IF(OFFSET('IWP24'!Std9BillingInfo06, 0, 2, 1, 1)=DATE(1900,1,0), DATE(1900,1,1), OFFSET('IWP24'!Std9BillingInfo06, 0, 2, 1, 1))</f>
        <v>1</v>
      </c>
      <c r="F2567" s="187">
        <f ca="1">OFFSET('IWP24'!Std9BillingInfo06, 0, 3, 1, 1)</f>
        <v>0</v>
      </c>
      <c r="G2567" s="187">
        <f ca="1">OFFSET('IWP24'!Std9BillingInfo06, 10, 6, 1, 1)</f>
        <v>0</v>
      </c>
      <c r="H2567" s="187">
        <f ca="1">OFFSET('IWP24'!Std9BillingInfo06, 11, 6, 1, 1)</f>
        <v>0</v>
      </c>
      <c r="I2567" s="187">
        <f ca="1">OFFSET('IWP24'!Std9BillingInfo06, 10, 8, 1, 1)</f>
        <v>0</v>
      </c>
      <c r="J2567" s="187">
        <f ca="1">OFFSET('IWP24'!Std9BillingInfo06, 10, 11, 1, 1)</f>
        <v>0</v>
      </c>
      <c r="K2567" s="187">
        <f ca="1">OFFSET('IWP24'!Std9BillingInfo06, 10, 12, 1, 1)</f>
        <v>0</v>
      </c>
      <c r="L2567" s="179">
        <f ca="1">OFFSET('IWP24'!Std9BillingInfo06, 12, 8, 1, 1)</f>
        <v>0</v>
      </c>
      <c r="M2567" s="129"/>
    </row>
    <row r="2568" spans="1:13" s="146" customFormat="1">
      <c r="A2568" s="183" t="s">
        <v>522</v>
      </c>
      <c r="B2568" s="196">
        <v>7</v>
      </c>
      <c r="C2568" s="195" t="str">
        <f ca="1">IF(OFFSET('IWP24'!Std9BillingInfo07, 0, 0, 1, 1) = 0, "", OFFSET('IWP24'!Std9BillingInfo07, 0, 0, 1, 1))</f>
        <v/>
      </c>
      <c r="D2568" s="172">
        <f ca="1">IF(OFFSET('IWP24'!Std9BillingInfo07, 0, 1, 1, 1)=DATE(1900,1,0), DATE(1900,1,1), OFFSET('IWP24'!Std9BillingInfo07, 0, 1, 1, 1))</f>
        <v>1</v>
      </c>
      <c r="E2568" s="172">
        <f ca="1">IF(OFFSET('IWP24'!Std9BillingInfo07, 0, 2, 1, 1)=DATE(1900,1,0), DATE(1900,1,1), OFFSET('IWP24'!Std9BillingInfo07, 0, 2, 1, 1))</f>
        <v>1</v>
      </c>
      <c r="F2568" s="187">
        <f ca="1">OFFSET('IWP24'!Std9BillingInfo07, 0, 3, 1, 1)</f>
        <v>0</v>
      </c>
      <c r="G2568" s="187">
        <f ca="1">OFFSET('IWP24'!Std9BillingInfo07, 10, 6, 1, 1)</f>
        <v>0</v>
      </c>
      <c r="H2568" s="187">
        <f ca="1">OFFSET('IWP24'!Std9BillingInfo07, 11, 6, 1, 1)</f>
        <v>0</v>
      </c>
      <c r="I2568" s="187">
        <f ca="1">OFFSET('IWP24'!Std9BillingInfo07, 10, 8, 1, 1)</f>
        <v>0</v>
      </c>
      <c r="J2568" s="187">
        <f ca="1">OFFSET('IWP24'!Std9BillingInfo07, 10, 11, 1, 1)</f>
        <v>0</v>
      </c>
      <c r="K2568" s="187">
        <f ca="1">OFFSET('IWP24'!Std9BillingInfo07, 10, 12, 1, 1)</f>
        <v>0</v>
      </c>
      <c r="L2568" s="179">
        <f ca="1">OFFSET('IWP24'!Std9BillingInfo07, 12, 8, 1, 1)</f>
        <v>0</v>
      </c>
      <c r="M2568" s="129"/>
    </row>
    <row r="2569" spans="1:13" s="146" customFormat="1">
      <c r="A2569" s="183" t="s">
        <v>522</v>
      </c>
      <c r="B2569" s="196">
        <v>8</v>
      </c>
      <c r="C2569" s="195" t="str">
        <f ca="1">IF(OFFSET('IWP24'!Std9BillingInfo08, 0, 0, 1, 1) = 0, "", OFFSET('IWP24'!Std9BillingInfo08, 0, 0, 1, 1))</f>
        <v/>
      </c>
      <c r="D2569" s="172">
        <f ca="1">IF(OFFSET('IWP24'!Std9BillingInfo08, 0, 1, 1, 1)=DATE(1900,1,0), DATE(1900,1,1), OFFSET('IWP24'!Std9BillingInfo08, 0, 1, 1, 1))</f>
        <v>1</v>
      </c>
      <c r="E2569" s="172">
        <f ca="1">IF(OFFSET('IWP24'!Std9BillingInfo08, 0, 2, 1, 1)=DATE(1900,1,0), DATE(1900,1,1), OFFSET('IWP24'!Std9BillingInfo08, 0, 2, 1, 1))</f>
        <v>1</v>
      </c>
      <c r="F2569" s="187">
        <f ca="1">OFFSET('IWP24'!Std9BillingInfo08, 0, 3, 1, 1)</f>
        <v>0</v>
      </c>
      <c r="G2569" s="187">
        <f ca="1">OFFSET('IWP24'!Std9BillingInfo08, 10, 6, 1, 1)</f>
        <v>0</v>
      </c>
      <c r="H2569" s="187">
        <f ca="1">OFFSET('IWP24'!Std9BillingInfo08, 11, 6, 1, 1)</f>
        <v>0</v>
      </c>
      <c r="I2569" s="187">
        <f ca="1">OFFSET('IWP24'!Std9BillingInfo08, 10, 8, 1, 1)</f>
        <v>0</v>
      </c>
      <c r="J2569" s="187">
        <f ca="1">OFFSET('IWP24'!Std9BillingInfo08, 10, 11, 1, 1)</f>
        <v>0</v>
      </c>
      <c r="K2569" s="187">
        <f ca="1">OFFSET('IWP24'!Std9BillingInfo08, 10, 12, 1, 1)</f>
        <v>0</v>
      </c>
      <c r="L2569" s="179">
        <f ca="1">OFFSET('IWP24'!Std9BillingInfo08, 12, 8, 1, 1)</f>
        <v>0</v>
      </c>
      <c r="M2569" s="129"/>
    </row>
    <row r="2570" spans="1:13" s="146" customFormat="1">
      <c r="A2570" s="183" t="s">
        <v>522</v>
      </c>
      <c r="B2570" s="196">
        <v>9</v>
      </c>
      <c r="C2570" s="195" t="str">
        <f ca="1">IF(OFFSET('IWP24'!Std9BillingInfo09, 0, 0, 1, 1) = 0, "", OFFSET('IWP24'!Std9BillingInfo09, 0, 0, 1, 1))</f>
        <v/>
      </c>
      <c r="D2570" s="172">
        <f ca="1">IF(OFFSET('IWP24'!Std9BillingInfo09, 0, 1, 1, 1)=DATE(1900,1,0), DATE(1900,1,1), OFFSET('IWP24'!Std9BillingInfo09, 0, 1, 1, 1))</f>
        <v>1</v>
      </c>
      <c r="E2570" s="172">
        <f ca="1">IF(OFFSET('IWP24'!Std9BillingInfo09, 0, 2, 1, 1)=DATE(1900,1,0), DATE(1900,1,1), OFFSET('IWP24'!Std9BillingInfo09, 0, 2, 1, 1))</f>
        <v>1</v>
      </c>
      <c r="F2570" s="187">
        <f ca="1">OFFSET('IWP24'!Std9BillingInfo09, 0, 3, 1, 1)</f>
        <v>0</v>
      </c>
      <c r="G2570" s="187">
        <f ca="1">OFFSET('IWP24'!Std9BillingInfo09, 10, 6, 1, 1)</f>
        <v>0</v>
      </c>
      <c r="H2570" s="187">
        <f ca="1">OFFSET('IWP24'!Std9BillingInfo09, 11, 6, 1, 1)</f>
        <v>0</v>
      </c>
      <c r="I2570" s="187">
        <f ca="1">OFFSET('IWP24'!Std9BillingInfo09, 10, 8, 1, 1)</f>
        <v>0</v>
      </c>
      <c r="J2570" s="187">
        <f ca="1">OFFSET('IWP24'!Std9BillingInfo09, 10, 11, 1, 1)</f>
        <v>0</v>
      </c>
      <c r="K2570" s="187">
        <f ca="1">OFFSET('IWP24'!Std9BillingInfo09, 10, 12, 1, 1)</f>
        <v>0</v>
      </c>
      <c r="L2570" s="179">
        <f ca="1">OFFSET('IWP24'!Std9BillingInfo09, 12, 8, 1, 1)</f>
        <v>0</v>
      </c>
      <c r="M2570" s="129"/>
    </row>
    <row r="2571" spans="1:13" s="146" customFormat="1">
      <c r="A2571" s="183" t="s">
        <v>522</v>
      </c>
      <c r="B2571" s="196">
        <v>10</v>
      </c>
      <c r="C2571" s="195" t="str">
        <f ca="1">IF(OFFSET('IWP24'!Std9BillingInfo10, 0, 0, 1, 1) = 0, "", OFFSET('IWP24'!Std9BillingInfo10, 0, 0, 1, 1))</f>
        <v/>
      </c>
      <c r="D2571" s="172">
        <f ca="1">IF(OFFSET('IWP24'!Std9BillingInfo10, 0, 1, 1, 1)=DATE(1900,1,0), DATE(1900,1,1), OFFSET('IWP24'!Std9BillingInfo10, 0, 1, 1, 1))</f>
        <v>1</v>
      </c>
      <c r="E2571" s="172">
        <f ca="1">IF(OFFSET('IWP24'!Std9BillingInfo10, 0, 2, 1, 1)=DATE(1900,1,0), DATE(1900,1,1), OFFSET('IWP24'!Std9BillingInfo10, 0, 2, 1, 1))</f>
        <v>1</v>
      </c>
      <c r="F2571" s="187">
        <f ca="1">OFFSET('IWP24'!Std9BillingInfo10, 0, 3, 1, 1)</f>
        <v>0</v>
      </c>
      <c r="G2571" s="187">
        <f ca="1">OFFSET('IWP24'!Std9BillingInfo10, 10, 6, 1, 1)</f>
        <v>0</v>
      </c>
      <c r="H2571" s="187">
        <f ca="1">OFFSET('IWP24'!Std9BillingInfo10, 11, 6, 1, 1)</f>
        <v>0</v>
      </c>
      <c r="I2571" s="187">
        <f ca="1">OFFSET('IWP24'!Std9BillingInfo10, 10, 8, 1, 1)</f>
        <v>0</v>
      </c>
      <c r="J2571" s="187">
        <f ca="1">OFFSET('IWP24'!Std9BillingInfo10, 10, 11, 1, 1)</f>
        <v>0</v>
      </c>
      <c r="K2571" s="187">
        <f ca="1">OFFSET('IWP24'!Std9BillingInfo10, 10, 12, 1, 1)</f>
        <v>0</v>
      </c>
      <c r="L2571" s="179">
        <f ca="1">OFFSET('IWP24'!Std9BillingInfo10, 12, 8, 1, 1)</f>
        <v>0</v>
      </c>
      <c r="M2571" s="129"/>
    </row>
    <row r="2572" spans="1:13" s="146" customFormat="1">
      <c r="A2572" s="183" t="s">
        <v>522</v>
      </c>
      <c r="B2572" s="196">
        <v>11</v>
      </c>
      <c r="C2572" s="195" t="str">
        <f ca="1">IF(OFFSET('IWP24'!Std9BillingInfo11, 0, 0, 1, 1) = 0, "", OFFSET('IWP24'!Std9BillingInfo11, 0, 0, 1, 1))</f>
        <v/>
      </c>
      <c r="D2572" s="172">
        <f ca="1">IF(OFFSET('IWP24'!Std9BillingInfo11, 0, 1, 1, 1)=DATE(1900,1,0), DATE(1900,1,1), OFFSET('IWP24'!Std9BillingInfo11, 0, 1, 1, 1))</f>
        <v>1</v>
      </c>
      <c r="E2572" s="172">
        <f ca="1">IF(OFFSET('IWP24'!Std9BillingInfo11, 0, 2, 1, 1)=DATE(1900,1,0), DATE(1900,1,1), OFFSET('IWP24'!Std9BillingInfo11, 0, 2, 1, 1))</f>
        <v>1</v>
      </c>
      <c r="F2572" s="187">
        <f ca="1">OFFSET('IWP24'!Std9BillingInfo11, 0, 3, 1, 1)</f>
        <v>0</v>
      </c>
      <c r="G2572" s="187">
        <f ca="1">OFFSET('IWP24'!Std9BillingInfo11, 10, 6, 1, 1)</f>
        <v>0</v>
      </c>
      <c r="H2572" s="187">
        <f ca="1">OFFSET('IWP24'!Std9BillingInfo11, 11, 6, 1, 1)</f>
        <v>0</v>
      </c>
      <c r="I2572" s="187">
        <f ca="1">OFFSET('IWP24'!Std9BillingInfo11, 10, 8, 1, 1)</f>
        <v>0</v>
      </c>
      <c r="J2572" s="187">
        <f ca="1">OFFSET('IWP24'!Std9BillingInfo11, 10, 11, 1, 1)</f>
        <v>0</v>
      </c>
      <c r="K2572" s="187">
        <f ca="1">OFFSET('IWP24'!Std9BillingInfo11, 10, 12, 1, 1)</f>
        <v>0</v>
      </c>
      <c r="L2572" s="179">
        <f ca="1">OFFSET('IWP24'!Std9BillingInfo11, 12, 8, 1, 1)</f>
        <v>0</v>
      </c>
      <c r="M2572" s="129"/>
    </row>
    <row r="2573" spans="1:13" s="146" customFormat="1">
      <c r="A2573" s="183" t="s">
        <v>522</v>
      </c>
      <c r="B2573" s="196">
        <v>12</v>
      </c>
      <c r="C2573" s="195" t="str">
        <f ca="1">IF(OFFSET('IWP24'!Std9BillingInfo12, 0, 0, 1, 1) = 0, "", OFFSET('IWP24'!Std9BillingInfo12, 0, 0, 1, 1))</f>
        <v/>
      </c>
      <c r="D2573" s="172">
        <f ca="1">IF(OFFSET('IWP24'!Std9BillingInfo12, 0, 1, 1, 1)=DATE(1900,1,0), DATE(1900,1,1), OFFSET('IWP24'!Std9BillingInfo12, 0, 1, 1, 1))</f>
        <v>1</v>
      </c>
      <c r="E2573" s="172">
        <f ca="1">IF(OFFSET('IWP24'!Std9BillingInfo12, 0, 2, 1, 1)=DATE(1900,1,0), DATE(1900,1,1), OFFSET('IWP24'!Std9BillingInfo12, 0, 2, 1, 1))</f>
        <v>1</v>
      </c>
      <c r="F2573" s="187">
        <f ca="1">OFFSET('IWP24'!Std9BillingInfo12, 0, 3, 1, 1)</f>
        <v>0</v>
      </c>
      <c r="G2573" s="187">
        <f ca="1">OFFSET('IWP24'!Std9BillingInfo12, 10, 6, 1, 1)</f>
        <v>0</v>
      </c>
      <c r="H2573" s="187">
        <f ca="1">OFFSET('IWP24'!Std9BillingInfo12, 11, 6, 1, 1)</f>
        <v>0</v>
      </c>
      <c r="I2573" s="187">
        <f ca="1">OFFSET('IWP24'!Std9BillingInfo12, 10, 8, 1, 1)</f>
        <v>0</v>
      </c>
      <c r="J2573" s="187">
        <f ca="1">OFFSET('IWP24'!Std9BillingInfo12, 10, 11, 1, 1)</f>
        <v>0</v>
      </c>
      <c r="K2573" s="187">
        <f ca="1">OFFSET('IWP24'!Std9BillingInfo12, 10, 12, 1, 1)</f>
        <v>0</v>
      </c>
      <c r="L2573" s="179">
        <f ca="1">OFFSET('IWP24'!Std9BillingInfo12, 12, 8, 1, 1)</f>
        <v>0</v>
      </c>
      <c r="M2573" s="129"/>
    </row>
    <row r="2574" spans="1:13" s="146" customFormat="1">
      <c r="A2574" s="183" t="s">
        <v>522</v>
      </c>
      <c r="B2574" s="196">
        <v>13</v>
      </c>
      <c r="C2574" s="195" t="str">
        <f ca="1">IF(OFFSET('IWP24'!Std9BillingInfo13, 0, 0, 1, 1) = 0, "", OFFSET('IWP24'!Std9BillingInfo13, 0, 0, 1, 1))</f>
        <v/>
      </c>
      <c r="D2574" s="172">
        <f ca="1">IF(OFFSET('IWP24'!Std9BillingInfo13, 0, 1, 1, 1)=DATE(1900,1,0), DATE(1900,1,1), OFFSET('IWP24'!Std9BillingInfo13, 0, 1, 1, 1))</f>
        <v>1</v>
      </c>
      <c r="E2574" s="172">
        <f ca="1">IF(OFFSET('IWP24'!Std9BillingInfo13, 0, 2, 1, 1)=DATE(1900,1,0), DATE(1900,1,1), OFFSET('IWP24'!Std9BillingInfo13, 0, 2, 1, 1))</f>
        <v>1</v>
      </c>
      <c r="F2574" s="187">
        <f ca="1">OFFSET('IWP24'!Std9BillingInfo13, 0, 3, 1, 1)</f>
        <v>0</v>
      </c>
      <c r="G2574" s="187">
        <f ca="1">OFFSET('IWP24'!Std9BillingInfo13, 10, 6, 1, 1)</f>
        <v>0</v>
      </c>
      <c r="H2574" s="187">
        <f ca="1">OFFSET('IWP24'!Std9BillingInfo13, 11, 6, 1, 1)</f>
        <v>0</v>
      </c>
      <c r="I2574" s="187">
        <f ca="1">OFFSET('IWP24'!Std9BillingInfo13, 10, 8, 1, 1)</f>
        <v>0</v>
      </c>
      <c r="J2574" s="187">
        <f ca="1">OFFSET('IWP24'!Std9BillingInfo13, 10, 11, 1, 1)</f>
        <v>0</v>
      </c>
      <c r="K2574" s="187">
        <f ca="1">OFFSET('IWP24'!Std9BillingInfo13, 10, 12, 1, 1)</f>
        <v>0</v>
      </c>
      <c r="L2574" s="179">
        <f ca="1">OFFSET('IWP24'!Std9BillingInfo13, 12, 8, 1, 1)</f>
        <v>0</v>
      </c>
      <c r="M2574" s="129"/>
    </row>
    <row r="2575" spans="1:13" s="146" customFormat="1">
      <c r="A2575" s="183" t="s">
        <v>522</v>
      </c>
      <c r="B2575" s="196">
        <v>14</v>
      </c>
      <c r="C2575" s="195" t="str">
        <f ca="1">IF(OFFSET('IWP24'!Std9BillingInfo14, 0, 0, 1, 1) = 0, "", OFFSET('IWP24'!Std9BillingInfo14, 0, 0, 1, 1))</f>
        <v/>
      </c>
      <c r="D2575" s="172">
        <f ca="1">IF(OFFSET('IWP24'!Std9BillingInfo14, 0, 1, 1, 1)=DATE(1900,1,0), DATE(1900,1,1), OFFSET('IWP24'!Std9BillingInfo14, 0, 1, 1, 1))</f>
        <v>1</v>
      </c>
      <c r="E2575" s="172">
        <f ca="1">IF(OFFSET('IWP24'!Std9BillingInfo14, 0, 2, 1, 1)=DATE(1900,1,0), DATE(1900,1,1), OFFSET('IWP24'!Std9BillingInfo14, 0, 2, 1, 1))</f>
        <v>1</v>
      </c>
      <c r="F2575" s="187">
        <f ca="1">OFFSET('IWP24'!Std9BillingInfo14, 0, 3, 1, 1)</f>
        <v>0</v>
      </c>
      <c r="G2575" s="187">
        <f ca="1">OFFSET('IWP24'!Std9BillingInfo14, 10, 6, 1, 1)</f>
        <v>0</v>
      </c>
      <c r="H2575" s="187">
        <f ca="1">OFFSET('IWP24'!Std9BillingInfo14, 11, 6, 1, 1)</f>
        <v>0</v>
      </c>
      <c r="I2575" s="187">
        <f ca="1">OFFSET('IWP24'!Std9BillingInfo14, 10, 8, 1, 1)</f>
        <v>0</v>
      </c>
      <c r="J2575" s="187">
        <f ca="1">OFFSET('IWP24'!Std9BillingInfo14, 10, 11, 1, 1)</f>
        <v>0</v>
      </c>
      <c r="K2575" s="187">
        <f ca="1">OFFSET('IWP24'!Std9BillingInfo14, 10, 12, 1, 1)</f>
        <v>0</v>
      </c>
      <c r="L2575" s="179">
        <f ca="1">OFFSET('IWP24'!Std9BillingInfo14, 12, 8, 1, 1)</f>
        <v>0</v>
      </c>
      <c r="M2575" s="129"/>
    </row>
    <row r="2576" spans="1:13" s="146" customFormat="1">
      <c r="A2576" s="183" t="s">
        <v>522</v>
      </c>
      <c r="B2576" s="196">
        <v>15</v>
      </c>
      <c r="C2576" s="195" t="str">
        <f ca="1">IF(OFFSET('IWP24'!Std9BillingInfo15, 0, 0, 1, 1) = 0, "", OFFSET('IWP24'!Std9BillingInfo15, 0, 0, 1, 1))</f>
        <v/>
      </c>
      <c r="D2576" s="172">
        <f ca="1">IF(OFFSET('IWP24'!Std9BillingInfo15, 0, 1, 1, 1)=DATE(1900,1,0), DATE(1900,1,1), OFFSET('IWP24'!Std9BillingInfo15, 0, 1, 1, 1))</f>
        <v>1</v>
      </c>
      <c r="E2576" s="172">
        <f ca="1">IF(OFFSET('IWP24'!Std9BillingInfo15, 0, 2, 1, 1)=DATE(1900,1,0), DATE(1900,1,1), OFFSET('IWP24'!Std9BillingInfo15, 0, 2, 1, 1))</f>
        <v>1</v>
      </c>
      <c r="F2576" s="187">
        <f ca="1">OFFSET('IWP24'!Std9BillingInfo15, 0, 3, 1, 1)</f>
        <v>0</v>
      </c>
      <c r="G2576" s="187">
        <f ca="1">OFFSET('IWP24'!Std9BillingInfo15, 10, 6, 1, 1)</f>
        <v>0</v>
      </c>
      <c r="H2576" s="187">
        <f ca="1">OFFSET('IWP24'!Std9BillingInfo15, 11, 6, 1, 1)</f>
        <v>0</v>
      </c>
      <c r="I2576" s="187">
        <f ca="1">OFFSET('IWP24'!Std9BillingInfo15, 10, 8, 1, 1)</f>
        <v>0</v>
      </c>
      <c r="J2576" s="187">
        <f ca="1">OFFSET('IWP24'!Std9BillingInfo15, 10, 11, 1, 1)</f>
        <v>0</v>
      </c>
      <c r="K2576" s="187">
        <f ca="1">OFFSET('IWP24'!Std9BillingInfo15, 10, 12, 1, 1)</f>
        <v>0</v>
      </c>
      <c r="L2576" s="179">
        <f ca="1">OFFSET('IWP24'!Std9BillingInfo15, 12, 8, 1, 1)</f>
        <v>0</v>
      </c>
      <c r="M2576" s="129"/>
    </row>
    <row r="2577" spans="1:13" s="146" customFormat="1">
      <c r="A2577" s="183" t="s">
        <v>522</v>
      </c>
      <c r="B2577" s="196">
        <v>16</v>
      </c>
      <c r="C2577" s="195" t="str">
        <f ca="1">IF(OFFSET('IWP24'!Std9BillingInfo16, 0, 0, 1, 1) = 0, "", OFFSET('IWP24'!Std9BillingInfo16, 0, 0, 1, 1))</f>
        <v/>
      </c>
      <c r="D2577" s="172">
        <f ca="1">IF(OFFSET('IWP24'!Std9BillingInfo16, 0, 1, 1, 1)=DATE(1900,1,0), DATE(1900,1,1), OFFSET('IWP24'!Std9BillingInfo16, 0, 1, 1, 1))</f>
        <v>1</v>
      </c>
      <c r="E2577" s="172">
        <f ca="1">IF(OFFSET('IWP24'!Std9BillingInfo16, 0, 2, 1, 1)=DATE(1900,1,0), DATE(1900,1,1), OFFSET('IWP24'!Std9BillingInfo16, 0, 2, 1, 1))</f>
        <v>1</v>
      </c>
      <c r="F2577" s="187">
        <f ca="1">OFFSET('IWP24'!Std9BillingInfo16, 0, 3, 1, 1)</f>
        <v>0</v>
      </c>
      <c r="G2577" s="187">
        <f ca="1">OFFSET('IWP24'!Std9BillingInfo16, 10, 6, 1, 1)</f>
        <v>0</v>
      </c>
      <c r="H2577" s="187">
        <f ca="1">OFFSET('IWP24'!Std9BillingInfo16, 11, 6, 1, 1)</f>
        <v>0</v>
      </c>
      <c r="I2577" s="187">
        <f ca="1">OFFSET('IWP24'!Std9BillingInfo16, 10, 8, 1, 1)</f>
        <v>0</v>
      </c>
      <c r="J2577" s="187">
        <f ca="1">OFFSET('IWP24'!Std9BillingInfo16, 10, 11, 1, 1)</f>
        <v>0</v>
      </c>
      <c r="K2577" s="187">
        <f ca="1">OFFSET('IWP24'!Std9BillingInfo16, 10, 12, 1, 1)</f>
        <v>0</v>
      </c>
      <c r="L2577" s="179">
        <f ca="1">OFFSET('IWP24'!Std9BillingInfo16, 12, 8, 1, 1)</f>
        <v>0</v>
      </c>
      <c r="M2577" s="129"/>
    </row>
    <row r="2578" spans="1:13" s="146" customFormat="1">
      <c r="A2578" s="183" t="s">
        <v>522</v>
      </c>
      <c r="B2578" s="196">
        <v>17</v>
      </c>
      <c r="C2578" s="195" t="str">
        <f ca="1">IF(OFFSET('IWP24'!Std9BillingInfo17, 0, 0, 1, 1) = 0, "", OFFSET('IWP24'!Std9BillingInfo17, 0, 0, 1, 1))</f>
        <v/>
      </c>
      <c r="D2578" s="172">
        <f ca="1">IF(OFFSET('IWP24'!Std9BillingInfo17, 0, 1, 1, 1)=DATE(1900,1,0), DATE(1900,1,1), OFFSET('IWP24'!Std9BillingInfo17, 0, 1, 1, 1))</f>
        <v>1</v>
      </c>
      <c r="E2578" s="172">
        <f ca="1">IF(OFFSET('IWP24'!Std9BillingInfo17, 0, 2, 1, 1)=DATE(1900,1,0), DATE(1900,1,1), OFFSET('IWP24'!Std9BillingInfo17, 0, 2, 1, 1))</f>
        <v>1</v>
      </c>
      <c r="F2578" s="187">
        <f ca="1">OFFSET('IWP24'!Std9BillingInfo17, 0, 3, 1, 1)</f>
        <v>0</v>
      </c>
      <c r="G2578" s="187">
        <f ca="1">OFFSET('IWP24'!Std9BillingInfo17, 10, 6, 1, 1)</f>
        <v>0</v>
      </c>
      <c r="H2578" s="187">
        <f ca="1">OFFSET('IWP24'!Std9BillingInfo17, 11, 6, 1, 1)</f>
        <v>0</v>
      </c>
      <c r="I2578" s="187">
        <f ca="1">OFFSET('IWP24'!Std9BillingInfo17, 10, 8, 1, 1)</f>
        <v>0</v>
      </c>
      <c r="J2578" s="187">
        <f ca="1">OFFSET('IWP24'!Std9BillingInfo17, 10, 11, 1, 1)</f>
        <v>0</v>
      </c>
      <c r="K2578" s="187">
        <f ca="1">OFFSET('IWP24'!Std9BillingInfo17, 10, 12, 1, 1)</f>
        <v>0</v>
      </c>
      <c r="L2578" s="179">
        <f ca="1">OFFSET('IWP24'!Std9BillingInfo17, 12, 8, 1, 1)</f>
        <v>0</v>
      </c>
      <c r="M2578" s="129"/>
    </row>
    <row r="2579" spans="1:13" s="146" customFormat="1">
      <c r="A2579" s="183" t="s">
        <v>522</v>
      </c>
      <c r="B2579" s="196">
        <v>18</v>
      </c>
      <c r="C2579" s="195" t="str">
        <f ca="1">IF(OFFSET('IWP24'!Std9BillingInfo18, 0, 0, 1, 1) = 0, "", OFFSET('IWP24'!Std9BillingInfo18, 0, 0, 1, 1))</f>
        <v/>
      </c>
      <c r="D2579" s="172">
        <f ca="1">IF(OFFSET('IWP24'!Std9BillingInfo18, 0, 1, 1, 1)=DATE(1900,1,0), DATE(1900,1,1), OFFSET('IWP24'!Std9BillingInfo18, 0, 1, 1, 1))</f>
        <v>1</v>
      </c>
      <c r="E2579" s="172">
        <f ca="1">IF(OFFSET('IWP24'!Std9BillingInfo18, 0, 2, 1, 1)=DATE(1900,1,0), DATE(1900,1,1), OFFSET('IWP24'!Std9BillingInfo18, 0, 2, 1, 1))</f>
        <v>1</v>
      </c>
      <c r="F2579" s="187">
        <f ca="1">OFFSET('IWP24'!Std9BillingInfo18, 0, 3, 1, 1)</f>
        <v>0</v>
      </c>
      <c r="G2579" s="187">
        <f ca="1">OFFSET('IWP24'!Std9BillingInfo18, 10, 6, 1, 1)</f>
        <v>0</v>
      </c>
      <c r="H2579" s="187">
        <f ca="1">OFFSET('IWP24'!Std9BillingInfo18, 11, 6, 1, 1)</f>
        <v>0</v>
      </c>
      <c r="I2579" s="187">
        <f ca="1">OFFSET('IWP24'!Std9BillingInfo18, 10, 8, 1, 1)</f>
        <v>0</v>
      </c>
      <c r="J2579" s="187">
        <f ca="1">OFFSET('IWP24'!Std9BillingInfo18, 10, 11, 1, 1)</f>
        <v>0</v>
      </c>
      <c r="K2579" s="187">
        <f ca="1">OFFSET('IWP24'!Std9BillingInfo18, 10, 12, 1, 1)</f>
        <v>0</v>
      </c>
      <c r="L2579" s="179">
        <f ca="1">OFFSET('IWP24'!Std9BillingInfo18, 12, 8, 1, 1)</f>
        <v>0</v>
      </c>
      <c r="M2579" s="129"/>
    </row>
    <row r="2580" spans="1:13" s="146" customFormat="1">
      <c r="A2580" s="183" t="s">
        <v>523</v>
      </c>
      <c r="B2580" s="196">
        <v>1</v>
      </c>
      <c r="C2580" s="195" t="str">
        <f ca="1">IF(OFFSET('IWP25'!Std9BillingInfo01, 0, 0, 1, 1) = 0, "", OFFSET('IWP25'!Std9BillingInfo01, 0, 0, 1, 1))</f>
        <v/>
      </c>
      <c r="D2580" s="172">
        <f ca="1">IF(OFFSET('IWP25'!Std9BillingInfo01, 0, 1, 1, 1)=DATE(1900,1,0), DATE(1900,1,1), OFFSET('IWP25'!Std9BillingInfo01, 0, 1, 1, 1))</f>
        <v>1</v>
      </c>
      <c r="E2580" s="172">
        <f ca="1">IF(OFFSET('IWP25'!Std9BillingInfo01, 0, 2, 1, 1)=DATE(1900,1,0), DATE(1900,1,1), OFFSET('IWP25'!Std9BillingInfo01, 0, 2, 1, 1))</f>
        <v>1</v>
      </c>
      <c r="F2580" s="187">
        <f ca="1">OFFSET('IWP25'!Std9BillingInfo01, 0, 3, 1, 1)</f>
        <v>0</v>
      </c>
      <c r="G2580" s="187">
        <f ca="1">OFFSET('IWP25'!Std9BillingInfo01, 10, 6, 1, 1)</f>
        <v>0</v>
      </c>
      <c r="H2580" s="187">
        <f ca="1">OFFSET('IWP25'!Std9BillingInfo01, 11, 6, 1, 1)</f>
        <v>0</v>
      </c>
      <c r="I2580" s="187">
        <f ca="1">OFFSET('IWP25'!Std9BillingInfo01, 10, 8, 1, 1)</f>
        <v>0</v>
      </c>
      <c r="J2580" s="187">
        <f ca="1">OFFSET('IWP25'!Std9BillingInfo01, 10, 11, 1, 1)</f>
        <v>0</v>
      </c>
      <c r="K2580" s="187">
        <f ca="1">OFFSET('IWP25'!Std9BillingInfo01, 10, 12, 1, 1)</f>
        <v>0</v>
      </c>
      <c r="L2580" s="179">
        <f ca="1">OFFSET('IWP25'!Std9BillingInfo01, 12, 8, 1, 1)</f>
        <v>0</v>
      </c>
      <c r="M2580" s="129"/>
    </row>
    <row r="2581" spans="1:13" s="146" customFormat="1">
      <c r="A2581" s="183" t="s">
        <v>523</v>
      </c>
      <c r="B2581" s="196">
        <v>2</v>
      </c>
      <c r="C2581" s="195" t="str">
        <f ca="1">IF(OFFSET('IWP25'!Std9BillingInfo02, 0, 0, 1, 1) = 0, "", OFFSET('IWP25'!Std9BillingInfo02, 0, 0, 1, 1))</f>
        <v/>
      </c>
      <c r="D2581" s="172">
        <f ca="1">IF(OFFSET('IWP25'!Std9BillingInfo02, 0, 1, 1, 1)=DATE(1900,1,0), DATE(1900,1,1), OFFSET('IWP25'!Std9BillingInfo02, 0, 1, 1, 1))</f>
        <v>1</v>
      </c>
      <c r="E2581" s="172">
        <f ca="1">IF(OFFSET('IWP25'!Std9BillingInfo02, 0, 2, 1, 1)=DATE(1900,1,0), DATE(1900,1,1), OFFSET('IWP25'!Std9BillingInfo02, 0, 2, 1, 1))</f>
        <v>1</v>
      </c>
      <c r="F2581" s="187">
        <f ca="1">OFFSET('IWP25'!Std9BillingInfo02, 0, 3, 1, 1)</f>
        <v>0</v>
      </c>
      <c r="G2581" s="187">
        <f ca="1">OFFSET('IWP25'!Std9BillingInfo02, 10, 6, 1, 1)</f>
        <v>0</v>
      </c>
      <c r="H2581" s="187">
        <f ca="1">OFFSET('IWP25'!Std9BillingInfo02, 11, 6, 1, 1)</f>
        <v>0</v>
      </c>
      <c r="I2581" s="187">
        <f ca="1">OFFSET('IWP25'!Std9BillingInfo02, 10, 8, 1, 1)</f>
        <v>0</v>
      </c>
      <c r="J2581" s="187">
        <f ca="1">OFFSET('IWP25'!Std9BillingInfo02, 10, 11, 1, 1)</f>
        <v>0</v>
      </c>
      <c r="K2581" s="187">
        <f ca="1">OFFSET('IWP25'!Std9BillingInfo02, 10, 12, 1, 1)</f>
        <v>0</v>
      </c>
      <c r="L2581" s="179">
        <f ca="1">OFFSET('IWP25'!Std9BillingInfo02, 12, 8, 1, 1)</f>
        <v>0</v>
      </c>
      <c r="M2581" s="129"/>
    </row>
    <row r="2582" spans="1:13" s="146" customFormat="1">
      <c r="A2582" s="183" t="s">
        <v>523</v>
      </c>
      <c r="B2582" s="196">
        <v>3</v>
      </c>
      <c r="C2582" s="195" t="str">
        <f ca="1">IF(OFFSET('IWP25'!Std9BillingInfo03, 0, 0, 1, 1) = 0, "", OFFSET('IWP25'!Std9BillingInfo03, 0, 0, 1, 1))</f>
        <v/>
      </c>
      <c r="D2582" s="172">
        <f ca="1">IF(OFFSET('IWP25'!Std9BillingInfo03, 0, 1, 1, 1)=DATE(1900,1,0), DATE(1900,1,1), OFFSET('IWP25'!Std9BillingInfo03, 0, 1, 1, 1))</f>
        <v>1</v>
      </c>
      <c r="E2582" s="172">
        <f ca="1">IF(OFFSET('IWP25'!Std9BillingInfo03, 0, 2, 1, 1)=DATE(1900,1,0), DATE(1900,1,1), OFFSET('IWP25'!Std9BillingInfo03, 0, 2, 1, 1))</f>
        <v>1</v>
      </c>
      <c r="F2582" s="187">
        <f ca="1">OFFSET('IWP25'!Std9BillingInfo03, 0, 3, 1, 1)</f>
        <v>0</v>
      </c>
      <c r="G2582" s="187">
        <f ca="1">OFFSET('IWP25'!Std9BillingInfo03, 10, 6, 1, 1)</f>
        <v>0</v>
      </c>
      <c r="H2582" s="187">
        <f ca="1">OFFSET('IWP25'!Std9BillingInfo03, 11, 6, 1, 1)</f>
        <v>0</v>
      </c>
      <c r="I2582" s="187">
        <f ca="1">OFFSET('IWP25'!Std9BillingInfo03, 10, 8, 1, 1)</f>
        <v>0</v>
      </c>
      <c r="J2582" s="187">
        <f ca="1">OFFSET('IWP25'!Std9BillingInfo03, 10, 11, 1, 1)</f>
        <v>0</v>
      </c>
      <c r="K2582" s="187">
        <f ca="1">OFFSET('IWP25'!Std9BillingInfo03, 10, 12, 1, 1)</f>
        <v>0</v>
      </c>
      <c r="L2582" s="179">
        <f ca="1">OFFSET('IWP25'!Std9BillingInfo03, 12, 8, 1, 1)</f>
        <v>0</v>
      </c>
      <c r="M2582" s="129"/>
    </row>
    <row r="2583" spans="1:13" s="146" customFormat="1">
      <c r="A2583" s="183" t="s">
        <v>523</v>
      </c>
      <c r="B2583" s="196">
        <v>4</v>
      </c>
      <c r="C2583" s="195" t="str">
        <f ca="1">IF(OFFSET('IWP25'!Std9BillingInfo04, 0, 0, 1, 1) = 0, "", OFFSET('IWP25'!Std9BillingInfo04, 0, 0, 1, 1))</f>
        <v/>
      </c>
      <c r="D2583" s="172">
        <f ca="1">IF(OFFSET('IWP25'!Std9BillingInfo04, 0, 1, 1, 1)=DATE(1900,1,0), DATE(1900,1,1), OFFSET('IWP25'!Std9BillingInfo04, 0, 1, 1, 1))</f>
        <v>1</v>
      </c>
      <c r="E2583" s="172">
        <f ca="1">IF(OFFSET('IWP25'!Std9BillingInfo04, 0, 2, 1, 1)=DATE(1900,1,0), DATE(1900,1,1), OFFSET('IWP25'!Std9BillingInfo04, 0, 2, 1, 1))</f>
        <v>1</v>
      </c>
      <c r="F2583" s="187">
        <f ca="1">OFFSET('IWP25'!Std9BillingInfo04, 0, 3, 1, 1)</f>
        <v>0</v>
      </c>
      <c r="G2583" s="187">
        <f ca="1">OFFSET('IWP25'!Std9BillingInfo04, 10, 6, 1, 1)</f>
        <v>0</v>
      </c>
      <c r="H2583" s="187">
        <f ca="1">OFFSET('IWP25'!Std9BillingInfo04, 11, 6, 1, 1)</f>
        <v>0</v>
      </c>
      <c r="I2583" s="187">
        <f ca="1">OFFSET('IWP25'!Std9BillingInfo04, 10, 8, 1, 1)</f>
        <v>0</v>
      </c>
      <c r="J2583" s="187">
        <f ca="1">OFFSET('IWP25'!Std9BillingInfo04, 10, 11, 1, 1)</f>
        <v>0</v>
      </c>
      <c r="K2583" s="187">
        <f ca="1">OFFSET('IWP25'!Std9BillingInfo04, 10, 12, 1, 1)</f>
        <v>0</v>
      </c>
      <c r="L2583" s="179">
        <f ca="1">OFFSET('IWP25'!Std9BillingInfo04, 12, 8, 1, 1)</f>
        <v>0</v>
      </c>
      <c r="M2583" s="129"/>
    </row>
    <row r="2584" spans="1:13" s="146" customFormat="1">
      <c r="A2584" s="183" t="s">
        <v>523</v>
      </c>
      <c r="B2584" s="196">
        <v>5</v>
      </c>
      <c r="C2584" s="195" t="str">
        <f ca="1">IF(OFFSET('IWP25'!Std9BillingInfo05, 0, 0, 1, 1) = 0, "", OFFSET('IWP25'!Std9BillingInfo05, 0, 0, 1, 1))</f>
        <v/>
      </c>
      <c r="D2584" s="172">
        <f ca="1">IF(OFFSET('IWP25'!Std9BillingInfo05, 0, 1, 1, 1)=DATE(1900,1,0), DATE(1900,1,1), OFFSET('IWP25'!Std9BillingInfo05, 0, 1, 1, 1))</f>
        <v>1</v>
      </c>
      <c r="E2584" s="172">
        <f ca="1">IF(OFFSET('IWP25'!Std9BillingInfo05, 0, 2, 1, 1)=DATE(1900,1,0), DATE(1900,1,1), OFFSET('IWP25'!Std9BillingInfo05, 0, 2, 1, 1))</f>
        <v>1</v>
      </c>
      <c r="F2584" s="187">
        <f ca="1">OFFSET('IWP25'!Std9BillingInfo05, 0, 3, 1, 1)</f>
        <v>0</v>
      </c>
      <c r="G2584" s="187">
        <f ca="1">OFFSET('IWP25'!Std9BillingInfo05, 10, 6, 1, 1)</f>
        <v>0</v>
      </c>
      <c r="H2584" s="187">
        <f ca="1">OFFSET('IWP25'!Std9BillingInfo05, 11, 6, 1, 1)</f>
        <v>0</v>
      </c>
      <c r="I2584" s="187">
        <f ca="1">OFFSET('IWP25'!Std9BillingInfo05, 10, 8, 1, 1)</f>
        <v>0</v>
      </c>
      <c r="J2584" s="187">
        <f ca="1">OFFSET('IWP25'!Std9BillingInfo05, 10, 11, 1, 1)</f>
        <v>0</v>
      </c>
      <c r="K2584" s="187">
        <f ca="1">OFFSET('IWP25'!Std9BillingInfo05, 10, 12, 1, 1)</f>
        <v>0</v>
      </c>
      <c r="L2584" s="179">
        <f ca="1">OFFSET('IWP25'!Std9BillingInfo05, 12, 8, 1, 1)</f>
        <v>0</v>
      </c>
      <c r="M2584" s="129"/>
    </row>
    <row r="2585" spans="1:13" s="146" customFormat="1">
      <c r="A2585" s="183" t="s">
        <v>523</v>
      </c>
      <c r="B2585" s="196">
        <v>6</v>
      </c>
      <c r="C2585" s="195" t="str">
        <f ca="1">IF(OFFSET('IWP25'!Std9BillingInfo06, 0, 0, 1, 1) = 0, "", OFFSET('IWP25'!Std9BillingInfo06, 0, 0, 1, 1))</f>
        <v/>
      </c>
      <c r="D2585" s="172">
        <f ca="1">IF(OFFSET('IWP25'!Std9BillingInfo06, 0, 1, 1, 1)=DATE(1900,1,0), DATE(1900,1,1), OFFSET('IWP25'!Std9BillingInfo06, 0, 1, 1, 1))</f>
        <v>1</v>
      </c>
      <c r="E2585" s="172">
        <f ca="1">IF(OFFSET('IWP25'!Std9BillingInfo06, 0, 2, 1, 1)=DATE(1900,1,0), DATE(1900,1,1), OFFSET('IWP25'!Std9BillingInfo06, 0, 2, 1, 1))</f>
        <v>1</v>
      </c>
      <c r="F2585" s="187">
        <f ca="1">OFFSET('IWP25'!Std9BillingInfo06, 0, 3, 1, 1)</f>
        <v>0</v>
      </c>
      <c r="G2585" s="187">
        <f ca="1">OFFSET('IWP25'!Std9BillingInfo06, 10, 6, 1, 1)</f>
        <v>0</v>
      </c>
      <c r="H2585" s="187">
        <f ca="1">OFFSET('IWP25'!Std9BillingInfo06, 11, 6, 1, 1)</f>
        <v>0</v>
      </c>
      <c r="I2585" s="187">
        <f ca="1">OFFSET('IWP25'!Std9BillingInfo06, 10, 8, 1, 1)</f>
        <v>0</v>
      </c>
      <c r="J2585" s="187">
        <f ca="1">OFFSET('IWP25'!Std9BillingInfo06, 10, 11, 1, 1)</f>
        <v>0</v>
      </c>
      <c r="K2585" s="187">
        <f ca="1">OFFSET('IWP25'!Std9BillingInfo06, 10, 12, 1, 1)</f>
        <v>0</v>
      </c>
      <c r="L2585" s="179">
        <f ca="1">OFFSET('IWP25'!Std9BillingInfo06, 12, 8, 1, 1)</f>
        <v>0</v>
      </c>
      <c r="M2585" s="129"/>
    </row>
    <row r="2586" spans="1:13" s="146" customFormat="1">
      <c r="A2586" s="183" t="s">
        <v>523</v>
      </c>
      <c r="B2586" s="196">
        <v>7</v>
      </c>
      <c r="C2586" s="195" t="str">
        <f ca="1">IF(OFFSET('IWP25'!Std9BillingInfo07, 0, 0, 1, 1) = 0, "", OFFSET('IWP25'!Std9BillingInfo07, 0, 0, 1, 1))</f>
        <v/>
      </c>
      <c r="D2586" s="172">
        <f ca="1">IF(OFFSET('IWP25'!Std9BillingInfo07, 0, 1, 1, 1)=DATE(1900,1,0), DATE(1900,1,1), OFFSET('IWP25'!Std9BillingInfo07, 0, 1, 1, 1))</f>
        <v>1</v>
      </c>
      <c r="E2586" s="172">
        <f ca="1">IF(OFFSET('IWP25'!Std9BillingInfo07, 0, 2, 1, 1)=DATE(1900,1,0), DATE(1900,1,1), OFFSET('IWP25'!Std9BillingInfo07, 0, 2, 1, 1))</f>
        <v>1</v>
      </c>
      <c r="F2586" s="187">
        <f ca="1">OFFSET('IWP25'!Std9BillingInfo07, 0, 3, 1, 1)</f>
        <v>0</v>
      </c>
      <c r="G2586" s="187">
        <f ca="1">OFFSET('IWP25'!Std9BillingInfo07, 10, 6, 1, 1)</f>
        <v>0</v>
      </c>
      <c r="H2586" s="187">
        <f ca="1">OFFSET('IWP25'!Std9BillingInfo07, 11, 6, 1, 1)</f>
        <v>0</v>
      </c>
      <c r="I2586" s="187">
        <f ca="1">OFFSET('IWP25'!Std9BillingInfo07, 10, 8, 1, 1)</f>
        <v>0</v>
      </c>
      <c r="J2586" s="187">
        <f ca="1">OFFSET('IWP25'!Std9BillingInfo07, 10, 11, 1, 1)</f>
        <v>0</v>
      </c>
      <c r="K2586" s="187">
        <f ca="1">OFFSET('IWP25'!Std9BillingInfo07, 10, 12, 1, 1)</f>
        <v>0</v>
      </c>
      <c r="L2586" s="179">
        <f ca="1">OFFSET('IWP25'!Std9BillingInfo07, 12, 8, 1, 1)</f>
        <v>0</v>
      </c>
      <c r="M2586" s="129"/>
    </row>
    <row r="2587" spans="1:13" s="146" customFormat="1">
      <c r="A2587" s="183" t="s">
        <v>523</v>
      </c>
      <c r="B2587" s="196">
        <v>8</v>
      </c>
      <c r="C2587" s="195" t="str">
        <f ca="1">IF(OFFSET('IWP25'!Std9BillingInfo08, 0, 0, 1, 1) = 0, "", OFFSET('IWP25'!Std9BillingInfo08, 0, 0, 1, 1))</f>
        <v/>
      </c>
      <c r="D2587" s="172">
        <f ca="1">IF(OFFSET('IWP25'!Std9BillingInfo08, 0, 1, 1, 1)=DATE(1900,1,0), DATE(1900,1,1), OFFSET('IWP25'!Std9BillingInfo08, 0, 1, 1, 1))</f>
        <v>1</v>
      </c>
      <c r="E2587" s="172">
        <f ca="1">IF(OFFSET('IWP25'!Std9BillingInfo08, 0, 2, 1, 1)=DATE(1900,1,0), DATE(1900,1,1), OFFSET('IWP25'!Std9BillingInfo08, 0, 2, 1, 1))</f>
        <v>1</v>
      </c>
      <c r="F2587" s="187">
        <f ca="1">OFFSET('IWP25'!Std9BillingInfo08, 0, 3, 1, 1)</f>
        <v>0</v>
      </c>
      <c r="G2587" s="187">
        <f ca="1">OFFSET('IWP25'!Std9BillingInfo08, 10, 6, 1, 1)</f>
        <v>0</v>
      </c>
      <c r="H2587" s="187">
        <f ca="1">OFFSET('IWP25'!Std9BillingInfo08, 11, 6, 1, 1)</f>
        <v>0</v>
      </c>
      <c r="I2587" s="187">
        <f ca="1">OFFSET('IWP25'!Std9BillingInfo08, 10, 8, 1, 1)</f>
        <v>0</v>
      </c>
      <c r="J2587" s="187">
        <f ca="1">OFFSET('IWP25'!Std9BillingInfo08, 10, 11, 1, 1)</f>
        <v>0</v>
      </c>
      <c r="K2587" s="187">
        <f ca="1">OFFSET('IWP25'!Std9BillingInfo08, 10, 12, 1, 1)</f>
        <v>0</v>
      </c>
      <c r="L2587" s="179">
        <f ca="1">OFFSET('IWP25'!Std9BillingInfo08, 12, 8, 1, 1)</f>
        <v>0</v>
      </c>
      <c r="M2587" s="129"/>
    </row>
    <row r="2588" spans="1:13" s="146" customFormat="1">
      <c r="A2588" s="183" t="s">
        <v>523</v>
      </c>
      <c r="B2588" s="196">
        <v>9</v>
      </c>
      <c r="C2588" s="195" t="str">
        <f ca="1">IF(OFFSET('IWP25'!Std9BillingInfo09, 0, 0, 1, 1) = 0, "", OFFSET('IWP25'!Std9BillingInfo09, 0, 0, 1, 1))</f>
        <v/>
      </c>
      <c r="D2588" s="172">
        <f ca="1">IF(OFFSET('IWP25'!Std9BillingInfo09, 0, 1, 1, 1)=DATE(1900,1,0), DATE(1900,1,1), OFFSET('IWP25'!Std9BillingInfo09, 0, 1, 1, 1))</f>
        <v>1</v>
      </c>
      <c r="E2588" s="172">
        <f ca="1">IF(OFFSET('IWP25'!Std9BillingInfo09, 0, 2, 1, 1)=DATE(1900,1,0), DATE(1900,1,1), OFFSET('IWP25'!Std9BillingInfo09, 0, 2, 1, 1))</f>
        <v>1</v>
      </c>
      <c r="F2588" s="187">
        <f ca="1">OFFSET('IWP25'!Std9BillingInfo09, 0, 3, 1, 1)</f>
        <v>0</v>
      </c>
      <c r="G2588" s="187">
        <f ca="1">OFFSET('IWP25'!Std9BillingInfo09, 10, 6, 1, 1)</f>
        <v>0</v>
      </c>
      <c r="H2588" s="187">
        <f ca="1">OFFSET('IWP25'!Std9BillingInfo09, 11, 6, 1, 1)</f>
        <v>0</v>
      </c>
      <c r="I2588" s="187">
        <f ca="1">OFFSET('IWP25'!Std9BillingInfo09, 10, 8, 1, 1)</f>
        <v>0</v>
      </c>
      <c r="J2588" s="187">
        <f ca="1">OFFSET('IWP25'!Std9BillingInfo09, 10, 11, 1, 1)</f>
        <v>0</v>
      </c>
      <c r="K2588" s="187">
        <f ca="1">OFFSET('IWP25'!Std9BillingInfo09, 10, 12, 1, 1)</f>
        <v>0</v>
      </c>
      <c r="L2588" s="179">
        <f ca="1">OFFSET('IWP25'!Std9BillingInfo09, 12, 8, 1, 1)</f>
        <v>0</v>
      </c>
      <c r="M2588" s="129"/>
    </row>
    <row r="2589" spans="1:13" s="146" customFormat="1">
      <c r="A2589" s="183" t="s">
        <v>523</v>
      </c>
      <c r="B2589" s="196">
        <v>10</v>
      </c>
      <c r="C2589" s="195" t="str">
        <f ca="1">IF(OFFSET('IWP25'!Std9BillingInfo10, 0, 0, 1, 1) = 0, "", OFFSET('IWP25'!Std9BillingInfo10, 0, 0, 1, 1))</f>
        <v/>
      </c>
      <c r="D2589" s="172">
        <f ca="1">IF(OFFSET('IWP25'!Std9BillingInfo10, 0, 1, 1, 1)=DATE(1900,1,0), DATE(1900,1,1), OFFSET('IWP25'!Std9BillingInfo10, 0, 1, 1, 1))</f>
        <v>1</v>
      </c>
      <c r="E2589" s="172">
        <f ca="1">IF(OFFSET('IWP25'!Std9BillingInfo10, 0, 2, 1, 1)=DATE(1900,1,0), DATE(1900,1,1), OFFSET('IWP25'!Std9BillingInfo10, 0, 2, 1, 1))</f>
        <v>1</v>
      </c>
      <c r="F2589" s="187">
        <f ca="1">OFFSET('IWP25'!Std9BillingInfo10, 0, 3, 1, 1)</f>
        <v>0</v>
      </c>
      <c r="G2589" s="187">
        <f ca="1">OFFSET('IWP25'!Std9BillingInfo10, 10, 6, 1, 1)</f>
        <v>0</v>
      </c>
      <c r="H2589" s="187">
        <f ca="1">OFFSET('IWP25'!Std9BillingInfo10, 11, 6, 1, 1)</f>
        <v>0</v>
      </c>
      <c r="I2589" s="187">
        <f ca="1">OFFSET('IWP25'!Std9BillingInfo10, 10, 8, 1, 1)</f>
        <v>0</v>
      </c>
      <c r="J2589" s="187">
        <f ca="1">OFFSET('IWP25'!Std9BillingInfo10, 10, 11, 1, 1)</f>
        <v>0</v>
      </c>
      <c r="K2589" s="187">
        <f ca="1">OFFSET('IWP25'!Std9BillingInfo10, 10, 12, 1, 1)</f>
        <v>0</v>
      </c>
      <c r="L2589" s="179">
        <f ca="1">OFFSET('IWP25'!Std9BillingInfo10, 12, 8, 1, 1)</f>
        <v>0</v>
      </c>
      <c r="M2589" s="129"/>
    </row>
    <row r="2590" spans="1:13" s="146" customFormat="1">
      <c r="A2590" s="183" t="s">
        <v>523</v>
      </c>
      <c r="B2590" s="196">
        <v>11</v>
      </c>
      <c r="C2590" s="195" t="str">
        <f ca="1">IF(OFFSET('IWP25'!Std9BillingInfo11, 0, 0, 1, 1) = 0, "", OFFSET('IWP25'!Std9BillingInfo11, 0, 0, 1, 1))</f>
        <v/>
      </c>
      <c r="D2590" s="172">
        <f ca="1">IF(OFFSET('IWP25'!Std9BillingInfo11, 0, 1, 1, 1)=DATE(1900,1,0), DATE(1900,1,1), OFFSET('IWP25'!Std9BillingInfo11, 0, 1, 1, 1))</f>
        <v>1</v>
      </c>
      <c r="E2590" s="172">
        <f ca="1">IF(OFFSET('IWP25'!Std9BillingInfo11, 0, 2, 1, 1)=DATE(1900,1,0), DATE(1900,1,1), OFFSET('IWP25'!Std9BillingInfo11, 0, 2, 1, 1))</f>
        <v>1</v>
      </c>
      <c r="F2590" s="187">
        <f ca="1">OFFSET('IWP25'!Std9BillingInfo11, 0, 3, 1, 1)</f>
        <v>0</v>
      </c>
      <c r="G2590" s="187">
        <f ca="1">OFFSET('IWP25'!Std9BillingInfo11, 10, 6, 1, 1)</f>
        <v>0</v>
      </c>
      <c r="H2590" s="187">
        <f ca="1">OFFSET('IWP25'!Std9BillingInfo11, 11, 6, 1, 1)</f>
        <v>0</v>
      </c>
      <c r="I2590" s="187">
        <f ca="1">OFFSET('IWP25'!Std9BillingInfo11, 10, 8, 1, 1)</f>
        <v>0</v>
      </c>
      <c r="J2590" s="187">
        <f ca="1">OFFSET('IWP25'!Std9BillingInfo11, 10, 11, 1, 1)</f>
        <v>0</v>
      </c>
      <c r="K2590" s="187">
        <f ca="1">OFFSET('IWP25'!Std9BillingInfo11, 10, 12, 1, 1)</f>
        <v>0</v>
      </c>
      <c r="L2590" s="179">
        <f ca="1">OFFSET('IWP25'!Std9BillingInfo11, 12, 8, 1, 1)</f>
        <v>0</v>
      </c>
      <c r="M2590" s="129"/>
    </row>
    <row r="2591" spans="1:13" s="146" customFormat="1">
      <c r="A2591" s="183" t="s">
        <v>523</v>
      </c>
      <c r="B2591" s="196">
        <v>12</v>
      </c>
      <c r="C2591" s="195" t="str">
        <f ca="1">IF(OFFSET('IWP25'!Std9BillingInfo12, 0, 0, 1, 1) = 0, "", OFFSET('IWP25'!Std9BillingInfo12, 0, 0, 1, 1))</f>
        <v/>
      </c>
      <c r="D2591" s="172">
        <f ca="1">IF(OFFSET('IWP25'!Std9BillingInfo12, 0, 1, 1, 1)=DATE(1900,1,0), DATE(1900,1,1), OFFSET('IWP25'!Std9BillingInfo12, 0, 1, 1, 1))</f>
        <v>1</v>
      </c>
      <c r="E2591" s="172">
        <f ca="1">IF(OFFSET('IWP25'!Std9BillingInfo12, 0, 2, 1, 1)=DATE(1900,1,0), DATE(1900,1,1), OFFSET('IWP25'!Std9BillingInfo12, 0, 2, 1, 1))</f>
        <v>1</v>
      </c>
      <c r="F2591" s="187">
        <f ca="1">OFFSET('IWP25'!Std9BillingInfo12, 0, 3, 1, 1)</f>
        <v>0</v>
      </c>
      <c r="G2591" s="187">
        <f ca="1">OFFSET('IWP25'!Std9BillingInfo12, 10, 6, 1, 1)</f>
        <v>0</v>
      </c>
      <c r="H2591" s="187">
        <f ca="1">OFFSET('IWP25'!Std9BillingInfo12, 11, 6, 1, 1)</f>
        <v>0</v>
      </c>
      <c r="I2591" s="187">
        <f ca="1">OFFSET('IWP25'!Std9BillingInfo12, 10, 8, 1, 1)</f>
        <v>0</v>
      </c>
      <c r="J2591" s="187">
        <f ca="1">OFFSET('IWP25'!Std9BillingInfo12, 10, 11, 1, 1)</f>
        <v>0</v>
      </c>
      <c r="K2591" s="187">
        <f ca="1">OFFSET('IWP25'!Std9BillingInfo12, 10, 12, 1, 1)</f>
        <v>0</v>
      </c>
      <c r="L2591" s="179">
        <f ca="1">OFFSET('IWP25'!Std9BillingInfo12, 12, 8, 1, 1)</f>
        <v>0</v>
      </c>
      <c r="M2591" s="129"/>
    </row>
    <row r="2592" spans="1:13" s="146" customFormat="1">
      <c r="A2592" s="183" t="s">
        <v>523</v>
      </c>
      <c r="B2592" s="196">
        <v>13</v>
      </c>
      <c r="C2592" s="195" t="str">
        <f ca="1">IF(OFFSET('IWP25'!Std9BillingInfo13, 0, 0, 1, 1) = 0, "", OFFSET('IWP25'!Std9BillingInfo13, 0, 0, 1, 1))</f>
        <v/>
      </c>
      <c r="D2592" s="172">
        <f ca="1">IF(OFFSET('IWP25'!Std9BillingInfo13, 0, 1, 1, 1)=DATE(1900,1,0), DATE(1900,1,1), OFFSET('IWP25'!Std9BillingInfo13, 0, 1, 1, 1))</f>
        <v>1</v>
      </c>
      <c r="E2592" s="172">
        <f ca="1">IF(OFFSET('IWP25'!Std9BillingInfo13, 0, 2, 1, 1)=DATE(1900,1,0), DATE(1900,1,1), OFFSET('IWP25'!Std9BillingInfo13, 0, 2, 1, 1))</f>
        <v>1</v>
      </c>
      <c r="F2592" s="187">
        <f ca="1">OFFSET('IWP25'!Std9BillingInfo13, 0, 3, 1, 1)</f>
        <v>0</v>
      </c>
      <c r="G2592" s="187">
        <f ca="1">OFFSET('IWP25'!Std9BillingInfo13, 10, 6, 1, 1)</f>
        <v>0</v>
      </c>
      <c r="H2592" s="187">
        <f ca="1">OFFSET('IWP25'!Std9BillingInfo13, 11, 6, 1, 1)</f>
        <v>0</v>
      </c>
      <c r="I2592" s="187">
        <f ca="1">OFFSET('IWP25'!Std9BillingInfo13, 10, 8, 1, 1)</f>
        <v>0</v>
      </c>
      <c r="J2592" s="187">
        <f ca="1">OFFSET('IWP25'!Std9BillingInfo13, 10, 11, 1, 1)</f>
        <v>0</v>
      </c>
      <c r="K2592" s="187">
        <f ca="1">OFFSET('IWP25'!Std9BillingInfo13, 10, 12, 1, 1)</f>
        <v>0</v>
      </c>
      <c r="L2592" s="179">
        <f ca="1">OFFSET('IWP25'!Std9BillingInfo13, 12, 8, 1, 1)</f>
        <v>0</v>
      </c>
      <c r="M2592" s="129"/>
    </row>
    <row r="2593" spans="1:13" s="146" customFormat="1">
      <c r="A2593" s="183" t="s">
        <v>523</v>
      </c>
      <c r="B2593" s="196">
        <v>14</v>
      </c>
      <c r="C2593" s="195" t="str">
        <f ca="1">IF(OFFSET('IWP25'!Std9BillingInfo14, 0, 0, 1, 1) = 0, "", OFFSET('IWP25'!Std9BillingInfo14, 0, 0, 1, 1))</f>
        <v/>
      </c>
      <c r="D2593" s="172">
        <f ca="1">IF(OFFSET('IWP25'!Std9BillingInfo14, 0, 1, 1, 1)=DATE(1900,1,0), DATE(1900,1,1), OFFSET('IWP25'!Std9BillingInfo14, 0, 1, 1, 1))</f>
        <v>1</v>
      </c>
      <c r="E2593" s="172">
        <f ca="1">IF(OFFSET('IWP25'!Std9BillingInfo14, 0, 2, 1, 1)=DATE(1900,1,0), DATE(1900,1,1), OFFSET('IWP25'!Std9BillingInfo14, 0, 2, 1, 1))</f>
        <v>1</v>
      </c>
      <c r="F2593" s="187">
        <f ca="1">OFFSET('IWP25'!Std9BillingInfo14, 0, 3, 1, 1)</f>
        <v>0</v>
      </c>
      <c r="G2593" s="187">
        <f ca="1">OFFSET('IWP25'!Std9BillingInfo14, 10, 6, 1, 1)</f>
        <v>0</v>
      </c>
      <c r="H2593" s="187">
        <f ca="1">OFFSET('IWP25'!Std9BillingInfo14, 11, 6, 1, 1)</f>
        <v>0</v>
      </c>
      <c r="I2593" s="187">
        <f ca="1">OFFSET('IWP25'!Std9BillingInfo14, 10, 8, 1, 1)</f>
        <v>0</v>
      </c>
      <c r="J2593" s="187">
        <f ca="1">OFFSET('IWP25'!Std9BillingInfo14, 10, 11, 1, 1)</f>
        <v>0</v>
      </c>
      <c r="K2593" s="187">
        <f ca="1">OFFSET('IWP25'!Std9BillingInfo14, 10, 12, 1, 1)</f>
        <v>0</v>
      </c>
      <c r="L2593" s="179">
        <f ca="1">OFFSET('IWP25'!Std9BillingInfo14, 12, 8, 1, 1)</f>
        <v>0</v>
      </c>
      <c r="M2593" s="129"/>
    </row>
    <row r="2594" spans="1:13" s="146" customFormat="1">
      <c r="A2594" s="183" t="s">
        <v>523</v>
      </c>
      <c r="B2594" s="196">
        <v>15</v>
      </c>
      <c r="C2594" s="195" t="str">
        <f ca="1">IF(OFFSET('IWP25'!Std9BillingInfo15, 0, 0, 1, 1) = 0, "", OFFSET('IWP25'!Std9BillingInfo15, 0, 0, 1, 1))</f>
        <v/>
      </c>
      <c r="D2594" s="172">
        <f ca="1">IF(OFFSET('IWP25'!Std9BillingInfo15, 0, 1, 1, 1)=DATE(1900,1,0), DATE(1900,1,1), OFFSET('IWP25'!Std9BillingInfo15, 0, 1, 1, 1))</f>
        <v>1</v>
      </c>
      <c r="E2594" s="172">
        <f ca="1">IF(OFFSET('IWP25'!Std9BillingInfo15, 0, 2, 1, 1)=DATE(1900,1,0), DATE(1900,1,1), OFFSET('IWP25'!Std9BillingInfo15, 0, 2, 1, 1))</f>
        <v>1</v>
      </c>
      <c r="F2594" s="187">
        <f ca="1">OFFSET('IWP25'!Std9BillingInfo15, 0, 3, 1, 1)</f>
        <v>0</v>
      </c>
      <c r="G2594" s="187">
        <f ca="1">OFFSET('IWP25'!Std9BillingInfo15, 10, 6, 1, 1)</f>
        <v>0</v>
      </c>
      <c r="H2594" s="187">
        <f ca="1">OFFSET('IWP25'!Std9BillingInfo15, 11, 6, 1, 1)</f>
        <v>0</v>
      </c>
      <c r="I2594" s="187">
        <f ca="1">OFFSET('IWP25'!Std9BillingInfo15, 10, 8, 1, 1)</f>
        <v>0</v>
      </c>
      <c r="J2594" s="187">
        <f ca="1">OFFSET('IWP25'!Std9BillingInfo15, 10, 11, 1, 1)</f>
        <v>0</v>
      </c>
      <c r="K2594" s="187">
        <f ca="1">OFFSET('IWP25'!Std9BillingInfo15, 10, 12, 1, 1)</f>
        <v>0</v>
      </c>
      <c r="L2594" s="179">
        <f ca="1">OFFSET('IWP25'!Std9BillingInfo15, 12, 8, 1, 1)</f>
        <v>0</v>
      </c>
      <c r="M2594" s="129"/>
    </row>
    <row r="2595" spans="1:13" s="146" customFormat="1">
      <c r="A2595" s="183" t="s">
        <v>523</v>
      </c>
      <c r="B2595" s="196">
        <v>16</v>
      </c>
      <c r="C2595" s="195" t="str">
        <f ca="1">IF(OFFSET('IWP25'!Std9BillingInfo16, 0, 0, 1, 1) = 0, "", OFFSET('IWP25'!Std9BillingInfo16, 0, 0, 1, 1))</f>
        <v/>
      </c>
      <c r="D2595" s="172">
        <f ca="1">IF(OFFSET('IWP25'!Std9BillingInfo16, 0, 1, 1, 1)=DATE(1900,1,0), DATE(1900,1,1), OFFSET('IWP25'!Std9BillingInfo16, 0, 1, 1, 1))</f>
        <v>1</v>
      </c>
      <c r="E2595" s="172">
        <f ca="1">IF(OFFSET('IWP25'!Std9BillingInfo16, 0, 2, 1, 1)=DATE(1900,1,0), DATE(1900,1,1), OFFSET('IWP25'!Std9BillingInfo16, 0, 2, 1, 1))</f>
        <v>1</v>
      </c>
      <c r="F2595" s="187">
        <f ca="1">OFFSET('IWP25'!Std9BillingInfo16, 0, 3, 1, 1)</f>
        <v>0</v>
      </c>
      <c r="G2595" s="187">
        <f ca="1">OFFSET('IWP25'!Std9BillingInfo16, 10, 6, 1, 1)</f>
        <v>0</v>
      </c>
      <c r="H2595" s="187">
        <f ca="1">OFFSET('IWP25'!Std9BillingInfo16, 11, 6, 1, 1)</f>
        <v>0</v>
      </c>
      <c r="I2595" s="187">
        <f ca="1">OFFSET('IWP25'!Std9BillingInfo16, 10, 8, 1, 1)</f>
        <v>0</v>
      </c>
      <c r="J2595" s="187">
        <f ca="1">OFFSET('IWP25'!Std9BillingInfo16, 10, 11, 1, 1)</f>
        <v>0</v>
      </c>
      <c r="K2595" s="187">
        <f ca="1">OFFSET('IWP25'!Std9BillingInfo16, 10, 12, 1, 1)</f>
        <v>0</v>
      </c>
      <c r="L2595" s="179">
        <f ca="1">OFFSET('IWP25'!Std9BillingInfo16, 12, 8, 1, 1)</f>
        <v>0</v>
      </c>
      <c r="M2595" s="129"/>
    </row>
    <row r="2596" spans="1:13" s="146" customFormat="1">
      <c r="A2596" s="183" t="s">
        <v>523</v>
      </c>
      <c r="B2596" s="196">
        <v>17</v>
      </c>
      <c r="C2596" s="195" t="str">
        <f ca="1">IF(OFFSET('IWP25'!Std9BillingInfo17, 0, 0, 1, 1) = 0, "", OFFSET('IWP25'!Std9BillingInfo17, 0, 0, 1, 1))</f>
        <v/>
      </c>
      <c r="D2596" s="172">
        <f ca="1">IF(OFFSET('IWP25'!Std9BillingInfo17, 0, 1, 1, 1)=DATE(1900,1,0), DATE(1900,1,1), OFFSET('IWP25'!Std9BillingInfo17, 0, 1, 1, 1))</f>
        <v>1</v>
      </c>
      <c r="E2596" s="172">
        <f ca="1">IF(OFFSET('IWP25'!Std9BillingInfo17, 0, 2, 1, 1)=DATE(1900,1,0), DATE(1900,1,1), OFFSET('IWP25'!Std9BillingInfo17, 0, 2, 1, 1))</f>
        <v>1</v>
      </c>
      <c r="F2596" s="187">
        <f ca="1">OFFSET('IWP25'!Std9BillingInfo17, 0, 3, 1, 1)</f>
        <v>0</v>
      </c>
      <c r="G2596" s="187">
        <f ca="1">OFFSET('IWP25'!Std9BillingInfo17, 10, 6, 1, 1)</f>
        <v>0</v>
      </c>
      <c r="H2596" s="187">
        <f ca="1">OFFSET('IWP25'!Std9BillingInfo17, 11, 6, 1, 1)</f>
        <v>0</v>
      </c>
      <c r="I2596" s="187">
        <f ca="1">OFFSET('IWP25'!Std9BillingInfo17, 10, 8, 1, 1)</f>
        <v>0</v>
      </c>
      <c r="J2596" s="187">
        <f ca="1">OFFSET('IWP25'!Std9BillingInfo17, 10, 11, 1, 1)</f>
        <v>0</v>
      </c>
      <c r="K2596" s="187">
        <f ca="1">OFFSET('IWP25'!Std9BillingInfo17, 10, 12, 1, 1)</f>
        <v>0</v>
      </c>
      <c r="L2596" s="179">
        <f ca="1">OFFSET('IWP25'!Std9BillingInfo17, 12, 8, 1, 1)</f>
        <v>0</v>
      </c>
      <c r="M2596" s="129"/>
    </row>
    <row r="2597" spans="1:13" s="146" customFormat="1">
      <c r="A2597" s="183" t="s">
        <v>523</v>
      </c>
      <c r="B2597" s="196">
        <v>18</v>
      </c>
      <c r="C2597" s="195" t="str">
        <f ca="1">IF(OFFSET('IWP25'!Std9BillingInfo18, 0, 0, 1, 1) = 0, "", OFFSET('IWP25'!Std9BillingInfo18, 0, 0, 1, 1))</f>
        <v/>
      </c>
      <c r="D2597" s="172">
        <f ca="1">IF(OFFSET('IWP25'!Std9BillingInfo18, 0, 1, 1, 1)=DATE(1900,1,0), DATE(1900,1,1), OFFSET('IWP25'!Std9BillingInfo18, 0, 1, 1, 1))</f>
        <v>1</v>
      </c>
      <c r="E2597" s="172">
        <f ca="1">IF(OFFSET('IWP25'!Std9BillingInfo18, 0, 2, 1, 1)=DATE(1900,1,0), DATE(1900,1,1), OFFSET('IWP25'!Std9BillingInfo18, 0, 2, 1, 1))</f>
        <v>1</v>
      </c>
      <c r="F2597" s="187">
        <f ca="1">OFFSET('IWP25'!Std9BillingInfo18, 0, 3, 1, 1)</f>
        <v>0</v>
      </c>
      <c r="G2597" s="187">
        <f ca="1">OFFSET('IWP25'!Std9BillingInfo18, 10, 6, 1, 1)</f>
        <v>0</v>
      </c>
      <c r="H2597" s="187">
        <f ca="1">OFFSET('IWP25'!Std9BillingInfo18, 11, 6, 1, 1)</f>
        <v>0</v>
      </c>
      <c r="I2597" s="187">
        <f ca="1">OFFSET('IWP25'!Std9BillingInfo18, 10, 8, 1, 1)</f>
        <v>0</v>
      </c>
      <c r="J2597" s="187">
        <f ca="1">OFFSET('IWP25'!Std9BillingInfo18, 10, 11, 1, 1)</f>
        <v>0</v>
      </c>
      <c r="K2597" s="187">
        <f ca="1">OFFSET('IWP25'!Std9BillingInfo18, 10, 12, 1, 1)</f>
        <v>0</v>
      </c>
      <c r="L2597" s="179">
        <f ca="1">OFFSET('IWP25'!Std9BillingInfo18, 12, 8, 1, 1)</f>
        <v>0</v>
      </c>
      <c r="M2597" s="129"/>
    </row>
    <row r="2598" spans="1:13" s="146" customFormat="1">
      <c r="A2598" s="183" t="s">
        <v>524</v>
      </c>
      <c r="B2598" s="196">
        <v>1</v>
      </c>
      <c r="C2598" s="195" t="str">
        <f ca="1">IF(OFFSET('IWP26'!Std9BillingInfo01, 0, 0, 1, 1) = 0, "", OFFSET('IWP26'!Std9BillingInfo01, 0, 0, 1, 1))</f>
        <v/>
      </c>
      <c r="D2598" s="172">
        <f ca="1">IF(OFFSET('IWP26'!Std9BillingInfo01, 0, 1, 1, 1)=DATE(1900,1,0), DATE(1900,1,1), OFFSET('IWP26'!Std9BillingInfo01, 0, 1, 1, 1))</f>
        <v>1</v>
      </c>
      <c r="E2598" s="172">
        <f ca="1">IF(OFFSET('IWP26'!Std9BillingInfo01, 0, 2, 1, 1)=DATE(1900,1,0), DATE(1900,1,1), OFFSET('IWP26'!Std9BillingInfo01, 0, 2, 1, 1))</f>
        <v>1</v>
      </c>
      <c r="F2598" s="187">
        <f ca="1">OFFSET('IWP26'!Std9BillingInfo01, 0, 3, 1, 1)</f>
        <v>0</v>
      </c>
      <c r="G2598" s="187">
        <f ca="1">OFFSET('IWP26'!Std9BillingInfo01, 10, 6, 1, 1)</f>
        <v>0</v>
      </c>
      <c r="H2598" s="187">
        <f ca="1">OFFSET('IWP26'!Std9BillingInfo01, 11, 6, 1, 1)</f>
        <v>0</v>
      </c>
      <c r="I2598" s="187">
        <f ca="1">OFFSET('IWP26'!Std9BillingInfo01, 10, 8, 1, 1)</f>
        <v>0</v>
      </c>
      <c r="J2598" s="187">
        <f ca="1">OFFSET('IWP26'!Std9BillingInfo01, 10, 11, 1, 1)</f>
        <v>0</v>
      </c>
      <c r="K2598" s="187">
        <f ca="1">OFFSET('IWP26'!Std9BillingInfo01, 10, 12, 1, 1)</f>
        <v>0</v>
      </c>
      <c r="L2598" s="179">
        <f ca="1">OFFSET('IWP26'!Std9BillingInfo01, 12, 8, 1, 1)</f>
        <v>0</v>
      </c>
      <c r="M2598" s="129"/>
    </row>
    <row r="2599" spans="1:13" s="146" customFormat="1">
      <c r="A2599" s="183" t="s">
        <v>524</v>
      </c>
      <c r="B2599" s="196">
        <v>2</v>
      </c>
      <c r="C2599" s="195" t="str">
        <f ca="1">IF(OFFSET('IWP26'!Std9BillingInfo02, 0, 0, 1, 1) = 0, "", OFFSET('IWP26'!Std9BillingInfo02, 0, 0, 1, 1))</f>
        <v/>
      </c>
      <c r="D2599" s="172">
        <f ca="1">IF(OFFSET('IWP26'!Std9BillingInfo02, 0, 1, 1, 1)=DATE(1900,1,0), DATE(1900,1,1), OFFSET('IWP26'!Std9BillingInfo02, 0, 1, 1, 1))</f>
        <v>1</v>
      </c>
      <c r="E2599" s="172">
        <f ca="1">IF(OFFSET('IWP26'!Std9BillingInfo02, 0, 2, 1, 1)=DATE(1900,1,0), DATE(1900,1,1), OFFSET('IWP26'!Std9BillingInfo02, 0, 2, 1, 1))</f>
        <v>1</v>
      </c>
      <c r="F2599" s="187">
        <f ca="1">OFFSET('IWP26'!Std9BillingInfo02, 0, 3, 1, 1)</f>
        <v>0</v>
      </c>
      <c r="G2599" s="187">
        <f ca="1">OFFSET('IWP26'!Std9BillingInfo02, 10, 6, 1, 1)</f>
        <v>0</v>
      </c>
      <c r="H2599" s="187">
        <f ca="1">OFFSET('IWP26'!Std9BillingInfo02, 11, 6, 1, 1)</f>
        <v>0</v>
      </c>
      <c r="I2599" s="187">
        <f ca="1">OFFSET('IWP26'!Std9BillingInfo02, 10, 8, 1, 1)</f>
        <v>0</v>
      </c>
      <c r="J2599" s="187">
        <f ca="1">OFFSET('IWP26'!Std9BillingInfo02, 10, 11, 1, 1)</f>
        <v>0</v>
      </c>
      <c r="K2599" s="187">
        <f ca="1">OFFSET('IWP26'!Std9BillingInfo02, 10, 12, 1, 1)</f>
        <v>0</v>
      </c>
      <c r="L2599" s="179">
        <f ca="1">OFFSET('IWP26'!Std9BillingInfo02, 12, 8, 1, 1)</f>
        <v>0</v>
      </c>
      <c r="M2599" s="129"/>
    </row>
    <row r="2600" spans="1:13" s="146" customFormat="1">
      <c r="A2600" s="183" t="s">
        <v>524</v>
      </c>
      <c r="B2600" s="196">
        <v>3</v>
      </c>
      <c r="C2600" s="195" t="str">
        <f ca="1">IF(OFFSET('IWP26'!Std9BillingInfo03, 0, 0, 1, 1) = 0, "", OFFSET('IWP26'!Std9BillingInfo03, 0, 0, 1, 1))</f>
        <v/>
      </c>
      <c r="D2600" s="172">
        <f ca="1">IF(OFFSET('IWP26'!Std9BillingInfo03, 0, 1, 1, 1)=DATE(1900,1,0), DATE(1900,1,1), OFFSET('IWP26'!Std9BillingInfo03, 0, 1, 1, 1))</f>
        <v>1</v>
      </c>
      <c r="E2600" s="172">
        <f ca="1">IF(OFFSET('IWP26'!Std9BillingInfo03, 0, 2, 1, 1)=DATE(1900,1,0), DATE(1900,1,1), OFFSET('IWP26'!Std9BillingInfo03, 0, 2, 1, 1))</f>
        <v>1</v>
      </c>
      <c r="F2600" s="187">
        <f ca="1">OFFSET('IWP26'!Std9BillingInfo03, 0, 3, 1, 1)</f>
        <v>0</v>
      </c>
      <c r="G2600" s="187">
        <f ca="1">OFFSET('IWP26'!Std9BillingInfo03, 10, 6, 1, 1)</f>
        <v>0</v>
      </c>
      <c r="H2600" s="187">
        <f ca="1">OFFSET('IWP26'!Std9BillingInfo03, 11, 6, 1, 1)</f>
        <v>0</v>
      </c>
      <c r="I2600" s="187">
        <f ca="1">OFFSET('IWP26'!Std9BillingInfo03, 10, 8, 1, 1)</f>
        <v>0</v>
      </c>
      <c r="J2600" s="187">
        <f ca="1">OFFSET('IWP26'!Std9BillingInfo03, 10, 11, 1, 1)</f>
        <v>0</v>
      </c>
      <c r="K2600" s="187">
        <f ca="1">OFFSET('IWP26'!Std9BillingInfo03, 10, 12, 1, 1)</f>
        <v>0</v>
      </c>
      <c r="L2600" s="179">
        <f ca="1">OFFSET('IWP26'!Std9BillingInfo03, 12, 8, 1, 1)</f>
        <v>0</v>
      </c>
      <c r="M2600" s="129"/>
    </row>
    <row r="2601" spans="1:13" s="146" customFormat="1">
      <c r="A2601" s="183" t="s">
        <v>524</v>
      </c>
      <c r="B2601" s="196">
        <v>4</v>
      </c>
      <c r="C2601" s="195" t="str">
        <f ca="1">IF(OFFSET('IWP26'!Std9BillingInfo04, 0, 0, 1, 1) = 0, "", OFFSET('IWP26'!Std9BillingInfo04, 0, 0, 1, 1))</f>
        <v/>
      </c>
      <c r="D2601" s="172">
        <f ca="1">IF(OFFSET('IWP26'!Std9BillingInfo04, 0, 1, 1, 1)=DATE(1900,1,0), DATE(1900,1,1), OFFSET('IWP26'!Std9BillingInfo04, 0, 1, 1, 1))</f>
        <v>1</v>
      </c>
      <c r="E2601" s="172">
        <f ca="1">IF(OFFSET('IWP26'!Std9BillingInfo04, 0, 2, 1, 1)=DATE(1900,1,0), DATE(1900,1,1), OFFSET('IWP26'!Std9BillingInfo04, 0, 2, 1, 1))</f>
        <v>1</v>
      </c>
      <c r="F2601" s="187">
        <f ca="1">OFFSET('IWP26'!Std9BillingInfo04, 0, 3, 1, 1)</f>
        <v>0</v>
      </c>
      <c r="G2601" s="187">
        <f ca="1">OFFSET('IWP26'!Std9BillingInfo04, 10, 6, 1, 1)</f>
        <v>0</v>
      </c>
      <c r="H2601" s="187">
        <f ca="1">OFFSET('IWP26'!Std9BillingInfo04, 11, 6, 1, 1)</f>
        <v>0</v>
      </c>
      <c r="I2601" s="187">
        <f ca="1">OFFSET('IWP26'!Std9BillingInfo04, 10, 8, 1, 1)</f>
        <v>0</v>
      </c>
      <c r="J2601" s="187">
        <f ca="1">OFFSET('IWP26'!Std9BillingInfo04, 10, 11, 1, 1)</f>
        <v>0</v>
      </c>
      <c r="K2601" s="187">
        <f ca="1">OFFSET('IWP26'!Std9BillingInfo04, 10, 12, 1, 1)</f>
        <v>0</v>
      </c>
      <c r="L2601" s="179">
        <f ca="1">OFFSET('IWP26'!Std9BillingInfo04, 12, 8, 1, 1)</f>
        <v>0</v>
      </c>
      <c r="M2601" s="129"/>
    </row>
    <row r="2602" spans="1:13" s="146" customFormat="1">
      <c r="A2602" s="183" t="s">
        <v>524</v>
      </c>
      <c r="B2602" s="196">
        <v>5</v>
      </c>
      <c r="C2602" s="195" t="str">
        <f ca="1">IF(OFFSET('IWP26'!Std9BillingInfo05, 0, 0, 1, 1) = 0, "", OFFSET('IWP26'!Std9BillingInfo05, 0, 0, 1, 1))</f>
        <v/>
      </c>
      <c r="D2602" s="172">
        <f ca="1">IF(OFFSET('IWP26'!Std9BillingInfo05, 0, 1, 1, 1)=DATE(1900,1,0), DATE(1900,1,1), OFFSET('IWP26'!Std9BillingInfo05, 0, 1, 1, 1))</f>
        <v>1</v>
      </c>
      <c r="E2602" s="172">
        <f ca="1">IF(OFFSET('IWP26'!Std9BillingInfo05, 0, 2, 1, 1)=DATE(1900,1,0), DATE(1900,1,1), OFFSET('IWP26'!Std9BillingInfo05, 0, 2, 1, 1))</f>
        <v>1</v>
      </c>
      <c r="F2602" s="187">
        <f ca="1">OFFSET('IWP26'!Std9BillingInfo05, 0, 3, 1, 1)</f>
        <v>0</v>
      </c>
      <c r="G2602" s="187">
        <f ca="1">OFFSET('IWP26'!Std9BillingInfo05, 10, 6, 1, 1)</f>
        <v>0</v>
      </c>
      <c r="H2602" s="187">
        <f ca="1">OFFSET('IWP26'!Std9BillingInfo05, 11, 6, 1, 1)</f>
        <v>0</v>
      </c>
      <c r="I2602" s="187">
        <f ca="1">OFFSET('IWP26'!Std9BillingInfo05, 10, 8, 1, 1)</f>
        <v>0</v>
      </c>
      <c r="J2602" s="187">
        <f ca="1">OFFSET('IWP26'!Std9BillingInfo05, 10, 11, 1, 1)</f>
        <v>0</v>
      </c>
      <c r="K2602" s="187">
        <f ca="1">OFFSET('IWP26'!Std9BillingInfo05, 10, 12, 1, 1)</f>
        <v>0</v>
      </c>
      <c r="L2602" s="179">
        <f ca="1">OFFSET('IWP26'!Std9BillingInfo05, 12, 8, 1, 1)</f>
        <v>0</v>
      </c>
      <c r="M2602" s="129"/>
    </row>
    <row r="2603" spans="1:13" s="146" customFormat="1">
      <c r="A2603" s="183" t="s">
        <v>524</v>
      </c>
      <c r="B2603" s="196">
        <v>6</v>
      </c>
      <c r="C2603" s="195" t="str">
        <f ca="1">IF(OFFSET('IWP26'!Std9BillingInfo06, 0, 0, 1, 1) = 0, "", OFFSET('IWP26'!Std9BillingInfo06, 0, 0, 1, 1))</f>
        <v/>
      </c>
      <c r="D2603" s="172">
        <f ca="1">IF(OFFSET('IWP26'!Std9BillingInfo06, 0, 1, 1, 1)=DATE(1900,1,0), DATE(1900,1,1), OFFSET('IWP26'!Std9BillingInfo06, 0, 1, 1, 1))</f>
        <v>1</v>
      </c>
      <c r="E2603" s="172">
        <f ca="1">IF(OFFSET('IWP26'!Std9BillingInfo06, 0, 2, 1, 1)=DATE(1900,1,0), DATE(1900,1,1), OFFSET('IWP26'!Std9BillingInfo06, 0, 2, 1, 1))</f>
        <v>1</v>
      </c>
      <c r="F2603" s="187">
        <f ca="1">OFFSET('IWP26'!Std9BillingInfo06, 0, 3, 1, 1)</f>
        <v>0</v>
      </c>
      <c r="G2603" s="187">
        <f ca="1">OFFSET('IWP26'!Std9BillingInfo06, 10, 6, 1, 1)</f>
        <v>0</v>
      </c>
      <c r="H2603" s="187">
        <f ca="1">OFFSET('IWP26'!Std9BillingInfo06, 11, 6, 1, 1)</f>
        <v>0</v>
      </c>
      <c r="I2603" s="187">
        <f ca="1">OFFSET('IWP26'!Std9BillingInfo06, 10, 8, 1, 1)</f>
        <v>0</v>
      </c>
      <c r="J2603" s="187">
        <f ca="1">OFFSET('IWP26'!Std9BillingInfo06, 10, 11, 1, 1)</f>
        <v>0</v>
      </c>
      <c r="K2603" s="187">
        <f ca="1">OFFSET('IWP26'!Std9BillingInfo06, 10, 12, 1, 1)</f>
        <v>0</v>
      </c>
      <c r="L2603" s="179">
        <f ca="1">OFFSET('IWP26'!Std9BillingInfo06, 12, 8, 1, 1)</f>
        <v>0</v>
      </c>
      <c r="M2603" s="129"/>
    </row>
    <row r="2604" spans="1:13" s="146" customFormat="1">
      <c r="A2604" s="183" t="s">
        <v>524</v>
      </c>
      <c r="B2604" s="196">
        <v>7</v>
      </c>
      <c r="C2604" s="195" t="str">
        <f ca="1">IF(OFFSET('IWP26'!Std9BillingInfo07, 0, 0, 1, 1) = 0, "", OFFSET('IWP26'!Std9BillingInfo07, 0, 0, 1, 1))</f>
        <v/>
      </c>
      <c r="D2604" s="172">
        <f ca="1">IF(OFFSET('IWP26'!Std9BillingInfo07, 0, 1, 1, 1)=DATE(1900,1,0), DATE(1900,1,1), OFFSET('IWP26'!Std9BillingInfo07, 0, 1, 1, 1))</f>
        <v>1</v>
      </c>
      <c r="E2604" s="172">
        <f ca="1">IF(OFFSET('IWP26'!Std9BillingInfo07, 0, 2, 1, 1)=DATE(1900,1,0), DATE(1900,1,1), OFFSET('IWP26'!Std9BillingInfo07, 0, 2, 1, 1))</f>
        <v>1</v>
      </c>
      <c r="F2604" s="187">
        <f ca="1">OFFSET('IWP26'!Std9BillingInfo07, 0, 3, 1, 1)</f>
        <v>0</v>
      </c>
      <c r="G2604" s="187">
        <f ca="1">OFFSET('IWP26'!Std9BillingInfo07, 10, 6, 1, 1)</f>
        <v>0</v>
      </c>
      <c r="H2604" s="187">
        <f ca="1">OFFSET('IWP26'!Std9BillingInfo07, 11, 6, 1, 1)</f>
        <v>0</v>
      </c>
      <c r="I2604" s="187">
        <f ca="1">OFFSET('IWP26'!Std9BillingInfo07, 10, 8, 1, 1)</f>
        <v>0</v>
      </c>
      <c r="J2604" s="187">
        <f ca="1">OFFSET('IWP26'!Std9BillingInfo07, 10, 11, 1, 1)</f>
        <v>0</v>
      </c>
      <c r="K2604" s="187">
        <f ca="1">OFFSET('IWP26'!Std9BillingInfo07, 10, 12, 1, 1)</f>
        <v>0</v>
      </c>
      <c r="L2604" s="179">
        <f ca="1">OFFSET('IWP26'!Std9BillingInfo07, 12, 8, 1, 1)</f>
        <v>0</v>
      </c>
      <c r="M2604" s="129"/>
    </row>
    <row r="2605" spans="1:13" s="146" customFormat="1">
      <c r="A2605" s="183" t="s">
        <v>524</v>
      </c>
      <c r="B2605" s="196">
        <v>8</v>
      </c>
      <c r="C2605" s="195" t="str">
        <f ca="1">IF(OFFSET('IWP26'!Std9BillingInfo08, 0, 0, 1, 1) = 0, "", OFFSET('IWP26'!Std9BillingInfo08, 0, 0, 1, 1))</f>
        <v/>
      </c>
      <c r="D2605" s="172">
        <f ca="1">IF(OFFSET('IWP26'!Std9BillingInfo08, 0, 1, 1, 1)=DATE(1900,1,0), DATE(1900,1,1), OFFSET('IWP26'!Std9BillingInfo08, 0, 1, 1, 1))</f>
        <v>1</v>
      </c>
      <c r="E2605" s="172">
        <f ca="1">IF(OFFSET('IWP26'!Std9BillingInfo08, 0, 2, 1, 1)=DATE(1900,1,0), DATE(1900,1,1), OFFSET('IWP26'!Std9BillingInfo08, 0, 2, 1, 1))</f>
        <v>1</v>
      </c>
      <c r="F2605" s="187">
        <f ca="1">OFFSET('IWP26'!Std9BillingInfo08, 0, 3, 1, 1)</f>
        <v>0</v>
      </c>
      <c r="G2605" s="187">
        <f ca="1">OFFSET('IWP26'!Std9BillingInfo08, 10, 6, 1, 1)</f>
        <v>0</v>
      </c>
      <c r="H2605" s="187">
        <f ca="1">OFFSET('IWP26'!Std9BillingInfo08, 11, 6, 1, 1)</f>
        <v>0</v>
      </c>
      <c r="I2605" s="187">
        <f ca="1">OFFSET('IWP26'!Std9BillingInfo08, 10, 8, 1, 1)</f>
        <v>0</v>
      </c>
      <c r="J2605" s="187">
        <f ca="1">OFFSET('IWP26'!Std9BillingInfo08, 10, 11, 1, 1)</f>
        <v>0</v>
      </c>
      <c r="K2605" s="187">
        <f ca="1">OFFSET('IWP26'!Std9BillingInfo08, 10, 12, 1, 1)</f>
        <v>0</v>
      </c>
      <c r="L2605" s="179">
        <f ca="1">OFFSET('IWP26'!Std9BillingInfo08, 12, 8, 1, 1)</f>
        <v>0</v>
      </c>
      <c r="M2605" s="129"/>
    </row>
    <row r="2606" spans="1:13" s="146" customFormat="1">
      <c r="A2606" s="183" t="s">
        <v>524</v>
      </c>
      <c r="B2606" s="196">
        <v>9</v>
      </c>
      <c r="C2606" s="195" t="str">
        <f ca="1">IF(OFFSET('IWP26'!Std9BillingInfo09, 0, 0, 1, 1) = 0, "", OFFSET('IWP26'!Std9BillingInfo09, 0, 0, 1, 1))</f>
        <v/>
      </c>
      <c r="D2606" s="172">
        <f ca="1">IF(OFFSET('IWP26'!Std9BillingInfo09, 0, 1, 1, 1)=DATE(1900,1,0), DATE(1900,1,1), OFFSET('IWP26'!Std9BillingInfo09, 0, 1, 1, 1))</f>
        <v>1</v>
      </c>
      <c r="E2606" s="172">
        <f ca="1">IF(OFFSET('IWP26'!Std9BillingInfo09, 0, 2, 1, 1)=DATE(1900,1,0), DATE(1900,1,1), OFFSET('IWP26'!Std9BillingInfo09, 0, 2, 1, 1))</f>
        <v>1</v>
      </c>
      <c r="F2606" s="187">
        <f ca="1">OFFSET('IWP26'!Std9BillingInfo09, 0, 3, 1, 1)</f>
        <v>0</v>
      </c>
      <c r="G2606" s="187">
        <f ca="1">OFFSET('IWP26'!Std9BillingInfo09, 10, 6, 1, 1)</f>
        <v>0</v>
      </c>
      <c r="H2606" s="187">
        <f ca="1">OFFSET('IWP26'!Std9BillingInfo09, 11, 6, 1, 1)</f>
        <v>0</v>
      </c>
      <c r="I2606" s="187">
        <f ca="1">OFFSET('IWP26'!Std9BillingInfo09, 10, 8, 1, 1)</f>
        <v>0</v>
      </c>
      <c r="J2606" s="187">
        <f ca="1">OFFSET('IWP26'!Std9BillingInfo09, 10, 11, 1, 1)</f>
        <v>0</v>
      </c>
      <c r="K2606" s="187">
        <f ca="1">OFFSET('IWP26'!Std9BillingInfo09, 10, 12, 1, 1)</f>
        <v>0</v>
      </c>
      <c r="L2606" s="179">
        <f ca="1">OFFSET('IWP26'!Std9BillingInfo09, 12, 8, 1, 1)</f>
        <v>0</v>
      </c>
      <c r="M2606" s="129"/>
    </row>
    <row r="2607" spans="1:13" s="146" customFormat="1">
      <c r="A2607" s="183" t="s">
        <v>524</v>
      </c>
      <c r="B2607" s="196">
        <v>10</v>
      </c>
      <c r="C2607" s="195" t="str">
        <f ca="1">IF(OFFSET('IWP26'!Std9BillingInfo10, 0, 0, 1, 1) = 0, "", OFFSET('IWP26'!Std9BillingInfo10, 0, 0, 1, 1))</f>
        <v/>
      </c>
      <c r="D2607" s="172">
        <f ca="1">IF(OFFSET('IWP26'!Std9BillingInfo10, 0, 1, 1, 1)=DATE(1900,1,0), DATE(1900,1,1), OFFSET('IWP26'!Std9BillingInfo10, 0, 1, 1, 1))</f>
        <v>1</v>
      </c>
      <c r="E2607" s="172">
        <f ca="1">IF(OFFSET('IWP26'!Std9BillingInfo10, 0, 2, 1, 1)=DATE(1900,1,0), DATE(1900,1,1), OFFSET('IWP26'!Std9BillingInfo10, 0, 2, 1, 1))</f>
        <v>1</v>
      </c>
      <c r="F2607" s="187">
        <f ca="1">OFFSET('IWP26'!Std9BillingInfo10, 0, 3, 1, 1)</f>
        <v>0</v>
      </c>
      <c r="G2607" s="187">
        <f ca="1">OFFSET('IWP26'!Std9BillingInfo10, 10, 6, 1, 1)</f>
        <v>0</v>
      </c>
      <c r="H2607" s="187">
        <f ca="1">OFFSET('IWP26'!Std9BillingInfo10, 11, 6, 1, 1)</f>
        <v>0</v>
      </c>
      <c r="I2607" s="187">
        <f ca="1">OFFSET('IWP26'!Std9BillingInfo10, 10, 8, 1, 1)</f>
        <v>0</v>
      </c>
      <c r="J2607" s="187">
        <f ca="1">OFFSET('IWP26'!Std9BillingInfo10, 10, 11, 1, 1)</f>
        <v>0</v>
      </c>
      <c r="K2607" s="187">
        <f ca="1">OFFSET('IWP26'!Std9BillingInfo10, 10, 12, 1, 1)</f>
        <v>0</v>
      </c>
      <c r="L2607" s="179">
        <f ca="1">OFFSET('IWP26'!Std9BillingInfo10, 12, 8, 1, 1)</f>
        <v>0</v>
      </c>
      <c r="M2607" s="129"/>
    </row>
    <row r="2608" spans="1:13" s="146" customFormat="1">
      <c r="A2608" s="183" t="s">
        <v>524</v>
      </c>
      <c r="B2608" s="196">
        <v>11</v>
      </c>
      <c r="C2608" s="195" t="str">
        <f ca="1">IF(OFFSET('IWP26'!Std9BillingInfo11, 0, 0, 1, 1) = 0, "", OFFSET('IWP26'!Std9BillingInfo11, 0, 0, 1, 1))</f>
        <v/>
      </c>
      <c r="D2608" s="172">
        <f ca="1">IF(OFFSET('IWP26'!Std9BillingInfo11, 0, 1, 1, 1)=DATE(1900,1,0), DATE(1900,1,1), OFFSET('IWP26'!Std9BillingInfo11, 0, 1, 1, 1))</f>
        <v>1</v>
      </c>
      <c r="E2608" s="172">
        <f ca="1">IF(OFFSET('IWP26'!Std9BillingInfo11, 0, 2, 1, 1)=DATE(1900,1,0), DATE(1900,1,1), OFFSET('IWP26'!Std9BillingInfo11, 0, 2, 1, 1))</f>
        <v>1</v>
      </c>
      <c r="F2608" s="187">
        <f ca="1">OFFSET('IWP26'!Std9BillingInfo11, 0, 3, 1, 1)</f>
        <v>0</v>
      </c>
      <c r="G2608" s="187">
        <f ca="1">OFFSET('IWP26'!Std9BillingInfo11, 10, 6, 1, 1)</f>
        <v>0</v>
      </c>
      <c r="H2608" s="187">
        <f ca="1">OFFSET('IWP26'!Std9BillingInfo11, 11, 6, 1, 1)</f>
        <v>0</v>
      </c>
      <c r="I2608" s="187">
        <f ca="1">OFFSET('IWP26'!Std9BillingInfo11, 10, 8, 1, 1)</f>
        <v>0</v>
      </c>
      <c r="J2608" s="187">
        <f ca="1">OFFSET('IWP26'!Std9BillingInfo11, 10, 11, 1, 1)</f>
        <v>0</v>
      </c>
      <c r="K2608" s="187">
        <f ca="1">OFFSET('IWP26'!Std9BillingInfo11, 10, 12, 1, 1)</f>
        <v>0</v>
      </c>
      <c r="L2608" s="179">
        <f ca="1">OFFSET('IWP26'!Std9BillingInfo11, 12, 8, 1, 1)</f>
        <v>0</v>
      </c>
      <c r="M2608" s="129"/>
    </row>
    <row r="2609" spans="1:13" s="146" customFormat="1">
      <c r="A2609" s="183" t="s">
        <v>524</v>
      </c>
      <c r="B2609" s="196">
        <v>12</v>
      </c>
      <c r="C2609" s="195" t="str">
        <f ca="1">IF(OFFSET('IWP26'!Std9BillingInfo12, 0, 0, 1, 1) = 0, "", OFFSET('IWP26'!Std9BillingInfo12, 0, 0, 1, 1))</f>
        <v/>
      </c>
      <c r="D2609" s="172">
        <f ca="1">IF(OFFSET('IWP26'!Std9BillingInfo12, 0, 1, 1, 1)=DATE(1900,1,0), DATE(1900,1,1), OFFSET('IWP26'!Std9BillingInfo12, 0, 1, 1, 1))</f>
        <v>1</v>
      </c>
      <c r="E2609" s="172">
        <f ca="1">IF(OFFSET('IWP26'!Std9BillingInfo12, 0, 2, 1, 1)=DATE(1900,1,0), DATE(1900,1,1), OFFSET('IWP26'!Std9BillingInfo12, 0, 2, 1, 1))</f>
        <v>1</v>
      </c>
      <c r="F2609" s="187">
        <f ca="1">OFFSET('IWP26'!Std9BillingInfo12, 0, 3, 1, 1)</f>
        <v>0</v>
      </c>
      <c r="G2609" s="187">
        <f ca="1">OFFSET('IWP26'!Std9BillingInfo12, 10, 6, 1, 1)</f>
        <v>0</v>
      </c>
      <c r="H2609" s="187">
        <f ca="1">OFFSET('IWP26'!Std9BillingInfo12, 11, 6, 1, 1)</f>
        <v>0</v>
      </c>
      <c r="I2609" s="187">
        <f ca="1">OFFSET('IWP26'!Std9BillingInfo12, 10, 8, 1, 1)</f>
        <v>0</v>
      </c>
      <c r="J2609" s="187">
        <f ca="1">OFFSET('IWP26'!Std9BillingInfo12, 10, 11, 1, 1)</f>
        <v>0</v>
      </c>
      <c r="K2609" s="187">
        <f ca="1">OFFSET('IWP26'!Std9BillingInfo12, 10, 12, 1, 1)</f>
        <v>0</v>
      </c>
      <c r="L2609" s="179">
        <f ca="1">OFFSET('IWP26'!Std9BillingInfo12, 12, 8, 1, 1)</f>
        <v>0</v>
      </c>
      <c r="M2609" s="129"/>
    </row>
    <row r="2610" spans="1:13" s="146" customFormat="1">
      <c r="A2610" s="183" t="s">
        <v>524</v>
      </c>
      <c r="B2610" s="196">
        <v>13</v>
      </c>
      <c r="C2610" s="195" t="str">
        <f ca="1">IF(OFFSET('IWP26'!Std9BillingInfo13, 0, 0, 1, 1) = 0, "", OFFSET('IWP26'!Std9BillingInfo13, 0, 0, 1, 1))</f>
        <v/>
      </c>
      <c r="D2610" s="172">
        <f ca="1">IF(OFFSET('IWP26'!Std9BillingInfo13, 0, 1, 1, 1)=DATE(1900,1,0), DATE(1900,1,1), OFFSET('IWP26'!Std9BillingInfo13, 0, 1, 1, 1))</f>
        <v>1</v>
      </c>
      <c r="E2610" s="172">
        <f ca="1">IF(OFFSET('IWP26'!Std9BillingInfo13, 0, 2, 1, 1)=DATE(1900,1,0), DATE(1900,1,1), OFFSET('IWP26'!Std9BillingInfo13, 0, 2, 1, 1))</f>
        <v>1</v>
      </c>
      <c r="F2610" s="187">
        <f ca="1">OFFSET('IWP26'!Std9BillingInfo13, 0, 3, 1, 1)</f>
        <v>0</v>
      </c>
      <c r="G2610" s="187">
        <f ca="1">OFFSET('IWP26'!Std9BillingInfo13, 10, 6, 1, 1)</f>
        <v>0</v>
      </c>
      <c r="H2610" s="187">
        <f ca="1">OFFSET('IWP26'!Std9BillingInfo13, 11, 6, 1, 1)</f>
        <v>0</v>
      </c>
      <c r="I2610" s="187">
        <f ca="1">OFFSET('IWP26'!Std9BillingInfo13, 10, 8, 1, 1)</f>
        <v>0</v>
      </c>
      <c r="J2610" s="187">
        <f ca="1">OFFSET('IWP26'!Std9BillingInfo13, 10, 11, 1, 1)</f>
        <v>0</v>
      </c>
      <c r="K2610" s="187">
        <f ca="1">OFFSET('IWP26'!Std9BillingInfo13, 10, 12, 1, 1)</f>
        <v>0</v>
      </c>
      <c r="L2610" s="179">
        <f ca="1">OFFSET('IWP26'!Std9BillingInfo13, 12, 8, 1, 1)</f>
        <v>0</v>
      </c>
      <c r="M2610" s="129"/>
    </row>
    <row r="2611" spans="1:13" s="146" customFormat="1">
      <c r="A2611" s="183" t="s">
        <v>524</v>
      </c>
      <c r="B2611" s="196">
        <v>14</v>
      </c>
      <c r="C2611" s="195" t="str">
        <f ca="1">IF(OFFSET('IWP26'!Std9BillingInfo14, 0, 0, 1, 1) = 0, "", OFFSET('IWP26'!Std9BillingInfo14, 0, 0, 1, 1))</f>
        <v/>
      </c>
      <c r="D2611" s="172">
        <f ca="1">IF(OFFSET('IWP26'!Std9BillingInfo14, 0, 1, 1, 1)=DATE(1900,1,0), DATE(1900,1,1), OFFSET('IWP26'!Std9BillingInfo14, 0, 1, 1, 1))</f>
        <v>1</v>
      </c>
      <c r="E2611" s="172">
        <f ca="1">IF(OFFSET('IWP26'!Std9BillingInfo14, 0, 2, 1, 1)=DATE(1900,1,0), DATE(1900,1,1), OFFSET('IWP26'!Std9BillingInfo14, 0, 2, 1, 1))</f>
        <v>1</v>
      </c>
      <c r="F2611" s="187">
        <f ca="1">OFFSET('IWP26'!Std9BillingInfo14, 0, 3, 1, 1)</f>
        <v>0</v>
      </c>
      <c r="G2611" s="187">
        <f ca="1">OFFSET('IWP26'!Std9BillingInfo14, 10, 6, 1, 1)</f>
        <v>0</v>
      </c>
      <c r="H2611" s="187">
        <f ca="1">OFFSET('IWP26'!Std9BillingInfo14, 11, 6, 1, 1)</f>
        <v>0</v>
      </c>
      <c r="I2611" s="187">
        <f ca="1">OFFSET('IWP26'!Std9BillingInfo14, 10, 8, 1, 1)</f>
        <v>0</v>
      </c>
      <c r="J2611" s="187">
        <f ca="1">OFFSET('IWP26'!Std9BillingInfo14, 10, 11, 1, 1)</f>
        <v>0</v>
      </c>
      <c r="K2611" s="187">
        <f ca="1">OFFSET('IWP26'!Std9BillingInfo14, 10, 12, 1, 1)</f>
        <v>0</v>
      </c>
      <c r="L2611" s="179">
        <f ca="1">OFFSET('IWP26'!Std9BillingInfo14, 12, 8, 1, 1)</f>
        <v>0</v>
      </c>
      <c r="M2611" s="129"/>
    </row>
    <row r="2612" spans="1:13" s="146" customFormat="1">
      <c r="A2612" s="183" t="s">
        <v>524</v>
      </c>
      <c r="B2612" s="196">
        <v>15</v>
      </c>
      <c r="C2612" s="195" t="str">
        <f ca="1">IF(OFFSET('IWP26'!Std9BillingInfo15, 0, 0, 1, 1) = 0, "", OFFSET('IWP26'!Std9BillingInfo15, 0, 0, 1, 1))</f>
        <v/>
      </c>
      <c r="D2612" s="172">
        <f ca="1">IF(OFFSET('IWP26'!Std9BillingInfo15, 0, 1, 1, 1)=DATE(1900,1,0), DATE(1900,1,1), OFFSET('IWP26'!Std9BillingInfo15, 0, 1, 1, 1))</f>
        <v>1</v>
      </c>
      <c r="E2612" s="172">
        <f ca="1">IF(OFFSET('IWP26'!Std9BillingInfo15, 0, 2, 1, 1)=DATE(1900,1,0), DATE(1900,1,1), OFFSET('IWP26'!Std9BillingInfo15, 0, 2, 1, 1))</f>
        <v>1</v>
      </c>
      <c r="F2612" s="187">
        <f ca="1">OFFSET('IWP26'!Std9BillingInfo15, 0, 3, 1, 1)</f>
        <v>0</v>
      </c>
      <c r="G2612" s="187">
        <f ca="1">OFFSET('IWP26'!Std9BillingInfo15, 10, 6, 1, 1)</f>
        <v>0</v>
      </c>
      <c r="H2612" s="187">
        <f ca="1">OFFSET('IWP26'!Std9BillingInfo15, 11, 6, 1, 1)</f>
        <v>0</v>
      </c>
      <c r="I2612" s="187">
        <f ca="1">OFFSET('IWP26'!Std9BillingInfo15, 10, 8, 1, 1)</f>
        <v>0</v>
      </c>
      <c r="J2612" s="187">
        <f ca="1">OFFSET('IWP26'!Std9BillingInfo15, 10, 11, 1, 1)</f>
        <v>0</v>
      </c>
      <c r="K2612" s="187">
        <f ca="1">OFFSET('IWP26'!Std9BillingInfo15, 10, 12, 1, 1)</f>
        <v>0</v>
      </c>
      <c r="L2612" s="179">
        <f ca="1">OFFSET('IWP26'!Std9BillingInfo15, 12, 8, 1, 1)</f>
        <v>0</v>
      </c>
      <c r="M2612" s="129"/>
    </row>
    <row r="2613" spans="1:13" s="146" customFormat="1">
      <c r="A2613" s="183" t="s">
        <v>524</v>
      </c>
      <c r="B2613" s="196">
        <v>16</v>
      </c>
      <c r="C2613" s="195" t="str">
        <f ca="1">IF(OFFSET('IWP26'!Std9BillingInfo16, 0, 0, 1, 1) = 0, "", OFFSET('IWP26'!Std9BillingInfo16, 0, 0, 1, 1))</f>
        <v/>
      </c>
      <c r="D2613" s="172">
        <f ca="1">IF(OFFSET('IWP26'!Std9BillingInfo16, 0, 1, 1, 1)=DATE(1900,1,0), DATE(1900,1,1), OFFSET('IWP26'!Std9BillingInfo16, 0, 1, 1, 1))</f>
        <v>1</v>
      </c>
      <c r="E2613" s="172">
        <f ca="1">IF(OFFSET('IWP26'!Std9BillingInfo16, 0, 2, 1, 1)=DATE(1900,1,0), DATE(1900,1,1), OFFSET('IWP26'!Std9BillingInfo16, 0, 2, 1, 1))</f>
        <v>1</v>
      </c>
      <c r="F2613" s="187">
        <f ca="1">OFFSET('IWP26'!Std9BillingInfo16, 0, 3, 1, 1)</f>
        <v>0</v>
      </c>
      <c r="G2613" s="187">
        <f ca="1">OFFSET('IWP26'!Std9BillingInfo16, 10, 6, 1, 1)</f>
        <v>0</v>
      </c>
      <c r="H2613" s="187">
        <f ca="1">OFFSET('IWP26'!Std9BillingInfo16, 11, 6, 1, 1)</f>
        <v>0</v>
      </c>
      <c r="I2613" s="187">
        <f ca="1">OFFSET('IWP26'!Std9BillingInfo16, 10, 8, 1, 1)</f>
        <v>0</v>
      </c>
      <c r="J2613" s="187">
        <f ca="1">OFFSET('IWP26'!Std9BillingInfo16, 10, 11, 1, 1)</f>
        <v>0</v>
      </c>
      <c r="K2613" s="187">
        <f ca="1">OFFSET('IWP26'!Std9BillingInfo16, 10, 12, 1, 1)</f>
        <v>0</v>
      </c>
      <c r="L2613" s="179">
        <f ca="1">OFFSET('IWP26'!Std9BillingInfo16, 12, 8, 1, 1)</f>
        <v>0</v>
      </c>
      <c r="M2613" s="129"/>
    </row>
    <row r="2614" spans="1:13" s="146" customFormat="1">
      <c r="A2614" s="183" t="s">
        <v>524</v>
      </c>
      <c r="B2614" s="196">
        <v>17</v>
      </c>
      <c r="C2614" s="195" t="str">
        <f ca="1">IF(OFFSET('IWP26'!Std9BillingInfo17, 0, 0, 1, 1) = 0, "", OFFSET('IWP26'!Std9BillingInfo17, 0, 0, 1, 1))</f>
        <v/>
      </c>
      <c r="D2614" s="172">
        <f ca="1">IF(OFFSET('IWP26'!Std9BillingInfo17, 0, 1, 1, 1)=DATE(1900,1,0), DATE(1900,1,1), OFFSET('IWP26'!Std9BillingInfo17, 0, 1, 1, 1))</f>
        <v>1</v>
      </c>
      <c r="E2614" s="172">
        <f ca="1">IF(OFFSET('IWP26'!Std9BillingInfo17, 0, 2, 1, 1)=DATE(1900,1,0), DATE(1900,1,1), OFFSET('IWP26'!Std9BillingInfo17, 0, 2, 1, 1))</f>
        <v>1</v>
      </c>
      <c r="F2614" s="187">
        <f ca="1">OFFSET('IWP26'!Std9BillingInfo17, 0, 3, 1, 1)</f>
        <v>0</v>
      </c>
      <c r="G2614" s="187">
        <f ca="1">OFFSET('IWP26'!Std9BillingInfo17, 10, 6, 1, 1)</f>
        <v>0</v>
      </c>
      <c r="H2614" s="187">
        <f ca="1">OFFSET('IWP26'!Std9BillingInfo17, 11, 6, 1, 1)</f>
        <v>0</v>
      </c>
      <c r="I2614" s="187">
        <f ca="1">OFFSET('IWP26'!Std9BillingInfo17, 10, 8, 1, 1)</f>
        <v>0</v>
      </c>
      <c r="J2614" s="187">
        <f ca="1">OFFSET('IWP26'!Std9BillingInfo17, 10, 11, 1, 1)</f>
        <v>0</v>
      </c>
      <c r="K2614" s="187">
        <f ca="1">OFFSET('IWP26'!Std9BillingInfo17, 10, 12, 1, 1)</f>
        <v>0</v>
      </c>
      <c r="L2614" s="179">
        <f ca="1">OFFSET('IWP26'!Std9BillingInfo17, 12, 8, 1, 1)</f>
        <v>0</v>
      </c>
      <c r="M2614" s="129"/>
    </row>
    <row r="2615" spans="1:13" s="146" customFormat="1">
      <c r="A2615" s="183" t="s">
        <v>524</v>
      </c>
      <c r="B2615" s="196">
        <v>18</v>
      </c>
      <c r="C2615" s="195" t="str">
        <f ca="1">IF(OFFSET('IWP26'!Std9BillingInfo18, 0, 0, 1, 1) = 0, "", OFFSET('IWP26'!Std9BillingInfo18, 0, 0, 1, 1))</f>
        <v/>
      </c>
      <c r="D2615" s="172">
        <f ca="1">IF(OFFSET('IWP26'!Std9BillingInfo18, 0, 1, 1, 1)=DATE(1900,1,0), DATE(1900,1,1), OFFSET('IWP26'!Std9BillingInfo18, 0, 1, 1, 1))</f>
        <v>1</v>
      </c>
      <c r="E2615" s="172">
        <f ca="1">IF(OFFSET('IWP26'!Std9BillingInfo18, 0, 2, 1, 1)=DATE(1900,1,0), DATE(1900,1,1), OFFSET('IWP26'!Std9BillingInfo18, 0, 2, 1, 1))</f>
        <v>1</v>
      </c>
      <c r="F2615" s="187">
        <f ca="1">OFFSET('IWP26'!Std9BillingInfo18, 0, 3, 1, 1)</f>
        <v>0</v>
      </c>
      <c r="G2615" s="187">
        <f ca="1">OFFSET('IWP26'!Std9BillingInfo18, 10, 6, 1, 1)</f>
        <v>0</v>
      </c>
      <c r="H2615" s="187">
        <f ca="1">OFFSET('IWP26'!Std9BillingInfo18, 11, 6, 1, 1)</f>
        <v>0</v>
      </c>
      <c r="I2615" s="187">
        <f ca="1">OFFSET('IWP26'!Std9BillingInfo18, 10, 8, 1, 1)</f>
        <v>0</v>
      </c>
      <c r="J2615" s="187">
        <f ca="1">OFFSET('IWP26'!Std9BillingInfo18, 10, 11, 1, 1)</f>
        <v>0</v>
      </c>
      <c r="K2615" s="187">
        <f ca="1">OFFSET('IWP26'!Std9BillingInfo18, 10, 12, 1, 1)</f>
        <v>0</v>
      </c>
      <c r="L2615" s="179">
        <f ca="1">OFFSET('IWP26'!Std9BillingInfo18, 12, 8, 1, 1)</f>
        <v>0</v>
      </c>
      <c r="M2615" s="129"/>
    </row>
    <row r="2616" spans="1:13" s="146" customFormat="1">
      <c r="A2616" s="183" t="s">
        <v>525</v>
      </c>
      <c r="B2616" s="196">
        <v>1</v>
      </c>
      <c r="C2616" s="195" t="str">
        <f ca="1">IF(OFFSET('IWP27'!Std9BillingInfo01, 0, 0, 1, 1) = 0, "", OFFSET('IWP27'!Std9BillingInfo01, 0, 0, 1, 1))</f>
        <v/>
      </c>
      <c r="D2616" s="172">
        <f ca="1">IF(OFFSET('IWP27'!Std9BillingInfo01, 0, 1, 1, 1)=DATE(1900,1,0), DATE(1900,1,1), OFFSET('IWP27'!Std9BillingInfo01, 0, 1, 1, 1))</f>
        <v>1</v>
      </c>
      <c r="E2616" s="172">
        <f ca="1">IF(OFFSET('IWP27'!Std9BillingInfo01, 0, 2, 1, 1)=DATE(1900,1,0), DATE(1900,1,1), OFFSET('IWP27'!Std9BillingInfo01, 0, 2, 1, 1))</f>
        <v>1</v>
      </c>
      <c r="F2616" s="187">
        <f ca="1">OFFSET('IWP27'!Std9BillingInfo01, 0, 3, 1, 1)</f>
        <v>0</v>
      </c>
      <c r="G2616" s="187">
        <f ca="1">OFFSET('IWP27'!Std9BillingInfo01, 10, 6, 1, 1)</f>
        <v>0</v>
      </c>
      <c r="H2616" s="187">
        <f ca="1">OFFSET('IWP27'!Std9BillingInfo01, 11, 6, 1, 1)</f>
        <v>0</v>
      </c>
      <c r="I2616" s="187">
        <f ca="1">OFFSET('IWP27'!Std9BillingInfo01, 10, 8, 1, 1)</f>
        <v>0</v>
      </c>
      <c r="J2616" s="187">
        <f ca="1">OFFSET('IWP27'!Std9BillingInfo01, 10, 11, 1, 1)</f>
        <v>0</v>
      </c>
      <c r="K2616" s="187">
        <f ca="1">OFFSET('IWP27'!Std9BillingInfo01, 10, 12, 1, 1)</f>
        <v>0</v>
      </c>
      <c r="L2616" s="179">
        <f ca="1">OFFSET('IWP27'!Std9BillingInfo01, 12, 8, 1, 1)</f>
        <v>0</v>
      </c>
      <c r="M2616" s="129"/>
    </row>
    <row r="2617" spans="1:13" s="146" customFormat="1">
      <c r="A2617" s="183" t="s">
        <v>525</v>
      </c>
      <c r="B2617" s="196">
        <v>2</v>
      </c>
      <c r="C2617" s="195" t="str">
        <f ca="1">IF(OFFSET('IWP27'!Std9BillingInfo02, 0, 0, 1, 1) = 0, "", OFFSET('IWP27'!Std9BillingInfo02, 0, 0, 1, 1))</f>
        <v/>
      </c>
      <c r="D2617" s="172">
        <f ca="1">IF(OFFSET('IWP27'!Std9BillingInfo02, 0, 1, 1, 1)=DATE(1900,1,0), DATE(1900,1,1), OFFSET('IWP27'!Std9BillingInfo02, 0, 1, 1, 1))</f>
        <v>1</v>
      </c>
      <c r="E2617" s="172">
        <f ca="1">IF(OFFSET('IWP27'!Std9BillingInfo02, 0, 2, 1, 1)=DATE(1900,1,0), DATE(1900,1,1), OFFSET('IWP27'!Std9BillingInfo02, 0, 2, 1, 1))</f>
        <v>1</v>
      </c>
      <c r="F2617" s="187">
        <f ca="1">OFFSET('IWP27'!Std9BillingInfo02, 0, 3, 1, 1)</f>
        <v>0</v>
      </c>
      <c r="G2617" s="187">
        <f ca="1">OFFSET('IWP27'!Std9BillingInfo02, 10, 6, 1, 1)</f>
        <v>0</v>
      </c>
      <c r="H2617" s="187">
        <f ca="1">OFFSET('IWP27'!Std9BillingInfo02, 11, 6, 1, 1)</f>
        <v>0</v>
      </c>
      <c r="I2617" s="187">
        <f ca="1">OFFSET('IWP27'!Std9BillingInfo02, 10, 8, 1, 1)</f>
        <v>0</v>
      </c>
      <c r="J2617" s="187">
        <f ca="1">OFFSET('IWP27'!Std9BillingInfo02, 10, 11, 1, 1)</f>
        <v>0</v>
      </c>
      <c r="K2617" s="187">
        <f ca="1">OFFSET('IWP27'!Std9BillingInfo02, 10, 12, 1, 1)</f>
        <v>0</v>
      </c>
      <c r="L2617" s="179">
        <f ca="1">OFFSET('IWP27'!Std9BillingInfo02, 12, 8, 1, 1)</f>
        <v>0</v>
      </c>
      <c r="M2617" s="129"/>
    </row>
    <row r="2618" spans="1:13" s="146" customFormat="1">
      <c r="A2618" s="183" t="s">
        <v>525</v>
      </c>
      <c r="B2618" s="196">
        <v>3</v>
      </c>
      <c r="C2618" s="195" t="str">
        <f ca="1">IF(OFFSET('IWP27'!Std9BillingInfo03, 0, 0, 1, 1) = 0, "", OFFSET('IWP27'!Std9BillingInfo03, 0, 0, 1, 1))</f>
        <v/>
      </c>
      <c r="D2618" s="172">
        <f ca="1">IF(OFFSET('IWP27'!Std9BillingInfo03, 0, 1, 1, 1)=DATE(1900,1,0), DATE(1900,1,1), OFFSET('IWP27'!Std9BillingInfo03, 0, 1, 1, 1))</f>
        <v>1</v>
      </c>
      <c r="E2618" s="172">
        <f ca="1">IF(OFFSET('IWP27'!Std9BillingInfo03, 0, 2, 1, 1)=DATE(1900,1,0), DATE(1900,1,1), OFFSET('IWP27'!Std9BillingInfo03, 0, 2, 1, 1))</f>
        <v>1</v>
      </c>
      <c r="F2618" s="187">
        <f ca="1">OFFSET('IWP27'!Std9BillingInfo03, 0, 3, 1, 1)</f>
        <v>0</v>
      </c>
      <c r="G2618" s="187">
        <f ca="1">OFFSET('IWP27'!Std9BillingInfo03, 10, 6, 1, 1)</f>
        <v>0</v>
      </c>
      <c r="H2618" s="187">
        <f ca="1">OFFSET('IWP27'!Std9BillingInfo03, 11, 6, 1, 1)</f>
        <v>0</v>
      </c>
      <c r="I2618" s="187">
        <f ca="1">OFFSET('IWP27'!Std9BillingInfo03, 10, 8, 1, 1)</f>
        <v>0</v>
      </c>
      <c r="J2618" s="187">
        <f ca="1">OFFSET('IWP27'!Std9BillingInfo03, 10, 11, 1, 1)</f>
        <v>0</v>
      </c>
      <c r="K2618" s="187">
        <f ca="1">OFFSET('IWP27'!Std9BillingInfo03, 10, 12, 1, 1)</f>
        <v>0</v>
      </c>
      <c r="L2618" s="179">
        <f ca="1">OFFSET('IWP27'!Std9BillingInfo03, 12, 8, 1, 1)</f>
        <v>0</v>
      </c>
      <c r="M2618" s="129"/>
    </row>
    <row r="2619" spans="1:13" s="146" customFormat="1">
      <c r="A2619" s="183" t="s">
        <v>525</v>
      </c>
      <c r="B2619" s="196">
        <v>4</v>
      </c>
      <c r="C2619" s="195" t="str">
        <f ca="1">IF(OFFSET('IWP27'!Std9BillingInfo04, 0, 0, 1, 1) = 0, "", OFFSET('IWP27'!Std9BillingInfo04, 0, 0, 1, 1))</f>
        <v/>
      </c>
      <c r="D2619" s="172">
        <f ca="1">IF(OFFSET('IWP27'!Std9BillingInfo04, 0, 1, 1, 1)=DATE(1900,1,0), DATE(1900,1,1), OFFSET('IWP27'!Std9BillingInfo04, 0, 1, 1, 1))</f>
        <v>1</v>
      </c>
      <c r="E2619" s="172">
        <f ca="1">IF(OFFSET('IWP27'!Std9BillingInfo04, 0, 2, 1, 1)=DATE(1900,1,0), DATE(1900,1,1), OFFSET('IWP27'!Std9BillingInfo04, 0, 2, 1, 1))</f>
        <v>1</v>
      </c>
      <c r="F2619" s="187">
        <f ca="1">OFFSET('IWP27'!Std9BillingInfo04, 0, 3, 1, 1)</f>
        <v>0</v>
      </c>
      <c r="G2619" s="187">
        <f ca="1">OFFSET('IWP27'!Std9BillingInfo04, 10, 6, 1, 1)</f>
        <v>0</v>
      </c>
      <c r="H2619" s="187">
        <f ca="1">OFFSET('IWP27'!Std9BillingInfo04, 11, 6, 1, 1)</f>
        <v>0</v>
      </c>
      <c r="I2619" s="187">
        <f ca="1">OFFSET('IWP27'!Std9BillingInfo04, 10, 8, 1, 1)</f>
        <v>0</v>
      </c>
      <c r="J2619" s="187">
        <f ca="1">OFFSET('IWP27'!Std9BillingInfo04, 10, 11, 1, 1)</f>
        <v>0</v>
      </c>
      <c r="K2619" s="187">
        <f ca="1">OFFSET('IWP27'!Std9BillingInfo04, 10, 12, 1, 1)</f>
        <v>0</v>
      </c>
      <c r="L2619" s="179">
        <f ca="1">OFFSET('IWP27'!Std9BillingInfo04, 12, 8, 1, 1)</f>
        <v>0</v>
      </c>
      <c r="M2619" s="129"/>
    </row>
    <row r="2620" spans="1:13" s="146" customFormat="1">
      <c r="A2620" s="183" t="s">
        <v>525</v>
      </c>
      <c r="B2620" s="196">
        <v>5</v>
      </c>
      <c r="C2620" s="195" t="str">
        <f ca="1">IF(OFFSET('IWP27'!Std9BillingInfo05, 0, 0, 1, 1) = 0, "", OFFSET('IWP27'!Std9BillingInfo05, 0, 0, 1, 1))</f>
        <v/>
      </c>
      <c r="D2620" s="172">
        <f ca="1">IF(OFFSET('IWP27'!Std9BillingInfo05, 0, 1, 1, 1)=DATE(1900,1,0), DATE(1900,1,1), OFFSET('IWP27'!Std9BillingInfo05, 0, 1, 1, 1))</f>
        <v>1</v>
      </c>
      <c r="E2620" s="172">
        <f ca="1">IF(OFFSET('IWP27'!Std9BillingInfo05, 0, 2, 1, 1)=DATE(1900,1,0), DATE(1900,1,1), OFFSET('IWP27'!Std9BillingInfo05, 0, 2, 1, 1))</f>
        <v>1</v>
      </c>
      <c r="F2620" s="187">
        <f ca="1">OFFSET('IWP27'!Std9BillingInfo05, 0, 3, 1, 1)</f>
        <v>0</v>
      </c>
      <c r="G2620" s="187">
        <f ca="1">OFFSET('IWP27'!Std9BillingInfo05, 10, 6, 1, 1)</f>
        <v>0</v>
      </c>
      <c r="H2620" s="187">
        <f ca="1">OFFSET('IWP27'!Std9BillingInfo05, 11, 6, 1, 1)</f>
        <v>0</v>
      </c>
      <c r="I2620" s="187">
        <f ca="1">OFFSET('IWP27'!Std9BillingInfo05, 10, 8, 1, 1)</f>
        <v>0</v>
      </c>
      <c r="J2620" s="187">
        <f ca="1">OFFSET('IWP27'!Std9BillingInfo05, 10, 11, 1, 1)</f>
        <v>0</v>
      </c>
      <c r="K2620" s="187">
        <f ca="1">OFFSET('IWP27'!Std9BillingInfo05, 10, 12, 1, 1)</f>
        <v>0</v>
      </c>
      <c r="L2620" s="179">
        <f ca="1">OFFSET('IWP27'!Std9BillingInfo05, 12, 8, 1, 1)</f>
        <v>0</v>
      </c>
      <c r="M2620" s="129"/>
    </row>
    <row r="2621" spans="1:13" s="146" customFormat="1">
      <c r="A2621" s="183" t="s">
        <v>525</v>
      </c>
      <c r="B2621" s="196">
        <v>6</v>
      </c>
      <c r="C2621" s="195" t="str">
        <f ca="1">IF(OFFSET('IWP27'!Std9BillingInfo06, 0, 0, 1, 1) = 0, "", OFFSET('IWP27'!Std9BillingInfo06, 0, 0, 1, 1))</f>
        <v/>
      </c>
      <c r="D2621" s="172">
        <f ca="1">IF(OFFSET('IWP27'!Std9BillingInfo06, 0, 1, 1, 1)=DATE(1900,1,0), DATE(1900,1,1), OFFSET('IWP27'!Std9BillingInfo06, 0, 1, 1, 1))</f>
        <v>1</v>
      </c>
      <c r="E2621" s="172">
        <f ca="1">IF(OFFSET('IWP27'!Std9BillingInfo06, 0, 2, 1, 1)=DATE(1900,1,0), DATE(1900,1,1), OFFSET('IWP27'!Std9BillingInfo06, 0, 2, 1, 1))</f>
        <v>1</v>
      </c>
      <c r="F2621" s="187">
        <f ca="1">OFFSET('IWP27'!Std9BillingInfo06, 0, 3, 1, 1)</f>
        <v>0</v>
      </c>
      <c r="G2621" s="187">
        <f ca="1">OFFSET('IWP27'!Std9BillingInfo06, 10, 6, 1, 1)</f>
        <v>0</v>
      </c>
      <c r="H2621" s="187">
        <f ca="1">OFFSET('IWP27'!Std9BillingInfo06, 11, 6, 1, 1)</f>
        <v>0</v>
      </c>
      <c r="I2621" s="187">
        <f ca="1">OFFSET('IWP27'!Std9BillingInfo06, 10, 8, 1, 1)</f>
        <v>0</v>
      </c>
      <c r="J2621" s="187">
        <f ca="1">OFFSET('IWP27'!Std9BillingInfo06, 10, 11, 1, 1)</f>
        <v>0</v>
      </c>
      <c r="K2621" s="187">
        <f ca="1">OFFSET('IWP27'!Std9BillingInfo06, 10, 12, 1, 1)</f>
        <v>0</v>
      </c>
      <c r="L2621" s="179">
        <f ca="1">OFFSET('IWP27'!Std9BillingInfo06, 12, 8, 1, 1)</f>
        <v>0</v>
      </c>
      <c r="M2621" s="129"/>
    </row>
    <row r="2622" spans="1:13" s="146" customFormat="1">
      <c r="A2622" s="183" t="s">
        <v>525</v>
      </c>
      <c r="B2622" s="196">
        <v>7</v>
      </c>
      <c r="C2622" s="195" t="str">
        <f ca="1">IF(OFFSET('IWP27'!Std9BillingInfo07, 0, 0, 1, 1) = 0, "", OFFSET('IWP27'!Std9BillingInfo07, 0, 0, 1, 1))</f>
        <v/>
      </c>
      <c r="D2622" s="172">
        <f ca="1">IF(OFFSET('IWP27'!Std9BillingInfo07, 0, 1, 1, 1)=DATE(1900,1,0), DATE(1900,1,1), OFFSET('IWP27'!Std9BillingInfo07, 0, 1, 1, 1))</f>
        <v>1</v>
      </c>
      <c r="E2622" s="172">
        <f ca="1">IF(OFFSET('IWP27'!Std9BillingInfo07, 0, 2, 1, 1)=DATE(1900,1,0), DATE(1900,1,1), OFFSET('IWP27'!Std9BillingInfo07, 0, 2, 1, 1))</f>
        <v>1</v>
      </c>
      <c r="F2622" s="187">
        <f ca="1">OFFSET('IWP27'!Std9BillingInfo07, 0, 3, 1, 1)</f>
        <v>0</v>
      </c>
      <c r="G2622" s="187">
        <f ca="1">OFFSET('IWP27'!Std9BillingInfo07, 10, 6, 1, 1)</f>
        <v>0</v>
      </c>
      <c r="H2622" s="187">
        <f ca="1">OFFSET('IWP27'!Std9BillingInfo07, 11, 6, 1, 1)</f>
        <v>0</v>
      </c>
      <c r="I2622" s="187">
        <f ca="1">OFFSET('IWP27'!Std9BillingInfo07, 10, 8, 1, 1)</f>
        <v>0</v>
      </c>
      <c r="J2622" s="187">
        <f ca="1">OFFSET('IWP27'!Std9BillingInfo07, 10, 11, 1, 1)</f>
        <v>0</v>
      </c>
      <c r="K2622" s="187">
        <f ca="1">OFFSET('IWP27'!Std9BillingInfo07, 10, 12, 1, 1)</f>
        <v>0</v>
      </c>
      <c r="L2622" s="179">
        <f ca="1">OFFSET('IWP27'!Std9BillingInfo07, 12, 8, 1, 1)</f>
        <v>0</v>
      </c>
      <c r="M2622" s="129"/>
    </row>
    <row r="2623" spans="1:13" s="146" customFormat="1">
      <c r="A2623" s="183" t="s">
        <v>525</v>
      </c>
      <c r="B2623" s="196">
        <v>8</v>
      </c>
      <c r="C2623" s="195" t="str">
        <f ca="1">IF(OFFSET('IWP27'!Std9BillingInfo08, 0, 0, 1, 1) = 0, "", OFFSET('IWP27'!Std9BillingInfo08, 0, 0, 1, 1))</f>
        <v/>
      </c>
      <c r="D2623" s="172">
        <f ca="1">IF(OFFSET('IWP27'!Std9BillingInfo08, 0, 1, 1, 1)=DATE(1900,1,0), DATE(1900,1,1), OFFSET('IWP27'!Std9BillingInfo08, 0, 1, 1, 1))</f>
        <v>1</v>
      </c>
      <c r="E2623" s="172">
        <f ca="1">IF(OFFSET('IWP27'!Std9BillingInfo08, 0, 2, 1, 1)=DATE(1900,1,0), DATE(1900,1,1), OFFSET('IWP27'!Std9BillingInfo08, 0, 2, 1, 1))</f>
        <v>1</v>
      </c>
      <c r="F2623" s="187">
        <f ca="1">OFFSET('IWP27'!Std9BillingInfo08, 0, 3, 1, 1)</f>
        <v>0</v>
      </c>
      <c r="G2623" s="187">
        <f ca="1">OFFSET('IWP27'!Std9BillingInfo08, 10, 6, 1, 1)</f>
        <v>0</v>
      </c>
      <c r="H2623" s="187">
        <f ca="1">OFFSET('IWP27'!Std9BillingInfo08, 11, 6, 1, 1)</f>
        <v>0</v>
      </c>
      <c r="I2623" s="187">
        <f ca="1">OFFSET('IWP27'!Std9BillingInfo08, 10, 8, 1, 1)</f>
        <v>0</v>
      </c>
      <c r="J2623" s="187">
        <f ca="1">OFFSET('IWP27'!Std9BillingInfo08, 10, 11, 1, 1)</f>
        <v>0</v>
      </c>
      <c r="K2623" s="187">
        <f ca="1">OFFSET('IWP27'!Std9BillingInfo08, 10, 12, 1, 1)</f>
        <v>0</v>
      </c>
      <c r="L2623" s="179">
        <f ca="1">OFFSET('IWP27'!Std9BillingInfo08, 12, 8, 1, 1)</f>
        <v>0</v>
      </c>
      <c r="M2623" s="129"/>
    </row>
    <row r="2624" spans="1:13" s="146" customFormat="1">
      <c r="A2624" s="183" t="s">
        <v>525</v>
      </c>
      <c r="B2624" s="196">
        <v>9</v>
      </c>
      <c r="C2624" s="195" t="str">
        <f ca="1">IF(OFFSET('IWP27'!Std9BillingInfo09, 0, 0, 1, 1) = 0, "", OFFSET('IWP27'!Std9BillingInfo09, 0, 0, 1, 1))</f>
        <v/>
      </c>
      <c r="D2624" s="172">
        <f ca="1">IF(OFFSET('IWP27'!Std9BillingInfo09, 0, 1, 1, 1)=DATE(1900,1,0), DATE(1900,1,1), OFFSET('IWP27'!Std9BillingInfo09, 0, 1, 1, 1))</f>
        <v>1</v>
      </c>
      <c r="E2624" s="172">
        <f ca="1">IF(OFFSET('IWP27'!Std9BillingInfo09, 0, 2, 1, 1)=DATE(1900,1,0), DATE(1900,1,1), OFFSET('IWP27'!Std9BillingInfo09, 0, 2, 1, 1))</f>
        <v>1</v>
      </c>
      <c r="F2624" s="187">
        <f ca="1">OFFSET('IWP27'!Std9BillingInfo09, 0, 3, 1, 1)</f>
        <v>0</v>
      </c>
      <c r="G2624" s="187">
        <f ca="1">OFFSET('IWP27'!Std9BillingInfo09, 10, 6, 1, 1)</f>
        <v>0</v>
      </c>
      <c r="H2624" s="187">
        <f ca="1">OFFSET('IWP27'!Std9BillingInfo09, 11, 6, 1, 1)</f>
        <v>0</v>
      </c>
      <c r="I2624" s="187">
        <f ca="1">OFFSET('IWP27'!Std9BillingInfo09, 10, 8, 1, 1)</f>
        <v>0</v>
      </c>
      <c r="J2624" s="187">
        <f ca="1">OFFSET('IWP27'!Std9BillingInfo09, 10, 11, 1, 1)</f>
        <v>0</v>
      </c>
      <c r="K2624" s="187">
        <f ca="1">OFFSET('IWP27'!Std9BillingInfo09, 10, 12, 1, 1)</f>
        <v>0</v>
      </c>
      <c r="L2624" s="179">
        <f ca="1">OFFSET('IWP27'!Std9BillingInfo09, 12, 8, 1, 1)</f>
        <v>0</v>
      </c>
      <c r="M2624" s="129"/>
    </row>
    <row r="2625" spans="1:13" s="146" customFormat="1">
      <c r="A2625" s="183" t="s">
        <v>525</v>
      </c>
      <c r="B2625" s="196">
        <v>10</v>
      </c>
      <c r="C2625" s="195" t="str">
        <f ca="1">IF(OFFSET('IWP27'!Std9BillingInfo10, 0, 0, 1, 1) = 0, "", OFFSET('IWP27'!Std9BillingInfo10, 0, 0, 1, 1))</f>
        <v/>
      </c>
      <c r="D2625" s="172">
        <f ca="1">IF(OFFSET('IWP27'!Std9BillingInfo10, 0, 1, 1, 1)=DATE(1900,1,0), DATE(1900,1,1), OFFSET('IWP27'!Std9BillingInfo10, 0, 1, 1, 1))</f>
        <v>1</v>
      </c>
      <c r="E2625" s="172">
        <f ca="1">IF(OFFSET('IWP27'!Std9BillingInfo10, 0, 2, 1, 1)=DATE(1900,1,0), DATE(1900,1,1), OFFSET('IWP27'!Std9BillingInfo10, 0, 2, 1, 1))</f>
        <v>1</v>
      </c>
      <c r="F2625" s="187">
        <f ca="1">OFFSET('IWP27'!Std9BillingInfo10, 0, 3, 1, 1)</f>
        <v>0</v>
      </c>
      <c r="G2625" s="187">
        <f ca="1">OFFSET('IWP27'!Std9BillingInfo10, 10, 6, 1, 1)</f>
        <v>0</v>
      </c>
      <c r="H2625" s="187">
        <f ca="1">OFFSET('IWP27'!Std9BillingInfo10, 11, 6, 1, 1)</f>
        <v>0</v>
      </c>
      <c r="I2625" s="187">
        <f ca="1">OFFSET('IWP27'!Std9BillingInfo10, 10, 8, 1, 1)</f>
        <v>0</v>
      </c>
      <c r="J2625" s="187">
        <f ca="1">OFFSET('IWP27'!Std9BillingInfo10, 10, 11, 1, 1)</f>
        <v>0</v>
      </c>
      <c r="K2625" s="187">
        <f ca="1">OFFSET('IWP27'!Std9BillingInfo10, 10, 12, 1, 1)</f>
        <v>0</v>
      </c>
      <c r="L2625" s="179">
        <f ca="1">OFFSET('IWP27'!Std9BillingInfo10, 12, 8, 1, 1)</f>
        <v>0</v>
      </c>
      <c r="M2625" s="129"/>
    </row>
    <row r="2626" spans="1:13" s="146" customFormat="1">
      <c r="A2626" s="183" t="s">
        <v>525</v>
      </c>
      <c r="B2626" s="196">
        <v>11</v>
      </c>
      <c r="C2626" s="195" t="str">
        <f ca="1">IF(OFFSET('IWP27'!Std9BillingInfo11, 0, 0, 1, 1) = 0, "", OFFSET('IWP27'!Std9BillingInfo11, 0, 0, 1, 1))</f>
        <v/>
      </c>
      <c r="D2626" s="172">
        <f ca="1">IF(OFFSET('IWP27'!Std9BillingInfo11, 0, 1, 1, 1)=DATE(1900,1,0), DATE(1900,1,1), OFFSET('IWP27'!Std9BillingInfo11, 0, 1, 1, 1))</f>
        <v>1</v>
      </c>
      <c r="E2626" s="172">
        <f ca="1">IF(OFFSET('IWP27'!Std9BillingInfo11, 0, 2, 1, 1)=DATE(1900,1,0), DATE(1900,1,1), OFFSET('IWP27'!Std9BillingInfo11, 0, 2, 1, 1))</f>
        <v>1</v>
      </c>
      <c r="F2626" s="187">
        <f ca="1">OFFSET('IWP27'!Std9BillingInfo11, 0, 3, 1, 1)</f>
        <v>0</v>
      </c>
      <c r="G2626" s="187">
        <f ca="1">OFFSET('IWP27'!Std9BillingInfo11, 10, 6, 1, 1)</f>
        <v>0</v>
      </c>
      <c r="H2626" s="187">
        <f ca="1">OFFSET('IWP27'!Std9BillingInfo11, 11, 6, 1, 1)</f>
        <v>0</v>
      </c>
      <c r="I2626" s="187">
        <f ca="1">OFFSET('IWP27'!Std9BillingInfo11, 10, 8, 1, 1)</f>
        <v>0</v>
      </c>
      <c r="J2626" s="187">
        <f ca="1">OFFSET('IWP27'!Std9BillingInfo11, 10, 11, 1, 1)</f>
        <v>0</v>
      </c>
      <c r="K2626" s="187">
        <f ca="1">OFFSET('IWP27'!Std9BillingInfo11, 10, 12, 1, 1)</f>
        <v>0</v>
      </c>
      <c r="L2626" s="179">
        <f ca="1">OFFSET('IWP27'!Std9BillingInfo11, 12, 8, 1, 1)</f>
        <v>0</v>
      </c>
      <c r="M2626" s="129"/>
    </row>
    <row r="2627" spans="1:13" s="146" customFormat="1">
      <c r="A2627" s="183" t="s">
        <v>525</v>
      </c>
      <c r="B2627" s="196">
        <v>12</v>
      </c>
      <c r="C2627" s="195" t="str">
        <f ca="1">IF(OFFSET('IWP27'!Std9BillingInfo12, 0, 0, 1, 1) = 0, "", OFFSET('IWP27'!Std9BillingInfo12, 0, 0, 1, 1))</f>
        <v/>
      </c>
      <c r="D2627" s="172">
        <f ca="1">IF(OFFSET('IWP27'!Std9BillingInfo12, 0, 1, 1, 1)=DATE(1900,1,0), DATE(1900,1,1), OFFSET('IWP27'!Std9BillingInfo12, 0, 1, 1, 1))</f>
        <v>1</v>
      </c>
      <c r="E2627" s="172">
        <f ca="1">IF(OFFSET('IWP27'!Std9BillingInfo12, 0, 2, 1, 1)=DATE(1900,1,0), DATE(1900,1,1), OFFSET('IWP27'!Std9BillingInfo12, 0, 2, 1, 1))</f>
        <v>1</v>
      </c>
      <c r="F2627" s="187">
        <f ca="1">OFFSET('IWP27'!Std9BillingInfo12, 0, 3, 1, 1)</f>
        <v>0</v>
      </c>
      <c r="G2627" s="187">
        <f ca="1">OFFSET('IWP27'!Std9BillingInfo12, 10, 6, 1, 1)</f>
        <v>0</v>
      </c>
      <c r="H2627" s="187">
        <f ca="1">OFFSET('IWP27'!Std9BillingInfo12, 11, 6, 1, 1)</f>
        <v>0</v>
      </c>
      <c r="I2627" s="187">
        <f ca="1">OFFSET('IWP27'!Std9BillingInfo12, 10, 8, 1, 1)</f>
        <v>0</v>
      </c>
      <c r="J2627" s="187">
        <f ca="1">OFFSET('IWP27'!Std9BillingInfo12, 10, 11, 1, 1)</f>
        <v>0</v>
      </c>
      <c r="K2627" s="187">
        <f ca="1">OFFSET('IWP27'!Std9BillingInfo12, 10, 12, 1, 1)</f>
        <v>0</v>
      </c>
      <c r="L2627" s="179">
        <f ca="1">OFFSET('IWP27'!Std9BillingInfo12, 12, 8, 1, 1)</f>
        <v>0</v>
      </c>
      <c r="M2627" s="129"/>
    </row>
    <row r="2628" spans="1:13" s="146" customFormat="1">
      <c r="A2628" s="183" t="s">
        <v>525</v>
      </c>
      <c r="B2628" s="196">
        <v>13</v>
      </c>
      <c r="C2628" s="195" t="str">
        <f ca="1">IF(OFFSET('IWP27'!Std9BillingInfo13, 0, 0, 1, 1) = 0, "", OFFSET('IWP27'!Std9BillingInfo13, 0, 0, 1, 1))</f>
        <v/>
      </c>
      <c r="D2628" s="172">
        <f ca="1">IF(OFFSET('IWP27'!Std9BillingInfo13, 0, 1, 1, 1)=DATE(1900,1,0), DATE(1900,1,1), OFFSET('IWP27'!Std9BillingInfo13, 0, 1, 1, 1))</f>
        <v>1</v>
      </c>
      <c r="E2628" s="172">
        <f ca="1">IF(OFFSET('IWP27'!Std9BillingInfo13, 0, 2, 1, 1)=DATE(1900,1,0), DATE(1900,1,1), OFFSET('IWP27'!Std9BillingInfo13, 0, 2, 1, 1))</f>
        <v>1</v>
      </c>
      <c r="F2628" s="187">
        <f ca="1">OFFSET('IWP27'!Std9BillingInfo13, 0, 3, 1, 1)</f>
        <v>0</v>
      </c>
      <c r="G2628" s="187">
        <f ca="1">OFFSET('IWP27'!Std9BillingInfo13, 10, 6, 1, 1)</f>
        <v>0</v>
      </c>
      <c r="H2628" s="187">
        <f ca="1">OFFSET('IWP27'!Std9BillingInfo13, 11, 6, 1, 1)</f>
        <v>0</v>
      </c>
      <c r="I2628" s="187">
        <f ca="1">OFFSET('IWP27'!Std9BillingInfo13, 10, 8, 1, 1)</f>
        <v>0</v>
      </c>
      <c r="J2628" s="187">
        <f ca="1">OFFSET('IWP27'!Std9BillingInfo13, 10, 11, 1, 1)</f>
        <v>0</v>
      </c>
      <c r="K2628" s="187">
        <f ca="1">OFFSET('IWP27'!Std9BillingInfo13, 10, 12, 1, 1)</f>
        <v>0</v>
      </c>
      <c r="L2628" s="179">
        <f ca="1">OFFSET('IWP27'!Std9BillingInfo13, 12, 8, 1, 1)</f>
        <v>0</v>
      </c>
      <c r="M2628" s="129"/>
    </row>
    <row r="2629" spans="1:13" s="146" customFormat="1">
      <c r="A2629" s="183" t="s">
        <v>525</v>
      </c>
      <c r="B2629" s="196">
        <v>14</v>
      </c>
      <c r="C2629" s="195" t="str">
        <f ca="1">IF(OFFSET('IWP27'!Std9BillingInfo14, 0, 0, 1, 1) = 0, "", OFFSET('IWP27'!Std9BillingInfo14, 0, 0, 1, 1))</f>
        <v/>
      </c>
      <c r="D2629" s="172">
        <f ca="1">IF(OFFSET('IWP27'!Std9BillingInfo14, 0, 1, 1, 1)=DATE(1900,1,0), DATE(1900,1,1), OFFSET('IWP27'!Std9BillingInfo14, 0, 1, 1, 1))</f>
        <v>1</v>
      </c>
      <c r="E2629" s="172">
        <f ca="1">IF(OFFSET('IWP27'!Std9BillingInfo14, 0, 2, 1, 1)=DATE(1900,1,0), DATE(1900,1,1), OFFSET('IWP27'!Std9BillingInfo14, 0, 2, 1, 1))</f>
        <v>1</v>
      </c>
      <c r="F2629" s="187">
        <f ca="1">OFFSET('IWP27'!Std9BillingInfo14, 0, 3, 1, 1)</f>
        <v>0</v>
      </c>
      <c r="G2629" s="187">
        <f ca="1">OFFSET('IWP27'!Std9BillingInfo14, 10, 6, 1, 1)</f>
        <v>0</v>
      </c>
      <c r="H2629" s="187">
        <f ca="1">OFFSET('IWP27'!Std9BillingInfo14, 11, 6, 1, 1)</f>
        <v>0</v>
      </c>
      <c r="I2629" s="187">
        <f ca="1">OFFSET('IWP27'!Std9BillingInfo14, 10, 8, 1, 1)</f>
        <v>0</v>
      </c>
      <c r="J2629" s="187">
        <f ca="1">OFFSET('IWP27'!Std9BillingInfo14, 10, 11, 1, 1)</f>
        <v>0</v>
      </c>
      <c r="K2629" s="187">
        <f ca="1">OFFSET('IWP27'!Std9BillingInfo14, 10, 12, 1, 1)</f>
        <v>0</v>
      </c>
      <c r="L2629" s="179">
        <f ca="1">OFFSET('IWP27'!Std9BillingInfo14, 12, 8, 1, 1)</f>
        <v>0</v>
      </c>
      <c r="M2629" s="129"/>
    </row>
    <row r="2630" spans="1:13" s="146" customFormat="1">
      <c r="A2630" s="183" t="s">
        <v>525</v>
      </c>
      <c r="B2630" s="196">
        <v>15</v>
      </c>
      <c r="C2630" s="195" t="str">
        <f ca="1">IF(OFFSET('IWP27'!Std9BillingInfo15, 0, 0, 1, 1) = 0, "", OFFSET('IWP27'!Std9BillingInfo15, 0, 0, 1, 1))</f>
        <v/>
      </c>
      <c r="D2630" s="172">
        <f ca="1">IF(OFFSET('IWP27'!Std9BillingInfo15, 0, 1, 1, 1)=DATE(1900,1,0), DATE(1900,1,1), OFFSET('IWP27'!Std9BillingInfo15, 0, 1, 1, 1))</f>
        <v>1</v>
      </c>
      <c r="E2630" s="172">
        <f ca="1">IF(OFFSET('IWP27'!Std9BillingInfo15, 0, 2, 1, 1)=DATE(1900,1,0), DATE(1900,1,1), OFFSET('IWP27'!Std9BillingInfo15, 0, 2, 1, 1))</f>
        <v>1</v>
      </c>
      <c r="F2630" s="187">
        <f ca="1">OFFSET('IWP27'!Std9BillingInfo15, 0, 3, 1, 1)</f>
        <v>0</v>
      </c>
      <c r="G2630" s="187">
        <f ca="1">OFFSET('IWP27'!Std9BillingInfo15, 10, 6, 1, 1)</f>
        <v>0</v>
      </c>
      <c r="H2630" s="187">
        <f ca="1">OFFSET('IWP27'!Std9BillingInfo15, 11, 6, 1, 1)</f>
        <v>0</v>
      </c>
      <c r="I2630" s="187">
        <f ca="1">OFFSET('IWP27'!Std9BillingInfo15, 10, 8, 1, 1)</f>
        <v>0</v>
      </c>
      <c r="J2630" s="187">
        <f ca="1">OFFSET('IWP27'!Std9BillingInfo15, 10, 11, 1, 1)</f>
        <v>0</v>
      </c>
      <c r="K2630" s="187">
        <f ca="1">OFFSET('IWP27'!Std9BillingInfo15, 10, 12, 1, 1)</f>
        <v>0</v>
      </c>
      <c r="L2630" s="179">
        <f ca="1">OFFSET('IWP27'!Std9BillingInfo15, 12, 8, 1, 1)</f>
        <v>0</v>
      </c>
      <c r="M2630" s="129"/>
    </row>
    <row r="2631" spans="1:13" s="146" customFormat="1">
      <c r="A2631" s="183" t="s">
        <v>525</v>
      </c>
      <c r="B2631" s="196">
        <v>16</v>
      </c>
      <c r="C2631" s="195" t="str">
        <f ca="1">IF(OFFSET('IWP27'!Std9BillingInfo16, 0, 0, 1, 1) = 0, "", OFFSET('IWP27'!Std9BillingInfo16, 0, 0, 1, 1))</f>
        <v/>
      </c>
      <c r="D2631" s="172">
        <f ca="1">IF(OFFSET('IWP27'!Std9BillingInfo16, 0, 1, 1, 1)=DATE(1900,1,0), DATE(1900,1,1), OFFSET('IWP27'!Std9BillingInfo16, 0, 1, 1, 1))</f>
        <v>1</v>
      </c>
      <c r="E2631" s="172">
        <f ca="1">IF(OFFSET('IWP27'!Std9BillingInfo16, 0, 2, 1, 1)=DATE(1900,1,0), DATE(1900,1,1), OFFSET('IWP27'!Std9BillingInfo16, 0, 2, 1, 1))</f>
        <v>1</v>
      </c>
      <c r="F2631" s="187">
        <f ca="1">OFFSET('IWP27'!Std9BillingInfo16, 0, 3, 1, 1)</f>
        <v>0</v>
      </c>
      <c r="G2631" s="187">
        <f ca="1">OFFSET('IWP27'!Std9BillingInfo16, 10, 6, 1, 1)</f>
        <v>0</v>
      </c>
      <c r="H2631" s="187">
        <f ca="1">OFFSET('IWP27'!Std9BillingInfo16, 11, 6, 1, 1)</f>
        <v>0</v>
      </c>
      <c r="I2631" s="187">
        <f ca="1">OFFSET('IWP27'!Std9BillingInfo16, 10, 8, 1, 1)</f>
        <v>0</v>
      </c>
      <c r="J2631" s="187">
        <f ca="1">OFFSET('IWP27'!Std9BillingInfo16, 10, 11, 1, 1)</f>
        <v>0</v>
      </c>
      <c r="K2631" s="187">
        <f ca="1">OFFSET('IWP27'!Std9BillingInfo16, 10, 12, 1, 1)</f>
        <v>0</v>
      </c>
      <c r="L2631" s="179">
        <f ca="1">OFFSET('IWP27'!Std9BillingInfo16, 12, 8, 1, 1)</f>
        <v>0</v>
      </c>
      <c r="M2631" s="129"/>
    </row>
    <row r="2632" spans="1:13" s="146" customFormat="1">
      <c r="A2632" s="183" t="s">
        <v>525</v>
      </c>
      <c r="B2632" s="196">
        <v>17</v>
      </c>
      <c r="C2632" s="195" t="str">
        <f ca="1">IF(OFFSET('IWP27'!Std9BillingInfo17, 0, 0, 1, 1) = 0, "", OFFSET('IWP27'!Std9BillingInfo17, 0, 0, 1, 1))</f>
        <v/>
      </c>
      <c r="D2632" s="172">
        <f ca="1">IF(OFFSET('IWP27'!Std9BillingInfo17, 0, 1, 1, 1)=DATE(1900,1,0), DATE(1900,1,1), OFFSET('IWP27'!Std9BillingInfo17, 0, 1, 1, 1))</f>
        <v>1</v>
      </c>
      <c r="E2632" s="172">
        <f ca="1">IF(OFFSET('IWP27'!Std9BillingInfo17, 0, 2, 1, 1)=DATE(1900,1,0), DATE(1900,1,1), OFFSET('IWP27'!Std9BillingInfo17, 0, 2, 1, 1))</f>
        <v>1</v>
      </c>
      <c r="F2632" s="187">
        <f ca="1">OFFSET('IWP27'!Std9BillingInfo17, 0, 3, 1, 1)</f>
        <v>0</v>
      </c>
      <c r="G2632" s="187">
        <f ca="1">OFFSET('IWP27'!Std9BillingInfo17, 10, 6, 1, 1)</f>
        <v>0</v>
      </c>
      <c r="H2632" s="187">
        <f ca="1">OFFSET('IWP27'!Std9BillingInfo17, 11, 6, 1, 1)</f>
        <v>0</v>
      </c>
      <c r="I2632" s="187">
        <f ca="1">OFFSET('IWP27'!Std9BillingInfo17, 10, 8, 1, 1)</f>
        <v>0</v>
      </c>
      <c r="J2632" s="187">
        <f ca="1">OFFSET('IWP27'!Std9BillingInfo17, 10, 11, 1, 1)</f>
        <v>0</v>
      </c>
      <c r="K2632" s="187">
        <f ca="1">OFFSET('IWP27'!Std9BillingInfo17, 10, 12, 1, 1)</f>
        <v>0</v>
      </c>
      <c r="L2632" s="179">
        <f ca="1">OFFSET('IWP27'!Std9BillingInfo17, 12, 8, 1, 1)</f>
        <v>0</v>
      </c>
      <c r="M2632" s="129"/>
    </row>
    <row r="2633" spans="1:13" s="146" customFormat="1">
      <c r="A2633" s="183" t="s">
        <v>525</v>
      </c>
      <c r="B2633" s="196">
        <v>18</v>
      </c>
      <c r="C2633" s="195" t="str">
        <f ca="1">IF(OFFSET('IWP27'!Std9BillingInfo18, 0, 0, 1, 1) = 0, "", OFFSET('IWP27'!Std9BillingInfo18, 0, 0, 1, 1))</f>
        <v/>
      </c>
      <c r="D2633" s="172">
        <f ca="1">IF(OFFSET('IWP27'!Std9BillingInfo18, 0, 1, 1, 1)=DATE(1900,1,0), DATE(1900,1,1), OFFSET('IWP27'!Std9BillingInfo18, 0, 1, 1, 1))</f>
        <v>1</v>
      </c>
      <c r="E2633" s="172">
        <f ca="1">IF(OFFSET('IWP27'!Std9BillingInfo18, 0, 2, 1, 1)=DATE(1900,1,0), DATE(1900,1,1), OFFSET('IWP27'!Std9BillingInfo18, 0, 2, 1, 1))</f>
        <v>1</v>
      </c>
      <c r="F2633" s="187">
        <f ca="1">OFFSET('IWP27'!Std9BillingInfo18, 0, 3, 1, 1)</f>
        <v>0</v>
      </c>
      <c r="G2633" s="187">
        <f ca="1">OFFSET('IWP27'!Std9BillingInfo18, 10, 6, 1, 1)</f>
        <v>0</v>
      </c>
      <c r="H2633" s="187">
        <f ca="1">OFFSET('IWP27'!Std9BillingInfo18, 11, 6, 1, 1)</f>
        <v>0</v>
      </c>
      <c r="I2633" s="187">
        <f ca="1">OFFSET('IWP27'!Std9BillingInfo18, 10, 8, 1, 1)</f>
        <v>0</v>
      </c>
      <c r="J2633" s="187">
        <f ca="1">OFFSET('IWP27'!Std9BillingInfo18, 10, 11, 1, 1)</f>
        <v>0</v>
      </c>
      <c r="K2633" s="187">
        <f ca="1">OFFSET('IWP27'!Std9BillingInfo18, 10, 12, 1, 1)</f>
        <v>0</v>
      </c>
      <c r="L2633" s="179">
        <f ca="1">OFFSET('IWP27'!Std9BillingInfo18, 12, 8, 1, 1)</f>
        <v>0</v>
      </c>
      <c r="M2633" s="129"/>
    </row>
    <row r="2634" spans="1:13" s="146" customFormat="1">
      <c r="A2634" s="183" t="s">
        <v>526</v>
      </c>
      <c r="B2634" s="196">
        <v>1</v>
      </c>
      <c r="C2634" s="195" t="str">
        <f ca="1">IF(OFFSET('IWP28'!Std9BillingInfo01, 0, 0, 1, 1) = 0, "", OFFSET('IWP28'!Std9BillingInfo01, 0, 0, 1, 1))</f>
        <v/>
      </c>
      <c r="D2634" s="172">
        <f ca="1">IF(OFFSET('IWP28'!Std9BillingInfo01, 0, 1, 1, 1)=DATE(1900,1,0), DATE(1900,1,1), OFFSET('IWP28'!Std9BillingInfo01, 0, 1, 1, 1))</f>
        <v>1</v>
      </c>
      <c r="E2634" s="172">
        <f ca="1">IF(OFFSET('IWP28'!Std9BillingInfo01, 0, 2, 1, 1)=DATE(1900,1,0), DATE(1900,1,1), OFFSET('IWP28'!Std9BillingInfo01, 0, 2, 1, 1))</f>
        <v>1</v>
      </c>
      <c r="F2634" s="187">
        <f ca="1">OFFSET('IWP28'!Std9BillingInfo01, 0, 3, 1, 1)</f>
        <v>0</v>
      </c>
      <c r="G2634" s="187">
        <f ca="1">OFFSET('IWP28'!Std9BillingInfo01, 10, 6, 1, 1)</f>
        <v>0</v>
      </c>
      <c r="H2634" s="187">
        <f ca="1">OFFSET('IWP28'!Std9BillingInfo01, 11, 6, 1, 1)</f>
        <v>0</v>
      </c>
      <c r="I2634" s="187">
        <f ca="1">OFFSET('IWP28'!Std9BillingInfo01, 10, 8, 1, 1)</f>
        <v>0</v>
      </c>
      <c r="J2634" s="187">
        <f ca="1">OFFSET('IWP28'!Std9BillingInfo01, 10, 11, 1, 1)</f>
        <v>0</v>
      </c>
      <c r="K2634" s="187">
        <f ca="1">OFFSET('IWP28'!Std9BillingInfo01, 10, 12, 1, 1)</f>
        <v>0</v>
      </c>
      <c r="L2634" s="179">
        <f ca="1">OFFSET('IWP28'!Std9BillingInfo01, 12, 8, 1, 1)</f>
        <v>0</v>
      </c>
      <c r="M2634" s="129"/>
    </row>
    <row r="2635" spans="1:13" s="146" customFormat="1">
      <c r="A2635" s="183" t="s">
        <v>526</v>
      </c>
      <c r="B2635" s="196">
        <v>2</v>
      </c>
      <c r="C2635" s="195" t="str">
        <f ca="1">IF(OFFSET('IWP28'!Std9BillingInfo02, 0, 0, 1, 1) = 0, "", OFFSET('IWP28'!Std9BillingInfo02, 0, 0, 1, 1))</f>
        <v/>
      </c>
      <c r="D2635" s="172">
        <f ca="1">IF(OFFSET('IWP28'!Std9BillingInfo02, 0, 1, 1, 1)=DATE(1900,1,0), DATE(1900,1,1), OFFSET('IWP28'!Std9BillingInfo02, 0, 1, 1, 1))</f>
        <v>1</v>
      </c>
      <c r="E2635" s="172">
        <f ca="1">IF(OFFSET('IWP28'!Std9BillingInfo02, 0, 2, 1, 1)=DATE(1900,1,0), DATE(1900,1,1), OFFSET('IWP28'!Std9BillingInfo02, 0, 2, 1, 1))</f>
        <v>1</v>
      </c>
      <c r="F2635" s="187">
        <f ca="1">OFFSET('IWP28'!Std9BillingInfo02, 0, 3, 1, 1)</f>
        <v>0</v>
      </c>
      <c r="G2635" s="187">
        <f ca="1">OFFSET('IWP28'!Std9BillingInfo02, 10, 6, 1, 1)</f>
        <v>0</v>
      </c>
      <c r="H2635" s="187">
        <f ca="1">OFFSET('IWP28'!Std9BillingInfo02, 11, 6, 1, 1)</f>
        <v>0</v>
      </c>
      <c r="I2635" s="187">
        <f ca="1">OFFSET('IWP28'!Std9BillingInfo02, 10, 8, 1, 1)</f>
        <v>0</v>
      </c>
      <c r="J2635" s="187">
        <f ca="1">OFFSET('IWP28'!Std9BillingInfo02, 10, 11, 1, 1)</f>
        <v>0</v>
      </c>
      <c r="K2635" s="187">
        <f ca="1">OFFSET('IWP28'!Std9BillingInfo02, 10, 12, 1, 1)</f>
        <v>0</v>
      </c>
      <c r="L2635" s="179">
        <f ca="1">OFFSET('IWP28'!Std9BillingInfo02, 12, 8, 1, 1)</f>
        <v>0</v>
      </c>
      <c r="M2635" s="129"/>
    </row>
    <row r="2636" spans="1:13" s="146" customFormat="1">
      <c r="A2636" s="183" t="s">
        <v>526</v>
      </c>
      <c r="B2636" s="196">
        <v>3</v>
      </c>
      <c r="C2636" s="195" t="str">
        <f ca="1">IF(OFFSET('IWP28'!Std9BillingInfo03, 0, 0, 1, 1) = 0, "", OFFSET('IWP28'!Std9BillingInfo03, 0, 0, 1, 1))</f>
        <v/>
      </c>
      <c r="D2636" s="172">
        <f ca="1">IF(OFFSET('IWP28'!Std9BillingInfo03, 0, 1, 1, 1)=DATE(1900,1,0), DATE(1900,1,1), OFFSET('IWP28'!Std9BillingInfo03, 0, 1, 1, 1))</f>
        <v>1</v>
      </c>
      <c r="E2636" s="172">
        <f ca="1">IF(OFFSET('IWP28'!Std9BillingInfo03, 0, 2, 1, 1)=DATE(1900,1,0), DATE(1900,1,1), OFFSET('IWP28'!Std9BillingInfo03, 0, 2, 1, 1))</f>
        <v>1</v>
      </c>
      <c r="F2636" s="187">
        <f ca="1">OFFSET('IWP28'!Std9BillingInfo03, 0, 3, 1, 1)</f>
        <v>0</v>
      </c>
      <c r="G2636" s="187">
        <f ca="1">OFFSET('IWP28'!Std9BillingInfo03, 10, 6, 1, 1)</f>
        <v>0</v>
      </c>
      <c r="H2636" s="187">
        <f ca="1">OFFSET('IWP28'!Std9BillingInfo03, 11, 6, 1, 1)</f>
        <v>0</v>
      </c>
      <c r="I2636" s="187">
        <f ca="1">OFFSET('IWP28'!Std9BillingInfo03, 10, 8, 1, 1)</f>
        <v>0</v>
      </c>
      <c r="J2636" s="187">
        <f ca="1">OFFSET('IWP28'!Std9BillingInfo03, 10, 11, 1, 1)</f>
        <v>0</v>
      </c>
      <c r="K2636" s="187">
        <f ca="1">OFFSET('IWP28'!Std9BillingInfo03, 10, 12, 1, 1)</f>
        <v>0</v>
      </c>
      <c r="L2636" s="179">
        <f ca="1">OFFSET('IWP28'!Std9BillingInfo03, 12, 8, 1, 1)</f>
        <v>0</v>
      </c>
      <c r="M2636" s="129"/>
    </row>
    <row r="2637" spans="1:13" s="146" customFormat="1">
      <c r="A2637" s="183" t="s">
        <v>526</v>
      </c>
      <c r="B2637" s="196">
        <v>4</v>
      </c>
      <c r="C2637" s="195" t="str">
        <f ca="1">IF(OFFSET('IWP28'!Std9BillingInfo04, 0, 0, 1, 1) = 0, "", OFFSET('IWP28'!Std9BillingInfo04, 0, 0, 1, 1))</f>
        <v/>
      </c>
      <c r="D2637" s="172">
        <f ca="1">IF(OFFSET('IWP28'!Std9BillingInfo04, 0, 1, 1, 1)=DATE(1900,1,0), DATE(1900,1,1), OFFSET('IWP28'!Std9BillingInfo04, 0, 1, 1, 1))</f>
        <v>1</v>
      </c>
      <c r="E2637" s="172">
        <f ca="1">IF(OFFSET('IWP28'!Std9BillingInfo04, 0, 2, 1, 1)=DATE(1900,1,0), DATE(1900,1,1), OFFSET('IWP28'!Std9BillingInfo04, 0, 2, 1, 1))</f>
        <v>1</v>
      </c>
      <c r="F2637" s="187">
        <f ca="1">OFFSET('IWP28'!Std9BillingInfo04, 0, 3, 1, 1)</f>
        <v>0</v>
      </c>
      <c r="G2637" s="187">
        <f ca="1">OFFSET('IWP28'!Std9BillingInfo04, 10, 6, 1, 1)</f>
        <v>0</v>
      </c>
      <c r="H2637" s="187">
        <f ca="1">OFFSET('IWP28'!Std9BillingInfo04, 11, 6, 1, 1)</f>
        <v>0</v>
      </c>
      <c r="I2637" s="187">
        <f ca="1">OFFSET('IWP28'!Std9BillingInfo04, 10, 8, 1, 1)</f>
        <v>0</v>
      </c>
      <c r="J2637" s="187">
        <f ca="1">OFFSET('IWP28'!Std9BillingInfo04, 10, 11, 1, 1)</f>
        <v>0</v>
      </c>
      <c r="K2637" s="187">
        <f ca="1">OFFSET('IWP28'!Std9BillingInfo04, 10, 12, 1, 1)</f>
        <v>0</v>
      </c>
      <c r="L2637" s="179">
        <f ca="1">OFFSET('IWP28'!Std9BillingInfo04, 12, 8, 1, 1)</f>
        <v>0</v>
      </c>
      <c r="M2637" s="129"/>
    </row>
    <row r="2638" spans="1:13" s="146" customFormat="1">
      <c r="A2638" s="183" t="s">
        <v>526</v>
      </c>
      <c r="B2638" s="196">
        <v>5</v>
      </c>
      <c r="C2638" s="195" t="str">
        <f ca="1">IF(OFFSET('IWP28'!Std9BillingInfo05, 0, 0, 1, 1) = 0, "", OFFSET('IWP28'!Std9BillingInfo05, 0, 0, 1, 1))</f>
        <v/>
      </c>
      <c r="D2638" s="172">
        <f ca="1">IF(OFFSET('IWP28'!Std9BillingInfo05, 0, 1, 1, 1)=DATE(1900,1,0), DATE(1900,1,1), OFFSET('IWP28'!Std9BillingInfo05, 0, 1, 1, 1))</f>
        <v>1</v>
      </c>
      <c r="E2638" s="172">
        <f ca="1">IF(OFFSET('IWP28'!Std9BillingInfo05, 0, 2, 1, 1)=DATE(1900,1,0), DATE(1900,1,1), OFFSET('IWP28'!Std9BillingInfo05, 0, 2, 1, 1))</f>
        <v>1</v>
      </c>
      <c r="F2638" s="187">
        <f ca="1">OFFSET('IWP28'!Std9BillingInfo05, 0, 3, 1, 1)</f>
        <v>0</v>
      </c>
      <c r="G2638" s="187">
        <f ca="1">OFFSET('IWP28'!Std9BillingInfo05, 10, 6, 1, 1)</f>
        <v>0</v>
      </c>
      <c r="H2638" s="187">
        <f ca="1">OFFSET('IWP28'!Std9BillingInfo05, 11, 6, 1, 1)</f>
        <v>0</v>
      </c>
      <c r="I2638" s="187">
        <f ca="1">OFFSET('IWP28'!Std9BillingInfo05, 10, 8, 1, 1)</f>
        <v>0</v>
      </c>
      <c r="J2638" s="187">
        <f ca="1">OFFSET('IWP28'!Std9BillingInfo05, 10, 11, 1, 1)</f>
        <v>0</v>
      </c>
      <c r="K2638" s="187">
        <f ca="1">OFFSET('IWP28'!Std9BillingInfo05, 10, 12, 1, 1)</f>
        <v>0</v>
      </c>
      <c r="L2638" s="179">
        <f ca="1">OFFSET('IWP28'!Std9BillingInfo05, 12, 8, 1, 1)</f>
        <v>0</v>
      </c>
      <c r="M2638" s="129"/>
    </row>
    <row r="2639" spans="1:13" s="146" customFormat="1">
      <c r="A2639" s="183" t="s">
        <v>526</v>
      </c>
      <c r="B2639" s="196">
        <v>6</v>
      </c>
      <c r="C2639" s="195" t="str">
        <f ca="1">IF(OFFSET('IWP28'!Std9BillingInfo06, 0, 0, 1, 1) = 0, "", OFFSET('IWP28'!Std9BillingInfo06, 0, 0, 1, 1))</f>
        <v/>
      </c>
      <c r="D2639" s="172">
        <f ca="1">IF(OFFSET('IWP28'!Std9BillingInfo06, 0, 1, 1, 1)=DATE(1900,1,0), DATE(1900,1,1), OFFSET('IWP28'!Std9BillingInfo06, 0, 1, 1, 1))</f>
        <v>1</v>
      </c>
      <c r="E2639" s="172">
        <f ca="1">IF(OFFSET('IWP28'!Std9BillingInfo06, 0, 2, 1, 1)=DATE(1900,1,0), DATE(1900,1,1), OFFSET('IWP28'!Std9BillingInfo06, 0, 2, 1, 1))</f>
        <v>1</v>
      </c>
      <c r="F2639" s="187">
        <f ca="1">OFFSET('IWP28'!Std9BillingInfo06, 0, 3, 1, 1)</f>
        <v>0</v>
      </c>
      <c r="G2639" s="187">
        <f ca="1">OFFSET('IWP28'!Std9BillingInfo06, 10, 6, 1, 1)</f>
        <v>0</v>
      </c>
      <c r="H2639" s="187">
        <f ca="1">OFFSET('IWP28'!Std9BillingInfo06, 11, 6, 1, 1)</f>
        <v>0</v>
      </c>
      <c r="I2639" s="187">
        <f ca="1">OFFSET('IWP28'!Std9BillingInfo06, 10, 8, 1, 1)</f>
        <v>0</v>
      </c>
      <c r="J2639" s="187">
        <f ca="1">OFFSET('IWP28'!Std9BillingInfo06, 10, 11, 1, 1)</f>
        <v>0</v>
      </c>
      <c r="K2639" s="187">
        <f ca="1">OFFSET('IWP28'!Std9BillingInfo06, 10, 12, 1, 1)</f>
        <v>0</v>
      </c>
      <c r="L2639" s="179">
        <f ca="1">OFFSET('IWP28'!Std9BillingInfo06, 12, 8, 1, 1)</f>
        <v>0</v>
      </c>
      <c r="M2639" s="129"/>
    </row>
    <row r="2640" spans="1:13" s="146" customFormat="1">
      <c r="A2640" s="183" t="s">
        <v>526</v>
      </c>
      <c r="B2640" s="196">
        <v>7</v>
      </c>
      <c r="C2640" s="195" t="str">
        <f ca="1">IF(OFFSET('IWP28'!Std9BillingInfo07, 0, 0, 1, 1) = 0, "", OFFSET('IWP28'!Std9BillingInfo07, 0, 0, 1, 1))</f>
        <v/>
      </c>
      <c r="D2640" s="172">
        <f ca="1">IF(OFFSET('IWP28'!Std9BillingInfo07, 0, 1, 1, 1)=DATE(1900,1,0), DATE(1900,1,1), OFFSET('IWP28'!Std9BillingInfo07, 0, 1, 1, 1))</f>
        <v>1</v>
      </c>
      <c r="E2640" s="172">
        <f ca="1">IF(OFFSET('IWP28'!Std9BillingInfo07, 0, 2, 1, 1)=DATE(1900,1,0), DATE(1900,1,1), OFFSET('IWP28'!Std9BillingInfo07, 0, 2, 1, 1))</f>
        <v>1</v>
      </c>
      <c r="F2640" s="187">
        <f ca="1">OFFSET('IWP28'!Std9BillingInfo07, 0, 3, 1, 1)</f>
        <v>0</v>
      </c>
      <c r="G2640" s="187">
        <f ca="1">OFFSET('IWP28'!Std9BillingInfo07, 10, 6, 1, 1)</f>
        <v>0</v>
      </c>
      <c r="H2640" s="187">
        <f ca="1">OFFSET('IWP28'!Std9BillingInfo07, 11, 6, 1, 1)</f>
        <v>0</v>
      </c>
      <c r="I2640" s="187">
        <f ca="1">OFFSET('IWP28'!Std9BillingInfo07, 10, 8, 1, 1)</f>
        <v>0</v>
      </c>
      <c r="J2640" s="187">
        <f ca="1">OFFSET('IWP28'!Std9BillingInfo07, 10, 11, 1, 1)</f>
        <v>0</v>
      </c>
      <c r="K2640" s="187">
        <f ca="1">OFFSET('IWP28'!Std9BillingInfo07, 10, 12, 1, 1)</f>
        <v>0</v>
      </c>
      <c r="L2640" s="179">
        <f ca="1">OFFSET('IWP28'!Std9BillingInfo07, 12, 8, 1, 1)</f>
        <v>0</v>
      </c>
      <c r="M2640" s="129"/>
    </row>
    <row r="2641" spans="1:13" s="146" customFormat="1">
      <c r="A2641" s="183" t="s">
        <v>526</v>
      </c>
      <c r="B2641" s="196">
        <v>8</v>
      </c>
      <c r="C2641" s="195" t="str">
        <f ca="1">IF(OFFSET('IWP28'!Std9BillingInfo08, 0, 0, 1, 1) = 0, "", OFFSET('IWP28'!Std9BillingInfo08, 0, 0, 1, 1))</f>
        <v/>
      </c>
      <c r="D2641" s="172">
        <f ca="1">IF(OFFSET('IWP28'!Std9BillingInfo08, 0, 1, 1, 1)=DATE(1900,1,0), DATE(1900,1,1), OFFSET('IWP28'!Std9BillingInfo08, 0, 1, 1, 1))</f>
        <v>1</v>
      </c>
      <c r="E2641" s="172">
        <f ca="1">IF(OFFSET('IWP28'!Std9BillingInfo08, 0, 2, 1, 1)=DATE(1900,1,0), DATE(1900,1,1), OFFSET('IWP28'!Std9BillingInfo08, 0, 2, 1, 1))</f>
        <v>1</v>
      </c>
      <c r="F2641" s="187">
        <f ca="1">OFFSET('IWP28'!Std9BillingInfo08, 0, 3, 1, 1)</f>
        <v>0</v>
      </c>
      <c r="G2641" s="187">
        <f ca="1">OFFSET('IWP28'!Std9BillingInfo08, 10, 6, 1, 1)</f>
        <v>0</v>
      </c>
      <c r="H2641" s="187">
        <f ca="1">OFFSET('IWP28'!Std9BillingInfo08, 11, 6, 1, 1)</f>
        <v>0</v>
      </c>
      <c r="I2641" s="187">
        <f ca="1">OFFSET('IWP28'!Std9BillingInfo08, 10, 8, 1, 1)</f>
        <v>0</v>
      </c>
      <c r="J2641" s="187">
        <f ca="1">OFFSET('IWP28'!Std9BillingInfo08, 10, 11, 1, 1)</f>
        <v>0</v>
      </c>
      <c r="K2641" s="187">
        <f ca="1">OFFSET('IWP28'!Std9BillingInfo08, 10, 12, 1, 1)</f>
        <v>0</v>
      </c>
      <c r="L2641" s="179">
        <f ca="1">OFFSET('IWP28'!Std9BillingInfo08, 12, 8, 1, 1)</f>
        <v>0</v>
      </c>
      <c r="M2641" s="129"/>
    </row>
    <row r="2642" spans="1:13" s="146" customFormat="1">
      <c r="A2642" s="183" t="s">
        <v>526</v>
      </c>
      <c r="B2642" s="196">
        <v>9</v>
      </c>
      <c r="C2642" s="195" t="str">
        <f ca="1">IF(OFFSET('IWP28'!Std9BillingInfo09, 0, 0, 1, 1) = 0, "", OFFSET('IWP28'!Std9BillingInfo09, 0, 0, 1, 1))</f>
        <v/>
      </c>
      <c r="D2642" s="172">
        <f ca="1">IF(OFFSET('IWP28'!Std9BillingInfo09, 0, 1, 1, 1)=DATE(1900,1,0), DATE(1900,1,1), OFFSET('IWP28'!Std9BillingInfo09, 0, 1, 1, 1))</f>
        <v>1</v>
      </c>
      <c r="E2642" s="172">
        <f ca="1">IF(OFFSET('IWP28'!Std9BillingInfo09, 0, 2, 1, 1)=DATE(1900,1,0), DATE(1900,1,1), OFFSET('IWP28'!Std9BillingInfo09, 0, 2, 1, 1))</f>
        <v>1</v>
      </c>
      <c r="F2642" s="187">
        <f ca="1">OFFSET('IWP28'!Std9BillingInfo09, 0, 3, 1, 1)</f>
        <v>0</v>
      </c>
      <c r="G2642" s="187">
        <f ca="1">OFFSET('IWP28'!Std9BillingInfo09, 10, 6, 1, 1)</f>
        <v>0</v>
      </c>
      <c r="H2642" s="187">
        <f ca="1">OFFSET('IWP28'!Std9BillingInfo09, 11, 6, 1, 1)</f>
        <v>0</v>
      </c>
      <c r="I2642" s="187">
        <f ca="1">OFFSET('IWP28'!Std9BillingInfo09, 10, 8, 1, 1)</f>
        <v>0</v>
      </c>
      <c r="J2642" s="187">
        <f ca="1">OFFSET('IWP28'!Std9BillingInfo09, 10, 11, 1, 1)</f>
        <v>0</v>
      </c>
      <c r="K2642" s="187">
        <f ca="1">OFFSET('IWP28'!Std9BillingInfo09, 10, 12, 1, 1)</f>
        <v>0</v>
      </c>
      <c r="L2642" s="179">
        <f ca="1">OFFSET('IWP28'!Std9BillingInfo09, 12, 8, 1, 1)</f>
        <v>0</v>
      </c>
      <c r="M2642" s="129"/>
    </row>
    <row r="2643" spans="1:13" s="146" customFormat="1">
      <c r="A2643" s="183" t="s">
        <v>526</v>
      </c>
      <c r="B2643" s="196">
        <v>10</v>
      </c>
      <c r="C2643" s="195" t="str">
        <f ca="1">IF(OFFSET('IWP28'!Std9BillingInfo10, 0, 0, 1, 1) = 0, "", OFFSET('IWP28'!Std9BillingInfo10, 0, 0, 1, 1))</f>
        <v/>
      </c>
      <c r="D2643" s="172">
        <f ca="1">IF(OFFSET('IWP28'!Std9BillingInfo10, 0, 1, 1, 1)=DATE(1900,1,0), DATE(1900,1,1), OFFSET('IWP28'!Std9BillingInfo10, 0, 1, 1, 1))</f>
        <v>1</v>
      </c>
      <c r="E2643" s="172">
        <f ca="1">IF(OFFSET('IWP28'!Std9BillingInfo10, 0, 2, 1, 1)=DATE(1900,1,0), DATE(1900,1,1), OFFSET('IWP28'!Std9BillingInfo10, 0, 2, 1, 1))</f>
        <v>1</v>
      </c>
      <c r="F2643" s="187">
        <f ca="1">OFFSET('IWP28'!Std9BillingInfo10, 0, 3, 1, 1)</f>
        <v>0</v>
      </c>
      <c r="G2643" s="187">
        <f ca="1">OFFSET('IWP28'!Std9BillingInfo10, 10, 6, 1, 1)</f>
        <v>0</v>
      </c>
      <c r="H2643" s="187">
        <f ca="1">OFFSET('IWP28'!Std9BillingInfo10, 11, 6, 1, 1)</f>
        <v>0</v>
      </c>
      <c r="I2643" s="187">
        <f ca="1">OFFSET('IWP28'!Std9BillingInfo10, 10, 8, 1, 1)</f>
        <v>0</v>
      </c>
      <c r="J2643" s="187">
        <f ca="1">OFFSET('IWP28'!Std9BillingInfo10, 10, 11, 1, 1)</f>
        <v>0</v>
      </c>
      <c r="K2643" s="187">
        <f ca="1">OFFSET('IWP28'!Std9BillingInfo10, 10, 12, 1, 1)</f>
        <v>0</v>
      </c>
      <c r="L2643" s="179">
        <f ca="1">OFFSET('IWP28'!Std9BillingInfo10, 12, 8, 1, 1)</f>
        <v>0</v>
      </c>
      <c r="M2643" s="129"/>
    </row>
    <row r="2644" spans="1:13" s="146" customFormat="1">
      <c r="A2644" s="183" t="s">
        <v>526</v>
      </c>
      <c r="B2644" s="196">
        <v>11</v>
      </c>
      <c r="C2644" s="195" t="str">
        <f ca="1">IF(OFFSET('IWP28'!Std9BillingInfo11, 0, 0, 1, 1) = 0, "", OFFSET('IWP28'!Std9BillingInfo11, 0, 0, 1, 1))</f>
        <v/>
      </c>
      <c r="D2644" s="172">
        <f ca="1">IF(OFFSET('IWP28'!Std9BillingInfo11, 0, 1, 1, 1)=DATE(1900,1,0), DATE(1900,1,1), OFFSET('IWP28'!Std9BillingInfo11, 0, 1, 1, 1))</f>
        <v>1</v>
      </c>
      <c r="E2644" s="172">
        <f ca="1">IF(OFFSET('IWP28'!Std9BillingInfo11, 0, 2, 1, 1)=DATE(1900,1,0), DATE(1900,1,1), OFFSET('IWP28'!Std9BillingInfo11, 0, 2, 1, 1))</f>
        <v>1</v>
      </c>
      <c r="F2644" s="187">
        <f ca="1">OFFSET('IWP28'!Std9BillingInfo11, 0, 3, 1, 1)</f>
        <v>0</v>
      </c>
      <c r="G2644" s="187">
        <f ca="1">OFFSET('IWP28'!Std9BillingInfo11, 10, 6, 1, 1)</f>
        <v>0</v>
      </c>
      <c r="H2644" s="187">
        <f ca="1">OFFSET('IWP28'!Std9BillingInfo11, 11, 6, 1, 1)</f>
        <v>0</v>
      </c>
      <c r="I2644" s="187">
        <f ca="1">OFFSET('IWP28'!Std9BillingInfo11, 10, 8, 1, 1)</f>
        <v>0</v>
      </c>
      <c r="J2644" s="187">
        <f ca="1">OFFSET('IWP28'!Std9BillingInfo11, 10, 11, 1, 1)</f>
        <v>0</v>
      </c>
      <c r="K2644" s="187">
        <f ca="1">OFFSET('IWP28'!Std9BillingInfo11, 10, 12, 1, 1)</f>
        <v>0</v>
      </c>
      <c r="L2644" s="179">
        <f ca="1">OFFSET('IWP28'!Std9BillingInfo11, 12, 8, 1, 1)</f>
        <v>0</v>
      </c>
      <c r="M2644" s="129"/>
    </row>
    <row r="2645" spans="1:13" s="146" customFormat="1">
      <c r="A2645" s="183" t="s">
        <v>526</v>
      </c>
      <c r="B2645" s="196">
        <v>12</v>
      </c>
      <c r="C2645" s="195" t="str">
        <f ca="1">IF(OFFSET('IWP28'!Std9BillingInfo12, 0, 0, 1, 1) = 0, "", OFFSET('IWP28'!Std9BillingInfo12, 0, 0, 1, 1))</f>
        <v/>
      </c>
      <c r="D2645" s="172">
        <f ca="1">IF(OFFSET('IWP28'!Std9BillingInfo12, 0, 1, 1, 1)=DATE(1900,1,0), DATE(1900,1,1), OFFSET('IWP28'!Std9BillingInfo12, 0, 1, 1, 1))</f>
        <v>1</v>
      </c>
      <c r="E2645" s="172">
        <f ca="1">IF(OFFSET('IWP28'!Std9BillingInfo12, 0, 2, 1, 1)=DATE(1900,1,0), DATE(1900,1,1), OFFSET('IWP28'!Std9BillingInfo12, 0, 2, 1, 1))</f>
        <v>1</v>
      </c>
      <c r="F2645" s="187">
        <f ca="1">OFFSET('IWP28'!Std9BillingInfo12, 0, 3, 1, 1)</f>
        <v>0</v>
      </c>
      <c r="G2645" s="187">
        <f ca="1">OFFSET('IWP28'!Std9BillingInfo12, 10, 6, 1, 1)</f>
        <v>0</v>
      </c>
      <c r="H2645" s="187">
        <f ca="1">OFFSET('IWP28'!Std9BillingInfo12, 11, 6, 1, 1)</f>
        <v>0</v>
      </c>
      <c r="I2645" s="187">
        <f ca="1">OFFSET('IWP28'!Std9BillingInfo12, 10, 8, 1, 1)</f>
        <v>0</v>
      </c>
      <c r="J2645" s="187">
        <f ca="1">OFFSET('IWP28'!Std9BillingInfo12, 10, 11, 1, 1)</f>
        <v>0</v>
      </c>
      <c r="K2645" s="187">
        <f ca="1">OFFSET('IWP28'!Std9BillingInfo12, 10, 12, 1, 1)</f>
        <v>0</v>
      </c>
      <c r="L2645" s="179">
        <f ca="1">OFFSET('IWP28'!Std9BillingInfo12, 12, 8, 1, 1)</f>
        <v>0</v>
      </c>
      <c r="M2645" s="129"/>
    </row>
    <row r="2646" spans="1:13" s="146" customFormat="1">
      <c r="A2646" s="183" t="s">
        <v>526</v>
      </c>
      <c r="B2646" s="196">
        <v>13</v>
      </c>
      <c r="C2646" s="195" t="str">
        <f ca="1">IF(OFFSET('IWP28'!Std9BillingInfo13, 0, 0, 1, 1) = 0, "", OFFSET('IWP28'!Std9BillingInfo13, 0, 0, 1, 1))</f>
        <v/>
      </c>
      <c r="D2646" s="172">
        <f ca="1">IF(OFFSET('IWP28'!Std9BillingInfo13, 0, 1, 1, 1)=DATE(1900,1,0), DATE(1900,1,1), OFFSET('IWP28'!Std9BillingInfo13, 0, 1, 1, 1))</f>
        <v>1</v>
      </c>
      <c r="E2646" s="172">
        <f ca="1">IF(OFFSET('IWP28'!Std9BillingInfo13, 0, 2, 1, 1)=DATE(1900,1,0), DATE(1900,1,1), OFFSET('IWP28'!Std9BillingInfo13, 0, 2, 1, 1))</f>
        <v>1</v>
      </c>
      <c r="F2646" s="187">
        <f ca="1">OFFSET('IWP28'!Std9BillingInfo13, 0, 3, 1, 1)</f>
        <v>0</v>
      </c>
      <c r="G2646" s="187">
        <f ca="1">OFFSET('IWP28'!Std9BillingInfo13, 10, 6, 1, 1)</f>
        <v>0</v>
      </c>
      <c r="H2646" s="187">
        <f ca="1">OFFSET('IWP28'!Std9BillingInfo13, 11, 6, 1, 1)</f>
        <v>0</v>
      </c>
      <c r="I2646" s="187">
        <f ca="1">OFFSET('IWP28'!Std9BillingInfo13, 10, 8, 1, 1)</f>
        <v>0</v>
      </c>
      <c r="J2646" s="187">
        <f ca="1">OFFSET('IWP28'!Std9BillingInfo13, 10, 11, 1, 1)</f>
        <v>0</v>
      </c>
      <c r="K2646" s="187">
        <f ca="1">OFFSET('IWP28'!Std9BillingInfo13, 10, 12, 1, 1)</f>
        <v>0</v>
      </c>
      <c r="L2646" s="179">
        <f ca="1">OFFSET('IWP28'!Std9BillingInfo13, 12, 8, 1, 1)</f>
        <v>0</v>
      </c>
      <c r="M2646" s="129"/>
    </row>
    <row r="2647" spans="1:13" s="146" customFormat="1">
      <c r="A2647" s="183" t="s">
        <v>526</v>
      </c>
      <c r="B2647" s="196">
        <v>14</v>
      </c>
      <c r="C2647" s="195" t="str">
        <f ca="1">IF(OFFSET('IWP28'!Std9BillingInfo14, 0, 0, 1, 1) = 0, "", OFFSET('IWP28'!Std9BillingInfo14, 0, 0, 1, 1))</f>
        <v/>
      </c>
      <c r="D2647" s="172">
        <f ca="1">IF(OFFSET('IWP28'!Std9BillingInfo14, 0, 1, 1, 1)=DATE(1900,1,0), DATE(1900,1,1), OFFSET('IWP28'!Std9BillingInfo14, 0, 1, 1, 1))</f>
        <v>1</v>
      </c>
      <c r="E2647" s="172">
        <f ca="1">IF(OFFSET('IWP28'!Std9BillingInfo14, 0, 2, 1, 1)=DATE(1900,1,0), DATE(1900,1,1), OFFSET('IWP28'!Std9BillingInfo14, 0, 2, 1, 1))</f>
        <v>1</v>
      </c>
      <c r="F2647" s="187">
        <f ca="1">OFFSET('IWP28'!Std9BillingInfo14, 0, 3, 1, 1)</f>
        <v>0</v>
      </c>
      <c r="G2647" s="187">
        <f ca="1">OFFSET('IWP28'!Std9BillingInfo14, 10, 6, 1, 1)</f>
        <v>0</v>
      </c>
      <c r="H2647" s="187">
        <f ca="1">OFFSET('IWP28'!Std9BillingInfo14, 11, 6, 1, 1)</f>
        <v>0</v>
      </c>
      <c r="I2647" s="187">
        <f ca="1">OFFSET('IWP28'!Std9BillingInfo14, 10, 8, 1, 1)</f>
        <v>0</v>
      </c>
      <c r="J2647" s="187">
        <f ca="1">OFFSET('IWP28'!Std9BillingInfo14, 10, 11, 1, 1)</f>
        <v>0</v>
      </c>
      <c r="K2647" s="187">
        <f ca="1">OFFSET('IWP28'!Std9BillingInfo14, 10, 12, 1, 1)</f>
        <v>0</v>
      </c>
      <c r="L2647" s="179">
        <f ca="1">OFFSET('IWP28'!Std9BillingInfo14, 12, 8, 1, 1)</f>
        <v>0</v>
      </c>
      <c r="M2647" s="129"/>
    </row>
    <row r="2648" spans="1:13" s="146" customFormat="1">
      <c r="A2648" s="183" t="s">
        <v>526</v>
      </c>
      <c r="B2648" s="196">
        <v>15</v>
      </c>
      <c r="C2648" s="195" t="str">
        <f ca="1">IF(OFFSET('IWP28'!Std9BillingInfo15, 0, 0, 1, 1) = 0, "", OFFSET('IWP28'!Std9BillingInfo15, 0, 0, 1, 1))</f>
        <v/>
      </c>
      <c r="D2648" s="172">
        <f ca="1">IF(OFFSET('IWP28'!Std9BillingInfo15, 0, 1, 1, 1)=DATE(1900,1,0), DATE(1900,1,1), OFFSET('IWP28'!Std9BillingInfo15, 0, 1, 1, 1))</f>
        <v>1</v>
      </c>
      <c r="E2648" s="172">
        <f ca="1">IF(OFFSET('IWP28'!Std9BillingInfo15, 0, 2, 1, 1)=DATE(1900,1,0), DATE(1900,1,1), OFFSET('IWP28'!Std9BillingInfo15, 0, 2, 1, 1))</f>
        <v>1</v>
      </c>
      <c r="F2648" s="187">
        <f ca="1">OFFSET('IWP28'!Std9BillingInfo15, 0, 3, 1, 1)</f>
        <v>0</v>
      </c>
      <c r="G2648" s="187">
        <f ca="1">OFFSET('IWP28'!Std9BillingInfo15, 10, 6, 1, 1)</f>
        <v>0</v>
      </c>
      <c r="H2648" s="187">
        <f ca="1">OFFSET('IWP28'!Std9BillingInfo15, 11, 6, 1, 1)</f>
        <v>0</v>
      </c>
      <c r="I2648" s="187">
        <f ca="1">OFFSET('IWP28'!Std9BillingInfo15, 10, 8, 1, 1)</f>
        <v>0</v>
      </c>
      <c r="J2648" s="187">
        <f ca="1">OFFSET('IWP28'!Std9BillingInfo15, 10, 11, 1, 1)</f>
        <v>0</v>
      </c>
      <c r="K2648" s="187">
        <f ca="1">OFFSET('IWP28'!Std9BillingInfo15, 10, 12, 1, 1)</f>
        <v>0</v>
      </c>
      <c r="L2648" s="179">
        <f ca="1">OFFSET('IWP28'!Std9BillingInfo15, 12, 8, 1, 1)</f>
        <v>0</v>
      </c>
      <c r="M2648" s="129"/>
    </row>
    <row r="2649" spans="1:13" s="146" customFormat="1">
      <c r="A2649" s="183" t="s">
        <v>526</v>
      </c>
      <c r="B2649" s="196">
        <v>16</v>
      </c>
      <c r="C2649" s="195" t="str">
        <f ca="1">IF(OFFSET('IWP28'!Std9BillingInfo16, 0, 0, 1, 1) = 0, "", OFFSET('IWP28'!Std9BillingInfo16, 0, 0, 1, 1))</f>
        <v/>
      </c>
      <c r="D2649" s="172">
        <f ca="1">IF(OFFSET('IWP28'!Std9BillingInfo16, 0, 1, 1, 1)=DATE(1900,1,0), DATE(1900,1,1), OFFSET('IWP28'!Std9BillingInfo16, 0, 1, 1, 1))</f>
        <v>1</v>
      </c>
      <c r="E2649" s="172">
        <f ca="1">IF(OFFSET('IWP28'!Std9BillingInfo16, 0, 2, 1, 1)=DATE(1900,1,0), DATE(1900,1,1), OFFSET('IWP28'!Std9BillingInfo16, 0, 2, 1, 1))</f>
        <v>1</v>
      </c>
      <c r="F2649" s="187">
        <f ca="1">OFFSET('IWP28'!Std9BillingInfo16, 0, 3, 1, 1)</f>
        <v>0</v>
      </c>
      <c r="G2649" s="187">
        <f ca="1">OFFSET('IWP28'!Std9BillingInfo16, 10, 6, 1, 1)</f>
        <v>0</v>
      </c>
      <c r="H2649" s="187">
        <f ca="1">OFFSET('IWP28'!Std9BillingInfo16, 11, 6, 1, 1)</f>
        <v>0</v>
      </c>
      <c r="I2649" s="187">
        <f ca="1">OFFSET('IWP28'!Std9BillingInfo16, 10, 8, 1, 1)</f>
        <v>0</v>
      </c>
      <c r="J2649" s="187">
        <f ca="1">OFFSET('IWP28'!Std9BillingInfo16, 10, 11, 1, 1)</f>
        <v>0</v>
      </c>
      <c r="K2649" s="187">
        <f ca="1">OFFSET('IWP28'!Std9BillingInfo16, 10, 12, 1, 1)</f>
        <v>0</v>
      </c>
      <c r="L2649" s="179">
        <f ca="1">OFFSET('IWP28'!Std9BillingInfo16, 12, 8, 1, 1)</f>
        <v>0</v>
      </c>
      <c r="M2649" s="129"/>
    </row>
    <row r="2650" spans="1:13" s="146" customFormat="1">
      <c r="A2650" s="183" t="s">
        <v>526</v>
      </c>
      <c r="B2650" s="196">
        <v>17</v>
      </c>
      <c r="C2650" s="195" t="str">
        <f ca="1">IF(OFFSET('IWP28'!Std9BillingInfo17, 0, 0, 1, 1) = 0, "", OFFSET('IWP28'!Std9BillingInfo17, 0, 0, 1, 1))</f>
        <v/>
      </c>
      <c r="D2650" s="172">
        <f ca="1">IF(OFFSET('IWP28'!Std9BillingInfo17, 0, 1, 1, 1)=DATE(1900,1,0), DATE(1900,1,1), OFFSET('IWP28'!Std9BillingInfo17, 0, 1, 1, 1))</f>
        <v>1</v>
      </c>
      <c r="E2650" s="172">
        <f ca="1">IF(OFFSET('IWP28'!Std9BillingInfo17, 0, 2, 1, 1)=DATE(1900,1,0), DATE(1900,1,1), OFFSET('IWP28'!Std9BillingInfo17, 0, 2, 1, 1))</f>
        <v>1</v>
      </c>
      <c r="F2650" s="187">
        <f ca="1">OFFSET('IWP28'!Std9BillingInfo17, 0, 3, 1, 1)</f>
        <v>0</v>
      </c>
      <c r="G2650" s="187">
        <f ca="1">OFFSET('IWP28'!Std9BillingInfo17, 10, 6, 1, 1)</f>
        <v>0</v>
      </c>
      <c r="H2650" s="187">
        <f ca="1">OFFSET('IWP28'!Std9BillingInfo17, 11, 6, 1, 1)</f>
        <v>0</v>
      </c>
      <c r="I2650" s="187">
        <f ca="1">OFFSET('IWP28'!Std9BillingInfo17, 10, 8, 1, 1)</f>
        <v>0</v>
      </c>
      <c r="J2650" s="187">
        <f ca="1">OFFSET('IWP28'!Std9BillingInfo17, 10, 11, 1, 1)</f>
        <v>0</v>
      </c>
      <c r="K2650" s="187">
        <f ca="1">OFFSET('IWP28'!Std9BillingInfo17, 10, 12, 1, 1)</f>
        <v>0</v>
      </c>
      <c r="L2650" s="179">
        <f ca="1">OFFSET('IWP28'!Std9BillingInfo17, 12, 8, 1, 1)</f>
        <v>0</v>
      </c>
      <c r="M2650" s="129"/>
    </row>
    <row r="2651" spans="1:13" s="146" customFormat="1">
      <c r="A2651" s="183" t="s">
        <v>526</v>
      </c>
      <c r="B2651" s="196">
        <v>18</v>
      </c>
      <c r="C2651" s="195" t="str">
        <f ca="1">IF(OFFSET('IWP28'!Std9BillingInfo18, 0, 0, 1, 1) = 0, "", OFFSET('IWP28'!Std9BillingInfo18, 0, 0, 1, 1))</f>
        <v/>
      </c>
      <c r="D2651" s="172">
        <f ca="1">IF(OFFSET('IWP28'!Std9BillingInfo18, 0, 1, 1, 1)=DATE(1900,1,0), DATE(1900,1,1), OFFSET('IWP28'!Std9BillingInfo18, 0, 1, 1, 1))</f>
        <v>1</v>
      </c>
      <c r="E2651" s="172">
        <f ca="1">IF(OFFSET('IWP28'!Std9BillingInfo18, 0, 2, 1, 1)=DATE(1900,1,0), DATE(1900,1,1), OFFSET('IWP28'!Std9BillingInfo18, 0, 2, 1, 1))</f>
        <v>1</v>
      </c>
      <c r="F2651" s="187">
        <f ca="1">OFFSET('IWP28'!Std9BillingInfo18, 0, 3, 1, 1)</f>
        <v>0</v>
      </c>
      <c r="G2651" s="187">
        <f ca="1">OFFSET('IWP28'!Std9BillingInfo18, 10, 6, 1, 1)</f>
        <v>0</v>
      </c>
      <c r="H2651" s="187">
        <f ca="1">OFFSET('IWP28'!Std9BillingInfo18, 11, 6, 1, 1)</f>
        <v>0</v>
      </c>
      <c r="I2651" s="187">
        <f ca="1">OFFSET('IWP28'!Std9BillingInfo18, 10, 8, 1, 1)</f>
        <v>0</v>
      </c>
      <c r="J2651" s="187">
        <f ca="1">OFFSET('IWP28'!Std9BillingInfo18, 10, 11, 1, 1)</f>
        <v>0</v>
      </c>
      <c r="K2651" s="187">
        <f ca="1">OFFSET('IWP28'!Std9BillingInfo18, 10, 12, 1, 1)</f>
        <v>0</v>
      </c>
      <c r="L2651" s="179">
        <f ca="1">OFFSET('IWP28'!Std9BillingInfo18, 12, 8, 1, 1)</f>
        <v>0</v>
      </c>
      <c r="M2651" s="129"/>
    </row>
    <row r="2652" spans="1:13" s="146" customFormat="1">
      <c r="A2652" s="183" t="s">
        <v>527</v>
      </c>
      <c r="B2652" s="196">
        <v>1</v>
      </c>
      <c r="C2652" s="195" t="str">
        <f ca="1">IF(OFFSET('IWP29'!Std9BillingInfo01, 0, 0, 1, 1) = 0, "", OFFSET('IWP29'!Std9BillingInfo01, 0, 0, 1, 1))</f>
        <v/>
      </c>
      <c r="D2652" s="172">
        <f ca="1">IF(OFFSET('IWP29'!Std9BillingInfo01, 0, 1, 1, 1)=DATE(1900,1,0), DATE(1900,1,1), OFFSET('IWP29'!Std9BillingInfo01, 0, 1, 1, 1))</f>
        <v>1</v>
      </c>
      <c r="E2652" s="172">
        <f ca="1">IF(OFFSET('IWP29'!Std9BillingInfo01, 0, 2, 1, 1)=DATE(1900,1,0), DATE(1900,1,1), OFFSET('IWP29'!Std9BillingInfo01, 0, 2, 1, 1))</f>
        <v>1</v>
      </c>
      <c r="F2652" s="187">
        <f ca="1">OFFSET('IWP29'!Std9BillingInfo01, 0, 3, 1, 1)</f>
        <v>0</v>
      </c>
      <c r="G2652" s="187">
        <f ca="1">OFFSET('IWP29'!Std9BillingInfo01, 10, 6, 1, 1)</f>
        <v>0</v>
      </c>
      <c r="H2652" s="187">
        <f ca="1">OFFSET('IWP29'!Std9BillingInfo01, 11, 6, 1, 1)</f>
        <v>0</v>
      </c>
      <c r="I2652" s="187">
        <f ca="1">OFFSET('IWP29'!Std9BillingInfo01, 10, 8, 1, 1)</f>
        <v>0</v>
      </c>
      <c r="J2652" s="187">
        <f ca="1">OFFSET('IWP29'!Std9BillingInfo01, 10, 11, 1, 1)</f>
        <v>0</v>
      </c>
      <c r="K2652" s="187">
        <f ca="1">OFFSET('IWP29'!Std9BillingInfo01, 10, 12, 1, 1)</f>
        <v>0</v>
      </c>
      <c r="L2652" s="179">
        <f ca="1">OFFSET('IWP29'!Std9BillingInfo01, 12, 8, 1, 1)</f>
        <v>0</v>
      </c>
      <c r="M2652" s="129"/>
    </row>
    <row r="2653" spans="1:13" s="146" customFormat="1">
      <c r="A2653" s="183" t="s">
        <v>527</v>
      </c>
      <c r="B2653" s="196">
        <v>2</v>
      </c>
      <c r="C2653" s="195" t="str">
        <f ca="1">IF(OFFSET('IWP29'!Std9BillingInfo02, 0, 0, 1, 1) = 0, "", OFFSET('IWP29'!Std9BillingInfo02, 0, 0, 1, 1))</f>
        <v/>
      </c>
      <c r="D2653" s="172">
        <f ca="1">IF(OFFSET('IWP29'!Std9BillingInfo02, 0, 1, 1, 1)=DATE(1900,1,0), DATE(1900,1,1), OFFSET('IWP29'!Std9BillingInfo02, 0, 1, 1, 1))</f>
        <v>1</v>
      </c>
      <c r="E2653" s="172">
        <f ca="1">IF(OFFSET('IWP29'!Std9BillingInfo02, 0, 2, 1, 1)=DATE(1900,1,0), DATE(1900,1,1), OFFSET('IWP29'!Std9BillingInfo02, 0, 2, 1, 1))</f>
        <v>1</v>
      </c>
      <c r="F2653" s="187">
        <f ca="1">OFFSET('IWP29'!Std9BillingInfo02, 0, 3, 1, 1)</f>
        <v>0</v>
      </c>
      <c r="G2653" s="187">
        <f ca="1">OFFSET('IWP29'!Std9BillingInfo02, 10, 6, 1, 1)</f>
        <v>0</v>
      </c>
      <c r="H2653" s="187">
        <f ca="1">OFFSET('IWP29'!Std9BillingInfo02, 11, 6, 1, 1)</f>
        <v>0</v>
      </c>
      <c r="I2653" s="187">
        <f ca="1">OFFSET('IWP29'!Std9BillingInfo02, 10, 8, 1, 1)</f>
        <v>0</v>
      </c>
      <c r="J2653" s="187">
        <f ca="1">OFFSET('IWP29'!Std9BillingInfo02, 10, 11, 1, 1)</f>
        <v>0</v>
      </c>
      <c r="K2653" s="187">
        <f ca="1">OFFSET('IWP29'!Std9BillingInfo02, 10, 12, 1, 1)</f>
        <v>0</v>
      </c>
      <c r="L2653" s="179">
        <f ca="1">OFFSET('IWP29'!Std9BillingInfo02, 12, 8, 1, 1)</f>
        <v>0</v>
      </c>
      <c r="M2653" s="129"/>
    </row>
    <row r="2654" spans="1:13" s="146" customFormat="1">
      <c r="A2654" s="183" t="s">
        <v>527</v>
      </c>
      <c r="B2654" s="196">
        <v>3</v>
      </c>
      <c r="C2654" s="195" t="str">
        <f ca="1">IF(OFFSET('IWP29'!Std9BillingInfo03, 0, 0, 1, 1) = 0, "", OFFSET('IWP29'!Std9BillingInfo03, 0, 0, 1, 1))</f>
        <v/>
      </c>
      <c r="D2654" s="172">
        <f ca="1">IF(OFFSET('IWP29'!Std9BillingInfo03, 0, 1, 1, 1)=DATE(1900,1,0), DATE(1900,1,1), OFFSET('IWP29'!Std9BillingInfo03, 0, 1, 1, 1))</f>
        <v>1</v>
      </c>
      <c r="E2654" s="172">
        <f ca="1">IF(OFFSET('IWP29'!Std9BillingInfo03, 0, 2, 1, 1)=DATE(1900,1,0), DATE(1900,1,1), OFFSET('IWP29'!Std9BillingInfo03, 0, 2, 1, 1))</f>
        <v>1</v>
      </c>
      <c r="F2654" s="187">
        <f ca="1">OFFSET('IWP29'!Std9BillingInfo03, 0, 3, 1, 1)</f>
        <v>0</v>
      </c>
      <c r="G2654" s="187">
        <f ca="1">OFFSET('IWP29'!Std9BillingInfo03, 10, 6, 1, 1)</f>
        <v>0</v>
      </c>
      <c r="H2654" s="187">
        <f ca="1">OFFSET('IWP29'!Std9BillingInfo03, 11, 6, 1, 1)</f>
        <v>0</v>
      </c>
      <c r="I2654" s="187">
        <f ca="1">OFFSET('IWP29'!Std9BillingInfo03, 10, 8, 1, 1)</f>
        <v>0</v>
      </c>
      <c r="J2654" s="187">
        <f ca="1">OFFSET('IWP29'!Std9BillingInfo03, 10, 11, 1, 1)</f>
        <v>0</v>
      </c>
      <c r="K2654" s="187">
        <f ca="1">OFFSET('IWP29'!Std9BillingInfo03, 10, 12, 1, 1)</f>
        <v>0</v>
      </c>
      <c r="L2654" s="179">
        <f ca="1">OFFSET('IWP29'!Std9BillingInfo03, 12, 8, 1, 1)</f>
        <v>0</v>
      </c>
      <c r="M2654" s="129"/>
    </row>
    <row r="2655" spans="1:13" s="146" customFormat="1">
      <c r="A2655" s="183" t="s">
        <v>527</v>
      </c>
      <c r="B2655" s="196">
        <v>4</v>
      </c>
      <c r="C2655" s="195" t="str">
        <f ca="1">IF(OFFSET('IWP29'!Std9BillingInfo04, 0, 0, 1, 1) = 0, "", OFFSET('IWP29'!Std9BillingInfo04, 0, 0, 1, 1))</f>
        <v/>
      </c>
      <c r="D2655" s="172">
        <f ca="1">IF(OFFSET('IWP29'!Std9BillingInfo04, 0, 1, 1, 1)=DATE(1900,1,0), DATE(1900,1,1), OFFSET('IWP29'!Std9BillingInfo04, 0, 1, 1, 1))</f>
        <v>1</v>
      </c>
      <c r="E2655" s="172">
        <f ca="1">IF(OFFSET('IWP29'!Std9BillingInfo04, 0, 2, 1, 1)=DATE(1900,1,0), DATE(1900,1,1), OFFSET('IWP29'!Std9BillingInfo04, 0, 2, 1, 1))</f>
        <v>1</v>
      </c>
      <c r="F2655" s="187">
        <f ca="1">OFFSET('IWP29'!Std9BillingInfo04, 0, 3, 1, 1)</f>
        <v>0</v>
      </c>
      <c r="G2655" s="187">
        <f ca="1">OFFSET('IWP29'!Std9BillingInfo04, 10, 6, 1, 1)</f>
        <v>0</v>
      </c>
      <c r="H2655" s="187">
        <f ca="1">OFFSET('IWP29'!Std9BillingInfo04, 11, 6, 1, 1)</f>
        <v>0</v>
      </c>
      <c r="I2655" s="187">
        <f ca="1">OFFSET('IWP29'!Std9BillingInfo04, 10, 8, 1, 1)</f>
        <v>0</v>
      </c>
      <c r="J2655" s="187">
        <f ca="1">OFFSET('IWP29'!Std9BillingInfo04, 10, 11, 1, 1)</f>
        <v>0</v>
      </c>
      <c r="K2655" s="187">
        <f ca="1">OFFSET('IWP29'!Std9BillingInfo04, 10, 12, 1, 1)</f>
        <v>0</v>
      </c>
      <c r="L2655" s="179">
        <f ca="1">OFFSET('IWP29'!Std9BillingInfo04, 12, 8, 1, 1)</f>
        <v>0</v>
      </c>
      <c r="M2655" s="129"/>
    </row>
    <row r="2656" spans="1:13" s="146" customFormat="1">
      <c r="A2656" s="183" t="s">
        <v>527</v>
      </c>
      <c r="B2656" s="196">
        <v>5</v>
      </c>
      <c r="C2656" s="195" t="str">
        <f ca="1">IF(OFFSET('IWP29'!Std9BillingInfo05, 0, 0, 1, 1) = 0, "", OFFSET('IWP29'!Std9BillingInfo05, 0, 0, 1, 1))</f>
        <v/>
      </c>
      <c r="D2656" s="172">
        <f ca="1">IF(OFFSET('IWP29'!Std9BillingInfo05, 0, 1, 1, 1)=DATE(1900,1,0), DATE(1900,1,1), OFFSET('IWP29'!Std9BillingInfo05, 0, 1, 1, 1))</f>
        <v>1</v>
      </c>
      <c r="E2656" s="172">
        <f ca="1">IF(OFFSET('IWP29'!Std9BillingInfo05, 0, 2, 1, 1)=DATE(1900,1,0), DATE(1900,1,1), OFFSET('IWP29'!Std9BillingInfo05, 0, 2, 1, 1))</f>
        <v>1</v>
      </c>
      <c r="F2656" s="187">
        <f ca="1">OFFSET('IWP29'!Std9BillingInfo05, 0, 3, 1, 1)</f>
        <v>0</v>
      </c>
      <c r="G2656" s="187">
        <f ca="1">OFFSET('IWP29'!Std9BillingInfo05, 10, 6, 1, 1)</f>
        <v>0</v>
      </c>
      <c r="H2656" s="187">
        <f ca="1">OFFSET('IWP29'!Std9BillingInfo05, 11, 6, 1, 1)</f>
        <v>0</v>
      </c>
      <c r="I2656" s="187">
        <f ca="1">OFFSET('IWP29'!Std9BillingInfo05, 10, 8, 1, 1)</f>
        <v>0</v>
      </c>
      <c r="J2656" s="187">
        <f ca="1">OFFSET('IWP29'!Std9BillingInfo05, 10, 11, 1, 1)</f>
        <v>0</v>
      </c>
      <c r="K2656" s="187">
        <f ca="1">OFFSET('IWP29'!Std9BillingInfo05, 10, 12, 1, 1)</f>
        <v>0</v>
      </c>
      <c r="L2656" s="179">
        <f ca="1">OFFSET('IWP29'!Std9BillingInfo05, 12, 8, 1, 1)</f>
        <v>0</v>
      </c>
      <c r="M2656" s="129"/>
    </row>
    <row r="2657" spans="1:13" s="146" customFormat="1">
      <c r="A2657" s="183" t="s">
        <v>527</v>
      </c>
      <c r="B2657" s="196">
        <v>6</v>
      </c>
      <c r="C2657" s="195" t="str">
        <f ca="1">IF(OFFSET('IWP29'!Std9BillingInfo06, 0, 0, 1, 1) = 0, "", OFFSET('IWP29'!Std9BillingInfo06, 0, 0, 1, 1))</f>
        <v/>
      </c>
      <c r="D2657" s="172">
        <f ca="1">IF(OFFSET('IWP29'!Std9BillingInfo06, 0, 1, 1, 1)=DATE(1900,1,0), DATE(1900,1,1), OFFSET('IWP29'!Std9BillingInfo06, 0, 1, 1, 1))</f>
        <v>1</v>
      </c>
      <c r="E2657" s="172">
        <f ca="1">IF(OFFSET('IWP29'!Std9BillingInfo06, 0, 2, 1, 1)=DATE(1900,1,0), DATE(1900,1,1), OFFSET('IWP29'!Std9BillingInfo06, 0, 2, 1, 1))</f>
        <v>1</v>
      </c>
      <c r="F2657" s="187">
        <f ca="1">OFFSET('IWP29'!Std9BillingInfo06, 0, 3, 1, 1)</f>
        <v>0</v>
      </c>
      <c r="G2657" s="187">
        <f ca="1">OFFSET('IWP29'!Std9BillingInfo06, 10, 6, 1, 1)</f>
        <v>0</v>
      </c>
      <c r="H2657" s="187">
        <f ca="1">OFFSET('IWP29'!Std9BillingInfo06, 11, 6, 1, 1)</f>
        <v>0</v>
      </c>
      <c r="I2657" s="187">
        <f ca="1">OFFSET('IWP29'!Std9BillingInfo06, 10, 8, 1, 1)</f>
        <v>0</v>
      </c>
      <c r="J2657" s="187">
        <f ca="1">OFFSET('IWP29'!Std9BillingInfo06, 10, 11, 1, 1)</f>
        <v>0</v>
      </c>
      <c r="K2657" s="187">
        <f ca="1">OFFSET('IWP29'!Std9BillingInfo06, 10, 12, 1, 1)</f>
        <v>0</v>
      </c>
      <c r="L2657" s="179">
        <f ca="1">OFFSET('IWP29'!Std9BillingInfo06, 12, 8, 1, 1)</f>
        <v>0</v>
      </c>
      <c r="M2657" s="129"/>
    </row>
    <row r="2658" spans="1:13" s="146" customFormat="1">
      <c r="A2658" s="183" t="s">
        <v>527</v>
      </c>
      <c r="B2658" s="196">
        <v>7</v>
      </c>
      <c r="C2658" s="195" t="str">
        <f ca="1">IF(OFFSET('IWP29'!Std9BillingInfo07, 0, 0, 1, 1) = 0, "", OFFSET('IWP29'!Std9BillingInfo07, 0, 0, 1, 1))</f>
        <v/>
      </c>
      <c r="D2658" s="172">
        <f ca="1">IF(OFFSET('IWP29'!Std9BillingInfo07, 0, 1, 1, 1)=DATE(1900,1,0), DATE(1900,1,1), OFFSET('IWP29'!Std9BillingInfo07, 0, 1, 1, 1))</f>
        <v>1</v>
      </c>
      <c r="E2658" s="172">
        <f ca="1">IF(OFFSET('IWP29'!Std9BillingInfo07, 0, 2, 1, 1)=DATE(1900,1,0), DATE(1900,1,1), OFFSET('IWP29'!Std9BillingInfo07, 0, 2, 1, 1))</f>
        <v>1</v>
      </c>
      <c r="F2658" s="187">
        <f ca="1">OFFSET('IWP29'!Std9BillingInfo07, 0, 3, 1, 1)</f>
        <v>0</v>
      </c>
      <c r="G2658" s="187">
        <f ca="1">OFFSET('IWP29'!Std9BillingInfo07, 10, 6, 1, 1)</f>
        <v>0</v>
      </c>
      <c r="H2658" s="187">
        <f ca="1">OFFSET('IWP29'!Std9BillingInfo07, 11, 6, 1, 1)</f>
        <v>0</v>
      </c>
      <c r="I2658" s="187">
        <f ca="1">OFFSET('IWP29'!Std9BillingInfo07, 10, 8, 1, 1)</f>
        <v>0</v>
      </c>
      <c r="J2658" s="187">
        <f ca="1">OFFSET('IWP29'!Std9BillingInfo07, 10, 11, 1, 1)</f>
        <v>0</v>
      </c>
      <c r="K2658" s="187">
        <f ca="1">OFFSET('IWP29'!Std9BillingInfo07, 10, 12, 1, 1)</f>
        <v>0</v>
      </c>
      <c r="L2658" s="179">
        <f ca="1">OFFSET('IWP29'!Std9BillingInfo07, 12, 8, 1, 1)</f>
        <v>0</v>
      </c>
      <c r="M2658" s="129"/>
    </row>
    <row r="2659" spans="1:13" s="146" customFormat="1">
      <c r="A2659" s="183" t="s">
        <v>527</v>
      </c>
      <c r="B2659" s="196">
        <v>8</v>
      </c>
      <c r="C2659" s="195" t="str">
        <f ca="1">IF(OFFSET('IWP29'!Std9BillingInfo08, 0, 0, 1, 1) = 0, "", OFFSET('IWP29'!Std9BillingInfo08, 0, 0, 1, 1))</f>
        <v/>
      </c>
      <c r="D2659" s="172">
        <f ca="1">IF(OFFSET('IWP29'!Std9BillingInfo08, 0, 1, 1, 1)=DATE(1900,1,0), DATE(1900,1,1), OFFSET('IWP29'!Std9BillingInfo08, 0, 1, 1, 1))</f>
        <v>1</v>
      </c>
      <c r="E2659" s="172">
        <f ca="1">IF(OFFSET('IWP29'!Std9BillingInfo08, 0, 2, 1, 1)=DATE(1900,1,0), DATE(1900,1,1), OFFSET('IWP29'!Std9BillingInfo08, 0, 2, 1, 1))</f>
        <v>1</v>
      </c>
      <c r="F2659" s="187">
        <f ca="1">OFFSET('IWP29'!Std9BillingInfo08, 0, 3, 1, 1)</f>
        <v>0</v>
      </c>
      <c r="G2659" s="187">
        <f ca="1">OFFSET('IWP29'!Std9BillingInfo08, 10, 6, 1, 1)</f>
        <v>0</v>
      </c>
      <c r="H2659" s="187">
        <f ca="1">OFFSET('IWP29'!Std9BillingInfo08, 11, 6, 1, 1)</f>
        <v>0</v>
      </c>
      <c r="I2659" s="187">
        <f ca="1">OFFSET('IWP29'!Std9BillingInfo08, 10, 8, 1, 1)</f>
        <v>0</v>
      </c>
      <c r="J2659" s="187">
        <f ca="1">OFFSET('IWP29'!Std9BillingInfo08, 10, 11, 1, 1)</f>
        <v>0</v>
      </c>
      <c r="K2659" s="187">
        <f ca="1">OFFSET('IWP29'!Std9BillingInfo08, 10, 12, 1, 1)</f>
        <v>0</v>
      </c>
      <c r="L2659" s="179">
        <f ca="1">OFFSET('IWP29'!Std9BillingInfo08, 12, 8, 1, 1)</f>
        <v>0</v>
      </c>
      <c r="M2659" s="129"/>
    </row>
    <row r="2660" spans="1:13" s="146" customFormat="1">
      <c r="A2660" s="183" t="s">
        <v>527</v>
      </c>
      <c r="B2660" s="196">
        <v>9</v>
      </c>
      <c r="C2660" s="195" t="str">
        <f ca="1">IF(OFFSET('IWP29'!Std9BillingInfo09, 0, 0, 1, 1) = 0, "", OFFSET('IWP29'!Std9BillingInfo09, 0, 0, 1, 1))</f>
        <v/>
      </c>
      <c r="D2660" s="172">
        <f ca="1">IF(OFFSET('IWP29'!Std9BillingInfo09, 0, 1, 1, 1)=DATE(1900,1,0), DATE(1900,1,1), OFFSET('IWP29'!Std9BillingInfo09, 0, 1, 1, 1))</f>
        <v>1</v>
      </c>
      <c r="E2660" s="172">
        <f ca="1">IF(OFFSET('IWP29'!Std9BillingInfo09, 0, 2, 1, 1)=DATE(1900,1,0), DATE(1900,1,1), OFFSET('IWP29'!Std9BillingInfo09, 0, 2, 1, 1))</f>
        <v>1</v>
      </c>
      <c r="F2660" s="187">
        <f ca="1">OFFSET('IWP29'!Std9BillingInfo09, 0, 3, 1, 1)</f>
        <v>0</v>
      </c>
      <c r="G2660" s="187">
        <f ca="1">OFFSET('IWP29'!Std9BillingInfo09, 10, 6, 1, 1)</f>
        <v>0</v>
      </c>
      <c r="H2660" s="187">
        <f ca="1">OFFSET('IWP29'!Std9BillingInfo09, 11, 6, 1, 1)</f>
        <v>0</v>
      </c>
      <c r="I2660" s="187">
        <f ca="1">OFFSET('IWP29'!Std9BillingInfo09, 10, 8, 1, 1)</f>
        <v>0</v>
      </c>
      <c r="J2660" s="187">
        <f ca="1">OFFSET('IWP29'!Std9BillingInfo09, 10, 11, 1, 1)</f>
        <v>0</v>
      </c>
      <c r="K2660" s="187">
        <f ca="1">OFFSET('IWP29'!Std9BillingInfo09, 10, 12, 1, 1)</f>
        <v>0</v>
      </c>
      <c r="L2660" s="179">
        <f ca="1">OFFSET('IWP29'!Std9BillingInfo09, 12, 8, 1, 1)</f>
        <v>0</v>
      </c>
      <c r="M2660" s="129"/>
    </row>
    <row r="2661" spans="1:13" s="146" customFormat="1">
      <c r="A2661" s="183" t="s">
        <v>527</v>
      </c>
      <c r="B2661" s="196">
        <v>10</v>
      </c>
      <c r="C2661" s="195" t="str">
        <f ca="1">IF(OFFSET('IWP29'!Std9BillingInfo10, 0, 0, 1, 1) = 0, "", OFFSET('IWP29'!Std9BillingInfo10, 0, 0, 1, 1))</f>
        <v/>
      </c>
      <c r="D2661" s="172">
        <f ca="1">IF(OFFSET('IWP29'!Std9BillingInfo10, 0, 1, 1, 1)=DATE(1900,1,0), DATE(1900,1,1), OFFSET('IWP29'!Std9BillingInfo10, 0, 1, 1, 1))</f>
        <v>1</v>
      </c>
      <c r="E2661" s="172">
        <f ca="1">IF(OFFSET('IWP29'!Std9BillingInfo10, 0, 2, 1, 1)=DATE(1900,1,0), DATE(1900,1,1), OFFSET('IWP29'!Std9BillingInfo10, 0, 2, 1, 1))</f>
        <v>1</v>
      </c>
      <c r="F2661" s="187">
        <f ca="1">OFFSET('IWP29'!Std9BillingInfo10, 0, 3, 1, 1)</f>
        <v>0</v>
      </c>
      <c r="G2661" s="187">
        <f ca="1">OFFSET('IWP29'!Std9BillingInfo10, 10, 6, 1, 1)</f>
        <v>0</v>
      </c>
      <c r="H2661" s="187">
        <f ca="1">OFFSET('IWP29'!Std9BillingInfo10, 11, 6, 1, 1)</f>
        <v>0</v>
      </c>
      <c r="I2661" s="187">
        <f ca="1">OFFSET('IWP29'!Std9BillingInfo10, 10, 8, 1, 1)</f>
        <v>0</v>
      </c>
      <c r="J2661" s="187">
        <f ca="1">OFFSET('IWP29'!Std9BillingInfo10, 10, 11, 1, 1)</f>
        <v>0</v>
      </c>
      <c r="K2661" s="187">
        <f ca="1">OFFSET('IWP29'!Std9BillingInfo10, 10, 12, 1, 1)</f>
        <v>0</v>
      </c>
      <c r="L2661" s="179">
        <f ca="1">OFFSET('IWP29'!Std9BillingInfo10, 12, 8, 1, 1)</f>
        <v>0</v>
      </c>
      <c r="M2661" s="129"/>
    </row>
    <row r="2662" spans="1:13" s="146" customFormat="1">
      <c r="A2662" s="183" t="s">
        <v>527</v>
      </c>
      <c r="B2662" s="196">
        <v>11</v>
      </c>
      <c r="C2662" s="195" t="str">
        <f ca="1">IF(OFFSET('IWP29'!Std9BillingInfo11, 0, 0, 1, 1) = 0, "", OFFSET('IWP29'!Std9BillingInfo11, 0, 0, 1, 1))</f>
        <v/>
      </c>
      <c r="D2662" s="172">
        <f ca="1">IF(OFFSET('IWP29'!Std9BillingInfo11, 0, 1, 1, 1)=DATE(1900,1,0), DATE(1900,1,1), OFFSET('IWP29'!Std9BillingInfo11, 0, 1, 1, 1))</f>
        <v>1</v>
      </c>
      <c r="E2662" s="172">
        <f ca="1">IF(OFFSET('IWP29'!Std9BillingInfo11, 0, 2, 1, 1)=DATE(1900,1,0), DATE(1900,1,1), OFFSET('IWP29'!Std9BillingInfo11, 0, 2, 1, 1))</f>
        <v>1</v>
      </c>
      <c r="F2662" s="187">
        <f ca="1">OFFSET('IWP29'!Std9BillingInfo11, 0, 3, 1, 1)</f>
        <v>0</v>
      </c>
      <c r="G2662" s="187">
        <f ca="1">OFFSET('IWP29'!Std9BillingInfo11, 10, 6, 1, 1)</f>
        <v>0</v>
      </c>
      <c r="H2662" s="187">
        <f ca="1">OFFSET('IWP29'!Std9BillingInfo11, 11, 6, 1, 1)</f>
        <v>0</v>
      </c>
      <c r="I2662" s="187">
        <f ca="1">OFFSET('IWP29'!Std9BillingInfo11, 10, 8, 1, 1)</f>
        <v>0</v>
      </c>
      <c r="J2662" s="187">
        <f ca="1">OFFSET('IWP29'!Std9BillingInfo11, 10, 11, 1, 1)</f>
        <v>0</v>
      </c>
      <c r="K2662" s="187">
        <f ca="1">OFFSET('IWP29'!Std9BillingInfo11, 10, 12, 1, 1)</f>
        <v>0</v>
      </c>
      <c r="L2662" s="179">
        <f ca="1">OFFSET('IWP29'!Std9BillingInfo11, 12, 8, 1, 1)</f>
        <v>0</v>
      </c>
      <c r="M2662" s="129"/>
    </row>
    <row r="2663" spans="1:13" s="146" customFormat="1">
      <c r="A2663" s="183" t="s">
        <v>527</v>
      </c>
      <c r="B2663" s="196">
        <v>12</v>
      </c>
      <c r="C2663" s="195" t="str">
        <f ca="1">IF(OFFSET('IWP29'!Std9BillingInfo12, 0, 0, 1, 1) = 0, "", OFFSET('IWP29'!Std9BillingInfo12, 0, 0, 1, 1))</f>
        <v/>
      </c>
      <c r="D2663" s="172">
        <f ca="1">IF(OFFSET('IWP29'!Std9BillingInfo12, 0, 1, 1, 1)=DATE(1900,1,0), DATE(1900,1,1), OFFSET('IWP29'!Std9BillingInfo12, 0, 1, 1, 1))</f>
        <v>1</v>
      </c>
      <c r="E2663" s="172">
        <f ca="1">IF(OFFSET('IWP29'!Std9BillingInfo12, 0, 2, 1, 1)=DATE(1900,1,0), DATE(1900,1,1), OFFSET('IWP29'!Std9BillingInfo12, 0, 2, 1, 1))</f>
        <v>1</v>
      </c>
      <c r="F2663" s="187">
        <f ca="1">OFFSET('IWP29'!Std9BillingInfo12, 0, 3, 1, 1)</f>
        <v>0</v>
      </c>
      <c r="G2663" s="187">
        <f ca="1">OFFSET('IWP29'!Std9BillingInfo12, 10, 6, 1, 1)</f>
        <v>0</v>
      </c>
      <c r="H2663" s="187">
        <f ca="1">OFFSET('IWP29'!Std9BillingInfo12, 11, 6, 1, 1)</f>
        <v>0</v>
      </c>
      <c r="I2663" s="187">
        <f ca="1">OFFSET('IWP29'!Std9BillingInfo12, 10, 8, 1, 1)</f>
        <v>0</v>
      </c>
      <c r="J2663" s="187">
        <f ca="1">OFFSET('IWP29'!Std9BillingInfo12, 10, 11, 1, 1)</f>
        <v>0</v>
      </c>
      <c r="K2663" s="187">
        <f ca="1">OFFSET('IWP29'!Std9BillingInfo12, 10, 12, 1, 1)</f>
        <v>0</v>
      </c>
      <c r="L2663" s="179">
        <f ca="1">OFFSET('IWP29'!Std9BillingInfo12, 12, 8, 1, 1)</f>
        <v>0</v>
      </c>
      <c r="M2663" s="129"/>
    </row>
    <row r="2664" spans="1:13" s="146" customFormat="1">
      <c r="A2664" s="183" t="s">
        <v>527</v>
      </c>
      <c r="B2664" s="196">
        <v>13</v>
      </c>
      <c r="C2664" s="195" t="str">
        <f ca="1">IF(OFFSET('IWP29'!Std9BillingInfo13, 0, 0, 1, 1) = 0, "", OFFSET('IWP29'!Std9BillingInfo13, 0, 0, 1, 1))</f>
        <v/>
      </c>
      <c r="D2664" s="172">
        <f ca="1">IF(OFFSET('IWP29'!Std9BillingInfo13, 0, 1, 1, 1)=DATE(1900,1,0), DATE(1900,1,1), OFFSET('IWP29'!Std9BillingInfo13, 0, 1, 1, 1))</f>
        <v>1</v>
      </c>
      <c r="E2664" s="172">
        <f ca="1">IF(OFFSET('IWP29'!Std9BillingInfo13, 0, 2, 1, 1)=DATE(1900,1,0), DATE(1900,1,1), OFFSET('IWP29'!Std9BillingInfo13, 0, 2, 1, 1))</f>
        <v>1</v>
      </c>
      <c r="F2664" s="187">
        <f ca="1">OFFSET('IWP29'!Std9BillingInfo13, 0, 3, 1, 1)</f>
        <v>0</v>
      </c>
      <c r="G2664" s="187">
        <f ca="1">OFFSET('IWP29'!Std9BillingInfo13, 10, 6, 1, 1)</f>
        <v>0</v>
      </c>
      <c r="H2664" s="187">
        <f ca="1">OFFSET('IWP29'!Std9BillingInfo13, 11, 6, 1, 1)</f>
        <v>0</v>
      </c>
      <c r="I2664" s="187">
        <f ca="1">OFFSET('IWP29'!Std9BillingInfo13, 10, 8, 1, 1)</f>
        <v>0</v>
      </c>
      <c r="J2664" s="187">
        <f ca="1">OFFSET('IWP29'!Std9BillingInfo13, 10, 11, 1, 1)</f>
        <v>0</v>
      </c>
      <c r="K2664" s="187">
        <f ca="1">OFFSET('IWP29'!Std9BillingInfo13, 10, 12, 1, 1)</f>
        <v>0</v>
      </c>
      <c r="L2664" s="179">
        <f ca="1">OFFSET('IWP29'!Std9BillingInfo13, 12, 8, 1, 1)</f>
        <v>0</v>
      </c>
      <c r="M2664" s="129"/>
    </row>
    <row r="2665" spans="1:13" s="146" customFormat="1">
      <c r="A2665" s="183" t="s">
        <v>527</v>
      </c>
      <c r="B2665" s="196">
        <v>14</v>
      </c>
      <c r="C2665" s="195" t="str">
        <f ca="1">IF(OFFSET('IWP29'!Std9BillingInfo14, 0, 0, 1, 1) = 0, "", OFFSET('IWP29'!Std9BillingInfo14, 0, 0, 1, 1))</f>
        <v/>
      </c>
      <c r="D2665" s="172">
        <f ca="1">IF(OFFSET('IWP29'!Std9BillingInfo14, 0, 1, 1, 1)=DATE(1900,1,0), DATE(1900,1,1), OFFSET('IWP29'!Std9BillingInfo14, 0, 1, 1, 1))</f>
        <v>1</v>
      </c>
      <c r="E2665" s="172">
        <f ca="1">IF(OFFSET('IWP29'!Std9BillingInfo14, 0, 2, 1, 1)=DATE(1900,1,0), DATE(1900,1,1), OFFSET('IWP29'!Std9BillingInfo14, 0, 2, 1, 1))</f>
        <v>1</v>
      </c>
      <c r="F2665" s="187">
        <f ca="1">OFFSET('IWP29'!Std9BillingInfo14, 0, 3, 1, 1)</f>
        <v>0</v>
      </c>
      <c r="G2665" s="187">
        <f ca="1">OFFSET('IWP29'!Std9BillingInfo14, 10, 6, 1, 1)</f>
        <v>0</v>
      </c>
      <c r="H2665" s="187">
        <f ca="1">OFFSET('IWP29'!Std9BillingInfo14, 11, 6, 1, 1)</f>
        <v>0</v>
      </c>
      <c r="I2665" s="187">
        <f ca="1">OFFSET('IWP29'!Std9BillingInfo14, 10, 8, 1, 1)</f>
        <v>0</v>
      </c>
      <c r="J2665" s="187">
        <f ca="1">OFFSET('IWP29'!Std9BillingInfo14, 10, 11, 1, 1)</f>
        <v>0</v>
      </c>
      <c r="K2665" s="187">
        <f ca="1">OFFSET('IWP29'!Std9BillingInfo14, 10, 12, 1, 1)</f>
        <v>0</v>
      </c>
      <c r="L2665" s="179">
        <f ca="1">OFFSET('IWP29'!Std9BillingInfo14, 12, 8, 1, 1)</f>
        <v>0</v>
      </c>
      <c r="M2665" s="129"/>
    </row>
    <row r="2666" spans="1:13" s="146" customFormat="1">
      <c r="A2666" s="183" t="s">
        <v>527</v>
      </c>
      <c r="B2666" s="196">
        <v>15</v>
      </c>
      <c r="C2666" s="195" t="str">
        <f ca="1">IF(OFFSET('IWP29'!Std9BillingInfo15, 0, 0, 1, 1) = 0, "", OFFSET('IWP29'!Std9BillingInfo15, 0, 0, 1, 1))</f>
        <v/>
      </c>
      <c r="D2666" s="172">
        <f ca="1">IF(OFFSET('IWP29'!Std9BillingInfo15, 0, 1, 1, 1)=DATE(1900,1,0), DATE(1900,1,1), OFFSET('IWP29'!Std9BillingInfo15, 0, 1, 1, 1))</f>
        <v>1</v>
      </c>
      <c r="E2666" s="172">
        <f ca="1">IF(OFFSET('IWP29'!Std9BillingInfo15, 0, 2, 1, 1)=DATE(1900,1,0), DATE(1900,1,1), OFFSET('IWP29'!Std9BillingInfo15, 0, 2, 1, 1))</f>
        <v>1</v>
      </c>
      <c r="F2666" s="187">
        <f ca="1">OFFSET('IWP29'!Std9BillingInfo15, 0, 3, 1, 1)</f>
        <v>0</v>
      </c>
      <c r="G2666" s="187">
        <f ca="1">OFFSET('IWP29'!Std9BillingInfo15, 10, 6, 1, 1)</f>
        <v>0</v>
      </c>
      <c r="H2666" s="187">
        <f ca="1">OFFSET('IWP29'!Std9BillingInfo15, 11, 6, 1, 1)</f>
        <v>0</v>
      </c>
      <c r="I2666" s="187">
        <f ca="1">OFFSET('IWP29'!Std9BillingInfo15, 10, 8, 1, 1)</f>
        <v>0</v>
      </c>
      <c r="J2666" s="187">
        <f ca="1">OFFSET('IWP29'!Std9BillingInfo15, 10, 11, 1, 1)</f>
        <v>0</v>
      </c>
      <c r="K2666" s="187">
        <f ca="1">OFFSET('IWP29'!Std9BillingInfo15, 10, 12, 1, 1)</f>
        <v>0</v>
      </c>
      <c r="L2666" s="179">
        <f ca="1">OFFSET('IWP29'!Std9BillingInfo15, 12, 8, 1, 1)</f>
        <v>0</v>
      </c>
      <c r="M2666" s="129"/>
    </row>
    <row r="2667" spans="1:13" s="146" customFormat="1">
      <c r="A2667" s="183" t="s">
        <v>527</v>
      </c>
      <c r="B2667" s="196">
        <v>16</v>
      </c>
      <c r="C2667" s="195" t="str">
        <f ca="1">IF(OFFSET('IWP29'!Std9BillingInfo16, 0, 0, 1, 1) = 0, "", OFFSET('IWP29'!Std9BillingInfo16, 0, 0, 1, 1))</f>
        <v/>
      </c>
      <c r="D2667" s="172">
        <f ca="1">IF(OFFSET('IWP29'!Std9BillingInfo16, 0, 1, 1, 1)=DATE(1900,1,0), DATE(1900,1,1), OFFSET('IWP29'!Std9BillingInfo16, 0, 1, 1, 1))</f>
        <v>1</v>
      </c>
      <c r="E2667" s="172">
        <f ca="1">IF(OFFSET('IWP29'!Std9BillingInfo16, 0, 2, 1, 1)=DATE(1900,1,0), DATE(1900,1,1), OFFSET('IWP29'!Std9BillingInfo16, 0, 2, 1, 1))</f>
        <v>1</v>
      </c>
      <c r="F2667" s="187">
        <f ca="1">OFFSET('IWP29'!Std9BillingInfo16, 0, 3, 1, 1)</f>
        <v>0</v>
      </c>
      <c r="G2667" s="187">
        <f ca="1">OFFSET('IWP29'!Std9BillingInfo16, 10, 6, 1, 1)</f>
        <v>0</v>
      </c>
      <c r="H2667" s="187">
        <f ca="1">OFFSET('IWP29'!Std9BillingInfo16, 11, 6, 1, 1)</f>
        <v>0</v>
      </c>
      <c r="I2667" s="187">
        <f ca="1">OFFSET('IWP29'!Std9BillingInfo16, 10, 8, 1, 1)</f>
        <v>0</v>
      </c>
      <c r="J2667" s="187">
        <f ca="1">OFFSET('IWP29'!Std9BillingInfo16, 10, 11, 1, 1)</f>
        <v>0</v>
      </c>
      <c r="K2667" s="187">
        <f ca="1">OFFSET('IWP29'!Std9BillingInfo16, 10, 12, 1, 1)</f>
        <v>0</v>
      </c>
      <c r="L2667" s="179">
        <f ca="1">OFFSET('IWP29'!Std9BillingInfo16, 12, 8, 1, 1)</f>
        <v>0</v>
      </c>
      <c r="M2667" s="129"/>
    </row>
    <row r="2668" spans="1:13" s="146" customFormat="1">
      <c r="A2668" s="183" t="s">
        <v>527</v>
      </c>
      <c r="B2668" s="196">
        <v>17</v>
      </c>
      <c r="C2668" s="195" t="str">
        <f ca="1">IF(OFFSET('IWP29'!Std9BillingInfo17, 0, 0, 1, 1) = 0, "", OFFSET('IWP29'!Std9BillingInfo17, 0, 0, 1, 1))</f>
        <v/>
      </c>
      <c r="D2668" s="172">
        <f ca="1">IF(OFFSET('IWP29'!Std9BillingInfo17, 0, 1, 1, 1)=DATE(1900,1,0), DATE(1900,1,1), OFFSET('IWP29'!Std9BillingInfo17, 0, 1, 1, 1))</f>
        <v>1</v>
      </c>
      <c r="E2668" s="172">
        <f ca="1">IF(OFFSET('IWP29'!Std9BillingInfo17, 0, 2, 1, 1)=DATE(1900,1,0), DATE(1900,1,1), OFFSET('IWP29'!Std9BillingInfo17, 0, 2, 1, 1))</f>
        <v>1</v>
      </c>
      <c r="F2668" s="187">
        <f ca="1">OFFSET('IWP29'!Std9BillingInfo17, 0, 3, 1, 1)</f>
        <v>0</v>
      </c>
      <c r="G2668" s="187">
        <f ca="1">OFFSET('IWP29'!Std9BillingInfo17, 10, 6, 1, 1)</f>
        <v>0</v>
      </c>
      <c r="H2668" s="187">
        <f ca="1">OFFSET('IWP29'!Std9BillingInfo17, 11, 6, 1, 1)</f>
        <v>0</v>
      </c>
      <c r="I2668" s="187">
        <f ca="1">OFFSET('IWP29'!Std9BillingInfo17, 10, 8, 1, 1)</f>
        <v>0</v>
      </c>
      <c r="J2668" s="187">
        <f ca="1">OFFSET('IWP29'!Std9BillingInfo17, 10, 11, 1, 1)</f>
        <v>0</v>
      </c>
      <c r="K2668" s="187">
        <f ca="1">OFFSET('IWP29'!Std9BillingInfo17, 10, 12, 1, 1)</f>
        <v>0</v>
      </c>
      <c r="L2668" s="179">
        <f ca="1">OFFSET('IWP29'!Std9BillingInfo17, 12, 8, 1, 1)</f>
        <v>0</v>
      </c>
      <c r="M2668" s="129"/>
    </row>
    <row r="2669" spans="1:13" s="146" customFormat="1">
      <c r="A2669" s="183" t="s">
        <v>527</v>
      </c>
      <c r="B2669" s="196">
        <v>18</v>
      </c>
      <c r="C2669" s="195" t="str">
        <f ca="1">IF(OFFSET('IWP29'!Std9BillingInfo18, 0, 0, 1, 1) = 0, "", OFFSET('IWP29'!Std9BillingInfo18, 0, 0, 1, 1))</f>
        <v/>
      </c>
      <c r="D2669" s="172">
        <f ca="1">IF(OFFSET('IWP29'!Std9BillingInfo18, 0, 1, 1, 1)=DATE(1900,1,0), DATE(1900,1,1), OFFSET('IWP29'!Std9BillingInfo18, 0, 1, 1, 1))</f>
        <v>1</v>
      </c>
      <c r="E2669" s="172">
        <f ca="1">IF(OFFSET('IWP29'!Std9BillingInfo18, 0, 2, 1, 1)=DATE(1900,1,0), DATE(1900,1,1), OFFSET('IWP29'!Std9BillingInfo18, 0, 2, 1, 1))</f>
        <v>1</v>
      </c>
      <c r="F2669" s="187">
        <f ca="1">OFFSET('IWP29'!Std9BillingInfo18, 0, 3, 1, 1)</f>
        <v>0</v>
      </c>
      <c r="G2669" s="187">
        <f ca="1">OFFSET('IWP29'!Std9BillingInfo18, 10, 6, 1, 1)</f>
        <v>0</v>
      </c>
      <c r="H2669" s="187">
        <f ca="1">OFFSET('IWP29'!Std9BillingInfo18, 11, 6, 1, 1)</f>
        <v>0</v>
      </c>
      <c r="I2669" s="187">
        <f ca="1">OFFSET('IWP29'!Std9BillingInfo18, 10, 8, 1, 1)</f>
        <v>0</v>
      </c>
      <c r="J2669" s="187">
        <f ca="1">OFFSET('IWP29'!Std9BillingInfo18, 10, 11, 1, 1)</f>
        <v>0</v>
      </c>
      <c r="K2669" s="187">
        <f ca="1">OFFSET('IWP29'!Std9BillingInfo18, 10, 12, 1, 1)</f>
        <v>0</v>
      </c>
      <c r="L2669" s="179">
        <f ca="1">OFFSET('IWP29'!Std9BillingInfo18, 12, 8, 1, 1)</f>
        <v>0</v>
      </c>
      <c r="M2669" s="129"/>
    </row>
    <row r="2670" spans="1:13" s="146" customFormat="1">
      <c r="A2670" s="183" t="s">
        <v>528</v>
      </c>
      <c r="B2670" s="196">
        <v>1</v>
      </c>
      <c r="C2670" s="195" t="str">
        <f ca="1">IF(OFFSET('IWP30'!Std9BillingInfo01, 0, 0, 1, 1) = 0, "", OFFSET('IWP30'!Std9BillingInfo01, 0, 0, 1, 1))</f>
        <v/>
      </c>
      <c r="D2670" s="172">
        <f ca="1">IF(OFFSET('IWP30'!Std9BillingInfo01, 0, 1, 1, 1)=DATE(1900,1,0), DATE(1900,1,1), OFFSET('IWP30'!Std9BillingInfo01, 0, 1, 1, 1))</f>
        <v>1</v>
      </c>
      <c r="E2670" s="172">
        <f ca="1">IF(OFFSET('IWP30'!Std9BillingInfo01, 0, 2, 1, 1)=DATE(1900,1,0), DATE(1900,1,1), OFFSET('IWP30'!Std9BillingInfo01, 0, 2, 1, 1))</f>
        <v>1</v>
      </c>
      <c r="F2670" s="187">
        <f ca="1">OFFSET('IWP30'!Std9BillingInfo01, 0, 3, 1, 1)</f>
        <v>0</v>
      </c>
      <c r="G2670" s="187">
        <f ca="1">OFFSET('IWP30'!Std9BillingInfo01, 10, 6, 1, 1)</f>
        <v>0</v>
      </c>
      <c r="H2670" s="187">
        <f ca="1">OFFSET('IWP30'!Std9BillingInfo01, 11, 6, 1, 1)</f>
        <v>0</v>
      </c>
      <c r="I2670" s="187">
        <f ca="1">OFFSET('IWP30'!Std9BillingInfo01, 10, 8, 1, 1)</f>
        <v>0</v>
      </c>
      <c r="J2670" s="187">
        <f ca="1">OFFSET('IWP30'!Std9BillingInfo01, 10, 11, 1, 1)</f>
        <v>0</v>
      </c>
      <c r="K2670" s="187">
        <f ca="1">OFFSET('IWP30'!Std9BillingInfo01, 10, 12, 1, 1)</f>
        <v>0</v>
      </c>
      <c r="L2670" s="179">
        <f ca="1">OFFSET('IWP30'!Std9BillingInfo01, 12, 8, 1, 1)</f>
        <v>0</v>
      </c>
      <c r="M2670" s="129"/>
    </row>
    <row r="2671" spans="1:13" s="146" customFormat="1">
      <c r="A2671" s="183" t="s">
        <v>528</v>
      </c>
      <c r="B2671" s="196">
        <v>2</v>
      </c>
      <c r="C2671" s="195" t="str">
        <f ca="1">IF(OFFSET('IWP30'!Std9BillingInfo02, 0, 0, 1, 1) = 0, "", OFFSET('IWP30'!Std9BillingInfo02, 0, 0, 1, 1))</f>
        <v/>
      </c>
      <c r="D2671" s="172">
        <f ca="1">IF(OFFSET('IWP30'!Std9BillingInfo02, 0, 1, 1, 1)=DATE(1900,1,0), DATE(1900,1,1), OFFSET('IWP30'!Std9BillingInfo02, 0, 1, 1, 1))</f>
        <v>1</v>
      </c>
      <c r="E2671" s="172">
        <f ca="1">IF(OFFSET('IWP30'!Std9BillingInfo02, 0, 2, 1, 1)=DATE(1900,1,0), DATE(1900,1,1), OFFSET('IWP30'!Std9BillingInfo02, 0, 2, 1, 1))</f>
        <v>1</v>
      </c>
      <c r="F2671" s="187">
        <f ca="1">OFFSET('IWP30'!Std9BillingInfo02, 0, 3, 1, 1)</f>
        <v>0</v>
      </c>
      <c r="G2671" s="187">
        <f ca="1">OFFSET('IWP30'!Std9BillingInfo02, 10, 6, 1, 1)</f>
        <v>0</v>
      </c>
      <c r="H2671" s="187">
        <f ca="1">OFFSET('IWP30'!Std9BillingInfo02, 11, 6, 1, 1)</f>
        <v>0</v>
      </c>
      <c r="I2671" s="187">
        <f ca="1">OFFSET('IWP30'!Std9BillingInfo02, 10, 8, 1, 1)</f>
        <v>0</v>
      </c>
      <c r="J2671" s="187">
        <f ca="1">OFFSET('IWP30'!Std9BillingInfo02, 10, 11, 1, 1)</f>
        <v>0</v>
      </c>
      <c r="K2671" s="187">
        <f ca="1">OFFSET('IWP30'!Std9BillingInfo02, 10, 12, 1, 1)</f>
        <v>0</v>
      </c>
      <c r="L2671" s="179">
        <f ca="1">OFFSET('IWP30'!Std9BillingInfo02, 12, 8, 1, 1)</f>
        <v>0</v>
      </c>
      <c r="M2671" s="129"/>
    </row>
    <row r="2672" spans="1:13" s="146" customFormat="1">
      <c r="A2672" s="183" t="s">
        <v>528</v>
      </c>
      <c r="B2672" s="196">
        <v>3</v>
      </c>
      <c r="C2672" s="195" t="str">
        <f ca="1">IF(OFFSET('IWP30'!Std9BillingInfo03, 0, 0, 1, 1) = 0, "", OFFSET('IWP30'!Std9BillingInfo03, 0, 0, 1, 1))</f>
        <v/>
      </c>
      <c r="D2672" s="172">
        <f ca="1">IF(OFFSET('IWP30'!Std9BillingInfo03, 0, 1, 1, 1)=DATE(1900,1,0), DATE(1900,1,1), OFFSET('IWP30'!Std9BillingInfo03, 0, 1, 1, 1))</f>
        <v>1</v>
      </c>
      <c r="E2672" s="172">
        <f ca="1">IF(OFFSET('IWP30'!Std9BillingInfo03, 0, 2, 1, 1)=DATE(1900,1,0), DATE(1900,1,1), OFFSET('IWP30'!Std9BillingInfo03, 0, 2, 1, 1))</f>
        <v>1</v>
      </c>
      <c r="F2672" s="187">
        <f ca="1">OFFSET('IWP30'!Std9BillingInfo03, 0, 3, 1, 1)</f>
        <v>0</v>
      </c>
      <c r="G2672" s="187">
        <f ca="1">OFFSET('IWP30'!Std9BillingInfo03, 10, 6, 1, 1)</f>
        <v>0</v>
      </c>
      <c r="H2672" s="187">
        <f ca="1">OFFSET('IWP30'!Std9BillingInfo03, 11, 6, 1, 1)</f>
        <v>0</v>
      </c>
      <c r="I2672" s="187">
        <f ca="1">OFFSET('IWP30'!Std9BillingInfo03, 10, 8, 1, 1)</f>
        <v>0</v>
      </c>
      <c r="J2672" s="187">
        <f ca="1">OFFSET('IWP30'!Std9BillingInfo03, 10, 11, 1, 1)</f>
        <v>0</v>
      </c>
      <c r="K2672" s="187">
        <f ca="1">OFFSET('IWP30'!Std9BillingInfo03, 10, 12, 1, 1)</f>
        <v>0</v>
      </c>
      <c r="L2672" s="179">
        <f ca="1">OFFSET('IWP30'!Std9BillingInfo03, 12, 8, 1, 1)</f>
        <v>0</v>
      </c>
      <c r="M2672" s="129"/>
    </row>
    <row r="2673" spans="1:13" s="146" customFormat="1">
      <c r="A2673" s="183" t="s">
        <v>528</v>
      </c>
      <c r="B2673" s="196">
        <v>4</v>
      </c>
      <c r="C2673" s="195" t="str">
        <f ca="1">IF(OFFSET('IWP30'!Std9BillingInfo04, 0, 0, 1, 1) = 0, "", OFFSET('IWP30'!Std9BillingInfo04, 0, 0, 1, 1))</f>
        <v/>
      </c>
      <c r="D2673" s="172">
        <f ca="1">IF(OFFSET('IWP30'!Std9BillingInfo04, 0, 1, 1, 1)=DATE(1900,1,0), DATE(1900,1,1), OFFSET('IWP30'!Std9BillingInfo04, 0, 1, 1, 1))</f>
        <v>1</v>
      </c>
      <c r="E2673" s="172">
        <f ca="1">IF(OFFSET('IWP30'!Std9BillingInfo04, 0, 2, 1, 1)=DATE(1900,1,0), DATE(1900,1,1), OFFSET('IWP30'!Std9BillingInfo04, 0, 2, 1, 1))</f>
        <v>1</v>
      </c>
      <c r="F2673" s="187">
        <f ca="1">OFFSET('IWP30'!Std9BillingInfo04, 0, 3, 1, 1)</f>
        <v>0</v>
      </c>
      <c r="G2673" s="187">
        <f ca="1">OFFSET('IWP30'!Std9BillingInfo04, 10, 6, 1, 1)</f>
        <v>0</v>
      </c>
      <c r="H2673" s="187">
        <f ca="1">OFFSET('IWP30'!Std9BillingInfo04, 11, 6, 1, 1)</f>
        <v>0</v>
      </c>
      <c r="I2673" s="187">
        <f ca="1">OFFSET('IWP30'!Std9BillingInfo04, 10, 8, 1, 1)</f>
        <v>0</v>
      </c>
      <c r="J2673" s="187">
        <f ca="1">OFFSET('IWP30'!Std9BillingInfo04, 10, 11, 1, 1)</f>
        <v>0</v>
      </c>
      <c r="K2673" s="187">
        <f ca="1">OFFSET('IWP30'!Std9BillingInfo04, 10, 12, 1, 1)</f>
        <v>0</v>
      </c>
      <c r="L2673" s="179">
        <f ca="1">OFFSET('IWP30'!Std9BillingInfo04, 12, 8, 1, 1)</f>
        <v>0</v>
      </c>
      <c r="M2673" s="129"/>
    </row>
    <row r="2674" spans="1:13" s="146" customFormat="1">
      <c r="A2674" s="183" t="s">
        <v>528</v>
      </c>
      <c r="B2674" s="196">
        <v>5</v>
      </c>
      <c r="C2674" s="195" t="str">
        <f ca="1">IF(OFFSET('IWP30'!Std9BillingInfo05, 0, 0, 1, 1) = 0, "", OFFSET('IWP30'!Std9BillingInfo05, 0, 0, 1, 1))</f>
        <v/>
      </c>
      <c r="D2674" s="172">
        <f ca="1">IF(OFFSET('IWP30'!Std9BillingInfo05, 0, 1, 1, 1)=DATE(1900,1,0), DATE(1900,1,1), OFFSET('IWP30'!Std9BillingInfo05, 0, 1, 1, 1))</f>
        <v>1</v>
      </c>
      <c r="E2674" s="172">
        <f ca="1">IF(OFFSET('IWP30'!Std9BillingInfo05, 0, 2, 1, 1)=DATE(1900,1,0), DATE(1900,1,1), OFFSET('IWP30'!Std9BillingInfo05, 0, 2, 1, 1))</f>
        <v>1</v>
      </c>
      <c r="F2674" s="187">
        <f ca="1">OFFSET('IWP30'!Std9BillingInfo05, 0, 3, 1, 1)</f>
        <v>0</v>
      </c>
      <c r="G2674" s="187">
        <f ca="1">OFFSET('IWP30'!Std9BillingInfo05, 10, 6, 1, 1)</f>
        <v>0</v>
      </c>
      <c r="H2674" s="187">
        <f ca="1">OFFSET('IWP30'!Std9BillingInfo05, 11, 6, 1, 1)</f>
        <v>0</v>
      </c>
      <c r="I2674" s="187">
        <f ca="1">OFFSET('IWP30'!Std9BillingInfo05, 10, 8, 1, 1)</f>
        <v>0</v>
      </c>
      <c r="J2674" s="187">
        <f ca="1">OFFSET('IWP30'!Std9BillingInfo05, 10, 11, 1, 1)</f>
        <v>0</v>
      </c>
      <c r="K2674" s="187">
        <f ca="1">OFFSET('IWP30'!Std9BillingInfo05, 10, 12, 1, 1)</f>
        <v>0</v>
      </c>
      <c r="L2674" s="179">
        <f ca="1">OFFSET('IWP30'!Std9BillingInfo05, 12, 8, 1, 1)</f>
        <v>0</v>
      </c>
      <c r="M2674" s="129"/>
    </row>
    <row r="2675" spans="1:13" s="146" customFormat="1">
      <c r="A2675" s="183" t="s">
        <v>528</v>
      </c>
      <c r="B2675" s="196">
        <v>6</v>
      </c>
      <c r="C2675" s="195" t="str">
        <f ca="1">IF(OFFSET('IWP30'!Std9BillingInfo06, 0, 0, 1, 1) = 0, "", OFFSET('IWP30'!Std9BillingInfo06, 0, 0, 1, 1))</f>
        <v/>
      </c>
      <c r="D2675" s="172">
        <f ca="1">IF(OFFSET('IWP30'!Std9BillingInfo06, 0, 1, 1, 1)=DATE(1900,1,0), DATE(1900,1,1), OFFSET('IWP30'!Std9BillingInfo06, 0, 1, 1, 1))</f>
        <v>1</v>
      </c>
      <c r="E2675" s="172">
        <f ca="1">IF(OFFSET('IWP30'!Std9BillingInfo06, 0, 2, 1, 1)=DATE(1900,1,0), DATE(1900,1,1), OFFSET('IWP30'!Std9BillingInfo06, 0, 2, 1, 1))</f>
        <v>1</v>
      </c>
      <c r="F2675" s="187">
        <f ca="1">OFFSET('IWP30'!Std9BillingInfo06, 0, 3, 1, 1)</f>
        <v>0</v>
      </c>
      <c r="G2675" s="187">
        <f ca="1">OFFSET('IWP30'!Std9BillingInfo06, 10, 6, 1, 1)</f>
        <v>0</v>
      </c>
      <c r="H2675" s="187">
        <f ca="1">OFFSET('IWP30'!Std9BillingInfo06, 11, 6, 1, 1)</f>
        <v>0</v>
      </c>
      <c r="I2675" s="187">
        <f ca="1">OFFSET('IWP30'!Std9BillingInfo06, 10, 8, 1, 1)</f>
        <v>0</v>
      </c>
      <c r="J2675" s="187">
        <f ca="1">OFFSET('IWP30'!Std9BillingInfo06, 10, 11, 1, 1)</f>
        <v>0</v>
      </c>
      <c r="K2675" s="187">
        <f ca="1">OFFSET('IWP30'!Std9BillingInfo06, 10, 12, 1, 1)</f>
        <v>0</v>
      </c>
      <c r="L2675" s="179">
        <f ca="1">OFFSET('IWP30'!Std9BillingInfo06, 12, 8, 1, 1)</f>
        <v>0</v>
      </c>
      <c r="M2675" s="129"/>
    </row>
    <row r="2676" spans="1:13" s="146" customFormat="1">
      <c r="A2676" s="183" t="s">
        <v>528</v>
      </c>
      <c r="B2676" s="196">
        <v>7</v>
      </c>
      <c r="C2676" s="195" t="str">
        <f ca="1">IF(OFFSET('IWP30'!Std9BillingInfo07, 0, 0, 1, 1) = 0, "", OFFSET('IWP30'!Std9BillingInfo07, 0, 0, 1, 1))</f>
        <v/>
      </c>
      <c r="D2676" s="172">
        <f ca="1">IF(OFFSET('IWP30'!Std9BillingInfo07, 0, 1, 1, 1)=DATE(1900,1,0), DATE(1900,1,1), OFFSET('IWP30'!Std9BillingInfo07, 0, 1, 1, 1))</f>
        <v>1</v>
      </c>
      <c r="E2676" s="172">
        <f ca="1">IF(OFFSET('IWP30'!Std9BillingInfo07, 0, 2, 1, 1)=DATE(1900,1,0), DATE(1900,1,1), OFFSET('IWP30'!Std9BillingInfo07, 0, 2, 1, 1))</f>
        <v>1</v>
      </c>
      <c r="F2676" s="187">
        <f ca="1">OFFSET('IWP30'!Std9BillingInfo07, 0, 3, 1, 1)</f>
        <v>0</v>
      </c>
      <c r="G2676" s="187">
        <f ca="1">OFFSET('IWP30'!Std9BillingInfo07, 10, 6, 1, 1)</f>
        <v>0</v>
      </c>
      <c r="H2676" s="187">
        <f ca="1">OFFSET('IWP30'!Std9BillingInfo07, 11, 6, 1, 1)</f>
        <v>0</v>
      </c>
      <c r="I2676" s="187">
        <f ca="1">OFFSET('IWP30'!Std9BillingInfo07, 10, 8, 1, 1)</f>
        <v>0</v>
      </c>
      <c r="J2676" s="187">
        <f ca="1">OFFSET('IWP30'!Std9BillingInfo07, 10, 11, 1, 1)</f>
        <v>0</v>
      </c>
      <c r="K2676" s="187">
        <f ca="1">OFFSET('IWP30'!Std9BillingInfo07, 10, 12, 1, 1)</f>
        <v>0</v>
      </c>
      <c r="L2676" s="179">
        <f ca="1">OFFSET('IWP30'!Std9BillingInfo07, 12, 8, 1, 1)</f>
        <v>0</v>
      </c>
      <c r="M2676" s="129"/>
    </row>
    <row r="2677" spans="1:13" s="146" customFormat="1">
      <c r="A2677" s="183" t="s">
        <v>528</v>
      </c>
      <c r="B2677" s="196">
        <v>8</v>
      </c>
      <c r="C2677" s="195" t="str">
        <f ca="1">IF(OFFSET('IWP30'!Std9BillingInfo08, 0, 0, 1, 1) = 0, "", OFFSET('IWP30'!Std9BillingInfo08, 0, 0, 1, 1))</f>
        <v/>
      </c>
      <c r="D2677" s="172">
        <f ca="1">IF(OFFSET('IWP30'!Std9BillingInfo08, 0, 1, 1, 1)=DATE(1900,1,0), DATE(1900,1,1), OFFSET('IWP30'!Std9BillingInfo08, 0, 1, 1, 1))</f>
        <v>1</v>
      </c>
      <c r="E2677" s="172">
        <f ca="1">IF(OFFSET('IWP30'!Std9BillingInfo08, 0, 2, 1, 1)=DATE(1900,1,0), DATE(1900,1,1), OFFSET('IWP30'!Std9BillingInfo08, 0, 2, 1, 1))</f>
        <v>1</v>
      </c>
      <c r="F2677" s="187">
        <f ca="1">OFFSET('IWP30'!Std9BillingInfo08, 0, 3, 1, 1)</f>
        <v>0</v>
      </c>
      <c r="G2677" s="187">
        <f ca="1">OFFSET('IWP30'!Std9BillingInfo08, 10, 6, 1, 1)</f>
        <v>0</v>
      </c>
      <c r="H2677" s="187">
        <f ca="1">OFFSET('IWP30'!Std9BillingInfo08, 11, 6, 1, 1)</f>
        <v>0</v>
      </c>
      <c r="I2677" s="187">
        <f ca="1">OFFSET('IWP30'!Std9BillingInfo08, 10, 8, 1, 1)</f>
        <v>0</v>
      </c>
      <c r="J2677" s="187">
        <f ca="1">OFFSET('IWP30'!Std9BillingInfo08, 10, 11, 1, 1)</f>
        <v>0</v>
      </c>
      <c r="K2677" s="187">
        <f ca="1">OFFSET('IWP30'!Std9BillingInfo08, 10, 12, 1, 1)</f>
        <v>0</v>
      </c>
      <c r="L2677" s="179">
        <f ca="1">OFFSET('IWP30'!Std9BillingInfo08, 12, 8, 1, 1)</f>
        <v>0</v>
      </c>
      <c r="M2677" s="129"/>
    </row>
    <row r="2678" spans="1:13" s="146" customFormat="1">
      <c r="A2678" s="183" t="s">
        <v>528</v>
      </c>
      <c r="B2678" s="196">
        <v>9</v>
      </c>
      <c r="C2678" s="195" t="str">
        <f ca="1">IF(OFFSET('IWP30'!Std9BillingInfo09, 0, 0, 1, 1) = 0, "", OFFSET('IWP30'!Std9BillingInfo09, 0, 0, 1, 1))</f>
        <v/>
      </c>
      <c r="D2678" s="172">
        <f ca="1">IF(OFFSET('IWP30'!Std9BillingInfo09, 0, 1, 1, 1)=DATE(1900,1,0), DATE(1900,1,1), OFFSET('IWP30'!Std9BillingInfo09, 0, 1, 1, 1))</f>
        <v>1</v>
      </c>
      <c r="E2678" s="172">
        <f ca="1">IF(OFFSET('IWP30'!Std9BillingInfo09, 0, 2, 1, 1)=DATE(1900,1,0), DATE(1900,1,1), OFFSET('IWP30'!Std9BillingInfo09, 0, 2, 1, 1))</f>
        <v>1</v>
      </c>
      <c r="F2678" s="187">
        <f ca="1">OFFSET('IWP30'!Std9BillingInfo09, 0, 3, 1, 1)</f>
        <v>0</v>
      </c>
      <c r="G2678" s="187">
        <f ca="1">OFFSET('IWP30'!Std9BillingInfo09, 10, 6, 1, 1)</f>
        <v>0</v>
      </c>
      <c r="H2678" s="187">
        <f ca="1">OFFSET('IWP30'!Std9BillingInfo09, 11, 6, 1, 1)</f>
        <v>0</v>
      </c>
      <c r="I2678" s="187">
        <f ca="1">OFFSET('IWP30'!Std9BillingInfo09, 10, 8, 1, 1)</f>
        <v>0</v>
      </c>
      <c r="J2678" s="187">
        <f ca="1">OFFSET('IWP30'!Std9BillingInfo09, 10, 11, 1, 1)</f>
        <v>0</v>
      </c>
      <c r="K2678" s="187">
        <f ca="1">OFFSET('IWP30'!Std9BillingInfo09, 10, 12, 1, 1)</f>
        <v>0</v>
      </c>
      <c r="L2678" s="179">
        <f ca="1">OFFSET('IWP30'!Std9BillingInfo09, 12, 8, 1, 1)</f>
        <v>0</v>
      </c>
      <c r="M2678" s="129"/>
    </row>
    <row r="2679" spans="1:13" s="146" customFormat="1">
      <c r="A2679" s="183" t="s">
        <v>528</v>
      </c>
      <c r="B2679" s="196">
        <v>10</v>
      </c>
      <c r="C2679" s="195" t="str">
        <f ca="1">IF(OFFSET('IWP30'!Std9BillingInfo10, 0, 0, 1, 1) = 0, "", OFFSET('IWP30'!Std9BillingInfo10, 0, 0, 1, 1))</f>
        <v/>
      </c>
      <c r="D2679" s="172">
        <f ca="1">IF(OFFSET('IWP30'!Std9BillingInfo10, 0, 1, 1, 1)=DATE(1900,1,0), DATE(1900,1,1), OFFSET('IWP30'!Std9BillingInfo10, 0, 1, 1, 1))</f>
        <v>1</v>
      </c>
      <c r="E2679" s="172">
        <f ca="1">IF(OFFSET('IWP30'!Std9BillingInfo10, 0, 2, 1, 1)=DATE(1900,1,0), DATE(1900,1,1), OFFSET('IWP30'!Std9BillingInfo10, 0, 2, 1, 1))</f>
        <v>1</v>
      </c>
      <c r="F2679" s="187">
        <f ca="1">OFFSET('IWP30'!Std9BillingInfo10, 0, 3, 1, 1)</f>
        <v>0</v>
      </c>
      <c r="G2679" s="187">
        <f ca="1">OFFSET('IWP30'!Std9BillingInfo10, 10, 6, 1, 1)</f>
        <v>0</v>
      </c>
      <c r="H2679" s="187">
        <f ca="1">OFFSET('IWP30'!Std9BillingInfo10, 11, 6, 1, 1)</f>
        <v>0</v>
      </c>
      <c r="I2679" s="187">
        <f ca="1">OFFSET('IWP30'!Std9BillingInfo10, 10, 8, 1, 1)</f>
        <v>0</v>
      </c>
      <c r="J2679" s="187">
        <f ca="1">OFFSET('IWP30'!Std9BillingInfo10, 10, 11, 1, 1)</f>
        <v>0</v>
      </c>
      <c r="K2679" s="187">
        <f ca="1">OFFSET('IWP30'!Std9BillingInfo10, 10, 12, 1, 1)</f>
        <v>0</v>
      </c>
      <c r="L2679" s="179">
        <f ca="1">OFFSET('IWP30'!Std9BillingInfo10, 12, 8, 1, 1)</f>
        <v>0</v>
      </c>
      <c r="M2679" s="129"/>
    </row>
    <row r="2680" spans="1:13" s="146" customFormat="1">
      <c r="A2680" s="183" t="s">
        <v>528</v>
      </c>
      <c r="B2680" s="196">
        <v>11</v>
      </c>
      <c r="C2680" s="195" t="str">
        <f ca="1">IF(OFFSET('IWP30'!Std9BillingInfo11, 0, 0, 1, 1) = 0, "", OFFSET('IWP30'!Std9BillingInfo11, 0, 0, 1, 1))</f>
        <v/>
      </c>
      <c r="D2680" s="172">
        <f ca="1">IF(OFFSET('IWP30'!Std9BillingInfo11, 0, 1, 1, 1)=DATE(1900,1,0), DATE(1900,1,1), OFFSET('IWP30'!Std9BillingInfo11, 0, 1, 1, 1))</f>
        <v>1</v>
      </c>
      <c r="E2680" s="172">
        <f ca="1">IF(OFFSET('IWP30'!Std9BillingInfo11, 0, 2, 1, 1)=DATE(1900,1,0), DATE(1900,1,1), OFFSET('IWP30'!Std9BillingInfo11, 0, 2, 1, 1))</f>
        <v>1</v>
      </c>
      <c r="F2680" s="187">
        <f ca="1">OFFSET('IWP30'!Std9BillingInfo11, 0, 3, 1, 1)</f>
        <v>0</v>
      </c>
      <c r="G2680" s="187">
        <f ca="1">OFFSET('IWP30'!Std9BillingInfo11, 10, 6, 1, 1)</f>
        <v>0</v>
      </c>
      <c r="H2680" s="187">
        <f ca="1">OFFSET('IWP30'!Std9BillingInfo11, 11, 6, 1, 1)</f>
        <v>0</v>
      </c>
      <c r="I2680" s="187">
        <f ca="1">OFFSET('IWP30'!Std9BillingInfo11, 10, 8, 1, 1)</f>
        <v>0</v>
      </c>
      <c r="J2680" s="187">
        <f ca="1">OFFSET('IWP30'!Std9BillingInfo11, 10, 11, 1, 1)</f>
        <v>0</v>
      </c>
      <c r="K2680" s="187">
        <f ca="1">OFFSET('IWP30'!Std9BillingInfo11, 10, 12, 1, 1)</f>
        <v>0</v>
      </c>
      <c r="L2680" s="179">
        <f ca="1">OFFSET('IWP30'!Std9BillingInfo11, 12, 8, 1, 1)</f>
        <v>0</v>
      </c>
      <c r="M2680" s="129"/>
    </row>
    <row r="2681" spans="1:13" s="146" customFormat="1">
      <c r="A2681" s="183" t="s">
        <v>528</v>
      </c>
      <c r="B2681" s="196">
        <v>12</v>
      </c>
      <c r="C2681" s="195" t="str">
        <f ca="1">IF(OFFSET('IWP30'!Std9BillingInfo12, 0, 0, 1, 1) = 0, "", OFFSET('IWP30'!Std9BillingInfo12, 0, 0, 1, 1))</f>
        <v/>
      </c>
      <c r="D2681" s="172">
        <f ca="1">IF(OFFSET('IWP30'!Std9BillingInfo12, 0, 1, 1, 1)=DATE(1900,1,0), DATE(1900,1,1), OFFSET('IWP30'!Std9BillingInfo12, 0, 1, 1, 1))</f>
        <v>1</v>
      </c>
      <c r="E2681" s="172">
        <f ca="1">IF(OFFSET('IWP30'!Std9BillingInfo12, 0, 2, 1, 1)=DATE(1900,1,0), DATE(1900,1,1), OFFSET('IWP30'!Std9BillingInfo12, 0, 2, 1, 1))</f>
        <v>1</v>
      </c>
      <c r="F2681" s="187">
        <f ca="1">OFFSET('IWP30'!Std9BillingInfo12, 0, 3, 1, 1)</f>
        <v>0</v>
      </c>
      <c r="G2681" s="187">
        <f ca="1">OFFSET('IWP30'!Std9BillingInfo12, 10, 6, 1, 1)</f>
        <v>0</v>
      </c>
      <c r="H2681" s="187">
        <f ca="1">OFFSET('IWP30'!Std9BillingInfo12, 11, 6, 1, 1)</f>
        <v>0</v>
      </c>
      <c r="I2681" s="187">
        <f ca="1">OFFSET('IWP30'!Std9BillingInfo12, 10, 8, 1, 1)</f>
        <v>0</v>
      </c>
      <c r="J2681" s="187">
        <f ca="1">OFFSET('IWP30'!Std9BillingInfo12, 10, 11, 1, 1)</f>
        <v>0</v>
      </c>
      <c r="K2681" s="187">
        <f ca="1">OFFSET('IWP30'!Std9BillingInfo12, 10, 12, 1, 1)</f>
        <v>0</v>
      </c>
      <c r="L2681" s="179">
        <f ca="1">OFFSET('IWP30'!Std9BillingInfo12, 12, 8, 1, 1)</f>
        <v>0</v>
      </c>
      <c r="M2681" s="129"/>
    </row>
    <row r="2682" spans="1:13" s="146" customFormat="1">
      <c r="A2682" s="183" t="s">
        <v>528</v>
      </c>
      <c r="B2682" s="196">
        <v>13</v>
      </c>
      <c r="C2682" s="195" t="str">
        <f ca="1">IF(OFFSET('IWP30'!Std9BillingInfo13, 0, 0, 1, 1) = 0, "", OFFSET('IWP30'!Std9BillingInfo13, 0, 0, 1, 1))</f>
        <v/>
      </c>
      <c r="D2682" s="172">
        <f ca="1">IF(OFFSET('IWP30'!Std9BillingInfo13, 0, 1, 1, 1)=DATE(1900,1,0), DATE(1900,1,1), OFFSET('IWP30'!Std9BillingInfo13, 0, 1, 1, 1))</f>
        <v>1</v>
      </c>
      <c r="E2682" s="172">
        <f ca="1">IF(OFFSET('IWP30'!Std9BillingInfo13, 0, 2, 1, 1)=DATE(1900,1,0), DATE(1900,1,1), OFFSET('IWP30'!Std9BillingInfo13, 0, 2, 1, 1))</f>
        <v>1</v>
      </c>
      <c r="F2682" s="187">
        <f ca="1">OFFSET('IWP30'!Std9BillingInfo13, 0, 3, 1, 1)</f>
        <v>0</v>
      </c>
      <c r="G2682" s="187">
        <f ca="1">OFFSET('IWP30'!Std9BillingInfo13, 10, 6, 1, 1)</f>
        <v>0</v>
      </c>
      <c r="H2682" s="187">
        <f ca="1">OFFSET('IWP30'!Std9BillingInfo13, 11, 6, 1, 1)</f>
        <v>0</v>
      </c>
      <c r="I2682" s="187">
        <f ca="1">OFFSET('IWP30'!Std9BillingInfo13, 10, 8, 1, 1)</f>
        <v>0</v>
      </c>
      <c r="J2682" s="187">
        <f ca="1">OFFSET('IWP30'!Std9BillingInfo13, 10, 11, 1, 1)</f>
        <v>0</v>
      </c>
      <c r="K2682" s="187">
        <f ca="1">OFFSET('IWP30'!Std9BillingInfo13, 10, 12, 1, 1)</f>
        <v>0</v>
      </c>
      <c r="L2682" s="179">
        <f ca="1">OFFSET('IWP30'!Std9BillingInfo13, 12, 8, 1, 1)</f>
        <v>0</v>
      </c>
      <c r="M2682" s="129"/>
    </row>
    <row r="2683" spans="1:13" s="146" customFormat="1">
      <c r="A2683" s="183" t="s">
        <v>528</v>
      </c>
      <c r="B2683" s="196">
        <v>14</v>
      </c>
      <c r="C2683" s="195" t="str">
        <f ca="1">IF(OFFSET('IWP30'!Std9BillingInfo14, 0, 0, 1, 1) = 0, "", OFFSET('IWP30'!Std9BillingInfo14, 0, 0, 1, 1))</f>
        <v/>
      </c>
      <c r="D2683" s="172">
        <f ca="1">IF(OFFSET('IWP30'!Std9BillingInfo14, 0, 1, 1, 1)=DATE(1900,1,0), DATE(1900,1,1), OFFSET('IWP30'!Std9BillingInfo14, 0, 1, 1, 1))</f>
        <v>1</v>
      </c>
      <c r="E2683" s="172">
        <f ca="1">IF(OFFSET('IWP30'!Std9BillingInfo14, 0, 2, 1, 1)=DATE(1900,1,0), DATE(1900,1,1), OFFSET('IWP30'!Std9BillingInfo14, 0, 2, 1, 1))</f>
        <v>1</v>
      </c>
      <c r="F2683" s="187">
        <f ca="1">OFFSET('IWP30'!Std9BillingInfo14, 0, 3, 1, 1)</f>
        <v>0</v>
      </c>
      <c r="G2683" s="187">
        <f ca="1">OFFSET('IWP30'!Std9BillingInfo14, 10, 6, 1, 1)</f>
        <v>0</v>
      </c>
      <c r="H2683" s="187">
        <f ca="1">OFFSET('IWP30'!Std9BillingInfo14, 11, 6, 1, 1)</f>
        <v>0</v>
      </c>
      <c r="I2683" s="187">
        <f ca="1">OFFSET('IWP30'!Std9BillingInfo14, 10, 8, 1, 1)</f>
        <v>0</v>
      </c>
      <c r="J2683" s="187">
        <f ca="1">OFFSET('IWP30'!Std9BillingInfo14, 10, 11, 1, 1)</f>
        <v>0</v>
      </c>
      <c r="K2683" s="187">
        <f ca="1">OFFSET('IWP30'!Std9BillingInfo14, 10, 12, 1, 1)</f>
        <v>0</v>
      </c>
      <c r="L2683" s="179">
        <f ca="1">OFFSET('IWP30'!Std9BillingInfo14, 12, 8, 1, 1)</f>
        <v>0</v>
      </c>
      <c r="M2683" s="129"/>
    </row>
    <row r="2684" spans="1:13" s="146" customFormat="1">
      <c r="A2684" s="183" t="s">
        <v>528</v>
      </c>
      <c r="B2684" s="196">
        <v>15</v>
      </c>
      <c r="C2684" s="195" t="str">
        <f ca="1">IF(OFFSET('IWP30'!Std9BillingInfo15, 0, 0, 1, 1) = 0, "", OFFSET('IWP30'!Std9BillingInfo15, 0, 0, 1, 1))</f>
        <v/>
      </c>
      <c r="D2684" s="172">
        <f ca="1">IF(OFFSET('IWP30'!Std9BillingInfo15, 0, 1, 1, 1)=DATE(1900,1,0), DATE(1900,1,1), OFFSET('IWP30'!Std9BillingInfo15, 0, 1, 1, 1))</f>
        <v>1</v>
      </c>
      <c r="E2684" s="172">
        <f ca="1">IF(OFFSET('IWP30'!Std9BillingInfo15, 0, 2, 1, 1)=DATE(1900,1,0), DATE(1900,1,1), OFFSET('IWP30'!Std9BillingInfo15, 0, 2, 1, 1))</f>
        <v>1</v>
      </c>
      <c r="F2684" s="187">
        <f ca="1">OFFSET('IWP30'!Std9BillingInfo15, 0, 3, 1, 1)</f>
        <v>0</v>
      </c>
      <c r="G2684" s="187">
        <f ca="1">OFFSET('IWP30'!Std9BillingInfo15, 10, 6, 1, 1)</f>
        <v>0</v>
      </c>
      <c r="H2684" s="187">
        <f ca="1">OFFSET('IWP30'!Std9BillingInfo15, 11, 6, 1, 1)</f>
        <v>0</v>
      </c>
      <c r="I2684" s="187">
        <f ca="1">OFFSET('IWP30'!Std9BillingInfo15, 10, 8, 1, 1)</f>
        <v>0</v>
      </c>
      <c r="J2684" s="187">
        <f ca="1">OFFSET('IWP30'!Std9BillingInfo15, 10, 11, 1, 1)</f>
        <v>0</v>
      </c>
      <c r="K2684" s="187">
        <f ca="1">OFFSET('IWP30'!Std9BillingInfo15, 10, 12, 1, 1)</f>
        <v>0</v>
      </c>
      <c r="L2684" s="179">
        <f ca="1">OFFSET('IWP30'!Std9BillingInfo15, 12, 8, 1, 1)</f>
        <v>0</v>
      </c>
      <c r="M2684" s="129"/>
    </row>
    <row r="2685" spans="1:13" s="146" customFormat="1">
      <c r="A2685" s="183" t="s">
        <v>528</v>
      </c>
      <c r="B2685" s="196">
        <v>16</v>
      </c>
      <c r="C2685" s="195" t="str">
        <f ca="1">IF(OFFSET('IWP30'!Std9BillingInfo16, 0, 0, 1, 1) = 0, "", OFFSET('IWP30'!Std9BillingInfo16, 0, 0, 1, 1))</f>
        <v/>
      </c>
      <c r="D2685" s="172">
        <f ca="1">IF(OFFSET('IWP30'!Std9BillingInfo16, 0, 1, 1, 1)=DATE(1900,1,0), DATE(1900,1,1), OFFSET('IWP30'!Std9BillingInfo16, 0, 1, 1, 1))</f>
        <v>1</v>
      </c>
      <c r="E2685" s="172">
        <f ca="1">IF(OFFSET('IWP30'!Std9BillingInfo16, 0, 2, 1, 1)=DATE(1900,1,0), DATE(1900,1,1), OFFSET('IWP30'!Std9BillingInfo16, 0, 2, 1, 1))</f>
        <v>1</v>
      </c>
      <c r="F2685" s="187">
        <f ca="1">OFFSET('IWP30'!Std9BillingInfo16, 0, 3, 1, 1)</f>
        <v>0</v>
      </c>
      <c r="G2685" s="187">
        <f ca="1">OFFSET('IWP30'!Std9BillingInfo16, 10, 6, 1, 1)</f>
        <v>0</v>
      </c>
      <c r="H2685" s="187">
        <f ca="1">OFFSET('IWP30'!Std9BillingInfo16, 11, 6, 1, 1)</f>
        <v>0</v>
      </c>
      <c r="I2685" s="187">
        <f ca="1">OFFSET('IWP30'!Std9BillingInfo16, 10, 8, 1, 1)</f>
        <v>0</v>
      </c>
      <c r="J2685" s="187">
        <f ca="1">OFFSET('IWP30'!Std9BillingInfo16, 10, 11, 1, 1)</f>
        <v>0</v>
      </c>
      <c r="K2685" s="187">
        <f ca="1">OFFSET('IWP30'!Std9BillingInfo16, 10, 12, 1, 1)</f>
        <v>0</v>
      </c>
      <c r="L2685" s="179">
        <f ca="1">OFFSET('IWP30'!Std9BillingInfo16, 12, 8, 1, 1)</f>
        <v>0</v>
      </c>
      <c r="M2685" s="129"/>
    </row>
    <row r="2686" spans="1:13" s="146" customFormat="1">
      <c r="A2686" s="183" t="s">
        <v>528</v>
      </c>
      <c r="B2686" s="196">
        <v>17</v>
      </c>
      <c r="C2686" s="195" t="str">
        <f ca="1">IF(OFFSET('IWP30'!Std9BillingInfo17, 0, 0, 1, 1) = 0, "", OFFSET('IWP30'!Std9BillingInfo17, 0, 0, 1, 1))</f>
        <v/>
      </c>
      <c r="D2686" s="172">
        <f ca="1">IF(OFFSET('IWP30'!Std9BillingInfo17, 0, 1, 1, 1)=DATE(1900,1,0), DATE(1900,1,1), OFFSET('IWP30'!Std9BillingInfo17, 0, 1, 1, 1))</f>
        <v>1</v>
      </c>
      <c r="E2686" s="172">
        <f ca="1">IF(OFFSET('IWP30'!Std9BillingInfo17, 0, 2, 1, 1)=DATE(1900,1,0), DATE(1900,1,1), OFFSET('IWP30'!Std9BillingInfo17, 0, 2, 1, 1))</f>
        <v>1</v>
      </c>
      <c r="F2686" s="187">
        <f ca="1">OFFSET('IWP30'!Std9BillingInfo17, 0, 3, 1, 1)</f>
        <v>0</v>
      </c>
      <c r="G2686" s="187">
        <f ca="1">OFFSET('IWP30'!Std9BillingInfo17, 10, 6, 1, 1)</f>
        <v>0</v>
      </c>
      <c r="H2686" s="187">
        <f ca="1">OFFSET('IWP30'!Std9BillingInfo17, 11, 6, 1, 1)</f>
        <v>0</v>
      </c>
      <c r="I2686" s="187">
        <f ca="1">OFFSET('IWP30'!Std9BillingInfo17, 10, 8, 1, 1)</f>
        <v>0</v>
      </c>
      <c r="J2686" s="187">
        <f ca="1">OFFSET('IWP30'!Std9BillingInfo17, 10, 11, 1, 1)</f>
        <v>0</v>
      </c>
      <c r="K2686" s="187">
        <f ca="1">OFFSET('IWP30'!Std9BillingInfo17, 10, 12, 1, 1)</f>
        <v>0</v>
      </c>
      <c r="L2686" s="179">
        <f ca="1">OFFSET('IWP30'!Std9BillingInfo17, 12, 8, 1, 1)</f>
        <v>0</v>
      </c>
      <c r="M2686" s="129"/>
    </row>
    <row r="2687" spans="1:13" s="146" customFormat="1" ht="15.75" thickBot="1">
      <c r="A2687" s="184" t="s">
        <v>528</v>
      </c>
      <c r="B2687" s="185">
        <v>18</v>
      </c>
      <c r="C2687" s="182" t="str">
        <f ca="1">IF(OFFSET('IWP30'!Std9BillingInfo18, 0, 0, 1, 1) = 0, "", OFFSET('IWP30'!Std9BillingInfo18, 0, 0, 1, 1))</f>
        <v/>
      </c>
      <c r="D2687" s="178">
        <f ca="1">IF(OFFSET('IWP30'!Std9BillingInfo18, 0, 1, 1, 1)=DATE(1900,1,0), DATE(1900,1,1), OFFSET('IWP30'!Std9BillingInfo18, 0, 1, 1, 1))</f>
        <v>1</v>
      </c>
      <c r="E2687" s="178">
        <f ca="1">IF(OFFSET('IWP30'!Std9BillingInfo18, 0, 2, 1, 1)=DATE(1900,1,0), DATE(1900,1,1), OFFSET('IWP30'!Std9BillingInfo18, 0, 2, 1, 1))</f>
        <v>1</v>
      </c>
      <c r="F2687" s="188">
        <f ca="1">OFFSET('IWP30'!Std9BillingInfo18, 0, 3, 1, 1)</f>
        <v>0</v>
      </c>
      <c r="G2687" s="188">
        <f ca="1">OFFSET('IWP30'!Std9BillingInfo18, 10, 6, 1, 1)</f>
        <v>0</v>
      </c>
      <c r="H2687" s="188">
        <f ca="1">OFFSET('IWP30'!Std9BillingInfo18, 11, 6, 1, 1)</f>
        <v>0</v>
      </c>
      <c r="I2687" s="188">
        <f ca="1">OFFSET('IWP30'!Std9BillingInfo18, 10, 8, 1, 1)</f>
        <v>0</v>
      </c>
      <c r="J2687" s="188">
        <f ca="1">OFFSET('IWP30'!Std9BillingInfo18, 10, 11, 1, 1)</f>
        <v>0</v>
      </c>
      <c r="K2687" s="188">
        <f ca="1">OFFSET('IWP30'!Std9BillingInfo18, 10, 12, 1, 1)</f>
        <v>0</v>
      </c>
      <c r="L2687" s="180">
        <f ca="1">OFFSET('IWP30'!Std9BillingInfo18, 12, 8, 1, 1)</f>
        <v>0</v>
      </c>
      <c r="M2687" s="129"/>
    </row>
    <row r="2688" spans="1:13">
      <c r="A2688" s="128"/>
      <c r="B2688" s="106"/>
      <c r="C2688" s="106"/>
      <c r="D2688" s="106"/>
      <c r="E2688" s="106"/>
      <c r="F2688" s="106"/>
      <c r="G2688" s="106"/>
      <c r="H2688" s="106"/>
      <c r="I2688" s="106"/>
      <c r="J2688" s="106"/>
      <c r="K2688" s="106"/>
      <c r="L2688" s="106"/>
      <c r="M2688" s="129"/>
    </row>
    <row r="2689" spans="1:13" ht="15.75" thickBot="1">
      <c r="A2689" s="189" t="s">
        <v>590</v>
      </c>
      <c r="B2689" s="106"/>
      <c r="C2689" s="106"/>
      <c r="D2689" s="106"/>
      <c r="E2689" s="106"/>
      <c r="F2689" s="106"/>
      <c r="G2689" s="106"/>
      <c r="H2689" s="106"/>
      <c r="I2689" s="106"/>
      <c r="J2689" s="106"/>
      <c r="K2689" s="106"/>
      <c r="L2689" s="106"/>
      <c r="M2689" s="129"/>
    </row>
    <row r="2690" spans="1:13" s="107" customFormat="1" ht="45">
      <c r="A2690" s="170" t="s">
        <v>443</v>
      </c>
      <c r="B2690" s="171" t="s">
        <v>577</v>
      </c>
      <c r="C2690" s="171" t="s">
        <v>585</v>
      </c>
      <c r="D2690" s="171" t="s">
        <v>586</v>
      </c>
      <c r="E2690" s="171" t="s">
        <v>587</v>
      </c>
      <c r="F2690" s="171" t="s">
        <v>431</v>
      </c>
      <c r="G2690" s="171" t="s">
        <v>588</v>
      </c>
      <c r="H2690" s="171" t="s">
        <v>589</v>
      </c>
      <c r="I2690" s="171" t="s">
        <v>429</v>
      </c>
      <c r="J2690" s="173" t="s">
        <v>430</v>
      </c>
      <c r="K2690" s="108"/>
      <c r="L2690" s="108"/>
      <c r="M2690" s="139"/>
    </row>
    <row r="2691" spans="1:13">
      <c r="A2691" s="193" t="s">
        <v>499</v>
      </c>
      <c r="B2691" s="210">
        <v>1</v>
      </c>
      <c r="C2691" s="191" t="str">
        <f>IF('IWP01'!E$329=0,"",'IWP01'!E$329)</f>
        <v/>
      </c>
      <c r="D2691" s="211">
        <f>'IWP01'!G$329</f>
        <v>0</v>
      </c>
      <c r="E2691" s="211">
        <f>'IWP01'!H$329</f>
        <v>0</v>
      </c>
      <c r="F2691" s="211">
        <f>'IWP01'!I$329</f>
        <v>0</v>
      </c>
      <c r="G2691" s="191" t="str">
        <f>IF('IWP01'!J$329=0,"",'IWP01'!J$329)</f>
        <v/>
      </c>
      <c r="H2691" s="211">
        <f>'IWP01'!K$329</f>
        <v>0</v>
      </c>
      <c r="I2691" s="211">
        <f>'IWP01'!L$329</f>
        <v>0</v>
      </c>
      <c r="J2691" s="212">
        <f>'IWP01'!M$329</f>
        <v>0</v>
      </c>
      <c r="K2691" s="106"/>
      <c r="L2691" s="106"/>
      <c r="M2691" s="129"/>
    </row>
    <row r="2692" spans="1:13">
      <c r="A2692" s="193" t="s">
        <v>499</v>
      </c>
      <c r="B2692" s="210">
        <v>1</v>
      </c>
      <c r="C2692" s="191" t="str">
        <f>IF('IWP01'!E$330=0,"",'IWP01'!E$330)</f>
        <v/>
      </c>
      <c r="D2692" s="211">
        <f>'IWP01'!G$330</f>
        <v>0</v>
      </c>
      <c r="E2692" s="211">
        <f>'IWP01'!H$330</f>
        <v>0</v>
      </c>
      <c r="F2692" s="211">
        <f>'IWP01'!I$330</f>
        <v>0</v>
      </c>
      <c r="G2692" s="191" t="str">
        <f>IF('IWP01'!J$330=0,"",'IWP01'!J$330)</f>
        <v/>
      </c>
      <c r="H2692" s="211">
        <f>'IWP01'!K$330</f>
        <v>0</v>
      </c>
      <c r="I2692" s="211">
        <f>'IWP01'!L$330</f>
        <v>0</v>
      </c>
      <c r="J2692" s="212">
        <f>'IWP01'!M$330</f>
        <v>0</v>
      </c>
      <c r="K2692" s="106"/>
      <c r="L2692" s="106"/>
      <c r="M2692" s="129"/>
    </row>
    <row r="2693" spans="1:13">
      <c r="A2693" s="193" t="s">
        <v>499</v>
      </c>
      <c r="B2693" s="210">
        <v>1</v>
      </c>
      <c r="C2693" s="191" t="str">
        <f>IF('IWP01'!E$331=0,"",'IWP01'!E$331)</f>
        <v/>
      </c>
      <c r="D2693" s="211">
        <f>'IWP01'!G$331</f>
        <v>0</v>
      </c>
      <c r="E2693" s="211">
        <f>'IWP01'!H$331</f>
        <v>0</v>
      </c>
      <c r="F2693" s="211">
        <f>'IWP01'!I$331</f>
        <v>0</v>
      </c>
      <c r="G2693" s="191" t="str">
        <f>IF('IWP01'!J$331=0,"",'IWP01'!J$331)</f>
        <v/>
      </c>
      <c r="H2693" s="211">
        <f>'IWP01'!K$331</f>
        <v>0</v>
      </c>
      <c r="I2693" s="211">
        <f>'IWP01'!L$331</f>
        <v>0</v>
      </c>
      <c r="J2693" s="212">
        <f>'IWP01'!M$331</f>
        <v>0</v>
      </c>
      <c r="K2693" s="106"/>
      <c r="L2693" s="106"/>
      <c r="M2693" s="129"/>
    </row>
    <row r="2694" spans="1:13">
      <c r="A2694" s="193" t="s">
        <v>499</v>
      </c>
      <c r="B2694" s="210">
        <v>1</v>
      </c>
      <c r="C2694" s="191" t="str">
        <f>IF('IWP01'!E$332=0,"",'IWP01'!E$332)</f>
        <v/>
      </c>
      <c r="D2694" s="211">
        <f>'IWP01'!G$332</f>
        <v>0</v>
      </c>
      <c r="E2694" s="211">
        <f>'IWP01'!H$332</f>
        <v>0</v>
      </c>
      <c r="F2694" s="211">
        <f>'IWP01'!I$332</f>
        <v>0</v>
      </c>
      <c r="G2694" s="191" t="str">
        <f>IF('IWP01'!J$332=0,"",'IWP01'!J$332)</f>
        <v/>
      </c>
      <c r="H2694" s="211">
        <f>'IWP01'!K$332</f>
        <v>0</v>
      </c>
      <c r="I2694" s="211">
        <f>'IWP01'!L$332</f>
        <v>0</v>
      </c>
      <c r="J2694" s="212">
        <f>'IWP01'!M$332</f>
        <v>0</v>
      </c>
      <c r="K2694" s="106"/>
      <c r="L2694" s="106"/>
      <c r="M2694" s="129"/>
    </row>
    <row r="2695" spans="1:13">
      <c r="A2695" s="193" t="s">
        <v>499</v>
      </c>
      <c r="B2695" s="210">
        <v>1</v>
      </c>
      <c r="C2695" s="191" t="str">
        <f>IF('IWP01'!E$333=0,"",'IWP01'!E$333)</f>
        <v/>
      </c>
      <c r="D2695" s="211">
        <f>'IWP01'!G$333</f>
        <v>0</v>
      </c>
      <c r="E2695" s="211">
        <f>'IWP01'!H$333</f>
        <v>0</v>
      </c>
      <c r="F2695" s="211">
        <f>'IWP01'!I$333</f>
        <v>0</v>
      </c>
      <c r="G2695" s="191" t="str">
        <f>IF('IWP01'!J$333=0,"",'IWP01'!J$333)</f>
        <v/>
      </c>
      <c r="H2695" s="211">
        <f>'IWP01'!K$333</f>
        <v>0</v>
      </c>
      <c r="I2695" s="211">
        <f>'IWP01'!L$333</f>
        <v>0</v>
      </c>
      <c r="J2695" s="212">
        <f>'IWP01'!M$333</f>
        <v>0</v>
      </c>
      <c r="K2695" s="106"/>
      <c r="L2695" s="106"/>
      <c r="M2695" s="129"/>
    </row>
    <row r="2696" spans="1:13">
      <c r="A2696" s="193" t="s">
        <v>499</v>
      </c>
      <c r="B2696" s="210">
        <v>1</v>
      </c>
      <c r="C2696" s="191" t="str">
        <f>IF('IWP01'!E$334=0,"",'IWP01'!E$334)</f>
        <v/>
      </c>
      <c r="D2696" s="211">
        <f>'IWP01'!G$334</f>
        <v>0</v>
      </c>
      <c r="E2696" s="211">
        <f>'IWP01'!H$334</f>
        <v>0</v>
      </c>
      <c r="F2696" s="211">
        <f>'IWP01'!I$334</f>
        <v>0</v>
      </c>
      <c r="G2696" s="191" t="str">
        <f>IF('IWP01'!J$334=0,"",'IWP01'!J$334)</f>
        <v/>
      </c>
      <c r="H2696" s="211">
        <f>'IWP01'!K$334</f>
        <v>0</v>
      </c>
      <c r="I2696" s="211">
        <f>'IWP01'!L$334</f>
        <v>0</v>
      </c>
      <c r="J2696" s="212">
        <f>'IWP01'!M$334</f>
        <v>0</v>
      </c>
      <c r="K2696" s="106"/>
      <c r="L2696" s="106"/>
      <c r="M2696" s="129"/>
    </row>
    <row r="2697" spans="1:13">
      <c r="A2697" s="193" t="s">
        <v>499</v>
      </c>
      <c r="B2697" s="210">
        <v>1</v>
      </c>
      <c r="C2697" s="191" t="str">
        <f>IF('IWP01'!E$335=0,"",'IWP01'!E$335)</f>
        <v/>
      </c>
      <c r="D2697" s="211">
        <f>'IWP01'!G$335</f>
        <v>0</v>
      </c>
      <c r="E2697" s="211">
        <f>'IWP01'!H$335</f>
        <v>0</v>
      </c>
      <c r="F2697" s="211">
        <f>'IWP01'!I$335</f>
        <v>0</v>
      </c>
      <c r="G2697" s="191" t="str">
        <f>IF('IWP01'!J$335=0,"",'IWP01'!J$335)</f>
        <v/>
      </c>
      <c r="H2697" s="211">
        <f>'IWP01'!K$335</f>
        <v>0</v>
      </c>
      <c r="I2697" s="211">
        <f>'IWP01'!L$335</f>
        <v>0</v>
      </c>
      <c r="J2697" s="212">
        <f>'IWP01'!M$335</f>
        <v>0</v>
      </c>
      <c r="K2697" s="106"/>
      <c r="L2697" s="106"/>
      <c r="M2697" s="129"/>
    </row>
    <row r="2698" spans="1:13">
      <c r="A2698" s="193" t="s">
        <v>499</v>
      </c>
      <c r="B2698" s="210">
        <v>1</v>
      </c>
      <c r="C2698" s="191" t="str">
        <f>IF('IWP01'!E$336=0,"",'IWP01'!E$336)</f>
        <v/>
      </c>
      <c r="D2698" s="211">
        <f>'IWP01'!G$336</f>
        <v>0</v>
      </c>
      <c r="E2698" s="211">
        <f>'IWP01'!H$336</f>
        <v>0</v>
      </c>
      <c r="F2698" s="211">
        <f>'IWP01'!I$336</f>
        <v>0</v>
      </c>
      <c r="G2698" s="191" t="str">
        <f>IF('IWP01'!J$336=0,"",'IWP01'!J$336)</f>
        <v/>
      </c>
      <c r="H2698" s="211">
        <f>'IWP01'!K$336</f>
        <v>0</v>
      </c>
      <c r="I2698" s="211">
        <f>'IWP01'!L$336</f>
        <v>0</v>
      </c>
      <c r="J2698" s="212">
        <f>'IWP01'!M$336</f>
        <v>0</v>
      </c>
      <c r="K2698" s="106"/>
      <c r="L2698" s="106"/>
      <c r="M2698" s="129"/>
    </row>
    <row r="2699" spans="1:13">
      <c r="A2699" s="193" t="s">
        <v>499</v>
      </c>
      <c r="B2699" s="210">
        <v>1</v>
      </c>
      <c r="C2699" s="191" t="str">
        <f>IF('IWP01'!E$337=0,"",'IWP01'!E$337)</f>
        <v/>
      </c>
      <c r="D2699" s="211">
        <f>'IWP01'!G$337</f>
        <v>0</v>
      </c>
      <c r="E2699" s="211">
        <f>'IWP01'!H$337</f>
        <v>0</v>
      </c>
      <c r="F2699" s="211">
        <f>'IWP01'!I$337</f>
        <v>0</v>
      </c>
      <c r="G2699" s="191" t="str">
        <f>IF('IWP01'!J$337=0,"",'IWP01'!J$337)</f>
        <v/>
      </c>
      <c r="H2699" s="211">
        <f>'IWP01'!K$337</f>
        <v>0</v>
      </c>
      <c r="I2699" s="211">
        <f>'IWP01'!L$337</f>
        <v>0</v>
      </c>
      <c r="J2699" s="212">
        <f>'IWP01'!M$337</f>
        <v>0</v>
      </c>
      <c r="K2699" s="106"/>
      <c r="L2699" s="106"/>
      <c r="M2699" s="129"/>
    </row>
    <row r="2700" spans="1:13">
      <c r="A2700" s="193" t="s">
        <v>499</v>
      </c>
      <c r="B2700" s="210">
        <v>1</v>
      </c>
      <c r="C2700" s="191" t="str">
        <f>IF('IWP01'!E$338=0,"",'IWP01'!E$338)</f>
        <v/>
      </c>
      <c r="D2700" s="211">
        <f>'IWP01'!G$338</f>
        <v>0</v>
      </c>
      <c r="E2700" s="211">
        <f>'IWP01'!H$338</f>
        <v>0</v>
      </c>
      <c r="F2700" s="211">
        <f>'IWP01'!I$338</f>
        <v>0</v>
      </c>
      <c r="G2700" s="191" t="str">
        <f>IF('IWP01'!J$338=0,"",'IWP01'!J$338)</f>
        <v/>
      </c>
      <c r="H2700" s="211">
        <f>'IWP01'!K$338</f>
        <v>0</v>
      </c>
      <c r="I2700" s="211">
        <f>'IWP01'!L$338</f>
        <v>0</v>
      </c>
      <c r="J2700" s="212">
        <f>'IWP01'!M$338</f>
        <v>0</v>
      </c>
      <c r="K2700" s="106"/>
      <c r="L2700" s="106"/>
      <c r="M2700" s="129"/>
    </row>
    <row r="2701" spans="1:13" s="105" customFormat="1">
      <c r="A2701" s="193" t="s">
        <v>499</v>
      </c>
      <c r="B2701" s="210">
        <v>2</v>
      </c>
      <c r="C2701" s="191" t="str">
        <f>IF('IWP01'!E$345=0,"",'IWP01'!E$345)</f>
        <v/>
      </c>
      <c r="D2701" s="211">
        <f>'IWP01'!G$345</f>
        <v>0</v>
      </c>
      <c r="E2701" s="211">
        <f>'IWP01'!H$345</f>
        <v>0</v>
      </c>
      <c r="F2701" s="211">
        <f>'IWP01'!I$345</f>
        <v>0</v>
      </c>
      <c r="G2701" s="191" t="str">
        <f>IF('IWP01'!J$345=0,"",'IWP01'!J$345)</f>
        <v/>
      </c>
      <c r="H2701" s="211">
        <f>'IWP01'!K$345</f>
        <v>0</v>
      </c>
      <c r="I2701" s="211">
        <f>'IWP01'!L$345</f>
        <v>0</v>
      </c>
      <c r="J2701" s="212">
        <f>'IWP01'!M$345</f>
        <v>0</v>
      </c>
      <c r="K2701" s="106"/>
      <c r="L2701" s="106"/>
      <c r="M2701" s="129"/>
    </row>
    <row r="2702" spans="1:13" s="105" customFormat="1">
      <c r="A2702" s="193" t="s">
        <v>499</v>
      </c>
      <c r="B2702" s="210">
        <v>2</v>
      </c>
      <c r="C2702" s="191" t="str">
        <f>IF('IWP01'!E$346=0,"",'IWP01'!E$346)</f>
        <v/>
      </c>
      <c r="D2702" s="211">
        <f>'IWP01'!G$346</f>
        <v>0</v>
      </c>
      <c r="E2702" s="211">
        <f>'IWP01'!H$346</f>
        <v>0</v>
      </c>
      <c r="F2702" s="211">
        <f>'IWP01'!I$346</f>
        <v>0</v>
      </c>
      <c r="G2702" s="191" t="str">
        <f>IF('IWP01'!J$346=0,"",'IWP01'!J$346)</f>
        <v/>
      </c>
      <c r="H2702" s="211">
        <f>'IWP01'!K$346</f>
        <v>0</v>
      </c>
      <c r="I2702" s="211">
        <f>'IWP01'!L$346</f>
        <v>0</v>
      </c>
      <c r="J2702" s="212">
        <f>'IWP01'!M$346</f>
        <v>0</v>
      </c>
      <c r="K2702" s="106"/>
      <c r="L2702" s="106"/>
      <c r="M2702" s="129"/>
    </row>
    <row r="2703" spans="1:13" s="105" customFormat="1">
      <c r="A2703" s="193" t="s">
        <v>499</v>
      </c>
      <c r="B2703" s="210">
        <v>2</v>
      </c>
      <c r="C2703" s="191" t="str">
        <f>IF('IWP01'!E$347=0,"",'IWP01'!E$347)</f>
        <v/>
      </c>
      <c r="D2703" s="211">
        <f>'IWP01'!G$347</f>
        <v>0</v>
      </c>
      <c r="E2703" s="211">
        <f>'IWP01'!H$347</f>
        <v>0</v>
      </c>
      <c r="F2703" s="211">
        <f>'IWP01'!I$347</f>
        <v>0</v>
      </c>
      <c r="G2703" s="191" t="str">
        <f>IF('IWP01'!J$347=0,"",'IWP01'!J$347)</f>
        <v/>
      </c>
      <c r="H2703" s="211">
        <f>'IWP01'!K$347</f>
        <v>0</v>
      </c>
      <c r="I2703" s="211">
        <f>'IWP01'!L$347</f>
        <v>0</v>
      </c>
      <c r="J2703" s="212">
        <f>'IWP01'!M$347</f>
        <v>0</v>
      </c>
      <c r="K2703" s="106"/>
      <c r="L2703" s="106"/>
      <c r="M2703" s="129"/>
    </row>
    <row r="2704" spans="1:13" s="105" customFormat="1">
      <c r="A2704" s="193" t="s">
        <v>499</v>
      </c>
      <c r="B2704" s="210">
        <v>2</v>
      </c>
      <c r="C2704" s="191" t="str">
        <f>IF('IWP01'!E$348=0,"",'IWP01'!E$348)</f>
        <v/>
      </c>
      <c r="D2704" s="211">
        <f>'IWP01'!G$348</f>
        <v>0</v>
      </c>
      <c r="E2704" s="211">
        <f>'IWP01'!H$348</f>
        <v>0</v>
      </c>
      <c r="F2704" s="211">
        <f>'IWP01'!I$348</f>
        <v>0</v>
      </c>
      <c r="G2704" s="191" t="str">
        <f>IF('IWP01'!J$348=0,"",'IWP01'!J$348)</f>
        <v/>
      </c>
      <c r="H2704" s="211">
        <f>'IWP01'!K$348</f>
        <v>0</v>
      </c>
      <c r="I2704" s="211">
        <f>'IWP01'!L$348</f>
        <v>0</v>
      </c>
      <c r="J2704" s="212">
        <f>'IWP01'!M$348</f>
        <v>0</v>
      </c>
      <c r="K2704" s="106"/>
      <c r="L2704" s="106"/>
      <c r="M2704" s="129"/>
    </row>
    <row r="2705" spans="1:13" s="105" customFormat="1">
      <c r="A2705" s="193" t="s">
        <v>499</v>
      </c>
      <c r="B2705" s="210">
        <v>2</v>
      </c>
      <c r="C2705" s="191" t="str">
        <f>IF('IWP01'!E$349=0,"",'IWP01'!E$349)</f>
        <v/>
      </c>
      <c r="D2705" s="211">
        <f>'IWP01'!G$349</f>
        <v>0</v>
      </c>
      <c r="E2705" s="211">
        <f>'IWP01'!H$349</f>
        <v>0</v>
      </c>
      <c r="F2705" s="211">
        <f>'IWP01'!I$349</f>
        <v>0</v>
      </c>
      <c r="G2705" s="191" t="str">
        <f>IF('IWP01'!J$349=0,"",'IWP01'!J$349)</f>
        <v/>
      </c>
      <c r="H2705" s="211">
        <f>'IWP01'!K$349</f>
        <v>0</v>
      </c>
      <c r="I2705" s="211">
        <f>'IWP01'!L$349</f>
        <v>0</v>
      </c>
      <c r="J2705" s="212">
        <f>'IWP01'!M$349</f>
        <v>0</v>
      </c>
      <c r="K2705" s="106"/>
      <c r="L2705" s="106"/>
      <c r="M2705" s="129"/>
    </row>
    <row r="2706" spans="1:13" s="105" customFormat="1">
      <c r="A2706" s="193" t="s">
        <v>499</v>
      </c>
      <c r="B2706" s="210">
        <v>2</v>
      </c>
      <c r="C2706" s="191" t="str">
        <f>IF('IWP01'!E$350=0,"",'IWP01'!E$350)</f>
        <v/>
      </c>
      <c r="D2706" s="211">
        <f>'IWP01'!G$350</f>
        <v>0</v>
      </c>
      <c r="E2706" s="211">
        <f>'IWP01'!H$350</f>
        <v>0</v>
      </c>
      <c r="F2706" s="211">
        <f>'IWP01'!I$350</f>
        <v>0</v>
      </c>
      <c r="G2706" s="191" t="str">
        <f>IF('IWP01'!J$350=0,"",'IWP01'!J$350)</f>
        <v/>
      </c>
      <c r="H2706" s="211">
        <f>'IWP01'!K$350</f>
        <v>0</v>
      </c>
      <c r="I2706" s="211">
        <f>'IWP01'!L$350</f>
        <v>0</v>
      </c>
      <c r="J2706" s="212">
        <f>'IWP01'!M$350</f>
        <v>0</v>
      </c>
      <c r="K2706" s="106"/>
      <c r="L2706" s="106"/>
      <c r="M2706" s="129"/>
    </row>
    <row r="2707" spans="1:13" s="105" customFormat="1">
      <c r="A2707" s="193" t="s">
        <v>499</v>
      </c>
      <c r="B2707" s="210">
        <v>2</v>
      </c>
      <c r="C2707" s="191" t="str">
        <f>IF('IWP01'!E$351=0,"",'IWP01'!E$351)</f>
        <v/>
      </c>
      <c r="D2707" s="211">
        <f>'IWP01'!G$351</f>
        <v>0</v>
      </c>
      <c r="E2707" s="211">
        <f>'IWP01'!H$351</f>
        <v>0</v>
      </c>
      <c r="F2707" s="211">
        <f>'IWP01'!I$351</f>
        <v>0</v>
      </c>
      <c r="G2707" s="191" t="str">
        <f>IF('IWP01'!J$351=0,"",'IWP01'!J$351)</f>
        <v/>
      </c>
      <c r="H2707" s="211">
        <f>'IWP01'!K$351</f>
        <v>0</v>
      </c>
      <c r="I2707" s="211">
        <f>'IWP01'!L$351</f>
        <v>0</v>
      </c>
      <c r="J2707" s="212">
        <f>'IWP01'!M$351</f>
        <v>0</v>
      </c>
      <c r="K2707" s="106"/>
      <c r="L2707" s="106"/>
      <c r="M2707" s="129"/>
    </row>
    <row r="2708" spans="1:13" s="105" customFormat="1">
      <c r="A2708" s="193" t="s">
        <v>499</v>
      </c>
      <c r="B2708" s="210">
        <v>2</v>
      </c>
      <c r="C2708" s="191" t="str">
        <f>IF('IWP01'!E$352=0,"",'IWP01'!E$352)</f>
        <v/>
      </c>
      <c r="D2708" s="211">
        <f>'IWP01'!G$352</f>
        <v>0</v>
      </c>
      <c r="E2708" s="211">
        <f>'IWP01'!H$352</f>
        <v>0</v>
      </c>
      <c r="F2708" s="211">
        <f>'IWP01'!I$352</f>
        <v>0</v>
      </c>
      <c r="G2708" s="191" t="str">
        <f>IF('IWP01'!J$352=0,"",'IWP01'!J$352)</f>
        <v/>
      </c>
      <c r="H2708" s="211">
        <f>'IWP01'!K$352</f>
        <v>0</v>
      </c>
      <c r="I2708" s="211">
        <f>'IWP01'!L$352</f>
        <v>0</v>
      </c>
      <c r="J2708" s="212">
        <f>'IWP01'!M$352</f>
        <v>0</v>
      </c>
      <c r="K2708" s="106"/>
      <c r="L2708" s="106"/>
      <c r="M2708" s="129"/>
    </row>
    <row r="2709" spans="1:13" s="105" customFormat="1">
      <c r="A2709" s="193" t="s">
        <v>499</v>
      </c>
      <c r="B2709" s="210">
        <v>2</v>
      </c>
      <c r="C2709" s="191" t="str">
        <f>IF('IWP01'!E$353=0,"",'IWP01'!E$353)</f>
        <v/>
      </c>
      <c r="D2709" s="211">
        <f>'IWP01'!G$353</f>
        <v>0</v>
      </c>
      <c r="E2709" s="211">
        <f>'IWP01'!H$353</f>
        <v>0</v>
      </c>
      <c r="F2709" s="211">
        <f>'IWP01'!I$353</f>
        <v>0</v>
      </c>
      <c r="G2709" s="191" t="str">
        <f>IF('IWP01'!J$353=0,"",'IWP01'!J$353)</f>
        <v/>
      </c>
      <c r="H2709" s="211">
        <f>'IWP01'!K$353</f>
        <v>0</v>
      </c>
      <c r="I2709" s="211">
        <f>'IWP01'!L$353</f>
        <v>0</v>
      </c>
      <c r="J2709" s="212">
        <f>'IWP01'!M$353</f>
        <v>0</v>
      </c>
      <c r="K2709" s="106"/>
      <c r="L2709" s="106"/>
      <c r="M2709" s="129"/>
    </row>
    <row r="2710" spans="1:13" s="105" customFormat="1">
      <c r="A2710" s="193" t="s">
        <v>499</v>
      </c>
      <c r="B2710" s="210">
        <v>2</v>
      </c>
      <c r="C2710" s="191" t="str">
        <f>IF('IWP01'!E$354=0,"",'IWP01'!E$354)</f>
        <v/>
      </c>
      <c r="D2710" s="211">
        <f>'IWP01'!G$354</f>
        <v>0</v>
      </c>
      <c r="E2710" s="211">
        <f>'IWP01'!H$354</f>
        <v>0</v>
      </c>
      <c r="F2710" s="211">
        <f>'IWP01'!I$354</f>
        <v>0</v>
      </c>
      <c r="G2710" s="191" t="str">
        <f>IF('IWP01'!J$354=0,"",'IWP01'!J$354)</f>
        <v/>
      </c>
      <c r="H2710" s="211">
        <f>'IWP01'!K$354</f>
        <v>0</v>
      </c>
      <c r="I2710" s="211">
        <f>'IWP01'!L$354</f>
        <v>0</v>
      </c>
      <c r="J2710" s="212">
        <f>'IWP01'!M$354</f>
        <v>0</v>
      </c>
      <c r="K2710" s="106"/>
      <c r="L2710" s="106"/>
      <c r="M2710" s="129"/>
    </row>
    <row r="2711" spans="1:13" s="105" customFormat="1">
      <c r="A2711" s="193" t="s">
        <v>499</v>
      </c>
      <c r="B2711" s="210">
        <v>3</v>
      </c>
      <c r="C2711" s="191" t="str">
        <f>IF('IWP01'!E$361=0,"",'IWP01'!E$361)</f>
        <v/>
      </c>
      <c r="D2711" s="211">
        <f>'IWP01'!G$361</f>
        <v>0</v>
      </c>
      <c r="E2711" s="211">
        <f>'IWP01'!H$361</f>
        <v>0</v>
      </c>
      <c r="F2711" s="211">
        <f>'IWP01'!I$361</f>
        <v>0</v>
      </c>
      <c r="G2711" s="191" t="str">
        <f>IF('IWP01'!J$361=0,"",'IWP01'!J$361)</f>
        <v/>
      </c>
      <c r="H2711" s="211">
        <f>'IWP01'!K$361</f>
        <v>0</v>
      </c>
      <c r="I2711" s="211">
        <f>'IWP01'!L$361</f>
        <v>0</v>
      </c>
      <c r="J2711" s="212">
        <f>'IWP01'!M$361</f>
        <v>0</v>
      </c>
      <c r="K2711" s="106"/>
      <c r="L2711" s="106"/>
      <c r="M2711" s="129"/>
    </row>
    <row r="2712" spans="1:13" s="105" customFormat="1">
      <c r="A2712" s="193" t="s">
        <v>499</v>
      </c>
      <c r="B2712" s="210">
        <v>3</v>
      </c>
      <c r="C2712" s="191" t="str">
        <f>IF('IWP01'!E$362=0,"",'IWP01'!E$362)</f>
        <v/>
      </c>
      <c r="D2712" s="211">
        <f>'IWP01'!G$362</f>
        <v>0</v>
      </c>
      <c r="E2712" s="211">
        <f>'IWP01'!H$362</f>
        <v>0</v>
      </c>
      <c r="F2712" s="211">
        <f>'IWP01'!I$362</f>
        <v>0</v>
      </c>
      <c r="G2712" s="191" t="str">
        <f>IF('IWP01'!J$362=0,"",'IWP01'!J$362)</f>
        <v/>
      </c>
      <c r="H2712" s="211">
        <f>'IWP01'!K$362</f>
        <v>0</v>
      </c>
      <c r="I2712" s="211">
        <f>'IWP01'!L$362</f>
        <v>0</v>
      </c>
      <c r="J2712" s="212">
        <f>'IWP01'!M$362</f>
        <v>0</v>
      </c>
      <c r="K2712" s="106"/>
      <c r="L2712" s="106"/>
      <c r="M2712" s="129"/>
    </row>
    <row r="2713" spans="1:13" s="105" customFormat="1">
      <c r="A2713" s="193" t="s">
        <v>499</v>
      </c>
      <c r="B2713" s="210">
        <v>3</v>
      </c>
      <c r="C2713" s="191" t="str">
        <f>IF('IWP01'!E$363=0,"",'IWP01'!E$363)</f>
        <v/>
      </c>
      <c r="D2713" s="211">
        <f>'IWP01'!G$363</f>
        <v>0</v>
      </c>
      <c r="E2713" s="211">
        <f>'IWP01'!H$363</f>
        <v>0</v>
      </c>
      <c r="F2713" s="211">
        <f>'IWP01'!I$363</f>
        <v>0</v>
      </c>
      <c r="G2713" s="191" t="str">
        <f>IF('IWP01'!J$363=0,"",'IWP01'!J$363)</f>
        <v/>
      </c>
      <c r="H2713" s="211">
        <f>'IWP01'!K$363</f>
        <v>0</v>
      </c>
      <c r="I2713" s="211">
        <f>'IWP01'!L$363</f>
        <v>0</v>
      </c>
      <c r="J2713" s="212">
        <f>'IWP01'!M$363</f>
        <v>0</v>
      </c>
      <c r="K2713" s="106"/>
      <c r="L2713" s="106"/>
      <c r="M2713" s="129"/>
    </row>
    <row r="2714" spans="1:13" s="105" customFormat="1">
      <c r="A2714" s="193" t="s">
        <v>499</v>
      </c>
      <c r="B2714" s="210">
        <v>3</v>
      </c>
      <c r="C2714" s="191" t="str">
        <f>IF('IWP01'!E$364=0,"",'IWP01'!E$364)</f>
        <v/>
      </c>
      <c r="D2714" s="211">
        <f>'IWP01'!G$364</f>
        <v>0</v>
      </c>
      <c r="E2714" s="211">
        <f>'IWP01'!H$364</f>
        <v>0</v>
      </c>
      <c r="F2714" s="211">
        <f>'IWP01'!I$364</f>
        <v>0</v>
      </c>
      <c r="G2714" s="191" t="str">
        <f>IF('IWP01'!J$364=0,"",'IWP01'!J$364)</f>
        <v/>
      </c>
      <c r="H2714" s="211">
        <f>'IWP01'!K$364</f>
        <v>0</v>
      </c>
      <c r="I2714" s="211">
        <f>'IWP01'!L$364</f>
        <v>0</v>
      </c>
      <c r="J2714" s="212">
        <f>'IWP01'!M$364</f>
        <v>0</v>
      </c>
      <c r="K2714" s="106"/>
      <c r="L2714" s="106"/>
      <c r="M2714" s="129"/>
    </row>
    <row r="2715" spans="1:13" s="105" customFormat="1">
      <c r="A2715" s="193" t="s">
        <v>499</v>
      </c>
      <c r="B2715" s="210">
        <v>3</v>
      </c>
      <c r="C2715" s="191" t="str">
        <f>IF('IWP01'!E$365=0,"",'IWP01'!E$365)</f>
        <v/>
      </c>
      <c r="D2715" s="211">
        <f>'IWP01'!G$365</f>
        <v>0</v>
      </c>
      <c r="E2715" s="211">
        <f>'IWP01'!H$365</f>
        <v>0</v>
      </c>
      <c r="F2715" s="211">
        <f>'IWP01'!I$365</f>
        <v>0</v>
      </c>
      <c r="G2715" s="191" t="str">
        <f>IF('IWP01'!J$365=0,"",'IWP01'!J$365)</f>
        <v/>
      </c>
      <c r="H2715" s="211">
        <f>'IWP01'!K$365</f>
        <v>0</v>
      </c>
      <c r="I2715" s="211">
        <f>'IWP01'!L$365</f>
        <v>0</v>
      </c>
      <c r="J2715" s="212">
        <f>'IWP01'!M$365</f>
        <v>0</v>
      </c>
      <c r="K2715" s="106"/>
      <c r="L2715" s="106"/>
      <c r="M2715" s="129"/>
    </row>
    <row r="2716" spans="1:13" s="105" customFormat="1">
      <c r="A2716" s="193" t="s">
        <v>499</v>
      </c>
      <c r="B2716" s="210">
        <v>3</v>
      </c>
      <c r="C2716" s="191" t="str">
        <f>IF('IWP01'!E$366=0,"",'IWP01'!E$366)</f>
        <v/>
      </c>
      <c r="D2716" s="211">
        <f>'IWP01'!G$366</f>
        <v>0</v>
      </c>
      <c r="E2716" s="211">
        <f>'IWP01'!H$366</f>
        <v>0</v>
      </c>
      <c r="F2716" s="211">
        <f>'IWP01'!I$366</f>
        <v>0</v>
      </c>
      <c r="G2716" s="191" t="str">
        <f>IF('IWP01'!J$366=0,"",'IWP01'!J$366)</f>
        <v/>
      </c>
      <c r="H2716" s="211">
        <f>'IWP01'!K$366</f>
        <v>0</v>
      </c>
      <c r="I2716" s="211">
        <f>'IWP01'!L$366</f>
        <v>0</v>
      </c>
      <c r="J2716" s="212">
        <f>'IWP01'!M$366</f>
        <v>0</v>
      </c>
      <c r="K2716" s="106"/>
      <c r="L2716" s="106"/>
      <c r="M2716" s="129"/>
    </row>
    <row r="2717" spans="1:13" s="105" customFormat="1">
      <c r="A2717" s="193" t="s">
        <v>499</v>
      </c>
      <c r="B2717" s="210">
        <v>3</v>
      </c>
      <c r="C2717" s="191" t="str">
        <f>IF('IWP01'!E$367=0,"",'IWP01'!E$367)</f>
        <v/>
      </c>
      <c r="D2717" s="211">
        <f>'IWP01'!G$367</f>
        <v>0</v>
      </c>
      <c r="E2717" s="211">
        <f>'IWP01'!H$367</f>
        <v>0</v>
      </c>
      <c r="F2717" s="211">
        <f>'IWP01'!I$367</f>
        <v>0</v>
      </c>
      <c r="G2717" s="191" t="str">
        <f>IF('IWP01'!J$367=0,"",'IWP01'!J$367)</f>
        <v/>
      </c>
      <c r="H2717" s="211">
        <f>'IWP01'!K$367</f>
        <v>0</v>
      </c>
      <c r="I2717" s="211">
        <f>'IWP01'!L$367</f>
        <v>0</v>
      </c>
      <c r="J2717" s="212">
        <f>'IWP01'!M$367</f>
        <v>0</v>
      </c>
      <c r="K2717" s="106"/>
      <c r="L2717" s="106"/>
      <c r="M2717" s="129"/>
    </row>
    <row r="2718" spans="1:13" s="105" customFormat="1">
      <c r="A2718" s="193" t="s">
        <v>499</v>
      </c>
      <c r="B2718" s="210">
        <v>3</v>
      </c>
      <c r="C2718" s="191" t="str">
        <f>IF('IWP01'!E$368=0,"",'IWP01'!E$368)</f>
        <v/>
      </c>
      <c r="D2718" s="211">
        <f>'IWP01'!G$368</f>
        <v>0</v>
      </c>
      <c r="E2718" s="211">
        <f>'IWP01'!H$368</f>
        <v>0</v>
      </c>
      <c r="F2718" s="211">
        <f>'IWP01'!I$368</f>
        <v>0</v>
      </c>
      <c r="G2718" s="191" t="str">
        <f>IF('IWP01'!J$368=0,"",'IWP01'!J$368)</f>
        <v/>
      </c>
      <c r="H2718" s="211">
        <f>'IWP01'!K$368</f>
        <v>0</v>
      </c>
      <c r="I2718" s="211">
        <f>'IWP01'!L$368</f>
        <v>0</v>
      </c>
      <c r="J2718" s="212">
        <f>'IWP01'!M$368</f>
        <v>0</v>
      </c>
      <c r="K2718" s="106"/>
      <c r="L2718" s="106"/>
      <c r="M2718" s="129"/>
    </row>
    <row r="2719" spans="1:13" s="105" customFormat="1">
      <c r="A2719" s="193" t="s">
        <v>499</v>
      </c>
      <c r="B2719" s="210">
        <v>3</v>
      </c>
      <c r="C2719" s="191" t="str">
        <f>IF('IWP01'!E$369=0,"",'IWP01'!E$369)</f>
        <v/>
      </c>
      <c r="D2719" s="211">
        <f>'IWP01'!G$369</f>
        <v>0</v>
      </c>
      <c r="E2719" s="211">
        <f>'IWP01'!H$369</f>
        <v>0</v>
      </c>
      <c r="F2719" s="211">
        <f>'IWP01'!I$369</f>
        <v>0</v>
      </c>
      <c r="G2719" s="191" t="str">
        <f>IF('IWP01'!J$369=0,"",'IWP01'!J$369)</f>
        <v/>
      </c>
      <c r="H2719" s="211">
        <f>'IWP01'!K$369</f>
        <v>0</v>
      </c>
      <c r="I2719" s="211">
        <f>'IWP01'!L$369</f>
        <v>0</v>
      </c>
      <c r="J2719" s="212">
        <f>'IWP01'!M$369</f>
        <v>0</v>
      </c>
      <c r="K2719" s="106"/>
      <c r="L2719" s="106"/>
      <c r="M2719" s="129"/>
    </row>
    <row r="2720" spans="1:13" s="105" customFormat="1">
      <c r="A2720" s="193" t="s">
        <v>499</v>
      </c>
      <c r="B2720" s="210">
        <v>3</v>
      </c>
      <c r="C2720" s="191" t="str">
        <f>IF('IWP01'!E$370=0,"",'IWP01'!E$370)</f>
        <v/>
      </c>
      <c r="D2720" s="211">
        <f>'IWP01'!G$370</f>
        <v>0</v>
      </c>
      <c r="E2720" s="211">
        <f>'IWP01'!H$370</f>
        <v>0</v>
      </c>
      <c r="F2720" s="211">
        <f>'IWP01'!I$370</f>
        <v>0</v>
      </c>
      <c r="G2720" s="191" t="str">
        <f>IF('IWP01'!J$370=0,"",'IWP01'!J$370)</f>
        <v/>
      </c>
      <c r="H2720" s="211">
        <f>'IWP01'!K$370</f>
        <v>0</v>
      </c>
      <c r="I2720" s="211">
        <f>'IWP01'!L$370</f>
        <v>0</v>
      </c>
      <c r="J2720" s="212">
        <f>'IWP01'!M$370</f>
        <v>0</v>
      </c>
      <c r="K2720" s="106"/>
      <c r="L2720" s="106"/>
      <c r="M2720" s="129"/>
    </row>
    <row r="2721" spans="1:13" s="105" customFormat="1">
      <c r="A2721" s="193" t="s">
        <v>499</v>
      </c>
      <c r="B2721" s="210">
        <v>4</v>
      </c>
      <c r="C2721" s="191" t="str">
        <f>IF('IWP01'!E$377=0,"",'IWP01'!E$377)</f>
        <v/>
      </c>
      <c r="D2721" s="211">
        <f>'IWP01'!G$377</f>
        <v>0</v>
      </c>
      <c r="E2721" s="211">
        <f>'IWP01'!H$377</f>
        <v>0</v>
      </c>
      <c r="F2721" s="211">
        <f>'IWP01'!I$377</f>
        <v>0</v>
      </c>
      <c r="G2721" s="191" t="str">
        <f>IF('IWP01'!J$377=0,"",'IWP01'!J$377)</f>
        <v/>
      </c>
      <c r="H2721" s="211">
        <f>'IWP01'!K$377</f>
        <v>0</v>
      </c>
      <c r="I2721" s="211">
        <f>'IWP01'!L$377</f>
        <v>0</v>
      </c>
      <c r="J2721" s="212">
        <f>'IWP01'!M$377</f>
        <v>0</v>
      </c>
      <c r="K2721" s="106"/>
      <c r="L2721" s="106"/>
      <c r="M2721" s="129"/>
    </row>
    <row r="2722" spans="1:13" s="105" customFormat="1">
      <c r="A2722" s="193" t="s">
        <v>499</v>
      </c>
      <c r="B2722" s="210">
        <v>4</v>
      </c>
      <c r="C2722" s="191" t="str">
        <f>IF('IWP01'!E$378=0,"",'IWP01'!E$378)</f>
        <v/>
      </c>
      <c r="D2722" s="211">
        <f>'IWP01'!G$378</f>
        <v>0</v>
      </c>
      <c r="E2722" s="211">
        <f>'IWP01'!H$378</f>
        <v>0</v>
      </c>
      <c r="F2722" s="211">
        <f>'IWP01'!I$378</f>
        <v>0</v>
      </c>
      <c r="G2722" s="191" t="str">
        <f>IF('IWP01'!J$378=0,"",'IWP01'!J$378)</f>
        <v/>
      </c>
      <c r="H2722" s="211">
        <f>'IWP01'!K$378</f>
        <v>0</v>
      </c>
      <c r="I2722" s="211">
        <f>'IWP01'!L$378</f>
        <v>0</v>
      </c>
      <c r="J2722" s="212">
        <f>'IWP01'!M$378</f>
        <v>0</v>
      </c>
      <c r="K2722" s="106"/>
      <c r="L2722" s="106"/>
      <c r="M2722" s="129"/>
    </row>
    <row r="2723" spans="1:13" s="105" customFormat="1">
      <c r="A2723" s="193" t="s">
        <v>499</v>
      </c>
      <c r="B2723" s="210">
        <v>4</v>
      </c>
      <c r="C2723" s="191" t="str">
        <f>IF('IWP01'!E$379=0,"",'IWP01'!E$379)</f>
        <v/>
      </c>
      <c r="D2723" s="211">
        <f>'IWP01'!G$379</f>
        <v>0</v>
      </c>
      <c r="E2723" s="211">
        <f>'IWP01'!H$379</f>
        <v>0</v>
      </c>
      <c r="F2723" s="211">
        <f>'IWP01'!I$379</f>
        <v>0</v>
      </c>
      <c r="G2723" s="191" t="str">
        <f>IF('IWP01'!J$379=0,"",'IWP01'!J$379)</f>
        <v/>
      </c>
      <c r="H2723" s="211">
        <f>'IWP01'!K$379</f>
        <v>0</v>
      </c>
      <c r="I2723" s="211">
        <f>'IWP01'!L$379</f>
        <v>0</v>
      </c>
      <c r="J2723" s="212">
        <f>'IWP01'!M$379</f>
        <v>0</v>
      </c>
      <c r="K2723" s="106"/>
      <c r="L2723" s="106"/>
      <c r="M2723" s="129"/>
    </row>
    <row r="2724" spans="1:13" s="105" customFormat="1">
      <c r="A2724" s="193" t="s">
        <v>499</v>
      </c>
      <c r="B2724" s="210">
        <v>4</v>
      </c>
      <c r="C2724" s="191" t="str">
        <f>IF('IWP01'!E$380=0,"",'IWP01'!E$380)</f>
        <v/>
      </c>
      <c r="D2724" s="211">
        <f>'IWP01'!G$380</f>
        <v>0</v>
      </c>
      <c r="E2724" s="211">
        <f>'IWP01'!H$380</f>
        <v>0</v>
      </c>
      <c r="F2724" s="211">
        <f>'IWP01'!I$380</f>
        <v>0</v>
      </c>
      <c r="G2724" s="191" t="str">
        <f>IF('IWP01'!J$380=0,"",'IWP01'!J$380)</f>
        <v/>
      </c>
      <c r="H2724" s="211">
        <f>'IWP01'!K$380</f>
        <v>0</v>
      </c>
      <c r="I2724" s="211">
        <f>'IWP01'!L$380</f>
        <v>0</v>
      </c>
      <c r="J2724" s="212">
        <f>'IWP01'!M$380</f>
        <v>0</v>
      </c>
      <c r="K2724" s="106"/>
      <c r="L2724" s="106"/>
      <c r="M2724" s="129"/>
    </row>
    <row r="2725" spans="1:13" s="105" customFormat="1">
      <c r="A2725" s="193" t="s">
        <v>499</v>
      </c>
      <c r="B2725" s="210">
        <v>4</v>
      </c>
      <c r="C2725" s="191" t="str">
        <f>IF('IWP01'!E$381=0,"",'IWP01'!E$381)</f>
        <v/>
      </c>
      <c r="D2725" s="211">
        <f>'IWP01'!G$381</f>
        <v>0</v>
      </c>
      <c r="E2725" s="211">
        <f>'IWP01'!H$381</f>
        <v>0</v>
      </c>
      <c r="F2725" s="211">
        <f>'IWP01'!I$381</f>
        <v>0</v>
      </c>
      <c r="G2725" s="191" t="str">
        <f>IF('IWP01'!J$381=0,"",'IWP01'!J$381)</f>
        <v/>
      </c>
      <c r="H2725" s="211">
        <f>'IWP01'!K$381</f>
        <v>0</v>
      </c>
      <c r="I2725" s="211">
        <f>'IWP01'!L$381</f>
        <v>0</v>
      </c>
      <c r="J2725" s="212">
        <f>'IWP01'!M$381</f>
        <v>0</v>
      </c>
      <c r="K2725" s="106"/>
      <c r="L2725" s="106"/>
      <c r="M2725" s="129"/>
    </row>
    <row r="2726" spans="1:13" s="105" customFormat="1">
      <c r="A2726" s="193" t="s">
        <v>499</v>
      </c>
      <c r="B2726" s="210">
        <v>4</v>
      </c>
      <c r="C2726" s="191" t="str">
        <f>IF('IWP01'!E$382=0,"",'IWP01'!E$382)</f>
        <v/>
      </c>
      <c r="D2726" s="211">
        <f>'IWP01'!G$382</f>
        <v>0</v>
      </c>
      <c r="E2726" s="211">
        <f>'IWP01'!H$382</f>
        <v>0</v>
      </c>
      <c r="F2726" s="211">
        <f>'IWP01'!I$382</f>
        <v>0</v>
      </c>
      <c r="G2726" s="191" t="str">
        <f>IF('IWP01'!J$382=0,"",'IWP01'!J$382)</f>
        <v/>
      </c>
      <c r="H2726" s="211">
        <f>'IWP01'!K$382</f>
        <v>0</v>
      </c>
      <c r="I2726" s="211">
        <f>'IWP01'!L$382</f>
        <v>0</v>
      </c>
      <c r="J2726" s="212">
        <f>'IWP01'!M$382</f>
        <v>0</v>
      </c>
      <c r="K2726" s="106"/>
      <c r="L2726" s="106"/>
      <c r="M2726" s="129"/>
    </row>
    <row r="2727" spans="1:13" s="105" customFormat="1">
      <c r="A2727" s="193" t="s">
        <v>499</v>
      </c>
      <c r="B2727" s="210">
        <v>4</v>
      </c>
      <c r="C2727" s="191" t="str">
        <f>IF('IWP01'!E$383=0,"",'IWP01'!E$383)</f>
        <v/>
      </c>
      <c r="D2727" s="211">
        <f>'IWP01'!G$383</f>
        <v>0</v>
      </c>
      <c r="E2727" s="211">
        <f>'IWP01'!H$383</f>
        <v>0</v>
      </c>
      <c r="F2727" s="211">
        <f>'IWP01'!I$383</f>
        <v>0</v>
      </c>
      <c r="G2727" s="191" t="str">
        <f>IF('IWP01'!J$383=0,"",'IWP01'!J$383)</f>
        <v/>
      </c>
      <c r="H2727" s="211">
        <f>'IWP01'!K$383</f>
        <v>0</v>
      </c>
      <c r="I2727" s="211">
        <f>'IWP01'!L$383</f>
        <v>0</v>
      </c>
      <c r="J2727" s="212">
        <f>'IWP01'!M$383</f>
        <v>0</v>
      </c>
      <c r="K2727" s="106"/>
      <c r="L2727" s="106"/>
      <c r="M2727" s="129"/>
    </row>
    <row r="2728" spans="1:13" s="105" customFormat="1">
      <c r="A2728" s="193" t="s">
        <v>499</v>
      </c>
      <c r="B2728" s="210">
        <v>4</v>
      </c>
      <c r="C2728" s="191" t="str">
        <f>IF('IWP01'!E$384=0,"",'IWP01'!E$384)</f>
        <v/>
      </c>
      <c r="D2728" s="211">
        <f>'IWP01'!G$384</f>
        <v>0</v>
      </c>
      <c r="E2728" s="211">
        <f>'IWP01'!H$384</f>
        <v>0</v>
      </c>
      <c r="F2728" s="211">
        <f>'IWP01'!I$384</f>
        <v>0</v>
      </c>
      <c r="G2728" s="191" t="str">
        <f>IF('IWP01'!J$384=0,"",'IWP01'!J$384)</f>
        <v/>
      </c>
      <c r="H2728" s="211">
        <f>'IWP01'!K$384</f>
        <v>0</v>
      </c>
      <c r="I2728" s="211">
        <f>'IWP01'!L$384</f>
        <v>0</v>
      </c>
      <c r="J2728" s="212">
        <f>'IWP01'!M$384</f>
        <v>0</v>
      </c>
      <c r="K2728" s="106"/>
      <c r="L2728" s="106"/>
      <c r="M2728" s="129"/>
    </row>
    <row r="2729" spans="1:13" s="105" customFormat="1">
      <c r="A2729" s="193" t="s">
        <v>499</v>
      </c>
      <c r="B2729" s="210">
        <v>4</v>
      </c>
      <c r="C2729" s="191" t="str">
        <f>IF('IWP01'!E$385=0,"",'IWP01'!E$385)</f>
        <v/>
      </c>
      <c r="D2729" s="211">
        <f>'IWP01'!G$385</f>
        <v>0</v>
      </c>
      <c r="E2729" s="211">
        <f>'IWP01'!H$385</f>
        <v>0</v>
      </c>
      <c r="F2729" s="211">
        <f>'IWP01'!I$385</f>
        <v>0</v>
      </c>
      <c r="G2729" s="191" t="str">
        <f>IF('IWP01'!J$385=0,"",'IWP01'!J$385)</f>
        <v/>
      </c>
      <c r="H2729" s="211">
        <f>'IWP01'!K$385</f>
        <v>0</v>
      </c>
      <c r="I2729" s="211">
        <f>'IWP01'!L$385</f>
        <v>0</v>
      </c>
      <c r="J2729" s="212">
        <f>'IWP01'!M$385</f>
        <v>0</v>
      </c>
      <c r="K2729" s="106"/>
      <c r="L2729" s="106"/>
      <c r="M2729" s="129"/>
    </row>
    <row r="2730" spans="1:13" s="105" customFormat="1">
      <c r="A2730" s="193" t="s">
        <v>499</v>
      </c>
      <c r="B2730" s="210">
        <v>4</v>
      </c>
      <c r="C2730" s="191" t="str">
        <f>IF('IWP01'!E$386=0,"",'IWP01'!E$386)</f>
        <v/>
      </c>
      <c r="D2730" s="211">
        <f>'IWP01'!G$386</f>
        <v>0</v>
      </c>
      <c r="E2730" s="211">
        <f>'IWP01'!H$386</f>
        <v>0</v>
      </c>
      <c r="F2730" s="211">
        <f>'IWP01'!I$386</f>
        <v>0</v>
      </c>
      <c r="G2730" s="191" t="str">
        <f>IF('IWP01'!J$386=0,"",'IWP01'!J$386)</f>
        <v/>
      </c>
      <c r="H2730" s="211">
        <f>'IWP01'!K$386</f>
        <v>0</v>
      </c>
      <c r="I2730" s="211">
        <f>'IWP01'!L$386</f>
        <v>0</v>
      </c>
      <c r="J2730" s="212">
        <f>'IWP01'!M$386</f>
        <v>0</v>
      </c>
      <c r="K2730" s="106"/>
      <c r="L2730" s="106"/>
      <c r="M2730" s="129"/>
    </row>
    <row r="2731" spans="1:13" s="105" customFormat="1">
      <c r="A2731" s="193" t="s">
        <v>499</v>
      </c>
      <c r="B2731" s="210">
        <v>5</v>
      </c>
      <c r="C2731" s="191" t="str">
        <f>IF('IWP01'!E$393=0,"",'IWP01'!E$393)</f>
        <v/>
      </c>
      <c r="D2731" s="211">
        <f>'IWP01'!G$393</f>
        <v>0</v>
      </c>
      <c r="E2731" s="211">
        <f>'IWP01'!H$393</f>
        <v>0</v>
      </c>
      <c r="F2731" s="211">
        <f>'IWP01'!I$393</f>
        <v>0</v>
      </c>
      <c r="G2731" s="191" t="str">
        <f>IF('IWP01'!J$393=0,"",'IWP01'!J$393)</f>
        <v/>
      </c>
      <c r="H2731" s="211">
        <f>'IWP01'!K$393</f>
        <v>0</v>
      </c>
      <c r="I2731" s="211">
        <f>'IWP01'!L$393</f>
        <v>0</v>
      </c>
      <c r="J2731" s="212">
        <f>'IWP01'!M$393</f>
        <v>0</v>
      </c>
      <c r="K2731" s="106"/>
      <c r="L2731" s="106"/>
      <c r="M2731" s="129"/>
    </row>
    <row r="2732" spans="1:13" s="105" customFormat="1">
      <c r="A2732" s="193" t="s">
        <v>499</v>
      </c>
      <c r="B2732" s="210">
        <v>5</v>
      </c>
      <c r="C2732" s="191" t="str">
        <f>IF('IWP01'!E$394=0,"",'IWP01'!E$394)</f>
        <v/>
      </c>
      <c r="D2732" s="211">
        <f>'IWP01'!G$394</f>
        <v>0</v>
      </c>
      <c r="E2732" s="211">
        <f>'IWP01'!H$394</f>
        <v>0</v>
      </c>
      <c r="F2732" s="211">
        <f>'IWP01'!I$394</f>
        <v>0</v>
      </c>
      <c r="G2732" s="191" t="str">
        <f>IF('IWP01'!J$394=0,"",'IWP01'!J$394)</f>
        <v/>
      </c>
      <c r="H2732" s="211">
        <f>'IWP01'!K$394</f>
        <v>0</v>
      </c>
      <c r="I2732" s="211">
        <f>'IWP01'!L$394</f>
        <v>0</v>
      </c>
      <c r="J2732" s="212">
        <f>'IWP01'!M$394</f>
        <v>0</v>
      </c>
      <c r="K2732" s="106"/>
      <c r="L2732" s="106"/>
      <c r="M2732" s="129"/>
    </row>
    <row r="2733" spans="1:13" s="105" customFormat="1">
      <c r="A2733" s="193" t="s">
        <v>499</v>
      </c>
      <c r="B2733" s="210">
        <v>5</v>
      </c>
      <c r="C2733" s="191" t="str">
        <f>IF('IWP01'!E$395=0,"",'IWP01'!E$395)</f>
        <v/>
      </c>
      <c r="D2733" s="211">
        <f>'IWP01'!G$395</f>
        <v>0</v>
      </c>
      <c r="E2733" s="211">
        <f>'IWP01'!H$395</f>
        <v>0</v>
      </c>
      <c r="F2733" s="211">
        <f>'IWP01'!I$395</f>
        <v>0</v>
      </c>
      <c r="G2733" s="191" t="str">
        <f>IF('IWP01'!J$395=0,"",'IWP01'!J$395)</f>
        <v/>
      </c>
      <c r="H2733" s="211">
        <f>'IWP01'!K$395</f>
        <v>0</v>
      </c>
      <c r="I2733" s="211">
        <f>'IWP01'!L$395</f>
        <v>0</v>
      </c>
      <c r="J2733" s="212">
        <f>'IWP01'!M$395</f>
        <v>0</v>
      </c>
      <c r="K2733" s="106"/>
      <c r="L2733" s="106"/>
      <c r="M2733" s="129"/>
    </row>
    <row r="2734" spans="1:13" s="105" customFormat="1">
      <c r="A2734" s="193" t="s">
        <v>499</v>
      </c>
      <c r="B2734" s="210">
        <v>5</v>
      </c>
      <c r="C2734" s="191" t="str">
        <f>IF('IWP01'!E$396=0,"",'IWP01'!E$396)</f>
        <v/>
      </c>
      <c r="D2734" s="211">
        <f>'IWP01'!G$396</f>
        <v>0</v>
      </c>
      <c r="E2734" s="211">
        <f>'IWP01'!H$396</f>
        <v>0</v>
      </c>
      <c r="F2734" s="211">
        <f>'IWP01'!I$396</f>
        <v>0</v>
      </c>
      <c r="G2734" s="191" t="str">
        <f>IF('IWP01'!J$396=0,"",'IWP01'!J$396)</f>
        <v/>
      </c>
      <c r="H2734" s="211">
        <f>'IWP01'!K$396</f>
        <v>0</v>
      </c>
      <c r="I2734" s="211">
        <f>'IWP01'!L$396</f>
        <v>0</v>
      </c>
      <c r="J2734" s="212">
        <f>'IWP01'!M$396</f>
        <v>0</v>
      </c>
      <c r="K2734" s="106"/>
      <c r="L2734" s="106"/>
      <c r="M2734" s="129"/>
    </row>
    <row r="2735" spans="1:13" s="105" customFormat="1">
      <c r="A2735" s="193" t="s">
        <v>499</v>
      </c>
      <c r="B2735" s="210">
        <v>5</v>
      </c>
      <c r="C2735" s="191" t="str">
        <f>IF('IWP01'!E$397=0,"",'IWP01'!E$397)</f>
        <v/>
      </c>
      <c r="D2735" s="211">
        <f>'IWP01'!G$397</f>
        <v>0</v>
      </c>
      <c r="E2735" s="211">
        <f>'IWP01'!H$397</f>
        <v>0</v>
      </c>
      <c r="F2735" s="211">
        <f>'IWP01'!I$397</f>
        <v>0</v>
      </c>
      <c r="G2735" s="191" t="str">
        <f>IF('IWP01'!J$397=0,"",'IWP01'!J$397)</f>
        <v/>
      </c>
      <c r="H2735" s="211">
        <f>'IWP01'!K$397</f>
        <v>0</v>
      </c>
      <c r="I2735" s="211">
        <f>'IWP01'!L$397</f>
        <v>0</v>
      </c>
      <c r="J2735" s="212">
        <f>'IWP01'!M$397</f>
        <v>0</v>
      </c>
      <c r="K2735" s="106"/>
      <c r="L2735" s="106"/>
      <c r="M2735" s="129"/>
    </row>
    <row r="2736" spans="1:13" s="105" customFormat="1">
      <c r="A2736" s="193" t="s">
        <v>499</v>
      </c>
      <c r="B2736" s="210">
        <v>5</v>
      </c>
      <c r="C2736" s="191" t="str">
        <f>IF('IWP01'!E$398=0,"",'IWP01'!E$398)</f>
        <v/>
      </c>
      <c r="D2736" s="211">
        <f>'IWP01'!G$398</f>
        <v>0</v>
      </c>
      <c r="E2736" s="211">
        <f>'IWP01'!H$398</f>
        <v>0</v>
      </c>
      <c r="F2736" s="211">
        <f>'IWP01'!I$398</f>
        <v>0</v>
      </c>
      <c r="G2736" s="191" t="str">
        <f>IF('IWP01'!J$398=0,"",'IWP01'!J$398)</f>
        <v/>
      </c>
      <c r="H2736" s="211">
        <f>'IWP01'!K$398</f>
        <v>0</v>
      </c>
      <c r="I2736" s="211">
        <f>'IWP01'!L$398</f>
        <v>0</v>
      </c>
      <c r="J2736" s="212">
        <f>'IWP01'!M$398</f>
        <v>0</v>
      </c>
      <c r="K2736" s="106"/>
      <c r="L2736" s="106"/>
      <c r="M2736" s="129"/>
    </row>
    <row r="2737" spans="1:13" s="105" customFormat="1">
      <c r="A2737" s="193" t="s">
        <v>499</v>
      </c>
      <c r="B2737" s="210">
        <v>5</v>
      </c>
      <c r="C2737" s="191" t="str">
        <f>IF('IWP01'!E$399=0,"",'IWP01'!E$399)</f>
        <v/>
      </c>
      <c r="D2737" s="211">
        <f>'IWP01'!G$399</f>
        <v>0</v>
      </c>
      <c r="E2737" s="211">
        <f>'IWP01'!H$399</f>
        <v>0</v>
      </c>
      <c r="F2737" s="211">
        <f>'IWP01'!I$399</f>
        <v>0</v>
      </c>
      <c r="G2737" s="191" t="str">
        <f>IF('IWP01'!J$399=0,"",'IWP01'!J$399)</f>
        <v/>
      </c>
      <c r="H2737" s="211">
        <f>'IWP01'!K$399</f>
        <v>0</v>
      </c>
      <c r="I2737" s="211">
        <f>'IWP01'!L$399</f>
        <v>0</v>
      </c>
      <c r="J2737" s="212">
        <f>'IWP01'!M$399</f>
        <v>0</v>
      </c>
      <c r="K2737" s="106"/>
      <c r="L2737" s="106"/>
      <c r="M2737" s="129"/>
    </row>
    <row r="2738" spans="1:13" s="105" customFormat="1">
      <c r="A2738" s="193" t="s">
        <v>499</v>
      </c>
      <c r="B2738" s="210">
        <v>5</v>
      </c>
      <c r="C2738" s="191" t="str">
        <f>IF('IWP01'!E$400=0,"",'IWP01'!E$400)</f>
        <v/>
      </c>
      <c r="D2738" s="211">
        <f>'IWP01'!G$400</f>
        <v>0</v>
      </c>
      <c r="E2738" s="211">
        <f>'IWP01'!H$400</f>
        <v>0</v>
      </c>
      <c r="F2738" s="211">
        <f>'IWP01'!I$400</f>
        <v>0</v>
      </c>
      <c r="G2738" s="191" t="str">
        <f>IF('IWP01'!J$400=0,"",'IWP01'!J$400)</f>
        <v/>
      </c>
      <c r="H2738" s="211">
        <f>'IWP01'!K$400</f>
        <v>0</v>
      </c>
      <c r="I2738" s="211">
        <f>'IWP01'!L$400</f>
        <v>0</v>
      </c>
      <c r="J2738" s="212">
        <f>'IWP01'!M$400</f>
        <v>0</v>
      </c>
      <c r="K2738" s="106"/>
      <c r="L2738" s="106"/>
      <c r="M2738" s="129"/>
    </row>
    <row r="2739" spans="1:13" s="105" customFormat="1">
      <c r="A2739" s="193" t="s">
        <v>499</v>
      </c>
      <c r="B2739" s="210">
        <v>5</v>
      </c>
      <c r="C2739" s="191" t="str">
        <f>IF('IWP01'!E$401=0,"",'IWP01'!E$401)</f>
        <v/>
      </c>
      <c r="D2739" s="211">
        <f>'IWP01'!G$401</f>
        <v>0</v>
      </c>
      <c r="E2739" s="211">
        <f>'IWP01'!H$401</f>
        <v>0</v>
      </c>
      <c r="F2739" s="211">
        <f>'IWP01'!I$401</f>
        <v>0</v>
      </c>
      <c r="G2739" s="191" t="str">
        <f>IF('IWP01'!J$401=0,"",'IWP01'!J$401)</f>
        <v/>
      </c>
      <c r="H2739" s="211">
        <f>'IWP01'!K$401</f>
        <v>0</v>
      </c>
      <c r="I2739" s="211">
        <f>'IWP01'!L$401</f>
        <v>0</v>
      </c>
      <c r="J2739" s="212">
        <f>'IWP01'!M$401</f>
        <v>0</v>
      </c>
      <c r="K2739" s="106"/>
      <c r="L2739" s="106"/>
      <c r="M2739" s="129"/>
    </row>
    <row r="2740" spans="1:13" s="105" customFormat="1">
      <c r="A2740" s="193" t="s">
        <v>499</v>
      </c>
      <c r="B2740" s="210">
        <v>5</v>
      </c>
      <c r="C2740" s="191" t="str">
        <f>IF('IWP01'!E$402=0,"",'IWP01'!E$402)</f>
        <v/>
      </c>
      <c r="D2740" s="211">
        <f>'IWP01'!G$402</f>
        <v>0</v>
      </c>
      <c r="E2740" s="211">
        <f>'IWP01'!H$402</f>
        <v>0</v>
      </c>
      <c r="F2740" s="211">
        <f>'IWP01'!I$402</f>
        <v>0</v>
      </c>
      <c r="G2740" s="191" t="str">
        <f>IF('IWP01'!J$402=0,"",'IWP01'!J$402)</f>
        <v/>
      </c>
      <c r="H2740" s="211">
        <f>'IWP01'!K$402</f>
        <v>0</v>
      </c>
      <c r="I2740" s="211">
        <f>'IWP01'!L$402</f>
        <v>0</v>
      </c>
      <c r="J2740" s="212">
        <f>'IWP01'!M$402</f>
        <v>0</v>
      </c>
      <c r="K2740" s="106"/>
      <c r="L2740" s="106"/>
      <c r="M2740" s="129"/>
    </row>
    <row r="2741" spans="1:13" s="105" customFormat="1">
      <c r="A2741" s="193" t="s">
        <v>499</v>
      </c>
      <c r="B2741" s="210">
        <v>6</v>
      </c>
      <c r="C2741" s="191" t="str">
        <f>IF('IWP01'!E$409=0,"",'IWP01'!E$409)</f>
        <v/>
      </c>
      <c r="D2741" s="211">
        <f>'IWP01'!G$409</f>
        <v>0</v>
      </c>
      <c r="E2741" s="211">
        <f>'IWP01'!H$409</f>
        <v>0</v>
      </c>
      <c r="F2741" s="211">
        <f>'IWP01'!I$409</f>
        <v>0</v>
      </c>
      <c r="G2741" s="191" t="str">
        <f>IF('IWP01'!J$409=0,"",'IWP01'!J$409)</f>
        <v/>
      </c>
      <c r="H2741" s="211">
        <f>'IWP01'!K$409</f>
        <v>0</v>
      </c>
      <c r="I2741" s="211">
        <f>'IWP01'!L$409</f>
        <v>0</v>
      </c>
      <c r="J2741" s="212">
        <f>'IWP01'!M$409</f>
        <v>0</v>
      </c>
      <c r="K2741" s="106"/>
      <c r="L2741" s="106"/>
      <c r="M2741" s="129"/>
    </row>
    <row r="2742" spans="1:13" s="105" customFormat="1">
      <c r="A2742" s="193" t="s">
        <v>499</v>
      </c>
      <c r="B2742" s="210">
        <v>6</v>
      </c>
      <c r="C2742" s="191" t="str">
        <f>IF('IWP01'!E$410=0,"",'IWP01'!E$410)</f>
        <v/>
      </c>
      <c r="D2742" s="211">
        <f>'IWP01'!G$410</f>
        <v>0</v>
      </c>
      <c r="E2742" s="211">
        <f>'IWP01'!H$410</f>
        <v>0</v>
      </c>
      <c r="F2742" s="211">
        <f>'IWP01'!I$410</f>
        <v>0</v>
      </c>
      <c r="G2742" s="191" t="str">
        <f>IF('IWP01'!J$410=0,"",'IWP01'!J$410)</f>
        <v/>
      </c>
      <c r="H2742" s="211">
        <f>'IWP01'!K$410</f>
        <v>0</v>
      </c>
      <c r="I2742" s="211">
        <f>'IWP01'!L$410</f>
        <v>0</v>
      </c>
      <c r="J2742" s="212">
        <f>'IWP01'!M$410</f>
        <v>0</v>
      </c>
      <c r="K2742" s="106"/>
      <c r="L2742" s="106"/>
      <c r="M2742" s="129"/>
    </row>
    <row r="2743" spans="1:13" s="105" customFormat="1">
      <c r="A2743" s="193" t="s">
        <v>499</v>
      </c>
      <c r="B2743" s="210">
        <v>6</v>
      </c>
      <c r="C2743" s="191" t="str">
        <f>IF('IWP01'!E$411=0,"",'IWP01'!E$411)</f>
        <v/>
      </c>
      <c r="D2743" s="211">
        <f>'IWP01'!G$411</f>
        <v>0</v>
      </c>
      <c r="E2743" s="211">
        <f>'IWP01'!H$411</f>
        <v>0</v>
      </c>
      <c r="F2743" s="211">
        <f>'IWP01'!I$411</f>
        <v>0</v>
      </c>
      <c r="G2743" s="191" t="str">
        <f>IF('IWP01'!J$411=0,"",'IWP01'!J$411)</f>
        <v/>
      </c>
      <c r="H2743" s="211">
        <f>'IWP01'!K$411</f>
        <v>0</v>
      </c>
      <c r="I2743" s="211">
        <f>'IWP01'!L$411</f>
        <v>0</v>
      </c>
      <c r="J2743" s="212">
        <f>'IWP01'!M$411</f>
        <v>0</v>
      </c>
      <c r="K2743" s="106"/>
      <c r="L2743" s="106"/>
      <c r="M2743" s="129"/>
    </row>
    <row r="2744" spans="1:13" s="105" customFormat="1">
      <c r="A2744" s="193" t="s">
        <v>499</v>
      </c>
      <c r="B2744" s="210">
        <v>6</v>
      </c>
      <c r="C2744" s="191" t="str">
        <f>IF('IWP01'!E$412=0,"",'IWP01'!E$412)</f>
        <v/>
      </c>
      <c r="D2744" s="211">
        <f>'IWP01'!G$412</f>
        <v>0</v>
      </c>
      <c r="E2744" s="211">
        <f>'IWP01'!H$412</f>
        <v>0</v>
      </c>
      <c r="F2744" s="211">
        <f>'IWP01'!I$412</f>
        <v>0</v>
      </c>
      <c r="G2744" s="191" t="str">
        <f>IF('IWP01'!J$412=0,"",'IWP01'!J$412)</f>
        <v/>
      </c>
      <c r="H2744" s="211">
        <f>'IWP01'!K$412</f>
        <v>0</v>
      </c>
      <c r="I2744" s="211">
        <f>'IWP01'!L$412</f>
        <v>0</v>
      </c>
      <c r="J2744" s="212">
        <f>'IWP01'!M$412</f>
        <v>0</v>
      </c>
      <c r="K2744" s="106"/>
      <c r="L2744" s="106"/>
      <c r="M2744" s="129"/>
    </row>
    <row r="2745" spans="1:13" s="105" customFormat="1">
      <c r="A2745" s="193" t="s">
        <v>499</v>
      </c>
      <c r="B2745" s="210">
        <v>6</v>
      </c>
      <c r="C2745" s="191" t="str">
        <f>IF('IWP01'!E$413=0,"",'IWP01'!E$413)</f>
        <v/>
      </c>
      <c r="D2745" s="211">
        <f>'IWP01'!G$413</f>
        <v>0</v>
      </c>
      <c r="E2745" s="211">
        <f>'IWP01'!H$413</f>
        <v>0</v>
      </c>
      <c r="F2745" s="211">
        <f>'IWP01'!I$413</f>
        <v>0</v>
      </c>
      <c r="G2745" s="191" t="str">
        <f>IF('IWP01'!J$413=0,"",'IWP01'!J$413)</f>
        <v/>
      </c>
      <c r="H2745" s="211">
        <f>'IWP01'!K$413</f>
        <v>0</v>
      </c>
      <c r="I2745" s="211">
        <f>'IWP01'!L$413</f>
        <v>0</v>
      </c>
      <c r="J2745" s="212">
        <f>'IWP01'!M$413</f>
        <v>0</v>
      </c>
      <c r="K2745" s="106"/>
      <c r="L2745" s="106"/>
      <c r="M2745" s="129"/>
    </row>
    <row r="2746" spans="1:13" s="105" customFormat="1">
      <c r="A2746" s="193" t="s">
        <v>499</v>
      </c>
      <c r="B2746" s="210">
        <v>6</v>
      </c>
      <c r="C2746" s="191" t="str">
        <f>IF('IWP01'!E$414=0,"",'IWP01'!E$414)</f>
        <v/>
      </c>
      <c r="D2746" s="211">
        <f>'IWP01'!G$414</f>
        <v>0</v>
      </c>
      <c r="E2746" s="211">
        <f>'IWP01'!H$414</f>
        <v>0</v>
      </c>
      <c r="F2746" s="211">
        <f>'IWP01'!I$414</f>
        <v>0</v>
      </c>
      <c r="G2746" s="191" t="str">
        <f>IF('IWP01'!J$414=0,"",'IWP01'!J$414)</f>
        <v/>
      </c>
      <c r="H2746" s="211">
        <f>'IWP01'!K$414</f>
        <v>0</v>
      </c>
      <c r="I2746" s="211">
        <f>'IWP01'!L$414</f>
        <v>0</v>
      </c>
      <c r="J2746" s="212">
        <f>'IWP01'!M$414</f>
        <v>0</v>
      </c>
      <c r="K2746" s="106"/>
      <c r="L2746" s="106"/>
      <c r="M2746" s="129"/>
    </row>
    <row r="2747" spans="1:13" s="105" customFormat="1">
      <c r="A2747" s="193" t="s">
        <v>499</v>
      </c>
      <c r="B2747" s="210">
        <v>6</v>
      </c>
      <c r="C2747" s="191" t="str">
        <f>IF('IWP01'!E$415=0,"",'IWP01'!E$415)</f>
        <v/>
      </c>
      <c r="D2747" s="211">
        <f>'IWP01'!G$415</f>
        <v>0</v>
      </c>
      <c r="E2747" s="211">
        <f>'IWP01'!H$415</f>
        <v>0</v>
      </c>
      <c r="F2747" s="211">
        <f>'IWP01'!I$415</f>
        <v>0</v>
      </c>
      <c r="G2747" s="191" t="str">
        <f>IF('IWP01'!J$415=0,"",'IWP01'!J$415)</f>
        <v/>
      </c>
      <c r="H2747" s="211">
        <f>'IWP01'!K$415</f>
        <v>0</v>
      </c>
      <c r="I2747" s="211">
        <f>'IWP01'!L$415</f>
        <v>0</v>
      </c>
      <c r="J2747" s="212">
        <f>'IWP01'!M$415</f>
        <v>0</v>
      </c>
      <c r="K2747" s="106"/>
      <c r="L2747" s="106"/>
      <c r="M2747" s="129"/>
    </row>
    <row r="2748" spans="1:13" s="105" customFormat="1">
      <c r="A2748" s="193" t="s">
        <v>499</v>
      </c>
      <c r="B2748" s="210">
        <v>6</v>
      </c>
      <c r="C2748" s="191" t="str">
        <f>IF('IWP01'!E$416=0,"",'IWP01'!E$416)</f>
        <v/>
      </c>
      <c r="D2748" s="211">
        <f>'IWP01'!G$416</f>
        <v>0</v>
      </c>
      <c r="E2748" s="211">
        <f>'IWP01'!H$416</f>
        <v>0</v>
      </c>
      <c r="F2748" s="211">
        <f>'IWP01'!I$416</f>
        <v>0</v>
      </c>
      <c r="G2748" s="191" t="str">
        <f>IF('IWP01'!J$416=0,"",'IWP01'!J$416)</f>
        <v/>
      </c>
      <c r="H2748" s="211">
        <f>'IWP01'!K$416</f>
        <v>0</v>
      </c>
      <c r="I2748" s="211">
        <f>'IWP01'!L$416</f>
        <v>0</v>
      </c>
      <c r="J2748" s="212">
        <f>'IWP01'!M$416</f>
        <v>0</v>
      </c>
      <c r="K2748" s="106"/>
      <c r="L2748" s="106"/>
      <c r="M2748" s="129"/>
    </row>
    <row r="2749" spans="1:13" s="105" customFormat="1">
      <c r="A2749" s="193" t="s">
        <v>499</v>
      </c>
      <c r="B2749" s="210">
        <v>6</v>
      </c>
      <c r="C2749" s="191" t="str">
        <f>IF('IWP01'!E$417=0,"",'IWP01'!E$417)</f>
        <v/>
      </c>
      <c r="D2749" s="211">
        <f>'IWP01'!G$417</f>
        <v>0</v>
      </c>
      <c r="E2749" s="211">
        <f>'IWP01'!H$417</f>
        <v>0</v>
      </c>
      <c r="F2749" s="211">
        <f>'IWP01'!I$417</f>
        <v>0</v>
      </c>
      <c r="G2749" s="191" t="str">
        <f>IF('IWP01'!J$417=0,"",'IWP01'!J$417)</f>
        <v/>
      </c>
      <c r="H2749" s="211">
        <f>'IWP01'!K$417</f>
        <v>0</v>
      </c>
      <c r="I2749" s="211">
        <f>'IWP01'!L$417</f>
        <v>0</v>
      </c>
      <c r="J2749" s="212">
        <f>'IWP01'!M$417</f>
        <v>0</v>
      </c>
      <c r="K2749" s="106"/>
      <c r="L2749" s="106"/>
      <c r="M2749" s="129"/>
    </row>
    <row r="2750" spans="1:13" s="105" customFormat="1">
      <c r="A2750" s="193" t="s">
        <v>499</v>
      </c>
      <c r="B2750" s="210">
        <v>6</v>
      </c>
      <c r="C2750" s="191" t="str">
        <f>IF('IWP01'!E$418=0,"",'IWP01'!E$418)</f>
        <v/>
      </c>
      <c r="D2750" s="211">
        <f>'IWP01'!G$418</f>
        <v>0</v>
      </c>
      <c r="E2750" s="211">
        <f>'IWP01'!H$418</f>
        <v>0</v>
      </c>
      <c r="F2750" s="211">
        <f>'IWP01'!I$418</f>
        <v>0</v>
      </c>
      <c r="G2750" s="191" t="str">
        <f>IF('IWP01'!J$418=0,"",'IWP01'!J$418)</f>
        <v/>
      </c>
      <c r="H2750" s="211">
        <f>'IWP01'!K$418</f>
        <v>0</v>
      </c>
      <c r="I2750" s="211">
        <f>'IWP01'!L$418</f>
        <v>0</v>
      </c>
      <c r="J2750" s="212">
        <f>'IWP01'!M$418</f>
        <v>0</v>
      </c>
      <c r="K2750" s="106"/>
      <c r="L2750" s="106"/>
      <c r="M2750" s="129"/>
    </row>
    <row r="2751" spans="1:13" s="105" customFormat="1">
      <c r="A2751" s="193" t="s">
        <v>499</v>
      </c>
      <c r="B2751" s="210">
        <v>7</v>
      </c>
      <c r="C2751" s="191" t="str">
        <f>IF('IWP01'!E$425=0,"",'IWP01'!E$425)</f>
        <v/>
      </c>
      <c r="D2751" s="211">
        <f>'IWP01'!G$425</f>
        <v>0</v>
      </c>
      <c r="E2751" s="211">
        <f>'IWP01'!H$425</f>
        <v>0</v>
      </c>
      <c r="F2751" s="211">
        <f>'IWP01'!I$425</f>
        <v>0</v>
      </c>
      <c r="G2751" s="191" t="str">
        <f>IF('IWP01'!J$425=0,"",'IWP01'!J$425)</f>
        <v/>
      </c>
      <c r="H2751" s="211">
        <f>'IWP01'!K$425</f>
        <v>0</v>
      </c>
      <c r="I2751" s="211">
        <f>'IWP01'!L$425</f>
        <v>0</v>
      </c>
      <c r="J2751" s="212">
        <f>'IWP01'!M$425</f>
        <v>0</v>
      </c>
      <c r="K2751" s="106"/>
      <c r="L2751" s="106"/>
      <c r="M2751" s="129"/>
    </row>
    <row r="2752" spans="1:13" s="105" customFormat="1">
      <c r="A2752" s="193" t="s">
        <v>499</v>
      </c>
      <c r="B2752" s="210">
        <v>7</v>
      </c>
      <c r="C2752" s="191" t="str">
        <f>IF('IWP01'!E$426=0,"",'IWP01'!E$426)</f>
        <v/>
      </c>
      <c r="D2752" s="211">
        <f>'IWP01'!G$426</f>
        <v>0</v>
      </c>
      <c r="E2752" s="211">
        <f>'IWP01'!H$426</f>
        <v>0</v>
      </c>
      <c r="F2752" s="211">
        <f>'IWP01'!I$426</f>
        <v>0</v>
      </c>
      <c r="G2752" s="191" t="str">
        <f>IF('IWP01'!J$426=0,"",'IWP01'!J$426)</f>
        <v/>
      </c>
      <c r="H2752" s="211">
        <f>'IWP01'!K$426</f>
        <v>0</v>
      </c>
      <c r="I2752" s="211">
        <f>'IWP01'!L$426</f>
        <v>0</v>
      </c>
      <c r="J2752" s="212">
        <f>'IWP01'!M$426</f>
        <v>0</v>
      </c>
      <c r="K2752" s="106"/>
      <c r="L2752" s="106"/>
      <c r="M2752" s="129"/>
    </row>
    <row r="2753" spans="1:13" s="105" customFormat="1">
      <c r="A2753" s="193" t="s">
        <v>499</v>
      </c>
      <c r="B2753" s="210">
        <v>7</v>
      </c>
      <c r="C2753" s="191" t="str">
        <f>IF('IWP01'!E$427=0,"",'IWP01'!E$427)</f>
        <v/>
      </c>
      <c r="D2753" s="211">
        <f>'IWP01'!G$427</f>
        <v>0</v>
      </c>
      <c r="E2753" s="211">
        <f>'IWP01'!H$427</f>
        <v>0</v>
      </c>
      <c r="F2753" s="211">
        <f>'IWP01'!I$427</f>
        <v>0</v>
      </c>
      <c r="G2753" s="191" t="str">
        <f>IF('IWP01'!J$427=0,"",'IWP01'!J$427)</f>
        <v/>
      </c>
      <c r="H2753" s="211">
        <f>'IWP01'!K$427</f>
        <v>0</v>
      </c>
      <c r="I2753" s="211">
        <f>'IWP01'!L$427</f>
        <v>0</v>
      </c>
      <c r="J2753" s="212">
        <f>'IWP01'!M$427</f>
        <v>0</v>
      </c>
      <c r="K2753" s="106"/>
      <c r="L2753" s="106"/>
      <c r="M2753" s="129"/>
    </row>
    <row r="2754" spans="1:13" s="105" customFormat="1">
      <c r="A2754" s="193" t="s">
        <v>499</v>
      </c>
      <c r="B2754" s="210">
        <v>7</v>
      </c>
      <c r="C2754" s="191" t="str">
        <f>IF('IWP01'!E$428=0,"",'IWP01'!E$428)</f>
        <v/>
      </c>
      <c r="D2754" s="211">
        <f>'IWP01'!G$428</f>
        <v>0</v>
      </c>
      <c r="E2754" s="211">
        <f>'IWP01'!H$428</f>
        <v>0</v>
      </c>
      <c r="F2754" s="211">
        <f>'IWP01'!I$428</f>
        <v>0</v>
      </c>
      <c r="G2754" s="191" t="str">
        <f>IF('IWP01'!J$428=0,"",'IWP01'!J$428)</f>
        <v/>
      </c>
      <c r="H2754" s="211">
        <f>'IWP01'!K$428</f>
        <v>0</v>
      </c>
      <c r="I2754" s="211">
        <f>'IWP01'!L$428</f>
        <v>0</v>
      </c>
      <c r="J2754" s="212">
        <f>'IWP01'!M$428</f>
        <v>0</v>
      </c>
      <c r="K2754" s="106"/>
      <c r="L2754" s="106"/>
      <c r="M2754" s="129"/>
    </row>
    <row r="2755" spans="1:13" s="105" customFormat="1">
      <c r="A2755" s="193" t="s">
        <v>499</v>
      </c>
      <c r="B2755" s="210">
        <v>7</v>
      </c>
      <c r="C2755" s="191" t="str">
        <f>IF('IWP01'!E$429=0,"",'IWP01'!E$429)</f>
        <v/>
      </c>
      <c r="D2755" s="211">
        <f>'IWP01'!G$429</f>
        <v>0</v>
      </c>
      <c r="E2755" s="211">
        <f>'IWP01'!H$429</f>
        <v>0</v>
      </c>
      <c r="F2755" s="211">
        <f>'IWP01'!I$429</f>
        <v>0</v>
      </c>
      <c r="G2755" s="191" t="str">
        <f>IF('IWP01'!J$429=0,"",'IWP01'!J$429)</f>
        <v/>
      </c>
      <c r="H2755" s="211">
        <f>'IWP01'!K$429</f>
        <v>0</v>
      </c>
      <c r="I2755" s="211">
        <f>'IWP01'!L$429</f>
        <v>0</v>
      </c>
      <c r="J2755" s="212">
        <f>'IWP01'!M$429</f>
        <v>0</v>
      </c>
      <c r="K2755" s="106"/>
      <c r="L2755" s="106"/>
      <c r="M2755" s="129"/>
    </row>
    <row r="2756" spans="1:13" s="105" customFormat="1">
      <c r="A2756" s="193" t="s">
        <v>499</v>
      </c>
      <c r="B2756" s="210">
        <v>7</v>
      </c>
      <c r="C2756" s="191" t="str">
        <f>IF('IWP01'!E$430=0,"",'IWP01'!E$430)</f>
        <v/>
      </c>
      <c r="D2756" s="211">
        <f>'IWP01'!G$430</f>
        <v>0</v>
      </c>
      <c r="E2756" s="211">
        <f>'IWP01'!H$430</f>
        <v>0</v>
      </c>
      <c r="F2756" s="211">
        <f>'IWP01'!I$430</f>
        <v>0</v>
      </c>
      <c r="G2756" s="191" t="str">
        <f>IF('IWP01'!J$430=0,"",'IWP01'!J$430)</f>
        <v/>
      </c>
      <c r="H2756" s="211">
        <f>'IWP01'!K$430</f>
        <v>0</v>
      </c>
      <c r="I2756" s="211">
        <f>'IWP01'!L$430</f>
        <v>0</v>
      </c>
      <c r="J2756" s="212">
        <f>'IWP01'!M$430</f>
        <v>0</v>
      </c>
      <c r="K2756" s="106"/>
      <c r="L2756" s="106"/>
      <c r="M2756" s="129"/>
    </row>
    <row r="2757" spans="1:13" s="105" customFormat="1">
      <c r="A2757" s="193" t="s">
        <v>499</v>
      </c>
      <c r="B2757" s="210">
        <v>7</v>
      </c>
      <c r="C2757" s="191" t="str">
        <f>IF('IWP01'!E$431=0,"",'IWP01'!E$431)</f>
        <v/>
      </c>
      <c r="D2757" s="211">
        <f>'IWP01'!G$431</f>
        <v>0</v>
      </c>
      <c r="E2757" s="211">
        <f>'IWP01'!H$431</f>
        <v>0</v>
      </c>
      <c r="F2757" s="211">
        <f>'IWP01'!I$431</f>
        <v>0</v>
      </c>
      <c r="G2757" s="191" t="str">
        <f>IF('IWP01'!J$431=0,"",'IWP01'!J$431)</f>
        <v/>
      </c>
      <c r="H2757" s="211">
        <f>'IWP01'!K$431</f>
        <v>0</v>
      </c>
      <c r="I2757" s="211">
        <f>'IWP01'!L$431</f>
        <v>0</v>
      </c>
      <c r="J2757" s="212">
        <f>'IWP01'!M$431</f>
        <v>0</v>
      </c>
      <c r="K2757" s="106"/>
      <c r="L2757" s="106"/>
      <c r="M2757" s="129"/>
    </row>
    <row r="2758" spans="1:13" s="105" customFormat="1">
      <c r="A2758" s="193" t="s">
        <v>499</v>
      </c>
      <c r="B2758" s="210">
        <v>7</v>
      </c>
      <c r="C2758" s="191" t="str">
        <f>IF('IWP01'!E$432=0,"",'IWP01'!E$432)</f>
        <v/>
      </c>
      <c r="D2758" s="211">
        <f>'IWP01'!G$432</f>
        <v>0</v>
      </c>
      <c r="E2758" s="211">
        <f>'IWP01'!H$432</f>
        <v>0</v>
      </c>
      <c r="F2758" s="211">
        <f>'IWP01'!I$432</f>
        <v>0</v>
      </c>
      <c r="G2758" s="191" t="str">
        <f>IF('IWP01'!J$432=0,"",'IWP01'!J$432)</f>
        <v/>
      </c>
      <c r="H2758" s="211">
        <f>'IWP01'!K$432</f>
        <v>0</v>
      </c>
      <c r="I2758" s="211">
        <f>'IWP01'!L$432</f>
        <v>0</v>
      </c>
      <c r="J2758" s="212">
        <f>'IWP01'!M$432</f>
        <v>0</v>
      </c>
      <c r="K2758" s="106"/>
      <c r="L2758" s="106"/>
      <c r="M2758" s="129"/>
    </row>
    <row r="2759" spans="1:13" s="105" customFormat="1">
      <c r="A2759" s="193" t="s">
        <v>499</v>
      </c>
      <c r="B2759" s="210">
        <v>7</v>
      </c>
      <c r="C2759" s="191" t="str">
        <f>IF('IWP01'!E$433=0,"",'IWP01'!E$433)</f>
        <v/>
      </c>
      <c r="D2759" s="211">
        <f>'IWP01'!G$433</f>
        <v>0</v>
      </c>
      <c r="E2759" s="211">
        <f>'IWP01'!H$433</f>
        <v>0</v>
      </c>
      <c r="F2759" s="211">
        <f>'IWP01'!I$433</f>
        <v>0</v>
      </c>
      <c r="G2759" s="191" t="str">
        <f>IF('IWP01'!J$433=0,"",'IWP01'!J$433)</f>
        <v/>
      </c>
      <c r="H2759" s="211">
        <f>'IWP01'!K$433</f>
        <v>0</v>
      </c>
      <c r="I2759" s="211">
        <f>'IWP01'!L$433</f>
        <v>0</v>
      </c>
      <c r="J2759" s="212">
        <f>'IWP01'!M$433</f>
        <v>0</v>
      </c>
      <c r="K2759" s="106"/>
      <c r="L2759" s="106"/>
      <c r="M2759" s="129"/>
    </row>
    <row r="2760" spans="1:13" s="105" customFormat="1">
      <c r="A2760" s="193" t="s">
        <v>499</v>
      </c>
      <c r="B2760" s="210">
        <v>7</v>
      </c>
      <c r="C2760" s="191" t="str">
        <f>IF('IWP01'!E$434=0,"",'IWP01'!E$434)</f>
        <v/>
      </c>
      <c r="D2760" s="211">
        <f>'IWP01'!G$434</f>
        <v>0</v>
      </c>
      <c r="E2760" s="211">
        <f>'IWP01'!H$434</f>
        <v>0</v>
      </c>
      <c r="F2760" s="211">
        <f>'IWP01'!I$434</f>
        <v>0</v>
      </c>
      <c r="G2760" s="191" t="str">
        <f>IF('IWP01'!J$434=0,"",'IWP01'!J$434)</f>
        <v/>
      </c>
      <c r="H2760" s="211">
        <f>'IWP01'!K$434</f>
        <v>0</v>
      </c>
      <c r="I2760" s="211">
        <f>'IWP01'!L$434</f>
        <v>0</v>
      </c>
      <c r="J2760" s="212">
        <f>'IWP01'!M$434</f>
        <v>0</v>
      </c>
      <c r="K2760" s="106"/>
      <c r="L2760" s="106"/>
      <c r="M2760" s="129"/>
    </row>
    <row r="2761" spans="1:13" s="105" customFormat="1">
      <c r="A2761" s="193" t="s">
        <v>499</v>
      </c>
      <c r="B2761" s="210">
        <v>8</v>
      </c>
      <c r="C2761" s="191" t="str">
        <f>IF('IWP01'!E$441=0,"",'IWP01'!E$441)</f>
        <v/>
      </c>
      <c r="D2761" s="211">
        <f>'IWP01'!G$441</f>
        <v>0</v>
      </c>
      <c r="E2761" s="211">
        <f>'IWP01'!H$441</f>
        <v>0</v>
      </c>
      <c r="F2761" s="211">
        <f>'IWP01'!I$441</f>
        <v>0</v>
      </c>
      <c r="G2761" s="191" t="str">
        <f>IF('IWP01'!J$441=0,"",'IWP01'!J$441)</f>
        <v/>
      </c>
      <c r="H2761" s="211">
        <f>'IWP01'!K$441</f>
        <v>0</v>
      </c>
      <c r="I2761" s="211">
        <f>'IWP01'!L$441</f>
        <v>0</v>
      </c>
      <c r="J2761" s="212">
        <f>'IWP01'!M$441</f>
        <v>0</v>
      </c>
      <c r="K2761" s="106"/>
      <c r="L2761" s="106"/>
      <c r="M2761" s="129"/>
    </row>
    <row r="2762" spans="1:13" s="105" customFormat="1">
      <c r="A2762" s="193" t="s">
        <v>499</v>
      </c>
      <c r="B2762" s="210">
        <v>8</v>
      </c>
      <c r="C2762" s="191" t="str">
        <f>IF('IWP01'!E$442=0,"",'IWP01'!E$442)</f>
        <v/>
      </c>
      <c r="D2762" s="211">
        <f>'IWP01'!G$442</f>
        <v>0</v>
      </c>
      <c r="E2762" s="211">
        <f>'IWP01'!H$442</f>
        <v>0</v>
      </c>
      <c r="F2762" s="211">
        <f>'IWP01'!I$442</f>
        <v>0</v>
      </c>
      <c r="G2762" s="191" t="str">
        <f>IF('IWP01'!J$442=0,"",'IWP01'!J$442)</f>
        <v/>
      </c>
      <c r="H2762" s="211">
        <f>'IWP01'!K$442</f>
        <v>0</v>
      </c>
      <c r="I2762" s="211">
        <f>'IWP01'!L$442</f>
        <v>0</v>
      </c>
      <c r="J2762" s="212">
        <f>'IWP01'!M$442</f>
        <v>0</v>
      </c>
      <c r="K2762" s="106"/>
      <c r="L2762" s="106"/>
      <c r="M2762" s="129"/>
    </row>
    <row r="2763" spans="1:13" s="105" customFormat="1">
      <c r="A2763" s="193" t="s">
        <v>499</v>
      </c>
      <c r="B2763" s="210">
        <v>8</v>
      </c>
      <c r="C2763" s="191" t="str">
        <f>IF('IWP01'!E$443=0,"",'IWP01'!E$443)</f>
        <v/>
      </c>
      <c r="D2763" s="211">
        <f>'IWP01'!G$443</f>
        <v>0</v>
      </c>
      <c r="E2763" s="211">
        <f>'IWP01'!H$443</f>
        <v>0</v>
      </c>
      <c r="F2763" s="211">
        <f>'IWP01'!I$443</f>
        <v>0</v>
      </c>
      <c r="G2763" s="191" t="str">
        <f>IF('IWP01'!J$443=0,"",'IWP01'!J$443)</f>
        <v/>
      </c>
      <c r="H2763" s="211">
        <f>'IWP01'!K$443</f>
        <v>0</v>
      </c>
      <c r="I2763" s="211">
        <f>'IWP01'!L$443</f>
        <v>0</v>
      </c>
      <c r="J2763" s="212">
        <f>'IWP01'!M$443</f>
        <v>0</v>
      </c>
      <c r="K2763" s="106"/>
      <c r="L2763" s="106"/>
      <c r="M2763" s="129"/>
    </row>
    <row r="2764" spans="1:13" s="105" customFormat="1">
      <c r="A2764" s="193" t="s">
        <v>499</v>
      </c>
      <c r="B2764" s="210">
        <v>8</v>
      </c>
      <c r="C2764" s="191" t="str">
        <f>IF('IWP01'!E$444=0,"",'IWP01'!E$444)</f>
        <v/>
      </c>
      <c r="D2764" s="211">
        <f>'IWP01'!G$444</f>
        <v>0</v>
      </c>
      <c r="E2764" s="211">
        <f>'IWP01'!H$444</f>
        <v>0</v>
      </c>
      <c r="F2764" s="211">
        <f>'IWP01'!I$444</f>
        <v>0</v>
      </c>
      <c r="G2764" s="191" t="str">
        <f>IF('IWP01'!J$444=0,"",'IWP01'!J$444)</f>
        <v/>
      </c>
      <c r="H2764" s="211">
        <f>'IWP01'!K$444</f>
        <v>0</v>
      </c>
      <c r="I2764" s="211">
        <f>'IWP01'!L$444</f>
        <v>0</v>
      </c>
      <c r="J2764" s="212">
        <f>'IWP01'!M$444</f>
        <v>0</v>
      </c>
      <c r="K2764" s="106"/>
      <c r="L2764" s="106"/>
      <c r="M2764" s="129"/>
    </row>
    <row r="2765" spans="1:13" s="105" customFormat="1">
      <c r="A2765" s="193" t="s">
        <v>499</v>
      </c>
      <c r="B2765" s="210">
        <v>8</v>
      </c>
      <c r="C2765" s="191" t="str">
        <f>IF('IWP01'!E$445=0,"",'IWP01'!E$445)</f>
        <v/>
      </c>
      <c r="D2765" s="211">
        <f>'IWP01'!G$445</f>
        <v>0</v>
      </c>
      <c r="E2765" s="211">
        <f>'IWP01'!H$445</f>
        <v>0</v>
      </c>
      <c r="F2765" s="211">
        <f>'IWP01'!I$445</f>
        <v>0</v>
      </c>
      <c r="G2765" s="191" t="str">
        <f>IF('IWP01'!J$445=0,"",'IWP01'!J$445)</f>
        <v/>
      </c>
      <c r="H2765" s="211">
        <f>'IWP01'!K$445</f>
        <v>0</v>
      </c>
      <c r="I2765" s="211">
        <f>'IWP01'!L$445</f>
        <v>0</v>
      </c>
      <c r="J2765" s="212">
        <f>'IWP01'!M$445</f>
        <v>0</v>
      </c>
      <c r="K2765" s="106"/>
      <c r="L2765" s="106"/>
      <c r="M2765" s="129"/>
    </row>
    <row r="2766" spans="1:13" s="105" customFormat="1">
      <c r="A2766" s="193" t="s">
        <v>499</v>
      </c>
      <c r="B2766" s="210">
        <v>8</v>
      </c>
      <c r="C2766" s="191" t="str">
        <f>IF('IWP01'!E$446=0,"",'IWP01'!E$446)</f>
        <v/>
      </c>
      <c r="D2766" s="211">
        <f>'IWP01'!G$446</f>
        <v>0</v>
      </c>
      <c r="E2766" s="211">
        <f>'IWP01'!H$446</f>
        <v>0</v>
      </c>
      <c r="F2766" s="211">
        <f>'IWP01'!I$446</f>
        <v>0</v>
      </c>
      <c r="G2766" s="191" t="str">
        <f>IF('IWP01'!J$446=0,"",'IWP01'!J$446)</f>
        <v/>
      </c>
      <c r="H2766" s="211">
        <f>'IWP01'!K$446</f>
        <v>0</v>
      </c>
      <c r="I2766" s="211">
        <f>'IWP01'!L$446</f>
        <v>0</v>
      </c>
      <c r="J2766" s="212">
        <f>'IWP01'!M$446</f>
        <v>0</v>
      </c>
      <c r="K2766" s="106"/>
      <c r="L2766" s="106"/>
      <c r="M2766" s="129"/>
    </row>
    <row r="2767" spans="1:13" s="105" customFormat="1">
      <c r="A2767" s="193" t="s">
        <v>499</v>
      </c>
      <c r="B2767" s="210">
        <v>8</v>
      </c>
      <c r="C2767" s="191" t="str">
        <f>IF('IWP01'!E$447=0,"",'IWP01'!E$447)</f>
        <v/>
      </c>
      <c r="D2767" s="211">
        <f>'IWP01'!G$447</f>
        <v>0</v>
      </c>
      <c r="E2767" s="211">
        <f>'IWP01'!H$447</f>
        <v>0</v>
      </c>
      <c r="F2767" s="211">
        <f>'IWP01'!I$447</f>
        <v>0</v>
      </c>
      <c r="G2767" s="191" t="str">
        <f>IF('IWP01'!J$447=0,"",'IWP01'!J$447)</f>
        <v/>
      </c>
      <c r="H2767" s="211">
        <f>'IWP01'!K$447</f>
        <v>0</v>
      </c>
      <c r="I2767" s="211">
        <f>'IWP01'!L$447</f>
        <v>0</v>
      </c>
      <c r="J2767" s="212">
        <f>'IWP01'!M$447</f>
        <v>0</v>
      </c>
      <c r="K2767" s="106"/>
      <c r="L2767" s="106"/>
      <c r="M2767" s="129"/>
    </row>
    <row r="2768" spans="1:13" s="105" customFormat="1">
      <c r="A2768" s="193" t="s">
        <v>499</v>
      </c>
      <c r="B2768" s="210">
        <v>8</v>
      </c>
      <c r="C2768" s="191" t="str">
        <f>IF('IWP01'!E$448=0,"",'IWP01'!E$448)</f>
        <v/>
      </c>
      <c r="D2768" s="211">
        <f>'IWP01'!G$448</f>
        <v>0</v>
      </c>
      <c r="E2768" s="211">
        <f>'IWP01'!H$448</f>
        <v>0</v>
      </c>
      <c r="F2768" s="211">
        <f>'IWP01'!I$448</f>
        <v>0</v>
      </c>
      <c r="G2768" s="191" t="str">
        <f>IF('IWP01'!J$448=0,"",'IWP01'!J$448)</f>
        <v/>
      </c>
      <c r="H2768" s="211">
        <f>'IWP01'!K$448</f>
        <v>0</v>
      </c>
      <c r="I2768" s="211">
        <f>'IWP01'!L$448</f>
        <v>0</v>
      </c>
      <c r="J2768" s="212">
        <f>'IWP01'!M$448</f>
        <v>0</v>
      </c>
      <c r="K2768" s="106"/>
      <c r="L2768" s="106"/>
      <c r="M2768" s="129"/>
    </row>
    <row r="2769" spans="1:13" s="105" customFormat="1">
      <c r="A2769" s="193" t="s">
        <v>499</v>
      </c>
      <c r="B2769" s="210">
        <v>8</v>
      </c>
      <c r="C2769" s="191" t="str">
        <f>IF('IWP01'!E$449=0,"",'IWP01'!E$449)</f>
        <v/>
      </c>
      <c r="D2769" s="211">
        <f>'IWP01'!G$449</f>
        <v>0</v>
      </c>
      <c r="E2769" s="211">
        <f>'IWP01'!H$449</f>
        <v>0</v>
      </c>
      <c r="F2769" s="211">
        <f>'IWP01'!I$449</f>
        <v>0</v>
      </c>
      <c r="G2769" s="191" t="str">
        <f>IF('IWP01'!J$449=0,"",'IWP01'!J$449)</f>
        <v/>
      </c>
      <c r="H2769" s="211">
        <f>'IWP01'!K$449</f>
        <v>0</v>
      </c>
      <c r="I2769" s="211">
        <f>'IWP01'!L$449</f>
        <v>0</v>
      </c>
      <c r="J2769" s="212">
        <f>'IWP01'!M$449</f>
        <v>0</v>
      </c>
      <c r="K2769" s="106"/>
      <c r="L2769" s="106"/>
      <c r="M2769" s="129"/>
    </row>
    <row r="2770" spans="1:13" s="105" customFormat="1">
      <c r="A2770" s="193" t="s">
        <v>499</v>
      </c>
      <c r="B2770" s="210">
        <v>8</v>
      </c>
      <c r="C2770" s="191" t="str">
        <f>IF('IWP01'!E$450=0,"",'IWP01'!E$450)</f>
        <v/>
      </c>
      <c r="D2770" s="211">
        <f>'IWP01'!G$450</f>
        <v>0</v>
      </c>
      <c r="E2770" s="211">
        <f>'IWP01'!H$450</f>
        <v>0</v>
      </c>
      <c r="F2770" s="211">
        <f>'IWP01'!I$450</f>
        <v>0</v>
      </c>
      <c r="G2770" s="191" t="str">
        <f>IF('IWP01'!J$450=0,"",'IWP01'!J$450)</f>
        <v/>
      </c>
      <c r="H2770" s="211">
        <f>'IWP01'!K$450</f>
        <v>0</v>
      </c>
      <c r="I2770" s="211">
        <f>'IWP01'!L$450</f>
        <v>0</v>
      </c>
      <c r="J2770" s="212">
        <f>'IWP01'!M$450</f>
        <v>0</v>
      </c>
      <c r="K2770" s="106"/>
      <c r="L2770" s="106"/>
      <c r="M2770" s="129"/>
    </row>
    <row r="2771" spans="1:13" s="105" customFormat="1">
      <c r="A2771" s="193" t="s">
        <v>499</v>
      </c>
      <c r="B2771" s="210">
        <v>9</v>
      </c>
      <c r="C2771" s="191" t="str">
        <f>IF('IWP01'!E$457=0,"",'IWP01'!E$457)</f>
        <v/>
      </c>
      <c r="D2771" s="211">
        <f>'IWP01'!G$457</f>
        <v>0</v>
      </c>
      <c r="E2771" s="211">
        <f>'IWP01'!H$457</f>
        <v>0</v>
      </c>
      <c r="F2771" s="211">
        <f>'IWP01'!I$457</f>
        <v>0</v>
      </c>
      <c r="G2771" s="191" t="str">
        <f>IF('IWP01'!J$457=0,"",'IWP01'!J$457)</f>
        <v/>
      </c>
      <c r="H2771" s="211">
        <f>'IWP01'!K$457</f>
        <v>0</v>
      </c>
      <c r="I2771" s="211">
        <f>'IWP01'!L$457</f>
        <v>0</v>
      </c>
      <c r="J2771" s="212">
        <f>'IWP01'!M$457</f>
        <v>0</v>
      </c>
      <c r="K2771" s="106"/>
      <c r="L2771" s="106"/>
      <c r="M2771" s="129"/>
    </row>
    <row r="2772" spans="1:13" s="105" customFormat="1">
      <c r="A2772" s="193" t="s">
        <v>499</v>
      </c>
      <c r="B2772" s="210">
        <v>9</v>
      </c>
      <c r="C2772" s="191" t="str">
        <f>IF('IWP01'!E$458=0,"",'IWP01'!E$458)</f>
        <v/>
      </c>
      <c r="D2772" s="211">
        <f>'IWP01'!G$458</f>
        <v>0</v>
      </c>
      <c r="E2772" s="211">
        <f>'IWP01'!H$458</f>
        <v>0</v>
      </c>
      <c r="F2772" s="211">
        <f>'IWP01'!I$458</f>
        <v>0</v>
      </c>
      <c r="G2772" s="191" t="str">
        <f>IF('IWP01'!J$458=0,"",'IWP01'!J$458)</f>
        <v/>
      </c>
      <c r="H2772" s="211">
        <f>'IWP01'!K$458</f>
        <v>0</v>
      </c>
      <c r="I2772" s="211">
        <f>'IWP01'!L$458</f>
        <v>0</v>
      </c>
      <c r="J2772" s="212">
        <f>'IWP01'!M$458</f>
        <v>0</v>
      </c>
      <c r="K2772" s="106"/>
      <c r="L2772" s="106"/>
      <c r="M2772" s="129"/>
    </row>
    <row r="2773" spans="1:13" s="105" customFormat="1">
      <c r="A2773" s="193" t="s">
        <v>499</v>
      </c>
      <c r="B2773" s="210">
        <v>9</v>
      </c>
      <c r="C2773" s="191" t="str">
        <f>IF('IWP01'!E$459=0,"",'IWP01'!E$459)</f>
        <v/>
      </c>
      <c r="D2773" s="211">
        <f>'IWP01'!G$459</f>
        <v>0</v>
      </c>
      <c r="E2773" s="211">
        <f>'IWP01'!H$459</f>
        <v>0</v>
      </c>
      <c r="F2773" s="211">
        <f>'IWP01'!I$459</f>
        <v>0</v>
      </c>
      <c r="G2773" s="191" t="str">
        <f>IF('IWP01'!J$459=0,"",'IWP01'!J$459)</f>
        <v/>
      </c>
      <c r="H2773" s="211">
        <f>'IWP01'!K$459</f>
        <v>0</v>
      </c>
      <c r="I2773" s="211">
        <f>'IWP01'!L$459</f>
        <v>0</v>
      </c>
      <c r="J2773" s="212">
        <f>'IWP01'!M$459</f>
        <v>0</v>
      </c>
      <c r="K2773" s="106"/>
      <c r="L2773" s="106"/>
      <c r="M2773" s="129"/>
    </row>
    <row r="2774" spans="1:13" s="105" customFormat="1">
      <c r="A2774" s="193" t="s">
        <v>499</v>
      </c>
      <c r="B2774" s="210">
        <v>9</v>
      </c>
      <c r="C2774" s="191" t="str">
        <f>IF('IWP01'!E$460=0,"",'IWP01'!E$460)</f>
        <v/>
      </c>
      <c r="D2774" s="211">
        <f>'IWP01'!G$460</f>
        <v>0</v>
      </c>
      <c r="E2774" s="211">
        <f>'IWP01'!H$460</f>
        <v>0</v>
      </c>
      <c r="F2774" s="211">
        <f>'IWP01'!I$460</f>
        <v>0</v>
      </c>
      <c r="G2774" s="191" t="str">
        <f>IF('IWP01'!J$460=0,"",'IWP01'!J$460)</f>
        <v/>
      </c>
      <c r="H2774" s="211">
        <f>'IWP01'!K$460</f>
        <v>0</v>
      </c>
      <c r="I2774" s="211">
        <f>'IWP01'!L$460</f>
        <v>0</v>
      </c>
      <c r="J2774" s="212">
        <f>'IWP01'!M$460</f>
        <v>0</v>
      </c>
      <c r="K2774" s="106"/>
      <c r="L2774" s="106"/>
      <c r="M2774" s="129"/>
    </row>
    <row r="2775" spans="1:13" s="105" customFormat="1">
      <c r="A2775" s="193" t="s">
        <v>499</v>
      </c>
      <c r="B2775" s="210">
        <v>9</v>
      </c>
      <c r="C2775" s="191" t="str">
        <f>IF('IWP01'!E$461=0,"",'IWP01'!E$461)</f>
        <v/>
      </c>
      <c r="D2775" s="211">
        <f>'IWP01'!G$461</f>
        <v>0</v>
      </c>
      <c r="E2775" s="211">
        <f>'IWP01'!H$461</f>
        <v>0</v>
      </c>
      <c r="F2775" s="211">
        <f>'IWP01'!I$461</f>
        <v>0</v>
      </c>
      <c r="G2775" s="191" t="str">
        <f>IF('IWP01'!J$461=0,"",'IWP01'!J$461)</f>
        <v/>
      </c>
      <c r="H2775" s="211">
        <f>'IWP01'!K$461</f>
        <v>0</v>
      </c>
      <c r="I2775" s="211">
        <f>'IWP01'!L$461</f>
        <v>0</v>
      </c>
      <c r="J2775" s="212">
        <f>'IWP01'!M$461</f>
        <v>0</v>
      </c>
      <c r="K2775" s="106"/>
      <c r="L2775" s="106"/>
      <c r="M2775" s="129"/>
    </row>
    <row r="2776" spans="1:13" s="105" customFormat="1">
      <c r="A2776" s="193" t="s">
        <v>499</v>
      </c>
      <c r="B2776" s="210">
        <v>9</v>
      </c>
      <c r="C2776" s="191" t="str">
        <f>IF('IWP01'!E$462=0,"",'IWP01'!E$462)</f>
        <v/>
      </c>
      <c r="D2776" s="211">
        <f>'IWP01'!G$462</f>
        <v>0</v>
      </c>
      <c r="E2776" s="211">
        <f>'IWP01'!H$462</f>
        <v>0</v>
      </c>
      <c r="F2776" s="211">
        <f>'IWP01'!I$462</f>
        <v>0</v>
      </c>
      <c r="G2776" s="191" t="str">
        <f>IF('IWP01'!J$462=0,"",'IWP01'!J$462)</f>
        <v/>
      </c>
      <c r="H2776" s="211">
        <f>'IWP01'!K$462</f>
        <v>0</v>
      </c>
      <c r="I2776" s="211">
        <f>'IWP01'!L$462</f>
        <v>0</v>
      </c>
      <c r="J2776" s="212">
        <f>'IWP01'!M$462</f>
        <v>0</v>
      </c>
      <c r="K2776" s="106"/>
      <c r="L2776" s="106"/>
      <c r="M2776" s="129"/>
    </row>
    <row r="2777" spans="1:13" s="105" customFormat="1">
      <c r="A2777" s="193" t="s">
        <v>499</v>
      </c>
      <c r="B2777" s="210">
        <v>9</v>
      </c>
      <c r="C2777" s="191" t="str">
        <f>IF('IWP01'!E$463=0,"",'IWP01'!E$463)</f>
        <v/>
      </c>
      <c r="D2777" s="211">
        <f>'IWP01'!G$463</f>
        <v>0</v>
      </c>
      <c r="E2777" s="211">
        <f>'IWP01'!H$463</f>
        <v>0</v>
      </c>
      <c r="F2777" s="211">
        <f>'IWP01'!I$463</f>
        <v>0</v>
      </c>
      <c r="G2777" s="191" t="str">
        <f>IF('IWP01'!J$463=0,"",'IWP01'!J$463)</f>
        <v/>
      </c>
      <c r="H2777" s="211">
        <f>'IWP01'!K$463</f>
        <v>0</v>
      </c>
      <c r="I2777" s="211">
        <f>'IWP01'!L$463</f>
        <v>0</v>
      </c>
      <c r="J2777" s="212">
        <f>'IWP01'!M$463</f>
        <v>0</v>
      </c>
      <c r="K2777" s="106"/>
      <c r="L2777" s="106"/>
      <c r="M2777" s="129"/>
    </row>
    <row r="2778" spans="1:13" s="105" customFormat="1">
      <c r="A2778" s="193" t="s">
        <v>499</v>
      </c>
      <c r="B2778" s="210">
        <v>9</v>
      </c>
      <c r="C2778" s="191" t="str">
        <f>IF('IWP01'!E$464=0,"",'IWP01'!E$464)</f>
        <v/>
      </c>
      <c r="D2778" s="211">
        <f>'IWP01'!G$464</f>
        <v>0</v>
      </c>
      <c r="E2778" s="211">
        <f>'IWP01'!H$464</f>
        <v>0</v>
      </c>
      <c r="F2778" s="211">
        <f>'IWP01'!I$464</f>
        <v>0</v>
      </c>
      <c r="G2778" s="191" t="str">
        <f>IF('IWP01'!J$464=0,"",'IWP01'!J$464)</f>
        <v/>
      </c>
      <c r="H2778" s="211">
        <f>'IWP01'!K$464</f>
        <v>0</v>
      </c>
      <c r="I2778" s="211">
        <f>'IWP01'!L$464</f>
        <v>0</v>
      </c>
      <c r="J2778" s="212">
        <f>'IWP01'!M$464</f>
        <v>0</v>
      </c>
      <c r="K2778" s="106"/>
      <c r="L2778" s="106"/>
      <c r="M2778" s="129"/>
    </row>
    <row r="2779" spans="1:13" s="105" customFormat="1">
      <c r="A2779" s="193" t="s">
        <v>499</v>
      </c>
      <c r="B2779" s="210">
        <v>9</v>
      </c>
      <c r="C2779" s="191" t="str">
        <f>IF('IWP01'!E$465=0,"",'IWP01'!E$465)</f>
        <v/>
      </c>
      <c r="D2779" s="211">
        <f>'IWP01'!G$465</f>
        <v>0</v>
      </c>
      <c r="E2779" s="211">
        <f>'IWP01'!H$465</f>
        <v>0</v>
      </c>
      <c r="F2779" s="211">
        <f>'IWP01'!I$465</f>
        <v>0</v>
      </c>
      <c r="G2779" s="191" t="str">
        <f>IF('IWP01'!J$465=0,"",'IWP01'!J$465)</f>
        <v/>
      </c>
      <c r="H2779" s="211">
        <f>'IWP01'!K$465</f>
        <v>0</v>
      </c>
      <c r="I2779" s="211">
        <f>'IWP01'!L$465</f>
        <v>0</v>
      </c>
      <c r="J2779" s="212">
        <f>'IWP01'!M$465</f>
        <v>0</v>
      </c>
      <c r="K2779" s="106"/>
      <c r="L2779" s="106"/>
      <c r="M2779" s="129"/>
    </row>
    <row r="2780" spans="1:13" s="105" customFormat="1">
      <c r="A2780" s="193" t="s">
        <v>499</v>
      </c>
      <c r="B2780" s="210">
        <v>9</v>
      </c>
      <c r="C2780" s="191" t="str">
        <f>IF('IWP01'!E$466=0,"",'IWP01'!E$466)</f>
        <v/>
      </c>
      <c r="D2780" s="211">
        <f>'IWP01'!G$466</f>
        <v>0</v>
      </c>
      <c r="E2780" s="211">
        <f>'IWP01'!H$466</f>
        <v>0</v>
      </c>
      <c r="F2780" s="211">
        <f>'IWP01'!I$466</f>
        <v>0</v>
      </c>
      <c r="G2780" s="191" t="str">
        <f>IF('IWP01'!J$466=0,"",'IWP01'!J$466)</f>
        <v/>
      </c>
      <c r="H2780" s="211">
        <f>'IWP01'!K$466</f>
        <v>0</v>
      </c>
      <c r="I2780" s="211">
        <f>'IWP01'!L$466</f>
        <v>0</v>
      </c>
      <c r="J2780" s="212">
        <f>'IWP01'!M$466</f>
        <v>0</v>
      </c>
      <c r="K2780" s="106"/>
      <c r="L2780" s="106"/>
      <c r="M2780" s="129"/>
    </row>
    <row r="2781" spans="1:13" s="105" customFormat="1">
      <c r="A2781" s="193" t="s">
        <v>499</v>
      </c>
      <c r="B2781" s="210">
        <v>10</v>
      </c>
      <c r="C2781" s="191" t="str">
        <f>IF('IWP01'!E$473=0,"",'IWP01'!E$473)</f>
        <v/>
      </c>
      <c r="D2781" s="211">
        <f>'IWP01'!G$473</f>
        <v>0</v>
      </c>
      <c r="E2781" s="211">
        <f>'IWP01'!H$473</f>
        <v>0</v>
      </c>
      <c r="F2781" s="211">
        <f>'IWP01'!I$473</f>
        <v>0</v>
      </c>
      <c r="G2781" s="191" t="str">
        <f>IF('IWP01'!J$473=0,"",'IWP01'!J$473)</f>
        <v/>
      </c>
      <c r="H2781" s="211">
        <f>'IWP01'!K$473</f>
        <v>0</v>
      </c>
      <c r="I2781" s="211">
        <f>'IWP01'!L$473</f>
        <v>0</v>
      </c>
      <c r="J2781" s="212">
        <f>'IWP01'!M$473</f>
        <v>0</v>
      </c>
      <c r="K2781" s="106"/>
      <c r="L2781" s="106"/>
      <c r="M2781" s="129"/>
    </row>
    <row r="2782" spans="1:13" s="105" customFormat="1">
      <c r="A2782" s="193" t="s">
        <v>499</v>
      </c>
      <c r="B2782" s="210">
        <v>10</v>
      </c>
      <c r="C2782" s="191" t="str">
        <f>IF('IWP01'!E$474=0,"",'IWP01'!E$474)</f>
        <v/>
      </c>
      <c r="D2782" s="211">
        <f>'IWP01'!G$474</f>
        <v>0</v>
      </c>
      <c r="E2782" s="211">
        <f>'IWP01'!H$474</f>
        <v>0</v>
      </c>
      <c r="F2782" s="211">
        <f>'IWP01'!I$474</f>
        <v>0</v>
      </c>
      <c r="G2782" s="191" t="str">
        <f>IF('IWP01'!J$474=0,"",'IWP01'!J$474)</f>
        <v/>
      </c>
      <c r="H2782" s="211">
        <f>'IWP01'!K$474</f>
        <v>0</v>
      </c>
      <c r="I2782" s="211">
        <f>'IWP01'!L$474</f>
        <v>0</v>
      </c>
      <c r="J2782" s="212">
        <f>'IWP01'!M$474</f>
        <v>0</v>
      </c>
      <c r="K2782" s="106"/>
      <c r="L2782" s="106"/>
      <c r="M2782" s="129"/>
    </row>
    <row r="2783" spans="1:13" s="105" customFormat="1">
      <c r="A2783" s="193" t="s">
        <v>499</v>
      </c>
      <c r="B2783" s="210">
        <v>10</v>
      </c>
      <c r="C2783" s="191" t="str">
        <f>IF('IWP01'!E$475=0,"",'IWP01'!E$475)</f>
        <v/>
      </c>
      <c r="D2783" s="211">
        <f>'IWP01'!G$475</f>
        <v>0</v>
      </c>
      <c r="E2783" s="211">
        <f>'IWP01'!H$475</f>
        <v>0</v>
      </c>
      <c r="F2783" s="211">
        <f>'IWP01'!I$475</f>
        <v>0</v>
      </c>
      <c r="G2783" s="191" t="str">
        <f>IF('IWP01'!J$475=0,"",'IWP01'!J$475)</f>
        <v/>
      </c>
      <c r="H2783" s="211">
        <f>'IWP01'!K$475</f>
        <v>0</v>
      </c>
      <c r="I2783" s="211">
        <f>'IWP01'!L$475</f>
        <v>0</v>
      </c>
      <c r="J2783" s="212">
        <f>'IWP01'!M$475</f>
        <v>0</v>
      </c>
      <c r="K2783" s="106"/>
      <c r="L2783" s="106"/>
      <c r="M2783" s="129"/>
    </row>
    <row r="2784" spans="1:13" s="105" customFormat="1">
      <c r="A2784" s="193" t="s">
        <v>499</v>
      </c>
      <c r="B2784" s="210">
        <v>10</v>
      </c>
      <c r="C2784" s="191" t="str">
        <f>IF('IWP01'!E$476=0,"",'IWP01'!E$476)</f>
        <v/>
      </c>
      <c r="D2784" s="211">
        <f>'IWP01'!G$476</f>
        <v>0</v>
      </c>
      <c r="E2784" s="211">
        <f>'IWP01'!H$476</f>
        <v>0</v>
      </c>
      <c r="F2784" s="211">
        <f>'IWP01'!I$476</f>
        <v>0</v>
      </c>
      <c r="G2784" s="191" t="str">
        <f>IF('IWP01'!J$476=0,"",'IWP01'!J$476)</f>
        <v/>
      </c>
      <c r="H2784" s="211">
        <f>'IWP01'!K$476</f>
        <v>0</v>
      </c>
      <c r="I2784" s="211">
        <f>'IWP01'!L$476</f>
        <v>0</v>
      </c>
      <c r="J2784" s="212">
        <f>'IWP01'!M$476</f>
        <v>0</v>
      </c>
      <c r="K2784" s="106"/>
      <c r="L2784" s="106"/>
      <c r="M2784" s="129"/>
    </row>
    <row r="2785" spans="1:13" s="105" customFormat="1">
      <c r="A2785" s="193" t="s">
        <v>499</v>
      </c>
      <c r="B2785" s="210">
        <v>10</v>
      </c>
      <c r="C2785" s="191" t="str">
        <f>IF('IWP01'!E$477=0,"",'IWP01'!E$477)</f>
        <v/>
      </c>
      <c r="D2785" s="211">
        <f>'IWP01'!G$477</f>
        <v>0</v>
      </c>
      <c r="E2785" s="211">
        <f>'IWP01'!H$477</f>
        <v>0</v>
      </c>
      <c r="F2785" s="211">
        <f>'IWP01'!I$477</f>
        <v>0</v>
      </c>
      <c r="G2785" s="191" t="str">
        <f>IF('IWP01'!J$477=0,"",'IWP01'!J$477)</f>
        <v/>
      </c>
      <c r="H2785" s="211">
        <f>'IWP01'!K$477</f>
        <v>0</v>
      </c>
      <c r="I2785" s="211">
        <f>'IWP01'!L$477</f>
        <v>0</v>
      </c>
      <c r="J2785" s="212">
        <f>'IWP01'!M$477</f>
        <v>0</v>
      </c>
      <c r="K2785" s="106"/>
      <c r="L2785" s="106"/>
      <c r="M2785" s="129"/>
    </row>
    <row r="2786" spans="1:13" s="105" customFormat="1">
      <c r="A2786" s="193" t="s">
        <v>499</v>
      </c>
      <c r="B2786" s="210">
        <v>10</v>
      </c>
      <c r="C2786" s="191" t="str">
        <f>IF('IWP01'!E$478=0,"",'IWP01'!E$478)</f>
        <v/>
      </c>
      <c r="D2786" s="211">
        <f>'IWP01'!G$478</f>
        <v>0</v>
      </c>
      <c r="E2786" s="211">
        <f>'IWP01'!H$478</f>
        <v>0</v>
      </c>
      <c r="F2786" s="211">
        <f>'IWP01'!I$478</f>
        <v>0</v>
      </c>
      <c r="G2786" s="191" t="str">
        <f>IF('IWP01'!J$478=0,"",'IWP01'!J$478)</f>
        <v/>
      </c>
      <c r="H2786" s="211">
        <f>'IWP01'!K$478</f>
        <v>0</v>
      </c>
      <c r="I2786" s="211">
        <f>'IWP01'!L$478</f>
        <v>0</v>
      </c>
      <c r="J2786" s="212">
        <f>'IWP01'!M$478</f>
        <v>0</v>
      </c>
      <c r="K2786" s="106"/>
      <c r="L2786" s="106"/>
      <c r="M2786" s="129"/>
    </row>
    <row r="2787" spans="1:13" s="105" customFormat="1">
      <c r="A2787" s="193" t="s">
        <v>499</v>
      </c>
      <c r="B2787" s="210">
        <v>10</v>
      </c>
      <c r="C2787" s="191" t="str">
        <f>IF('IWP01'!E$479=0,"",'IWP01'!E$479)</f>
        <v/>
      </c>
      <c r="D2787" s="211">
        <f>'IWP01'!G$479</f>
        <v>0</v>
      </c>
      <c r="E2787" s="211">
        <f>'IWP01'!H$479</f>
        <v>0</v>
      </c>
      <c r="F2787" s="211">
        <f>'IWP01'!I$479</f>
        <v>0</v>
      </c>
      <c r="G2787" s="191" t="str">
        <f>IF('IWP01'!J$479=0,"",'IWP01'!J$479)</f>
        <v/>
      </c>
      <c r="H2787" s="211">
        <f>'IWP01'!K$479</f>
        <v>0</v>
      </c>
      <c r="I2787" s="211">
        <f>'IWP01'!L$479</f>
        <v>0</v>
      </c>
      <c r="J2787" s="212">
        <f>'IWP01'!M$479</f>
        <v>0</v>
      </c>
      <c r="K2787" s="106"/>
      <c r="L2787" s="106"/>
      <c r="M2787" s="129"/>
    </row>
    <row r="2788" spans="1:13" s="105" customFormat="1">
      <c r="A2788" s="193" t="s">
        <v>499</v>
      </c>
      <c r="B2788" s="210">
        <v>10</v>
      </c>
      <c r="C2788" s="191" t="str">
        <f>IF('IWP01'!E$480=0,"",'IWP01'!E$480)</f>
        <v/>
      </c>
      <c r="D2788" s="211">
        <f>'IWP01'!G$480</f>
        <v>0</v>
      </c>
      <c r="E2788" s="211">
        <f>'IWP01'!H$480</f>
        <v>0</v>
      </c>
      <c r="F2788" s="211">
        <f>'IWP01'!I$480</f>
        <v>0</v>
      </c>
      <c r="G2788" s="191" t="str">
        <f>IF('IWP01'!J$480=0,"",'IWP01'!J$480)</f>
        <v/>
      </c>
      <c r="H2788" s="211">
        <f>'IWP01'!K$480</f>
        <v>0</v>
      </c>
      <c r="I2788" s="211">
        <f>'IWP01'!L$480</f>
        <v>0</v>
      </c>
      <c r="J2788" s="212">
        <f>'IWP01'!M$480</f>
        <v>0</v>
      </c>
      <c r="K2788" s="106"/>
      <c r="L2788" s="106"/>
      <c r="M2788" s="129"/>
    </row>
    <row r="2789" spans="1:13" s="105" customFormat="1">
      <c r="A2789" s="193" t="s">
        <v>499</v>
      </c>
      <c r="B2789" s="210">
        <v>10</v>
      </c>
      <c r="C2789" s="191" t="str">
        <f>IF('IWP01'!E$481=0,"",'IWP01'!E$481)</f>
        <v/>
      </c>
      <c r="D2789" s="211">
        <f>'IWP01'!G$481</f>
        <v>0</v>
      </c>
      <c r="E2789" s="211">
        <f>'IWP01'!H$481</f>
        <v>0</v>
      </c>
      <c r="F2789" s="211">
        <f>'IWP01'!I$481</f>
        <v>0</v>
      </c>
      <c r="G2789" s="191" t="str">
        <f>IF('IWP01'!J$481=0,"",'IWP01'!J$481)</f>
        <v/>
      </c>
      <c r="H2789" s="211">
        <f>'IWP01'!K$481</f>
        <v>0</v>
      </c>
      <c r="I2789" s="211">
        <f>'IWP01'!L$481</f>
        <v>0</v>
      </c>
      <c r="J2789" s="212">
        <f>'IWP01'!M$481</f>
        <v>0</v>
      </c>
      <c r="K2789" s="106"/>
      <c r="L2789" s="106"/>
      <c r="M2789" s="129"/>
    </row>
    <row r="2790" spans="1:13" s="105" customFormat="1">
      <c r="A2790" s="193" t="s">
        <v>499</v>
      </c>
      <c r="B2790" s="210">
        <v>10</v>
      </c>
      <c r="C2790" s="191" t="str">
        <f>IF('IWP01'!E$482=0,"",'IWP01'!E$482)</f>
        <v/>
      </c>
      <c r="D2790" s="211">
        <f>'IWP01'!G$482</f>
        <v>0</v>
      </c>
      <c r="E2790" s="211">
        <f>'IWP01'!H$482</f>
        <v>0</v>
      </c>
      <c r="F2790" s="211">
        <f>'IWP01'!I$482</f>
        <v>0</v>
      </c>
      <c r="G2790" s="191" t="str">
        <f>IF('IWP01'!J$482=0,"",'IWP01'!J$482)</f>
        <v/>
      </c>
      <c r="H2790" s="211">
        <f>'IWP01'!K$482</f>
        <v>0</v>
      </c>
      <c r="I2790" s="211">
        <f>'IWP01'!L$482</f>
        <v>0</v>
      </c>
      <c r="J2790" s="212">
        <f>'IWP01'!M$482</f>
        <v>0</v>
      </c>
      <c r="K2790" s="106"/>
      <c r="L2790" s="106"/>
      <c r="M2790" s="129"/>
    </row>
    <row r="2791" spans="1:13" s="105" customFormat="1">
      <c r="A2791" s="193" t="s">
        <v>499</v>
      </c>
      <c r="B2791" s="210">
        <v>11</v>
      </c>
      <c r="C2791" s="191" t="str">
        <f>IF('IWP01'!E$489=0,"",'IWP01'!E$489)</f>
        <v/>
      </c>
      <c r="D2791" s="211">
        <f>'IWP01'!G$489</f>
        <v>0</v>
      </c>
      <c r="E2791" s="211">
        <f>'IWP01'!H$489</f>
        <v>0</v>
      </c>
      <c r="F2791" s="211">
        <f>'IWP01'!I$489</f>
        <v>0</v>
      </c>
      <c r="G2791" s="191" t="str">
        <f>IF('IWP01'!J$489=0,"",'IWP01'!J$489)</f>
        <v/>
      </c>
      <c r="H2791" s="211">
        <f>'IWP01'!K$489</f>
        <v>0</v>
      </c>
      <c r="I2791" s="211">
        <f>'IWP01'!L$489</f>
        <v>0</v>
      </c>
      <c r="J2791" s="212">
        <f>'IWP01'!M$489</f>
        <v>0</v>
      </c>
      <c r="K2791" s="106"/>
      <c r="L2791" s="106"/>
      <c r="M2791" s="129"/>
    </row>
    <row r="2792" spans="1:13" s="105" customFormat="1">
      <c r="A2792" s="193" t="s">
        <v>499</v>
      </c>
      <c r="B2792" s="210">
        <v>11</v>
      </c>
      <c r="C2792" s="191" t="str">
        <f>IF('IWP01'!E$490=0,"",'IWP01'!E$490)</f>
        <v/>
      </c>
      <c r="D2792" s="211">
        <f>'IWP01'!G$490</f>
        <v>0</v>
      </c>
      <c r="E2792" s="211">
        <f>'IWP01'!H$490</f>
        <v>0</v>
      </c>
      <c r="F2792" s="211">
        <f>'IWP01'!I$490</f>
        <v>0</v>
      </c>
      <c r="G2792" s="191" t="str">
        <f>IF('IWP01'!J$490=0,"",'IWP01'!J$490)</f>
        <v/>
      </c>
      <c r="H2792" s="211">
        <f>'IWP01'!K$490</f>
        <v>0</v>
      </c>
      <c r="I2792" s="211">
        <f>'IWP01'!L$490</f>
        <v>0</v>
      </c>
      <c r="J2792" s="212">
        <f>'IWP01'!M$490</f>
        <v>0</v>
      </c>
      <c r="K2792" s="106"/>
      <c r="L2792" s="106"/>
      <c r="M2792" s="129"/>
    </row>
    <row r="2793" spans="1:13" s="105" customFormat="1">
      <c r="A2793" s="193" t="s">
        <v>499</v>
      </c>
      <c r="B2793" s="210">
        <v>11</v>
      </c>
      <c r="C2793" s="191" t="str">
        <f>IF('IWP01'!E$491=0,"",'IWP01'!E$491)</f>
        <v/>
      </c>
      <c r="D2793" s="211">
        <f>'IWP01'!G$491</f>
        <v>0</v>
      </c>
      <c r="E2793" s="211">
        <f>'IWP01'!H$491</f>
        <v>0</v>
      </c>
      <c r="F2793" s="211">
        <f>'IWP01'!I$491</f>
        <v>0</v>
      </c>
      <c r="G2793" s="191" t="str">
        <f>IF('IWP01'!J$491=0,"",'IWP01'!J$491)</f>
        <v/>
      </c>
      <c r="H2793" s="211">
        <f>'IWP01'!K$491</f>
        <v>0</v>
      </c>
      <c r="I2793" s="211">
        <f>'IWP01'!L$491</f>
        <v>0</v>
      </c>
      <c r="J2793" s="212">
        <f>'IWP01'!M$491</f>
        <v>0</v>
      </c>
      <c r="K2793" s="106"/>
      <c r="L2793" s="106"/>
      <c r="M2793" s="129"/>
    </row>
    <row r="2794" spans="1:13" s="105" customFormat="1">
      <c r="A2794" s="193" t="s">
        <v>499</v>
      </c>
      <c r="B2794" s="210">
        <v>11</v>
      </c>
      <c r="C2794" s="191" t="str">
        <f>IF('IWP01'!E$492=0,"",'IWP01'!E$492)</f>
        <v/>
      </c>
      <c r="D2794" s="211">
        <f>'IWP01'!G$492</f>
        <v>0</v>
      </c>
      <c r="E2794" s="211">
        <f>'IWP01'!H$492</f>
        <v>0</v>
      </c>
      <c r="F2794" s="211">
        <f>'IWP01'!I$492</f>
        <v>0</v>
      </c>
      <c r="G2794" s="191" t="str">
        <f>IF('IWP01'!J$492=0,"",'IWP01'!J$492)</f>
        <v/>
      </c>
      <c r="H2794" s="211">
        <f>'IWP01'!K$492</f>
        <v>0</v>
      </c>
      <c r="I2794" s="211">
        <f>'IWP01'!L$492</f>
        <v>0</v>
      </c>
      <c r="J2794" s="212">
        <f>'IWP01'!M$492</f>
        <v>0</v>
      </c>
      <c r="K2794" s="106"/>
      <c r="L2794" s="106"/>
      <c r="M2794" s="129"/>
    </row>
    <row r="2795" spans="1:13" s="105" customFormat="1">
      <c r="A2795" s="193" t="s">
        <v>499</v>
      </c>
      <c r="B2795" s="210">
        <v>11</v>
      </c>
      <c r="C2795" s="191" t="str">
        <f>IF('IWP01'!E$493=0,"",'IWP01'!E$493)</f>
        <v/>
      </c>
      <c r="D2795" s="211">
        <f>'IWP01'!G$493</f>
        <v>0</v>
      </c>
      <c r="E2795" s="211">
        <f>'IWP01'!H$493</f>
        <v>0</v>
      </c>
      <c r="F2795" s="211">
        <f>'IWP01'!I$493</f>
        <v>0</v>
      </c>
      <c r="G2795" s="191" t="str">
        <f>IF('IWP01'!J$493=0,"",'IWP01'!J$493)</f>
        <v/>
      </c>
      <c r="H2795" s="211">
        <f>'IWP01'!K$493</f>
        <v>0</v>
      </c>
      <c r="I2795" s="211">
        <f>'IWP01'!L$493</f>
        <v>0</v>
      </c>
      <c r="J2795" s="212">
        <f>'IWP01'!M$493</f>
        <v>0</v>
      </c>
      <c r="K2795" s="106"/>
      <c r="L2795" s="106"/>
      <c r="M2795" s="129"/>
    </row>
    <row r="2796" spans="1:13" s="105" customFormat="1">
      <c r="A2796" s="193" t="s">
        <v>499</v>
      </c>
      <c r="B2796" s="210">
        <v>11</v>
      </c>
      <c r="C2796" s="191" t="str">
        <f>IF('IWP01'!E$494=0,"",'IWP01'!E$494)</f>
        <v/>
      </c>
      <c r="D2796" s="211">
        <f>'IWP01'!G$494</f>
        <v>0</v>
      </c>
      <c r="E2796" s="211">
        <f>'IWP01'!H$494</f>
        <v>0</v>
      </c>
      <c r="F2796" s="211">
        <f>'IWP01'!I$494</f>
        <v>0</v>
      </c>
      <c r="G2796" s="191" t="str">
        <f>IF('IWP01'!J$494=0,"",'IWP01'!J$494)</f>
        <v/>
      </c>
      <c r="H2796" s="211">
        <f>'IWP01'!K$494</f>
        <v>0</v>
      </c>
      <c r="I2796" s="211">
        <f>'IWP01'!L$494</f>
        <v>0</v>
      </c>
      <c r="J2796" s="212">
        <f>'IWP01'!M$494</f>
        <v>0</v>
      </c>
      <c r="K2796" s="106"/>
      <c r="L2796" s="106"/>
      <c r="M2796" s="129"/>
    </row>
    <row r="2797" spans="1:13" s="105" customFormat="1">
      <c r="A2797" s="193" t="s">
        <v>499</v>
      </c>
      <c r="B2797" s="210">
        <v>11</v>
      </c>
      <c r="C2797" s="191" t="str">
        <f>IF('IWP01'!E$495=0,"",'IWP01'!E$495)</f>
        <v/>
      </c>
      <c r="D2797" s="211">
        <f>'IWP01'!G$495</f>
        <v>0</v>
      </c>
      <c r="E2797" s="211">
        <f>'IWP01'!H$495</f>
        <v>0</v>
      </c>
      <c r="F2797" s="211">
        <f>'IWP01'!I$495</f>
        <v>0</v>
      </c>
      <c r="G2797" s="191" t="str">
        <f>IF('IWP01'!J$495=0,"",'IWP01'!J$495)</f>
        <v/>
      </c>
      <c r="H2797" s="211">
        <f>'IWP01'!K$495</f>
        <v>0</v>
      </c>
      <c r="I2797" s="211">
        <f>'IWP01'!L$495</f>
        <v>0</v>
      </c>
      <c r="J2797" s="212">
        <f>'IWP01'!M$495</f>
        <v>0</v>
      </c>
      <c r="K2797" s="106"/>
      <c r="L2797" s="106"/>
      <c r="M2797" s="129"/>
    </row>
    <row r="2798" spans="1:13" s="105" customFormat="1">
      <c r="A2798" s="193" t="s">
        <v>499</v>
      </c>
      <c r="B2798" s="210">
        <v>11</v>
      </c>
      <c r="C2798" s="191" t="str">
        <f>IF('IWP01'!E$496=0,"",'IWP01'!E$496)</f>
        <v/>
      </c>
      <c r="D2798" s="211">
        <f>'IWP01'!G$496</f>
        <v>0</v>
      </c>
      <c r="E2798" s="211">
        <f>'IWP01'!H$496</f>
        <v>0</v>
      </c>
      <c r="F2798" s="211">
        <f>'IWP01'!I$496</f>
        <v>0</v>
      </c>
      <c r="G2798" s="191" t="str">
        <f>IF('IWP01'!J$496=0,"",'IWP01'!J$496)</f>
        <v/>
      </c>
      <c r="H2798" s="211">
        <f>'IWP01'!K$496</f>
        <v>0</v>
      </c>
      <c r="I2798" s="211">
        <f>'IWP01'!L$496</f>
        <v>0</v>
      </c>
      <c r="J2798" s="212">
        <f>'IWP01'!M$496</f>
        <v>0</v>
      </c>
      <c r="K2798" s="106"/>
      <c r="L2798" s="106"/>
      <c r="M2798" s="129"/>
    </row>
    <row r="2799" spans="1:13" s="105" customFormat="1">
      <c r="A2799" s="193" t="s">
        <v>499</v>
      </c>
      <c r="B2799" s="210">
        <v>11</v>
      </c>
      <c r="C2799" s="191" t="str">
        <f>IF('IWP01'!E$497=0,"",'IWP01'!E$497)</f>
        <v/>
      </c>
      <c r="D2799" s="211">
        <f>'IWP01'!G$497</f>
        <v>0</v>
      </c>
      <c r="E2799" s="211">
        <f>'IWP01'!H$497</f>
        <v>0</v>
      </c>
      <c r="F2799" s="211">
        <f>'IWP01'!I$497</f>
        <v>0</v>
      </c>
      <c r="G2799" s="191" t="str">
        <f>IF('IWP01'!J$497=0,"",'IWP01'!J$497)</f>
        <v/>
      </c>
      <c r="H2799" s="211">
        <f>'IWP01'!K$497</f>
        <v>0</v>
      </c>
      <c r="I2799" s="211">
        <f>'IWP01'!L$497</f>
        <v>0</v>
      </c>
      <c r="J2799" s="212">
        <f>'IWP01'!M$497</f>
        <v>0</v>
      </c>
      <c r="K2799" s="106"/>
      <c r="L2799" s="106"/>
      <c r="M2799" s="129"/>
    </row>
    <row r="2800" spans="1:13" s="105" customFormat="1">
      <c r="A2800" s="193" t="s">
        <v>499</v>
      </c>
      <c r="B2800" s="210">
        <v>11</v>
      </c>
      <c r="C2800" s="191" t="str">
        <f>IF('IWP01'!E$498=0,"",'IWP01'!E$498)</f>
        <v/>
      </c>
      <c r="D2800" s="211">
        <f>'IWP01'!G$498</f>
        <v>0</v>
      </c>
      <c r="E2800" s="211">
        <f>'IWP01'!H$498</f>
        <v>0</v>
      </c>
      <c r="F2800" s="211">
        <f>'IWP01'!I$498</f>
        <v>0</v>
      </c>
      <c r="G2800" s="191" t="str">
        <f>IF('IWP01'!J$498=0,"",'IWP01'!J$498)</f>
        <v/>
      </c>
      <c r="H2800" s="211">
        <f>'IWP01'!K$498</f>
        <v>0</v>
      </c>
      <c r="I2800" s="211">
        <f>'IWP01'!L$498</f>
        <v>0</v>
      </c>
      <c r="J2800" s="212">
        <f>'IWP01'!M$498</f>
        <v>0</v>
      </c>
      <c r="K2800" s="106"/>
      <c r="L2800" s="106"/>
      <c r="M2800" s="129"/>
    </row>
    <row r="2801" spans="1:13" s="105" customFormat="1">
      <c r="A2801" s="193" t="s">
        <v>499</v>
      </c>
      <c r="B2801" s="210">
        <v>12</v>
      </c>
      <c r="C2801" s="191" t="str">
        <f>IF('IWP01'!E$505=0,"",'IWP01'!E$505)</f>
        <v/>
      </c>
      <c r="D2801" s="211">
        <f>'IWP01'!G$505</f>
        <v>0</v>
      </c>
      <c r="E2801" s="211">
        <f>'IWP01'!H$505</f>
        <v>0</v>
      </c>
      <c r="F2801" s="211">
        <f>'IWP01'!I$505</f>
        <v>0</v>
      </c>
      <c r="G2801" s="191" t="str">
        <f>IF('IWP01'!J$505=0,"",'IWP01'!J$505)</f>
        <v/>
      </c>
      <c r="H2801" s="211">
        <f>'IWP01'!K$505</f>
        <v>0</v>
      </c>
      <c r="I2801" s="211">
        <f>'IWP01'!L$505</f>
        <v>0</v>
      </c>
      <c r="J2801" s="212">
        <f>'IWP01'!M$505</f>
        <v>0</v>
      </c>
      <c r="K2801" s="106"/>
      <c r="L2801" s="106"/>
      <c r="M2801" s="129"/>
    </row>
    <row r="2802" spans="1:13" s="105" customFormat="1">
      <c r="A2802" s="193" t="s">
        <v>499</v>
      </c>
      <c r="B2802" s="210">
        <v>12</v>
      </c>
      <c r="C2802" s="191" t="str">
        <f>IF('IWP01'!E$506=0,"",'IWP01'!E$506)</f>
        <v/>
      </c>
      <c r="D2802" s="211">
        <f>'IWP01'!G$506</f>
        <v>0</v>
      </c>
      <c r="E2802" s="211">
        <f>'IWP01'!H$506</f>
        <v>0</v>
      </c>
      <c r="F2802" s="211">
        <f>'IWP01'!I$506</f>
        <v>0</v>
      </c>
      <c r="G2802" s="191" t="str">
        <f>IF('IWP01'!J$506=0,"",'IWP01'!J$506)</f>
        <v/>
      </c>
      <c r="H2802" s="211">
        <f>'IWP01'!K$506</f>
        <v>0</v>
      </c>
      <c r="I2802" s="211">
        <f>'IWP01'!L$506</f>
        <v>0</v>
      </c>
      <c r="J2802" s="212">
        <f>'IWP01'!M$506</f>
        <v>0</v>
      </c>
      <c r="K2802" s="106"/>
      <c r="L2802" s="106"/>
      <c r="M2802" s="129"/>
    </row>
    <row r="2803" spans="1:13" s="105" customFormat="1">
      <c r="A2803" s="193" t="s">
        <v>499</v>
      </c>
      <c r="B2803" s="210">
        <v>12</v>
      </c>
      <c r="C2803" s="191" t="str">
        <f>IF('IWP01'!E$507=0,"",'IWP01'!E$507)</f>
        <v/>
      </c>
      <c r="D2803" s="211">
        <f>'IWP01'!G$507</f>
        <v>0</v>
      </c>
      <c r="E2803" s="211">
        <f>'IWP01'!H$507</f>
        <v>0</v>
      </c>
      <c r="F2803" s="211">
        <f>'IWP01'!I$507</f>
        <v>0</v>
      </c>
      <c r="G2803" s="191" t="str">
        <f>IF('IWP01'!J$507=0,"",'IWP01'!J$507)</f>
        <v/>
      </c>
      <c r="H2803" s="211">
        <f>'IWP01'!K$507</f>
        <v>0</v>
      </c>
      <c r="I2803" s="211">
        <f>'IWP01'!L$507</f>
        <v>0</v>
      </c>
      <c r="J2803" s="212">
        <f>'IWP01'!M$507</f>
        <v>0</v>
      </c>
      <c r="K2803" s="106"/>
      <c r="L2803" s="106"/>
      <c r="M2803" s="129"/>
    </row>
    <row r="2804" spans="1:13" s="105" customFormat="1">
      <c r="A2804" s="193" t="s">
        <v>499</v>
      </c>
      <c r="B2804" s="210">
        <v>12</v>
      </c>
      <c r="C2804" s="191" t="str">
        <f>IF('IWP01'!E$508=0,"",'IWP01'!E$508)</f>
        <v/>
      </c>
      <c r="D2804" s="211">
        <f>'IWP01'!G$508</f>
        <v>0</v>
      </c>
      <c r="E2804" s="211">
        <f>'IWP01'!H$508</f>
        <v>0</v>
      </c>
      <c r="F2804" s="211">
        <f>'IWP01'!I$508</f>
        <v>0</v>
      </c>
      <c r="G2804" s="191" t="str">
        <f>IF('IWP01'!J$508=0,"",'IWP01'!J$508)</f>
        <v/>
      </c>
      <c r="H2804" s="211">
        <f>'IWP01'!K$508</f>
        <v>0</v>
      </c>
      <c r="I2804" s="211">
        <f>'IWP01'!L$508</f>
        <v>0</v>
      </c>
      <c r="J2804" s="212">
        <f>'IWP01'!M$508</f>
        <v>0</v>
      </c>
      <c r="K2804" s="106"/>
      <c r="L2804" s="106"/>
      <c r="M2804" s="129"/>
    </row>
    <row r="2805" spans="1:13" s="105" customFormat="1">
      <c r="A2805" s="193" t="s">
        <v>499</v>
      </c>
      <c r="B2805" s="210">
        <v>12</v>
      </c>
      <c r="C2805" s="191" t="str">
        <f>IF('IWP01'!E$509=0,"",'IWP01'!E$509)</f>
        <v/>
      </c>
      <c r="D2805" s="211">
        <f>'IWP01'!G$509</f>
        <v>0</v>
      </c>
      <c r="E2805" s="211">
        <f>'IWP01'!H$509</f>
        <v>0</v>
      </c>
      <c r="F2805" s="211">
        <f>'IWP01'!I$509</f>
        <v>0</v>
      </c>
      <c r="G2805" s="191" t="str">
        <f>IF('IWP01'!J$509=0,"",'IWP01'!J$509)</f>
        <v/>
      </c>
      <c r="H2805" s="211">
        <f>'IWP01'!K$509</f>
        <v>0</v>
      </c>
      <c r="I2805" s="211">
        <f>'IWP01'!L$509</f>
        <v>0</v>
      </c>
      <c r="J2805" s="212">
        <f>'IWP01'!M$509</f>
        <v>0</v>
      </c>
      <c r="K2805" s="106"/>
      <c r="L2805" s="106"/>
      <c r="M2805" s="129"/>
    </row>
    <row r="2806" spans="1:13" s="105" customFormat="1">
      <c r="A2806" s="193" t="s">
        <v>499</v>
      </c>
      <c r="B2806" s="210">
        <v>12</v>
      </c>
      <c r="C2806" s="191" t="str">
        <f>IF('IWP01'!E$510=0,"",'IWP01'!E$510)</f>
        <v/>
      </c>
      <c r="D2806" s="211">
        <f>'IWP01'!G$510</f>
        <v>0</v>
      </c>
      <c r="E2806" s="211">
        <f>'IWP01'!H$510</f>
        <v>0</v>
      </c>
      <c r="F2806" s="211">
        <f>'IWP01'!I$510</f>
        <v>0</v>
      </c>
      <c r="G2806" s="191" t="str">
        <f>IF('IWP01'!J$510=0,"",'IWP01'!J$510)</f>
        <v/>
      </c>
      <c r="H2806" s="211">
        <f>'IWP01'!K$510</f>
        <v>0</v>
      </c>
      <c r="I2806" s="211">
        <f>'IWP01'!L$510</f>
        <v>0</v>
      </c>
      <c r="J2806" s="212">
        <f>'IWP01'!M$510</f>
        <v>0</v>
      </c>
      <c r="K2806" s="106"/>
      <c r="L2806" s="106"/>
      <c r="M2806" s="129"/>
    </row>
    <row r="2807" spans="1:13" s="105" customFormat="1">
      <c r="A2807" s="193" t="s">
        <v>499</v>
      </c>
      <c r="B2807" s="210">
        <v>12</v>
      </c>
      <c r="C2807" s="191" t="str">
        <f>IF('IWP01'!E$511=0,"",'IWP01'!E$511)</f>
        <v/>
      </c>
      <c r="D2807" s="211">
        <f>'IWP01'!G$511</f>
        <v>0</v>
      </c>
      <c r="E2807" s="211">
        <f>'IWP01'!H$511</f>
        <v>0</v>
      </c>
      <c r="F2807" s="211">
        <f>'IWP01'!I$511</f>
        <v>0</v>
      </c>
      <c r="G2807" s="191" t="str">
        <f>IF('IWP01'!J$511=0,"",'IWP01'!J$511)</f>
        <v/>
      </c>
      <c r="H2807" s="211">
        <f>'IWP01'!K$511</f>
        <v>0</v>
      </c>
      <c r="I2807" s="211">
        <f>'IWP01'!L$511</f>
        <v>0</v>
      </c>
      <c r="J2807" s="212">
        <f>'IWP01'!M$511</f>
        <v>0</v>
      </c>
      <c r="K2807" s="106"/>
      <c r="L2807" s="106"/>
      <c r="M2807" s="129"/>
    </row>
    <row r="2808" spans="1:13" s="105" customFormat="1">
      <c r="A2808" s="193" t="s">
        <v>499</v>
      </c>
      <c r="B2808" s="210">
        <v>12</v>
      </c>
      <c r="C2808" s="191" t="str">
        <f>IF('IWP01'!E$512=0,"",'IWP01'!E$512)</f>
        <v/>
      </c>
      <c r="D2808" s="211">
        <f>'IWP01'!G$512</f>
        <v>0</v>
      </c>
      <c r="E2808" s="211">
        <f>'IWP01'!H$512</f>
        <v>0</v>
      </c>
      <c r="F2808" s="211">
        <f>'IWP01'!I$512</f>
        <v>0</v>
      </c>
      <c r="G2808" s="191" t="str">
        <f>IF('IWP01'!J$512=0,"",'IWP01'!J$512)</f>
        <v/>
      </c>
      <c r="H2808" s="211">
        <f>'IWP01'!K$512</f>
        <v>0</v>
      </c>
      <c r="I2808" s="211">
        <f>'IWP01'!L$512</f>
        <v>0</v>
      </c>
      <c r="J2808" s="212">
        <f>'IWP01'!M$512</f>
        <v>0</v>
      </c>
      <c r="K2808" s="106"/>
      <c r="L2808" s="106"/>
      <c r="M2808" s="129"/>
    </row>
    <row r="2809" spans="1:13" s="105" customFormat="1">
      <c r="A2809" s="193" t="s">
        <v>499</v>
      </c>
      <c r="B2809" s="210">
        <v>12</v>
      </c>
      <c r="C2809" s="191" t="str">
        <f>IF('IWP01'!E$513=0,"",'IWP01'!E$513)</f>
        <v/>
      </c>
      <c r="D2809" s="211">
        <f>'IWP01'!G$513</f>
        <v>0</v>
      </c>
      <c r="E2809" s="211">
        <f>'IWP01'!H$513</f>
        <v>0</v>
      </c>
      <c r="F2809" s="211">
        <f>'IWP01'!I$513</f>
        <v>0</v>
      </c>
      <c r="G2809" s="191" t="str">
        <f>IF('IWP01'!J$513=0,"",'IWP01'!J$513)</f>
        <v/>
      </c>
      <c r="H2809" s="211">
        <f>'IWP01'!K$513</f>
        <v>0</v>
      </c>
      <c r="I2809" s="211">
        <f>'IWP01'!L$513</f>
        <v>0</v>
      </c>
      <c r="J2809" s="212">
        <f>'IWP01'!M$513</f>
        <v>0</v>
      </c>
      <c r="K2809" s="106"/>
      <c r="L2809" s="106"/>
      <c r="M2809" s="129"/>
    </row>
    <row r="2810" spans="1:13" s="105" customFormat="1">
      <c r="A2810" s="193" t="s">
        <v>499</v>
      </c>
      <c r="B2810" s="210">
        <v>12</v>
      </c>
      <c r="C2810" s="191" t="str">
        <f>IF('IWP01'!E$514=0,"",'IWP01'!E$514)</f>
        <v/>
      </c>
      <c r="D2810" s="211">
        <f>'IWP01'!G$514</f>
        <v>0</v>
      </c>
      <c r="E2810" s="211">
        <f>'IWP01'!H$514</f>
        <v>0</v>
      </c>
      <c r="F2810" s="211">
        <f>'IWP01'!I$514</f>
        <v>0</v>
      </c>
      <c r="G2810" s="191" t="str">
        <f>IF('IWP01'!J$514=0,"",'IWP01'!J$514)</f>
        <v/>
      </c>
      <c r="H2810" s="211">
        <f>'IWP01'!K$514</f>
        <v>0</v>
      </c>
      <c r="I2810" s="211">
        <f>'IWP01'!L$514</f>
        <v>0</v>
      </c>
      <c r="J2810" s="212">
        <f>'IWP01'!M$514</f>
        <v>0</v>
      </c>
      <c r="K2810" s="106"/>
      <c r="L2810" s="106"/>
      <c r="M2810" s="129"/>
    </row>
    <row r="2811" spans="1:13" s="105" customFormat="1">
      <c r="A2811" s="193" t="s">
        <v>499</v>
      </c>
      <c r="B2811" s="210">
        <v>13</v>
      </c>
      <c r="C2811" s="191" t="str">
        <f>IF('IWP01'!E$521=0,"",'IWP01'!E$521)</f>
        <v/>
      </c>
      <c r="D2811" s="211">
        <f>'IWP01'!G$521</f>
        <v>0</v>
      </c>
      <c r="E2811" s="211">
        <f>'IWP01'!H$521</f>
        <v>0</v>
      </c>
      <c r="F2811" s="211">
        <f>'IWP01'!I$521</f>
        <v>0</v>
      </c>
      <c r="G2811" s="191" t="str">
        <f>IF('IWP01'!J$521=0,"",'IWP01'!J$521)</f>
        <v/>
      </c>
      <c r="H2811" s="211">
        <f>'IWP01'!K$521</f>
        <v>0</v>
      </c>
      <c r="I2811" s="211">
        <f>'IWP01'!L$521</f>
        <v>0</v>
      </c>
      <c r="J2811" s="212">
        <f>'IWP01'!M$521</f>
        <v>0</v>
      </c>
      <c r="K2811" s="106"/>
      <c r="L2811" s="106"/>
      <c r="M2811" s="129"/>
    </row>
    <row r="2812" spans="1:13" s="105" customFormat="1">
      <c r="A2812" s="193" t="s">
        <v>499</v>
      </c>
      <c r="B2812" s="210">
        <v>13</v>
      </c>
      <c r="C2812" s="191" t="str">
        <f>IF('IWP01'!E$522=0,"",'IWP01'!E$522)</f>
        <v/>
      </c>
      <c r="D2812" s="211">
        <f>'IWP01'!G$522</f>
        <v>0</v>
      </c>
      <c r="E2812" s="211">
        <f>'IWP01'!H$522</f>
        <v>0</v>
      </c>
      <c r="F2812" s="211">
        <f>'IWP01'!I$522</f>
        <v>0</v>
      </c>
      <c r="G2812" s="191" t="str">
        <f>IF('IWP01'!J$522=0,"",'IWP01'!J$522)</f>
        <v/>
      </c>
      <c r="H2812" s="211">
        <f>'IWP01'!K$522</f>
        <v>0</v>
      </c>
      <c r="I2812" s="211">
        <f>'IWP01'!L$522</f>
        <v>0</v>
      </c>
      <c r="J2812" s="212">
        <f>'IWP01'!M$522</f>
        <v>0</v>
      </c>
      <c r="K2812" s="106"/>
      <c r="L2812" s="106"/>
      <c r="M2812" s="129"/>
    </row>
    <row r="2813" spans="1:13" s="105" customFormat="1">
      <c r="A2813" s="193" t="s">
        <v>499</v>
      </c>
      <c r="B2813" s="210">
        <v>13</v>
      </c>
      <c r="C2813" s="191" t="str">
        <f>IF('IWP01'!E$523=0,"",'IWP01'!E$523)</f>
        <v/>
      </c>
      <c r="D2813" s="211">
        <f>'IWP01'!G$523</f>
        <v>0</v>
      </c>
      <c r="E2813" s="211">
        <f>'IWP01'!H$523</f>
        <v>0</v>
      </c>
      <c r="F2813" s="211">
        <f>'IWP01'!I$523</f>
        <v>0</v>
      </c>
      <c r="G2813" s="191" t="str">
        <f>IF('IWP01'!J$523=0,"",'IWP01'!J$523)</f>
        <v/>
      </c>
      <c r="H2813" s="211">
        <f>'IWP01'!K$523</f>
        <v>0</v>
      </c>
      <c r="I2813" s="211">
        <f>'IWP01'!L$523</f>
        <v>0</v>
      </c>
      <c r="J2813" s="212">
        <f>'IWP01'!M$523</f>
        <v>0</v>
      </c>
      <c r="K2813" s="106"/>
      <c r="L2813" s="106"/>
      <c r="M2813" s="129"/>
    </row>
    <row r="2814" spans="1:13" s="105" customFormat="1">
      <c r="A2814" s="193" t="s">
        <v>499</v>
      </c>
      <c r="B2814" s="210">
        <v>13</v>
      </c>
      <c r="C2814" s="191" t="str">
        <f>IF('IWP01'!E$524=0,"",'IWP01'!E$524)</f>
        <v/>
      </c>
      <c r="D2814" s="211">
        <f>'IWP01'!G$524</f>
        <v>0</v>
      </c>
      <c r="E2814" s="211">
        <f>'IWP01'!H$524</f>
        <v>0</v>
      </c>
      <c r="F2814" s="211">
        <f>'IWP01'!I$524</f>
        <v>0</v>
      </c>
      <c r="G2814" s="191" t="str">
        <f>IF('IWP01'!J$524=0,"",'IWP01'!J$524)</f>
        <v/>
      </c>
      <c r="H2814" s="211">
        <f>'IWP01'!K$524</f>
        <v>0</v>
      </c>
      <c r="I2814" s="211">
        <f>'IWP01'!L$524</f>
        <v>0</v>
      </c>
      <c r="J2814" s="212">
        <f>'IWP01'!M$524</f>
        <v>0</v>
      </c>
      <c r="K2814" s="106"/>
      <c r="L2814" s="106"/>
      <c r="M2814" s="129"/>
    </row>
    <row r="2815" spans="1:13" s="105" customFormat="1">
      <c r="A2815" s="193" t="s">
        <v>499</v>
      </c>
      <c r="B2815" s="210">
        <v>13</v>
      </c>
      <c r="C2815" s="191" t="str">
        <f>IF('IWP01'!E$525=0,"",'IWP01'!E$525)</f>
        <v/>
      </c>
      <c r="D2815" s="211">
        <f>'IWP01'!G$525</f>
        <v>0</v>
      </c>
      <c r="E2815" s="211">
        <f>'IWP01'!H$525</f>
        <v>0</v>
      </c>
      <c r="F2815" s="211">
        <f>'IWP01'!I$525</f>
        <v>0</v>
      </c>
      <c r="G2815" s="191" t="str">
        <f>IF('IWP01'!J$525=0,"",'IWP01'!J$525)</f>
        <v/>
      </c>
      <c r="H2815" s="211">
        <f>'IWP01'!K$525</f>
        <v>0</v>
      </c>
      <c r="I2815" s="211">
        <f>'IWP01'!L$525</f>
        <v>0</v>
      </c>
      <c r="J2815" s="212">
        <f>'IWP01'!M$525</f>
        <v>0</v>
      </c>
      <c r="K2815" s="106"/>
      <c r="L2815" s="106"/>
      <c r="M2815" s="129"/>
    </row>
    <row r="2816" spans="1:13" s="105" customFormat="1">
      <c r="A2816" s="193" t="s">
        <v>499</v>
      </c>
      <c r="B2816" s="210">
        <v>13</v>
      </c>
      <c r="C2816" s="191" t="str">
        <f>IF('IWP01'!E$526=0,"",'IWP01'!E$526)</f>
        <v/>
      </c>
      <c r="D2816" s="211">
        <f>'IWP01'!G$526</f>
        <v>0</v>
      </c>
      <c r="E2816" s="211">
        <f>'IWP01'!H$526</f>
        <v>0</v>
      </c>
      <c r="F2816" s="211">
        <f>'IWP01'!I$526</f>
        <v>0</v>
      </c>
      <c r="G2816" s="191" t="str">
        <f>IF('IWP01'!J$526=0,"",'IWP01'!J$526)</f>
        <v/>
      </c>
      <c r="H2816" s="211">
        <f>'IWP01'!K$526</f>
        <v>0</v>
      </c>
      <c r="I2816" s="211">
        <f>'IWP01'!L$526</f>
        <v>0</v>
      </c>
      <c r="J2816" s="212">
        <f>'IWP01'!M$526</f>
        <v>0</v>
      </c>
      <c r="K2816" s="106"/>
      <c r="L2816" s="106"/>
      <c r="M2816" s="129"/>
    </row>
    <row r="2817" spans="1:13" s="105" customFormat="1">
      <c r="A2817" s="193" t="s">
        <v>499</v>
      </c>
      <c r="B2817" s="210">
        <v>13</v>
      </c>
      <c r="C2817" s="191" t="str">
        <f>IF('IWP01'!E$527=0,"",'IWP01'!E$527)</f>
        <v/>
      </c>
      <c r="D2817" s="211">
        <f>'IWP01'!G$527</f>
        <v>0</v>
      </c>
      <c r="E2817" s="211">
        <f>'IWP01'!H$527</f>
        <v>0</v>
      </c>
      <c r="F2817" s="211">
        <f>'IWP01'!I$527</f>
        <v>0</v>
      </c>
      <c r="G2817" s="191" t="str">
        <f>IF('IWP01'!J$527=0,"",'IWP01'!J$527)</f>
        <v/>
      </c>
      <c r="H2817" s="211">
        <f>'IWP01'!K$527</f>
        <v>0</v>
      </c>
      <c r="I2817" s="211">
        <f>'IWP01'!L$527</f>
        <v>0</v>
      </c>
      <c r="J2817" s="212">
        <f>'IWP01'!M$527</f>
        <v>0</v>
      </c>
      <c r="K2817" s="106"/>
      <c r="L2817" s="106"/>
      <c r="M2817" s="129"/>
    </row>
    <row r="2818" spans="1:13" s="105" customFormat="1">
      <c r="A2818" s="193" t="s">
        <v>499</v>
      </c>
      <c r="B2818" s="210">
        <v>13</v>
      </c>
      <c r="C2818" s="191" t="str">
        <f>IF('IWP01'!E$528=0,"",'IWP01'!E$528)</f>
        <v/>
      </c>
      <c r="D2818" s="211">
        <f>'IWP01'!G$528</f>
        <v>0</v>
      </c>
      <c r="E2818" s="211">
        <f>'IWP01'!H$528</f>
        <v>0</v>
      </c>
      <c r="F2818" s="211">
        <f>'IWP01'!I$528</f>
        <v>0</v>
      </c>
      <c r="G2818" s="191" t="str">
        <f>IF('IWP01'!J$528=0,"",'IWP01'!J$528)</f>
        <v/>
      </c>
      <c r="H2818" s="211">
        <f>'IWP01'!K$528</f>
        <v>0</v>
      </c>
      <c r="I2818" s="211">
        <f>'IWP01'!L$528</f>
        <v>0</v>
      </c>
      <c r="J2818" s="212">
        <f>'IWP01'!M$528</f>
        <v>0</v>
      </c>
      <c r="K2818" s="106"/>
      <c r="L2818" s="106"/>
      <c r="M2818" s="129"/>
    </row>
    <row r="2819" spans="1:13" s="105" customFormat="1">
      <c r="A2819" s="193" t="s">
        <v>499</v>
      </c>
      <c r="B2819" s="210">
        <v>13</v>
      </c>
      <c r="C2819" s="191" t="str">
        <f>IF('IWP01'!E$529=0,"",'IWP01'!E$529)</f>
        <v/>
      </c>
      <c r="D2819" s="211">
        <f>'IWP01'!G$529</f>
        <v>0</v>
      </c>
      <c r="E2819" s="211">
        <f>'IWP01'!H$529</f>
        <v>0</v>
      </c>
      <c r="F2819" s="211">
        <f>'IWP01'!I$529</f>
        <v>0</v>
      </c>
      <c r="G2819" s="191" t="str">
        <f>IF('IWP01'!J$529=0,"",'IWP01'!J$529)</f>
        <v/>
      </c>
      <c r="H2819" s="211">
        <f>'IWP01'!K$529</f>
        <v>0</v>
      </c>
      <c r="I2819" s="211">
        <f>'IWP01'!L$529</f>
        <v>0</v>
      </c>
      <c r="J2819" s="212">
        <f>'IWP01'!M$529</f>
        <v>0</v>
      </c>
      <c r="K2819" s="106"/>
      <c r="L2819" s="106"/>
      <c r="M2819" s="129"/>
    </row>
    <row r="2820" spans="1:13" s="105" customFormat="1">
      <c r="A2820" s="193" t="s">
        <v>499</v>
      </c>
      <c r="B2820" s="210">
        <v>13</v>
      </c>
      <c r="C2820" s="191" t="str">
        <f>IF('IWP01'!E$530=0,"",'IWP01'!E$530)</f>
        <v/>
      </c>
      <c r="D2820" s="211">
        <f>'IWP01'!G$530</f>
        <v>0</v>
      </c>
      <c r="E2820" s="211">
        <f>'IWP01'!H$530</f>
        <v>0</v>
      </c>
      <c r="F2820" s="211">
        <f>'IWP01'!I$530</f>
        <v>0</v>
      </c>
      <c r="G2820" s="191" t="str">
        <f>IF('IWP01'!J$530=0,"",'IWP01'!J$530)</f>
        <v/>
      </c>
      <c r="H2820" s="211">
        <f>'IWP01'!K$530</f>
        <v>0</v>
      </c>
      <c r="I2820" s="211">
        <f>'IWP01'!L$530</f>
        <v>0</v>
      </c>
      <c r="J2820" s="212">
        <f>'IWP01'!M$530</f>
        <v>0</v>
      </c>
      <c r="K2820" s="106"/>
      <c r="L2820" s="106"/>
      <c r="M2820" s="129"/>
    </row>
    <row r="2821" spans="1:13" s="105" customFormat="1">
      <c r="A2821" s="193" t="s">
        <v>499</v>
      </c>
      <c r="B2821" s="210">
        <v>14</v>
      </c>
      <c r="C2821" s="191" t="str">
        <f>IF('IWP01'!E$537=0,"",'IWP01'!E$537)</f>
        <v/>
      </c>
      <c r="D2821" s="211">
        <f>'IWP01'!G$537</f>
        <v>0</v>
      </c>
      <c r="E2821" s="211">
        <f>'IWP01'!H$537</f>
        <v>0</v>
      </c>
      <c r="F2821" s="211">
        <f>'IWP01'!I$537</f>
        <v>0</v>
      </c>
      <c r="G2821" s="191" t="str">
        <f>IF('IWP01'!J$537=0,"",'IWP01'!J$537)</f>
        <v/>
      </c>
      <c r="H2821" s="211">
        <f>'IWP01'!K$537</f>
        <v>0</v>
      </c>
      <c r="I2821" s="211">
        <f>'IWP01'!L$537</f>
        <v>0</v>
      </c>
      <c r="J2821" s="212">
        <f>'IWP01'!M$537</f>
        <v>0</v>
      </c>
      <c r="K2821" s="106"/>
      <c r="L2821" s="106"/>
      <c r="M2821" s="129"/>
    </row>
    <row r="2822" spans="1:13" s="105" customFormat="1">
      <c r="A2822" s="193" t="s">
        <v>499</v>
      </c>
      <c r="B2822" s="210">
        <v>14</v>
      </c>
      <c r="C2822" s="191" t="str">
        <f>IF('IWP01'!E$538=0,"",'IWP01'!E$538)</f>
        <v/>
      </c>
      <c r="D2822" s="211">
        <f>'IWP01'!G$538</f>
        <v>0</v>
      </c>
      <c r="E2822" s="211">
        <f>'IWP01'!H$538</f>
        <v>0</v>
      </c>
      <c r="F2822" s="211">
        <f>'IWP01'!I$538</f>
        <v>0</v>
      </c>
      <c r="G2822" s="191" t="str">
        <f>IF('IWP01'!J$538=0,"",'IWP01'!J$538)</f>
        <v/>
      </c>
      <c r="H2822" s="211">
        <f>'IWP01'!K$538</f>
        <v>0</v>
      </c>
      <c r="I2822" s="211">
        <f>'IWP01'!L$538</f>
        <v>0</v>
      </c>
      <c r="J2822" s="212">
        <f>'IWP01'!M$538</f>
        <v>0</v>
      </c>
      <c r="K2822" s="106"/>
      <c r="L2822" s="106"/>
      <c r="M2822" s="129"/>
    </row>
    <row r="2823" spans="1:13" s="105" customFormat="1">
      <c r="A2823" s="193" t="s">
        <v>499</v>
      </c>
      <c r="B2823" s="210">
        <v>14</v>
      </c>
      <c r="C2823" s="191" t="str">
        <f>IF('IWP01'!E$539=0,"",'IWP01'!E$539)</f>
        <v/>
      </c>
      <c r="D2823" s="211">
        <f>'IWP01'!G$539</f>
        <v>0</v>
      </c>
      <c r="E2823" s="211">
        <f>'IWP01'!H$539</f>
        <v>0</v>
      </c>
      <c r="F2823" s="211">
        <f>'IWP01'!I$539</f>
        <v>0</v>
      </c>
      <c r="G2823" s="191" t="str">
        <f>IF('IWP01'!J$539=0,"",'IWP01'!J$539)</f>
        <v/>
      </c>
      <c r="H2823" s="211">
        <f>'IWP01'!K$539</f>
        <v>0</v>
      </c>
      <c r="I2823" s="211">
        <f>'IWP01'!L$539</f>
        <v>0</v>
      </c>
      <c r="J2823" s="212">
        <f>'IWP01'!M$539</f>
        <v>0</v>
      </c>
      <c r="K2823" s="106"/>
      <c r="L2823" s="106"/>
      <c r="M2823" s="129"/>
    </row>
    <row r="2824" spans="1:13" s="105" customFormat="1">
      <c r="A2824" s="193" t="s">
        <v>499</v>
      </c>
      <c r="B2824" s="210">
        <v>14</v>
      </c>
      <c r="C2824" s="191" t="str">
        <f>IF('IWP01'!E$540=0,"",'IWP01'!E$540)</f>
        <v/>
      </c>
      <c r="D2824" s="211">
        <f>'IWP01'!G$540</f>
        <v>0</v>
      </c>
      <c r="E2824" s="211">
        <f>'IWP01'!H$540</f>
        <v>0</v>
      </c>
      <c r="F2824" s="211">
        <f>'IWP01'!I$540</f>
        <v>0</v>
      </c>
      <c r="G2824" s="191" t="str">
        <f>IF('IWP01'!J$540=0,"",'IWP01'!J$540)</f>
        <v/>
      </c>
      <c r="H2824" s="211">
        <f>'IWP01'!K$540</f>
        <v>0</v>
      </c>
      <c r="I2824" s="211">
        <f>'IWP01'!L$540</f>
        <v>0</v>
      </c>
      <c r="J2824" s="212">
        <f>'IWP01'!M$540</f>
        <v>0</v>
      </c>
      <c r="K2824" s="106"/>
      <c r="L2824" s="106"/>
      <c r="M2824" s="129"/>
    </row>
    <row r="2825" spans="1:13" s="105" customFormat="1">
      <c r="A2825" s="193" t="s">
        <v>499</v>
      </c>
      <c r="B2825" s="210">
        <v>14</v>
      </c>
      <c r="C2825" s="191" t="str">
        <f>IF('IWP01'!E$541=0,"",'IWP01'!E$541)</f>
        <v/>
      </c>
      <c r="D2825" s="211">
        <f>'IWP01'!G$541</f>
        <v>0</v>
      </c>
      <c r="E2825" s="211">
        <f>'IWP01'!H$541</f>
        <v>0</v>
      </c>
      <c r="F2825" s="211">
        <f>'IWP01'!I$541</f>
        <v>0</v>
      </c>
      <c r="G2825" s="191" t="str">
        <f>IF('IWP01'!J$541=0,"",'IWP01'!J$541)</f>
        <v/>
      </c>
      <c r="H2825" s="211">
        <f>'IWP01'!K$541</f>
        <v>0</v>
      </c>
      <c r="I2825" s="211">
        <f>'IWP01'!L$541</f>
        <v>0</v>
      </c>
      <c r="J2825" s="212">
        <f>'IWP01'!M$541</f>
        <v>0</v>
      </c>
      <c r="K2825" s="106"/>
      <c r="L2825" s="106"/>
      <c r="M2825" s="129"/>
    </row>
    <row r="2826" spans="1:13" s="105" customFormat="1">
      <c r="A2826" s="193" t="s">
        <v>499</v>
      </c>
      <c r="B2826" s="210">
        <v>14</v>
      </c>
      <c r="C2826" s="191" t="str">
        <f>IF('IWP01'!E$542=0,"",'IWP01'!E$542)</f>
        <v/>
      </c>
      <c r="D2826" s="211">
        <f>'IWP01'!G$542</f>
        <v>0</v>
      </c>
      <c r="E2826" s="211">
        <f>'IWP01'!H$542</f>
        <v>0</v>
      </c>
      <c r="F2826" s="211">
        <f>'IWP01'!I$542</f>
        <v>0</v>
      </c>
      <c r="G2826" s="191" t="str">
        <f>IF('IWP01'!J$542=0,"",'IWP01'!J$542)</f>
        <v/>
      </c>
      <c r="H2826" s="211">
        <f>'IWP01'!K$542</f>
        <v>0</v>
      </c>
      <c r="I2826" s="211">
        <f>'IWP01'!L$542</f>
        <v>0</v>
      </c>
      <c r="J2826" s="212">
        <f>'IWP01'!M$542</f>
        <v>0</v>
      </c>
      <c r="K2826" s="106"/>
      <c r="L2826" s="106"/>
      <c r="M2826" s="129"/>
    </row>
    <row r="2827" spans="1:13" s="105" customFormat="1">
      <c r="A2827" s="193" t="s">
        <v>499</v>
      </c>
      <c r="B2827" s="210">
        <v>14</v>
      </c>
      <c r="C2827" s="191" t="str">
        <f>IF('IWP01'!E$543=0,"",'IWP01'!E$543)</f>
        <v/>
      </c>
      <c r="D2827" s="211">
        <f>'IWP01'!G$543</f>
        <v>0</v>
      </c>
      <c r="E2827" s="211">
        <f>'IWP01'!H$543</f>
        <v>0</v>
      </c>
      <c r="F2827" s="211">
        <f>'IWP01'!I$543</f>
        <v>0</v>
      </c>
      <c r="G2827" s="191" t="str">
        <f>IF('IWP01'!J$543=0,"",'IWP01'!J$543)</f>
        <v/>
      </c>
      <c r="H2827" s="211">
        <f>'IWP01'!K$543</f>
        <v>0</v>
      </c>
      <c r="I2827" s="211">
        <f>'IWP01'!L$543</f>
        <v>0</v>
      </c>
      <c r="J2827" s="212">
        <f>'IWP01'!M$543</f>
        <v>0</v>
      </c>
      <c r="K2827" s="106"/>
      <c r="L2827" s="106"/>
      <c r="M2827" s="129"/>
    </row>
    <row r="2828" spans="1:13" s="105" customFormat="1">
      <c r="A2828" s="193" t="s">
        <v>499</v>
      </c>
      <c r="B2828" s="210">
        <v>14</v>
      </c>
      <c r="C2828" s="191" t="str">
        <f>IF('IWP01'!E$544=0,"",'IWP01'!E$544)</f>
        <v/>
      </c>
      <c r="D2828" s="211">
        <f>'IWP01'!G$544</f>
        <v>0</v>
      </c>
      <c r="E2828" s="211">
        <f>'IWP01'!H$544</f>
        <v>0</v>
      </c>
      <c r="F2828" s="211">
        <f>'IWP01'!I$544</f>
        <v>0</v>
      </c>
      <c r="G2828" s="191" t="str">
        <f>IF('IWP01'!J$544=0,"",'IWP01'!J$544)</f>
        <v/>
      </c>
      <c r="H2828" s="211">
        <f>'IWP01'!K$544</f>
        <v>0</v>
      </c>
      <c r="I2828" s="211">
        <f>'IWP01'!L$544</f>
        <v>0</v>
      </c>
      <c r="J2828" s="212">
        <f>'IWP01'!M$544</f>
        <v>0</v>
      </c>
      <c r="K2828" s="106"/>
      <c r="L2828" s="106"/>
      <c r="M2828" s="129"/>
    </row>
    <row r="2829" spans="1:13" s="105" customFormat="1">
      <c r="A2829" s="193" t="s">
        <v>499</v>
      </c>
      <c r="B2829" s="210">
        <v>14</v>
      </c>
      <c r="C2829" s="191" t="str">
        <f>IF('IWP01'!E$545=0,"",'IWP01'!E$545)</f>
        <v/>
      </c>
      <c r="D2829" s="211">
        <f>'IWP01'!G$545</f>
        <v>0</v>
      </c>
      <c r="E2829" s="211">
        <f>'IWP01'!H$545</f>
        <v>0</v>
      </c>
      <c r="F2829" s="211">
        <f>'IWP01'!I$545</f>
        <v>0</v>
      </c>
      <c r="G2829" s="191" t="str">
        <f>IF('IWP01'!J$545=0,"",'IWP01'!J$545)</f>
        <v/>
      </c>
      <c r="H2829" s="211">
        <f>'IWP01'!K$545</f>
        <v>0</v>
      </c>
      <c r="I2829" s="211">
        <f>'IWP01'!L$545</f>
        <v>0</v>
      </c>
      <c r="J2829" s="212">
        <f>'IWP01'!M$545</f>
        <v>0</v>
      </c>
      <c r="K2829" s="106"/>
      <c r="L2829" s="106"/>
      <c r="M2829" s="129"/>
    </row>
    <row r="2830" spans="1:13" s="105" customFormat="1">
      <c r="A2830" s="193" t="s">
        <v>499</v>
      </c>
      <c r="B2830" s="210">
        <v>14</v>
      </c>
      <c r="C2830" s="191" t="str">
        <f>IF('IWP01'!E$546=0,"",'IWP01'!E$546)</f>
        <v/>
      </c>
      <c r="D2830" s="211">
        <f>'IWP01'!G$546</f>
        <v>0</v>
      </c>
      <c r="E2830" s="211">
        <f>'IWP01'!H$546</f>
        <v>0</v>
      </c>
      <c r="F2830" s="211">
        <f>'IWP01'!I$546</f>
        <v>0</v>
      </c>
      <c r="G2830" s="191" t="str">
        <f>IF('IWP01'!J$546=0,"",'IWP01'!J$546)</f>
        <v/>
      </c>
      <c r="H2830" s="211">
        <f>'IWP01'!K$546</f>
        <v>0</v>
      </c>
      <c r="I2830" s="211">
        <f>'IWP01'!L$546</f>
        <v>0</v>
      </c>
      <c r="J2830" s="212">
        <f>'IWP01'!M$546</f>
        <v>0</v>
      </c>
      <c r="K2830" s="106"/>
      <c r="L2830" s="106"/>
      <c r="M2830" s="129"/>
    </row>
    <row r="2831" spans="1:13" s="105" customFormat="1">
      <c r="A2831" s="193" t="s">
        <v>499</v>
      </c>
      <c r="B2831" s="210">
        <v>15</v>
      </c>
      <c r="C2831" s="191" t="str">
        <f>IF('IWP01'!E$553=0,"",'IWP01'!E$553)</f>
        <v/>
      </c>
      <c r="D2831" s="211">
        <f>'IWP01'!G$553</f>
        <v>0</v>
      </c>
      <c r="E2831" s="211">
        <f>'IWP01'!H$553</f>
        <v>0</v>
      </c>
      <c r="F2831" s="211">
        <f>'IWP01'!I$553</f>
        <v>0</v>
      </c>
      <c r="G2831" s="191" t="str">
        <f>IF('IWP01'!J$553=0,"",'IWP01'!J$553)</f>
        <v/>
      </c>
      <c r="H2831" s="211">
        <f>'IWP01'!K$553</f>
        <v>0</v>
      </c>
      <c r="I2831" s="211">
        <f>'IWP01'!L$553</f>
        <v>0</v>
      </c>
      <c r="J2831" s="212">
        <f>'IWP01'!M$553</f>
        <v>0</v>
      </c>
      <c r="K2831" s="106"/>
      <c r="L2831" s="106"/>
      <c r="M2831" s="129"/>
    </row>
    <row r="2832" spans="1:13" s="105" customFormat="1">
      <c r="A2832" s="193" t="s">
        <v>499</v>
      </c>
      <c r="B2832" s="210">
        <v>15</v>
      </c>
      <c r="C2832" s="191" t="str">
        <f>IF('IWP01'!E$554=0,"",'IWP01'!E$554)</f>
        <v/>
      </c>
      <c r="D2832" s="211">
        <f>'IWP01'!G$554</f>
        <v>0</v>
      </c>
      <c r="E2832" s="211">
        <f>'IWP01'!H$554</f>
        <v>0</v>
      </c>
      <c r="F2832" s="211">
        <f>'IWP01'!I$554</f>
        <v>0</v>
      </c>
      <c r="G2832" s="191" t="str">
        <f>IF('IWP01'!J$554=0,"",'IWP01'!J$554)</f>
        <v/>
      </c>
      <c r="H2832" s="211">
        <f>'IWP01'!K$554</f>
        <v>0</v>
      </c>
      <c r="I2832" s="211">
        <f>'IWP01'!L$554</f>
        <v>0</v>
      </c>
      <c r="J2832" s="212">
        <f>'IWP01'!M$554</f>
        <v>0</v>
      </c>
      <c r="K2832" s="106"/>
      <c r="L2832" s="106"/>
      <c r="M2832" s="129"/>
    </row>
    <row r="2833" spans="1:13" s="105" customFormat="1">
      <c r="A2833" s="193" t="s">
        <v>499</v>
      </c>
      <c r="B2833" s="210">
        <v>15</v>
      </c>
      <c r="C2833" s="191" t="str">
        <f>IF('IWP01'!E$555=0,"",'IWP01'!E$555)</f>
        <v/>
      </c>
      <c r="D2833" s="211">
        <f>'IWP01'!G$555</f>
        <v>0</v>
      </c>
      <c r="E2833" s="211">
        <f>'IWP01'!H$555</f>
        <v>0</v>
      </c>
      <c r="F2833" s="211">
        <f>'IWP01'!I$555</f>
        <v>0</v>
      </c>
      <c r="G2833" s="191" t="str">
        <f>IF('IWP01'!J$555=0,"",'IWP01'!J$555)</f>
        <v/>
      </c>
      <c r="H2833" s="211">
        <f>'IWP01'!K$555</f>
        <v>0</v>
      </c>
      <c r="I2833" s="211">
        <f>'IWP01'!L$555</f>
        <v>0</v>
      </c>
      <c r="J2833" s="212">
        <f>'IWP01'!M$555</f>
        <v>0</v>
      </c>
      <c r="K2833" s="106"/>
      <c r="L2833" s="106"/>
      <c r="M2833" s="129"/>
    </row>
    <row r="2834" spans="1:13" s="105" customFormat="1">
      <c r="A2834" s="193" t="s">
        <v>499</v>
      </c>
      <c r="B2834" s="210">
        <v>15</v>
      </c>
      <c r="C2834" s="191" t="str">
        <f>IF('IWP01'!E$556=0,"",'IWP01'!E$556)</f>
        <v/>
      </c>
      <c r="D2834" s="211">
        <f>'IWP01'!G$556</f>
        <v>0</v>
      </c>
      <c r="E2834" s="211">
        <f>'IWP01'!H$556</f>
        <v>0</v>
      </c>
      <c r="F2834" s="211">
        <f>'IWP01'!I$556</f>
        <v>0</v>
      </c>
      <c r="G2834" s="191" t="str">
        <f>IF('IWP01'!J$556=0,"",'IWP01'!J$556)</f>
        <v/>
      </c>
      <c r="H2834" s="211">
        <f>'IWP01'!K$556</f>
        <v>0</v>
      </c>
      <c r="I2834" s="211">
        <f>'IWP01'!L$556</f>
        <v>0</v>
      </c>
      <c r="J2834" s="212">
        <f>'IWP01'!M$556</f>
        <v>0</v>
      </c>
      <c r="K2834" s="106"/>
      <c r="L2834" s="106"/>
      <c r="M2834" s="129"/>
    </row>
    <row r="2835" spans="1:13" s="105" customFormat="1">
      <c r="A2835" s="193" t="s">
        <v>499</v>
      </c>
      <c r="B2835" s="210">
        <v>15</v>
      </c>
      <c r="C2835" s="191" t="str">
        <f>IF('IWP01'!E$557=0,"",'IWP01'!E$557)</f>
        <v/>
      </c>
      <c r="D2835" s="211">
        <f>'IWP01'!G$557</f>
        <v>0</v>
      </c>
      <c r="E2835" s="211">
        <f>'IWP01'!H$557</f>
        <v>0</v>
      </c>
      <c r="F2835" s="211">
        <f>'IWP01'!I$557</f>
        <v>0</v>
      </c>
      <c r="G2835" s="191" t="str">
        <f>IF('IWP01'!J$557=0,"",'IWP01'!J$557)</f>
        <v/>
      </c>
      <c r="H2835" s="211">
        <f>'IWP01'!K$557</f>
        <v>0</v>
      </c>
      <c r="I2835" s="211">
        <f>'IWP01'!L$557</f>
        <v>0</v>
      </c>
      <c r="J2835" s="212">
        <f>'IWP01'!M$557</f>
        <v>0</v>
      </c>
      <c r="K2835" s="106"/>
      <c r="L2835" s="106"/>
      <c r="M2835" s="129"/>
    </row>
    <row r="2836" spans="1:13" s="105" customFormat="1">
      <c r="A2836" s="193" t="s">
        <v>499</v>
      </c>
      <c r="B2836" s="210">
        <v>15</v>
      </c>
      <c r="C2836" s="191" t="str">
        <f>IF('IWP01'!E$558=0,"",'IWP01'!E$558)</f>
        <v/>
      </c>
      <c r="D2836" s="211">
        <f>'IWP01'!G$558</f>
        <v>0</v>
      </c>
      <c r="E2836" s="211">
        <f>'IWP01'!H$558</f>
        <v>0</v>
      </c>
      <c r="F2836" s="211">
        <f>'IWP01'!I$558</f>
        <v>0</v>
      </c>
      <c r="G2836" s="191" t="str">
        <f>IF('IWP01'!J$558=0,"",'IWP01'!J$558)</f>
        <v/>
      </c>
      <c r="H2836" s="211">
        <f>'IWP01'!K$558</f>
        <v>0</v>
      </c>
      <c r="I2836" s="211">
        <f>'IWP01'!L$558</f>
        <v>0</v>
      </c>
      <c r="J2836" s="212">
        <f>'IWP01'!M$558</f>
        <v>0</v>
      </c>
      <c r="K2836" s="106"/>
      <c r="L2836" s="106"/>
      <c r="M2836" s="129"/>
    </row>
    <row r="2837" spans="1:13" s="105" customFormat="1">
      <c r="A2837" s="193" t="s">
        <v>499</v>
      </c>
      <c r="B2837" s="210">
        <v>15</v>
      </c>
      <c r="C2837" s="191" t="str">
        <f>IF('IWP01'!E$559=0,"",'IWP01'!E$559)</f>
        <v/>
      </c>
      <c r="D2837" s="211">
        <f>'IWP01'!G$559</f>
        <v>0</v>
      </c>
      <c r="E2837" s="211">
        <f>'IWP01'!H$559</f>
        <v>0</v>
      </c>
      <c r="F2837" s="211">
        <f>'IWP01'!I$559</f>
        <v>0</v>
      </c>
      <c r="G2837" s="191" t="str">
        <f>IF('IWP01'!J$559=0,"",'IWP01'!J$559)</f>
        <v/>
      </c>
      <c r="H2837" s="211">
        <f>'IWP01'!K$559</f>
        <v>0</v>
      </c>
      <c r="I2837" s="211">
        <f>'IWP01'!L$559</f>
        <v>0</v>
      </c>
      <c r="J2837" s="212">
        <f>'IWP01'!M$559</f>
        <v>0</v>
      </c>
      <c r="K2837" s="106"/>
      <c r="L2837" s="106"/>
      <c r="M2837" s="129"/>
    </row>
    <row r="2838" spans="1:13" s="105" customFormat="1">
      <c r="A2838" s="193" t="s">
        <v>499</v>
      </c>
      <c r="B2838" s="210">
        <v>15</v>
      </c>
      <c r="C2838" s="191" t="str">
        <f>IF('IWP01'!E$560=0,"",'IWP01'!E$560)</f>
        <v/>
      </c>
      <c r="D2838" s="211">
        <f>'IWP01'!G$560</f>
        <v>0</v>
      </c>
      <c r="E2838" s="211">
        <f>'IWP01'!H$560</f>
        <v>0</v>
      </c>
      <c r="F2838" s="211">
        <f>'IWP01'!I$560</f>
        <v>0</v>
      </c>
      <c r="G2838" s="191" t="str">
        <f>IF('IWP01'!J$560=0,"",'IWP01'!J$560)</f>
        <v/>
      </c>
      <c r="H2838" s="211">
        <f>'IWP01'!K$560</f>
        <v>0</v>
      </c>
      <c r="I2838" s="211">
        <f>'IWP01'!L$560</f>
        <v>0</v>
      </c>
      <c r="J2838" s="212">
        <f>'IWP01'!M$560</f>
        <v>0</v>
      </c>
      <c r="K2838" s="106"/>
      <c r="L2838" s="106"/>
      <c r="M2838" s="129"/>
    </row>
    <row r="2839" spans="1:13" s="105" customFormat="1">
      <c r="A2839" s="193" t="s">
        <v>499</v>
      </c>
      <c r="B2839" s="210">
        <v>15</v>
      </c>
      <c r="C2839" s="191" t="str">
        <f>IF('IWP01'!E$561=0,"",'IWP01'!E$561)</f>
        <v/>
      </c>
      <c r="D2839" s="211">
        <f>'IWP01'!G$561</f>
        <v>0</v>
      </c>
      <c r="E2839" s="211">
        <f>'IWP01'!H$561</f>
        <v>0</v>
      </c>
      <c r="F2839" s="211">
        <f>'IWP01'!I$561</f>
        <v>0</v>
      </c>
      <c r="G2839" s="191" t="str">
        <f>IF('IWP01'!J$561=0,"",'IWP01'!J$561)</f>
        <v/>
      </c>
      <c r="H2839" s="211">
        <f>'IWP01'!K$561</f>
        <v>0</v>
      </c>
      <c r="I2839" s="211">
        <f>'IWP01'!L$561</f>
        <v>0</v>
      </c>
      <c r="J2839" s="212">
        <f>'IWP01'!M$561</f>
        <v>0</v>
      </c>
      <c r="K2839" s="106"/>
      <c r="L2839" s="106"/>
      <c r="M2839" s="129"/>
    </row>
    <row r="2840" spans="1:13" s="105" customFormat="1">
      <c r="A2840" s="193" t="s">
        <v>499</v>
      </c>
      <c r="B2840" s="210">
        <v>15</v>
      </c>
      <c r="C2840" s="191" t="str">
        <f>IF('IWP01'!E$562=0,"",'IWP01'!E$562)</f>
        <v/>
      </c>
      <c r="D2840" s="211">
        <f>'IWP01'!G$562</f>
        <v>0</v>
      </c>
      <c r="E2840" s="211">
        <f>'IWP01'!H$562</f>
        <v>0</v>
      </c>
      <c r="F2840" s="211">
        <f>'IWP01'!I$562</f>
        <v>0</v>
      </c>
      <c r="G2840" s="191" t="str">
        <f>IF('IWP01'!J$562=0,"",'IWP01'!J$562)</f>
        <v/>
      </c>
      <c r="H2840" s="211">
        <f>'IWP01'!K$562</f>
        <v>0</v>
      </c>
      <c r="I2840" s="211">
        <f>'IWP01'!L$562</f>
        <v>0</v>
      </c>
      <c r="J2840" s="212">
        <f>'IWP01'!M$562</f>
        <v>0</v>
      </c>
      <c r="K2840" s="106"/>
      <c r="L2840" s="106"/>
      <c r="M2840" s="129"/>
    </row>
    <row r="2841" spans="1:13" s="105" customFormat="1">
      <c r="A2841" s="193" t="s">
        <v>499</v>
      </c>
      <c r="B2841" s="210">
        <v>16</v>
      </c>
      <c r="C2841" s="191" t="str">
        <f>IF('IWP01'!E$569=0,"",'IWP01'!E$569)</f>
        <v/>
      </c>
      <c r="D2841" s="211">
        <f>'IWP01'!G$569</f>
        <v>0</v>
      </c>
      <c r="E2841" s="211">
        <f>'IWP01'!H$569</f>
        <v>0</v>
      </c>
      <c r="F2841" s="211">
        <f>'IWP01'!I$569</f>
        <v>0</v>
      </c>
      <c r="G2841" s="191" t="str">
        <f>IF('IWP01'!J$569=0,"",'IWP01'!J$569)</f>
        <v/>
      </c>
      <c r="H2841" s="211">
        <f>'IWP01'!K$569</f>
        <v>0</v>
      </c>
      <c r="I2841" s="211">
        <f>'IWP01'!L$569</f>
        <v>0</v>
      </c>
      <c r="J2841" s="212">
        <f>'IWP01'!M$569</f>
        <v>0</v>
      </c>
      <c r="K2841" s="106"/>
      <c r="L2841" s="106"/>
      <c r="M2841" s="129"/>
    </row>
    <row r="2842" spans="1:13" s="105" customFormat="1">
      <c r="A2842" s="193" t="s">
        <v>499</v>
      </c>
      <c r="B2842" s="210">
        <v>16</v>
      </c>
      <c r="C2842" s="191" t="str">
        <f>IF('IWP01'!E$570=0,"",'IWP01'!E$570)</f>
        <v/>
      </c>
      <c r="D2842" s="211">
        <f>'IWP01'!G$570</f>
        <v>0</v>
      </c>
      <c r="E2842" s="211">
        <f>'IWP01'!H$570</f>
        <v>0</v>
      </c>
      <c r="F2842" s="211">
        <f>'IWP01'!I$570</f>
        <v>0</v>
      </c>
      <c r="G2842" s="191" t="str">
        <f>IF('IWP01'!J$570=0,"",'IWP01'!J$570)</f>
        <v/>
      </c>
      <c r="H2842" s="211">
        <f>'IWP01'!K$570</f>
        <v>0</v>
      </c>
      <c r="I2842" s="211">
        <f>'IWP01'!L$570</f>
        <v>0</v>
      </c>
      <c r="J2842" s="212">
        <f>'IWP01'!M$570</f>
        <v>0</v>
      </c>
      <c r="K2842" s="106"/>
      <c r="L2842" s="106"/>
      <c r="M2842" s="129"/>
    </row>
    <row r="2843" spans="1:13" s="105" customFormat="1">
      <c r="A2843" s="193" t="s">
        <v>499</v>
      </c>
      <c r="B2843" s="210">
        <v>16</v>
      </c>
      <c r="C2843" s="191" t="str">
        <f>IF('IWP01'!E$571=0,"",'IWP01'!E$571)</f>
        <v/>
      </c>
      <c r="D2843" s="211">
        <f>'IWP01'!G$571</f>
        <v>0</v>
      </c>
      <c r="E2843" s="211">
        <f>'IWP01'!H$571</f>
        <v>0</v>
      </c>
      <c r="F2843" s="211">
        <f>'IWP01'!I$571</f>
        <v>0</v>
      </c>
      <c r="G2843" s="191" t="str">
        <f>IF('IWP01'!J$571=0,"",'IWP01'!J$571)</f>
        <v/>
      </c>
      <c r="H2843" s="211">
        <f>'IWP01'!K$571</f>
        <v>0</v>
      </c>
      <c r="I2843" s="211">
        <f>'IWP01'!L$571</f>
        <v>0</v>
      </c>
      <c r="J2843" s="212">
        <f>'IWP01'!M$571</f>
        <v>0</v>
      </c>
      <c r="K2843" s="106"/>
      <c r="L2843" s="106"/>
      <c r="M2843" s="129"/>
    </row>
    <row r="2844" spans="1:13" s="105" customFormat="1">
      <c r="A2844" s="193" t="s">
        <v>499</v>
      </c>
      <c r="B2844" s="210">
        <v>16</v>
      </c>
      <c r="C2844" s="191" t="str">
        <f>IF('IWP01'!E$572=0,"",'IWP01'!E$572)</f>
        <v/>
      </c>
      <c r="D2844" s="211">
        <f>'IWP01'!G$572</f>
        <v>0</v>
      </c>
      <c r="E2844" s="211">
        <f>'IWP01'!H$572</f>
        <v>0</v>
      </c>
      <c r="F2844" s="211">
        <f>'IWP01'!I$572</f>
        <v>0</v>
      </c>
      <c r="G2844" s="191" t="str">
        <f>IF('IWP01'!J$572=0,"",'IWP01'!J$572)</f>
        <v/>
      </c>
      <c r="H2844" s="211">
        <f>'IWP01'!K$572</f>
        <v>0</v>
      </c>
      <c r="I2844" s="211">
        <f>'IWP01'!L$572</f>
        <v>0</v>
      </c>
      <c r="J2844" s="212">
        <f>'IWP01'!M$572</f>
        <v>0</v>
      </c>
      <c r="K2844" s="106"/>
      <c r="L2844" s="106"/>
      <c r="M2844" s="129"/>
    </row>
    <row r="2845" spans="1:13" s="105" customFormat="1">
      <c r="A2845" s="193" t="s">
        <v>499</v>
      </c>
      <c r="B2845" s="210">
        <v>16</v>
      </c>
      <c r="C2845" s="191" t="str">
        <f>IF('IWP01'!E$573=0,"",'IWP01'!E$573)</f>
        <v/>
      </c>
      <c r="D2845" s="211">
        <f>'IWP01'!G$573</f>
        <v>0</v>
      </c>
      <c r="E2845" s="211">
        <f>'IWP01'!H$573</f>
        <v>0</v>
      </c>
      <c r="F2845" s="211">
        <f>'IWP01'!I$573</f>
        <v>0</v>
      </c>
      <c r="G2845" s="191" t="str">
        <f>IF('IWP01'!J$573=0,"",'IWP01'!J$573)</f>
        <v/>
      </c>
      <c r="H2845" s="211">
        <f>'IWP01'!K$573</f>
        <v>0</v>
      </c>
      <c r="I2845" s="211">
        <f>'IWP01'!L$573</f>
        <v>0</v>
      </c>
      <c r="J2845" s="212">
        <f>'IWP01'!M$573</f>
        <v>0</v>
      </c>
      <c r="K2845" s="106"/>
      <c r="L2845" s="106"/>
      <c r="M2845" s="129"/>
    </row>
    <row r="2846" spans="1:13" s="105" customFormat="1">
      <c r="A2846" s="193" t="s">
        <v>499</v>
      </c>
      <c r="B2846" s="210">
        <v>16</v>
      </c>
      <c r="C2846" s="191" t="str">
        <f>IF('IWP01'!E$574=0,"",'IWP01'!E$574)</f>
        <v/>
      </c>
      <c r="D2846" s="211">
        <f>'IWP01'!G$574</f>
        <v>0</v>
      </c>
      <c r="E2846" s="211">
        <f>'IWP01'!H$574</f>
        <v>0</v>
      </c>
      <c r="F2846" s="211">
        <f>'IWP01'!I$574</f>
        <v>0</v>
      </c>
      <c r="G2846" s="191" t="str">
        <f>IF('IWP01'!J$574=0,"",'IWP01'!J$574)</f>
        <v/>
      </c>
      <c r="H2846" s="211">
        <f>'IWP01'!K$574</f>
        <v>0</v>
      </c>
      <c r="I2846" s="211">
        <f>'IWP01'!L$574</f>
        <v>0</v>
      </c>
      <c r="J2846" s="212">
        <f>'IWP01'!M$574</f>
        <v>0</v>
      </c>
      <c r="K2846" s="106"/>
      <c r="L2846" s="106"/>
      <c r="M2846" s="129"/>
    </row>
    <row r="2847" spans="1:13" s="105" customFormat="1">
      <c r="A2847" s="193" t="s">
        <v>499</v>
      </c>
      <c r="B2847" s="210">
        <v>16</v>
      </c>
      <c r="C2847" s="191" t="str">
        <f>IF('IWP01'!E$575=0,"",'IWP01'!E$575)</f>
        <v/>
      </c>
      <c r="D2847" s="211">
        <f>'IWP01'!G$575</f>
        <v>0</v>
      </c>
      <c r="E2847" s="211">
        <f>'IWP01'!H$575</f>
        <v>0</v>
      </c>
      <c r="F2847" s="211">
        <f>'IWP01'!I$575</f>
        <v>0</v>
      </c>
      <c r="G2847" s="191" t="str">
        <f>IF('IWP01'!J$575=0,"",'IWP01'!J$575)</f>
        <v/>
      </c>
      <c r="H2847" s="211">
        <f>'IWP01'!K$575</f>
        <v>0</v>
      </c>
      <c r="I2847" s="211">
        <f>'IWP01'!L$575</f>
        <v>0</v>
      </c>
      <c r="J2847" s="212">
        <f>'IWP01'!M$575</f>
        <v>0</v>
      </c>
      <c r="K2847" s="106"/>
      <c r="L2847" s="106"/>
      <c r="M2847" s="129"/>
    </row>
    <row r="2848" spans="1:13" s="105" customFormat="1">
      <c r="A2848" s="193" t="s">
        <v>499</v>
      </c>
      <c r="B2848" s="210">
        <v>16</v>
      </c>
      <c r="C2848" s="191" t="str">
        <f>IF('IWP01'!E$576=0,"",'IWP01'!E$576)</f>
        <v/>
      </c>
      <c r="D2848" s="211">
        <f>'IWP01'!G$576</f>
        <v>0</v>
      </c>
      <c r="E2848" s="211">
        <f>'IWP01'!H$576</f>
        <v>0</v>
      </c>
      <c r="F2848" s="211">
        <f>'IWP01'!I$576</f>
        <v>0</v>
      </c>
      <c r="G2848" s="191" t="str">
        <f>IF('IWP01'!J$576=0,"",'IWP01'!J$576)</f>
        <v/>
      </c>
      <c r="H2848" s="211">
        <f>'IWP01'!K$576</f>
        <v>0</v>
      </c>
      <c r="I2848" s="211">
        <f>'IWP01'!L$576</f>
        <v>0</v>
      </c>
      <c r="J2848" s="212">
        <f>'IWP01'!M$576</f>
        <v>0</v>
      </c>
      <c r="K2848" s="106"/>
      <c r="L2848" s="106"/>
      <c r="M2848" s="129"/>
    </row>
    <row r="2849" spans="1:13" s="105" customFormat="1">
      <c r="A2849" s="193" t="s">
        <v>499</v>
      </c>
      <c r="B2849" s="210">
        <v>16</v>
      </c>
      <c r="C2849" s="191" t="str">
        <f>IF('IWP01'!E$577=0,"",'IWP01'!E$577)</f>
        <v/>
      </c>
      <c r="D2849" s="211">
        <f>'IWP01'!G$577</f>
        <v>0</v>
      </c>
      <c r="E2849" s="211">
        <f>'IWP01'!H$577</f>
        <v>0</v>
      </c>
      <c r="F2849" s="211">
        <f>'IWP01'!I$577</f>
        <v>0</v>
      </c>
      <c r="G2849" s="191" t="str">
        <f>IF('IWP01'!J$577=0,"",'IWP01'!J$577)</f>
        <v/>
      </c>
      <c r="H2849" s="211">
        <f>'IWP01'!K$577</f>
        <v>0</v>
      </c>
      <c r="I2849" s="211">
        <f>'IWP01'!L$577</f>
        <v>0</v>
      </c>
      <c r="J2849" s="212">
        <f>'IWP01'!M$577</f>
        <v>0</v>
      </c>
      <c r="K2849" s="106"/>
      <c r="L2849" s="106"/>
      <c r="M2849" s="129"/>
    </row>
    <row r="2850" spans="1:13" s="105" customFormat="1">
      <c r="A2850" s="193" t="s">
        <v>499</v>
      </c>
      <c r="B2850" s="210">
        <v>16</v>
      </c>
      <c r="C2850" s="191" t="str">
        <f>IF('IWP01'!E$578=0,"",'IWP01'!E$578)</f>
        <v/>
      </c>
      <c r="D2850" s="211">
        <f>'IWP01'!G$578</f>
        <v>0</v>
      </c>
      <c r="E2850" s="211">
        <f>'IWP01'!H$578</f>
        <v>0</v>
      </c>
      <c r="F2850" s="211">
        <f>'IWP01'!I$578</f>
        <v>0</v>
      </c>
      <c r="G2850" s="191" t="str">
        <f>IF('IWP01'!J$578=0,"",'IWP01'!J$578)</f>
        <v/>
      </c>
      <c r="H2850" s="211">
        <f>'IWP01'!K$578</f>
        <v>0</v>
      </c>
      <c r="I2850" s="211">
        <f>'IWP01'!L$578</f>
        <v>0</v>
      </c>
      <c r="J2850" s="212">
        <f>'IWP01'!M$578</f>
        <v>0</v>
      </c>
      <c r="K2850" s="106"/>
      <c r="L2850" s="106"/>
      <c r="M2850" s="129"/>
    </row>
    <row r="2851" spans="1:13" s="105" customFormat="1">
      <c r="A2851" s="193" t="s">
        <v>499</v>
      </c>
      <c r="B2851" s="210">
        <v>17</v>
      </c>
      <c r="C2851" s="191" t="str">
        <f>IF('IWP01'!E$585=0,"",'IWP01'!E$585)</f>
        <v/>
      </c>
      <c r="D2851" s="211">
        <f>'IWP01'!G$585</f>
        <v>0</v>
      </c>
      <c r="E2851" s="211">
        <f>'IWP01'!H$585</f>
        <v>0</v>
      </c>
      <c r="F2851" s="211">
        <f>'IWP01'!I$585</f>
        <v>0</v>
      </c>
      <c r="G2851" s="191" t="str">
        <f>IF('IWP01'!J$585=0,"",'IWP01'!J$585)</f>
        <v/>
      </c>
      <c r="H2851" s="211">
        <f>'IWP01'!K$585</f>
        <v>0</v>
      </c>
      <c r="I2851" s="211">
        <f>'IWP01'!L$585</f>
        <v>0</v>
      </c>
      <c r="J2851" s="212">
        <f>'IWP01'!M$585</f>
        <v>0</v>
      </c>
      <c r="K2851" s="106"/>
      <c r="L2851" s="106"/>
      <c r="M2851" s="129"/>
    </row>
    <row r="2852" spans="1:13" s="105" customFormat="1">
      <c r="A2852" s="193" t="s">
        <v>499</v>
      </c>
      <c r="B2852" s="210">
        <v>17</v>
      </c>
      <c r="C2852" s="191" t="str">
        <f>IF('IWP01'!E$586=0,"",'IWP01'!E$586)</f>
        <v/>
      </c>
      <c r="D2852" s="211">
        <f>'IWP01'!G$586</f>
        <v>0</v>
      </c>
      <c r="E2852" s="211">
        <f>'IWP01'!H$586</f>
        <v>0</v>
      </c>
      <c r="F2852" s="211">
        <f>'IWP01'!I$586</f>
        <v>0</v>
      </c>
      <c r="G2852" s="191" t="str">
        <f>IF('IWP01'!J$586=0,"",'IWP01'!J$586)</f>
        <v/>
      </c>
      <c r="H2852" s="211">
        <f>'IWP01'!K$586</f>
        <v>0</v>
      </c>
      <c r="I2852" s="211">
        <f>'IWP01'!L$586</f>
        <v>0</v>
      </c>
      <c r="J2852" s="212">
        <f>'IWP01'!M$586</f>
        <v>0</v>
      </c>
      <c r="K2852" s="106"/>
      <c r="L2852" s="106"/>
      <c r="M2852" s="129"/>
    </row>
    <row r="2853" spans="1:13" s="105" customFormat="1">
      <c r="A2853" s="193" t="s">
        <v>499</v>
      </c>
      <c r="B2853" s="210">
        <v>17</v>
      </c>
      <c r="C2853" s="191" t="str">
        <f>IF('IWP01'!E$587=0,"",'IWP01'!E$587)</f>
        <v/>
      </c>
      <c r="D2853" s="211">
        <f>'IWP01'!G$587</f>
        <v>0</v>
      </c>
      <c r="E2853" s="211">
        <f>'IWP01'!H$587</f>
        <v>0</v>
      </c>
      <c r="F2853" s="211">
        <f>'IWP01'!I$587</f>
        <v>0</v>
      </c>
      <c r="G2853" s="191" t="str">
        <f>IF('IWP01'!J$587=0,"",'IWP01'!J$587)</f>
        <v/>
      </c>
      <c r="H2853" s="211">
        <f>'IWP01'!K$587</f>
        <v>0</v>
      </c>
      <c r="I2853" s="211">
        <f>'IWP01'!L$587</f>
        <v>0</v>
      </c>
      <c r="J2853" s="212">
        <f>'IWP01'!M$587</f>
        <v>0</v>
      </c>
      <c r="K2853" s="106"/>
      <c r="L2853" s="106"/>
      <c r="M2853" s="129"/>
    </row>
    <row r="2854" spans="1:13" s="105" customFormat="1">
      <c r="A2854" s="193" t="s">
        <v>499</v>
      </c>
      <c r="B2854" s="210">
        <v>17</v>
      </c>
      <c r="C2854" s="191" t="str">
        <f>IF('IWP01'!E$588=0,"",'IWP01'!E$588)</f>
        <v/>
      </c>
      <c r="D2854" s="211">
        <f>'IWP01'!G$588</f>
        <v>0</v>
      </c>
      <c r="E2854" s="211">
        <f>'IWP01'!H$588</f>
        <v>0</v>
      </c>
      <c r="F2854" s="211">
        <f>'IWP01'!I$588</f>
        <v>0</v>
      </c>
      <c r="G2854" s="191" t="str">
        <f>IF('IWP01'!J$588=0,"",'IWP01'!J$588)</f>
        <v/>
      </c>
      <c r="H2854" s="211">
        <f>'IWP01'!K$588</f>
        <v>0</v>
      </c>
      <c r="I2854" s="211">
        <f>'IWP01'!L$588</f>
        <v>0</v>
      </c>
      <c r="J2854" s="212">
        <f>'IWP01'!M$588</f>
        <v>0</v>
      </c>
      <c r="K2854" s="106"/>
      <c r="L2854" s="106"/>
      <c r="M2854" s="129"/>
    </row>
    <row r="2855" spans="1:13" s="105" customFormat="1">
      <c r="A2855" s="193" t="s">
        <v>499</v>
      </c>
      <c r="B2855" s="210">
        <v>17</v>
      </c>
      <c r="C2855" s="191" t="str">
        <f>IF('IWP01'!E$589=0,"",'IWP01'!E$589)</f>
        <v/>
      </c>
      <c r="D2855" s="211">
        <f>'IWP01'!G$589</f>
        <v>0</v>
      </c>
      <c r="E2855" s="211">
        <f>'IWP01'!H$589</f>
        <v>0</v>
      </c>
      <c r="F2855" s="211">
        <f>'IWP01'!I$589</f>
        <v>0</v>
      </c>
      <c r="G2855" s="191" t="str">
        <f>IF('IWP01'!J$589=0,"",'IWP01'!J$589)</f>
        <v/>
      </c>
      <c r="H2855" s="211">
        <f>'IWP01'!K$589</f>
        <v>0</v>
      </c>
      <c r="I2855" s="211">
        <f>'IWP01'!L$589</f>
        <v>0</v>
      </c>
      <c r="J2855" s="212">
        <f>'IWP01'!M$589</f>
        <v>0</v>
      </c>
      <c r="K2855" s="106"/>
      <c r="L2855" s="106"/>
      <c r="M2855" s="129"/>
    </row>
    <row r="2856" spans="1:13" s="105" customFormat="1">
      <c r="A2856" s="193" t="s">
        <v>499</v>
      </c>
      <c r="B2856" s="210">
        <v>17</v>
      </c>
      <c r="C2856" s="191" t="str">
        <f>IF('IWP01'!E$590=0,"",'IWP01'!E$590)</f>
        <v/>
      </c>
      <c r="D2856" s="211">
        <f>'IWP01'!G$590</f>
        <v>0</v>
      </c>
      <c r="E2856" s="211">
        <f>'IWP01'!H$590</f>
        <v>0</v>
      </c>
      <c r="F2856" s="211">
        <f>'IWP01'!I$590</f>
        <v>0</v>
      </c>
      <c r="G2856" s="191" t="str">
        <f>IF('IWP01'!J$590=0,"",'IWP01'!J$590)</f>
        <v/>
      </c>
      <c r="H2856" s="211">
        <f>'IWP01'!K$590</f>
        <v>0</v>
      </c>
      <c r="I2856" s="211">
        <f>'IWP01'!L$590</f>
        <v>0</v>
      </c>
      <c r="J2856" s="212">
        <f>'IWP01'!M$590</f>
        <v>0</v>
      </c>
      <c r="K2856" s="106"/>
      <c r="L2856" s="106"/>
      <c r="M2856" s="129"/>
    </row>
    <row r="2857" spans="1:13" s="105" customFormat="1">
      <c r="A2857" s="193" t="s">
        <v>499</v>
      </c>
      <c r="B2857" s="210">
        <v>17</v>
      </c>
      <c r="C2857" s="191" t="str">
        <f>IF('IWP01'!E$591=0,"",'IWP01'!E$591)</f>
        <v/>
      </c>
      <c r="D2857" s="211">
        <f>'IWP01'!G$591</f>
        <v>0</v>
      </c>
      <c r="E2857" s="211">
        <f>'IWP01'!H$591</f>
        <v>0</v>
      </c>
      <c r="F2857" s="211">
        <f>'IWP01'!I$591</f>
        <v>0</v>
      </c>
      <c r="G2857" s="191" t="str">
        <f>IF('IWP01'!J$591=0,"",'IWP01'!J$591)</f>
        <v/>
      </c>
      <c r="H2857" s="211">
        <f>'IWP01'!K$591</f>
        <v>0</v>
      </c>
      <c r="I2857" s="211">
        <f>'IWP01'!L$591</f>
        <v>0</v>
      </c>
      <c r="J2857" s="212">
        <f>'IWP01'!M$591</f>
        <v>0</v>
      </c>
      <c r="K2857" s="106"/>
      <c r="L2857" s="106"/>
      <c r="M2857" s="129"/>
    </row>
    <row r="2858" spans="1:13" s="105" customFormat="1">
      <c r="A2858" s="193" t="s">
        <v>499</v>
      </c>
      <c r="B2858" s="210">
        <v>17</v>
      </c>
      <c r="C2858" s="191" t="str">
        <f>IF('IWP01'!E$592=0,"",'IWP01'!E$592)</f>
        <v/>
      </c>
      <c r="D2858" s="211">
        <f>'IWP01'!G$592</f>
        <v>0</v>
      </c>
      <c r="E2858" s="211">
        <f>'IWP01'!H$592</f>
        <v>0</v>
      </c>
      <c r="F2858" s="211">
        <f>'IWP01'!I$592</f>
        <v>0</v>
      </c>
      <c r="G2858" s="191" t="str">
        <f>IF('IWP01'!J$592=0,"",'IWP01'!J$592)</f>
        <v/>
      </c>
      <c r="H2858" s="211">
        <f>'IWP01'!K$592</f>
        <v>0</v>
      </c>
      <c r="I2858" s="211">
        <f>'IWP01'!L$592</f>
        <v>0</v>
      </c>
      <c r="J2858" s="212">
        <f>'IWP01'!M$592</f>
        <v>0</v>
      </c>
      <c r="K2858" s="106"/>
      <c r="L2858" s="106"/>
      <c r="M2858" s="129"/>
    </row>
    <row r="2859" spans="1:13" s="105" customFormat="1">
      <c r="A2859" s="193" t="s">
        <v>499</v>
      </c>
      <c r="B2859" s="210">
        <v>17</v>
      </c>
      <c r="C2859" s="191" t="str">
        <f>IF('IWP01'!E$593=0,"",'IWP01'!E$593)</f>
        <v/>
      </c>
      <c r="D2859" s="211">
        <f>'IWP01'!G$593</f>
        <v>0</v>
      </c>
      <c r="E2859" s="211">
        <f>'IWP01'!H$593</f>
        <v>0</v>
      </c>
      <c r="F2859" s="211">
        <f>'IWP01'!I$593</f>
        <v>0</v>
      </c>
      <c r="G2859" s="191" t="str">
        <f>IF('IWP01'!J$593=0,"",'IWP01'!J$593)</f>
        <v/>
      </c>
      <c r="H2859" s="211">
        <f>'IWP01'!K$593</f>
        <v>0</v>
      </c>
      <c r="I2859" s="211">
        <f>'IWP01'!L$593</f>
        <v>0</v>
      </c>
      <c r="J2859" s="212">
        <f>'IWP01'!M$593</f>
        <v>0</v>
      </c>
      <c r="K2859" s="106"/>
      <c r="L2859" s="106"/>
      <c r="M2859" s="129"/>
    </row>
    <row r="2860" spans="1:13" s="105" customFormat="1">
      <c r="A2860" s="193" t="s">
        <v>499</v>
      </c>
      <c r="B2860" s="210">
        <v>17</v>
      </c>
      <c r="C2860" s="191" t="str">
        <f>IF('IWP01'!E$594=0,"",'IWP01'!E$594)</f>
        <v/>
      </c>
      <c r="D2860" s="211">
        <f>'IWP01'!G$594</f>
        <v>0</v>
      </c>
      <c r="E2860" s="211">
        <f>'IWP01'!H$594</f>
        <v>0</v>
      </c>
      <c r="F2860" s="211">
        <f>'IWP01'!I$594</f>
        <v>0</v>
      </c>
      <c r="G2860" s="191" t="str">
        <f>IF('IWP01'!J$594=0,"",'IWP01'!J$594)</f>
        <v/>
      </c>
      <c r="H2860" s="211">
        <f>'IWP01'!K$594</f>
        <v>0</v>
      </c>
      <c r="I2860" s="211">
        <f>'IWP01'!L$594</f>
        <v>0</v>
      </c>
      <c r="J2860" s="212">
        <f>'IWP01'!M$594</f>
        <v>0</v>
      </c>
      <c r="K2860" s="106"/>
      <c r="L2860" s="106"/>
      <c r="M2860" s="129"/>
    </row>
    <row r="2861" spans="1:13" s="105" customFormat="1">
      <c r="A2861" s="193" t="s">
        <v>499</v>
      </c>
      <c r="B2861" s="210">
        <v>18</v>
      </c>
      <c r="C2861" s="191" t="str">
        <f>IF('IWP01'!E$601=0,"",'IWP01'!E$601)</f>
        <v/>
      </c>
      <c r="D2861" s="211">
        <f>'IWP01'!G$601</f>
        <v>0</v>
      </c>
      <c r="E2861" s="211">
        <f>'IWP01'!H$601</f>
        <v>0</v>
      </c>
      <c r="F2861" s="211">
        <f>'IWP01'!I$601</f>
        <v>0</v>
      </c>
      <c r="G2861" s="191" t="str">
        <f>IF('IWP01'!J$601=0,"",'IWP01'!J$601)</f>
        <v/>
      </c>
      <c r="H2861" s="211">
        <f>'IWP01'!K$601</f>
        <v>0</v>
      </c>
      <c r="I2861" s="211">
        <f>'IWP01'!L$601</f>
        <v>0</v>
      </c>
      <c r="J2861" s="212">
        <f>'IWP01'!M$601</f>
        <v>0</v>
      </c>
      <c r="K2861" s="106"/>
      <c r="L2861" s="106"/>
      <c r="M2861" s="129"/>
    </row>
    <row r="2862" spans="1:13" s="105" customFormat="1">
      <c r="A2862" s="193" t="s">
        <v>499</v>
      </c>
      <c r="B2862" s="210">
        <v>18</v>
      </c>
      <c r="C2862" s="191" t="str">
        <f>IF('IWP01'!E$602=0,"",'IWP01'!E$602)</f>
        <v/>
      </c>
      <c r="D2862" s="211">
        <f>'IWP01'!G$602</f>
        <v>0</v>
      </c>
      <c r="E2862" s="211">
        <f>'IWP01'!H$602</f>
        <v>0</v>
      </c>
      <c r="F2862" s="211">
        <f>'IWP01'!I$602</f>
        <v>0</v>
      </c>
      <c r="G2862" s="191" t="str">
        <f>IF('IWP01'!J$602=0,"",'IWP01'!J$602)</f>
        <v/>
      </c>
      <c r="H2862" s="211">
        <f>'IWP01'!K$602</f>
        <v>0</v>
      </c>
      <c r="I2862" s="211">
        <f>'IWP01'!L$602</f>
        <v>0</v>
      </c>
      <c r="J2862" s="212">
        <f>'IWP01'!M$602</f>
        <v>0</v>
      </c>
      <c r="K2862" s="106"/>
      <c r="L2862" s="106"/>
      <c r="M2862" s="129"/>
    </row>
    <row r="2863" spans="1:13" s="105" customFormat="1">
      <c r="A2863" s="193" t="s">
        <v>499</v>
      </c>
      <c r="B2863" s="210">
        <v>18</v>
      </c>
      <c r="C2863" s="191" t="str">
        <f>IF('IWP01'!E$603=0,"",'IWP01'!E$603)</f>
        <v/>
      </c>
      <c r="D2863" s="211">
        <f>'IWP01'!G$603</f>
        <v>0</v>
      </c>
      <c r="E2863" s="211">
        <f>'IWP01'!H$603</f>
        <v>0</v>
      </c>
      <c r="F2863" s="211">
        <f>'IWP01'!I$603</f>
        <v>0</v>
      </c>
      <c r="G2863" s="191" t="str">
        <f>IF('IWP01'!J$603=0,"",'IWP01'!J$603)</f>
        <v/>
      </c>
      <c r="H2863" s="211">
        <f>'IWP01'!K$603</f>
        <v>0</v>
      </c>
      <c r="I2863" s="211">
        <f>'IWP01'!L$603</f>
        <v>0</v>
      </c>
      <c r="J2863" s="212">
        <f>'IWP01'!M$603</f>
        <v>0</v>
      </c>
      <c r="K2863" s="106"/>
      <c r="L2863" s="106"/>
      <c r="M2863" s="129"/>
    </row>
    <row r="2864" spans="1:13" s="105" customFormat="1">
      <c r="A2864" s="193" t="s">
        <v>499</v>
      </c>
      <c r="B2864" s="210">
        <v>18</v>
      </c>
      <c r="C2864" s="191" t="str">
        <f>IF('IWP01'!E$604=0,"",'IWP01'!E$604)</f>
        <v/>
      </c>
      <c r="D2864" s="211">
        <f>'IWP01'!G$604</f>
        <v>0</v>
      </c>
      <c r="E2864" s="211">
        <f>'IWP01'!H$604</f>
        <v>0</v>
      </c>
      <c r="F2864" s="211">
        <f>'IWP01'!I$604</f>
        <v>0</v>
      </c>
      <c r="G2864" s="191" t="str">
        <f>IF('IWP01'!J$604=0,"",'IWP01'!J$604)</f>
        <v/>
      </c>
      <c r="H2864" s="211">
        <f>'IWP01'!K$604</f>
        <v>0</v>
      </c>
      <c r="I2864" s="211">
        <f>'IWP01'!L$604</f>
        <v>0</v>
      </c>
      <c r="J2864" s="212">
        <f>'IWP01'!M$604</f>
        <v>0</v>
      </c>
      <c r="K2864" s="106"/>
      <c r="L2864" s="106"/>
      <c r="M2864" s="129"/>
    </row>
    <row r="2865" spans="1:13" s="105" customFormat="1">
      <c r="A2865" s="193" t="s">
        <v>499</v>
      </c>
      <c r="B2865" s="210">
        <v>18</v>
      </c>
      <c r="C2865" s="191" t="str">
        <f>IF('IWP01'!E$605=0,"",'IWP01'!E$605)</f>
        <v/>
      </c>
      <c r="D2865" s="211">
        <f>'IWP01'!G$605</f>
        <v>0</v>
      </c>
      <c r="E2865" s="211">
        <f>'IWP01'!H$605</f>
        <v>0</v>
      </c>
      <c r="F2865" s="211">
        <f>'IWP01'!I$605</f>
        <v>0</v>
      </c>
      <c r="G2865" s="191" t="str">
        <f>IF('IWP01'!J$605=0,"",'IWP01'!J$605)</f>
        <v/>
      </c>
      <c r="H2865" s="211">
        <f>'IWP01'!K$605</f>
        <v>0</v>
      </c>
      <c r="I2865" s="211">
        <f>'IWP01'!L$605</f>
        <v>0</v>
      </c>
      <c r="J2865" s="212">
        <f>'IWP01'!M$605</f>
        <v>0</v>
      </c>
      <c r="K2865" s="106"/>
      <c r="L2865" s="106"/>
      <c r="M2865" s="129"/>
    </row>
    <row r="2866" spans="1:13" s="105" customFormat="1">
      <c r="A2866" s="193" t="s">
        <v>499</v>
      </c>
      <c r="B2866" s="210">
        <v>18</v>
      </c>
      <c r="C2866" s="191" t="str">
        <f>IF('IWP01'!E$606=0,"",'IWP01'!E$606)</f>
        <v/>
      </c>
      <c r="D2866" s="211">
        <f>'IWP01'!G$606</f>
        <v>0</v>
      </c>
      <c r="E2866" s="211">
        <f>'IWP01'!H$606</f>
        <v>0</v>
      </c>
      <c r="F2866" s="211">
        <f>'IWP01'!I$606</f>
        <v>0</v>
      </c>
      <c r="G2866" s="191" t="str">
        <f>IF('IWP01'!J$606=0,"",'IWP01'!J$606)</f>
        <v/>
      </c>
      <c r="H2866" s="211">
        <f>'IWP01'!K$606</f>
        <v>0</v>
      </c>
      <c r="I2866" s="211">
        <f>'IWP01'!L$606</f>
        <v>0</v>
      </c>
      <c r="J2866" s="212">
        <f>'IWP01'!M$606</f>
        <v>0</v>
      </c>
      <c r="K2866" s="106"/>
      <c r="L2866" s="106"/>
      <c r="M2866" s="129"/>
    </row>
    <row r="2867" spans="1:13" s="105" customFormat="1">
      <c r="A2867" s="193" t="s">
        <v>499</v>
      </c>
      <c r="B2867" s="210">
        <v>18</v>
      </c>
      <c r="C2867" s="191" t="str">
        <f>IF('IWP01'!E$607=0,"",'IWP01'!E$607)</f>
        <v/>
      </c>
      <c r="D2867" s="211">
        <f>'IWP01'!G$607</f>
        <v>0</v>
      </c>
      <c r="E2867" s="211">
        <f>'IWP01'!H$607</f>
        <v>0</v>
      </c>
      <c r="F2867" s="211">
        <f>'IWP01'!I$607</f>
        <v>0</v>
      </c>
      <c r="G2867" s="191" t="str">
        <f>IF('IWP01'!J$607=0,"",'IWP01'!J$607)</f>
        <v/>
      </c>
      <c r="H2867" s="211">
        <f>'IWP01'!K$607</f>
        <v>0</v>
      </c>
      <c r="I2867" s="211">
        <f>'IWP01'!L$607</f>
        <v>0</v>
      </c>
      <c r="J2867" s="212">
        <f>'IWP01'!M$607</f>
        <v>0</v>
      </c>
      <c r="K2867" s="106"/>
      <c r="L2867" s="106"/>
      <c r="M2867" s="129"/>
    </row>
    <row r="2868" spans="1:13" s="105" customFormat="1">
      <c r="A2868" s="193" t="s">
        <v>499</v>
      </c>
      <c r="B2868" s="210">
        <v>18</v>
      </c>
      <c r="C2868" s="191" t="str">
        <f>IF('IWP01'!E$608=0,"",'IWP01'!E$608)</f>
        <v/>
      </c>
      <c r="D2868" s="211">
        <f>'IWP01'!G$608</f>
        <v>0</v>
      </c>
      <c r="E2868" s="211">
        <f>'IWP01'!H$608</f>
        <v>0</v>
      </c>
      <c r="F2868" s="211">
        <f>'IWP01'!I$608</f>
        <v>0</v>
      </c>
      <c r="G2868" s="191" t="str">
        <f>IF('IWP01'!J$608=0,"",'IWP01'!J$608)</f>
        <v/>
      </c>
      <c r="H2868" s="211">
        <f>'IWP01'!K$608</f>
        <v>0</v>
      </c>
      <c r="I2868" s="211">
        <f>'IWP01'!L$608</f>
        <v>0</v>
      </c>
      <c r="J2868" s="212">
        <f>'IWP01'!M$608</f>
        <v>0</v>
      </c>
      <c r="K2868" s="106"/>
      <c r="L2868" s="106"/>
      <c r="M2868" s="129"/>
    </row>
    <row r="2869" spans="1:13" s="105" customFormat="1">
      <c r="A2869" s="193" t="s">
        <v>499</v>
      </c>
      <c r="B2869" s="210">
        <v>18</v>
      </c>
      <c r="C2869" s="191" t="str">
        <f>IF('IWP01'!E$609=0,"",'IWP01'!E$609)</f>
        <v/>
      </c>
      <c r="D2869" s="211">
        <f>'IWP01'!G$609</f>
        <v>0</v>
      </c>
      <c r="E2869" s="211">
        <f>'IWP01'!H$609</f>
        <v>0</v>
      </c>
      <c r="F2869" s="211">
        <f>'IWP01'!I$609</f>
        <v>0</v>
      </c>
      <c r="G2869" s="191" t="str">
        <f>IF('IWP01'!J$609=0,"",'IWP01'!J$609)</f>
        <v/>
      </c>
      <c r="H2869" s="211">
        <f>'IWP01'!K$609</f>
        <v>0</v>
      </c>
      <c r="I2869" s="211">
        <f>'IWP01'!L$609</f>
        <v>0</v>
      </c>
      <c r="J2869" s="212">
        <f>'IWP01'!M$609</f>
        <v>0</v>
      </c>
      <c r="K2869" s="106"/>
      <c r="L2869" s="106"/>
      <c r="M2869" s="129"/>
    </row>
    <row r="2870" spans="1:13" s="105" customFormat="1">
      <c r="A2870" s="193" t="s">
        <v>499</v>
      </c>
      <c r="B2870" s="210">
        <v>18</v>
      </c>
      <c r="C2870" s="191" t="str">
        <f>IF('IWP01'!E$610=0,"",'IWP01'!E$610)</f>
        <v/>
      </c>
      <c r="D2870" s="211">
        <f>'IWP01'!G$610</f>
        <v>0</v>
      </c>
      <c r="E2870" s="211">
        <f>'IWP01'!H$610</f>
        <v>0</v>
      </c>
      <c r="F2870" s="211">
        <f>'IWP01'!I$610</f>
        <v>0</v>
      </c>
      <c r="G2870" s="191" t="str">
        <f>IF('IWP01'!J$610=0,"",'IWP01'!J$610)</f>
        <v/>
      </c>
      <c r="H2870" s="211">
        <f>'IWP01'!K$610</f>
        <v>0</v>
      </c>
      <c r="I2870" s="211">
        <f>'IWP01'!L$610</f>
        <v>0</v>
      </c>
      <c r="J2870" s="212">
        <f>'IWP01'!M$610</f>
        <v>0</v>
      </c>
      <c r="K2870" s="106"/>
      <c r="L2870" s="106"/>
      <c r="M2870" s="129"/>
    </row>
    <row r="2871" spans="1:13" s="105" customFormat="1">
      <c r="A2871" s="193" t="s">
        <v>500</v>
      </c>
      <c r="B2871" s="210">
        <v>1</v>
      </c>
      <c r="C2871" s="191" t="str">
        <f>IF('IWP02'!E$355=0,"",'IWP02'!E$355)</f>
        <v>Subtotal column D.</v>
      </c>
      <c r="D2871" s="211">
        <f>'IWP02'!G$355</f>
        <v>0</v>
      </c>
      <c r="E2871" s="211">
        <f>'IWP02'!H$355</f>
        <v>0</v>
      </c>
      <c r="F2871" s="211">
        <f>'IWP02'!I$355</f>
        <v>0</v>
      </c>
      <c r="G2871" s="191" t="str">
        <f>IF('IWP02'!J$355=0,"",'IWP02'!J$355)</f>
        <v/>
      </c>
      <c r="H2871" s="211">
        <f>'IWP02'!K$355</f>
        <v>0</v>
      </c>
      <c r="I2871" s="211">
        <f>'IWP02'!L$355</f>
        <v>0</v>
      </c>
      <c r="J2871" s="212">
        <f>'IWP02'!M$355</f>
        <v>0</v>
      </c>
      <c r="K2871" s="106"/>
      <c r="L2871" s="106"/>
      <c r="M2871" s="129"/>
    </row>
    <row r="2872" spans="1:13" s="105" customFormat="1">
      <c r="A2872" s="193" t="s">
        <v>500</v>
      </c>
      <c r="B2872" s="210">
        <v>1</v>
      </c>
      <c r="C2872" s="191" t="str">
        <f>IF('IWP02'!E$356=0,"",'IWP02'!E$356)</f>
        <v>Unverified/Undocumented (Subtotall D - C)</v>
      </c>
      <c r="D2872" s="211">
        <f>'IWP02'!G$356</f>
        <v>0</v>
      </c>
      <c r="E2872" s="211">
        <f>'IWP02'!H$356</f>
        <v>0</v>
      </c>
      <c r="F2872" s="211">
        <f>'IWP02'!I$356</f>
        <v>0</v>
      </c>
      <c r="G2872" s="191" t="str">
        <f>IF('IWP02'!J$356=0,"",'IWP02'!J$356)</f>
        <v/>
      </c>
      <c r="H2872" s="211">
        <f>'IWP02'!K$356</f>
        <v>0</v>
      </c>
      <c r="I2872" s="211">
        <f>'IWP02'!L$356</f>
        <v>0</v>
      </c>
      <c r="J2872" s="212">
        <f>'IWP02'!M$356</f>
        <v>0</v>
      </c>
      <c r="K2872" s="106"/>
      <c r="L2872" s="106"/>
      <c r="M2872" s="129"/>
    </row>
    <row r="2873" spans="1:13" s="105" customFormat="1">
      <c r="A2873" s="193" t="s">
        <v>500</v>
      </c>
      <c r="B2873" s="210">
        <v>1</v>
      </c>
      <c r="C2873" s="191" t="str">
        <f>IF('IWP02'!E$357=0,"",'IWP02'!E$357)</f>
        <v>J. Billing Period Total</v>
      </c>
      <c r="D2873" s="211">
        <f>'IWP02'!G$357</f>
        <v>0</v>
      </c>
      <c r="E2873" s="211">
        <f>'IWP02'!H$357</f>
        <v>0</v>
      </c>
      <c r="F2873" s="211">
        <f>'IWP02'!I$357</f>
        <v>0</v>
      </c>
      <c r="G2873" s="191" t="str">
        <f>IF('IWP02'!J$357=0,"",'IWP02'!J$357)</f>
        <v/>
      </c>
      <c r="H2873" s="211">
        <f>'IWP02'!K$357</f>
        <v>0</v>
      </c>
      <c r="I2873" s="211">
        <f>'IWP02'!L$357</f>
        <v>0</v>
      </c>
      <c r="J2873" s="212">
        <f>'IWP02'!M$357</f>
        <v>0</v>
      </c>
      <c r="K2873" s="106"/>
      <c r="L2873" s="106"/>
      <c r="M2873" s="129"/>
    </row>
    <row r="2874" spans="1:13" s="105" customFormat="1">
      <c r="A2874" s="193" t="s">
        <v>500</v>
      </c>
      <c r="B2874" s="210">
        <v>1</v>
      </c>
      <c r="C2874" s="191" t="str">
        <f>IF('IWP02'!E$358=0,"",'IWP02'!E$358)</f>
        <v>D.</v>
      </c>
      <c r="D2874" s="211">
        <f>'IWP02'!G$358</f>
        <v>0</v>
      </c>
      <c r="E2874" s="211" t="str">
        <f>'IWP02'!H$358</f>
        <v>E.</v>
      </c>
      <c r="F2874" s="211" t="str">
        <f>'IWP02'!I$358</f>
        <v>F.</v>
      </c>
      <c r="G2874" s="191" t="str">
        <f>IF('IWP02'!J$358=0,"",'IWP02'!J$358)</f>
        <v>G.</v>
      </c>
      <c r="H2874" s="211">
        <f>'IWP02'!K$358</f>
        <v>0</v>
      </c>
      <c r="I2874" s="211" t="str">
        <f>'IWP02'!L$358</f>
        <v>H.</v>
      </c>
      <c r="J2874" s="212" t="str">
        <f>'IWP02'!M$358</f>
        <v>I.</v>
      </c>
      <c r="K2874" s="106"/>
      <c r="L2874" s="106"/>
      <c r="M2874" s="129"/>
    </row>
    <row r="2875" spans="1:13" s="105" customFormat="1">
      <c r="A2875" s="193" t="s">
        <v>500</v>
      </c>
      <c r="B2875" s="210">
        <v>1</v>
      </c>
      <c r="C2875" s="191" t="str">
        <f>IF('IWP02'!E$359=0,"",'IWP02'!E$359)</f>
        <v xml:space="preserve">Items/Services Related to Billing Period </v>
      </c>
      <c r="D2875" s="211">
        <f>'IWP02'!G$359</f>
        <v>0</v>
      </c>
      <c r="E2875" s="211" t="str">
        <f>'IWP02'!H$359</f>
        <v xml:space="preserve">Item/
Service Verified Amounts
</v>
      </c>
      <c r="F2875" s="211" t="str">
        <f>'IWP02'!I$359</f>
        <v>Amount Due to DADS (E. - D.)</v>
      </c>
      <c r="G2875" s="191" t="str">
        <f>IF('IWP02'!J$359=0,"",'IWP02'!J$359)</f>
        <v>Amount Reimbursed to 
Employee(s)/Employer</v>
      </c>
      <c r="H2875" s="211">
        <f>'IWP02'!K$359</f>
        <v>0</v>
      </c>
      <c r="I2875" s="211" t="str">
        <f>'IWP02'!L$359</f>
        <v>Amount Due to Employee(s) (G. - E.)</v>
      </c>
      <c r="J2875" s="212" t="str">
        <f>'IWP02'!M$359</f>
        <v>Amount Due to Employer (G. - E.)</v>
      </c>
      <c r="K2875" s="106"/>
      <c r="L2875" s="106"/>
      <c r="M2875" s="129"/>
    </row>
    <row r="2876" spans="1:13" s="105" customFormat="1">
      <c r="A2876" s="193" t="s">
        <v>500</v>
      </c>
      <c r="B2876" s="210">
        <v>1</v>
      </c>
      <c r="C2876" s="191" t="str">
        <f>IF('IWP02'!E$360=0,"",'IWP02'!E$360)</f>
        <v>Item/Service</v>
      </c>
      <c r="D2876" s="211" t="str">
        <f>'IWP02'!G$360</f>
        <v>Itemized Amount Paid by DADS</v>
      </c>
      <c r="E2876" s="211">
        <f>'IWP02'!H$360</f>
        <v>0</v>
      </c>
      <c r="F2876" s="211">
        <f>'IWP02'!I$360</f>
        <v>0</v>
      </c>
      <c r="G2876" s="191" t="str">
        <f>IF('IWP02'!J$360=0,"",'IWP02'!J$360)</f>
        <v/>
      </c>
      <c r="H2876" s="211">
        <f>'IWP02'!K$360</f>
        <v>0</v>
      </c>
      <c r="I2876" s="211">
        <f>'IWP02'!L$360</f>
        <v>0</v>
      </c>
      <c r="J2876" s="212">
        <f>'IWP02'!M$360</f>
        <v>0</v>
      </c>
      <c r="K2876" s="106"/>
      <c r="L2876" s="106"/>
      <c r="M2876" s="129"/>
    </row>
    <row r="2877" spans="1:13" s="105" customFormat="1">
      <c r="A2877" s="193" t="s">
        <v>500</v>
      </c>
      <c r="B2877" s="210">
        <v>1</v>
      </c>
      <c r="C2877" s="191" t="str">
        <f>IF('IWP02'!E$361=0,"",'IWP02'!E$361)</f>
        <v/>
      </c>
      <c r="D2877" s="211">
        <f>'IWP02'!G$361</f>
        <v>0</v>
      </c>
      <c r="E2877" s="211">
        <f>'IWP02'!H$361</f>
        <v>0</v>
      </c>
      <c r="F2877" s="211">
        <f>'IWP02'!I$361</f>
        <v>0</v>
      </c>
      <c r="G2877" s="191" t="str">
        <f>IF('IWP02'!J$361=0,"",'IWP02'!J$361)</f>
        <v/>
      </c>
      <c r="H2877" s="211">
        <f>'IWP02'!K$361</f>
        <v>0</v>
      </c>
      <c r="I2877" s="211">
        <f>'IWP02'!L$361</f>
        <v>0</v>
      </c>
      <c r="J2877" s="212">
        <f>'IWP02'!M$361</f>
        <v>0</v>
      </c>
      <c r="K2877" s="106"/>
      <c r="L2877" s="106"/>
      <c r="M2877" s="129"/>
    </row>
    <row r="2878" spans="1:13" s="105" customFormat="1">
      <c r="A2878" s="193" t="s">
        <v>500</v>
      </c>
      <c r="B2878" s="210">
        <v>1</v>
      </c>
      <c r="C2878" s="191" t="str">
        <f>IF('IWP02'!E$362=0,"",'IWP02'!E$362)</f>
        <v/>
      </c>
      <c r="D2878" s="211">
        <f>'IWP02'!G$362</f>
        <v>0</v>
      </c>
      <c r="E2878" s="211">
        <f>'IWP02'!H$362</f>
        <v>0</v>
      </c>
      <c r="F2878" s="211">
        <f>'IWP02'!I$362</f>
        <v>0</v>
      </c>
      <c r="G2878" s="191" t="str">
        <f>IF('IWP02'!J$362=0,"",'IWP02'!J$362)</f>
        <v/>
      </c>
      <c r="H2878" s="211">
        <f>'IWP02'!K$362</f>
        <v>0</v>
      </c>
      <c r="I2878" s="211">
        <f>'IWP02'!L$362</f>
        <v>0</v>
      </c>
      <c r="J2878" s="212">
        <f>'IWP02'!M$362</f>
        <v>0</v>
      </c>
      <c r="K2878" s="106"/>
      <c r="L2878" s="106"/>
      <c r="M2878" s="129"/>
    </row>
    <row r="2879" spans="1:13" s="105" customFormat="1">
      <c r="A2879" s="193" t="s">
        <v>500</v>
      </c>
      <c r="B2879" s="210">
        <v>1</v>
      </c>
      <c r="C2879" s="191" t="str">
        <f>IF('IWP02'!E$363=0,"",'IWP02'!E$363)</f>
        <v/>
      </c>
      <c r="D2879" s="211">
        <f>'IWP02'!G$363</f>
        <v>0</v>
      </c>
      <c r="E2879" s="211">
        <f>'IWP02'!H$363</f>
        <v>0</v>
      </c>
      <c r="F2879" s="211">
        <f>'IWP02'!I$363</f>
        <v>0</v>
      </c>
      <c r="G2879" s="191" t="str">
        <f>IF('IWP02'!J$363=0,"",'IWP02'!J$363)</f>
        <v/>
      </c>
      <c r="H2879" s="211">
        <f>'IWP02'!K$363</f>
        <v>0</v>
      </c>
      <c r="I2879" s="211">
        <f>'IWP02'!L$363</f>
        <v>0</v>
      </c>
      <c r="J2879" s="212">
        <f>'IWP02'!M$363</f>
        <v>0</v>
      </c>
      <c r="K2879" s="106"/>
      <c r="L2879" s="106"/>
      <c r="M2879" s="129"/>
    </row>
    <row r="2880" spans="1:13" s="105" customFormat="1">
      <c r="A2880" s="193" t="s">
        <v>500</v>
      </c>
      <c r="B2880" s="210">
        <v>1</v>
      </c>
      <c r="C2880" s="191" t="str">
        <f>IF('IWP02'!E$364=0,"",'IWP02'!E$364)</f>
        <v/>
      </c>
      <c r="D2880" s="211">
        <f>'IWP02'!G$364</f>
        <v>0</v>
      </c>
      <c r="E2880" s="211">
        <f>'IWP02'!H$364</f>
        <v>0</v>
      </c>
      <c r="F2880" s="211">
        <f>'IWP02'!I$364</f>
        <v>0</v>
      </c>
      <c r="G2880" s="191" t="str">
        <f>IF('IWP02'!J$364=0,"",'IWP02'!J$364)</f>
        <v/>
      </c>
      <c r="H2880" s="211">
        <f>'IWP02'!K$364</f>
        <v>0</v>
      </c>
      <c r="I2880" s="211">
        <f>'IWP02'!L$364</f>
        <v>0</v>
      </c>
      <c r="J2880" s="212">
        <f>'IWP02'!M$364</f>
        <v>0</v>
      </c>
      <c r="K2880" s="106"/>
      <c r="L2880" s="106"/>
      <c r="M2880" s="129"/>
    </row>
    <row r="2881" spans="1:13" s="105" customFormat="1">
      <c r="A2881" s="193" t="s">
        <v>500</v>
      </c>
      <c r="B2881" s="210">
        <v>2</v>
      </c>
      <c r="C2881" s="191" t="str">
        <f>IF('IWP02'!E$371=0,"",'IWP02'!E$371)</f>
        <v>Subtotal column D.</v>
      </c>
      <c r="D2881" s="211">
        <f>'IWP02'!G$371</f>
        <v>0</v>
      </c>
      <c r="E2881" s="211">
        <f>'IWP02'!H$371</f>
        <v>0</v>
      </c>
      <c r="F2881" s="211">
        <f>'IWP02'!I$371</f>
        <v>0</v>
      </c>
      <c r="G2881" s="191" t="str">
        <f>IF('IWP02'!J$371=0,"",'IWP02'!J$371)</f>
        <v/>
      </c>
      <c r="H2881" s="211">
        <f>'IWP02'!K$371</f>
        <v>0</v>
      </c>
      <c r="I2881" s="211">
        <f>'IWP02'!L$371</f>
        <v>0</v>
      </c>
      <c r="J2881" s="212">
        <f>'IWP02'!M$371</f>
        <v>0</v>
      </c>
      <c r="K2881" s="106"/>
      <c r="L2881" s="106"/>
      <c r="M2881" s="129"/>
    </row>
    <row r="2882" spans="1:13" s="105" customFormat="1">
      <c r="A2882" s="193" t="s">
        <v>500</v>
      </c>
      <c r="B2882" s="210">
        <v>2</v>
      </c>
      <c r="C2882" s="191" t="str">
        <f>IF('IWP02'!E$372=0,"",'IWP02'!E$372)</f>
        <v>Unverified/Undocumented (Subtotal D - C)</v>
      </c>
      <c r="D2882" s="211">
        <f>'IWP02'!G$372</f>
        <v>0</v>
      </c>
      <c r="E2882" s="211">
        <f>'IWP02'!H$372</f>
        <v>0</v>
      </c>
      <c r="F2882" s="211">
        <f>'IWP02'!I$372</f>
        <v>0</v>
      </c>
      <c r="G2882" s="191" t="str">
        <f>IF('IWP02'!J$372=0,"",'IWP02'!J$372)</f>
        <v/>
      </c>
      <c r="H2882" s="211">
        <f>'IWP02'!K$372</f>
        <v>0</v>
      </c>
      <c r="I2882" s="211">
        <f>'IWP02'!L$372</f>
        <v>0</v>
      </c>
      <c r="J2882" s="212">
        <f>'IWP02'!M$372</f>
        <v>0</v>
      </c>
      <c r="K2882" s="106"/>
      <c r="L2882" s="106"/>
      <c r="M2882" s="129"/>
    </row>
    <row r="2883" spans="1:13" s="105" customFormat="1">
      <c r="A2883" s="193" t="s">
        <v>500</v>
      </c>
      <c r="B2883" s="210">
        <v>2</v>
      </c>
      <c r="C2883" s="191" t="str">
        <f>IF('IWP02'!E$373=0,"",'IWP02'!E$373)</f>
        <v>J. Billing Period Total</v>
      </c>
      <c r="D2883" s="211">
        <f>'IWP02'!G$373</f>
        <v>0</v>
      </c>
      <c r="E2883" s="211">
        <f>'IWP02'!H$373</f>
        <v>0</v>
      </c>
      <c r="F2883" s="211">
        <f>'IWP02'!I$373</f>
        <v>0</v>
      </c>
      <c r="G2883" s="191" t="str">
        <f>IF('IWP02'!J$373=0,"",'IWP02'!J$373)</f>
        <v/>
      </c>
      <c r="H2883" s="211">
        <f>'IWP02'!K$373</f>
        <v>0</v>
      </c>
      <c r="I2883" s="211">
        <f>'IWP02'!L$373</f>
        <v>0</v>
      </c>
      <c r="J2883" s="212">
        <f>'IWP02'!M$373</f>
        <v>0</v>
      </c>
      <c r="K2883" s="106"/>
      <c r="L2883" s="106"/>
      <c r="M2883" s="129"/>
    </row>
    <row r="2884" spans="1:13" s="105" customFormat="1">
      <c r="A2884" s="193" t="s">
        <v>500</v>
      </c>
      <c r="B2884" s="210">
        <v>2</v>
      </c>
      <c r="C2884" s="191" t="str">
        <f>IF('IWP02'!E$374=0,"",'IWP02'!E$374)</f>
        <v>D.</v>
      </c>
      <c r="D2884" s="211">
        <f>'IWP02'!G$374</f>
        <v>0</v>
      </c>
      <c r="E2884" s="211" t="str">
        <f>'IWP02'!H$374</f>
        <v>E.</v>
      </c>
      <c r="F2884" s="211" t="str">
        <f>'IWP02'!I$374</f>
        <v>F.</v>
      </c>
      <c r="G2884" s="191" t="str">
        <f>IF('IWP02'!J$374=0,"",'IWP02'!J$374)</f>
        <v>G.</v>
      </c>
      <c r="H2884" s="211">
        <f>'IWP02'!K$374</f>
        <v>0</v>
      </c>
      <c r="I2884" s="211" t="str">
        <f>'IWP02'!L$374</f>
        <v>H.</v>
      </c>
      <c r="J2884" s="212" t="str">
        <f>'IWP02'!M$374</f>
        <v>I.</v>
      </c>
      <c r="K2884" s="106"/>
      <c r="L2884" s="106"/>
      <c r="M2884" s="129"/>
    </row>
    <row r="2885" spans="1:13" s="105" customFormat="1">
      <c r="A2885" s="193" t="s">
        <v>500</v>
      </c>
      <c r="B2885" s="210">
        <v>2</v>
      </c>
      <c r="C2885" s="191" t="str">
        <f>IF('IWP02'!E$375=0,"",'IWP02'!E$375)</f>
        <v xml:space="preserve">Items/Services Related to Billing Period </v>
      </c>
      <c r="D2885" s="211">
        <f>'IWP02'!G$375</f>
        <v>0</v>
      </c>
      <c r="E2885" s="211" t="str">
        <f>'IWP02'!H$375</f>
        <v xml:space="preserve">Item/
Service Verified Amounts
</v>
      </c>
      <c r="F2885" s="211" t="str">
        <f>'IWP02'!I$375</f>
        <v>Amount Due to DADS (E. - D.)</v>
      </c>
      <c r="G2885" s="191" t="str">
        <f>IF('IWP02'!J$375=0,"",'IWP02'!J$375)</f>
        <v>Amount Reimbursed to 
Employee(s)/Employer</v>
      </c>
      <c r="H2885" s="211">
        <f>'IWP02'!K$375</f>
        <v>0</v>
      </c>
      <c r="I2885" s="211" t="str">
        <f>'IWP02'!L$375</f>
        <v>Amount Due to Employee(s) (G. - E.)</v>
      </c>
      <c r="J2885" s="212" t="str">
        <f>'IWP02'!M$375</f>
        <v>Amount Due to Employer (G. - E.)</v>
      </c>
      <c r="K2885" s="106"/>
      <c r="L2885" s="106"/>
      <c r="M2885" s="129"/>
    </row>
    <row r="2886" spans="1:13" s="105" customFormat="1">
      <c r="A2886" s="193" t="s">
        <v>500</v>
      </c>
      <c r="B2886" s="210">
        <v>2</v>
      </c>
      <c r="C2886" s="191" t="str">
        <f>IF('IWP02'!E$376=0,"",'IWP02'!E$376)</f>
        <v>Item/Service</v>
      </c>
      <c r="D2886" s="211" t="str">
        <f>'IWP02'!G$376</f>
        <v>Itemized Amount Paid by DADS</v>
      </c>
      <c r="E2886" s="211">
        <f>'IWP02'!H$376</f>
        <v>0</v>
      </c>
      <c r="F2886" s="211">
        <f>'IWP02'!I$376</f>
        <v>0</v>
      </c>
      <c r="G2886" s="191" t="str">
        <f>IF('IWP02'!J$376=0,"",'IWP02'!J$376)</f>
        <v/>
      </c>
      <c r="H2886" s="211">
        <f>'IWP02'!K$376</f>
        <v>0</v>
      </c>
      <c r="I2886" s="211">
        <f>'IWP02'!L$376</f>
        <v>0</v>
      </c>
      <c r="J2886" s="212">
        <f>'IWP02'!M$376</f>
        <v>0</v>
      </c>
      <c r="K2886" s="106"/>
      <c r="L2886" s="106"/>
      <c r="M2886" s="129"/>
    </row>
    <row r="2887" spans="1:13" s="105" customFormat="1">
      <c r="A2887" s="193" t="s">
        <v>500</v>
      </c>
      <c r="B2887" s="210">
        <v>2</v>
      </c>
      <c r="C2887" s="191" t="str">
        <f>IF('IWP02'!E$377=0,"",'IWP02'!E$377)</f>
        <v/>
      </c>
      <c r="D2887" s="211">
        <f>'IWP02'!G$377</f>
        <v>0</v>
      </c>
      <c r="E2887" s="211">
        <f>'IWP02'!H$377</f>
        <v>0</v>
      </c>
      <c r="F2887" s="211">
        <f>'IWP02'!I$377</f>
        <v>0</v>
      </c>
      <c r="G2887" s="191" t="str">
        <f>IF('IWP02'!J$377=0,"",'IWP02'!J$377)</f>
        <v/>
      </c>
      <c r="H2887" s="211">
        <f>'IWP02'!K$377</f>
        <v>0</v>
      </c>
      <c r="I2887" s="211">
        <f>'IWP02'!L$377</f>
        <v>0</v>
      </c>
      <c r="J2887" s="212">
        <f>'IWP02'!M$377</f>
        <v>0</v>
      </c>
      <c r="K2887" s="106"/>
      <c r="L2887" s="106"/>
      <c r="M2887" s="129"/>
    </row>
    <row r="2888" spans="1:13" s="105" customFormat="1">
      <c r="A2888" s="193" t="s">
        <v>500</v>
      </c>
      <c r="B2888" s="210">
        <v>2</v>
      </c>
      <c r="C2888" s="191" t="str">
        <f>IF('IWP02'!E$378=0,"",'IWP02'!E$378)</f>
        <v/>
      </c>
      <c r="D2888" s="211">
        <f>'IWP02'!G$378</f>
        <v>0</v>
      </c>
      <c r="E2888" s="211">
        <f>'IWP02'!H$378</f>
        <v>0</v>
      </c>
      <c r="F2888" s="211">
        <f>'IWP02'!I$378</f>
        <v>0</v>
      </c>
      <c r="G2888" s="191" t="str">
        <f>IF('IWP02'!J$378=0,"",'IWP02'!J$378)</f>
        <v/>
      </c>
      <c r="H2888" s="211">
        <f>'IWP02'!K$378</f>
        <v>0</v>
      </c>
      <c r="I2888" s="211">
        <f>'IWP02'!L$378</f>
        <v>0</v>
      </c>
      <c r="J2888" s="212">
        <f>'IWP02'!M$378</f>
        <v>0</v>
      </c>
      <c r="K2888" s="106"/>
      <c r="L2888" s="106"/>
      <c r="M2888" s="129"/>
    </row>
    <row r="2889" spans="1:13" s="105" customFormat="1">
      <c r="A2889" s="193" t="s">
        <v>500</v>
      </c>
      <c r="B2889" s="210">
        <v>2</v>
      </c>
      <c r="C2889" s="191" t="str">
        <f>IF('IWP02'!E$379=0,"",'IWP02'!E$379)</f>
        <v/>
      </c>
      <c r="D2889" s="211">
        <f>'IWP02'!G$379</f>
        <v>0</v>
      </c>
      <c r="E2889" s="211">
        <f>'IWP02'!H$379</f>
        <v>0</v>
      </c>
      <c r="F2889" s="211">
        <f>'IWP02'!I$379</f>
        <v>0</v>
      </c>
      <c r="G2889" s="191" t="str">
        <f>IF('IWP02'!J$379=0,"",'IWP02'!J$379)</f>
        <v/>
      </c>
      <c r="H2889" s="211">
        <f>'IWP02'!K$379</f>
        <v>0</v>
      </c>
      <c r="I2889" s="211">
        <f>'IWP02'!L$379</f>
        <v>0</v>
      </c>
      <c r="J2889" s="212">
        <f>'IWP02'!M$379</f>
        <v>0</v>
      </c>
      <c r="K2889" s="106"/>
      <c r="L2889" s="106"/>
      <c r="M2889" s="129"/>
    </row>
    <row r="2890" spans="1:13" s="105" customFormat="1">
      <c r="A2890" s="193" t="s">
        <v>500</v>
      </c>
      <c r="B2890" s="210">
        <v>2</v>
      </c>
      <c r="C2890" s="191" t="str">
        <f>IF('IWP02'!E$380=0,"",'IWP02'!E$380)</f>
        <v/>
      </c>
      <c r="D2890" s="211">
        <f>'IWP02'!G$380</f>
        <v>0</v>
      </c>
      <c r="E2890" s="211">
        <f>'IWP02'!H$380</f>
        <v>0</v>
      </c>
      <c r="F2890" s="211">
        <f>'IWP02'!I$380</f>
        <v>0</v>
      </c>
      <c r="G2890" s="191" t="str">
        <f>IF('IWP02'!J$380=0,"",'IWP02'!J$380)</f>
        <v/>
      </c>
      <c r="H2890" s="211">
        <f>'IWP02'!K$380</f>
        <v>0</v>
      </c>
      <c r="I2890" s="211">
        <f>'IWP02'!L$380</f>
        <v>0</v>
      </c>
      <c r="J2890" s="212">
        <f>'IWP02'!M$380</f>
        <v>0</v>
      </c>
      <c r="K2890" s="106"/>
      <c r="L2890" s="106"/>
      <c r="M2890" s="129"/>
    </row>
    <row r="2891" spans="1:13" s="105" customFormat="1">
      <c r="A2891" s="193" t="s">
        <v>500</v>
      </c>
      <c r="B2891" s="210">
        <v>3</v>
      </c>
      <c r="C2891" s="191" t="str">
        <f>IF('IWP02'!E$387=0,"",'IWP02'!E$387)</f>
        <v>Subtotal column D.</v>
      </c>
      <c r="D2891" s="211">
        <f>'IWP02'!G$387</f>
        <v>0</v>
      </c>
      <c r="E2891" s="211">
        <f>'IWP02'!H$387</f>
        <v>0</v>
      </c>
      <c r="F2891" s="211">
        <f>'IWP02'!I$387</f>
        <v>0</v>
      </c>
      <c r="G2891" s="191" t="str">
        <f>IF('IWP02'!J$387=0,"",'IWP02'!J$387)</f>
        <v/>
      </c>
      <c r="H2891" s="211">
        <f>'IWP02'!K$387</f>
        <v>0</v>
      </c>
      <c r="I2891" s="211">
        <f>'IWP02'!L$387</f>
        <v>0</v>
      </c>
      <c r="J2891" s="212">
        <f>'IWP02'!M$387</f>
        <v>0</v>
      </c>
      <c r="K2891" s="106"/>
      <c r="L2891" s="106"/>
      <c r="M2891" s="129"/>
    </row>
    <row r="2892" spans="1:13" s="105" customFormat="1">
      <c r="A2892" s="193" t="s">
        <v>500</v>
      </c>
      <c r="B2892" s="210">
        <v>3</v>
      </c>
      <c r="C2892" s="191" t="str">
        <f>IF('IWP02'!E$388=0,"",'IWP02'!E$388)</f>
        <v>Unverified/Undocumented (Subtotal D - C)</v>
      </c>
      <c r="D2892" s="211">
        <f>'IWP02'!G$388</f>
        <v>0</v>
      </c>
      <c r="E2892" s="211">
        <f>'IWP02'!H$388</f>
        <v>0</v>
      </c>
      <c r="F2892" s="211">
        <f>'IWP02'!I$388</f>
        <v>0</v>
      </c>
      <c r="G2892" s="191" t="str">
        <f>IF('IWP02'!J$388=0,"",'IWP02'!J$388)</f>
        <v/>
      </c>
      <c r="H2892" s="211">
        <f>'IWP02'!K$388</f>
        <v>0</v>
      </c>
      <c r="I2892" s="211">
        <f>'IWP02'!L$388</f>
        <v>0</v>
      </c>
      <c r="J2892" s="212">
        <f>'IWP02'!M$388</f>
        <v>0</v>
      </c>
      <c r="K2892" s="106"/>
      <c r="L2892" s="106"/>
      <c r="M2892" s="129"/>
    </row>
    <row r="2893" spans="1:13" s="105" customFormat="1">
      <c r="A2893" s="193" t="s">
        <v>500</v>
      </c>
      <c r="B2893" s="210">
        <v>3</v>
      </c>
      <c r="C2893" s="191" t="str">
        <f>IF('IWP02'!E$389=0,"",'IWP02'!E$389)</f>
        <v>J. Billing Period Total</v>
      </c>
      <c r="D2893" s="211">
        <f>'IWP02'!G$389</f>
        <v>0</v>
      </c>
      <c r="E2893" s="211">
        <f>'IWP02'!H$389</f>
        <v>0</v>
      </c>
      <c r="F2893" s="211">
        <f>'IWP02'!I$389</f>
        <v>0</v>
      </c>
      <c r="G2893" s="191" t="str">
        <f>IF('IWP02'!J$389=0,"",'IWP02'!J$389)</f>
        <v/>
      </c>
      <c r="H2893" s="211">
        <f>'IWP02'!K$389</f>
        <v>0</v>
      </c>
      <c r="I2893" s="211">
        <f>'IWP02'!L$389</f>
        <v>0</v>
      </c>
      <c r="J2893" s="212">
        <f>'IWP02'!M$389</f>
        <v>0</v>
      </c>
      <c r="K2893" s="106"/>
      <c r="L2893" s="106"/>
      <c r="M2893" s="129"/>
    </row>
    <row r="2894" spans="1:13" s="105" customFormat="1">
      <c r="A2894" s="193" t="s">
        <v>500</v>
      </c>
      <c r="B2894" s="210">
        <v>3</v>
      </c>
      <c r="C2894" s="191" t="str">
        <f>IF('IWP02'!E$390=0,"",'IWP02'!E$390)</f>
        <v>D.</v>
      </c>
      <c r="D2894" s="211">
        <f>'IWP02'!G$390</f>
        <v>0</v>
      </c>
      <c r="E2894" s="211" t="str">
        <f>'IWP02'!H$390</f>
        <v>E.</v>
      </c>
      <c r="F2894" s="211" t="str">
        <f>'IWP02'!I$390</f>
        <v>F.</v>
      </c>
      <c r="G2894" s="191" t="str">
        <f>IF('IWP02'!J$390=0,"",'IWP02'!J$390)</f>
        <v>G.</v>
      </c>
      <c r="H2894" s="211">
        <f>'IWP02'!K$390</f>
        <v>0</v>
      </c>
      <c r="I2894" s="211" t="str">
        <f>'IWP02'!L$390</f>
        <v>H.</v>
      </c>
      <c r="J2894" s="212" t="str">
        <f>'IWP02'!M$390</f>
        <v>I.</v>
      </c>
      <c r="K2894" s="106"/>
      <c r="L2894" s="106"/>
      <c r="M2894" s="129"/>
    </row>
    <row r="2895" spans="1:13" s="105" customFormat="1">
      <c r="A2895" s="193" t="s">
        <v>500</v>
      </c>
      <c r="B2895" s="210">
        <v>3</v>
      </c>
      <c r="C2895" s="191" t="str">
        <f>IF('IWP02'!E$391=0,"",'IWP02'!E$391)</f>
        <v xml:space="preserve">Items/Services Related to Billing Period </v>
      </c>
      <c r="D2895" s="211">
        <f>'IWP02'!G$391</f>
        <v>0</v>
      </c>
      <c r="E2895" s="211" t="str">
        <f>'IWP02'!H$391</f>
        <v xml:space="preserve">Item/
Service Verified Amounts
</v>
      </c>
      <c r="F2895" s="211" t="str">
        <f>'IWP02'!I$391</f>
        <v>Amount Due to DADS (E. - D.)</v>
      </c>
      <c r="G2895" s="191" t="str">
        <f>IF('IWP02'!J$391=0,"",'IWP02'!J$391)</f>
        <v>Amount Reimbursed to 
Employee(s)/Employer</v>
      </c>
      <c r="H2895" s="211">
        <f>'IWP02'!K$391</f>
        <v>0</v>
      </c>
      <c r="I2895" s="211" t="str">
        <f>'IWP02'!L$391</f>
        <v>Amount Due to Employee(s) (G. - E.)</v>
      </c>
      <c r="J2895" s="212" t="str">
        <f>'IWP02'!M$391</f>
        <v>Amount Due to Employer (G. - E.)</v>
      </c>
      <c r="K2895" s="106"/>
      <c r="L2895" s="106"/>
      <c r="M2895" s="129"/>
    </row>
    <row r="2896" spans="1:13" s="105" customFormat="1">
      <c r="A2896" s="193" t="s">
        <v>500</v>
      </c>
      <c r="B2896" s="210">
        <v>3</v>
      </c>
      <c r="C2896" s="191" t="str">
        <f>IF('IWP02'!E$392=0,"",'IWP02'!E$392)</f>
        <v>Item/Service</v>
      </c>
      <c r="D2896" s="211" t="str">
        <f>'IWP02'!G$392</f>
        <v>Itemized Amount Paid by DADS</v>
      </c>
      <c r="E2896" s="211">
        <f>'IWP02'!H$392</f>
        <v>0</v>
      </c>
      <c r="F2896" s="211">
        <f>'IWP02'!I$392</f>
        <v>0</v>
      </c>
      <c r="G2896" s="191" t="str">
        <f>IF('IWP02'!J$392=0,"",'IWP02'!J$392)</f>
        <v/>
      </c>
      <c r="H2896" s="211">
        <f>'IWP02'!K$392</f>
        <v>0</v>
      </c>
      <c r="I2896" s="211">
        <f>'IWP02'!L$392</f>
        <v>0</v>
      </c>
      <c r="J2896" s="212">
        <f>'IWP02'!M$392</f>
        <v>0</v>
      </c>
      <c r="K2896" s="106"/>
      <c r="L2896" s="106"/>
      <c r="M2896" s="129"/>
    </row>
    <row r="2897" spans="1:13" s="105" customFormat="1">
      <c r="A2897" s="193" t="s">
        <v>500</v>
      </c>
      <c r="B2897" s="210">
        <v>3</v>
      </c>
      <c r="C2897" s="191" t="str">
        <f>IF('IWP02'!E$393=0,"",'IWP02'!E$393)</f>
        <v/>
      </c>
      <c r="D2897" s="211">
        <f>'IWP02'!G$393</f>
        <v>0</v>
      </c>
      <c r="E2897" s="211">
        <f>'IWP02'!H$393</f>
        <v>0</v>
      </c>
      <c r="F2897" s="211">
        <f>'IWP02'!I$393</f>
        <v>0</v>
      </c>
      <c r="G2897" s="191" t="str">
        <f>IF('IWP02'!J$393=0,"",'IWP02'!J$393)</f>
        <v/>
      </c>
      <c r="H2897" s="211">
        <f>'IWP02'!K$393</f>
        <v>0</v>
      </c>
      <c r="I2897" s="211">
        <f>'IWP02'!L$393</f>
        <v>0</v>
      </c>
      <c r="J2897" s="212">
        <f>'IWP02'!M$393</f>
        <v>0</v>
      </c>
      <c r="K2897" s="106"/>
      <c r="L2897" s="106"/>
      <c r="M2897" s="129"/>
    </row>
    <row r="2898" spans="1:13" s="105" customFormat="1">
      <c r="A2898" s="193" t="s">
        <v>500</v>
      </c>
      <c r="B2898" s="210">
        <v>3</v>
      </c>
      <c r="C2898" s="191" t="str">
        <f>IF('IWP02'!E$394=0,"",'IWP02'!E$394)</f>
        <v/>
      </c>
      <c r="D2898" s="211">
        <f>'IWP02'!G$394</f>
        <v>0</v>
      </c>
      <c r="E2898" s="211">
        <f>'IWP02'!H$394</f>
        <v>0</v>
      </c>
      <c r="F2898" s="211">
        <f>'IWP02'!I$394</f>
        <v>0</v>
      </c>
      <c r="G2898" s="191" t="str">
        <f>IF('IWP02'!J$394=0,"",'IWP02'!J$394)</f>
        <v/>
      </c>
      <c r="H2898" s="211">
        <f>'IWP02'!K$394</f>
        <v>0</v>
      </c>
      <c r="I2898" s="211">
        <f>'IWP02'!L$394</f>
        <v>0</v>
      </c>
      <c r="J2898" s="212">
        <f>'IWP02'!M$394</f>
        <v>0</v>
      </c>
      <c r="K2898" s="106"/>
      <c r="L2898" s="106"/>
      <c r="M2898" s="129"/>
    </row>
    <row r="2899" spans="1:13" s="105" customFormat="1">
      <c r="A2899" s="193" t="s">
        <v>500</v>
      </c>
      <c r="B2899" s="210">
        <v>3</v>
      </c>
      <c r="C2899" s="191" t="str">
        <f>IF('IWP02'!E$395=0,"",'IWP02'!E$395)</f>
        <v/>
      </c>
      <c r="D2899" s="211">
        <f>'IWP02'!G$395</f>
        <v>0</v>
      </c>
      <c r="E2899" s="211">
        <f>'IWP02'!H$395</f>
        <v>0</v>
      </c>
      <c r="F2899" s="211">
        <f>'IWP02'!I$395</f>
        <v>0</v>
      </c>
      <c r="G2899" s="191" t="str">
        <f>IF('IWP02'!J$395=0,"",'IWP02'!J$395)</f>
        <v/>
      </c>
      <c r="H2899" s="211">
        <f>'IWP02'!K$395</f>
        <v>0</v>
      </c>
      <c r="I2899" s="211">
        <f>'IWP02'!L$395</f>
        <v>0</v>
      </c>
      <c r="J2899" s="212">
        <f>'IWP02'!M$395</f>
        <v>0</v>
      </c>
      <c r="K2899" s="106"/>
      <c r="L2899" s="106"/>
      <c r="M2899" s="129"/>
    </row>
    <row r="2900" spans="1:13" s="105" customFormat="1">
      <c r="A2900" s="193" t="s">
        <v>500</v>
      </c>
      <c r="B2900" s="210">
        <v>3</v>
      </c>
      <c r="C2900" s="191" t="str">
        <f>IF('IWP02'!E$396=0,"",'IWP02'!E$396)</f>
        <v/>
      </c>
      <c r="D2900" s="211">
        <f>'IWP02'!G$396</f>
        <v>0</v>
      </c>
      <c r="E2900" s="211">
        <f>'IWP02'!H$396</f>
        <v>0</v>
      </c>
      <c r="F2900" s="211">
        <f>'IWP02'!I$396</f>
        <v>0</v>
      </c>
      <c r="G2900" s="191" t="str">
        <f>IF('IWP02'!J$396=0,"",'IWP02'!J$396)</f>
        <v/>
      </c>
      <c r="H2900" s="211">
        <f>'IWP02'!K$396</f>
        <v>0</v>
      </c>
      <c r="I2900" s="211">
        <f>'IWP02'!L$396</f>
        <v>0</v>
      </c>
      <c r="J2900" s="212">
        <f>'IWP02'!M$396</f>
        <v>0</v>
      </c>
      <c r="K2900" s="106"/>
      <c r="L2900" s="106"/>
      <c r="M2900" s="129"/>
    </row>
    <row r="2901" spans="1:13" s="105" customFormat="1">
      <c r="A2901" s="193" t="s">
        <v>500</v>
      </c>
      <c r="B2901" s="210">
        <v>4</v>
      </c>
      <c r="C2901" s="191" t="str">
        <f>IF('IWP02'!E$403=0,"",'IWP02'!E$403)</f>
        <v>Subtotal column D.</v>
      </c>
      <c r="D2901" s="211">
        <f>'IWP02'!G$403</f>
        <v>0</v>
      </c>
      <c r="E2901" s="211">
        <f>'IWP02'!H$403</f>
        <v>0</v>
      </c>
      <c r="F2901" s="211">
        <f>'IWP02'!I$403</f>
        <v>0</v>
      </c>
      <c r="G2901" s="191" t="str">
        <f>IF('IWP02'!J$403=0,"",'IWP02'!J$403)</f>
        <v/>
      </c>
      <c r="H2901" s="211">
        <f>'IWP02'!K$403</f>
        <v>0</v>
      </c>
      <c r="I2901" s="211">
        <f>'IWP02'!L$403</f>
        <v>0</v>
      </c>
      <c r="J2901" s="212">
        <f>'IWP02'!M$403</f>
        <v>0</v>
      </c>
      <c r="K2901" s="106"/>
      <c r="L2901" s="106"/>
      <c r="M2901" s="129"/>
    </row>
    <row r="2902" spans="1:13" s="105" customFormat="1">
      <c r="A2902" s="193" t="s">
        <v>500</v>
      </c>
      <c r="B2902" s="210">
        <v>4</v>
      </c>
      <c r="C2902" s="191" t="str">
        <f>IF('IWP02'!E$404=0,"",'IWP02'!E$404)</f>
        <v>Unverified/Undocumented (Subtotal D - C)</v>
      </c>
      <c r="D2902" s="211">
        <f>'IWP02'!G$404</f>
        <v>0</v>
      </c>
      <c r="E2902" s="211">
        <f>'IWP02'!H$404</f>
        <v>0</v>
      </c>
      <c r="F2902" s="211">
        <f>'IWP02'!I$404</f>
        <v>0</v>
      </c>
      <c r="G2902" s="191" t="str">
        <f>IF('IWP02'!J$404=0,"",'IWP02'!J$404)</f>
        <v/>
      </c>
      <c r="H2902" s="211">
        <f>'IWP02'!K$404</f>
        <v>0</v>
      </c>
      <c r="I2902" s="211">
        <f>'IWP02'!L$404</f>
        <v>0</v>
      </c>
      <c r="J2902" s="212">
        <f>'IWP02'!M$404</f>
        <v>0</v>
      </c>
      <c r="K2902" s="106"/>
      <c r="L2902" s="106"/>
      <c r="M2902" s="129"/>
    </row>
    <row r="2903" spans="1:13" s="105" customFormat="1">
      <c r="A2903" s="193" t="s">
        <v>500</v>
      </c>
      <c r="B2903" s="210">
        <v>4</v>
      </c>
      <c r="C2903" s="191" t="str">
        <f>IF('IWP02'!E$405=0,"",'IWP02'!E$405)</f>
        <v>J. Billing Period Total</v>
      </c>
      <c r="D2903" s="211">
        <f>'IWP02'!G$405</f>
        <v>0</v>
      </c>
      <c r="E2903" s="211">
        <f>'IWP02'!H$405</f>
        <v>0</v>
      </c>
      <c r="F2903" s="211">
        <f>'IWP02'!I$405</f>
        <v>0</v>
      </c>
      <c r="G2903" s="191" t="str">
        <f>IF('IWP02'!J$405=0,"",'IWP02'!J$405)</f>
        <v/>
      </c>
      <c r="H2903" s="211">
        <f>'IWP02'!K$405</f>
        <v>0</v>
      </c>
      <c r="I2903" s="211">
        <f>'IWP02'!L$405</f>
        <v>0</v>
      </c>
      <c r="J2903" s="212">
        <f>'IWP02'!M$405</f>
        <v>0</v>
      </c>
      <c r="K2903" s="106"/>
      <c r="L2903" s="106"/>
      <c r="M2903" s="129"/>
    </row>
    <row r="2904" spans="1:13" s="105" customFormat="1">
      <c r="A2904" s="193" t="s">
        <v>500</v>
      </c>
      <c r="B2904" s="210">
        <v>4</v>
      </c>
      <c r="C2904" s="191" t="str">
        <f>IF('IWP02'!E$406=0,"",'IWP02'!E$406)</f>
        <v>D.</v>
      </c>
      <c r="D2904" s="211">
        <f>'IWP02'!G$406</f>
        <v>0</v>
      </c>
      <c r="E2904" s="211" t="str">
        <f>'IWP02'!H$406</f>
        <v>E.</v>
      </c>
      <c r="F2904" s="211" t="str">
        <f>'IWP02'!I$406</f>
        <v>F.</v>
      </c>
      <c r="G2904" s="191" t="str">
        <f>IF('IWP02'!J$406=0,"",'IWP02'!J$406)</f>
        <v>G.</v>
      </c>
      <c r="H2904" s="211">
        <f>'IWP02'!K$406</f>
        <v>0</v>
      </c>
      <c r="I2904" s="211" t="str">
        <f>'IWP02'!L$406</f>
        <v>H.</v>
      </c>
      <c r="J2904" s="212" t="str">
        <f>'IWP02'!M$406</f>
        <v>I.</v>
      </c>
      <c r="K2904" s="106"/>
      <c r="L2904" s="106"/>
      <c r="M2904" s="129"/>
    </row>
    <row r="2905" spans="1:13" s="105" customFormat="1">
      <c r="A2905" s="193" t="s">
        <v>500</v>
      </c>
      <c r="B2905" s="210">
        <v>4</v>
      </c>
      <c r="C2905" s="191" t="str">
        <f>IF('IWP02'!E$407=0,"",'IWP02'!E$407)</f>
        <v xml:space="preserve">Items/Services Related to Billing Period </v>
      </c>
      <c r="D2905" s="211">
        <f>'IWP02'!G$407</f>
        <v>0</v>
      </c>
      <c r="E2905" s="211" t="str">
        <f>'IWP02'!H$407</f>
        <v xml:space="preserve">Item/
Service Verified Amounts
</v>
      </c>
      <c r="F2905" s="211" t="str">
        <f>'IWP02'!I$407</f>
        <v>Amount Due to DADS (E. - D.)</v>
      </c>
      <c r="G2905" s="191" t="str">
        <f>IF('IWP02'!J$407=0,"",'IWP02'!J$407)</f>
        <v>Amount Reimbursed to 
Employee(s)/Employer</v>
      </c>
      <c r="H2905" s="211">
        <f>'IWP02'!K$407</f>
        <v>0</v>
      </c>
      <c r="I2905" s="211" t="str">
        <f>'IWP02'!L$407</f>
        <v>Amount Due to Employee(s) (G. - E.)</v>
      </c>
      <c r="J2905" s="212" t="str">
        <f>'IWP02'!M$407</f>
        <v>Amount Due to Employer (G. - E.)</v>
      </c>
      <c r="K2905" s="106"/>
      <c r="L2905" s="106"/>
      <c r="M2905" s="129"/>
    </row>
    <row r="2906" spans="1:13" s="105" customFormat="1">
      <c r="A2906" s="193" t="s">
        <v>500</v>
      </c>
      <c r="B2906" s="210">
        <v>4</v>
      </c>
      <c r="C2906" s="191" t="str">
        <f>IF('IWP02'!E$408=0,"",'IWP02'!E$408)</f>
        <v>Item/Service</v>
      </c>
      <c r="D2906" s="211" t="str">
        <f>'IWP02'!G$408</f>
        <v>Itemized Amount Paid by DADS</v>
      </c>
      <c r="E2906" s="211">
        <f>'IWP02'!H$408</f>
        <v>0</v>
      </c>
      <c r="F2906" s="211">
        <f>'IWP02'!I$408</f>
        <v>0</v>
      </c>
      <c r="G2906" s="191" t="str">
        <f>IF('IWP02'!J$408=0,"",'IWP02'!J$408)</f>
        <v/>
      </c>
      <c r="H2906" s="211">
        <f>'IWP02'!K$408</f>
        <v>0</v>
      </c>
      <c r="I2906" s="211">
        <f>'IWP02'!L$408</f>
        <v>0</v>
      </c>
      <c r="J2906" s="212">
        <f>'IWP02'!M$408</f>
        <v>0</v>
      </c>
      <c r="K2906" s="106"/>
      <c r="L2906" s="106"/>
      <c r="M2906" s="129"/>
    </row>
    <row r="2907" spans="1:13" s="105" customFormat="1">
      <c r="A2907" s="193" t="s">
        <v>500</v>
      </c>
      <c r="B2907" s="210">
        <v>4</v>
      </c>
      <c r="C2907" s="191" t="str">
        <f>IF('IWP02'!E$409=0,"",'IWP02'!E$409)</f>
        <v/>
      </c>
      <c r="D2907" s="211">
        <f>'IWP02'!G$409</f>
        <v>0</v>
      </c>
      <c r="E2907" s="211">
        <f>'IWP02'!H$409</f>
        <v>0</v>
      </c>
      <c r="F2907" s="211">
        <f>'IWP02'!I$409</f>
        <v>0</v>
      </c>
      <c r="G2907" s="191" t="str">
        <f>IF('IWP02'!J$409=0,"",'IWP02'!J$409)</f>
        <v/>
      </c>
      <c r="H2907" s="211">
        <f>'IWP02'!K$409</f>
        <v>0</v>
      </c>
      <c r="I2907" s="211">
        <f>'IWP02'!L$409</f>
        <v>0</v>
      </c>
      <c r="J2907" s="212">
        <f>'IWP02'!M$409</f>
        <v>0</v>
      </c>
      <c r="K2907" s="106"/>
      <c r="L2907" s="106"/>
      <c r="M2907" s="129"/>
    </row>
    <row r="2908" spans="1:13" s="105" customFormat="1">
      <c r="A2908" s="193" t="s">
        <v>500</v>
      </c>
      <c r="B2908" s="210">
        <v>4</v>
      </c>
      <c r="C2908" s="191" t="str">
        <f>IF('IWP02'!E$410=0,"",'IWP02'!E$410)</f>
        <v/>
      </c>
      <c r="D2908" s="211">
        <f>'IWP02'!G$410</f>
        <v>0</v>
      </c>
      <c r="E2908" s="211">
        <f>'IWP02'!H$410</f>
        <v>0</v>
      </c>
      <c r="F2908" s="211">
        <f>'IWP02'!I$410</f>
        <v>0</v>
      </c>
      <c r="G2908" s="191" t="str">
        <f>IF('IWP02'!J$410=0,"",'IWP02'!J$410)</f>
        <v/>
      </c>
      <c r="H2908" s="211">
        <f>'IWP02'!K$410</f>
        <v>0</v>
      </c>
      <c r="I2908" s="211">
        <f>'IWP02'!L$410</f>
        <v>0</v>
      </c>
      <c r="J2908" s="212">
        <f>'IWP02'!M$410</f>
        <v>0</v>
      </c>
      <c r="K2908" s="106"/>
      <c r="L2908" s="106"/>
      <c r="M2908" s="129"/>
    </row>
    <row r="2909" spans="1:13" s="105" customFormat="1">
      <c r="A2909" s="193" t="s">
        <v>500</v>
      </c>
      <c r="B2909" s="210">
        <v>4</v>
      </c>
      <c r="C2909" s="191" t="str">
        <f>IF('IWP02'!E$411=0,"",'IWP02'!E$411)</f>
        <v/>
      </c>
      <c r="D2909" s="211">
        <f>'IWP02'!G$411</f>
        <v>0</v>
      </c>
      <c r="E2909" s="211">
        <f>'IWP02'!H$411</f>
        <v>0</v>
      </c>
      <c r="F2909" s="211">
        <f>'IWP02'!I$411</f>
        <v>0</v>
      </c>
      <c r="G2909" s="191" t="str">
        <f>IF('IWP02'!J$411=0,"",'IWP02'!J$411)</f>
        <v/>
      </c>
      <c r="H2909" s="211">
        <f>'IWP02'!K$411</f>
        <v>0</v>
      </c>
      <c r="I2909" s="211">
        <f>'IWP02'!L$411</f>
        <v>0</v>
      </c>
      <c r="J2909" s="212">
        <f>'IWP02'!M$411</f>
        <v>0</v>
      </c>
      <c r="K2909" s="106"/>
      <c r="L2909" s="106"/>
      <c r="M2909" s="129"/>
    </row>
    <row r="2910" spans="1:13" s="105" customFormat="1">
      <c r="A2910" s="193" t="s">
        <v>500</v>
      </c>
      <c r="B2910" s="210">
        <v>4</v>
      </c>
      <c r="C2910" s="191" t="str">
        <f>IF('IWP02'!E$412=0,"",'IWP02'!E$412)</f>
        <v/>
      </c>
      <c r="D2910" s="211">
        <f>'IWP02'!G$412</f>
        <v>0</v>
      </c>
      <c r="E2910" s="211">
        <f>'IWP02'!H$412</f>
        <v>0</v>
      </c>
      <c r="F2910" s="211">
        <f>'IWP02'!I$412</f>
        <v>0</v>
      </c>
      <c r="G2910" s="191" t="str">
        <f>IF('IWP02'!J$412=0,"",'IWP02'!J$412)</f>
        <v/>
      </c>
      <c r="H2910" s="211">
        <f>'IWP02'!K$412</f>
        <v>0</v>
      </c>
      <c r="I2910" s="211">
        <f>'IWP02'!L$412</f>
        <v>0</v>
      </c>
      <c r="J2910" s="212">
        <f>'IWP02'!M$412</f>
        <v>0</v>
      </c>
      <c r="K2910" s="106"/>
      <c r="L2910" s="106"/>
      <c r="M2910" s="129"/>
    </row>
    <row r="2911" spans="1:13" s="105" customFormat="1">
      <c r="A2911" s="193" t="s">
        <v>500</v>
      </c>
      <c r="B2911" s="210">
        <v>5</v>
      </c>
      <c r="C2911" s="191" t="str">
        <f>IF('IWP02'!E$419=0,"",'IWP02'!E$419)</f>
        <v>Subtotal column D.</v>
      </c>
      <c r="D2911" s="211">
        <f>'IWP02'!G$419</f>
        <v>0</v>
      </c>
      <c r="E2911" s="211">
        <f>'IWP02'!H$419</f>
        <v>0</v>
      </c>
      <c r="F2911" s="211">
        <f>'IWP02'!I$419</f>
        <v>0</v>
      </c>
      <c r="G2911" s="191" t="str">
        <f>IF('IWP02'!J$419=0,"",'IWP02'!J$419)</f>
        <v/>
      </c>
      <c r="H2911" s="211">
        <f>'IWP02'!K$419</f>
        <v>0</v>
      </c>
      <c r="I2911" s="211">
        <f>'IWP02'!L$419</f>
        <v>0</v>
      </c>
      <c r="J2911" s="212">
        <f>'IWP02'!M$419</f>
        <v>0</v>
      </c>
      <c r="K2911" s="106"/>
      <c r="L2911" s="106"/>
      <c r="M2911" s="129"/>
    </row>
    <row r="2912" spans="1:13" s="105" customFormat="1">
      <c r="A2912" s="193" t="s">
        <v>500</v>
      </c>
      <c r="B2912" s="210">
        <v>5</v>
      </c>
      <c r="C2912" s="191" t="str">
        <f>IF('IWP02'!E$420=0,"",'IWP02'!E$420)</f>
        <v>Unverified/Undocumented (Subtotal D - C)</v>
      </c>
      <c r="D2912" s="211">
        <f>'IWP02'!G$420</f>
        <v>0</v>
      </c>
      <c r="E2912" s="211">
        <f>'IWP02'!H$420</f>
        <v>0</v>
      </c>
      <c r="F2912" s="211">
        <f>'IWP02'!I$420</f>
        <v>0</v>
      </c>
      <c r="G2912" s="191" t="str">
        <f>IF('IWP02'!J$420=0,"",'IWP02'!J$420)</f>
        <v/>
      </c>
      <c r="H2912" s="211">
        <f>'IWP02'!K$420</f>
        <v>0</v>
      </c>
      <c r="I2912" s="211">
        <f>'IWP02'!L$420</f>
        <v>0</v>
      </c>
      <c r="J2912" s="212">
        <f>'IWP02'!M$420</f>
        <v>0</v>
      </c>
      <c r="K2912" s="106"/>
      <c r="L2912" s="106"/>
      <c r="M2912" s="129"/>
    </row>
    <row r="2913" spans="1:13" s="105" customFormat="1">
      <c r="A2913" s="193" t="s">
        <v>500</v>
      </c>
      <c r="B2913" s="210">
        <v>5</v>
      </c>
      <c r="C2913" s="191" t="str">
        <f>IF('IWP02'!E$421=0,"",'IWP02'!E$421)</f>
        <v>J. Billing Period Total</v>
      </c>
      <c r="D2913" s="211">
        <f>'IWP02'!G$421</f>
        <v>0</v>
      </c>
      <c r="E2913" s="211">
        <f>'IWP02'!H$421</f>
        <v>0</v>
      </c>
      <c r="F2913" s="211">
        <f>'IWP02'!I$421</f>
        <v>0</v>
      </c>
      <c r="G2913" s="191" t="str">
        <f>IF('IWP02'!J$421=0,"",'IWP02'!J$421)</f>
        <v/>
      </c>
      <c r="H2913" s="211">
        <f>'IWP02'!K$421</f>
        <v>0</v>
      </c>
      <c r="I2913" s="211">
        <f>'IWP02'!L$421</f>
        <v>0</v>
      </c>
      <c r="J2913" s="212">
        <f>'IWP02'!M$421</f>
        <v>0</v>
      </c>
      <c r="K2913" s="106"/>
      <c r="L2913" s="106"/>
      <c r="M2913" s="129"/>
    </row>
    <row r="2914" spans="1:13" s="105" customFormat="1">
      <c r="A2914" s="193" t="s">
        <v>500</v>
      </c>
      <c r="B2914" s="210">
        <v>5</v>
      </c>
      <c r="C2914" s="191" t="str">
        <f>IF('IWP02'!E$422=0,"",'IWP02'!E$422)</f>
        <v>D.</v>
      </c>
      <c r="D2914" s="211">
        <f>'IWP02'!G$422</f>
        <v>0</v>
      </c>
      <c r="E2914" s="211" t="str">
        <f>'IWP02'!H$422</f>
        <v>E.</v>
      </c>
      <c r="F2914" s="211" t="str">
        <f>'IWP02'!I$422</f>
        <v>F.</v>
      </c>
      <c r="G2914" s="191" t="str">
        <f>IF('IWP02'!J$422=0,"",'IWP02'!J$422)</f>
        <v>G.</v>
      </c>
      <c r="H2914" s="211">
        <f>'IWP02'!K$422</f>
        <v>0</v>
      </c>
      <c r="I2914" s="211" t="str">
        <f>'IWP02'!L$422</f>
        <v>H.</v>
      </c>
      <c r="J2914" s="212" t="str">
        <f>'IWP02'!M$422</f>
        <v>I.</v>
      </c>
      <c r="K2914" s="106"/>
      <c r="L2914" s="106"/>
      <c r="M2914" s="129"/>
    </row>
    <row r="2915" spans="1:13" s="105" customFormat="1">
      <c r="A2915" s="193" t="s">
        <v>500</v>
      </c>
      <c r="B2915" s="210">
        <v>5</v>
      </c>
      <c r="C2915" s="191" t="str">
        <f>IF('IWP02'!E$423=0,"",'IWP02'!E$423)</f>
        <v xml:space="preserve">Items/Services Related to Billing Period </v>
      </c>
      <c r="D2915" s="211">
        <f>'IWP02'!G$423</f>
        <v>0</v>
      </c>
      <c r="E2915" s="211" t="str">
        <f>'IWP02'!H$423</f>
        <v xml:space="preserve">Item/
Service Verified Amounts
</v>
      </c>
      <c r="F2915" s="211" t="str">
        <f>'IWP02'!I$423</f>
        <v>Amount Due to DADS (E. - D.)</v>
      </c>
      <c r="G2915" s="191" t="str">
        <f>IF('IWP02'!J$423=0,"",'IWP02'!J$423)</f>
        <v>Amount Reimbursed to 
Employee(s)/Employer</v>
      </c>
      <c r="H2915" s="211">
        <f>'IWP02'!K$423</f>
        <v>0</v>
      </c>
      <c r="I2915" s="211" t="str">
        <f>'IWP02'!L$423</f>
        <v>Amount Due to Employee(s) (G. - E.)</v>
      </c>
      <c r="J2915" s="212" t="str">
        <f>'IWP02'!M$423</f>
        <v>Amount Due to Employer (G. - E.)</v>
      </c>
      <c r="K2915" s="106"/>
      <c r="L2915" s="106"/>
      <c r="M2915" s="129"/>
    </row>
    <row r="2916" spans="1:13" s="105" customFormat="1">
      <c r="A2916" s="193" t="s">
        <v>500</v>
      </c>
      <c r="B2916" s="210">
        <v>5</v>
      </c>
      <c r="C2916" s="191" t="str">
        <f>IF('IWP02'!E$424=0,"",'IWP02'!E$424)</f>
        <v>Item/Service</v>
      </c>
      <c r="D2916" s="211" t="str">
        <f>'IWP02'!G$424</f>
        <v>Itemized Amount Paid by DADS</v>
      </c>
      <c r="E2916" s="211">
        <f>'IWP02'!H$424</f>
        <v>0</v>
      </c>
      <c r="F2916" s="211">
        <f>'IWP02'!I$424</f>
        <v>0</v>
      </c>
      <c r="G2916" s="191" t="str">
        <f>IF('IWP02'!J$424=0,"",'IWP02'!J$424)</f>
        <v/>
      </c>
      <c r="H2916" s="211">
        <f>'IWP02'!K$424</f>
        <v>0</v>
      </c>
      <c r="I2916" s="211">
        <f>'IWP02'!L$424</f>
        <v>0</v>
      </c>
      <c r="J2916" s="212">
        <f>'IWP02'!M$424</f>
        <v>0</v>
      </c>
      <c r="K2916" s="106"/>
      <c r="L2916" s="106"/>
      <c r="M2916" s="129"/>
    </row>
    <row r="2917" spans="1:13" s="105" customFormat="1">
      <c r="A2917" s="193" t="s">
        <v>500</v>
      </c>
      <c r="B2917" s="210">
        <v>5</v>
      </c>
      <c r="C2917" s="191" t="str">
        <f>IF('IWP02'!E$425=0,"",'IWP02'!E$425)</f>
        <v/>
      </c>
      <c r="D2917" s="211">
        <f>'IWP02'!G$425</f>
        <v>0</v>
      </c>
      <c r="E2917" s="211">
        <f>'IWP02'!H$425</f>
        <v>0</v>
      </c>
      <c r="F2917" s="211">
        <f>'IWP02'!I$425</f>
        <v>0</v>
      </c>
      <c r="G2917" s="191" t="str">
        <f>IF('IWP02'!J$425=0,"",'IWP02'!J$425)</f>
        <v/>
      </c>
      <c r="H2917" s="211">
        <f>'IWP02'!K$425</f>
        <v>0</v>
      </c>
      <c r="I2917" s="211">
        <f>'IWP02'!L$425</f>
        <v>0</v>
      </c>
      <c r="J2917" s="212">
        <f>'IWP02'!M$425</f>
        <v>0</v>
      </c>
      <c r="K2917" s="106"/>
      <c r="L2917" s="106"/>
      <c r="M2917" s="129"/>
    </row>
    <row r="2918" spans="1:13" s="105" customFormat="1">
      <c r="A2918" s="193" t="s">
        <v>500</v>
      </c>
      <c r="B2918" s="210">
        <v>5</v>
      </c>
      <c r="C2918" s="191" t="str">
        <f>IF('IWP02'!E$426=0,"",'IWP02'!E$426)</f>
        <v/>
      </c>
      <c r="D2918" s="211">
        <f>'IWP02'!G$426</f>
        <v>0</v>
      </c>
      <c r="E2918" s="211">
        <f>'IWP02'!H$426</f>
        <v>0</v>
      </c>
      <c r="F2918" s="211">
        <f>'IWP02'!I$426</f>
        <v>0</v>
      </c>
      <c r="G2918" s="191" t="str">
        <f>IF('IWP02'!J$426=0,"",'IWP02'!J$426)</f>
        <v/>
      </c>
      <c r="H2918" s="211">
        <f>'IWP02'!K$426</f>
        <v>0</v>
      </c>
      <c r="I2918" s="211">
        <f>'IWP02'!L$426</f>
        <v>0</v>
      </c>
      <c r="J2918" s="212">
        <f>'IWP02'!M$426</f>
        <v>0</v>
      </c>
      <c r="K2918" s="106"/>
      <c r="L2918" s="106"/>
      <c r="M2918" s="129"/>
    </row>
    <row r="2919" spans="1:13" s="105" customFormat="1">
      <c r="A2919" s="193" t="s">
        <v>500</v>
      </c>
      <c r="B2919" s="210">
        <v>5</v>
      </c>
      <c r="C2919" s="191" t="str">
        <f>IF('IWP02'!E$427=0,"",'IWP02'!E$427)</f>
        <v/>
      </c>
      <c r="D2919" s="211">
        <f>'IWP02'!G$427</f>
        <v>0</v>
      </c>
      <c r="E2919" s="211">
        <f>'IWP02'!H$427</f>
        <v>0</v>
      </c>
      <c r="F2919" s="211">
        <f>'IWP02'!I$427</f>
        <v>0</v>
      </c>
      <c r="G2919" s="191" t="str">
        <f>IF('IWP02'!J$427=0,"",'IWP02'!J$427)</f>
        <v/>
      </c>
      <c r="H2919" s="211">
        <f>'IWP02'!K$427</f>
        <v>0</v>
      </c>
      <c r="I2919" s="211">
        <f>'IWP02'!L$427</f>
        <v>0</v>
      </c>
      <c r="J2919" s="212">
        <f>'IWP02'!M$427</f>
        <v>0</v>
      </c>
      <c r="K2919" s="106"/>
      <c r="L2919" s="106"/>
      <c r="M2919" s="129"/>
    </row>
    <row r="2920" spans="1:13" s="105" customFormat="1">
      <c r="A2920" s="193" t="s">
        <v>500</v>
      </c>
      <c r="B2920" s="210">
        <v>5</v>
      </c>
      <c r="C2920" s="191" t="str">
        <f>IF('IWP02'!E$428=0,"",'IWP02'!E$428)</f>
        <v/>
      </c>
      <c r="D2920" s="211">
        <f>'IWP02'!G$428</f>
        <v>0</v>
      </c>
      <c r="E2920" s="211">
        <f>'IWP02'!H$428</f>
        <v>0</v>
      </c>
      <c r="F2920" s="211">
        <f>'IWP02'!I$428</f>
        <v>0</v>
      </c>
      <c r="G2920" s="191" t="str">
        <f>IF('IWP02'!J$428=0,"",'IWP02'!J$428)</f>
        <v/>
      </c>
      <c r="H2920" s="211">
        <f>'IWP02'!K$428</f>
        <v>0</v>
      </c>
      <c r="I2920" s="211">
        <f>'IWP02'!L$428</f>
        <v>0</v>
      </c>
      <c r="J2920" s="212">
        <f>'IWP02'!M$428</f>
        <v>0</v>
      </c>
      <c r="K2920" s="106"/>
      <c r="L2920" s="106"/>
      <c r="M2920" s="129"/>
    </row>
    <row r="2921" spans="1:13" s="105" customFormat="1">
      <c r="A2921" s="193" t="s">
        <v>500</v>
      </c>
      <c r="B2921" s="210">
        <v>6</v>
      </c>
      <c r="C2921" s="191" t="str">
        <f>IF('IWP02'!E$435=0,"",'IWP02'!E$435)</f>
        <v>Subtotal column D.</v>
      </c>
      <c r="D2921" s="211">
        <f>'IWP02'!G$435</f>
        <v>0</v>
      </c>
      <c r="E2921" s="211">
        <f>'IWP02'!H$435</f>
        <v>0</v>
      </c>
      <c r="F2921" s="211">
        <f>'IWP02'!I$435</f>
        <v>0</v>
      </c>
      <c r="G2921" s="191" t="str">
        <f>IF('IWP02'!J$435=0,"",'IWP02'!J$435)</f>
        <v/>
      </c>
      <c r="H2921" s="211">
        <f>'IWP02'!K$435</f>
        <v>0</v>
      </c>
      <c r="I2921" s="211">
        <f>'IWP02'!L$435</f>
        <v>0</v>
      </c>
      <c r="J2921" s="212">
        <f>'IWP02'!M$435</f>
        <v>0</v>
      </c>
      <c r="K2921" s="106"/>
      <c r="L2921" s="106"/>
      <c r="M2921" s="129"/>
    </row>
    <row r="2922" spans="1:13" s="105" customFormat="1">
      <c r="A2922" s="193" t="s">
        <v>500</v>
      </c>
      <c r="B2922" s="210">
        <v>6</v>
      </c>
      <c r="C2922" s="191" t="str">
        <f>IF('IWP02'!E$436=0,"",'IWP02'!E$436)</f>
        <v>Unverified/Undocumented (Subtotal D - C)</v>
      </c>
      <c r="D2922" s="211">
        <f>'IWP02'!G$436</f>
        <v>0</v>
      </c>
      <c r="E2922" s="211">
        <f>'IWP02'!H$436</f>
        <v>0</v>
      </c>
      <c r="F2922" s="211">
        <f>'IWP02'!I$436</f>
        <v>0</v>
      </c>
      <c r="G2922" s="191" t="str">
        <f>IF('IWP02'!J$436=0,"",'IWP02'!J$436)</f>
        <v/>
      </c>
      <c r="H2922" s="211">
        <f>'IWP02'!K$436</f>
        <v>0</v>
      </c>
      <c r="I2922" s="211">
        <f>'IWP02'!L$436</f>
        <v>0</v>
      </c>
      <c r="J2922" s="212">
        <f>'IWP02'!M$436</f>
        <v>0</v>
      </c>
      <c r="K2922" s="106"/>
      <c r="L2922" s="106"/>
      <c r="M2922" s="129"/>
    </row>
    <row r="2923" spans="1:13" s="105" customFormat="1">
      <c r="A2923" s="193" t="s">
        <v>500</v>
      </c>
      <c r="B2923" s="210">
        <v>6</v>
      </c>
      <c r="C2923" s="191" t="str">
        <f>IF('IWP02'!E$437=0,"",'IWP02'!E$437)</f>
        <v>J. Billing Period Total</v>
      </c>
      <c r="D2923" s="211">
        <f>'IWP02'!G$437</f>
        <v>0</v>
      </c>
      <c r="E2923" s="211">
        <f>'IWP02'!H$437</f>
        <v>0</v>
      </c>
      <c r="F2923" s="211">
        <f>'IWP02'!I$437</f>
        <v>0</v>
      </c>
      <c r="G2923" s="191" t="str">
        <f>IF('IWP02'!J$437=0,"",'IWP02'!J$437)</f>
        <v/>
      </c>
      <c r="H2923" s="211">
        <f>'IWP02'!K$437</f>
        <v>0</v>
      </c>
      <c r="I2923" s="211">
        <f>'IWP02'!L$437</f>
        <v>0</v>
      </c>
      <c r="J2923" s="212">
        <f>'IWP02'!M$437</f>
        <v>0</v>
      </c>
      <c r="K2923" s="106"/>
      <c r="L2923" s="106"/>
      <c r="M2923" s="129"/>
    </row>
    <row r="2924" spans="1:13" s="105" customFormat="1">
      <c r="A2924" s="193" t="s">
        <v>500</v>
      </c>
      <c r="B2924" s="210">
        <v>6</v>
      </c>
      <c r="C2924" s="191" t="str">
        <f>IF('IWP02'!E$438=0,"",'IWP02'!E$438)</f>
        <v>D.</v>
      </c>
      <c r="D2924" s="211">
        <f>'IWP02'!G$438</f>
        <v>0</v>
      </c>
      <c r="E2924" s="211" t="str">
        <f>'IWP02'!H$438</f>
        <v>E.</v>
      </c>
      <c r="F2924" s="211" t="str">
        <f>'IWP02'!I$438</f>
        <v>F.</v>
      </c>
      <c r="G2924" s="191" t="str">
        <f>IF('IWP02'!J$438=0,"",'IWP02'!J$438)</f>
        <v>G.</v>
      </c>
      <c r="H2924" s="211">
        <f>'IWP02'!K$438</f>
        <v>0</v>
      </c>
      <c r="I2924" s="211" t="str">
        <f>'IWP02'!L$438</f>
        <v>H.</v>
      </c>
      <c r="J2924" s="212" t="str">
        <f>'IWP02'!M$438</f>
        <v>I.</v>
      </c>
      <c r="K2924" s="106"/>
      <c r="L2924" s="106"/>
      <c r="M2924" s="129"/>
    </row>
    <row r="2925" spans="1:13" s="105" customFormat="1">
      <c r="A2925" s="193" t="s">
        <v>500</v>
      </c>
      <c r="B2925" s="210">
        <v>6</v>
      </c>
      <c r="C2925" s="191" t="str">
        <f>IF('IWP02'!E$439=0,"",'IWP02'!E$439)</f>
        <v xml:space="preserve">Items/Services Related to Billing Period </v>
      </c>
      <c r="D2925" s="211">
        <f>'IWP02'!G$439</f>
        <v>0</v>
      </c>
      <c r="E2925" s="211" t="str">
        <f>'IWP02'!H$439</f>
        <v xml:space="preserve">Item/
Service Verified Amounts
</v>
      </c>
      <c r="F2925" s="211" t="str">
        <f>'IWP02'!I$439</f>
        <v>Amount Due to DADS (E. - D.)</v>
      </c>
      <c r="G2925" s="191" t="str">
        <f>IF('IWP02'!J$439=0,"",'IWP02'!J$439)</f>
        <v>Amount Reimbursed to 
Employee(s)/Employer</v>
      </c>
      <c r="H2925" s="211">
        <f>'IWP02'!K$439</f>
        <v>0</v>
      </c>
      <c r="I2925" s="211" t="str">
        <f>'IWP02'!L$439</f>
        <v>Amount Due to Employee(s) (G. - E.)</v>
      </c>
      <c r="J2925" s="212" t="str">
        <f>'IWP02'!M$439</f>
        <v>Amount Due to Employer (G. - E.)</v>
      </c>
      <c r="K2925" s="106"/>
      <c r="L2925" s="106"/>
      <c r="M2925" s="129"/>
    </row>
    <row r="2926" spans="1:13" s="105" customFormat="1">
      <c r="A2926" s="193" t="s">
        <v>500</v>
      </c>
      <c r="B2926" s="210">
        <v>6</v>
      </c>
      <c r="C2926" s="191" t="str">
        <f>IF('IWP02'!E$440=0,"",'IWP02'!E$440)</f>
        <v>Item/Service</v>
      </c>
      <c r="D2926" s="211" t="str">
        <f>'IWP02'!G$440</f>
        <v>Itemized Amount Paid by DADS</v>
      </c>
      <c r="E2926" s="211">
        <f>'IWP02'!H$440</f>
        <v>0</v>
      </c>
      <c r="F2926" s="211">
        <f>'IWP02'!I$440</f>
        <v>0</v>
      </c>
      <c r="G2926" s="191" t="str">
        <f>IF('IWP02'!J$440=0,"",'IWP02'!J$440)</f>
        <v/>
      </c>
      <c r="H2926" s="211">
        <f>'IWP02'!K$440</f>
        <v>0</v>
      </c>
      <c r="I2926" s="211">
        <f>'IWP02'!L$440</f>
        <v>0</v>
      </c>
      <c r="J2926" s="212">
        <f>'IWP02'!M$440</f>
        <v>0</v>
      </c>
      <c r="K2926" s="106"/>
      <c r="L2926" s="106"/>
      <c r="M2926" s="129"/>
    </row>
    <row r="2927" spans="1:13" s="105" customFormat="1">
      <c r="A2927" s="193" t="s">
        <v>500</v>
      </c>
      <c r="B2927" s="210">
        <v>6</v>
      </c>
      <c r="C2927" s="191" t="str">
        <f>IF('IWP02'!E$441=0,"",'IWP02'!E$441)</f>
        <v/>
      </c>
      <c r="D2927" s="211">
        <f>'IWP02'!G$441</f>
        <v>0</v>
      </c>
      <c r="E2927" s="211">
        <f>'IWP02'!H$441</f>
        <v>0</v>
      </c>
      <c r="F2927" s="211">
        <f>'IWP02'!I$441</f>
        <v>0</v>
      </c>
      <c r="G2927" s="191" t="str">
        <f>IF('IWP02'!J$441=0,"",'IWP02'!J$441)</f>
        <v/>
      </c>
      <c r="H2927" s="211">
        <f>'IWP02'!K$441</f>
        <v>0</v>
      </c>
      <c r="I2927" s="211">
        <f>'IWP02'!L$441</f>
        <v>0</v>
      </c>
      <c r="J2927" s="212">
        <f>'IWP02'!M$441</f>
        <v>0</v>
      </c>
      <c r="K2927" s="106"/>
      <c r="L2927" s="106"/>
      <c r="M2927" s="129"/>
    </row>
    <row r="2928" spans="1:13" s="105" customFormat="1">
      <c r="A2928" s="193" t="s">
        <v>500</v>
      </c>
      <c r="B2928" s="210">
        <v>6</v>
      </c>
      <c r="C2928" s="191" t="str">
        <f>IF('IWP02'!E$442=0,"",'IWP02'!E$442)</f>
        <v/>
      </c>
      <c r="D2928" s="211">
        <f>'IWP02'!G$442</f>
        <v>0</v>
      </c>
      <c r="E2928" s="211">
        <f>'IWP02'!H$442</f>
        <v>0</v>
      </c>
      <c r="F2928" s="211">
        <f>'IWP02'!I$442</f>
        <v>0</v>
      </c>
      <c r="G2928" s="191" t="str">
        <f>IF('IWP02'!J$442=0,"",'IWP02'!J$442)</f>
        <v/>
      </c>
      <c r="H2928" s="211">
        <f>'IWP02'!K$442</f>
        <v>0</v>
      </c>
      <c r="I2928" s="211">
        <f>'IWP02'!L$442</f>
        <v>0</v>
      </c>
      <c r="J2928" s="212">
        <f>'IWP02'!M$442</f>
        <v>0</v>
      </c>
      <c r="K2928" s="106"/>
      <c r="L2928" s="106"/>
      <c r="M2928" s="129"/>
    </row>
    <row r="2929" spans="1:13" s="105" customFormat="1">
      <c r="A2929" s="193" t="s">
        <v>500</v>
      </c>
      <c r="B2929" s="210">
        <v>6</v>
      </c>
      <c r="C2929" s="191" t="str">
        <f>IF('IWP02'!E$443=0,"",'IWP02'!E$443)</f>
        <v/>
      </c>
      <c r="D2929" s="211">
        <f>'IWP02'!G$443</f>
        <v>0</v>
      </c>
      <c r="E2929" s="211">
        <f>'IWP02'!H$443</f>
        <v>0</v>
      </c>
      <c r="F2929" s="211">
        <f>'IWP02'!I$443</f>
        <v>0</v>
      </c>
      <c r="G2929" s="191" t="str">
        <f>IF('IWP02'!J$443=0,"",'IWP02'!J$443)</f>
        <v/>
      </c>
      <c r="H2929" s="211">
        <f>'IWP02'!K$443</f>
        <v>0</v>
      </c>
      <c r="I2929" s="211">
        <f>'IWP02'!L$443</f>
        <v>0</v>
      </c>
      <c r="J2929" s="212">
        <f>'IWP02'!M$443</f>
        <v>0</v>
      </c>
      <c r="K2929" s="106"/>
      <c r="L2929" s="106"/>
      <c r="M2929" s="129"/>
    </row>
    <row r="2930" spans="1:13" s="105" customFormat="1">
      <c r="A2930" s="193" t="s">
        <v>500</v>
      </c>
      <c r="B2930" s="210">
        <v>6</v>
      </c>
      <c r="C2930" s="191" t="str">
        <f>IF('IWP02'!E$444=0,"",'IWP02'!E$444)</f>
        <v/>
      </c>
      <c r="D2930" s="211">
        <f>'IWP02'!G$444</f>
        <v>0</v>
      </c>
      <c r="E2930" s="211">
        <f>'IWP02'!H$444</f>
        <v>0</v>
      </c>
      <c r="F2930" s="211">
        <f>'IWP02'!I$444</f>
        <v>0</v>
      </c>
      <c r="G2930" s="191" t="str">
        <f>IF('IWP02'!J$444=0,"",'IWP02'!J$444)</f>
        <v/>
      </c>
      <c r="H2930" s="211">
        <f>'IWP02'!K$444</f>
        <v>0</v>
      </c>
      <c r="I2930" s="211">
        <f>'IWP02'!L$444</f>
        <v>0</v>
      </c>
      <c r="J2930" s="212">
        <f>'IWP02'!M$444</f>
        <v>0</v>
      </c>
      <c r="K2930" s="106"/>
      <c r="L2930" s="106"/>
      <c r="M2930" s="129"/>
    </row>
    <row r="2931" spans="1:13" s="105" customFormat="1">
      <c r="A2931" s="193" t="s">
        <v>500</v>
      </c>
      <c r="B2931" s="210">
        <v>7</v>
      </c>
      <c r="C2931" s="191" t="str">
        <f>IF('IWP02'!E$451=0,"",'IWP02'!E$451)</f>
        <v>Subtotal column D.</v>
      </c>
      <c r="D2931" s="211">
        <f>'IWP02'!G$451</f>
        <v>0</v>
      </c>
      <c r="E2931" s="211">
        <f>'IWP02'!H$451</f>
        <v>0</v>
      </c>
      <c r="F2931" s="211">
        <f>'IWP02'!I$451</f>
        <v>0</v>
      </c>
      <c r="G2931" s="191" t="str">
        <f>IF('IWP02'!J$451=0,"",'IWP02'!J$451)</f>
        <v/>
      </c>
      <c r="H2931" s="211">
        <f>'IWP02'!K$451</f>
        <v>0</v>
      </c>
      <c r="I2931" s="211">
        <f>'IWP02'!L$451</f>
        <v>0</v>
      </c>
      <c r="J2931" s="212">
        <f>'IWP02'!M$451</f>
        <v>0</v>
      </c>
      <c r="K2931" s="106"/>
      <c r="L2931" s="106"/>
      <c r="M2931" s="129"/>
    </row>
    <row r="2932" spans="1:13" s="105" customFormat="1">
      <c r="A2932" s="193" t="s">
        <v>500</v>
      </c>
      <c r="B2932" s="210">
        <v>7</v>
      </c>
      <c r="C2932" s="191" t="str">
        <f>IF('IWP02'!E$452=0,"",'IWP02'!E$452)</f>
        <v>Unverified/Undocumented (Subtotal D - C)</v>
      </c>
      <c r="D2932" s="211">
        <f>'IWP02'!G$452</f>
        <v>0</v>
      </c>
      <c r="E2932" s="211">
        <f>'IWP02'!H$452</f>
        <v>0</v>
      </c>
      <c r="F2932" s="211">
        <f>'IWP02'!I$452</f>
        <v>0</v>
      </c>
      <c r="G2932" s="191" t="str">
        <f>IF('IWP02'!J$452=0,"",'IWP02'!J$452)</f>
        <v/>
      </c>
      <c r="H2932" s="211">
        <f>'IWP02'!K$452</f>
        <v>0</v>
      </c>
      <c r="I2932" s="211">
        <f>'IWP02'!L$452</f>
        <v>0</v>
      </c>
      <c r="J2932" s="212">
        <f>'IWP02'!M$452</f>
        <v>0</v>
      </c>
      <c r="K2932" s="106"/>
      <c r="L2932" s="106"/>
      <c r="M2932" s="129"/>
    </row>
    <row r="2933" spans="1:13" s="105" customFormat="1">
      <c r="A2933" s="193" t="s">
        <v>500</v>
      </c>
      <c r="B2933" s="210">
        <v>7</v>
      </c>
      <c r="C2933" s="191" t="str">
        <f>IF('IWP02'!E$453=0,"",'IWP02'!E$453)</f>
        <v>J. Billing Period Total</v>
      </c>
      <c r="D2933" s="211">
        <f>'IWP02'!G$453</f>
        <v>0</v>
      </c>
      <c r="E2933" s="211">
        <f>'IWP02'!H$453</f>
        <v>0</v>
      </c>
      <c r="F2933" s="211">
        <f>'IWP02'!I$453</f>
        <v>0</v>
      </c>
      <c r="G2933" s="191" t="str">
        <f>IF('IWP02'!J$453=0,"",'IWP02'!J$453)</f>
        <v/>
      </c>
      <c r="H2933" s="211">
        <f>'IWP02'!K$453</f>
        <v>0</v>
      </c>
      <c r="I2933" s="211">
        <f>'IWP02'!L$453</f>
        <v>0</v>
      </c>
      <c r="J2933" s="212">
        <f>'IWP02'!M$453</f>
        <v>0</v>
      </c>
      <c r="K2933" s="106"/>
      <c r="L2933" s="106"/>
      <c r="M2933" s="129"/>
    </row>
    <row r="2934" spans="1:13" s="105" customFormat="1">
      <c r="A2934" s="193" t="s">
        <v>500</v>
      </c>
      <c r="B2934" s="210">
        <v>7</v>
      </c>
      <c r="C2934" s="191" t="str">
        <f>IF('IWP02'!E$454=0,"",'IWP02'!E$454)</f>
        <v>D.</v>
      </c>
      <c r="D2934" s="211">
        <f>'IWP02'!G$454</f>
        <v>0</v>
      </c>
      <c r="E2934" s="211" t="str">
        <f>'IWP02'!H$454</f>
        <v>E.</v>
      </c>
      <c r="F2934" s="211" t="str">
        <f>'IWP02'!I$454</f>
        <v>F.</v>
      </c>
      <c r="G2934" s="191" t="str">
        <f>IF('IWP02'!J$454=0,"",'IWP02'!J$454)</f>
        <v>G.</v>
      </c>
      <c r="H2934" s="211">
        <f>'IWP02'!K$454</f>
        <v>0</v>
      </c>
      <c r="I2934" s="211" t="str">
        <f>'IWP02'!L$454</f>
        <v>H.</v>
      </c>
      <c r="J2934" s="212" t="str">
        <f>'IWP02'!M$454</f>
        <v>I.</v>
      </c>
      <c r="K2934" s="106"/>
      <c r="L2934" s="106"/>
      <c r="M2934" s="129"/>
    </row>
    <row r="2935" spans="1:13" s="105" customFormat="1">
      <c r="A2935" s="193" t="s">
        <v>500</v>
      </c>
      <c r="B2935" s="210">
        <v>7</v>
      </c>
      <c r="C2935" s="191" t="str">
        <f>IF('IWP02'!E$455=0,"",'IWP02'!E$455)</f>
        <v xml:space="preserve">Items/Services Related to Billing Period </v>
      </c>
      <c r="D2935" s="211">
        <f>'IWP02'!G$455</f>
        <v>0</v>
      </c>
      <c r="E2935" s="211" t="str">
        <f>'IWP02'!H$455</f>
        <v xml:space="preserve">Item/
Service Verified Amounts
</v>
      </c>
      <c r="F2935" s="211" t="str">
        <f>'IWP02'!I$455</f>
        <v>Amount Due to DADS (E. - D.)</v>
      </c>
      <c r="G2935" s="191" t="str">
        <f>IF('IWP02'!J$455=0,"",'IWP02'!J$455)</f>
        <v>Amount Reimbursed to 
Employee(s)/Employer</v>
      </c>
      <c r="H2935" s="211">
        <f>'IWP02'!K$455</f>
        <v>0</v>
      </c>
      <c r="I2935" s="211" t="str">
        <f>'IWP02'!L$455</f>
        <v>Amount Due to Employee(s) (G. - E.)</v>
      </c>
      <c r="J2935" s="212" t="str">
        <f>'IWP02'!M$455</f>
        <v>Amount Due to Employer (G. - E.)</v>
      </c>
      <c r="K2935" s="106"/>
      <c r="L2935" s="106"/>
      <c r="M2935" s="129"/>
    </row>
    <row r="2936" spans="1:13" s="105" customFormat="1">
      <c r="A2936" s="193" t="s">
        <v>500</v>
      </c>
      <c r="B2936" s="210">
        <v>7</v>
      </c>
      <c r="C2936" s="191" t="str">
        <f>IF('IWP02'!E$456=0,"",'IWP02'!E$456)</f>
        <v>Item/Service</v>
      </c>
      <c r="D2936" s="211" t="str">
        <f>'IWP02'!G$456</f>
        <v>Itemized Amount Paid by DADS</v>
      </c>
      <c r="E2936" s="211">
        <f>'IWP02'!H$456</f>
        <v>0</v>
      </c>
      <c r="F2936" s="211">
        <f>'IWP02'!I$456</f>
        <v>0</v>
      </c>
      <c r="G2936" s="191" t="str">
        <f>IF('IWP02'!J$456=0,"",'IWP02'!J$456)</f>
        <v/>
      </c>
      <c r="H2936" s="211">
        <f>'IWP02'!K$456</f>
        <v>0</v>
      </c>
      <c r="I2936" s="211">
        <f>'IWP02'!L$456</f>
        <v>0</v>
      </c>
      <c r="J2936" s="212">
        <f>'IWP02'!M$456</f>
        <v>0</v>
      </c>
      <c r="K2936" s="106"/>
      <c r="L2936" s="106"/>
      <c r="M2936" s="129"/>
    </row>
    <row r="2937" spans="1:13" s="105" customFormat="1">
      <c r="A2937" s="193" t="s">
        <v>500</v>
      </c>
      <c r="B2937" s="210">
        <v>7</v>
      </c>
      <c r="C2937" s="191" t="str">
        <f>IF('IWP02'!E$457=0,"",'IWP02'!E$457)</f>
        <v/>
      </c>
      <c r="D2937" s="211">
        <f>'IWP02'!G$457</f>
        <v>0</v>
      </c>
      <c r="E2937" s="211">
        <f>'IWP02'!H$457</f>
        <v>0</v>
      </c>
      <c r="F2937" s="211">
        <f>'IWP02'!I$457</f>
        <v>0</v>
      </c>
      <c r="G2937" s="191" t="str">
        <f>IF('IWP02'!J$457=0,"",'IWP02'!J$457)</f>
        <v/>
      </c>
      <c r="H2937" s="211">
        <f>'IWP02'!K$457</f>
        <v>0</v>
      </c>
      <c r="I2937" s="211">
        <f>'IWP02'!L$457</f>
        <v>0</v>
      </c>
      <c r="J2937" s="212">
        <f>'IWP02'!M$457</f>
        <v>0</v>
      </c>
      <c r="K2937" s="106"/>
      <c r="L2937" s="106"/>
      <c r="M2937" s="129"/>
    </row>
    <row r="2938" spans="1:13" s="105" customFormat="1">
      <c r="A2938" s="193" t="s">
        <v>500</v>
      </c>
      <c r="B2938" s="210">
        <v>7</v>
      </c>
      <c r="C2938" s="191" t="str">
        <f>IF('IWP02'!E$458=0,"",'IWP02'!E$458)</f>
        <v/>
      </c>
      <c r="D2938" s="211">
        <f>'IWP02'!G$458</f>
        <v>0</v>
      </c>
      <c r="E2938" s="211">
        <f>'IWP02'!H$458</f>
        <v>0</v>
      </c>
      <c r="F2938" s="211">
        <f>'IWP02'!I$458</f>
        <v>0</v>
      </c>
      <c r="G2938" s="191" t="str">
        <f>IF('IWP02'!J$458=0,"",'IWP02'!J$458)</f>
        <v/>
      </c>
      <c r="H2938" s="211">
        <f>'IWP02'!K$458</f>
        <v>0</v>
      </c>
      <c r="I2938" s="211">
        <f>'IWP02'!L$458</f>
        <v>0</v>
      </c>
      <c r="J2938" s="212">
        <f>'IWP02'!M$458</f>
        <v>0</v>
      </c>
      <c r="K2938" s="106"/>
      <c r="L2938" s="106"/>
      <c r="M2938" s="129"/>
    </row>
    <row r="2939" spans="1:13" s="105" customFormat="1">
      <c r="A2939" s="193" t="s">
        <v>500</v>
      </c>
      <c r="B2939" s="210">
        <v>7</v>
      </c>
      <c r="C2939" s="191" t="str">
        <f>IF('IWP02'!E$459=0,"",'IWP02'!E$459)</f>
        <v/>
      </c>
      <c r="D2939" s="211">
        <f>'IWP02'!G$459</f>
        <v>0</v>
      </c>
      <c r="E2939" s="211">
        <f>'IWP02'!H$459</f>
        <v>0</v>
      </c>
      <c r="F2939" s="211">
        <f>'IWP02'!I$459</f>
        <v>0</v>
      </c>
      <c r="G2939" s="191" t="str">
        <f>IF('IWP02'!J$459=0,"",'IWP02'!J$459)</f>
        <v/>
      </c>
      <c r="H2939" s="211">
        <f>'IWP02'!K$459</f>
        <v>0</v>
      </c>
      <c r="I2939" s="211">
        <f>'IWP02'!L$459</f>
        <v>0</v>
      </c>
      <c r="J2939" s="212">
        <f>'IWP02'!M$459</f>
        <v>0</v>
      </c>
      <c r="K2939" s="106"/>
      <c r="L2939" s="106"/>
      <c r="M2939" s="129"/>
    </row>
    <row r="2940" spans="1:13" s="105" customFormat="1">
      <c r="A2940" s="193" t="s">
        <v>500</v>
      </c>
      <c r="B2940" s="210">
        <v>7</v>
      </c>
      <c r="C2940" s="191" t="str">
        <f>IF('IWP02'!E$460=0,"",'IWP02'!E$460)</f>
        <v/>
      </c>
      <c r="D2940" s="211">
        <f>'IWP02'!G$460</f>
        <v>0</v>
      </c>
      <c r="E2940" s="211">
        <f>'IWP02'!H$460</f>
        <v>0</v>
      </c>
      <c r="F2940" s="211">
        <f>'IWP02'!I$460</f>
        <v>0</v>
      </c>
      <c r="G2940" s="191" t="str">
        <f>IF('IWP02'!J$460=0,"",'IWP02'!J$460)</f>
        <v/>
      </c>
      <c r="H2940" s="211">
        <f>'IWP02'!K$460</f>
        <v>0</v>
      </c>
      <c r="I2940" s="211">
        <f>'IWP02'!L$460</f>
        <v>0</v>
      </c>
      <c r="J2940" s="212">
        <f>'IWP02'!M$460</f>
        <v>0</v>
      </c>
      <c r="K2940" s="106"/>
      <c r="L2940" s="106"/>
      <c r="M2940" s="129"/>
    </row>
    <row r="2941" spans="1:13" s="105" customFormat="1">
      <c r="A2941" s="193" t="s">
        <v>500</v>
      </c>
      <c r="B2941" s="210">
        <v>8</v>
      </c>
      <c r="C2941" s="191" t="str">
        <f>IF('IWP02'!E$467=0,"",'IWP02'!E$467)</f>
        <v>Subtotal column D.</v>
      </c>
      <c r="D2941" s="211">
        <f>'IWP02'!G$467</f>
        <v>0</v>
      </c>
      <c r="E2941" s="211">
        <f>'IWP02'!H$467</f>
        <v>0</v>
      </c>
      <c r="F2941" s="211">
        <f>'IWP02'!I$467</f>
        <v>0</v>
      </c>
      <c r="G2941" s="191" t="str">
        <f>IF('IWP02'!J$467=0,"",'IWP02'!J$467)</f>
        <v/>
      </c>
      <c r="H2941" s="211">
        <f>'IWP02'!K$467</f>
        <v>0</v>
      </c>
      <c r="I2941" s="211">
        <f>'IWP02'!L$467</f>
        <v>0</v>
      </c>
      <c r="J2941" s="212">
        <f>'IWP02'!M$467</f>
        <v>0</v>
      </c>
      <c r="K2941" s="106"/>
      <c r="L2941" s="106"/>
      <c r="M2941" s="129"/>
    </row>
    <row r="2942" spans="1:13" s="105" customFormat="1">
      <c r="A2942" s="193" t="s">
        <v>500</v>
      </c>
      <c r="B2942" s="210">
        <v>8</v>
      </c>
      <c r="C2942" s="191" t="str">
        <f>IF('IWP02'!E$468=0,"",'IWP02'!E$468)</f>
        <v>Unverified/Undocumented (Subtotal D - C)</v>
      </c>
      <c r="D2942" s="211">
        <f>'IWP02'!G$468</f>
        <v>0</v>
      </c>
      <c r="E2942" s="211">
        <f>'IWP02'!H$468</f>
        <v>0</v>
      </c>
      <c r="F2942" s="211">
        <f>'IWP02'!I$468</f>
        <v>0</v>
      </c>
      <c r="G2942" s="191" t="str">
        <f>IF('IWP02'!J$468=0,"",'IWP02'!J$468)</f>
        <v/>
      </c>
      <c r="H2942" s="211">
        <f>'IWP02'!K$468</f>
        <v>0</v>
      </c>
      <c r="I2942" s="211">
        <f>'IWP02'!L$468</f>
        <v>0</v>
      </c>
      <c r="J2942" s="212">
        <f>'IWP02'!M$468</f>
        <v>0</v>
      </c>
      <c r="K2942" s="106"/>
      <c r="L2942" s="106"/>
      <c r="M2942" s="129"/>
    </row>
    <row r="2943" spans="1:13" s="105" customFormat="1">
      <c r="A2943" s="193" t="s">
        <v>500</v>
      </c>
      <c r="B2943" s="210">
        <v>8</v>
      </c>
      <c r="C2943" s="191" t="str">
        <f>IF('IWP02'!E$469=0,"",'IWP02'!E$469)</f>
        <v>J. Billing Period Total</v>
      </c>
      <c r="D2943" s="211">
        <f>'IWP02'!G$469</f>
        <v>0</v>
      </c>
      <c r="E2943" s="211">
        <f>'IWP02'!H$469</f>
        <v>0</v>
      </c>
      <c r="F2943" s="211">
        <f>'IWP02'!I$469</f>
        <v>0</v>
      </c>
      <c r="G2943" s="191" t="str">
        <f>IF('IWP02'!J$469=0,"",'IWP02'!J$469)</f>
        <v/>
      </c>
      <c r="H2943" s="211">
        <f>'IWP02'!K$469</f>
        <v>0</v>
      </c>
      <c r="I2943" s="211">
        <f>'IWP02'!L$469</f>
        <v>0</v>
      </c>
      <c r="J2943" s="212">
        <f>'IWP02'!M$469</f>
        <v>0</v>
      </c>
      <c r="K2943" s="106"/>
      <c r="L2943" s="106"/>
      <c r="M2943" s="129"/>
    </row>
    <row r="2944" spans="1:13" s="105" customFormat="1">
      <c r="A2944" s="193" t="s">
        <v>500</v>
      </c>
      <c r="B2944" s="210">
        <v>8</v>
      </c>
      <c r="C2944" s="191" t="str">
        <f>IF('IWP02'!E$470=0,"",'IWP02'!E$470)</f>
        <v>D.</v>
      </c>
      <c r="D2944" s="211">
        <f>'IWP02'!G$470</f>
        <v>0</v>
      </c>
      <c r="E2944" s="211" t="str">
        <f>'IWP02'!H$470</f>
        <v>E.</v>
      </c>
      <c r="F2944" s="211" t="str">
        <f>'IWP02'!I$470</f>
        <v>F.</v>
      </c>
      <c r="G2944" s="191" t="str">
        <f>IF('IWP02'!J$470=0,"",'IWP02'!J$470)</f>
        <v>G.</v>
      </c>
      <c r="H2944" s="211">
        <f>'IWP02'!K$470</f>
        <v>0</v>
      </c>
      <c r="I2944" s="211" t="str">
        <f>'IWP02'!L$470</f>
        <v>H.</v>
      </c>
      <c r="J2944" s="212" t="str">
        <f>'IWP02'!M$470</f>
        <v>I.</v>
      </c>
      <c r="K2944" s="106"/>
      <c r="L2944" s="106"/>
      <c r="M2944" s="129"/>
    </row>
    <row r="2945" spans="1:13" s="105" customFormat="1">
      <c r="A2945" s="193" t="s">
        <v>500</v>
      </c>
      <c r="B2945" s="210">
        <v>8</v>
      </c>
      <c r="C2945" s="191" t="str">
        <f>IF('IWP02'!E$471=0,"",'IWP02'!E$471)</f>
        <v xml:space="preserve">Items/Services Related to Billing Period </v>
      </c>
      <c r="D2945" s="211">
        <f>'IWP02'!G$471</f>
        <v>0</v>
      </c>
      <c r="E2945" s="211" t="str">
        <f>'IWP02'!H$471</f>
        <v xml:space="preserve">Item/
Service Verified Amounts
</v>
      </c>
      <c r="F2945" s="211" t="str">
        <f>'IWP02'!I$471</f>
        <v>Amount Due to DADS (E. - D.)</v>
      </c>
      <c r="G2945" s="191" t="str">
        <f>IF('IWP02'!J$471=0,"",'IWP02'!J$471)</f>
        <v>Amount Reimbursed to 
Employee(s)/Employer</v>
      </c>
      <c r="H2945" s="211">
        <f>'IWP02'!K$471</f>
        <v>0</v>
      </c>
      <c r="I2945" s="211" t="str">
        <f>'IWP02'!L$471</f>
        <v>Amount Due to Employee(s) (G. - E.)</v>
      </c>
      <c r="J2945" s="212" t="str">
        <f>'IWP02'!M$471</f>
        <v>Amount Due to Employer (G. - E.)</v>
      </c>
      <c r="K2945" s="106"/>
      <c r="L2945" s="106"/>
      <c r="M2945" s="129"/>
    </row>
    <row r="2946" spans="1:13" s="105" customFormat="1">
      <c r="A2946" s="193" t="s">
        <v>500</v>
      </c>
      <c r="B2946" s="210">
        <v>8</v>
      </c>
      <c r="C2946" s="191" t="str">
        <f>IF('IWP02'!E$472=0,"",'IWP02'!E$472)</f>
        <v>Item/Service</v>
      </c>
      <c r="D2946" s="211" t="str">
        <f>'IWP02'!G$472</f>
        <v>Itemized Amount Paid by DADS</v>
      </c>
      <c r="E2946" s="211">
        <f>'IWP02'!H$472</f>
        <v>0</v>
      </c>
      <c r="F2946" s="211">
        <f>'IWP02'!I$472</f>
        <v>0</v>
      </c>
      <c r="G2946" s="191" t="str">
        <f>IF('IWP02'!J$472=0,"",'IWP02'!J$472)</f>
        <v/>
      </c>
      <c r="H2946" s="211">
        <f>'IWP02'!K$472</f>
        <v>0</v>
      </c>
      <c r="I2946" s="211">
        <f>'IWP02'!L$472</f>
        <v>0</v>
      </c>
      <c r="J2946" s="212">
        <f>'IWP02'!M$472</f>
        <v>0</v>
      </c>
      <c r="K2946" s="106"/>
      <c r="L2946" s="106"/>
      <c r="M2946" s="129"/>
    </row>
    <row r="2947" spans="1:13" s="105" customFormat="1">
      <c r="A2947" s="193" t="s">
        <v>500</v>
      </c>
      <c r="B2947" s="210">
        <v>8</v>
      </c>
      <c r="C2947" s="191" t="str">
        <f>IF('IWP02'!E$473=0,"",'IWP02'!E$473)</f>
        <v/>
      </c>
      <c r="D2947" s="211">
        <f>'IWP02'!G$473</f>
        <v>0</v>
      </c>
      <c r="E2947" s="211">
        <f>'IWP02'!H$473</f>
        <v>0</v>
      </c>
      <c r="F2947" s="211">
        <f>'IWP02'!I$473</f>
        <v>0</v>
      </c>
      <c r="G2947" s="191" t="str">
        <f>IF('IWP02'!J$473=0,"",'IWP02'!J$473)</f>
        <v/>
      </c>
      <c r="H2947" s="211">
        <f>'IWP02'!K$473</f>
        <v>0</v>
      </c>
      <c r="I2947" s="211">
        <f>'IWP02'!L$473</f>
        <v>0</v>
      </c>
      <c r="J2947" s="212">
        <f>'IWP02'!M$473</f>
        <v>0</v>
      </c>
      <c r="K2947" s="106"/>
      <c r="L2947" s="106"/>
      <c r="M2947" s="129"/>
    </row>
    <row r="2948" spans="1:13" s="105" customFormat="1">
      <c r="A2948" s="193" t="s">
        <v>500</v>
      </c>
      <c r="B2948" s="210">
        <v>8</v>
      </c>
      <c r="C2948" s="191" t="str">
        <f>IF('IWP02'!E$474=0,"",'IWP02'!E$474)</f>
        <v/>
      </c>
      <c r="D2948" s="211">
        <f>'IWP02'!G$474</f>
        <v>0</v>
      </c>
      <c r="E2948" s="211">
        <f>'IWP02'!H$474</f>
        <v>0</v>
      </c>
      <c r="F2948" s="211">
        <f>'IWP02'!I$474</f>
        <v>0</v>
      </c>
      <c r="G2948" s="191" t="str">
        <f>IF('IWP02'!J$474=0,"",'IWP02'!J$474)</f>
        <v/>
      </c>
      <c r="H2948" s="211">
        <f>'IWP02'!K$474</f>
        <v>0</v>
      </c>
      <c r="I2948" s="211">
        <f>'IWP02'!L$474</f>
        <v>0</v>
      </c>
      <c r="J2948" s="212">
        <f>'IWP02'!M$474</f>
        <v>0</v>
      </c>
      <c r="K2948" s="106"/>
      <c r="L2948" s="106"/>
      <c r="M2948" s="129"/>
    </row>
    <row r="2949" spans="1:13" s="105" customFormat="1">
      <c r="A2949" s="193" t="s">
        <v>500</v>
      </c>
      <c r="B2949" s="210">
        <v>8</v>
      </c>
      <c r="C2949" s="191" t="str">
        <f>IF('IWP02'!E$475=0,"",'IWP02'!E$475)</f>
        <v/>
      </c>
      <c r="D2949" s="211">
        <f>'IWP02'!G$475</f>
        <v>0</v>
      </c>
      <c r="E2949" s="211">
        <f>'IWP02'!H$475</f>
        <v>0</v>
      </c>
      <c r="F2949" s="211">
        <f>'IWP02'!I$475</f>
        <v>0</v>
      </c>
      <c r="G2949" s="191" t="str">
        <f>IF('IWP02'!J$475=0,"",'IWP02'!J$475)</f>
        <v/>
      </c>
      <c r="H2949" s="211">
        <f>'IWP02'!K$475</f>
        <v>0</v>
      </c>
      <c r="I2949" s="211">
        <f>'IWP02'!L$475</f>
        <v>0</v>
      </c>
      <c r="J2949" s="212">
        <f>'IWP02'!M$475</f>
        <v>0</v>
      </c>
      <c r="K2949" s="106"/>
      <c r="L2949" s="106"/>
      <c r="M2949" s="129"/>
    </row>
    <row r="2950" spans="1:13" s="105" customFormat="1">
      <c r="A2950" s="193" t="s">
        <v>500</v>
      </c>
      <c r="B2950" s="210">
        <v>8</v>
      </c>
      <c r="C2950" s="191" t="str">
        <f>IF('IWP02'!E$476=0,"",'IWP02'!E$476)</f>
        <v/>
      </c>
      <c r="D2950" s="211">
        <f>'IWP02'!G$476</f>
        <v>0</v>
      </c>
      <c r="E2950" s="211">
        <f>'IWP02'!H$476</f>
        <v>0</v>
      </c>
      <c r="F2950" s="211">
        <f>'IWP02'!I$476</f>
        <v>0</v>
      </c>
      <c r="G2950" s="191" t="str">
        <f>IF('IWP02'!J$476=0,"",'IWP02'!J$476)</f>
        <v/>
      </c>
      <c r="H2950" s="211">
        <f>'IWP02'!K$476</f>
        <v>0</v>
      </c>
      <c r="I2950" s="211">
        <f>'IWP02'!L$476</f>
        <v>0</v>
      </c>
      <c r="J2950" s="212">
        <f>'IWP02'!M$476</f>
        <v>0</v>
      </c>
      <c r="K2950" s="106"/>
      <c r="L2950" s="106"/>
      <c r="M2950" s="129"/>
    </row>
    <row r="2951" spans="1:13" s="105" customFormat="1">
      <c r="A2951" s="193" t="s">
        <v>500</v>
      </c>
      <c r="B2951" s="210">
        <v>9</v>
      </c>
      <c r="C2951" s="191" t="str">
        <f>IF('IWP02'!E$483=0,"",'IWP02'!E$483)</f>
        <v>Subtotal column D.</v>
      </c>
      <c r="D2951" s="211">
        <f>'IWP02'!G$483</f>
        <v>0</v>
      </c>
      <c r="E2951" s="211">
        <f>'IWP02'!H$483</f>
        <v>0</v>
      </c>
      <c r="F2951" s="211">
        <f>'IWP02'!I$483</f>
        <v>0</v>
      </c>
      <c r="G2951" s="191" t="str">
        <f>IF('IWP02'!J$483=0,"",'IWP02'!J$483)</f>
        <v/>
      </c>
      <c r="H2951" s="211">
        <f>'IWP02'!K$483</f>
        <v>0</v>
      </c>
      <c r="I2951" s="211">
        <f>'IWP02'!L$483</f>
        <v>0</v>
      </c>
      <c r="J2951" s="212">
        <f>'IWP02'!M$483</f>
        <v>0</v>
      </c>
      <c r="K2951" s="106"/>
      <c r="L2951" s="106"/>
      <c r="M2951" s="129"/>
    </row>
    <row r="2952" spans="1:13" s="105" customFormat="1">
      <c r="A2952" s="193" t="s">
        <v>500</v>
      </c>
      <c r="B2952" s="210">
        <v>9</v>
      </c>
      <c r="C2952" s="191" t="str">
        <f>IF('IWP02'!E$484=0,"",'IWP02'!E$484)</f>
        <v>Unverified/Undocumented (Subtotal D - C)</v>
      </c>
      <c r="D2952" s="211">
        <f>'IWP02'!G$484</f>
        <v>0</v>
      </c>
      <c r="E2952" s="211">
        <f>'IWP02'!H$484</f>
        <v>0</v>
      </c>
      <c r="F2952" s="211">
        <f>'IWP02'!I$484</f>
        <v>0</v>
      </c>
      <c r="G2952" s="191" t="str">
        <f>IF('IWP02'!J$484=0,"",'IWP02'!J$484)</f>
        <v/>
      </c>
      <c r="H2952" s="211">
        <f>'IWP02'!K$484</f>
        <v>0</v>
      </c>
      <c r="I2952" s="211">
        <f>'IWP02'!L$484</f>
        <v>0</v>
      </c>
      <c r="J2952" s="212">
        <f>'IWP02'!M$484</f>
        <v>0</v>
      </c>
      <c r="K2952" s="106"/>
      <c r="L2952" s="106"/>
      <c r="M2952" s="129"/>
    </row>
    <row r="2953" spans="1:13" s="105" customFormat="1">
      <c r="A2953" s="193" t="s">
        <v>500</v>
      </c>
      <c r="B2953" s="210">
        <v>9</v>
      </c>
      <c r="C2953" s="191" t="str">
        <f>IF('IWP02'!E$485=0,"",'IWP02'!E$485)</f>
        <v>J. Billing Period Total</v>
      </c>
      <c r="D2953" s="211">
        <f>'IWP02'!G$485</f>
        <v>0</v>
      </c>
      <c r="E2953" s="211">
        <f>'IWP02'!H$485</f>
        <v>0</v>
      </c>
      <c r="F2953" s="211">
        <f>'IWP02'!I$485</f>
        <v>0</v>
      </c>
      <c r="G2953" s="191" t="str">
        <f>IF('IWP02'!J$485=0,"",'IWP02'!J$485)</f>
        <v/>
      </c>
      <c r="H2953" s="211">
        <f>'IWP02'!K$485</f>
        <v>0</v>
      </c>
      <c r="I2953" s="211">
        <f>'IWP02'!L$485</f>
        <v>0</v>
      </c>
      <c r="J2953" s="212">
        <f>'IWP02'!M$485</f>
        <v>0</v>
      </c>
      <c r="K2953" s="106"/>
      <c r="L2953" s="106"/>
      <c r="M2953" s="129"/>
    </row>
    <row r="2954" spans="1:13" s="105" customFormat="1">
      <c r="A2954" s="193" t="s">
        <v>500</v>
      </c>
      <c r="B2954" s="210">
        <v>9</v>
      </c>
      <c r="C2954" s="191" t="str">
        <f>IF('IWP02'!E$486=0,"",'IWP02'!E$486)</f>
        <v>D.</v>
      </c>
      <c r="D2954" s="211">
        <f>'IWP02'!G$486</f>
        <v>0</v>
      </c>
      <c r="E2954" s="211" t="str">
        <f>'IWP02'!H$486</f>
        <v>E.</v>
      </c>
      <c r="F2954" s="211" t="str">
        <f>'IWP02'!I$486</f>
        <v>F.</v>
      </c>
      <c r="G2954" s="191" t="str">
        <f>IF('IWP02'!J$486=0,"",'IWP02'!J$486)</f>
        <v>G.</v>
      </c>
      <c r="H2954" s="211">
        <f>'IWP02'!K$486</f>
        <v>0</v>
      </c>
      <c r="I2954" s="211" t="str">
        <f>'IWP02'!L$486</f>
        <v>H.</v>
      </c>
      <c r="J2954" s="212" t="str">
        <f>'IWP02'!M$486</f>
        <v>I.</v>
      </c>
      <c r="K2954" s="106"/>
      <c r="L2954" s="106"/>
      <c r="M2954" s="129"/>
    </row>
    <row r="2955" spans="1:13" s="105" customFormat="1">
      <c r="A2955" s="193" t="s">
        <v>500</v>
      </c>
      <c r="B2955" s="210">
        <v>9</v>
      </c>
      <c r="C2955" s="191" t="str">
        <f>IF('IWP02'!E$487=0,"",'IWP02'!E$487)</f>
        <v xml:space="preserve">Items/Services Related to Billing Period </v>
      </c>
      <c r="D2955" s="211">
        <f>'IWP02'!G$487</f>
        <v>0</v>
      </c>
      <c r="E2955" s="211" t="str">
        <f>'IWP02'!H$487</f>
        <v xml:space="preserve">Item/
Service Verified Amounts
</v>
      </c>
      <c r="F2955" s="211" t="str">
        <f>'IWP02'!I$487</f>
        <v>Amount Due to DADS (E. - D.)</v>
      </c>
      <c r="G2955" s="191" t="str">
        <f>IF('IWP02'!J$487=0,"",'IWP02'!J$487)</f>
        <v>Amount Reimbursed to 
Employee(s)/Employer</v>
      </c>
      <c r="H2955" s="211">
        <f>'IWP02'!K$487</f>
        <v>0</v>
      </c>
      <c r="I2955" s="211" t="str">
        <f>'IWP02'!L$487</f>
        <v>Amount Due to Employee(s) (G. - E.)</v>
      </c>
      <c r="J2955" s="212" t="str">
        <f>'IWP02'!M$487</f>
        <v>Amount Due to Employer (G. - E.)</v>
      </c>
      <c r="K2955" s="106"/>
      <c r="L2955" s="106"/>
      <c r="M2955" s="129"/>
    </row>
    <row r="2956" spans="1:13" s="105" customFormat="1">
      <c r="A2956" s="193" t="s">
        <v>500</v>
      </c>
      <c r="B2956" s="210">
        <v>9</v>
      </c>
      <c r="C2956" s="191" t="str">
        <f>IF('IWP02'!E$488=0,"",'IWP02'!E$488)</f>
        <v>Item/Service</v>
      </c>
      <c r="D2956" s="211" t="str">
        <f>'IWP02'!G$488</f>
        <v>Itemized Amount Paid by DADS</v>
      </c>
      <c r="E2956" s="211">
        <f>'IWP02'!H$488</f>
        <v>0</v>
      </c>
      <c r="F2956" s="211">
        <f>'IWP02'!I$488</f>
        <v>0</v>
      </c>
      <c r="G2956" s="191" t="str">
        <f>IF('IWP02'!J$488=0,"",'IWP02'!J$488)</f>
        <v/>
      </c>
      <c r="H2956" s="211">
        <f>'IWP02'!K$488</f>
        <v>0</v>
      </c>
      <c r="I2956" s="211">
        <f>'IWP02'!L$488</f>
        <v>0</v>
      </c>
      <c r="J2956" s="212">
        <f>'IWP02'!M$488</f>
        <v>0</v>
      </c>
      <c r="K2956" s="106"/>
      <c r="L2956" s="106"/>
      <c r="M2956" s="129"/>
    </row>
    <row r="2957" spans="1:13" s="105" customFormat="1">
      <c r="A2957" s="193" t="s">
        <v>500</v>
      </c>
      <c r="B2957" s="210">
        <v>9</v>
      </c>
      <c r="C2957" s="191" t="str">
        <f>IF('IWP02'!E$489=0,"",'IWP02'!E$489)</f>
        <v/>
      </c>
      <c r="D2957" s="211">
        <f>'IWP02'!G$489</f>
        <v>0</v>
      </c>
      <c r="E2957" s="211">
        <f>'IWP02'!H$489</f>
        <v>0</v>
      </c>
      <c r="F2957" s="211">
        <f>'IWP02'!I$489</f>
        <v>0</v>
      </c>
      <c r="G2957" s="191" t="str">
        <f>IF('IWP02'!J$489=0,"",'IWP02'!J$489)</f>
        <v/>
      </c>
      <c r="H2957" s="211">
        <f>'IWP02'!K$489</f>
        <v>0</v>
      </c>
      <c r="I2957" s="211">
        <f>'IWP02'!L$489</f>
        <v>0</v>
      </c>
      <c r="J2957" s="212">
        <f>'IWP02'!M$489</f>
        <v>0</v>
      </c>
      <c r="K2957" s="106"/>
      <c r="L2957" s="106"/>
      <c r="M2957" s="129"/>
    </row>
    <row r="2958" spans="1:13" s="105" customFormat="1">
      <c r="A2958" s="193" t="s">
        <v>500</v>
      </c>
      <c r="B2958" s="210">
        <v>9</v>
      </c>
      <c r="C2958" s="191" t="str">
        <f>IF('IWP02'!E$490=0,"",'IWP02'!E$490)</f>
        <v/>
      </c>
      <c r="D2958" s="211">
        <f>'IWP02'!G$490</f>
        <v>0</v>
      </c>
      <c r="E2958" s="211">
        <f>'IWP02'!H$490</f>
        <v>0</v>
      </c>
      <c r="F2958" s="211">
        <f>'IWP02'!I$490</f>
        <v>0</v>
      </c>
      <c r="G2958" s="191" t="str">
        <f>IF('IWP02'!J$490=0,"",'IWP02'!J$490)</f>
        <v/>
      </c>
      <c r="H2958" s="211">
        <f>'IWP02'!K$490</f>
        <v>0</v>
      </c>
      <c r="I2958" s="211">
        <f>'IWP02'!L$490</f>
        <v>0</v>
      </c>
      <c r="J2958" s="212">
        <f>'IWP02'!M$490</f>
        <v>0</v>
      </c>
      <c r="K2958" s="106"/>
      <c r="L2958" s="106"/>
      <c r="M2958" s="129"/>
    </row>
    <row r="2959" spans="1:13" s="105" customFormat="1">
      <c r="A2959" s="193" t="s">
        <v>500</v>
      </c>
      <c r="B2959" s="210">
        <v>9</v>
      </c>
      <c r="C2959" s="191" t="str">
        <f>IF('IWP02'!E$491=0,"",'IWP02'!E$491)</f>
        <v/>
      </c>
      <c r="D2959" s="211">
        <f>'IWP02'!G$491</f>
        <v>0</v>
      </c>
      <c r="E2959" s="211">
        <f>'IWP02'!H$491</f>
        <v>0</v>
      </c>
      <c r="F2959" s="211">
        <f>'IWP02'!I$491</f>
        <v>0</v>
      </c>
      <c r="G2959" s="191" t="str">
        <f>IF('IWP02'!J$491=0,"",'IWP02'!J$491)</f>
        <v/>
      </c>
      <c r="H2959" s="211">
        <f>'IWP02'!K$491</f>
        <v>0</v>
      </c>
      <c r="I2959" s="211">
        <f>'IWP02'!L$491</f>
        <v>0</v>
      </c>
      <c r="J2959" s="212">
        <f>'IWP02'!M$491</f>
        <v>0</v>
      </c>
      <c r="K2959" s="106"/>
      <c r="L2959" s="106"/>
      <c r="M2959" s="129"/>
    </row>
    <row r="2960" spans="1:13" s="105" customFormat="1">
      <c r="A2960" s="193" t="s">
        <v>500</v>
      </c>
      <c r="B2960" s="210">
        <v>9</v>
      </c>
      <c r="C2960" s="191" t="str">
        <f>IF('IWP02'!E$492=0,"",'IWP02'!E$492)</f>
        <v/>
      </c>
      <c r="D2960" s="211">
        <f>'IWP02'!G$492</f>
        <v>0</v>
      </c>
      <c r="E2960" s="211">
        <f>'IWP02'!H$492</f>
        <v>0</v>
      </c>
      <c r="F2960" s="211">
        <f>'IWP02'!I$492</f>
        <v>0</v>
      </c>
      <c r="G2960" s="191" t="str">
        <f>IF('IWP02'!J$492=0,"",'IWP02'!J$492)</f>
        <v/>
      </c>
      <c r="H2960" s="211">
        <f>'IWP02'!K$492</f>
        <v>0</v>
      </c>
      <c r="I2960" s="211">
        <f>'IWP02'!L$492</f>
        <v>0</v>
      </c>
      <c r="J2960" s="212">
        <f>'IWP02'!M$492</f>
        <v>0</v>
      </c>
      <c r="K2960" s="106"/>
      <c r="L2960" s="106"/>
      <c r="M2960" s="129"/>
    </row>
    <row r="2961" spans="1:13" s="105" customFormat="1">
      <c r="A2961" s="193" t="s">
        <v>500</v>
      </c>
      <c r="B2961" s="210">
        <v>10</v>
      </c>
      <c r="C2961" s="191" t="str">
        <f>IF('IWP02'!E$499=0,"",'IWP02'!E$499)</f>
        <v>Subtotal column D.</v>
      </c>
      <c r="D2961" s="211">
        <f>'IWP02'!G$499</f>
        <v>0</v>
      </c>
      <c r="E2961" s="211">
        <f>'IWP02'!H$499</f>
        <v>0</v>
      </c>
      <c r="F2961" s="211">
        <f>'IWP02'!I$499</f>
        <v>0</v>
      </c>
      <c r="G2961" s="191" t="str">
        <f>IF('IWP02'!J$499=0,"",'IWP02'!J$499)</f>
        <v/>
      </c>
      <c r="H2961" s="211">
        <f>'IWP02'!K$499</f>
        <v>0</v>
      </c>
      <c r="I2961" s="211">
        <f>'IWP02'!L$499</f>
        <v>0</v>
      </c>
      <c r="J2961" s="212">
        <f>'IWP02'!M$499</f>
        <v>0</v>
      </c>
      <c r="K2961" s="106"/>
      <c r="L2961" s="106"/>
      <c r="M2961" s="129"/>
    </row>
    <row r="2962" spans="1:13" s="105" customFormat="1">
      <c r="A2962" s="193" t="s">
        <v>500</v>
      </c>
      <c r="B2962" s="210">
        <v>10</v>
      </c>
      <c r="C2962" s="191" t="str">
        <f>IF('IWP02'!E$500=0,"",'IWP02'!E$500)</f>
        <v>Unverified/Undocumented (Subtotal D - C)</v>
      </c>
      <c r="D2962" s="211">
        <f>'IWP02'!G$500</f>
        <v>0</v>
      </c>
      <c r="E2962" s="211">
        <f>'IWP02'!H$500</f>
        <v>0</v>
      </c>
      <c r="F2962" s="211">
        <f>'IWP02'!I$500</f>
        <v>0</v>
      </c>
      <c r="G2962" s="191" t="str">
        <f>IF('IWP02'!J$500=0,"",'IWP02'!J$500)</f>
        <v/>
      </c>
      <c r="H2962" s="211">
        <f>'IWP02'!K$500</f>
        <v>0</v>
      </c>
      <c r="I2962" s="211">
        <f>'IWP02'!L$500</f>
        <v>0</v>
      </c>
      <c r="J2962" s="212">
        <f>'IWP02'!M$500</f>
        <v>0</v>
      </c>
      <c r="K2962" s="106"/>
      <c r="L2962" s="106"/>
      <c r="M2962" s="129"/>
    </row>
    <row r="2963" spans="1:13" s="105" customFormat="1">
      <c r="A2963" s="193" t="s">
        <v>500</v>
      </c>
      <c r="B2963" s="210">
        <v>10</v>
      </c>
      <c r="C2963" s="191" t="str">
        <f>IF('IWP02'!E$501=0,"",'IWP02'!E$501)</f>
        <v>J. Billing Period Total</v>
      </c>
      <c r="D2963" s="211">
        <f>'IWP02'!G$501</f>
        <v>0</v>
      </c>
      <c r="E2963" s="211">
        <f>'IWP02'!H$501</f>
        <v>0</v>
      </c>
      <c r="F2963" s="211">
        <f>'IWP02'!I$501</f>
        <v>0</v>
      </c>
      <c r="G2963" s="191" t="str">
        <f>IF('IWP02'!J$501=0,"",'IWP02'!J$501)</f>
        <v/>
      </c>
      <c r="H2963" s="211">
        <f>'IWP02'!K$501</f>
        <v>0</v>
      </c>
      <c r="I2963" s="211">
        <f>'IWP02'!L$501</f>
        <v>0</v>
      </c>
      <c r="J2963" s="212">
        <f>'IWP02'!M$501</f>
        <v>0</v>
      </c>
      <c r="K2963" s="106"/>
      <c r="L2963" s="106"/>
      <c r="M2963" s="129"/>
    </row>
    <row r="2964" spans="1:13" s="105" customFormat="1">
      <c r="A2964" s="193" t="s">
        <v>500</v>
      </c>
      <c r="B2964" s="210">
        <v>10</v>
      </c>
      <c r="C2964" s="191" t="str">
        <f>IF('IWP02'!E$502=0,"",'IWP02'!E$502)</f>
        <v>D.</v>
      </c>
      <c r="D2964" s="211">
        <f>'IWP02'!G$502</f>
        <v>0</v>
      </c>
      <c r="E2964" s="211" t="str">
        <f>'IWP02'!H$502</f>
        <v>E.</v>
      </c>
      <c r="F2964" s="211" t="str">
        <f>'IWP02'!I$502</f>
        <v>F.</v>
      </c>
      <c r="G2964" s="191" t="str">
        <f>IF('IWP02'!J$502=0,"",'IWP02'!J$502)</f>
        <v>G.</v>
      </c>
      <c r="H2964" s="211">
        <f>'IWP02'!K$502</f>
        <v>0</v>
      </c>
      <c r="I2964" s="211" t="str">
        <f>'IWP02'!L$502</f>
        <v>H.</v>
      </c>
      <c r="J2964" s="212" t="str">
        <f>'IWP02'!M$502</f>
        <v>I.</v>
      </c>
      <c r="K2964" s="106"/>
      <c r="L2964" s="106"/>
      <c r="M2964" s="129"/>
    </row>
    <row r="2965" spans="1:13" s="105" customFormat="1">
      <c r="A2965" s="193" t="s">
        <v>500</v>
      </c>
      <c r="B2965" s="210">
        <v>10</v>
      </c>
      <c r="C2965" s="191" t="str">
        <f>IF('IWP02'!E$503=0,"",'IWP02'!E$503)</f>
        <v xml:space="preserve">Items/Services Related to Billing Period </v>
      </c>
      <c r="D2965" s="211">
        <f>'IWP02'!G$503</f>
        <v>0</v>
      </c>
      <c r="E2965" s="211" t="str">
        <f>'IWP02'!H$503</f>
        <v xml:space="preserve">Item/
Service Verified Amounts
</v>
      </c>
      <c r="F2965" s="211" t="str">
        <f>'IWP02'!I$503</f>
        <v>Amount Due to DADS (E. - D.)</v>
      </c>
      <c r="G2965" s="191" t="str">
        <f>IF('IWP02'!J$503=0,"",'IWP02'!J$503)</f>
        <v>Amount Reimbursed to 
Employee(s)/Employer</v>
      </c>
      <c r="H2965" s="211">
        <f>'IWP02'!K$503</f>
        <v>0</v>
      </c>
      <c r="I2965" s="211" t="str">
        <f>'IWP02'!L$503</f>
        <v>Amount Due to Employee(s) (G. - E.)</v>
      </c>
      <c r="J2965" s="212" t="str">
        <f>'IWP02'!M$503</f>
        <v>Amount Due to Employer (G. - E.)</v>
      </c>
      <c r="K2965" s="106"/>
      <c r="L2965" s="106"/>
      <c r="M2965" s="129"/>
    </row>
    <row r="2966" spans="1:13" s="105" customFormat="1">
      <c r="A2966" s="193" t="s">
        <v>500</v>
      </c>
      <c r="B2966" s="210">
        <v>10</v>
      </c>
      <c r="C2966" s="191" t="str">
        <f>IF('IWP02'!E$504=0,"",'IWP02'!E$504)</f>
        <v>Item/Service</v>
      </c>
      <c r="D2966" s="211" t="str">
        <f>'IWP02'!G$504</f>
        <v>Itemized Amount Paid by DADS</v>
      </c>
      <c r="E2966" s="211">
        <f>'IWP02'!H$504</f>
        <v>0</v>
      </c>
      <c r="F2966" s="211">
        <f>'IWP02'!I$504</f>
        <v>0</v>
      </c>
      <c r="G2966" s="191" t="str">
        <f>IF('IWP02'!J$504=0,"",'IWP02'!J$504)</f>
        <v/>
      </c>
      <c r="H2966" s="211">
        <f>'IWP02'!K$504</f>
        <v>0</v>
      </c>
      <c r="I2966" s="211">
        <f>'IWP02'!L$504</f>
        <v>0</v>
      </c>
      <c r="J2966" s="212">
        <f>'IWP02'!M$504</f>
        <v>0</v>
      </c>
      <c r="K2966" s="106"/>
      <c r="L2966" s="106"/>
      <c r="M2966" s="129"/>
    </row>
    <row r="2967" spans="1:13" s="105" customFormat="1">
      <c r="A2967" s="193" t="s">
        <v>500</v>
      </c>
      <c r="B2967" s="210">
        <v>10</v>
      </c>
      <c r="C2967" s="191" t="str">
        <f>IF('IWP02'!E$505=0,"",'IWP02'!E$505)</f>
        <v/>
      </c>
      <c r="D2967" s="211">
        <f>'IWP02'!G$505</f>
        <v>0</v>
      </c>
      <c r="E2967" s="211">
        <f>'IWP02'!H$505</f>
        <v>0</v>
      </c>
      <c r="F2967" s="211">
        <f>'IWP02'!I$505</f>
        <v>0</v>
      </c>
      <c r="G2967" s="191" t="str">
        <f>IF('IWP02'!J$505=0,"",'IWP02'!J$505)</f>
        <v/>
      </c>
      <c r="H2967" s="211">
        <f>'IWP02'!K$505</f>
        <v>0</v>
      </c>
      <c r="I2967" s="211">
        <f>'IWP02'!L$505</f>
        <v>0</v>
      </c>
      <c r="J2967" s="212">
        <f>'IWP02'!M$505</f>
        <v>0</v>
      </c>
      <c r="K2967" s="106"/>
      <c r="L2967" s="106"/>
      <c r="M2967" s="129"/>
    </row>
    <row r="2968" spans="1:13" s="105" customFormat="1">
      <c r="A2968" s="193" t="s">
        <v>500</v>
      </c>
      <c r="B2968" s="210">
        <v>10</v>
      </c>
      <c r="C2968" s="191" t="str">
        <f>IF('IWP02'!E$506=0,"",'IWP02'!E$506)</f>
        <v/>
      </c>
      <c r="D2968" s="211">
        <f>'IWP02'!G$506</f>
        <v>0</v>
      </c>
      <c r="E2968" s="211">
        <f>'IWP02'!H$506</f>
        <v>0</v>
      </c>
      <c r="F2968" s="211">
        <f>'IWP02'!I$506</f>
        <v>0</v>
      </c>
      <c r="G2968" s="191" t="str">
        <f>IF('IWP02'!J$506=0,"",'IWP02'!J$506)</f>
        <v/>
      </c>
      <c r="H2968" s="211">
        <f>'IWP02'!K$506</f>
        <v>0</v>
      </c>
      <c r="I2968" s="211">
        <f>'IWP02'!L$506</f>
        <v>0</v>
      </c>
      <c r="J2968" s="212">
        <f>'IWP02'!M$506</f>
        <v>0</v>
      </c>
      <c r="K2968" s="106"/>
      <c r="L2968" s="106"/>
      <c r="M2968" s="129"/>
    </row>
    <row r="2969" spans="1:13" s="105" customFormat="1">
      <c r="A2969" s="193" t="s">
        <v>500</v>
      </c>
      <c r="B2969" s="210">
        <v>10</v>
      </c>
      <c r="C2969" s="191" t="str">
        <f>IF('IWP02'!E$507=0,"",'IWP02'!E$507)</f>
        <v/>
      </c>
      <c r="D2969" s="211">
        <f>'IWP02'!G$507</f>
        <v>0</v>
      </c>
      <c r="E2969" s="211">
        <f>'IWP02'!H$507</f>
        <v>0</v>
      </c>
      <c r="F2969" s="211">
        <f>'IWP02'!I$507</f>
        <v>0</v>
      </c>
      <c r="G2969" s="191" t="str">
        <f>IF('IWP02'!J$507=0,"",'IWP02'!J$507)</f>
        <v/>
      </c>
      <c r="H2969" s="211">
        <f>'IWP02'!K$507</f>
        <v>0</v>
      </c>
      <c r="I2969" s="211">
        <f>'IWP02'!L$507</f>
        <v>0</v>
      </c>
      <c r="J2969" s="212">
        <f>'IWP02'!M$507</f>
        <v>0</v>
      </c>
      <c r="K2969" s="106"/>
      <c r="L2969" s="106"/>
      <c r="M2969" s="129"/>
    </row>
    <row r="2970" spans="1:13" s="105" customFormat="1">
      <c r="A2970" s="193" t="s">
        <v>500</v>
      </c>
      <c r="B2970" s="210">
        <v>10</v>
      </c>
      <c r="C2970" s="191" t="str">
        <f>IF('IWP02'!E$508=0,"",'IWP02'!E$508)</f>
        <v/>
      </c>
      <c r="D2970" s="211">
        <f>'IWP02'!G$508</f>
        <v>0</v>
      </c>
      <c r="E2970" s="211">
        <f>'IWP02'!H$508</f>
        <v>0</v>
      </c>
      <c r="F2970" s="211">
        <f>'IWP02'!I$508</f>
        <v>0</v>
      </c>
      <c r="G2970" s="191" t="str">
        <f>IF('IWP02'!J$508=0,"",'IWP02'!J$508)</f>
        <v/>
      </c>
      <c r="H2970" s="211">
        <f>'IWP02'!K$508</f>
        <v>0</v>
      </c>
      <c r="I2970" s="211">
        <f>'IWP02'!L$508</f>
        <v>0</v>
      </c>
      <c r="J2970" s="212">
        <f>'IWP02'!M$508</f>
        <v>0</v>
      </c>
      <c r="K2970" s="106"/>
      <c r="L2970" s="106"/>
      <c r="M2970" s="129"/>
    </row>
    <row r="2971" spans="1:13" s="105" customFormat="1">
      <c r="A2971" s="193" t="s">
        <v>500</v>
      </c>
      <c r="B2971" s="210">
        <v>11</v>
      </c>
      <c r="C2971" s="191" t="str">
        <f>IF('IWP02'!E$515=0,"",'IWP02'!E$515)</f>
        <v>Subtotal column D.</v>
      </c>
      <c r="D2971" s="211">
        <f>'IWP02'!G$515</f>
        <v>0</v>
      </c>
      <c r="E2971" s="211">
        <f>'IWP02'!H$515</f>
        <v>0</v>
      </c>
      <c r="F2971" s="211">
        <f>'IWP02'!I$515</f>
        <v>0</v>
      </c>
      <c r="G2971" s="191" t="str">
        <f>IF('IWP02'!J$515=0,"",'IWP02'!J$515)</f>
        <v/>
      </c>
      <c r="H2971" s="211">
        <f>'IWP02'!K$515</f>
        <v>0</v>
      </c>
      <c r="I2971" s="211">
        <f>'IWP02'!L$515</f>
        <v>0</v>
      </c>
      <c r="J2971" s="212">
        <f>'IWP02'!M$515</f>
        <v>0</v>
      </c>
      <c r="K2971" s="106"/>
      <c r="L2971" s="106"/>
      <c r="M2971" s="129"/>
    </row>
    <row r="2972" spans="1:13" s="105" customFormat="1">
      <c r="A2972" s="193" t="s">
        <v>500</v>
      </c>
      <c r="B2972" s="210">
        <v>11</v>
      </c>
      <c r="C2972" s="191" t="str">
        <f>IF('IWP02'!E$516=0,"",'IWP02'!E$516)</f>
        <v>Unverified/Undocumented (Subtotal D - C)</v>
      </c>
      <c r="D2972" s="211">
        <f>'IWP02'!G$516</f>
        <v>0</v>
      </c>
      <c r="E2972" s="211">
        <f>'IWP02'!H$516</f>
        <v>0</v>
      </c>
      <c r="F2972" s="211">
        <f>'IWP02'!I$516</f>
        <v>0</v>
      </c>
      <c r="G2972" s="191" t="str">
        <f>IF('IWP02'!J$516=0,"",'IWP02'!J$516)</f>
        <v/>
      </c>
      <c r="H2972" s="211">
        <f>'IWP02'!K$516</f>
        <v>0</v>
      </c>
      <c r="I2972" s="211">
        <f>'IWP02'!L$516</f>
        <v>0</v>
      </c>
      <c r="J2972" s="212">
        <f>'IWP02'!M$516</f>
        <v>0</v>
      </c>
      <c r="K2972" s="106"/>
      <c r="L2972" s="106"/>
      <c r="M2972" s="129"/>
    </row>
    <row r="2973" spans="1:13" s="105" customFormat="1">
      <c r="A2973" s="193" t="s">
        <v>500</v>
      </c>
      <c r="B2973" s="210">
        <v>11</v>
      </c>
      <c r="C2973" s="191" t="str">
        <f>IF('IWP02'!E$517=0,"",'IWP02'!E$517)</f>
        <v>J. Billing Period Total</v>
      </c>
      <c r="D2973" s="211">
        <f>'IWP02'!G$517</f>
        <v>0</v>
      </c>
      <c r="E2973" s="211">
        <f>'IWP02'!H$517</f>
        <v>0</v>
      </c>
      <c r="F2973" s="211">
        <f>'IWP02'!I$517</f>
        <v>0</v>
      </c>
      <c r="G2973" s="191" t="str">
        <f>IF('IWP02'!J$517=0,"",'IWP02'!J$517)</f>
        <v/>
      </c>
      <c r="H2973" s="211">
        <f>'IWP02'!K$517</f>
        <v>0</v>
      </c>
      <c r="I2973" s="211">
        <f>'IWP02'!L$517</f>
        <v>0</v>
      </c>
      <c r="J2973" s="212">
        <f>'IWP02'!M$517</f>
        <v>0</v>
      </c>
      <c r="K2973" s="106"/>
      <c r="L2973" s="106"/>
      <c r="M2973" s="129"/>
    </row>
    <row r="2974" spans="1:13" s="105" customFormat="1">
      <c r="A2974" s="193" t="s">
        <v>500</v>
      </c>
      <c r="B2974" s="210">
        <v>11</v>
      </c>
      <c r="C2974" s="191" t="str">
        <f>IF('IWP02'!E$518=0,"",'IWP02'!E$518)</f>
        <v>D.</v>
      </c>
      <c r="D2974" s="211">
        <f>'IWP02'!G$518</f>
        <v>0</v>
      </c>
      <c r="E2974" s="211" t="str">
        <f>'IWP02'!H$518</f>
        <v>E.</v>
      </c>
      <c r="F2974" s="211" t="str">
        <f>'IWP02'!I$518</f>
        <v>F.</v>
      </c>
      <c r="G2974" s="191" t="str">
        <f>IF('IWP02'!J$518=0,"",'IWP02'!J$518)</f>
        <v>G.</v>
      </c>
      <c r="H2974" s="211">
        <f>'IWP02'!K$518</f>
        <v>0</v>
      </c>
      <c r="I2974" s="211" t="str">
        <f>'IWP02'!L$518</f>
        <v>H.</v>
      </c>
      <c r="J2974" s="212" t="str">
        <f>'IWP02'!M$518</f>
        <v>I.</v>
      </c>
      <c r="K2974" s="106"/>
      <c r="L2974" s="106"/>
      <c r="M2974" s="129"/>
    </row>
    <row r="2975" spans="1:13" s="105" customFormat="1">
      <c r="A2975" s="193" t="s">
        <v>500</v>
      </c>
      <c r="B2975" s="210">
        <v>11</v>
      </c>
      <c r="C2975" s="191" t="str">
        <f>IF('IWP02'!E$519=0,"",'IWP02'!E$519)</f>
        <v xml:space="preserve">Items/Services Related to Billing Period </v>
      </c>
      <c r="D2975" s="211">
        <f>'IWP02'!G$519</f>
        <v>0</v>
      </c>
      <c r="E2975" s="211" t="str">
        <f>'IWP02'!H$519</f>
        <v xml:space="preserve">Item/
Service Verified Amounts
</v>
      </c>
      <c r="F2975" s="211" t="str">
        <f>'IWP02'!I$519</f>
        <v>Amount Due to DADS (E. - D.)</v>
      </c>
      <c r="G2975" s="191" t="str">
        <f>IF('IWP02'!J$519=0,"",'IWP02'!J$519)</f>
        <v>Amount Reimbursed to 
Employee(s)/Employer</v>
      </c>
      <c r="H2975" s="211">
        <f>'IWP02'!K$519</f>
        <v>0</v>
      </c>
      <c r="I2975" s="211" t="str">
        <f>'IWP02'!L$519</f>
        <v>Amount Due to Employee(s) (G. - E.)</v>
      </c>
      <c r="J2975" s="212" t="str">
        <f>'IWP02'!M$519</f>
        <v>Amount Due to Employer (G. - E.)</v>
      </c>
      <c r="K2975" s="106"/>
      <c r="L2975" s="106"/>
      <c r="M2975" s="129"/>
    </row>
    <row r="2976" spans="1:13" s="105" customFormat="1">
      <c r="A2976" s="193" t="s">
        <v>500</v>
      </c>
      <c r="B2976" s="210">
        <v>11</v>
      </c>
      <c r="C2976" s="191" t="str">
        <f>IF('IWP02'!E$520=0,"",'IWP02'!E$520)</f>
        <v>Item/Service</v>
      </c>
      <c r="D2976" s="211" t="str">
        <f>'IWP02'!G$520</f>
        <v>Itemized Amount Paid by DADS</v>
      </c>
      <c r="E2976" s="211">
        <f>'IWP02'!H$520</f>
        <v>0</v>
      </c>
      <c r="F2976" s="211">
        <f>'IWP02'!I$520</f>
        <v>0</v>
      </c>
      <c r="G2976" s="191" t="str">
        <f>IF('IWP02'!J$520=0,"",'IWP02'!J$520)</f>
        <v/>
      </c>
      <c r="H2976" s="211">
        <f>'IWP02'!K$520</f>
        <v>0</v>
      </c>
      <c r="I2976" s="211">
        <f>'IWP02'!L$520</f>
        <v>0</v>
      </c>
      <c r="J2976" s="212">
        <f>'IWP02'!M$520</f>
        <v>0</v>
      </c>
      <c r="K2976" s="106"/>
      <c r="L2976" s="106"/>
      <c r="M2976" s="129"/>
    </row>
    <row r="2977" spans="1:13" s="105" customFormat="1">
      <c r="A2977" s="193" t="s">
        <v>500</v>
      </c>
      <c r="B2977" s="210">
        <v>11</v>
      </c>
      <c r="C2977" s="191" t="str">
        <f>IF('IWP02'!E$521=0,"",'IWP02'!E$521)</f>
        <v/>
      </c>
      <c r="D2977" s="211">
        <f>'IWP02'!G$521</f>
        <v>0</v>
      </c>
      <c r="E2977" s="211">
        <f>'IWP02'!H$521</f>
        <v>0</v>
      </c>
      <c r="F2977" s="211">
        <f>'IWP02'!I$521</f>
        <v>0</v>
      </c>
      <c r="G2977" s="191" t="str">
        <f>IF('IWP02'!J$521=0,"",'IWP02'!J$521)</f>
        <v/>
      </c>
      <c r="H2977" s="211">
        <f>'IWP02'!K$521</f>
        <v>0</v>
      </c>
      <c r="I2977" s="211">
        <f>'IWP02'!L$521</f>
        <v>0</v>
      </c>
      <c r="J2977" s="212">
        <f>'IWP02'!M$521</f>
        <v>0</v>
      </c>
      <c r="K2977" s="106"/>
      <c r="L2977" s="106"/>
      <c r="M2977" s="129"/>
    </row>
    <row r="2978" spans="1:13" s="105" customFormat="1">
      <c r="A2978" s="193" t="s">
        <v>500</v>
      </c>
      <c r="B2978" s="210">
        <v>11</v>
      </c>
      <c r="C2978" s="191" t="str">
        <f>IF('IWP02'!E$522=0,"",'IWP02'!E$522)</f>
        <v/>
      </c>
      <c r="D2978" s="211">
        <f>'IWP02'!G$522</f>
        <v>0</v>
      </c>
      <c r="E2978" s="211">
        <f>'IWP02'!H$522</f>
        <v>0</v>
      </c>
      <c r="F2978" s="211">
        <f>'IWP02'!I$522</f>
        <v>0</v>
      </c>
      <c r="G2978" s="191" t="str">
        <f>IF('IWP02'!J$522=0,"",'IWP02'!J$522)</f>
        <v/>
      </c>
      <c r="H2978" s="211">
        <f>'IWP02'!K$522</f>
        <v>0</v>
      </c>
      <c r="I2978" s="211">
        <f>'IWP02'!L$522</f>
        <v>0</v>
      </c>
      <c r="J2978" s="212">
        <f>'IWP02'!M$522</f>
        <v>0</v>
      </c>
      <c r="K2978" s="106"/>
      <c r="L2978" s="106"/>
      <c r="M2978" s="129"/>
    </row>
    <row r="2979" spans="1:13" s="105" customFormat="1">
      <c r="A2979" s="193" t="s">
        <v>500</v>
      </c>
      <c r="B2979" s="210">
        <v>11</v>
      </c>
      <c r="C2979" s="191" t="str">
        <f>IF('IWP02'!E$523=0,"",'IWP02'!E$523)</f>
        <v/>
      </c>
      <c r="D2979" s="211">
        <f>'IWP02'!G$523</f>
        <v>0</v>
      </c>
      <c r="E2979" s="211">
        <f>'IWP02'!H$523</f>
        <v>0</v>
      </c>
      <c r="F2979" s="211">
        <f>'IWP02'!I$523</f>
        <v>0</v>
      </c>
      <c r="G2979" s="191" t="str">
        <f>IF('IWP02'!J$523=0,"",'IWP02'!J$523)</f>
        <v/>
      </c>
      <c r="H2979" s="211">
        <f>'IWP02'!K$523</f>
        <v>0</v>
      </c>
      <c r="I2979" s="211">
        <f>'IWP02'!L$523</f>
        <v>0</v>
      </c>
      <c r="J2979" s="212">
        <f>'IWP02'!M$523</f>
        <v>0</v>
      </c>
      <c r="K2979" s="106"/>
      <c r="L2979" s="106"/>
      <c r="M2979" s="129"/>
    </row>
    <row r="2980" spans="1:13" s="105" customFormat="1">
      <c r="A2980" s="193" t="s">
        <v>500</v>
      </c>
      <c r="B2980" s="210">
        <v>11</v>
      </c>
      <c r="C2980" s="191" t="str">
        <f>IF('IWP02'!E$524=0,"",'IWP02'!E$524)</f>
        <v/>
      </c>
      <c r="D2980" s="211">
        <f>'IWP02'!G$524</f>
        <v>0</v>
      </c>
      <c r="E2980" s="211">
        <f>'IWP02'!H$524</f>
        <v>0</v>
      </c>
      <c r="F2980" s="211">
        <f>'IWP02'!I$524</f>
        <v>0</v>
      </c>
      <c r="G2980" s="191" t="str">
        <f>IF('IWP02'!J$524=0,"",'IWP02'!J$524)</f>
        <v/>
      </c>
      <c r="H2980" s="211">
        <f>'IWP02'!K$524</f>
        <v>0</v>
      </c>
      <c r="I2980" s="211">
        <f>'IWP02'!L$524</f>
        <v>0</v>
      </c>
      <c r="J2980" s="212">
        <f>'IWP02'!M$524</f>
        <v>0</v>
      </c>
      <c r="K2980" s="106"/>
      <c r="L2980" s="106"/>
      <c r="M2980" s="129"/>
    </row>
    <row r="2981" spans="1:13" s="105" customFormat="1">
      <c r="A2981" s="193" t="s">
        <v>500</v>
      </c>
      <c r="B2981" s="210">
        <v>12</v>
      </c>
      <c r="C2981" s="191" t="str">
        <f>IF('IWP02'!E$531=0,"",'IWP02'!E$531)</f>
        <v>Subtotal column D.</v>
      </c>
      <c r="D2981" s="211">
        <f>'IWP02'!G$531</f>
        <v>0</v>
      </c>
      <c r="E2981" s="211">
        <f>'IWP02'!H$531</f>
        <v>0</v>
      </c>
      <c r="F2981" s="211">
        <f>'IWP02'!I$531</f>
        <v>0</v>
      </c>
      <c r="G2981" s="191" t="str">
        <f>IF('IWP02'!J$531=0,"",'IWP02'!J$531)</f>
        <v/>
      </c>
      <c r="H2981" s="211">
        <f>'IWP02'!K$531</f>
        <v>0</v>
      </c>
      <c r="I2981" s="211">
        <f>'IWP02'!L$531</f>
        <v>0</v>
      </c>
      <c r="J2981" s="212">
        <f>'IWP02'!M$531</f>
        <v>0</v>
      </c>
      <c r="K2981" s="106"/>
      <c r="L2981" s="106"/>
      <c r="M2981" s="129"/>
    </row>
    <row r="2982" spans="1:13" s="105" customFormat="1">
      <c r="A2982" s="193" t="s">
        <v>500</v>
      </c>
      <c r="B2982" s="210">
        <v>12</v>
      </c>
      <c r="C2982" s="191" t="str">
        <f>IF('IWP02'!E$532=0,"",'IWP02'!E$532)</f>
        <v>Unverified/Undocumented (Subtotal D - C)</v>
      </c>
      <c r="D2982" s="211">
        <f>'IWP02'!G$532</f>
        <v>0</v>
      </c>
      <c r="E2982" s="211">
        <f>'IWP02'!H$532</f>
        <v>0</v>
      </c>
      <c r="F2982" s="211">
        <f>'IWP02'!I$532</f>
        <v>0</v>
      </c>
      <c r="G2982" s="191" t="str">
        <f>IF('IWP02'!J$532=0,"",'IWP02'!J$532)</f>
        <v/>
      </c>
      <c r="H2982" s="211">
        <f>'IWP02'!K$532</f>
        <v>0</v>
      </c>
      <c r="I2982" s="211">
        <f>'IWP02'!L$532</f>
        <v>0</v>
      </c>
      <c r="J2982" s="212">
        <f>'IWP02'!M$532</f>
        <v>0</v>
      </c>
      <c r="K2982" s="106"/>
      <c r="L2982" s="106"/>
      <c r="M2982" s="129"/>
    </row>
    <row r="2983" spans="1:13" s="105" customFormat="1">
      <c r="A2983" s="193" t="s">
        <v>500</v>
      </c>
      <c r="B2983" s="210">
        <v>12</v>
      </c>
      <c r="C2983" s="191" t="str">
        <f>IF('IWP02'!E$533=0,"",'IWP02'!E$533)</f>
        <v>J. Billing Period Total</v>
      </c>
      <c r="D2983" s="211">
        <f>'IWP02'!G$533</f>
        <v>0</v>
      </c>
      <c r="E2983" s="211">
        <f>'IWP02'!H$533</f>
        <v>0</v>
      </c>
      <c r="F2983" s="211">
        <f>'IWP02'!I$533</f>
        <v>0</v>
      </c>
      <c r="G2983" s="191" t="str">
        <f>IF('IWP02'!J$533=0,"",'IWP02'!J$533)</f>
        <v/>
      </c>
      <c r="H2983" s="211">
        <f>'IWP02'!K$533</f>
        <v>0</v>
      </c>
      <c r="I2983" s="211">
        <f>'IWP02'!L$533</f>
        <v>0</v>
      </c>
      <c r="J2983" s="212">
        <f>'IWP02'!M$533</f>
        <v>0</v>
      </c>
      <c r="K2983" s="106"/>
      <c r="L2983" s="106"/>
      <c r="M2983" s="129"/>
    </row>
    <row r="2984" spans="1:13" s="105" customFormat="1">
      <c r="A2984" s="193" t="s">
        <v>500</v>
      </c>
      <c r="B2984" s="210">
        <v>12</v>
      </c>
      <c r="C2984" s="191" t="str">
        <f>IF('IWP02'!E$534=0,"",'IWP02'!E$534)</f>
        <v>D.</v>
      </c>
      <c r="D2984" s="211">
        <f>'IWP02'!G$534</f>
        <v>0</v>
      </c>
      <c r="E2984" s="211" t="str">
        <f>'IWP02'!H$534</f>
        <v>E.</v>
      </c>
      <c r="F2984" s="211" t="str">
        <f>'IWP02'!I$534</f>
        <v>F.</v>
      </c>
      <c r="G2984" s="191" t="str">
        <f>IF('IWP02'!J$534=0,"",'IWP02'!J$534)</f>
        <v>G.</v>
      </c>
      <c r="H2984" s="211">
        <f>'IWP02'!K$534</f>
        <v>0</v>
      </c>
      <c r="I2984" s="211" t="str">
        <f>'IWP02'!L$534</f>
        <v>H.</v>
      </c>
      <c r="J2984" s="212" t="str">
        <f>'IWP02'!M$534</f>
        <v>I.</v>
      </c>
      <c r="K2984" s="106"/>
      <c r="L2984" s="106"/>
      <c r="M2984" s="129"/>
    </row>
    <row r="2985" spans="1:13" s="105" customFormat="1">
      <c r="A2985" s="193" t="s">
        <v>500</v>
      </c>
      <c r="B2985" s="210">
        <v>12</v>
      </c>
      <c r="C2985" s="191" t="str">
        <f>IF('IWP02'!E$535=0,"",'IWP02'!E$535)</f>
        <v xml:space="preserve">Items/Services Related to Billing Period </v>
      </c>
      <c r="D2985" s="211">
        <f>'IWP02'!G$535</f>
        <v>0</v>
      </c>
      <c r="E2985" s="211" t="str">
        <f>'IWP02'!H$535</f>
        <v xml:space="preserve">Item/
Service Verified Amounts
</v>
      </c>
      <c r="F2985" s="211" t="str">
        <f>'IWP02'!I$535</f>
        <v>Amount Due to DADS (E. - D.)</v>
      </c>
      <c r="G2985" s="191" t="str">
        <f>IF('IWP02'!J$535=0,"",'IWP02'!J$535)</f>
        <v>Amount Reimbursed to 
Employee(s)/Employer</v>
      </c>
      <c r="H2985" s="211">
        <f>'IWP02'!K$535</f>
        <v>0</v>
      </c>
      <c r="I2985" s="211" t="str">
        <f>'IWP02'!L$535</f>
        <v>Amount Due to Employee(s) (G. - E.)</v>
      </c>
      <c r="J2985" s="212" t="str">
        <f>'IWP02'!M$535</f>
        <v>Amount Due to Employer (G. - E.)</v>
      </c>
      <c r="K2985" s="106"/>
      <c r="L2985" s="106"/>
      <c r="M2985" s="129"/>
    </row>
    <row r="2986" spans="1:13" s="105" customFormat="1">
      <c r="A2986" s="193" t="s">
        <v>500</v>
      </c>
      <c r="B2986" s="210">
        <v>12</v>
      </c>
      <c r="C2986" s="191" t="str">
        <f>IF('IWP02'!E$536=0,"",'IWP02'!E$536)</f>
        <v>Item/Service</v>
      </c>
      <c r="D2986" s="211" t="str">
        <f>'IWP02'!G$536</f>
        <v>Itemized Amount Paid by DADS</v>
      </c>
      <c r="E2986" s="211">
        <f>'IWP02'!H$536</f>
        <v>0</v>
      </c>
      <c r="F2986" s="211">
        <f>'IWP02'!I$536</f>
        <v>0</v>
      </c>
      <c r="G2986" s="191" t="str">
        <f>IF('IWP02'!J$536=0,"",'IWP02'!J$536)</f>
        <v/>
      </c>
      <c r="H2986" s="211">
        <f>'IWP02'!K$536</f>
        <v>0</v>
      </c>
      <c r="I2986" s="211">
        <f>'IWP02'!L$536</f>
        <v>0</v>
      </c>
      <c r="J2986" s="212">
        <f>'IWP02'!M$536</f>
        <v>0</v>
      </c>
      <c r="K2986" s="106"/>
      <c r="L2986" s="106"/>
      <c r="M2986" s="129"/>
    </row>
    <row r="2987" spans="1:13" s="105" customFormat="1">
      <c r="A2987" s="193" t="s">
        <v>500</v>
      </c>
      <c r="B2987" s="210">
        <v>12</v>
      </c>
      <c r="C2987" s="191" t="str">
        <f>IF('IWP02'!E$537=0,"",'IWP02'!E$537)</f>
        <v/>
      </c>
      <c r="D2987" s="211">
        <f>'IWP02'!G$537</f>
        <v>0</v>
      </c>
      <c r="E2987" s="211">
        <f>'IWP02'!H$537</f>
        <v>0</v>
      </c>
      <c r="F2987" s="211">
        <f>'IWP02'!I$537</f>
        <v>0</v>
      </c>
      <c r="G2987" s="191" t="str">
        <f>IF('IWP02'!J$537=0,"",'IWP02'!J$537)</f>
        <v/>
      </c>
      <c r="H2987" s="211">
        <f>'IWP02'!K$537</f>
        <v>0</v>
      </c>
      <c r="I2987" s="211">
        <f>'IWP02'!L$537</f>
        <v>0</v>
      </c>
      <c r="J2987" s="212">
        <f>'IWP02'!M$537</f>
        <v>0</v>
      </c>
      <c r="K2987" s="106"/>
      <c r="L2987" s="106"/>
      <c r="M2987" s="129"/>
    </row>
    <row r="2988" spans="1:13" s="105" customFormat="1">
      <c r="A2988" s="193" t="s">
        <v>500</v>
      </c>
      <c r="B2988" s="210">
        <v>12</v>
      </c>
      <c r="C2988" s="191" t="str">
        <f>IF('IWP02'!E$538=0,"",'IWP02'!E$538)</f>
        <v/>
      </c>
      <c r="D2988" s="211">
        <f>'IWP02'!G$538</f>
        <v>0</v>
      </c>
      <c r="E2988" s="211">
        <f>'IWP02'!H$538</f>
        <v>0</v>
      </c>
      <c r="F2988" s="211">
        <f>'IWP02'!I$538</f>
        <v>0</v>
      </c>
      <c r="G2988" s="191" t="str">
        <f>IF('IWP02'!J$538=0,"",'IWP02'!J$538)</f>
        <v/>
      </c>
      <c r="H2988" s="211">
        <f>'IWP02'!K$538</f>
        <v>0</v>
      </c>
      <c r="I2988" s="211">
        <f>'IWP02'!L$538</f>
        <v>0</v>
      </c>
      <c r="J2988" s="212">
        <f>'IWP02'!M$538</f>
        <v>0</v>
      </c>
      <c r="K2988" s="106"/>
      <c r="L2988" s="106"/>
      <c r="M2988" s="129"/>
    </row>
    <row r="2989" spans="1:13" s="105" customFormat="1">
      <c r="A2989" s="193" t="s">
        <v>500</v>
      </c>
      <c r="B2989" s="210">
        <v>12</v>
      </c>
      <c r="C2989" s="191" t="str">
        <f>IF('IWP02'!E$539=0,"",'IWP02'!E$539)</f>
        <v/>
      </c>
      <c r="D2989" s="211">
        <f>'IWP02'!G$539</f>
        <v>0</v>
      </c>
      <c r="E2989" s="211">
        <f>'IWP02'!H$539</f>
        <v>0</v>
      </c>
      <c r="F2989" s="211">
        <f>'IWP02'!I$539</f>
        <v>0</v>
      </c>
      <c r="G2989" s="191" t="str">
        <f>IF('IWP02'!J$539=0,"",'IWP02'!J$539)</f>
        <v/>
      </c>
      <c r="H2989" s="211">
        <f>'IWP02'!K$539</f>
        <v>0</v>
      </c>
      <c r="I2989" s="211">
        <f>'IWP02'!L$539</f>
        <v>0</v>
      </c>
      <c r="J2989" s="212">
        <f>'IWP02'!M$539</f>
        <v>0</v>
      </c>
      <c r="K2989" s="106"/>
      <c r="L2989" s="106"/>
      <c r="M2989" s="129"/>
    </row>
    <row r="2990" spans="1:13" s="105" customFormat="1">
      <c r="A2990" s="193" t="s">
        <v>500</v>
      </c>
      <c r="B2990" s="210">
        <v>12</v>
      </c>
      <c r="C2990" s="191" t="str">
        <f>IF('IWP02'!E$540=0,"",'IWP02'!E$540)</f>
        <v/>
      </c>
      <c r="D2990" s="211">
        <f>'IWP02'!G$540</f>
        <v>0</v>
      </c>
      <c r="E2990" s="211">
        <f>'IWP02'!H$540</f>
        <v>0</v>
      </c>
      <c r="F2990" s="211">
        <f>'IWP02'!I$540</f>
        <v>0</v>
      </c>
      <c r="G2990" s="191" t="str">
        <f>IF('IWP02'!J$540=0,"",'IWP02'!J$540)</f>
        <v/>
      </c>
      <c r="H2990" s="211">
        <f>'IWP02'!K$540</f>
        <v>0</v>
      </c>
      <c r="I2990" s="211">
        <f>'IWP02'!L$540</f>
        <v>0</v>
      </c>
      <c r="J2990" s="212">
        <f>'IWP02'!M$540</f>
        <v>0</v>
      </c>
      <c r="K2990" s="106"/>
      <c r="L2990" s="106"/>
      <c r="M2990" s="129"/>
    </row>
    <row r="2991" spans="1:13" s="105" customFormat="1">
      <c r="A2991" s="193" t="s">
        <v>500</v>
      </c>
      <c r="B2991" s="210">
        <v>13</v>
      </c>
      <c r="C2991" s="191" t="str">
        <f>IF('IWP02'!E$547=0,"",'IWP02'!E$547)</f>
        <v>Subtotal column D.</v>
      </c>
      <c r="D2991" s="211">
        <f>'IWP02'!G$547</f>
        <v>0</v>
      </c>
      <c r="E2991" s="211">
        <f>'IWP02'!H$547</f>
        <v>0</v>
      </c>
      <c r="F2991" s="211">
        <f>'IWP02'!I$547</f>
        <v>0</v>
      </c>
      <c r="G2991" s="191" t="str">
        <f>IF('IWP02'!J$547=0,"",'IWP02'!J$547)</f>
        <v/>
      </c>
      <c r="H2991" s="211">
        <f>'IWP02'!K$547</f>
        <v>0</v>
      </c>
      <c r="I2991" s="211">
        <f>'IWP02'!L$547</f>
        <v>0</v>
      </c>
      <c r="J2991" s="212">
        <f>'IWP02'!M$547</f>
        <v>0</v>
      </c>
      <c r="K2991" s="106"/>
      <c r="L2991" s="106"/>
      <c r="M2991" s="129"/>
    </row>
    <row r="2992" spans="1:13" s="105" customFormat="1">
      <c r="A2992" s="193" t="s">
        <v>500</v>
      </c>
      <c r="B2992" s="210">
        <v>13</v>
      </c>
      <c r="C2992" s="191" t="str">
        <f>IF('IWP02'!E$548=0,"",'IWP02'!E$548)</f>
        <v>Unverified/Undocumented (Subtotal D - C)</v>
      </c>
      <c r="D2992" s="211">
        <f>'IWP02'!G$548</f>
        <v>0</v>
      </c>
      <c r="E2992" s="211">
        <f>'IWP02'!H$548</f>
        <v>0</v>
      </c>
      <c r="F2992" s="211">
        <f>'IWP02'!I$548</f>
        <v>0</v>
      </c>
      <c r="G2992" s="191" t="str">
        <f>IF('IWP02'!J$548=0,"",'IWP02'!J$548)</f>
        <v/>
      </c>
      <c r="H2992" s="211">
        <f>'IWP02'!K$548</f>
        <v>0</v>
      </c>
      <c r="I2992" s="211">
        <f>'IWP02'!L$548</f>
        <v>0</v>
      </c>
      <c r="J2992" s="212">
        <f>'IWP02'!M$548</f>
        <v>0</v>
      </c>
      <c r="K2992" s="106"/>
      <c r="L2992" s="106"/>
      <c r="M2992" s="129"/>
    </row>
    <row r="2993" spans="1:13" s="105" customFormat="1">
      <c r="A2993" s="193" t="s">
        <v>500</v>
      </c>
      <c r="B2993" s="210">
        <v>13</v>
      </c>
      <c r="C2993" s="191" t="str">
        <f>IF('IWP02'!E$549=0,"",'IWP02'!E$549)</f>
        <v>J. Billing Period Total</v>
      </c>
      <c r="D2993" s="211">
        <f>'IWP02'!G$549</f>
        <v>0</v>
      </c>
      <c r="E2993" s="211">
        <f>'IWP02'!H$549</f>
        <v>0</v>
      </c>
      <c r="F2993" s="211">
        <f>'IWP02'!I$549</f>
        <v>0</v>
      </c>
      <c r="G2993" s="191" t="str">
        <f>IF('IWP02'!J$549=0,"",'IWP02'!J$549)</f>
        <v/>
      </c>
      <c r="H2993" s="211">
        <f>'IWP02'!K$549</f>
        <v>0</v>
      </c>
      <c r="I2993" s="211">
        <f>'IWP02'!L$549</f>
        <v>0</v>
      </c>
      <c r="J2993" s="212">
        <f>'IWP02'!M$549</f>
        <v>0</v>
      </c>
      <c r="K2993" s="106"/>
      <c r="L2993" s="106"/>
      <c r="M2993" s="129"/>
    </row>
    <row r="2994" spans="1:13" s="105" customFormat="1">
      <c r="A2994" s="193" t="s">
        <v>500</v>
      </c>
      <c r="B2994" s="210">
        <v>13</v>
      </c>
      <c r="C2994" s="191" t="str">
        <f>IF('IWP02'!E$550=0,"",'IWP02'!E$550)</f>
        <v>D.</v>
      </c>
      <c r="D2994" s="211">
        <f>'IWP02'!G$550</f>
        <v>0</v>
      </c>
      <c r="E2994" s="211" t="str">
        <f>'IWP02'!H$550</f>
        <v>E.</v>
      </c>
      <c r="F2994" s="211" t="str">
        <f>'IWP02'!I$550</f>
        <v>F.</v>
      </c>
      <c r="G2994" s="191" t="str">
        <f>IF('IWP02'!J$550=0,"",'IWP02'!J$550)</f>
        <v>G.</v>
      </c>
      <c r="H2994" s="211">
        <f>'IWP02'!K$550</f>
        <v>0</v>
      </c>
      <c r="I2994" s="211" t="str">
        <f>'IWP02'!L$550</f>
        <v>H.</v>
      </c>
      <c r="J2994" s="212" t="str">
        <f>'IWP02'!M$550</f>
        <v>I.</v>
      </c>
      <c r="K2994" s="106"/>
      <c r="L2994" s="106"/>
      <c r="M2994" s="129"/>
    </row>
    <row r="2995" spans="1:13" s="105" customFormat="1">
      <c r="A2995" s="193" t="s">
        <v>500</v>
      </c>
      <c r="B2995" s="210">
        <v>13</v>
      </c>
      <c r="C2995" s="191" t="str">
        <f>IF('IWP02'!E$551=0,"",'IWP02'!E$551)</f>
        <v xml:space="preserve">Items/Services Related to Billing Period </v>
      </c>
      <c r="D2995" s="211">
        <f>'IWP02'!G$551</f>
        <v>0</v>
      </c>
      <c r="E2995" s="211" t="str">
        <f>'IWP02'!H$551</f>
        <v xml:space="preserve">Item/
Service Verified Amounts
</v>
      </c>
      <c r="F2995" s="211" t="str">
        <f>'IWP02'!I$551</f>
        <v>Amount Due to DADS (E. - D.)</v>
      </c>
      <c r="G2995" s="191" t="str">
        <f>IF('IWP02'!J$551=0,"",'IWP02'!J$551)</f>
        <v>Amount Reimbursed to 
Employee(s)/Employer</v>
      </c>
      <c r="H2995" s="211">
        <f>'IWP02'!K$551</f>
        <v>0</v>
      </c>
      <c r="I2995" s="211" t="str">
        <f>'IWP02'!L$551</f>
        <v>Amount Due to Employee(s) (G. - E.)</v>
      </c>
      <c r="J2995" s="212" t="str">
        <f>'IWP02'!M$551</f>
        <v>Amount Due to Employer (G. - E.)</v>
      </c>
      <c r="K2995" s="106"/>
      <c r="L2995" s="106"/>
      <c r="M2995" s="129"/>
    </row>
    <row r="2996" spans="1:13" s="105" customFormat="1">
      <c r="A2996" s="193" t="s">
        <v>500</v>
      </c>
      <c r="B2996" s="210">
        <v>13</v>
      </c>
      <c r="C2996" s="191" t="str">
        <f>IF('IWP02'!E$552=0,"",'IWP02'!E$552)</f>
        <v>Item/Service</v>
      </c>
      <c r="D2996" s="211" t="str">
        <f>'IWP02'!G$552</f>
        <v>Itemized Amount Paid by DADS</v>
      </c>
      <c r="E2996" s="211">
        <f>'IWP02'!H$552</f>
        <v>0</v>
      </c>
      <c r="F2996" s="211">
        <f>'IWP02'!I$552</f>
        <v>0</v>
      </c>
      <c r="G2996" s="191" t="str">
        <f>IF('IWP02'!J$552=0,"",'IWP02'!J$552)</f>
        <v/>
      </c>
      <c r="H2996" s="211">
        <f>'IWP02'!K$552</f>
        <v>0</v>
      </c>
      <c r="I2996" s="211">
        <f>'IWP02'!L$552</f>
        <v>0</v>
      </c>
      <c r="J2996" s="212">
        <f>'IWP02'!M$552</f>
        <v>0</v>
      </c>
      <c r="K2996" s="106"/>
      <c r="L2996" s="106"/>
      <c r="M2996" s="129"/>
    </row>
    <row r="2997" spans="1:13" s="105" customFormat="1">
      <c r="A2997" s="193" t="s">
        <v>500</v>
      </c>
      <c r="B2997" s="210">
        <v>13</v>
      </c>
      <c r="C2997" s="191" t="str">
        <f>IF('IWP02'!E$553=0,"",'IWP02'!E$553)</f>
        <v/>
      </c>
      <c r="D2997" s="211">
        <f>'IWP02'!G$553</f>
        <v>0</v>
      </c>
      <c r="E2997" s="211">
        <f>'IWP02'!H$553</f>
        <v>0</v>
      </c>
      <c r="F2997" s="211">
        <f>'IWP02'!I$553</f>
        <v>0</v>
      </c>
      <c r="G2997" s="191" t="str">
        <f>IF('IWP02'!J$553=0,"",'IWP02'!J$553)</f>
        <v/>
      </c>
      <c r="H2997" s="211">
        <f>'IWP02'!K$553</f>
        <v>0</v>
      </c>
      <c r="I2997" s="211">
        <f>'IWP02'!L$553</f>
        <v>0</v>
      </c>
      <c r="J2997" s="212">
        <f>'IWP02'!M$553</f>
        <v>0</v>
      </c>
      <c r="K2997" s="106"/>
      <c r="L2997" s="106"/>
      <c r="M2997" s="129"/>
    </row>
    <row r="2998" spans="1:13" s="105" customFormat="1">
      <c r="A2998" s="193" t="s">
        <v>500</v>
      </c>
      <c r="B2998" s="210">
        <v>13</v>
      </c>
      <c r="C2998" s="191" t="str">
        <f>IF('IWP02'!E$554=0,"",'IWP02'!E$554)</f>
        <v/>
      </c>
      <c r="D2998" s="211">
        <f>'IWP02'!G$554</f>
        <v>0</v>
      </c>
      <c r="E2998" s="211">
        <f>'IWP02'!H$554</f>
        <v>0</v>
      </c>
      <c r="F2998" s="211">
        <f>'IWP02'!I$554</f>
        <v>0</v>
      </c>
      <c r="G2998" s="191" t="str">
        <f>IF('IWP02'!J$554=0,"",'IWP02'!J$554)</f>
        <v/>
      </c>
      <c r="H2998" s="211">
        <f>'IWP02'!K$554</f>
        <v>0</v>
      </c>
      <c r="I2998" s="211">
        <f>'IWP02'!L$554</f>
        <v>0</v>
      </c>
      <c r="J2998" s="212">
        <f>'IWP02'!M$554</f>
        <v>0</v>
      </c>
      <c r="K2998" s="106"/>
      <c r="L2998" s="106"/>
      <c r="M2998" s="129"/>
    </row>
    <row r="2999" spans="1:13" s="105" customFormat="1">
      <c r="A2999" s="193" t="s">
        <v>500</v>
      </c>
      <c r="B2999" s="210">
        <v>13</v>
      </c>
      <c r="C2999" s="191" t="str">
        <f>IF('IWP02'!E$555=0,"",'IWP02'!E$555)</f>
        <v/>
      </c>
      <c r="D2999" s="211">
        <f>'IWP02'!G$555</f>
        <v>0</v>
      </c>
      <c r="E2999" s="211">
        <f>'IWP02'!H$555</f>
        <v>0</v>
      </c>
      <c r="F2999" s="211">
        <f>'IWP02'!I$555</f>
        <v>0</v>
      </c>
      <c r="G2999" s="191" t="str">
        <f>IF('IWP02'!J$555=0,"",'IWP02'!J$555)</f>
        <v/>
      </c>
      <c r="H2999" s="211">
        <f>'IWP02'!K$555</f>
        <v>0</v>
      </c>
      <c r="I2999" s="211">
        <f>'IWP02'!L$555</f>
        <v>0</v>
      </c>
      <c r="J2999" s="212">
        <f>'IWP02'!M$555</f>
        <v>0</v>
      </c>
      <c r="K2999" s="106"/>
      <c r="L2999" s="106"/>
      <c r="M2999" s="129"/>
    </row>
    <row r="3000" spans="1:13" s="105" customFormat="1">
      <c r="A3000" s="193" t="s">
        <v>500</v>
      </c>
      <c r="B3000" s="210">
        <v>13</v>
      </c>
      <c r="C3000" s="191" t="str">
        <f>IF('IWP02'!E$556=0,"",'IWP02'!E$556)</f>
        <v/>
      </c>
      <c r="D3000" s="211">
        <f>'IWP02'!G$556</f>
        <v>0</v>
      </c>
      <c r="E3000" s="211">
        <f>'IWP02'!H$556</f>
        <v>0</v>
      </c>
      <c r="F3000" s="211">
        <f>'IWP02'!I$556</f>
        <v>0</v>
      </c>
      <c r="G3000" s="191" t="str">
        <f>IF('IWP02'!J$556=0,"",'IWP02'!J$556)</f>
        <v/>
      </c>
      <c r="H3000" s="211">
        <f>'IWP02'!K$556</f>
        <v>0</v>
      </c>
      <c r="I3000" s="211">
        <f>'IWP02'!L$556</f>
        <v>0</v>
      </c>
      <c r="J3000" s="212">
        <f>'IWP02'!M$556</f>
        <v>0</v>
      </c>
      <c r="K3000" s="106"/>
      <c r="L3000" s="106"/>
      <c r="M3000" s="129"/>
    </row>
    <row r="3001" spans="1:13" s="105" customFormat="1">
      <c r="A3001" s="193" t="s">
        <v>500</v>
      </c>
      <c r="B3001" s="210">
        <v>14</v>
      </c>
      <c r="C3001" s="191" t="str">
        <f>IF('IWP02'!E$563=0,"",'IWP02'!E$563)</f>
        <v>Subtotal column D.</v>
      </c>
      <c r="D3001" s="211">
        <f>'IWP02'!G$563</f>
        <v>0</v>
      </c>
      <c r="E3001" s="211">
        <f>'IWP02'!H$563</f>
        <v>0</v>
      </c>
      <c r="F3001" s="211">
        <f>'IWP02'!I$563</f>
        <v>0</v>
      </c>
      <c r="G3001" s="191" t="str">
        <f>IF('IWP02'!J$563=0,"",'IWP02'!J$563)</f>
        <v/>
      </c>
      <c r="H3001" s="211">
        <f>'IWP02'!K$563</f>
        <v>0</v>
      </c>
      <c r="I3001" s="211">
        <f>'IWP02'!L$563</f>
        <v>0</v>
      </c>
      <c r="J3001" s="212">
        <f>'IWP02'!M$563</f>
        <v>0</v>
      </c>
      <c r="K3001" s="106"/>
      <c r="L3001" s="106"/>
      <c r="M3001" s="129"/>
    </row>
    <row r="3002" spans="1:13" s="105" customFormat="1">
      <c r="A3002" s="193" t="s">
        <v>500</v>
      </c>
      <c r="B3002" s="210">
        <v>14</v>
      </c>
      <c r="C3002" s="191" t="str">
        <f>IF('IWP02'!E$564=0,"",'IWP02'!E$564)</f>
        <v>Unverified/Undocumented (Subtotal D - C)</v>
      </c>
      <c r="D3002" s="211">
        <f>'IWP02'!G$564</f>
        <v>0</v>
      </c>
      <c r="E3002" s="211">
        <f>'IWP02'!H$564</f>
        <v>0</v>
      </c>
      <c r="F3002" s="211">
        <f>'IWP02'!I$564</f>
        <v>0</v>
      </c>
      <c r="G3002" s="191" t="str">
        <f>IF('IWP02'!J$564=0,"",'IWP02'!J$564)</f>
        <v/>
      </c>
      <c r="H3002" s="211">
        <f>'IWP02'!K$564</f>
        <v>0</v>
      </c>
      <c r="I3002" s="211">
        <f>'IWP02'!L$564</f>
        <v>0</v>
      </c>
      <c r="J3002" s="212">
        <f>'IWP02'!M$564</f>
        <v>0</v>
      </c>
      <c r="K3002" s="106"/>
      <c r="L3002" s="106"/>
      <c r="M3002" s="129"/>
    </row>
    <row r="3003" spans="1:13" s="105" customFormat="1">
      <c r="A3003" s="193" t="s">
        <v>500</v>
      </c>
      <c r="B3003" s="210">
        <v>14</v>
      </c>
      <c r="C3003" s="191" t="str">
        <f>IF('IWP02'!E$565=0,"",'IWP02'!E$565)</f>
        <v>J. Billing Period Total</v>
      </c>
      <c r="D3003" s="211">
        <f>'IWP02'!G$565</f>
        <v>0</v>
      </c>
      <c r="E3003" s="211">
        <f>'IWP02'!H$565</f>
        <v>0</v>
      </c>
      <c r="F3003" s="211">
        <f>'IWP02'!I$565</f>
        <v>0</v>
      </c>
      <c r="G3003" s="191" t="str">
        <f>IF('IWP02'!J$565=0,"",'IWP02'!J$565)</f>
        <v/>
      </c>
      <c r="H3003" s="211">
        <f>'IWP02'!K$565</f>
        <v>0</v>
      </c>
      <c r="I3003" s="211">
        <f>'IWP02'!L$565</f>
        <v>0</v>
      </c>
      <c r="J3003" s="212">
        <f>'IWP02'!M$565</f>
        <v>0</v>
      </c>
      <c r="K3003" s="106"/>
      <c r="L3003" s="106"/>
      <c r="M3003" s="129"/>
    </row>
    <row r="3004" spans="1:13" s="105" customFormat="1">
      <c r="A3004" s="193" t="s">
        <v>500</v>
      </c>
      <c r="B3004" s="210">
        <v>14</v>
      </c>
      <c r="C3004" s="191" t="str">
        <f>IF('IWP02'!E$566=0,"",'IWP02'!E$566)</f>
        <v>D.</v>
      </c>
      <c r="D3004" s="211">
        <f>'IWP02'!G$566</f>
        <v>0</v>
      </c>
      <c r="E3004" s="211" t="str">
        <f>'IWP02'!H$566</f>
        <v>E.</v>
      </c>
      <c r="F3004" s="211" t="str">
        <f>'IWP02'!I$566</f>
        <v>F.</v>
      </c>
      <c r="G3004" s="191" t="str">
        <f>IF('IWP02'!J$566=0,"",'IWP02'!J$566)</f>
        <v>G.</v>
      </c>
      <c r="H3004" s="211">
        <f>'IWP02'!K$566</f>
        <v>0</v>
      </c>
      <c r="I3004" s="211" t="str">
        <f>'IWP02'!L$566</f>
        <v>H.</v>
      </c>
      <c r="J3004" s="212" t="str">
        <f>'IWP02'!M$566</f>
        <v>I.</v>
      </c>
      <c r="K3004" s="106"/>
      <c r="L3004" s="106"/>
      <c r="M3004" s="129"/>
    </row>
    <row r="3005" spans="1:13" s="105" customFormat="1">
      <c r="A3005" s="193" t="s">
        <v>500</v>
      </c>
      <c r="B3005" s="210">
        <v>14</v>
      </c>
      <c r="C3005" s="191" t="str">
        <f>IF('IWP02'!E$567=0,"",'IWP02'!E$567)</f>
        <v xml:space="preserve">Items/Services Related to Billing Period </v>
      </c>
      <c r="D3005" s="211">
        <f>'IWP02'!G$567</f>
        <v>0</v>
      </c>
      <c r="E3005" s="211" t="str">
        <f>'IWP02'!H$567</f>
        <v xml:space="preserve">Item/
Service Verified Amounts
</v>
      </c>
      <c r="F3005" s="211" t="str">
        <f>'IWP02'!I$567</f>
        <v>Amount Due to DADS (E. - D.)</v>
      </c>
      <c r="G3005" s="191" t="str">
        <f>IF('IWP02'!J$567=0,"",'IWP02'!J$567)</f>
        <v>Amount Reimbursed to 
Employee(s)/Employer</v>
      </c>
      <c r="H3005" s="211">
        <f>'IWP02'!K$567</f>
        <v>0</v>
      </c>
      <c r="I3005" s="211" t="str">
        <f>'IWP02'!L$567</f>
        <v>Amount Due to Employee(s) (G. - E.)</v>
      </c>
      <c r="J3005" s="212" t="str">
        <f>'IWP02'!M$567</f>
        <v>Amount Due to Employer (G. - E.)</v>
      </c>
      <c r="K3005" s="106"/>
      <c r="L3005" s="106"/>
      <c r="M3005" s="129"/>
    </row>
    <row r="3006" spans="1:13" s="105" customFormat="1">
      <c r="A3006" s="193" t="s">
        <v>500</v>
      </c>
      <c r="B3006" s="210">
        <v>14</v>
      </c>
      <c r="C3006" s="191" t="str">
        <f>IF('IWP02'!E$568=0,"",'IWP02'!E$568)</f>
        <v>Item/Service</v>
      </c>
      <c r="D3006" s="211" t="str">
        <f>'IWP02'!G$568</f>
        <v>Itemized Amount Paid by DADS</v>
      </c>
      <c r="E3006" s="211">
        <f>'IWP02'!H$568</f>
        <v>0</v>
      </c>
      <c r="F3006" s="211">
        <f>'IWP02'!I$568</f>
        <v>0</v>
      </c>
      <c r="G3006" s="191" t="str">
        <f>IF('IWP02'!J$568=0,"",'IWP02'!J$568)</f>
        <v/>
      </c>
      <c r="H3006" s="211">
        <f>'IWP02'!K$568</f>
        <v>0</v>
      </c>
      <c r="I3006" s="211">
        <f>'IWP02'!L$568</f>
        <v>0</v>
      </c>
      <c r="J3006" s="212">
        <f>'IWP02'!M$568</f>
        <v>0</v>
      </c>
      <c r="K3006" s="106"/>
      <c r="L3006" s="106"/>
      <c r="M3006" s="129"/>
    </row>
    <row r="3007" spans="1:13" s="105" customFormat="1">
      <c r="A3007" s="193" t="s">
        <v>500</v>
      </c>
      <c r="B3007" s="210">
        <v>14</v>
      </c>
      <c r="C3007" s="191" t="str">
        <f>IF('IWP02'!E$569=0,"",'IWP02'!E$569)</f>
        <v/>
      </c>
      <c r="D3007" s="211">
        <f>'IWP02'!G$569</f>
        <v>0</v>
      </c>
      <c r="E3007" s="211">
        <f>'IWP02'!H$569</f>
        <v>0</v>
      </c>
      <c r="F3007" s="211">
        <f>'IWP02'!I$569</f>
        <v>0</v>
      </c>
      <c r="G3007" s="191" t="str">
        <f>IF('IWP02'!J$569=0,"",'IWP02'!J$569)</f>
        <v/>
      </c>
      <c r="H3007" s="211">
        <f>'IWP02'!K$569</f>
        <v>0</v>
      </c>
      <c r="I3007" s="211">
        <f>'IWP02'!L$569</f>
        <v>0</v>
      </c>
      <c r="J3007" s="212">
        <f>'IWP02'!M$569</f>
        <v>0</v>
      </c>
      <c r="K3007" s="106"/>
      <c r="L3007" s="106"/>
      <c r="M3007" s="129"/>
    </row>
    <row r="3008" spans="1:13" s="105" customFormat="1">
      <c r="A3008" s="193" t="s">
        <v>500</v>
      </c>
      <c r="B3008" s="210">
        <v>14</v>
      </c>
      <c r="C3008" s="191" t="str">
        <f>IF('IWP02'!E$570=0,"",'IWP02'!E$570)</f>
        <v/>
      </c>
      <c r="D3008" s="211">
        <f>'IWP02'!G$570</f>
        <v>0</v>
      </c>
      <c r="E3008" s="211">
        <f>'IWP02'!H$570</f>
        <v>0</v>
      </c>
      <c r="F3008" s="211">
        <f>'IWP02'!I$570</f>
        <v>0</v>
      </c>
      <c r="G3008" s="191" t="str">
        <f>IF('IWP02'!J$570=0,"",'IWP02'!J$570)</f>
        <v/>
      </c>
      <c r="H3008" s="211">
        <f>'IWP02'!K$570</f>
        <v>0</v>
      </c>
      <c r="I3008" s="211">
        <f>'IWP02'!L$570</f>
        <v>0</v>
      </c>
      <c r="J3008" s="212">
        <f>'IWP02'!M$570</f>
        <v>0</v>
      </c>
      <c r="K3008" s="106"/>
      <c r="L3008" s="106"/>
      <c r="M3008" s="129"/>
    </row>
    <row r="3009" spans="1:13" s="105" customFormat="1">
      <c r="A3009" s="193" t="s">
        <v>500</v>
      </c>
      <c r="B3009" s="210">
        <v>14</v>
      </c>
      <c r="C3009" s="191" t="str">
        <f>IF('IWP02'!E$571=0,"",'IWP02'!E$571)</f>
        <v/>
      </c>
      <c r="D3009" s="211">
        <f>'IWP02'!G$571</f>
        <v>0</v>
      </c>
      <c r="E3009" s="211">
        <f>'IWP02'!H$571</f>
        <v>0</v>
      </c>
      <c r="F3009" s="211">
        <f>'IWP02'!I$571</f>
        <v>0</v>
      </c>
      <c r="G3009" s="191" t="str">
        <f>IF('IWP02'!J$571=0,"",'IWP02'!J$571)</f>
        <v/>
      </c>
      <c r="H3009" s="211">
        <f>'IWP02'!K$571</f>
        <v>0</v>
      </c>
      <c r="I3009" s="211">
        <f>'IWP02'!L$571</f>
        <v>0</v>
      </c>
      <c r="J3009" s="212">
        <f>'IWP02'!M$571</f>
        <v>0</v>
      </c>
      <c r="K3009" s="106"/>
      <c r="L3009" s="106"/>
      <c r="M3009" s="129"/>
    </row>
    <row r="3010" spans="1:13" s="105" customFormat="1">
      <c r="A3010" s="193" t="s">
        <v>500</v>
      </c>
      <c r="B3010" s="210">
        <v>14</v>
      </c>
      <c r="C3010" s="191" t="str">
        <f>IF('IWP02'!E$572=0,"",'IWP02'!E$572)</f>
        <v/>
      </c>
      <c r="D3010" s="211">
        <f>'IWP02'!G$572</f>
        <v>0</v>
      </c>
      <c r="E3010" s="211">
        <f>'IWP02'!H$572</f>
        <v>0</v>
      </c>
      <c r="F3010" s="211">
        <f>'IWP02'!I$572</f>
        <v>0</v>
      </c>
      <c r="G3010" s="191" t="str">
        <f>IF('IWP02'!J$572=0,"",'IWP02'!J$572)</f>
        <v/>
      </c>
      <c r="H3010" s="211">
        <f>'IWP02'!K$572</f>
        <v>0</v>
      </c>
      <c r="I3010" s="211">
        <f>'IWP02'!L$572</f>
        <v>0</v>
      </c>
      <c r="J3010" s="212">
        <f>'IWP02'!M$572</f>
        <v>0</v>
      </c>
      <c r="K3010" s="106"/>
      <c r="L3010" s="106"/>
      <c r="M3010" s="129"/>
    </row>
    <row r="3011" spans="1:13" s="105" customFormat="1">
      <c r="A3011" s="193" t="s">
        <v>500</v>
      </c>
      <c r="B3011" s="210">
        <v>15</v>
      </c>
      <c r="C3011" s="191" t="str">
        <f>IF('IWP02'!E$579=0,"",'IWP02'!E$579)</f>
        <v>Subtotal column D.</v>
      </c>
      <c r="D3011" s="211">
        <f>'IWP02'!G$579</f>
        <v>0</v>
      </c>
      <c r="E3011" s="211">
        <f>'IWP02'!H$579</f>
        <v>0</v>
      </c>
      <c r="F3011" s="211">
        <f>'IWP02'!I$579</f>
        <v>0</v>
      </c>
      <c r="G3011" s="191" t="str">
        <f>IF('IWP02'!J$579=0,"",'IWP02'!J$579)</f>
        <v/>
      </c>
      <c r="H3011" s="211">
        <f>'IWP02'!K$579</f>
        <v>0</v>
      </c>
      <c r="I3011" s="211">
        <f>'IWP02'!L$579</f>
        <v>0</v>
      </c>
      <c r="J3011" s="212">
        <f>'IWP02'!M$579</f>
        <v>0</v>
      </c>
      <c r="K3011" s="106"/>
      <c r="L3011" s="106"/>
      <c r="M3011" s="129"/>
    </row>
    <row r="3012" spans="1:13" s="105" customFormat="1">
      <c r="A3012" s="193" t="s">
        <v>500</v>
      </c>
      <c r="B3012" s="210">
        <v>15</v>
      </c>
      <c r="C3012" s="191" t="str">
        <f>IF('IWP02'!E$580=0,"",'IWP02'!E$580)</f>
        <v>Unverified/Undocumented (Subtotal D - C)</v>
      </c>
      <c r="D3012" s="211">
        <f>'IWP02'!G$580</f>
        <v>0</v>
      </c>
      <c r="E3012" s="211">
        <f>'IWP02'!H$580</f>
        <v>0</v>
      </c>
      <c r="F3012" s="211">
        <f>'IWP02'!I$580</f>
        <v>0</v>
      </c>
      <c r="G3012" s="191" t="str">
        <f>IF('IWP02'!J$580=0,"",'IWP02'!J$580)</f>
        <v/>
      </c>
      <c r="H3012" s="211">
        <f>'IWP02'!K$580</f>
        <v>0</v>
      </c>
      <c r="I3012" s="211">
        <f>'IWP02'!L$580</f>
        <v>0</v>
      </c>
      <c r="J3012" s="212">
        <f>'IWP02'!M$580</f>
        <v>0</v>
      </c>
      <c r="K3012" s="106"/>
      <c r="L3012" s="106"/>
      <c r="M3012" s="129"/>
    </row>
    <row r="3013" spans="1:13" s="105" customFormat="1">
      <c r="A3013" s="193" t="s">
        <v>500</v>
      </c>
      <c r="B3013" s="210">
        <v>15</v>
      </c>
      <c r="C3013" s="191" t="str">
        <f>IF('IWP02'!E$581=0,"",'IWP02'!E$581)</f>
        <v>J. Billing Period Total</v>
      </c>
      <c r="D3013" s="211">
        <f>'IWP02'!G$581</f>
        <v>0</v>
      </c>
      <c r="E3013" s="211">
        <f>'IWP02'!H$581</f>
        <v>0</v>
      </c>
      <c r="F3013" s="211">
        <f>'IWP02'!I$581</f>
        <v>0</v>
      </c>
      <c r="G3013" s="191" t="str">
        <f>IF('IWP02'!J$581=0,"",'IWP02'!J$581)</f>
        <v/>
      </c>
      <c r="H3013" s="211">
        <f>'IWP02'!K$581</f>
        <v>0</v>
      </c>
      <c r="I3013" s="211">
        <f>'IWP02'!L$581</f>
        <v>0</v>
      </c>
      <c r="J3013" s="212">
        <f>'IWP02'!M$581</f>
        <v>0</v>
      </c>
      <c r="K3013" s="106"/>
      <c r="L3013" s="106"/>
      <c r="M3013" s="129"/>
    </row>
    <row r="3014" spans="1:13" s="105" customFormat="1">
      <c r="A3014" s="193" t="s">
        <v>500</v>
      </c>
      <c r="B3014" s="210">
        <v>15</v>
      </c>
      <c r="C3014" s="191" t="str">
        <f>IF('IWP02'!E$582=0,"",'IWP02'!E$582)</f>
        <v>D.</v>
      </c>
      <c r="D3014" s="211">
        <f>'IWP02'!G$582</f>
        <v>0</v>
      </c>
      <c r="E3014" s="211" t="str">
        <f>'IWP02'!H$582</f>
        <v>E.</v>
      </c>
      <c r="F3014" s="211" t="str">
        <f>'IWP02'!I$582</f>
        <v>F.</v>
      </c>
      <c r="G3014" s="191" t="str">
        <f>IF('IWP02'!J$582=0,"",'IWP02'!J$582)</f>
        <v>G.</v>
      </c>
      <c r="H3014" s="211">
        <f>'IWP02'!K$582</f>
        <v>0</v>
      </c>
      <c r="I3014" s="211" t="str">
        <f>'IWP02'!L$582</f>
        <v>H.</v>
      </c>
      <c r="J3014" s="212" t="str">
        <f>'IWP02'!M$582</f>
        <v>I.</v>
      </c>
      <c r="K3014" s="106"/>
      <c r="L3014" s="106"/>
      <c r="M3014" s="129"/>
    </row>
    <row r="3015" spans="1:13" s="105" customFormat="1">
      <c r="A3015" s="193" t="s">
        <v>500</v>
      </c>
      <c r="B3015" s="210">
        <v>15</v>
      </c>
      <c r="C3015" s="191" t="str">
        <f>IF('IWP02'!E$583=0,"",'IWP02'!E$583)</f>
        <v xml:space="preserve">Items/Services Related to Billing Period </v>
      </c>
      <c r="D3015" s="211">
        <f>'IWP02'!G$583</f>
        <v>0</v>
      </c>
      <c r="E3015" s="211" t="str">
        <f>'IWP02'!H$583</f>
        <v xml:space="preserve">Item/
Service Verified Amounts
</v>
      </c>
      <c r="F3015" s="211" t="str">
        <f>'IWP02'!I$583</f>
        <v>Amount Due to DADS (E. - D.)</v>
      </c>
      <c r="G3015" s="191" t="str">
        <f>IF('IWP02'!J$583=0,"",'IWP02'!J$583)</f>
        <v>Amount Reimbursed to 
Employee(s)/Employer</v>
      </c>
      <c r="H3015" s="211">
        <f>'IWP02'!K$583</f>
        <v>0</v>
      </c>
      <c r="I3015" s="211" t="str">
        <f>'IWP02'!L$583</f>
        <v>Amount Due to Employee(s) (G. - E.)</v>
      </c>
      <c r="J3015" s="212" t="str">
        <f>'IWP02'!M$583</f>
        <v>Amount Due to Employer (G. - E.)</v>
      </c>
      <c r="K3015" s="106"/>
      <c r="L3015" s="106"/>
      <c r="M3015" s="129"/>
    </row>
    <row r="3016" spans="1:13" s="105" customFormat="1">
      <c r="A3016" s="193" t="s">
        <v>500</v>
      </c>
      <c r="B3016" s="210">
        <v>15</v>
      </c>
      <c r="C3016" s="191" t="str">
        <f>IF('IWP02'!E$584=0,"",'IWP02'!E$584)</f>
        <v>Item/Service</v>
      </c>
      <c r="D3016" s="211" t="str">
        <f>'IWP02'!G$584</f>
        <v>Itemized Amount Paid by DADS</v>
      </c>
      <c r="E3016" s="211">
        <f>'IWP02'!H$584</f>
        <v>0</v>
      </c>
      <c r="F3016" s="211">
        <f>'IWP02'!I$584</f>
        <v>0</v>
      </c>
      <c r="G3016" s="191" t="str">
        <f>IF('IWP02'!J$584=0,"",'IWP02'!J$584)</f>
        <v/>
      </c>
      <c r="H3016" s="211">
        <f>'IWP02'!K$584</f>
        <v>0</v>
      </c>
      <c r="I3016" s="211">
        <f>'IWP02'!L$584</f>
        <v>0</v>
      </c>
      <c r="J3016" s="212">
        <f>'IWP02'!M$584</f>
        <v>0</v>
      </c>
      <c r="K3016" s="106"/>
      <c r="L3016" s="106"/>
      <c r="M3016" s="129"/>
    </row>
    <row r="3017" spans="1:13" s="105" customFormat="1">
      <c r="A3017" s="193" t="s">
        <v>500</v>
      </c>
      <c r="B3017" s="210">
        <v>15</v>
      </c>
      <c r="C3017" s="191" t="str">
        <f>IF('IWP02'!E$585=0,"",'IWP02'!E$585)</f>
        <v/>
      </c>
      <c r="D3017" s="211">
        <f>'IWP02'!G$585</f>
        <v>0</v>
      </c>
      <c r="E3017" s="211">
        <f>'IWP02'!H$585</f>
        <v>0</v>
      </c>
      <c r="F3017" s="211">
        <f>'IWP02'!I$585</f>
        <v>0</v>
      </c>
      <c r="G3017" s="191" t="str">
        <f>IF('IWP02'!J$585=0,"",'IWP02'!J$585)</f>
        <v/>
      </c>
      <c r="H3017" s="211">
        <f>'IWP02'!K$585</f>
        <v>0</v>
      </c>
      <c r="I3017" s="211">
        <f>'IWP02'!L$585</f>
        <v>0</v>
      </c>
      <c r="J3017" s="212">
        <f>'IWP02'!M$585</f>
        <v>0</v>
      </c>
      <c r="K3017" s="106"/>
      <c r="L3017" s="106"/>
      <c r="M3017" s="129"/>
    </row>
    <row r="3018" spans="1:13" s="105" customFormat="1">
      <c r="A3018" s="193" t="s">
        <v>500</v>
      </c>
      <c r="B3018" s="210">
        <v>15</v>
      </c>
      <c r="C3018" s="191" t="str">
        <f>IF('IWP02'!E$586=0,"",'IWP02'!E$586)</f>
        <v/>
      </c>
      <c r="D3018" s="211">
        <f>'IWP02'!G$586</f>
        <v>0</v>
      </c>
      <c r="E3018" s="211">
        <f>'IWP02'!H$586</f>
        <v>0</v>
      </c>
      <c r="F3018" s="211">
        <f>'IWP02'!I$586</f>
        <v>0</v>
      </c>
      <c r="G3018" s="191" t="str">
        <f>IF('IWP02'!J$586=0,"",'IWP02'!J$586)</f>
        <v/>
      </c>
      <c r="H3018" s="211">
        <f>'IWP02'!K$586</f>
        <v>0</v>
      </c>
      <c r="I3018" s="211">
        <f>'IWP02'!L$586</f>
        <v>0</v>
      </c>
      <c r="J3018" s="212">
        <f>'IWP02'!M$586</f>
        <v>0</v>
      </c>
      <c r="K3018" s="106"/>
      <c r="L3018" s="106"/>
      <c r="M3018" s="129"/>
    </row>
    <row r="3019" spans="1:13" s="105" customFormat="1">
      <c r="A3019" s="193" t="s">
        <v>500</v>
      </c>
      <c r="B3019" s="210">
        <v>15</v>
      </c>
      <c r="C3019" s="191" t="str">
        <f>IF('IWP02'!E$587=0,"",'IWP02'!E$587)</f>
        <v/>
      </c>
      <c r="D3019" s="211">
        <f>'IWP02'!G$587</f>
        <v>0</v>
      </c>
      <c r="E3019" s="211">
        <f>'IWP02'!H$587</f>
        <v>0</v>
      </c>
      <c r="F3019" s="211">
        <f>'IWP02'!I$587</f>
        <v>0</v>
      </c>
      <c r="G3019" s="191" t="str">
        <f>IF('IWP02'!J$587=0,"",'IWP02'!J$587)</f>
        <v/>
      </c>
      <c r="H3019" s="211">
        <f>'IWP02'!K$587</f>
        <v>0</v>
      </c>
      <c r="I3019" s="211">
        <f>'IWP02'!L$587</f>
        <v>0</v>
      </c>
      <c r="J3019" s="212">
        <f>'IWP02'!M$587</f>
        <v>0</v>
      </c>
      <c r="K3019" s="106"/>
      <c r="L3019" s="106"/>
      <c r="M3019" s="129"/>
    </row>
    <row r="3020" spans="1:13" s="105" customFormat="1">
      <c r="A3020" s="193" t="s">
        <v>500</v>
      </c>
      <c r="B3020" s="210">
        <v>15</v>
      </c>
      <c r="C3020" s="191" t="str">
        <f>IF('IWP02'!E$588=0,"",'IWP02'!E$588)</f>
        <v/>
      </c>
      <c r="D3020" s="211">
        <f>'IWP02'!G$588</f>
        <v>0</v>
      </c>
      <c r="E3020" s="211">
        <f>'IWP02'!H$588</f>
        <v>0</v>
      </c>
      <c r="F3020" s="211">
        <f>'IWP02'!I$588</f>
        <v>0</v>
      </c>
      <c r="G3020" s="191" t="str">
        <f>IF('IWP02'!J$588=0,"",'IWP02'!J$588)</f>
        <v/>
      </c>
      <c r="H3020" s="211">
        <f>'IWP02'!K$588</f>
        <v>0</v>
      </c>
      <c r="I3020" s="211">
        <f>'IWP02'!L$588</f>
        <v>0</v>
      </c>
      <c r="J3020" s="212">
        <f>'IWP02'!M$588</f>
        <v>0</v>
      </c>
      <c r="K3020" s="106"/>
      <c r="L3020" s="106"/>
      <c r="M3020" s="129"/>
    </row>
    <row r="3021" spans="1:13" s="105" customFormat="1">
      <c r="A3021" s="193" t="s">
        <v>500</v>
      </c>
      <c r="B3021" s="210">
        <v>16</v>
      </c>
      <c r="C3021" s="191" t="str">
        <f>IF('IWP02'!E$595=0,"",'IWP02'!E$595)</f>
        <v>Subtotal column D.</v>
      </c>
      <c r="D3021" s="211">
        <f>'IWP02'!G$595</f>
        <v>0</v>
      </c>
      <c r="E3021" s="211">
        <f>'IWP02'!H$595</f>
        <v>0</v>
      </c>
      <c r="F3021" s="211">
        <f>'IWP02'!I$595</f>
        <v>0</v>
      </c>
      <c r="G3021" s="191" t="str">
        <f>IF('IWP02'!J$595=0,"",'IWP02'!J$595)</f>
        <v/>
      </c>
      <c r="H3021" s="211">
        <f>'IWP02'!K$595</f>
        <v>0</v>
      </c>
      <c r="I3021" s="211">
        <f>'IWP02'!L$595</f>
        <v>0</v>
      </c>
      <c r="J3021" s="212">
        <f>'IWP02'!M$595</f>
        <v>0</v>
      </c>
      <c r="K3021" s="106"/>
      <c r="L3021" s="106"/>
      <c r="M3021" s="129"/>
    </row>
    <row r="3022" spans="1:13" s="105" customFormat="1">
      <c r="A3022" s="193" t="s">
        <v>500</v>
      </c>
      <c r="B3022" s="210">
        <v>16</v>
      </c>
      <c r="C3022" s="191" t="str">
        <f>IF('IWP02'!E$596=0,"",'IWP02'!E$596)</f>
        <v>Unverified/Undocumented (Subtotal D - C)</v>
      </c>
      <c r="D3022" s="211">
        <f>'IWP02'!G$596</f>
        <v>0</v>
      </c>
      <c r="E3022" s="211">
        <f>'IWP02'!H$596</f>
        <v>0</v>
      </c>
      <c r="F3022" s="211">
        <f>'IWP02'!I$596</f>
        <v>0</v>
      </c>
      <c r="G3022" s="191" t="str">
        <f>IF('IWP02'!J$596=0,"",'IWP02'!J$596)</f>
        <v/>
      </c>
      <c r="H3022" s="211">
        <f>'IWP02'!K$596</f>
        <v>0</v>
      </c>
      <c r="I3022" s="211">
        <f>'IWP02'!L$596</f>
        <v>0</v>
      </c>
      <c r="J3022" s="212">
        <f>'IWP02'!M$596</f>
        <v>0</v>
      </c>
      <c r="K3022" s="106"/>
      <c r="L3022" s="106"/>
      <c r="M3022" s="129"/>
    </row>
    <row r="3023" spans="1:13" s="105" customFormat="1">
      <c r="A3023" s="193" t="s">
        <v>500</v>
      </c>
      <c r="B3023" s="210">
        <v>16</v>
      </c>
      <c r="C3023" s="191" t="str">
        <f>IF('IWP02'!E$597=0,"",'IWP02'!E$597)</f>
        <v>J. Billing Period Total</v>
      </c>
      <c r="D3023" s="211">
        <f>'IWP02'!G$597</f>
        <v>0</v>
      </c>
      <c r="E3023" s="211">
        <f>'IWP02'!H$597</f>
        <v>0</v>
      </c>
      <c r="F3023" s="211">
        <f>'IWP02'!I$597</f>
        <v>0</v>
      </c>
      <c r="G3023" s="191" t="str">
        <f>IF('IWP02'!J$597=0,"",'IWP02'!J$597)</f>
        <v/>
      </c>
      <c r="H3023" s="211">
        <f>'IWP02'!K$597</f>
        <v>0</v>
      </c>
      <c r="I3023" s="211">
        <f>'IWP02'!L$597</f>
        <v>0</v>
      </c>
      <c r="J3023" s="212">
        <f>'IWP02'!M$597</f>
        <v>0</v>
      </c>
      <c r="K3023" s="106"/>
      <c r="L3023" s="106"/>
      <c r="M3023" s="129"/>
    </row>
    <row r="3024" spans="1:13" s="105" customFormat="1">
      <c r="A3024" s="193" t="s">
        <v>500</v>
      </c>
      <c r="B3024" s="210">
        <v>16</v>
      </c>
      <c r="C3024" s="191" t="str">
        <f>IF('IWP02'!E$598=0,"",'IWP02'!E$598)</f>
        <v>D.</v>
      </c>
      <c r="D3024" s="211">
        <f>'IWP02'!G$598</f>
        <v>0</v>
      </c>
      <c r="E3024" s="211" t="str">
        <f>'IWP02'!H$598</f>
        <v>E.</v>
      </c>
      <c r="F3024" s="211" t="str">
        <f>'IWP02'!I$598</f>
        <v>F.</v>
      </c>
      <c r="G3024" s="191" t="str">
        <f>IF('IWP02'!J$598=0,"",'IWP02'!J$598)</f>
        <v>G.</v>
      </c>
      <c r="H3024" s="211">
        <f>'IWP02'!K$598</f>
        <v>0</v>
      </c>
      <c r="I3024" s="211" t="str">
        <f>'IWP02'!L$598</f>
        <v>H.</v>
      </c>
      <c r="J3024" s="212" t="str">
        <f>'IWP02'!M$598</f>
        <v>I.</v>
      </c>
      <c r="K3024" s="106"/>
      <c r="L3024" s="106"/>
      <c r="M3024" s="129"/>
    </row>
    <row r="3025" spans="1:13" s="105" customFormat="1">
      <c r="A3025" s="193" t="s">
        <v>500</v>
      </c>
      <c r="B3025" s="210">
        <v>16</v>
      </c>
      <c r="C3025" s="191" t="str">
        <f>IF('IWP02'!E$599=0,"",'IWP02'!E$599)</f>
        <v xml:space="preserve">Items/Services Related to Billing Period </v>
      </c>
      <c r="D3025" s="211">
        <f>'IWP02'!G$599</f>
        <v>0</v>
      </c>
      <c r="E3025" s="211" t="str">
        <f>'IWP02'!H$599</f>
        <v xml:space="preserve">Item/
Service Verified Amounts
</v>
      </c>
      <c r="F3025" s="211" t="str">
        <f>'IWP02'!I$599</f>
        <v>Amount Due to DADS (E. - D.)</v>
      </c>
      <c r="G3025" s="191" t="str">
        <f>IF('IWP02'!J$599=0,"",'IWP02'!J$599)</f>
        <v>Amount Reimbursed to 
Employee(s)/Employer</v>
      </c>
      <c r="H3025" s="211">
        <f>'IWP02'!K$599</f>
        <v>0</v>
      </c>
      <c r="I3025" s="211" t="str">
        <f>'IWP02'!L$599</f>
        <v>Amount Due to Employee(s) (G. - E.)</v>
      </c>
      <c r="J3025" s="212" t="str">
        <f>'IWP02'!M$599</f>
        <v>Amount Due to Employer (G. - E.)</v>
      </c>
      <c r="K3025" s="106"/>
      <c r="L3025" s="106"/>
      <c r="M3025" s="129"/>
    </row>
    <row r="3026" spans="1:13" s="105" customFormat="1">
      <c r="A3026" s="193" t="s">
        <v>500</v>
      </c>
      <c r="B3026" s="210">
        <v>16</v>
      </c>
      <c r="C3026" s="191" t="str">
        <f>IF('IWP02'!E$600=0,"",'IWP02'!E$600)</f>
        <v>Item/Service</v>
      </c>
      <c r="D3026" s="211" t="str">
        <f>'IWP02'!G$600</f>
        <v>Itemized Amount Paid by DADS</v>
      </c>
      <c r="E3026" s="211">
        <f>'IWP02'!H$600</f>
        <v>0</v>
      </c>
      <c r="F3026" s="211">
        <f>'IWP02'!I$600</f>
        <v>0</v>
      </c>
      <c r="G3026" s="191" t="str">
        <f>IF('IWP02'!J$600=0,"",'IWP02'!J$600)</f>
        <v/>
      </c>
      <c r="H3026" s="211">
        <f>'IWP02'!K$600</f>
        <v>0</v>
      </c>
      <c r="I3026" s="211">
        <f>'IWP02'!L$600</f>
        <v>0</v>
      </c>
      <c r="J3026" s="212">
        <f>'IWP02'!M$600</f>
        <v>0</v>
      </c>
      <c r="K3026" s="106"/>
      <c r="L3026" s="106"/>
      <c r="M3026" s="129"/>
    </row>
    <row r="3027" spans="1:13" s="105" customFormat="1">
      <c r="A3027" s="193" t="s">
        <v>500</v>
      </c>
      <c r="B3027" s="210">
        <v>16</v>
      </c>
      <c r="C3027" s="191" t="str">
        <f>IF('IWP02'!E$601=0,"",'IWP02'!E$601)</f>
        <v/>
      </c>
      <c r="D3027" s="211">
        <f>'IWP02'!G$601</f>
        <v>0</v>
      </c>
      <c r="E3027" s="211">
        <f>'IWP02'!H$601</f>
        <v>0</v>
      </c>
      <c r="F3027" s="211">
        <f>'IWP02'!I$601</f>
        <v>0</v>
      </c>
      <c r="G3027" s="191" t="str">
        <f>IF('IWP02'!J$601=0,"",'IWP02'!J$601)</f>
        <v/>
      </c>
      <c r="H3027" s="211">
        <f>'IWP02'!K$601</f>
        <v>0</v>
      </c>
      <c r="I3027" s="211">
        <f>'IWP02'!L$601</f>
        <v>0</v>
      </c>
      <c r="J3027" s="212">
        <f>'IWP02'!M$601</f>
        <v>0</v>
      </c>
      <c r="K3027" s="106"/>
      <c r="L3027" s="106"/>
      <c r="M3027" s="129"/>
    </row>
    <row r="3028" spans="1:13" s="105" customFormat="1">
      <c r="A3028" s="193" t="s">
        <v>500</v>
      </c>
      <c r="B3028" s="210">
        <v>16</v>
      </c>
      <c r="C3028" s="191" t="str">
        <f>IF('IWP02'!E$602=0,"",'IWP02'!E$602)</f>
        <v/>
      </c>
      <c r="D3028" s="211">
        <f>'IWP02'!G$602</f>
        <v>0</v>
      </c>
      <c r="E3028" s="211">
        <f>'IWP02'!H$602</f>
        <v>0</v>
      </c>
      <c r="F3028" s="211">
        <f>'IWP02'!I$602</f>
        <v>0</v>
      </c>
      <c r="G3028" s="191" t="str">
        <f>IF('IWP02'!J$602=0,"",'IWP02'!J$602)</f>
        <v/>
      </c>
      <c r="H3028" s="211">
        <f>'IWP02'!K$602</f>
        <v>0</v>
      </c>
      <c r="I3028" s="211">
        <f>'IWP02'!L$602</f>
        <v>0</v>
      </c>
      <c r="J3028" s="212">
        <f>'IWP02'!M$602</f>
        <v>0</v>
      </c>
      <c r="K3028" s="106"/>
      <c r="L3028" s="106"/>
      <c r="M3028" s="129"/>
    </row>
    <row r="3029" spans="1:13" s="105" customFormat="1">
      <c r="A3029" s="193" t="s">
        <v>500</v>
      </c>
      <c r="B3029" s="210">
        <v>16</v>
      </c>
      <c r="C3029" s="191" t="str">
        <f>IF('IWP02'!E$603=0,"",'IWP02'!E$603)</f>
        <v/>
      </c>
      <c r="D3029" s="211">
        <f>'IWP02'!G$603</f>
        <v>0</v>
      </c>
      <c r="E3029" s="211">
        <f>'IWP02'!H$603</f>
        <v>0</v>
      </c>
      <c r="F3029" s="211">
        <f>'IWP02'!I$603</f>
        <v>0</v>
      </c>
      <c r="G3029" s="191" t="str">
        <f>IF('IWP02'!J$603=0,"",'IWP02'!J$603)</f>
        <v/>
      </c>
      <c r="H3029" s="211">
        <f>'IWP02'!K$603</f>
        <v>0</v>
      </c>
      <c r="I3029" s="211">
        <f>'IWP02'!L$603</f>
        <v>0</v>
      </c>
      <c r="J3029" s="212">
        <f>'IWP02'!M$603</f>
        <v>0</v>
      </c>
      <c r="K3029" s="106"/>
      <c r="L3029" s="106"/>
      <c r="M3029" s="129"/>
    </row>
    <row r="3030" spans="1:13" s="105" customFormat="1">
      <c r="A3030" s="193" t="s">
        <v>500</v>
      </c>
      <c r="B3030" s="210">
        <v>16</v>
      </c>
      <c r="C3030" s="191" t="str">
        <f>IF('IWP02'!E$604=0,"",'IWP02'!E$604)</f>
        <v/>
      </c>
      <c r="D3030" s="211">
        <f>'IWP02'!G$604</f>
        <v>0</v>
      </c>
      <c r="E3030" s="211">
        <f>'IWP02'!H$604</f>
        <v>0</v>
      </c>
      <c r="F3030" s="211">
        <f>'IWP02'!I$604</f>
        <v>0</v>
      </c>
      <c r="G3030" s="191" t="str">
        <f>IF('IWP02'!J$604=0,"",'IWP02'!J$604)</f>
        <v/>
      </c>
      <c r="H3030" s="211">
        <f>'IWP02'!K$604</f>
        <v>0</v>
      </c>
      <c r="I3030" s="211">
        <f>'IWP02'!L$604</f>
        <v>0</v>
      </c>
      <c r="J3030" s="212">
        <f>'IWP02'!M$604</f>
        <v>0</v>
      </c>
      <c r="K3030" s="106"/>
      <c r="L3030" s="106"/>
      <c r="M3030" s="129"/>
    </row>
    <row r="3031" spans="1:13" s="105" customFormat="1">
      <c r="A3031" s="193" t="s">
        <v>500</v>
      </c>
      <c r="B3031" s="210">
        <v>17</v>
      </c>
      <c r="C3031" s="191" t="str">
        <f>IF('IWP02'!E$611=0,"",'IWP02'!E$611)</f>
        <v>Subtotal column D.</v>
      </c>
      <c r="D3031" s="211">
        <f>'IWP02'!G$611</f>
        <v>0</v>
      </c>
      <c r="E3031" s="211">
        <f>'IWP02'!H$611</f>
        <v>0</v>
      </c>
      <c r="F3031" s="211">
        <f>'IWP02'!I$611</f>
        <v>0</v>
      </c>
      <c r="G3031" s="191" t="str">
        <f>IF('IWP02'!J$611=0,"",'IWP02'!J$611)</f>
        <v/>
      </c>
      <c r="H3031" s="211">
        <f>'IWP02'!K$611</f>
        <v>0</v>
      </c>
      <c r="I3031" s="211">
        <f>'IWP02'!L$611</f>
        <v>0</v>
      </c>
      <c r="J3031" s="212">
        <f>'IWP02'!M$611</f>
        <v>0</v>
      </c>
      <c r="K3031" s="106"/>
      <c r="L3031" s="106"/>
      <c r="M3031" s="129"/>
    </row>
    <row r="3032" spans="1:13" s="105" customFormat="1">
      <c r="A3032" s="193" t="s">
        <v>500</v>
      </c>
      <c r="B3032" s="210">
        <v>17</v>
      </c>
      <c r="C3032" s="191" t="str">
        <f>IF('IWP02'!E$612=0,"",'IWP02'!E$612)</f>
        <v>Unverified/Undocumented (Subtotal D - C)</v>
      </c>
      <c r="D3032" s="211">
        <f>'IWP02'!G$612</f>
        <v>0</v>
      </c>
      <c r="E3032" s="211">
        <f>'IWP02'!H$612</f>
        <v>0</v>
      </c>
      <c r="F3032" s="211">
        <f>'IWP02'!I$612</f>
        <v>0</v>
      </c>
      <c r="G3032" s="191" t="str">
        <f>IF('IWP02'!J$612=0,"",'IWP02'!J$612)</f>
        <v/>
      </c>
      <c r="H3032" s="211">
        <f>'IWP02'!K$612</f>
        <v>0</v>
      </c>
      <c r="I3032" s="211">
        <f>'IWP02'!L$612</f>
        <v>0</v>
      </c>
      <c r="J3032" s="212">
        <f>'IWP02'!M$612</f>
        <v>0</v>
      </c>
      <c r="K3032" s="106"/>
      <c r="L3032" s="106"/>
      <c r="M3032" s="129"/>
    </row>
    <row r="3033" spans="1:13" s="105" customFormat="1">
      <c r="A3033" s="193" t="s">
        <v>500</v>
      </c>
      <c r="B3033" s="210">
        <v>17</v>
      </c>
      <c r="C3033" s="191" t="str">
        <f>IF('IWP02'!E$613=0,"",'IWP02'!E$613)</f>
        <v>J. Billing Period Total</v>
      </c>
      <c r="D3033" s="211">
        <f>'IWP02'!G$613</f>
        <v>0</v>
      </c>
      <c r="E3033" s="211">
        <f>'IWP02'!H$613</f>
        <v>0</v>
      </c>
      <c r="F3033" s="211">
        <f>'IWP02'!I$613</f>
        <v>0</v>
      </c>
      <c r="G3033" s="191" t="str">
        <f>IF('IWP02'!J$613=0,"",'IWP02'!J$613)</f>
        <v/>
      </c>
      <c r="H3033" s="211">
        <f>'IWP02'!K$613</f>
        <v>0</v>
      </c>
      <c r="I3033" s="211">
        <f>'IWP02'!L$613</f>
        <v>0</v>
      </c>
      <c r="J3033" s="212">
        <f>'IWP02'!M$613</f>
        <v>0</v>
      </c>
      <c r="K3033" s="106"/>
      <c r="L3033" s="106"/>
      <c r="M3033" s="129"/>
    </row>
    <row r="3034" spans="1:13" s="105" customFormat="1">
      <c r="A3034" s="193" t="s">
        <v>500</v>
      </c>
      <c r="B3034" s="210">
        <v>17</v>
      </c>
      <c r="C3034" s="191" t="str">
        <f>IF('IWP02'!E$614=0,"",'IWP02'!E$614)</f>
        <v/>
      </c>
      <c r="D3034" s="211">
        <f>'IWP02'!G$614</f>
        <v>0</v>
      </c>
      <c r="E3034" s="211">
        <f>'IWP02'!H$614</f>
        <v>0</v>
      </c>
      <c r="F3034" s="211">
        <f>'IWP02'!I$614</f>
        <v>0</v>
      </c>
      <c r="G3034" s="191" t="str">
        <f>IF('IWP02'!J$614=0,"",'IWP02'!J$614)</f>
        <v/>
      </c>
      <c r="H3034" s="211">
        <f>'IWP02'!K$614</f>
        <v>0</v>
      </c>
      <c r="I3034" s="211">
        <f>'IWP02'!L$614</f>
        <v>0</v>
      </c>
      <c r="J3034" s="212">
        <f>'IWP02'!M$614</f>
        <v>0</v>
      </c>
      <c r="K3034" s="106"/>
      <c r="L3034" s="106"/>
      <c r="M3034" s="129"/>
    </row>
    <row r="3035" spans="1:13" s="105" customFormat="1">
      <c r="A3035" s="193" t="s">
        <v>500</v>
      </c>
      <c r="B3035" s="210">
        <v>17</v>
      </c>
      <c r="C3035" s="191" t="str">
        <f>IF('IWP02'!E$615=0,"",'IWP02'!E$615)</f>
        <v/>
      </c>
      <c r="D3035" s="211">
        <f>'IWP02'!G$615</f>
        <v>0</v>
      </c>
      <c r="E3035" s="211">
        <f>'IWP02'!H$615</f>
        <v>0</v>
      </c>
      <c r="F3035" s="211">
        <f>'IWP02'!I$615</f>
        <v>0</v>
      </c>
      <c r="G3035" s="191" t="str">
        <f>IF('IWP02'!J$615=0,"",'IWP02'!J$615)</f>
        <v/>
      </c>
      <c r="H3035" s="211">
        <f>'IWP02'!K$615</f>
        <v>0</v>
      </c>
      <c r="I3035" s="211">
        <f>'IWP02'!L$615</f>
        <v>0</v>
      </c>
      <c r="J3035" s="212">
        <f>'IWP02'!M$615</f>
        <v>0</v>
      </c>
      <c r="K3035" s="106"/>
      <c r="L3035" s="106"/>
      <c r="M3035" s="129"/>
    </row>
    <row r="3036" spans="1:13" s="105" customFormat="1">
      <c r="A3036" s="193" t="s">
        <v>500</v>
      </c>
      <c r="B3036" s="210">
        <v>17</v>
      </c>
      <c r="C3036" s="191" t="str">
        <f>IF('IWP02'!E$616=0,"",'IWP02'!E$616)</f>
        <v/>
      </c>
      <c r="D3036" s="211">
        <f>'IWP02'!G$616</f>
        <v>0</v>
      </c>
      <c r="E3036" s="211">
        <f>'IWP02'!H$616</f>
        <v>0</v>
      </c>
      <c r="F3036" s="211">
        <f>'IWP02'!I$616</f>
        <v>0</v>
      </c>
      <c r="G3036" s="191" t="str">
        <f>IF('IWP02'!J$616=0,"",'IWP02'!J$616)</f>
        <v/>
      </c>
      <c r="H3036" s="211">
        <f>'IWP02'!K$616</f>
        <v>0</v>
      </c>
      <c r="I3036" s="211">
        <f>'IWP02'!L$616</f>
        <v>0</v>
      </c>
      <c r="J3036" s="212">
        <f>'IWP02'!M$616</f>
        <v>0</v>
      </c>
      <c r="K3036" s="106"/>
      <c r="L3036" s="106"/>
      <c r="M3036" s="129"/>
    </row>
    <row r="3037" spans="1:13" s="105" customFormat="1">
      <c r="A3037" s="193" t="s">
        <v>500</v>
      </c>
      <c r="B3037" s="210">
        <v>17</v>
      </c>
      <c r="C3037" s="191" t="str">
        <f>IF('IWP02'!E$617=0,"",'IWP02'!E$617)</f>
        <v/>
      </c>
      <c r="D3037" s="211">
        <f>'IWP02'!G$617</f>
        <v>0</v>
      </c>
      <c r="E3037" s="211">
        <f>'IWP02'!H$617</f>
        <v>0</v>
      </c>
      <c r="F3037" s="211">
        <f>'IWP02'!I$617</f>
        <v>0</v>
      </c>
      <c r="G3037" s="191" t="str">
        <f>IF('IWP02'!J$617=0,"",'IWP02'!J$617)</f>
        <v/>
      </c>
      <c r="H3037" s="211">
        <f>'IWP02'!K$617</f>
        <v>0</v>
      </c>
      <c r="I3037" s="211">
        <f>'IWP02'!L$617</f>
        <v>0</v>
      </c>
      <c r="J3037" s="212">
        <f>'IWP02'!M$617</f>
        <v>0</v>
      </c>
      <c r="K3037" s="106"/>
      <c r="L3037" s="106"/>
      <c r="M3037" s="129"/>
    </row>
    <row r="3038" spans="1:13" s="105" customFormat="1">
      <c r="A3038" s="193" t="s">
        <v>500</v>
      </c>
      <c r="B3038" s="210">
        <v>17</v>
      </c>
      <c r="C3038" s="191" t="str">
        <f>IF('IWP02'!E$618=0,"",'IWP02'!E$618)</f>
        <v/>
      </c>
      <c r="D3038" s="211">
        <f>'IWP02'!G$618</f>
        <v>0</v>
      </c>
      <c r="E3038" s="211">
        <f>'IWP02'!H$618</f>
        <v>0</v>
      </c>
      <c r="F3038" s="211">
        <f>'IWP02'!I$618</f>
        <v>0</v>
      </c>
      <c r="G3038" s="191" t="str">
        <f>IF('IWP02'!J$618=0,"",'IWP02'!J$618)</f>
        <v/>
      </c>
      <c r="H3038" s="211">
        <f>'IWP02'!K$618</f>
        <v>0</v>
      </c>
      <c r="I3038" s="211">
        <f>'IWP02'!L$618</f>
        <v>0</v>
      </c>
      <c r="J3038" s="212">
        <f>'IWP02'!M$618</f>
        <v>0</v>
      </c>
      <c r="K3038" s="106"/>
      <c r="L3038" s="106"/>
      <c r="M3038" s="129"/>
    </row>
    <row r="3039" spans="1:13" s="105" customFormat="1">
      <c r="A3039" s="193" t="s">
        <v>500</v>
      </c>
      <c r="B3039" s="210">
        <v>17</v>
      </c>
      <c r="C3039" s="191" t="str">
        <f>IF('IWP02'!E$619=0,"",'IWP02'!E$619)</f>
        <v/>
      </c>
      <c r="D3039" s="211">
        <f>'IWP02'!G$619</f>
        <v>0</v>
      </c>
      <c r="E3039" s="211">
        <f>'IWP02'!H$619</f>
        <v>0</v>
      </c>
      <c r="F3039" s="211">
        <f>'IWP02'!I$619</f>
        <v>0</v>
      </c>
      <c r="G3039" s="191" t="str">
        <f>IF('IWP02'!J$619=0,"",'IWP02'!J$619)</f>
        <v/>
      </c>
      <c r="H3039" s="211">
        <f>'IWP02'!K$619</f>
        <v>0</v>
      </c>
      <c r="I3039" s="211">
        <f>'IWP02'!L$619</f>
        <v>0</v>
      </c>
      <c r="J3039" s="212">
        <f>'IWP02'!M$619</f>
        <v>0</v>
      </c>
      <c r="K3039" s="106"/>
      <c r="L3039" s="106"/>
      <c r="M3039" s="129"/>
    </row>
    <row r="3040" spans="1:13" s="105" customFormat="1">
      <c r="A3040" s="193" t="s">
        <v>500</v>
      </c>
      <c r="B3040" s="210">
        <v>17</v>
      </c>
      <c r="C3040" s="191" t="str">
        <f>IF('IWP02'!E$620=0,"",'IWP02'!E$620)</f>
        <v/>
      </c>
      <c r="D3040" s="211">
        <f>'IWP02'!G$620</f>
        <v>0</v>
      </c>
      <c r="E3040" s="211">
        <f>'IWP02'!H$620</f>
        <v>0</v>
      </c>
      <c r="F3040" s="211">
        <f>'IWP02'!I$620</f>
        <v>0</v>
      </c>
      <c r="G3040" s="191" t="str">
        <f>IF('IWP02'!J$620=0,"",'IWP02'!J$620)</f>
        <v/>
      </c>
      <c r="H3040" s="211">
        <f>'IWP02'!K$620</f>
        <v>0</v>
      </c>
      <c r="I3040" s="211">
        <f>'IWP02'!L$620</f>
        <v>0</v>
      </c>
      <c r="J3040" s="212">
        <f>'IWP02'!M$620</f>
        <v>0</v>
      </c>
      <c r="K3040" s="106"/>
      <c r="L3040" s="106"/>
      <c r="M3040" s="129"/>
    </row>
    <row r="3041" spans="1:13" s="105" customFormat="1">
      <c r="A3041" s="193" t="s">
        <v>500</v>
      </c>
      <c r="B3041" s="210">
        <v>18</v>
      </c>
      <c r="C3041" s="191" t="str">
        <f>IF('IWP02'!E$627=0,"",'IWP02'!E$627)</f>
        <v/>
      </c>
      <c r="D3041" s="211">
        <f>'IWP02'!G$627</f>
        <v>0</v>
      </c>
      <c r="E3041" s="211">
        <f>'IWP02'!H$627</f>
        <v>0</v>
      </c>
      <c r="F3041" s="211">
        <f>'IWP02'!I$627</f>
        <v>0</v>
      </c>
      <c r="G3041" s="191" t="str">
        <f>IF('IWP02'!J$627=0,"",'IWP02'!J$627)</f>
        <v/>
      </c>
      <c r="H3041" s="211">
        <f>'IWP02'!K$627</f>
        <v>0</v>
      </c>
      <c r="I3041" s="211">
        <f>'IWP02'!L$627</f>
        <v>0</v>
      </c>
      <c r="J3041" s="212">
        <f>'IWP02'!M$627</f>
        <v>0</v>
      </c>
      <c r="K3041" s="106"/>
      <c r="L3041" s="106"/>
      <c r="M3041" s="129"/>
    </row>
    <row r="3042" spans="1:13" s="105" customFormat="1">
      <c r="A3042" s="193" t="s">
        <v>500</v>
      </c>
      <c r="B3042" s="210">
        <v>18</v>
      </c>
      <c r="C3042" s="191" t="str">
        <f>IF('IWP02'!E$628=0,"",'IWP02'!E$628)</f>
        <v/>
      </c>
      <c r="D3042" s="211">
        <f>'IWP02'!G$628</f>
        <v>0</v>
      </c>
      <c r="E3042" s="211">
        <f>'IWP02'!H$628</f>
        <v>0</v>
      </c>
      <c r="F3042" s="211">
        <f>'IWP02'!I$628</f>
        <v>0</v>
      </c>
      <c r="G3042" s="191" t="str">
        <f>IF('IWP02'!J$628=0,"",'IWP02'!J$628)</f>
        <v/>
      </c>
      <c r="H3042" s="211">
        <f>'IWP02'!K$628</f>
        <v>0</v>
      </c>
      <c r="I3042" s="211">
        <f>'IWP02'!L$628</f>
        <v>0</v>
      </c>
      <c r="J3042" s="212">
        <f>'IWP02'!M$628</f>
        <v>0</v>
      </c>
      <c r="K3042" s="106"/>
      <c r="L3042" s="106"/>
      <c r="M3042" s="129"/>
    </row>
    <row r="3043" spans="1:13" s="105" customFormat="1">
      <c r="A3043" s="193" t="s">
        <v>500</v>
      </c>
      <c r="B3043" s="210">
        <v>18</v>
      </c>
      <c r="C3043" s="191" t="str">
        <f>IF('IWP02'!E$629=0,"",'IWP02'!E$629)</f>
        <v/>
      </c>
      <c r="D3043" s="211">
        <f>'IWP02'!G$629</f>
        <v>0</v>
      </c>
      <c r="E3043" s="211">
        <f>'IWP02'!H$629</f>
        <v>0</v>
      </c>
      <c r="F3043" s="211">
        <f>'IWP02'!I$629</f>
        <v>0</v>
      </c>
      <c r="G3043" s="191" t="str">
        <f>IF('IWP02'!J$629=0,"",'IWP02'!J$629)</f>
        <v/>
      </c>
      <c r="H3043" s="211">
        <f>'IWP02'!K$629</f>
        <v>0</v>
      </c>
      <c r="I3043" s="211">
        <f>'IWP02'!L$629</f>
        <v>0</v>
      </c>
      <c r="J3043" s="212">
        <f>'IWP02'!M$629</f>
        <v>0</v>
      </c>
      <c r="K3043" s="106"/>
      <c r="L3043" s="106"/>
      <c r="M3043" s="129"/>
    </row>
    <row r="3044" spans="1:13" s="105" customFormat="1">
      <c r="A3044" s="193" t="s">
        <v>500</v>
      </c>
      <c r="B3044" s="210">
        <v>18</v>
      </c>
      <c r="C3044" s="191" t="str">
        <f>IF('IWP02'!E$630=0,"",'IWP02'!E$630)</f>
        <v/>
      </c>
      <c r="D3044" s="211">
        <f>'IWP02'!G$630</f>
        <v>0</v>
      </c>
      <c r="E3044" s="211">
        <f>'IWP02'!H$630</f>
        <v>0</v>
      </c>
      <c r="F3044" s="211">
        <f>'IWP02'!I$630</f>
        <v>0</v>
      </c>
      <c r="G3044" s="191" t="str">
        <f>IF('IWP02'!J$630=0,"",'IWP02'!J$630)</f>
        <v/>
      </c>
      <c r="H3044" s="211">
        <f>'IWP02'!K$630</f>
        <v>0</v>
      </c>
      <c r="I3044" s="211">
        <f>'IWP02'!L$630</f>
        <v>0</v>
      </c>
      <c r="J3044" s="212">
        <f>'IWP02'!M$630</f>
        <v>0</v>
      </c>
      <c r="K3044" s="106"/>
      <c r="L3044" s="106"/>
      <c r="M3044" s="129"/>
    </row>
    <row r="3045" spans="1:13" s="105" customFormat="1">
      <c r="A3045" s="193" t="s">
        <v>500</v>
      </c>
      <c r="B3045" s="210">
        <v>18</v>
      </c>
      <c r="C3045" s="191" t="str">
        <f>IF('IWP02'!E$631=0,"",'IWP02'!E$631)</f>
        <v/>
      </c>
      <c r="D3045" s="211">
        <f>'IWP02'!G$631</f>
        <v>0</v>
      </c>
      <c r="E3045" s="211">
        <f>'IWP02'!H$631</f>
        <v>0</v>
      </c>
      <c r="F3045" s="211">
        <f>'IWP02'!I$631</f>
        <v>0</v>
      </c>
      <c r="G3045" s="191" t="str">
        <f>IF('IWP02'!J$631=0,"",'IWP02'!J$631)</f>
        <v/>
      </c>
      <c r="H3045" s="211">
        <f>'IWP02'!K$631</f>
        <v>0</v>
      </c>
      <c r="I3045" s="211">
        <f>'IWP02'!L$631</f>
        <v>0</v>
      </c>
      <c r="J3045" s="212">
        <f>'IWP02'!M$631</f>
        <v>0</v>
      </c>
      <c r="K3045" s="106"/>
      <c r="L3045" s="106"/>
      <c r="M3045" s="129"/>
    </row>
    <row r="3046" spans="1:13" s="105" customFormat="1">
      <c r="A3046" s="193" t="s">
        <v>500</v>
      </c>
      <c r="B3046" s="210">
        <v>18</v>
      </c>
      <c r="C3046" s="191" t="str">
        <f>IF('IWP02'!E$632=0,"",'IWP02'!E$632)</f>
        <v/>
      </c>
      <c r="D3046" s="211">
        <f>'IWP02'!G$632</f>
        <v>0</v>
      </c>
      <c r="E3046" s="211">
        <f>'IWP02'!H$632</f>
        <v>0</v>
      </c>
      <c r="F3046" s="211">
        <f>'IWP02'!I$632</f>
        <v>0</v>
      </c>
      <c r="G3046" s="191" t="str">
        <f>IF('IWP02'!J$632=0,"",'IWP02'!J$632)</f>
        <v/>
      </c>
      <c r="H3046" s="211">
        <f>'IWP02'!K$632</f>
        <v>0</v>
      </c>
      <c r="I3046" s="211">
        <f>'IWP02'!L$632</f>
        <v>0</v>
      </c>
      <c r="J3046" s="212">
        <f>'IWP02'!M$632</f>
        <v>0</v>
      </c>
      <c r="K3046" s="106"/>
      <c r="L3046" s="106"/>
      <c r="M3046" s="129"/>
    </row>
    <row r="3047" spans="1:13" s="105" customFormat="1">
      <c r="A3047" s="193" t="s">
        <v>500</v>
      </c>
      <c r="B3047" s="210">
        <v>18</v>
      </c>
      <c r="C3047" s="191" t="str">
        <f>IF('IWP02'!E$633=0,"",'IWP02'!E$633)</f>
        <v/>
      </c>
      <c r="D3047" s="211">
        <f>'IWP02'!G$633</f>
        <v>0</v>
      </c>
      <c r="E3047" s="211">
        <f>'IWP02'!H$633</f>
        <v>0</v>
      </c>
      <c r="F3047" s="211">
        <f>'IWP02'!I$633</f>
        <v>0</v>
      </c>
      <c r="G3047" s="191" t="str">
        <f>IF('IWP02'!J$633=0,"",'IWP02'!J$633)</f>
        <v/>
      </c>
      <c r="H3047" s="211">
        <f>'IWP02'!K$633</f>
        <v>0</v>
      </c>
      <c r="I3047" s="211">
        <f>'IWP02'!L$633</f>
        <v>0</v>
      </c>
      <c r="J3047" s="212">
        <f>'IWP02'!M$633</f>
        <v>0</v>
      </c>
      <c r="K3047" s="106"/>
      <c r="L3047" s="106"/>
      <c r="M3047" s="129"/>
    </row>
    <row r="3048" spans="1:13" s="105" customFormat="1">
      <c r="A3048" s="193" t="s">
        <v>500</v>
      </c>
      <c r="B3048" s="210">
        <v>18</v>
      </c>
      <c r="C3048" s="191" t="str">
        <f>IF('IWP02'!E$634=0,"",'IWP02'!E$634)</f>
        <v/>
      </c>
      <c r="D3048" s="211">
        <f>'IWP02'!G$634</f>
        <v>0</v>
      </c>
      <c r="E3048" s="211">
        <f>'IWP02'!H$634</f>
        <v>0</v>
      </c>
      <c r="F3048" s="211">
        <f>'IWP02'!I$634</f>
        <v>0</v>
      </c>
      <c r="G3048" s="191" t="str">
        <f>IF('IWP02'!J$634=0,"",'IWP02'!J$634)</f>
        <v/>
      </c>
      <c r="H3048" s="211">
        <f>'IWP02'!K$634</f>
        <v>0</v>
      </c>
      <c r="I3048" s="211">
        <f>'IWP02'!L$634</f>
        <v>0</v>
      </c>
      <c r="J3048" s="212">
        <f>'IWP02'!M$634</f>
        <v>0</v>
      </c>
      <c r="K3048" s="106"/>
      <c r="L3048" s="106"/>
      <c r="M3048" s="129"/>
    </row>
    <row r="3049" spans="1:13" s="105" customFormat="1">
      <c r="A3049" s="193" t="s">
        <v>500</v>
      </c>
      <c r="B3049" s="210">
        <v>18</v>
      </c>
      <c r="C3049" s="191" t="str">
        <f>IF('IWP02'!E$635=0,"",'IWP02'!E$635)</f>
        <v/>
      </c>
      <c r="D3049" s="211">
        <f>'IWP02'!G$635</f>
        <v>0</v>
      </c>
      <c r="E3049" s="211">
        <f>'IWP02'!H$635</f>
        <v>0</v>
      </c>
      <c r="F3049" s="211">
        <f>'IWP02'!I$635</f>
        <v>0</v>
      </c>
      <c r="G3049" s="191" t="str">
        <f>IF('IWP02'!J$635=0,"",'IWP02'!J$635)</f>
        <v/>
      </c>
      <c r="H3049" s="211">
        <f>'IWP02'!K$635</f>
        <v>0</v>
      </c>
      <c r="I3049" s="211">
        <f>'IWP02'!L$635</f>
        <v>0</v>
      </c>
      <c r="J3049" s="212">
        <f>'IWP02'!M$635</f>
        <v>0</v>
      </c>
      <c r="K3049" s="106"/>
      <c r="L3049" s="106"/>
      <c r="M3049" s="129"/>
    </row>
    <row r="3050" spans="1:13" s="105" customFormat="1">
      <c r="A3050" s="193" t="s">
        <v>500</v>
      </c>
      <c r="B3050" s="210">
        <v>18</v>
      </c>
      <c r="C3050" s="191" t="str">
        <f>IF('IWP02'!E$636=0,"",'IWP02'!E$636)</f>
        <v/>
      </c>
      <c r="D3050" s="211">
        <f>'IWP02'!G$636</f>
        <v>0</v>
      </c>
      <c r="E3050" s="211">
        <f>'IWP02'!H$636</f>
        <v>0</v>
      </c>
      <c r="F3050" s="211">
        <f>'IWP02'!I$636</f>
        <v>0</v>
      </c>
      <c r="G3050" s="191" t="str">
        <f>IF('IWP02'!J$636=0,"",'IWP02'!J$636)</f>
        <v/>
      </c>
      <c r="H3050" s="211">
        <f>'IWP02'!K$636</f>
        <v>0</v>
      </c>
      <c r="I3050" s="211">
        <f>'IWP02'!L$636</f>
        <v>0</v>
      </c>
      <c r="J3050" s="212">
        <f>'IWP02'!M$636</f>
        <v>0</v>
      </c>
      <c r="K3050" s="106"/>
      <c r="L3050" s="106"/>
      <c r="M3050" s="129"/>
    </row>
    <row r="3051" spans="1:13" s="105" customFormat="1">
      <c r="A3051" s="193" t="s">
        <v>501</v>
      </c>
      <c r="B3051" s="210">
        <v>1</v>
      </c>
      <c r="C3051" s="191" t="str">
        <f>IF('IWP03'!E$355=0,"",'IWP03'!E$355)</f>
        <v>Subtotal column D.</v>
      </c>
      <c r="D3051" s="211">
        <f>'IWP03'!G$355</f>
        <v>0</v>
      </c>
      <c r="E3051" s="211">
        <f>'IWP03'!H$355</f>
        <v>0</v>
      </c>
      <c r="F3051" s="211">
        <f>'IWP03'!I$355</f>
        <v>0</v>
      </c>
      <c r="G3051" s="191" t="str">
        <f>IF('IWP03'!J$355=0,"",'IWP03'!J$355)</f>
        <v/>
      </c>
      <c r="H3051" s="211">
        <f>'IWP03'!K$355</f>
        <v>0</v>
      </c>
      <c r="I3051" s="211">
        <f>'IWP03'!L$355</f>
        <v>0</v>
      </c>
      <c r="J3051" s="212">
        <f>'IWP03'!M$355</f>
        <v>0</v>
      </c>
      <c r="K3051" s="106"/>
      <c r="L3051" s="106"/>
      <c r="M3051" s="129"/>
    </row>
    <row r="3052" spans="1:13" s="105" customFormat="1">
      <c r="A3052" s="193" t="s">
        <v>501</v>
      </c>
      <c r="B3052" s="210">
        <v>1</v>
      </c>
      <c r="C3052" s="191" t="str">
        <f>IF('IWP03'!E$356=0,"",'IWP03'!E$356)</f>
        <v>Unverified/Undocumented (Subtotall D - C)</v>
      </c>
      <c r="D3052" s="211">
        <f>'IWP03'!G$356</f>
        <v>0</v>
      </c>
      <c r="E3052" s="211">
        <f>'IWP03'!H$356</f>
        <v>0</v>
      </c>
      <c r="F3052" s="211">
        <f>'IWP03'!I$356</f>
        <v>0</v>
      </c>
      <c r="G3052" s="191" t="str">
        <f>IF('IWP03'!J$356=0,"",'IWP03'!J$356)</f>
        <v/>
      </c>
      <c r="H3052" s="211">
        <f>'IWP03'!K$356</f>
        <v>0</v>
      </c>
      <c r="I3052" s="211">
        <f>'IWP03'!L$356</f>
        <v>0</v>
      </c>
      <c r="J3052" s="212">
        <f>'IWP03'!M$356</f>
        <v>0</v>
      </c>
      <c r="K3052" s="106"/>
      <c r="L3052" s="106"/>
      <c r="M3052" s="129"/>
    </row>
    <row r="3053" spans="1:13" s="105" customFormat="1">
      <c r="A3053" s="193" t="s">
        <v>501</v>
      </c>
      <c r="B3053" s="210">
        <v>1</v>
      </c>
      <c r="C3053" s="191" t="str">
        <f>IF('IWP03'!E$357=0,"",'IWP03'!E$357)</f>
        <v>J. Billing Period Total</v>
      </c>
      <c r="D3053" s="211">
        <f>'IWP03'!G$357</f>
        <v>0</v>
      </c>
      <c r="E3053" s="211">
        <f>'IWP03'!H$357</f>
        <v>0</v>
      </c>
      <c r="F3053" s="211">
        <f>'IWP03'!I$357</f>
        <v>0</v>
      </c>
      <c r="G3053" s="191" t="str">
        <f>IF('IWP03'!J$357=0,"",'IWP03'!J$357)</f>
        <v/>
      </c>
      <c r="H3053" s="211">
        <f>'IWP03'!K$357</f>
        <v>0</v>
      </c>
      <c r="I3053" s="211">
        <f>'IWP03'!L$357</f>
        <v>0</v>
      </c>
      <c r="J3053" s="212">
        <f>'IWP03'!M$357</f>
        <v>0</v>
      </c>
      <c r="K3053" s="106"/>
      <c r="L3053" s="106"/>
      <c r="M3053" s="129"/>
    </row>
    <row r="3054" spans="1:13" s="105" customFormat="1">
      <c r="A3054" s="193" t="s">
        <v>501</v>
      </c>
      <c r="B3054" s="210">
        <v>1</v>
      </c>
      <c r="C3054" s="191" t="str">
        <f>IF('IWP03'!E$358=0,"",'IWP03'!E$358)</f>
        <v>D.</v>
      </c>
      <c r="D3054" s="211">
        <f>'IWP03'!G$358</f>
        <v>0</v>
      </c>
      <c r="E3054" s="211" t="str">
        <f>'IWP03'!H$358</f>
        <v>E.</v>
      </c>
      <c r="F3054" s="211" t="str">
        <f>'IWP03'!I$358</f>
        <v>F.</v>
      </c>
      <c r="G3054" s="191" t="str">
        <f>IF('IWP03'!J$358=0,"",'IWP03'!J$358)</f>
        <v>G.</v>
      </c>
      <c r="H3054" s="211">
        <f>'IWP03'!K$358</f>
        <v>0</v>
      </c>
      <c r="I3054" s="211" t="str">
        <f>'IWP03'!L$358</f>
        <v>H.</v>
      </c>
      <c r="J3054" s="212" t="str">
        <f>'IWP03'!M$358</f>
        <v>I.</v>
      </c>
      <c r="K3054" s="106"/>
      <c r="L3054" s="106"/>
      <c r="M3054" s="129"/>
    </row>
    <row r="3055" spans="1:13" s="105" customFormat="1">
      <c r="A3055" s="193" t="s">
        <v>501</v>
      </c>
      <c r="B3055" s="210">
        <v>1</v>
      </c>
      <c r="C3055" s="191" t="str">
        <f>IF('IWP03'!E$359=0,"",'IWP03'!E$359)</f>
        <v xml:space="preserve">Items/Services Related to Billing Period </v>
      </c>
      <c r="D3055" s="211">
        <f>'IWP03'!G$359</f>
        <v>0</v>
      </c>
      <c r="E3055" s="211" t="str">
        <f>'IWP03'!H$359</f>
        <v xml:space="preserve">Item/
Service Verified Amounts
</v>
      </c>
      <c r="F3055" s="211" t="str">
        <f>'IWP03'!I$359</f>
        <v>Amount Due to DADS (E. - D.)</v>
      </c>
      <c r="G3055" s="191" t="str">
        <f>IF('IWP03'!J$359=0,"",'IWP03'!J$359)</f>
        <v>Amount Reimbursed to 
Employee(s)/Employer</v>
      </c>
      <c r="H3055" s="211">
        <f>'IWP03'!K$359</f>
        <v>0</v>
      </c>
      <c r="I3055" s="211" t="str">
        <f>'IWP03'!L$359</f>
        <v>Amount Due to Employee(s) (G. - E.)</v>
      </c>
      <c r="J3055" s="212" t="str">
        <f>'IWP03'!M$359</f>
        <v>Amount Due to Employer (G. - E.)</v>
      </c>
      <c r="K3055" s="106"/>
      <c r="L3055" s="106"/>
      <c r="M3055" s="129"/>
    </row>
    <row r="3056" spans="1:13" s="105" customFormat="1">
      <c r="A3056" s="193" t="s">
        <v>501</v>
      </c>
      <c r="B3056" s="210">
        <v>1</v>
      </c>
      <c r="C3056" s="191" t="str">
        <f>IF('IWP03'!E$360=0,"",'IWP03'!E$360)</f>
        <v>Item/Service</v>
      </c>
      <c r="D3056" s="211" t="str">
        <f>'IWP03'!G$360</f>
        <v>Itemized Amount Paid by DADS</v>
      </c>
      <c r="E3056" s="211">
        <f>'IWP03'!H$360</f>
        <v>0</v>
      </c>
      <c r="F3056" s="211">
        <f>'IWP03'!I$360</f>
        <v>0</v>
      </c>
      <c r="G3056" s="191" t="str">
        <f>IF('IWP03'!J$360=0,"",'IWP03'!J$360)</f>
        <v/>
      </c>
      <c r="H3056" s="211">
        <f>'IWP03'!K$360</f>
        <v>0</v>
      </c>
      <c r="I3056" s="211">
        <f>'IWP03'!L$360</f>
        <v>0</v>
      </c>
      <c r="J3056" s="212">
        <f>'IWP03'!M$360</f>
        <v>0</v>
      </c>
      <c r="K3056" s="106"/>
      <c r="L3056" s="106"/>
      <c r="M3056" s="129"/>
    </row>
    <row r="3057" spans="1:13" s="105" customFormat="1">
      <c r="A3057" s="193" t="s">
        <v>501</v>
      </c>
      <c r="B3057" s="210">
        <v>1</v>
      </c>
      <c r="C3057" s="191" t="str">
        <f>IF('IWP03'!E$361=0,"",'IWP03'!E$361)</f>
        <v/>
      </c>
      <c r="D3057" s="211">
        <f>'IWP03'!G$361</f>
        <v>0</v>
      </c>
      <c r="E3057" s="211">
        <f>'IWP03'!H$361</f>
        <v>0</v>
      </c>
      <c r="F3057" s="211">
        <f>'IWP03'!I$361</f>
        <v>0</v>
      </c>
      <c r="G3057" s="191" t="str">
        <f>IF('IWP03'!J$361=0,"",'IWP03'!J$361)</f>
        <v/>
      </c>
      <c r="H3057" s="211">
        <f>'IWP03'!K$361</f>
        <v>0</v>
      </c>
      <c r="I3057" s="211">
        <f>'IWP03'!L$361</f>
        <v>0</v>
      </c>
      <c r="J3057" s="212">
        <f>'IWP03'!M$361</f>
        <v>0</v>
      </c>
      <c r="K3057" s="106"/>
      <c r="L3057" s="106"/>
      <c r="M3057" s="129"/>
    </row>
    <row r="3058" spans="1:13" s="105" customFormat="1">
      <c r="A3058" s="193" t="s">
        <v>501</v>
      </c>
      <c r="B3058" s="210">
        <v>1</v>
      </c>
      <c r="C3058" s="191" t="str">
        <f>IF('IWP03'!E$362=0,"",'IWP03'!E$362)</f>
        <v/>
      </c>
      <c r="D3058" s="211">
        <f>'IWP03'!G$362</f>
        <v>0</v>
      </c>
      <c r="E3058" s="211">
        <f>'IWP03'!H$362</f>
        <v>0</v>
      </c>
      <c r="F3058" s="211">
        <f>'IWP03'!I$362</f>
        <v>0</v>
      </c>
      <c r="G3058" s="191" t="str">
        <f>IF('IWP03'!J$362=0,"",'IWP03'!J$362)</f>
        <v/>
      </c>
      <c r="H3058" s="211">
        <f>'IWP03'!K$362</f>
        <v>0</v>
      </c>
      <c r="I3058" s="211">
        <f>'IWP03'!L$362</f>
        <v>0</v>
      </c>
      <c r="J3058" s="212">
        <f>'IWP03'!M$362</f>
        <v>0</v>
      </c>
      <c r="K3058" s="106"/>
      <c r="L3058" s="106"/>
      <c r="M3058" s="129"/>
    </row>
    <row r="3059" spans="1:13" s="105" customFormat="1">
      <c r="A3059" s="193" t="s">
        <v>501</v>
      </c>
      <c r="B3059" s="210">
        <v>1</v>
      </c>
      <c r="C3059" s="191" t="str">
        <f>IF('IWP03'!E$363=0,"",'IWP03'!E$363)</f>
        <v/>
      </c>
      <c r="D3059" s="211">
        <f>'IWP03'!G$363</f>
        <v>0</v>
      </c>
      <c r="E3059" s="211">
        <f>'IWP03'!H$363</f>
        <v>0</v>
      </c>
      <c r="F3059" s="211">
        <f>'IWP03'!I$363</f>
        <v>0</v>
      </c>
      <c r="G3059" s="191" t="str">
        <f>IF('IWP03'!J$363=0,"",'IWP03'!J$363)</f>
        <v/>
      </c>
      <c r="H3059" s="211">
        <f>'IWP03'!K$363</f>
        <v>0</v>
      </c>
      <c r="I3059" s="211">
        <f>'IWP03'!L$363</f>
        <v>0</v>
      </c>
      <c r="J3059" s="212">
        <f>'IWP03'!M$363</f>
        <v>0</v>
      </c>
      <c r="K3059" s="106"/>
      <c r="L3059" s="106"/>
      <c r="M3059" s="129"/>
    </row>
    <row r="3060" spans="1:13" s="105" customFormat="1">
      <c r="A3060" s="193" t="s">
        <v>501</v>
      </c>
      <c r="B3060" s="210">
        <v>1</v>
      </c>
      <c r="C3060" s="191" t="str">
        <f>IF('IWP03'!E$364=0,"",'IWP03'!E$364)</f>
        <v/>
      </c>
      <c r="D3060" s="211">
        <f>'IWP03'!G$364</f>
        <v>0</v>
      </c>
      <c r="E3060" s="211">
        <f>'IWP03'!H$364</f>
        <v>0</v>
      </c>
      <c r="F3060" s="211">
        <f>'IWP03'!I$364</f>
        <v>0</v>
      </c>
      <c r="G3060" s="191" t="str">
        <f>IF('IWP03'!J$364=0,"",'IWP03'!J$364)</f>
        <v/>
      </c>
      <c r="H3060" s="211">
        <f>'IWP03'!K$364</f>
        <v>0</v>
      </c>
      <c r="I3060" s="211">
        <f>'IWP03'!L$364</f>
        <v>0</v>
      </c>
      <c r="J3060" s="212">
        <f>'IWP03'!M$364</f>
        <v>0</v>
      </c>
      <c r="K3060" s="106"/>
      <c r="L3060" s="106"/>
      <c r="M3060" s="129"/>
    </row>
    <row r="3061" spans="1:13" s="105" customFormat="1">
      <c r="A3061" s="193" t="s">
        <v>501</v>
      </c>
      <c r="B3061" s="210">
        <v>2</v>
      </c>
      <c r="C3061" s="191" t="str">
        <f>IF('IWP03'!E$371=0,"",'IWP03'!E$371)</f>
        <v>Subtotal column D.</v>
      </c>
      <c r="D3061" s="211">
        <f>'IWP03'!G$371</f>
        <v>0</v>
      </c>
      <c r="E3061" s="211">
        <f>'IWP03'!H$371</f>
        <v>0</v>
      </c>
      <c r="F3061" s="211">
        <f>'IWP03'!I$371</f>
        <v>0</v>
      </c>
      <c r="G3061" s="191" t="str">
        <f>IF('IWP03'!J$371=0,"",'IWP03'!J$371)</f>
        <v/>
      </c>
      <c r="H3061" s="211">
        <f>'IWP03'!K$371</f>
        <v>0</v>
      </c>
      <c r="I3061" s="211">
        <f>'IWP03'!L$371</f>
        <v>0</v>
      </c>
      <c r="J3061" s="212">
        <f>'IWP03'!M$371</f>
        <v>0</v>
      </c>
      <c r="K3061" s="106"/>
      <c r="L3061" s="106"/>
      <c r="M3061" s="129"/>
    </row>
    <row r="3062" spans="1:13" s="105" customFormat="1">
      <c r="A3062" s="193" t="s">
        <v>501</v>
      </c>
      <c r="B3062" s="210">
        <v>2</v>
      </c>
      <c r="C3062" s="191" t="str">
        <f>IF('IWP03'!E$372=0,"",'IWP03'!E$372)</f>
        <v>Unverified/Undocumented (Subtotal D - C)</v>
      </c>
      <c r="D3062" s="211">
        <f>'IWP03'!G$372</f>
        <v>0</v>
      </c>
      <c r="E3062" s="211">
        <f>'IWP03'!H$372</f>
        <v>0</v>
      </c>
      <c r="F3062" s="211">
        <f>'IWP03'!I$372</f>
        <v>0</v>
      </c>
      <c r="G3062" s="191" t="str">
        <f>IF('IWP03'!J$372=0,"",'IWP03'!J$372)</f>
        <v/>
      </c>
      <c r="H3062" s="211">
        <f>'IWP03'!K$372</f>
        <v>0</v>
      </c>
      <c r="I3062" s="211">
        <f>'IWP03'!L$372</f>
        <v>0</v>
      </c>
      <c r="J3062" s="212">
        <f>'IWP03'!M$372</f>
        <v>0</v>
      </c>
      <c r="K3062" s="106"/>
      <c r="L3062" s="106"/>
      <c r="M3062" s="129"/>
    </row>
    <row r="3063" spans="1:13" s="105" customFormat="1">
      <c r="A3063" s="193" t="s">
        <v>501</v>
      </c>
      <c r="B3063" s="210">
        <v>2</v>
      </c>
      <c r="C3063" s="191" t="str">
        <f>IF('IWP03'!E$373=0,"",'IWP03'!E$373)</f>
        <v>J. Billing Period Total</v>
      </c>
      <c r="D3063" s="211">
        <f>'IWP03'!G$373</f>
        <v>0</v>
      </c>
      <c r="E3063" s="211">
        <f>'IWP03'!H$373</f>
        <v>0</v>
      </c>
      <c r="F3063" s="211">
        <f>'IWP03'!I$373</f>
        <v>0</v>
      </c>
      <c r="G3063" s="191" t="str">
        <f>IF('IWP03'!J$373=0,"",'IWP03'!J$373)</f>
        <v/>
      </c>
      <c r="H3063" s="211">
        <f>'IWP03'!K$373</f>
        <v>0</v>
      </c>
      <c r="I3063" s="211">
        <f>'IWP03'!L$373</f>
        <v>0</v>
      </c>
      <c r="J3063" s="212">
        <f>'IWP03'!M$373</f>
        <v>0</v>
      </c>
      <c r="K3063" s="106"/>
      <c r="L3063" s="106"/>
      <c r="M3063" s="129"/>
    </row>
    <row r="3064" spans="1:13" s="105" customFormat="1">
      <c r="A3064" s="193" t="s">
        <v>501</v>
      </c>
      <c r="B3064" s="210">
        <v>2</v>
      </c>
      <c r="C3064" s="191" t="str">
        <f>IF('IWP03'!E$374=0,"",'IWP03'!E$374)</f>
        <v>D.</v>
      </c>
      <c r="D3064" s="211">
        <f>'IWP03'!G$374</f>
        <v>0</v>
      </c>
      <c r="E3064" s="211" t="str">
        <f>'IWP03'!H$374</f>
        <v>E.</v>
      </c>
      <c r="F3064" s="211" t="str">
        <f>'IWP03'!I$374</f>
        <v>F.</v>
      </c>
      <c r="G3064" s="191" t="str">
        <f>IF('IWP03'!J$374=0,"",'IWP03'!J$374)</f>
        <v>G.</v>
      </c>
      <c r="H3064" s="211">
        <f>'IWP03'!K$374</f>
        <v>0</v>
      </c>
      <c r="I3064" s="211" t="str">
        <f>'IWP03'!L$374</f>
        <v>H.</v>
      </c>
      <c r="J3064" s="212" t="str">
        <f>'IWP03'!M$374</f>
        <v>I.</v>
      </c>
      <c r="K3064" s="106"/>
      <c r="L3064" s="106"/>
      <c r="M3064" s="129"/>
    </row>
    <row r="3065" spans="1:13" s="105" customFormat="1">
      <c r="A3065" s="193" t="s">
        <v>501</v>
      </c>
      <c r="B3065" s="210">
        <v>2</v>
      </c>
      <c r="C3065" s="191" t="str">
        <f>IF('IWP03'!E$375=0,"",'IWP03'!E$375)</f>
        <v xml:space="preserve">Items/Services Related to Billing Period </v>
      </c>
      <c r="D3065" s="211">
        <f>'IWP03'!G$375</f>
        <v>0</v>
      </c>
      <c r="E3065" s="211" t="str">
        <f>'IWP03'!H$375</f>
        <v xml:space="preserve">Item/
Service Verified Amounts
</v>
      </c>
      <c r="F3065" s="211" t="str">
        <f>'IWP03'!I$375</f>
        <v>Amount Due to DADS (E. - D.)</v>
      </c>
      <c r="G3065" s="191" t="str">
        <f>IF('IWP03'!J$375=0,"",'IWP03'!J$375)</f>
        <v>Amount Reimbursed to 
Employee(s)/Employer</v>
      </c>
      <c r="H3065" s="211">
        <f>'IWP03'!K$375</f>
        <v>0</v>
      </c>
      <c r="I3065" s="211" t="str">
        <f>'IWP03'!L$375</f>
        <v>Amount Due to Employee(s) (G. - E.)</v>
      </c>
      <c r="J3065" s="212" t="str">
        <f>'IWP03'!M$375</f>
        <v>Amount Due to Employer (G. - E.)</v>
      </c>
      <c r="K3065" s="106"/>
      <c r="L3065" s="106"/>
      <c r="M3065" s="129"/>
    </row>
    <row r="3066" spans="1:13" s="105" customFormat="1">
      <c r="A3066" s="193" t="s">
        <v>501</v>
      </c>
      <c r="B3066" s="210">
        <v>2</v>
      </c>
      <c r="C3066" s="191" t="str">
        <f>IF('IWP03'!E$376=0,"",'IWP03'!E$376)</f>
        <v>Item/Service</v>
      </c>
      <c r="D3066" s="211" t="str">
        <f>'IWP03'!G$376</f>
        <v>Itemized Amount Paid by DADS</v>
      </c>
      <c r="E3066" s="211">
        <f>'IWP03'!H$376</f>
        <v>0</v>
      </c>
      <c r="F3066" s="211">
        <f>'IWP03'!I$376</f>
        <v>0</v>
      </c>
      <c r="G3066" s="191" t="str">
        <f>IF('IWP03'!J$376=0,"",'IWP03'!J$376)</f>
        <v/>
      </c>
      <c r="H3066" s="211">
        <f>'IWP03'!K$376</f>
        <v>0</v>
      </c>
      <c r="I3066" s="211">
        <f>'IWP03'!L$376</f>
        <v>0</v>
      </c>
      <c r="J3066" s="212">
        <f>'IWP03'!M$376</f>
        <v>0</v>
      </c>
      <c r="K3066" s="106"/>
      <c r="L3066" s="106"/>
      <c r="M3066" s="129"/>
    </row>
    <row r="3067" spans="1:13" s="105" customFormat="1">
      <c r="A3067" s="193" t="s">
        <v>501</v>
      </c>
      <c r="B3067" s="210">
        <v>2</v>
      </c>
      <c r="C3067" s="191" t="str">
        <f>IF('IWP03'!E$377=0,"",'IWP03'!E$377)</f>
        <v/>
      </c>
      <c r="D3067" s="211">
        <f>'IWP03'!G$377</f>
        <v>0</v>
      </c>
      <c r="E3067" s="211">
        <f>'IWP03'!H$377</f>
        <v>0</v>
      </c>
      <c r="F3067" s="211">
        <f>'IWP03'!I$377</f>
        <v>0</v>
      </c>
      <c r="G3067" s="191" t="str">
        <f>IF('IWP03'!J$377=0,"",'IWP03'!J$377)</f>
        <v/>
      </c>
      <c r="H3067" s="211">
        <f>'IWP03'!K$377</f>
        <v>0</v>
      </c>
      <c r="I3067" s="211">
        <f>'IWP03'!L$377</f>
        <v>0</v>
      </c>
      <c r="J3067" s="212">
        <f>'IWP03'!M$377</f>
        <v>0</v>
      </c>
      <c r="K3067" s="106"/>
      <c r="L3067" s="106"/>
      <c r="M3067" s="129"/>
    </row>
    <row r="3068" spans="1:13" s="105" customFormat="1">
      <c r="A3068" s="193" t="s">
        <v>501</v>
      </c>
      <c r="B3068" s="210">
        <v>2</v>
      </c>
      <c r="C3068" s="191" t="str">
        <f>IF('IWP03'!E$378=0,"",'IWP03'!E$378)</f>
        <v/>
      </c>
      <c r="D3068" s="211">
        <f>'IWP03'!G$378</f>
        <v>0</v>
      </c>
      <c r="E3068" s="211">
        <f>'IWP03'!H$378</f>
        <v>0</v>
      </c>
      <c r="F3068" s="211">
        <f>'IWP03'!I$378</f>
        <v>0</v>
      </c>
      <c r="G3068" s="191" t="str">
        <f>IF('IWP03'!J$378=0,"",'IWP03'!J$378)</f>
        <v/>
      </c>
      <c r="H3068" s="211">
        <f>'IWP03'!K$378</f>
        <v>0</v>
      </c>
      <c r="I3068" s="211">
        <f>'IWP03'!L$378</f>
        <v>0</v>
      </c>
      <c r="J3068" s="212">
        <f>'IWP03'!M$378</f>
        <v>0</v>
      </c>
      <c r="K3068" s="106"/>
      <c r="L3068" s="106"/>
      <c r="M3068" s="129"/>
    </row>
    <row r="3069" spans="1:13" s="105" customFormat="1">
      <c r="A3069" s="193" t="s">
        <v>501</v>
      </c>
      <c r="B3069" s="210">
        <v>2</v>
      </c>
      <c r="C3069" s="191" t="str">
        <f>IF('IWP03'!E$379=0,"",'IWP03'!E$379)</f>
        <v/>
      </c>
      <c r="D3069" s="211">
        <f>'IWP03'!G$379</f>
        <v>0</v>
      </c>
      <c r="E3069" s="211">
        <f>'IWP03'!H$379</f>
        <v>0</v>
      </c>
      <c r="F3069" s="211">
        <f>'IWP03'!I$379</f>
        <v>0</v>
      </c>
      <c r="G3069" s="191" t="str">
        <f>IF('IWP03'!J$379=0,"",'IWP03'!J$379)</f>
        <v/>
      </c>
      <c r="H3069" s="211">
        <f>'IWP03'!K$379</f>
        <v>0</v>
      </c>
      <c r="I3069" s="211">
        <f>'IWP03'!L$379</f>
        <v>0</v>
      </c>
      <c r="J3069" s="212">
        <f>'IWP03'!M$379</f>
        <v>0</v>
      </c>
      <c r="K3069" s="106"/>
      <c r="L3069" s="106"/>
      <c r="M3069" s="129"/>
    </row>
    <row r="3070" spans="1:13" s="105" customFormat="1">
      <c r="A3070" s="193" t="s">
        <v>501</v>
      </c>
      <c r="B3070" s="210">
        <v>2</v>
      </c>
      <c r="C3070" s="191" t="str">
        <f>IF('IWP03'!E$380=0,"",'IWP03'!E$380)</f>
        <v/>
      </c>
      <c r="D3070" s="211">
        <f>'IWP03'!G$380</f>
        <v>0</v>
      </c>
      <c r="E3070" s="211">
        <f>'IWP03'!H$380</f>
        <v>0</v>
      </c>
      <c r="F3070" s="211">
        <f>'IWP03'!I$380</f>
        <v>0</v>
      </c>
      <c r="G3070" s="191" t="str">
        <f>IF('IWP03'!J$380=0,"",'IWP03'!J$380)</f>
        <v/>
      </c>
      <c r="H3070" s="211">
        <f>'IWP03'!K$380</f>
        <v>0</v>
      </c>
      <c r="I3070" s="211">
        <f>'IWP03'!L$380</f>
        <v>0</v>
      </c>
      <c r="J3070" s="212">
        <f>'IWP03'!M$380</f>
        <v>0</v>
      </c>
      <c r="K3070" s="106"/>
      <c r="L3070" s="106"/>
      <c r="M3070" s="129"/>
    </row>
    <row r="3071" spans="1:13" s="105" customFormat="1">
      <c r="A3071" s="193" t="s">
        <v>501</v>
      </c>
      <c r="B3071" s="210">
        <v>3</v>
      </c>
      <c r="C3071" s="191" t="str">
        <f>IF('IWP03'!E$387=0,"",'IWP03'!E$387)</f>
        <v>Subtotal column D.</v>
      </c>
      <c r="D3071" s="211">
        <f>'IWP03'!G$387</f>
        <v>0</v>
      </c>
      <c r="E3071" s="211">
        <f>'IWP03'!H$387</f>
        <v>0</v>
      </c>
      <c r="F3071" s="211">
        <f>'IWP03'!I$387</f>
        <v>0</v>
      </c>
      <c r="G3071" s="191" t="str">
        <f>IF('IWP03'!J$387=0,"",'IWP03'!J$387)</f>
        <v/>
      </c>
      <c r="H3071" s="211">
        <f>'IWP03'!K$387</f>
        <v>0</v>
      </c>
      <c r="I3071" s="211">
        <f>'IWP03'!L$387</f>
        <v>0</v>
      </c>
      <c r="J3071" s="212">
        <f>'IWP03'!M$387</f>
        <v>0</v>
      </c>
      <c r="K3071" s="106"/>
      <c r="L3071" s="106"/>
      <c r="M3071" s="129"/>
    </row>
    <row r="3072" spans="1:13" s="105" customFormat="1">
      <c r="A3072" s="193" t="s">
        <v>501</v>
      </c>
      <c r="B3072" s="210">
        <v>3</v>
      </c>
      <c r="C3072" s="191" t="str">
        <f>IF('IWP03'!E$388=0,"",'IWP03'!E$388)</f>
        <v>Unverified/Undocumented (Subtotal D - C)</v>
      </c>
      <c r="D3072" s="211">
        <f>'IWP03'!G$388</f>
        <v>0</v>
      </c>
      <c r="E3072" s="211">
        <f>'IWP03'!H$388</f>
        <v>0</v>
      </c>
      <c r="F3072" s="211">
        <f>'IWP03'!I$388</f>
        <v>0</v>
      </c>
      <c r="G3072" s="191" t="str">
        <f>IF('IWP03'!J$388=0,"",'IWP03'!J$388)</f>
        <v/>
      </c>
      <c r="H3072" s="211">
        <f>'IWP03'!K$388</f>
        <v>0</v>
      </c>
      <c r="I3072" s="211">
        <f>'IWP03'!L$388</f>
        <v>0</v>
      </c>
      <c r="J3072" s="212">
        <f>'IWP03'!M$388</f>
        <v>0</v>
      </c>
      <c r="K3072" s="106"/>
      <c r="L3072" s="106"/>
      <c r="M3072" s="129"/>
    </row>
    <row r="3073" spans="1:13" s="105" customFormat="1">
      <c r="A3073" s="193" t="s">
        <v>501</v>
      </c>
      <c r="B3073" s="210">
        <v>3</v>
      </c>
      <c r="C3073" s="191" t="str">
        <f>IF('IWP03'!E$389=0,"",'IWP03'!E$389)</f>
        <v>J. Billing Period Total</v>
      </c>
      <c r="D3073" s="211">
        <f>'IWP03'!G$389</f>
        <v>0</v>
      </c>
      <c r="E3073" s="211">
        <f>'IWP03'!H$389</f>
        <v>0</v>
      </c>
      <c r="F3073" s="211">
        <f>'IWP03'!I$389</f>
        <v>0</v>
      </c>
      <c r="G3073" s="191" t="str">
        <f>IF('IWP03'!J$389=0,"",'IWP03'!J$389)</f>
        <v/>
      </c>
      <c r="H3073" s="211">
        <f>'IWP03'!K$389</f>
        <v>0</v>
      </c>
      <c r="I3073" s="211">
        <f>'IWP03'!L$389</f>
        <v>0</v>
      </c>
      <c r="J3073" s="212">
        <f>'IWP03'!M$389</f>
        <v>0</v>
      </c>
      <c r="K3073" s="106"/>
      <c r="L3073" s="106"/>
      <c r="M3073" s="129"/>
    </row>
    <row r="3074" spans="1:13" s="105" customFormat="1">
      <c r="A3074" s="193" t="s">
        <v>501</v>
      </c>
      <c r="B3074" s="210">
        <v>3</v>
      </c>
      <c r="C3074" s="191" t="str">
        <f>IF('IWP03'!E$390=0,"",'IWP03'!E$390)</f>
        <v>D.</v>
      </c>
      <c r="D3074" s="211">
        <f>'IWP03'!G$390</f>
        <v>0</v>
      </c>
      <c r="E3074" s="211" t="str">
        <f>'IWP03'!H$390</f>
        <v>E.</v>
      </c>
      <c r="F3074" s="211" t="str">
        <f>'IWP03'!I$390</f>
        <v>F.</v>
      </c>
      <c r="G3074" s="191" t="str">
        <f>IF('IWP03'!J$390=0,"",'IWP03'!J$390)</f>
        <v>G.</v>
      </c>
      <c r="H3074" s="211">
        <f>'IWP03'!K$390</f>
        <v>0</v>
      </c>
      <c r="I3074" s="211" t="str">
        <f>'IWP03'!L$390</f>
        <v>H.</v>
      </c>
      <c r="J3074" s="212" t="str">
        <f>'IWP03'!M$390</f>
        <v>I.</v>
      </c>
      <c r="K3074" s="106"/>
      <c r="L3074" s="106"/>
      <c r="M3074" s="129"/>
    </row>
    <row r="3075" spans="1:13" s="105" customFormat="1">
      <c r="A3075" s="193" t="s">
        <v>501</v>
      </c>
      <c r="B3075" s="210">
        <v>3</v>
      </c>
      <c r="C3075" s="191" t="str">
        <f>IF('IWP03'!E$391=0,"",'IWP03'!E$391)</f>
        <v xml:space="preserve">Items/Services Related to Billing Period </v>
      </c>
      <c r="D3075" s="211">
        <f>'IWP03'!G$391</f>
        <v>0</v>
      </c>
      <c r="E3075" s="211" t="str">
        <f>'IWP03'!H$391</f>
        <v xml:space="preserve">Item/
Service Verified Amounts
</v>
      </c>
      <c r="F3075" s="211" t="str">
        <f>'IWP03'!I$391</f>
        <v>Amount Due to DADS (E. - D.)</v>
      </c>
      <c r="G3075" s="191" t="str">
        <f>IF('IWP03'!J$391=0,"",'IWP03'!J$391)</f>
        <v>Amount Reimbursed to 
Employee(s)/Employer</v>
      </c>
      <c r="H3075" s="211">
        <f>'IWP03'!K$391</f>
        <v>0</v>
      </c>
      <c r="I3075" s="211" t="str">
        <f>'IWP03'!L$391</f>
        <v>Amount Due to Employee(s) (G. - E.)</v>
      </c>
      <c r="J3075" s="212" t="str">
        <f>'IWP03'!M$391</f>
        <v>Amount Due to Employer (G. - E.)</v>
      </c>
      <c r="K3075" s="106"/>
      <c r="L3075" s="106"/>
      <c r="M3075" s="129"/>
    </row>
    <row r="3076" spans="1:13" s="105" customFormat="1">
      <c r="A3076" s="193" t="s">
        <v>501</v>
      </c>
      <c r="B3076" s="210">
        <v>3</v>
      </c>
      <c r="C3076" s="191" t="str">
        <f>IF('IWP03'!E$392=0,"",'IWP03'!E$392)</f>
        <v>Item/Service</v>
      </c>
      <c r="D3076" s="211" t="str">
        <f>'IWP03'!G$392</f>
        <v>Itemized Amount Paid by DADS</v>
      </c>
      <c r="E3076" s="211">
        <f>'IWP03'!H$392</f>
        <v>0</v>
      </c>
      <c r="F3076" s="211">
        <f>'IWP03'!I$392</f>
        <v>0</v>
      </c>
      <c r="G3076" s="191" t="str">
        <f>IF('IWP03'!J$392=0,"",'IWP03'!J$392)</f>
        <v/>
      </c>
      <c r="H3076" s="211">
        <f>'IWP03'!K$392</f>
        <v>0</v>
      </c>
      <c r="I3076" s="211">
        <f>'IWP03'!L$392</f>
        <v>0</v>
      </c>
      <c r="J3076" s="212">
        <f>'IWP03'!M$392</f>
        <v>0</v>
      </c>
      <c r="K3076" s="106"/>
      <c r="L3076" s="106"/>
      <c r="M3076" s="129"/>
    </row>
    <row r="3077" spans="1:13" s="105" customFormat="1">
      <c r="A3077" s="193" t="s">
        <v>501</v>
      </c>
      <c r="B3077" s="210">
        <v>3</v>
      </c>
      <c r="C3077" s="191" t="str">
        <f>IF('IWP03'!E$393=0,"",'IWP03'!E$393)</f>
        <v/>
      </c>
      <c r="D3077" s="211">
        <f>'IWP03'!G$393</f>
        <v>0</v>
      </c>
      <c r="E3077" s="211">
        <f>'IWP03'!H$393</f>
        <v>0</v>
      </c>
      <c r="F3077" s="211">
        <f>'IWP03'!I$393</f>
        <v>0</v>
      </c>
      <c r="G3077" s="191" t="str">
        <f>IF('IWP03'!J$393=0,"",'IWP03'!J$393)</f>
        <v/>
      </c>
      <c r="H3077" s="211">
        <f>'IWP03'!K$393</f>
        <v>0</v>
      </c>
      <c r="I3077" s="211">
        <f>'IWP03'!L$393</f>
        <v>0</v>
      </c>
      <c r="J3077" s="212">
        <f>'IWP03'!M$393</f>
        <v>0</v>
      </c>
      <c r="K3077" s="106"/>
      <c r="L3077" s="106"/>
      <c r="M3077" s="129"/>
    </row>
    <row r="3078" spans="1:13" s="105" customFormat="1">
      <c r="A3078" s="193" t="s">
        <v>501</v>
      </c>
      <c r="B3078" s="210">
        <v>3</v>
      </c>
      <c r="C3078" s="191" t="str">
        <f>IF('IWP03'!E$394=0,"",'IWP03'!E$394)</f>
        <v/>
      </c>
      <c r="D3078" s="211">
        <f>'IWP03'!G$394</f>
        <v>0</v>
      </c>
      <c r="E3078" s="211">
        <f>'IWP03'!H$394</f>
        <v>0</v>
      </c>
      <c r="F3078" s="211">
        <f>'IWP03'!I$394</f>
        <v>0</v>
      </c>
      <c r="G3078" s="191" t="str">
        <f>IF('IWP03'!J$394=0,"",'IWP03'!J$394)</f>
        <v/>
      </c>
      <c r="H3078" s="211">
        <f>'IWP03'!K$394</f>
        <v>0</v>
      </c>
      <c r="I3078" s="211">
        <f>'IWP03'!L$394</f>
        <v>0</v>
      </c>
      <c r="J3078" s="212">
        <f>'IWP03'!M$394</f>
        <v>0</v>
      </c>
      <c r="K3078" s="106"/>
      <c r="L3078" s="106"/>
      <c r="M3078" s="129"/>
    </row>
    <row r="3079" spans="1:13" s="105" customFormat="1">
      <c r="A3079" s="193" t="s">
        <v>501</v>
      </c>
      <c r="B3079" s="210">
        <v>3</v>
      </c>
      <c r="C3079" s="191" t="str">
        <f>IF('IWP03'!E$395=0,"",'IWP03'!E$395)</f>
        <v/>
      </c>
      <c r="D3079" s="211">
        <f>'IWP03'!G$395</f>
        <v>0</v>
      </c>
      <c r="E3079" s="211">
        <f>'IWP03'!H$395</f>
        <v>0</v>
      </c>
      <c r="F3079" s="211">
        <f>'IWP03'!I$395</f>
        <v>0</v>
      </c>
      <c r="G3079" s="191" t="str">
        <f>IF('IWP03'!J$395=0,"",'IWP03'!J$395)</f>
        <v/>
      </c>
      <c r="H3079" s="211">
        <f>'IWP03'!K$395</f>
        <v>0</v>
      </c>
      <c r="I3079" s="211">
        <f>'IWP03'!L$395</f>
        <v>0</v>
      </c>
      <c r="J3079" s="212">
        <f>'IWP03'!M$395</f>
        <v>0</v>
      </c>
      <c r="K3079" s="106"/>
      <c r="L3079" s="106"/>
      <c r="M3079" s="129"/>
    </row>
    <row r="3080" spans="1:13" s="105" customFormat="1">
      <c r="A3080" s="193" t="s">
        <v>501</v>
      </c>
      <c r="B3080" s="210">
        <v>3</v>
      </c>
      <c r="C3080" s="191" t="str">
        <f>IF('IWP03'!E$396=0,"",'IWP03'!E$396)</f>
        <v/>
      </c>
      <c r="D3080" s="211">
        <f>'IWP03'!G$396</f>
        <v>0</v>
      </c>
      <c r="E3080" s="211">
        <f>'IWP03'!H$396</f>
        <v>0</v>
      </c>
      <c r="F3080" s="211">
        <f>'IWP03'!I$396</f>
        <v>0</v>
      </c>
      <c r="G3080" s="191" t="str">
        <f>IF('IWP03'!J$396=0,"",'IWP03'!J$396)</f>
        <v/>
      </c>
      <c r="H3080" s="211">
        <f>'IWP03'!K$396</f>
        <v>0</v>
      </c>
      <c r="I3080" s="211">
        <f>'IWP03'!L$396</f>
        <v>0</v>
      </c>
      <c r="J3080" s="212">
        <f>'IWP03'!M$396</f>
        <v>0</v>
      </c>
      <c r="K3080" s="106"/>
      <c r="L3080" s="106"/>
      <c r="M3080" s="129"/>
    </row>
    <row r="3081" spans="1:13" s="105" customFormat="1">
      <c r="A3081" s="193" t="s">
        <v>501</v>
      </c>
      <c r="B3081" s="210">
        <v>4</v>
      </c>
      <c r="C3081" s="191" t="str">
        <f>IF('IWP03'!E$403=0,"",'IWP03'!E$403)</f>
        <v>Subtotal column D.</v>
      </c>
      <c r="D3081" s="211">
        <f>'IWP03'!G$403</f>
        <v>0</v>
      </c>
      <c r="E3081" s="211">
        <f>'IWP03'!H$403</f>
        <v>0</v>
      </c>
      <c r="F3081" s="211">
        <f>'IWP03'!I$403</f>
        <v>0</v>
      </c>
      <c r="G3081" s="191" t="str">
        <f>IF('IWP03'!J$403=0,"",'IWP03'!J$403)</f>
        <v/>
      </c>
      <c r="H3081" s="211">
        <f>'IWP03'!K$403</f>
        <v>0</v>
      </c>
      <c r="I3081" s="211">
        <f>'IWP03'!L$403</f>
        <v>0</v>
      </c>
      <c r="J3081" s="212">
        <f>'IWP03'!M$403</f>
        <v>0</v>
      </c>
      <c r="K3081" s="106"/>
      <c r="L3081" s="106"/>
      <c r="M3081" s="129"/>
    </row>
    <row r="3082" spans="1:13" s="105" customFormat="1">
      <c r="A3082" s="193" t="s">
        <v>501</v>
      </c>
      <c r="B3082" s="210">
        <v>4</v>
      </c>
      <c r="C3082" s="191" t="str">
        <f>IF('IWP03'!E$404=0,"",'IWP03'!E$404)</f>
        <v>Unverified/Undocumented (Subtotal D - C)</v>
      </c>
      <c r="D3082" s="211">
        <f>'IWP03'!G$404</f>
        <v>0</v>
      </c>
      <c r="E3082" s="211">
        <f>'IWP03'!H$404</f>
        <v>0</v>
      </c>
      <c r="F3082" s="211">
        <f>'IWP03'!I$404</f>
        <v>0</v>
      </c>
      <c r="G3082" s="191" t="str">
        <f>IF('IWP03'!J$404=0,"",'IWP03'!J$404)</f>
        <v/>
      </c>
      <c r="H3082" s="211">
        <f>'IWP03'!K$404</f>
        <v>0</v>
      </c>
      <c r="I3082" s="211">
        <f>'IWP03'!L$404</f>
        <v>0</v>
      </c>
      <c r="J3082" s="212">
        <f>'IWP03'!M$404</f>
        <v>0</v>
      </c>
      <c r="K3082" s="106"/>
      <c r="L3082" s="106"/>
      <c r="M3082" s="129"/>
    </row>
    <row r="3083" spans="1:13" s="105" customFormat="1">
      <c r="A3083" s="193" t="s">
        <v>501</v>
      </c>
      <c r="B3083" s="210">
        <v>4</v>
      </c>
      <c r="C3083" s="191" t="str">
        <f>IF('IWP03'!E$405=0,"",'IWP03'!E$405)</f>
        <v>J. Billing Period Total</v>
      </c>
      <c r="D3083" s="211">
        <f>'IWP03'!G$405</f>
        <v>0</v>
      </c>
      <c r="E3083" s="211">
        <f>'IWP03'!H$405</f>
        <v>0</v>
      </c>
      <c r="F3083" s="211">
        <f>'IWP03'!I$405</f>
        <v>0</v>
      </c>
      <c r="G3083" s="191" t="str">
        <f>IF('IWP03'!J$405=0,"",'IWP03'!J$405)</f>
        <v/>
      </c>
      <c r="H3083" s="211">
        <f>'IWP03'!K$405</f>
        <v>0</v>
      </c>
      <c r="I3083" s="211">
        <f>'IWP03'!L$405</f>
        <v>0</v>
      </c>
      <c r="J3083" s="212">
        <f>'IWP03'!M$405</f>
        <v>0</v>
      </c>
      <c r="K3083" s="106"/>
      <c r="L3083" s="106"/>
      <c r="M3083" s="129"/>
    </row>
    <row r="3084" spans="1:13" s="105" customFormat="1">
      <c r="A3084" s="193" t="s">
        <v>501</v>
      </c>
      <c r="B3084" s="210">
        <v>4</v>
      </c>
      <c r="C3084" s="191" t="str">
        <f>IF('IWP03'!E$406=0,"",'IWP03'!E$406)</f>
        <v>D.</v>
      </c>
      <c r="D3084" s="211">
        <f>'IWP03'!G$406</f>
        <v>0</v>
      </c>
      <c r="E3084" s="211" t="str">
        <f>'IWP03'!H$406</f>
        <v>E.</v>
      </c>
      <c r="F3084" s="211" t="str">
        <f>'IWP03'!I$406</f>
        <v>F.</v>
      </c>
      <c r="G3084" s="191" t="str">
        <f>IF('IWP03'!J$406=0,"",'IWP03'!J$406)</f>
        <v>G.</v>
      </c>
      <c r="H3084" s="211">
        <f>'IWP03'!K$406</f>
        <v>0</v>
      </c>
      <c r="I3084" s="211" t="str">
        <f>'IWP03'!L$406</f>
        <v>H.</v>
      </c>
      <c r="J3084" s="212" t="str">
        <f>'IWP03'!M$406</f>
        <v>I.</v>
      </c>
      <c r="K3084" s="106"/>
      <c r="L3084" s="106"/>
      <c r="M3084" s="129"/>
    </row>
    <row r="3085" spans="1:13" s="105" customFormat="1">
      <c r="A3085" s="193" t="s">
        <v>501</v>
      </c>
      <c r="B3085" s="210">
        <v>4</v>
      </c>
      <c r="C3085" s="191" t="str">
        <f>IF('IWP03'!E$407=0,"",'IWP03'!E$407)</f>
        <v xml:space="preserve">Items/Services Related to Billing Period </v>
      </c>
      <c r="D3085" s="211">
        <f>'IWP03'!G$407</f>
        <v>0</v>
      </c>
      <c r="E3085" s="211" t="str">
        <f>'IWP03'!H$407</f>
        <v xml:space="preserve">Item/
Service Verified Amounts
</v>
      </c>
      <c r="F3085" s="211" t="str">
        <f>'IWP03'!I$407</f>
        <v>Amount Due to DADS (E. - D.)</v>
      </c>
      <c r="G3085" s="191" t="str">
        <f>IF('IWP03'!J$407=0,"",'IWP03'!J$407)</f>
        <v>Amount Reimbursed to 
Employee(s)/Employer</v>
      </c>
      <c r="H3085" s="211">
        <f>'IWP03'!K$407</f>
        <v>0</v>
      </c>
      <c r="I3085" s="211" t="str">
        <f>'IWP03'!L$407</f>
        <v>Amount Due to Employee(s) (G. - E.)</v>
      </c>
      <c r="J3085" s="212" t="str">
        <f>'IWP03'!M$407</f>
        <v>Amount Due to Employer (G. - E.)</v>
      </c>
      <c r="K3085" s="106"/>
      <c r="L3085" s="106"/>
      <c r="M3085" s="129"/>
    </row>
    <row r="3086" spans="1:13" s="105" customFormat="1">
      <c r="A3086" s="193" t="s">
        <v>501</v>
      </c>
      <c r="B3086" s="210">
        <v>4</v>
      </c>
      <c r="C3086" s="191" t="str">
        <f>IF('IWP03'!E$408=0,"",'IWP03'!E$408)</f>
        <v>Item/Service</v>
      </c>
      <c r="D3086" s="211" t="str">
        <f>'IWP03'!G$408</f>
        <v>Itemized Amount Paid by DADS</v>
      </c>
      <c r="E3086" s="211">
        <f>'IWP03'!H$408</f>
        <v>0</v>
      </c>
      <c r="F3086" s="211">
        <f>'IWP03'!I$408</f>
        <v>0</v>
      </c>
      <c r="G3086" s="191" t="str">
        <f>IF('IWP03'!J$408=0,"",'IWP03'!J$408)</f>
        <v/>
      </c>
      <c r="H3086" s="211">
        <f>'IWP03'!K$408</f>
        <v>0</v>
      </c>
      <c r="I3086" s="211">
        <f>'IWP03'!L$408</f>
        <v>0</v>
      </c>
      <c r="J3086" s="212">
        <f>'IWP03'!M$408</f>
        <v>0</v>
      </c>
      <c r="K3086" s="106"/>
      <c r="L3086" s="106"/>
      <c r="M3086" s="129"/>
    </row>
    <row r="3087" spans="1:13" s="105" customFormat="1">
      <c r="A3087" s="193" t="s">
        <v>501</v>
      </c>
      <c r="B3087" s="210">
        <v>4</v>
      </c>
      <c r="C3087" s="191" t="str">
        <f>IF('IWP03'!E$409=0,"",'IWP03'!E$409)</f>
        <v/>
      </c>
      <c r="D3087" s="211">
        <f>'IWP03'!G$409</f>
        <v>0</v>
      </c>
      <c r="E3087" s="211">
        <f>'IWP03'!H$409</f>
        <v>0</v>
      </c>
      <c r="F3087" s="211">
        <f>'IWP03'!I$409</f>
        <v>0</v>
      </c>
      <c r="G3087" s="191" t="str">
        <f>IF('IWP03'!J$409=0,"",'IWP03'!J$409)</f>
        <v/>
      </c>
      <c r="H3087" s="211">
        <f>'IWP03'!K$409</f>
        <v>0</v>
      </c>
      <c r="I3087" s="211">
        <f>'IWP03'!L$409</f>
        <v>0</v>
      </c>
      <c r="J3087" s="212">
        <f>'IWP03'!M$409</f>
        <v>0</v>
      </c>
      <c r="K3087" s="106"/>
      <c r="L3087" s="106"/>
      <c r="M3087" s="129"/>
    </row>
    <row r="3088" spans="1:13" s="105" customFormat="1">
      <c r="A3088" s="193" t="s">
        <v>501</v>
      </c>
      <c r="B3088" s="210">
        <v>4</v>
      </c>
      <c r="C3088" s="191" t="str">
        <f>IF('IWP03'!E$410=0,"",'IWP03'!E$410)</f>
        <v/>
      </c>
      <c r="D3088" s="211">
        <f>'IWP03'!G$410</f>
        <v>0</v>
      </c>
      <c r="E3088" s="211">
        <f>'IWP03'!H$410</f>
        <v>0</v>
      </c>
      <c r="F3088" s="211">
        <f>'IWP03'!I$410</f>
        <v>0</v>
      </c>
      <c r="G3088" s="191" t="str">
        <f>IF('IWP03'!J$410=0,"",'IWP03'!J$410)</f>
        <v/>
      </c>
      <c r="H3088" s="211">
        <f>'IWP03'!K$410</f>
        <v>0</v>
      </c>
      <c r="I3088" s="211">
        <f>'IWP03'!L$410</f>
        <v>0</v>
      </c>
      <c r="J3088" s="212">
        <f>'IWP03'!M$410</f>
        <v>0</v>
      </c>
      <c r="K3088" s="106"/>
      <c r="L3088" s="106"/>
      <c r="M3088" s="129"/>
    </row>
    <row r="3089" spans="1:13" s="105" customFormat="1">
      <c r="A3089" s="193" t="s">
        <v>501</v>
      </c>
      <c r="B3089" s="210">
        <v>4</v>
      </c>
      <c r="C3089" s="191" t="str">
        <f>IF('IWP03'!E$411=0,"",'IWP03'!E$411)</f>
        <v/>
      </c>
      <c r="D3089" s="211">
        <f>'IWP03'!G$411</f>
        <v>0</v>
      </c>
      <c r="E3089" s="211">
        <f>'IWP03'!H$411</f>
        <v>0</v>
      </c>
      <c r="F3089" s="211">
        <f>'IWP03'!I$411</f>
        <v>0</v>
      </c>
      <c r="G3089" s="191" t="str">
        <f>IF('IWP03'!J$411=0,"",'IWP03'!J$411)</f>
        <v/>
      </c>
      <c r="H3089" s="211">
        <f>'IWP03'!K$411</f>
        <v>0</v>
      </c>
      <c r="I3089" s="211">
        <f>'IWP03'!L$411</f>
        <v>0</v>
      </c>
      <c r="J3089" s="212">
        <f>'IWP03'!M$411</f>
        <v>0</v>
      </c>
      <c r="K3089" s="106"/>
      <c r="L3089" s="106"/>
      <c r="M3089" s="129"/>
    </row>
    <row r="3090" spans="1:13" s="105" customFormat="1">
      <c r="A3090" s="193" t="s">
        <v>501</v>
      </c>
      <c r="B3090" s="210">
        <v>4</v>
      </c>
      <c r="C3090" s="191" t="str">
        <f>IF('IWP03'!E$412=0,"",'IWP03'!E$412)</f>
        <v/>
      </c>
      <c r="D3090" s="211">
        <f>'IWP03'!G$412</f>
        <v>0</v>
      </c>
      <c r="E3090" s="211">
        <f>'IWP03'!H$412</f>
        <v>0</v>
      </c>
      <c r="F3090" s="211">
        <f>'IWP03'!I$412</f>
        <v>0</v>
      </c>
      <c r="G3090" s="191" t="str">
        <f>IF('IWP03'!J$412=0,"",'IWP03'!J$412)</f>
        <v/>
      </c>
      <c r="H3090" s="211">
        <f>'IWP03'!K$412</f>
        <v>0</v>
      </c>
      <c r="I3090" s="211">
        <f>'IWP03'!L$412</f>
        <v>0</v>
      </c>
      <c r="J3090" s="212">
        <f>'IWP03'!M$412</f>
        <v>0</v>
      </c>
      <c r="K3090" s="106"/>
      <c r="L3090" s="106"/>
      <c r="M3090" s="129"/>
    </row>
    <row r="3091" spans="1:13" s="105" customFormat="1">
      <c r="A3091" s="193" t="s">
        <v>501</v>
      </c>
      <c r="B3091" s="210">
        <v>5</v>
      </c>
      <c r="C3091" s="191" t="str">
        <f>IF('IWP03'!E$419=0,"",'IWP03'!E$419)</f>
        <v>Subtotal column D.</v>
      </c>
      <c r="D3091" s="211">
        <f>'IWP03'!G$419</f>
        <v>0</v>
      </c>
      <c r="E3091" s="211">
        <f>'IWP03'!H$419</f>
        <v>0</v>
      </c>
      <c r="F3091" s="211">
        <f>'IWP03'!I$419</f>
        <v>0</v>
      </c>
      <c r="G3091" s="191" t="str">
        <f>IF('IWP03'!J$419=0,"",'IWP03'!J$419)</f>
        <v/>
      </c>
      <c r="H3091" s="211">
        <f>'IWP03'!K$419</f>
        <v>0</v>
      </c>
      <c r="I3091" s="211">
        <f>'IWP03'!L$419</f>
        <v>0</v>
      </c>
      <c r="J3091" s="212">
        <f>'IWP03'!M$419</f>
        <v>0</v>
      </c>
      <c r="K3091" s="106"/>
      <c r="L3091" s="106"/>
      <c r="M3091" s="129"/>
    </row>
    <row r="3092" spans="1:13" s="105" customFormat="1">
      <c r="A3092" s="193" t="s">
        <v>501</v>
      </c>
      <c r="B3092" s="210">
        <v>5</v>
      </c>
      <c r="C3092" s="191" t="str">
        <f>IF('IWP03'!E$420=0,"",'IWP03'!E$420)</f>
        <v>Unverified/Undocumented (Subtotal D - C)</v>
      </c>
      <c r="D3092" s="211">
        <f>'IWP03'!G$420</f>
        <v>0</v>
      </c>
      <c r="E3092" s="211">
        <f>'IWP03'!H$420</f>
        <v>0</v>
      </c>
      <c r="F3092" s="211">
        <f>'IWP03'!I$420</f>
        <v>0</v>
      </c>
      <c r="G3092" s="191" t="str">
        <f>IF('IWP03'!J$420=0,"",'IWP03'!J$420)</f>
        <v/>
      </c>
      <c r="H3092" s="211">
        <f>'IWP03'!K$420</f>
        <v>0</v>
      </c>
      <c r="I3092" s="211">
        <f>'IWP03'!L$420</f>
        <v>0</v>
      </c>
      <c r="J3092" s="212">
        <f>'IWP03'!M$420</f>
        <v>0</v>
      </c>
      <c r="K3092" s="106"/>
      <c r="L3092" s="106"/>
      <c r="M3092" s="129"/>
    </row>
    <row r="3093" spans="1:13" s="105" customFormat="1">
      <c r="A3093" s="193" t="s">
        <v>501</v>
      </c>
      <c r="B3093" s="210">
        <v>5</v>
      </c>
      <c r="C3093" s="191" t="str">
        <f>IF('IWP03'!E$421=0,"",'IWP03'!E$421)</f>
        <v>J. Billing Period Total</v>
      </c>
      <c r="D3093" s="211">
        <f>'IWP03'!G$421</f>
        <v>0</v>
      </c>
      <c r="E3093" s="211">
        <f>'IWP03'!H$421</f>
        <v>0</v>
      </c>
      <c r="F3093" s="211">
        <f>'IWP03'!I$421</f>
        <v>0</v>
      </c>
      <c r="G3093" s="191" t="str">
        <f>IF('IWP03'!J$421=0,"",'IWP03'!J$421)</f>
        <v/>
      </c>
      <c r="H3093" s="211">
        <f>'IWP03'!K$421</f>
        <v>0</v>
      </c>
      <c r="I3093" s="211">
        <f>'IWP03'!L$421</f>
        <v>0</v>
      </c>
      <c r="J3093" s="212">
        <f>'IWP03'!M$421</f>
        <v>0</v>
      </c>
      <c r="K3093" s="106"/>
      <c r="L3093" s="106"/>
      <c r="M3093" s="129"/>
    </row>
    <row r="3094" spans="1:13" s="105" customFormat="1">
      <c r="A3094" s="193" t="s">
        <v>501</v>
      </c>
      <c r="B3094" s="210">
        <v>5</v>
      </c>
      <c r="C3094" s="191" t="str">
        <f>IF('IWP03'!E$422=0,"",'IWP03'!E$422)</f>
        <v>D.</v>
      </c>
      <c r="D3094" s="211">
        <f>'IWP03'!G$422</f>
        <v>0</v>
      </c>
      <c r="E3094" s="211" t="str">
        <f>'IWP03'!H$422</f>
        <v>E.</v>
      </c>
      <c r="F3094" s="211" t="str">
        <f>'IWP03'!I$422</f>
        <v>F.</v>
      </c>
      <c r="G3094" s="191" t="str">
        <f>IF('IWP03'!J$422=0,"",'IWP03'!J$422)</f>
        <v>G.</v>
      </c>
      <c r="H3094" s="211">
        <f>'IWP03'!K$422</f>
        <v>0</v>
      </c>
      <c r="I3094" s="211" t="str">
        <f>'IWP03'!L$422</f>
        <v>H.</v>
      </c>
      <c r="J3094" s="212" t="str">
        <f>'IWP03'!M$422</f>
        <v>I.</v>
      </c>
      <c r="K3094" s="106"/>
      <c r="L3094" s="106"/>
      <c r="M3094" s="129"/>
    </row>
    <row r="3095" spans="1:13" s="105" customFormat="1">
      <c r="A3095" s="193" t="s">
        <v>501</v>
      </c>
      <c r="B3095" s="210">
        <v>5</v>
      </c>
      <c r="C3095" s="191" t="str">
        <f>IF('IWP03'!E$423=0,"",'IWP03'!E$423)</f>
        <v xml:space="preserve">Items/Services Related to Billing Period </v>
      </c>
      <c r="D3095" s="211">
        <f>'IWP03'!G$423</f>
        <v>0</v>
      </c>
      <c r="E3095" s="211" t="str">
        <f>'IWP03'!H$423</f>
        <v xml:space="preserve">Item/
Service Verified Amounts
</v>
      </c>
      <c r="F3095" s="211" t="str">
        <f>'IWP03'!I$423</f>
        <v>Amount Due to DADS (E. - D.)</v>
      </c>
      <c r="G3095" s="191" t="str">
        <f>IF('IWP03'!J$423=0,"",'IWP03'!J$423)</f>
        <v>Amount Reimbursed to 
Employee(s)/Employer</v>
      </c>
      <c r="H3095" s="211">
        <f>'IWP03'!K$423</f>
        <v>0</v>
      </c>
      <c r="I3095" s="211" t="str">
        <f>'IWP03'!L$423</f>
        <v>Amount Due to Employee(s) (G. - E.)</v>
      </c>
      <c r="J3095" s="212" t="str">
        <f>'IWP03'!M$423</f>
        <v>Amount Due to Employer (G. - E.)</v>
      </c>
      <c r="K3095" s="106"/>
      <c r="L3095" s="106"/>
      <c r="M3095" s="129"/>
    </row>
    <row r="3096" spans="1:13" s="105" customFormat="1">
      <c r="A3096" s="193" t="s">
        <v>501</v>
      </c>
      <c r="B3096" s="210">
        <v>5</v>
      </c>
      <c r="C3096" s="191" t="str">
        <f>IF('IWP03'!E$424=0,"",'IWP03'!E$424)</f>
        <v>Item/Service</v>
      </c>
      <c r="D3096" s="211" t="str">
        <f>'IWP03'!G$424</f>
        <v>Itemized Amount Paid by DADS</v>
      </c>
      <c r="E3096" s="211">
        <f>'IWP03'!H$424</f>
        <v>0</v>
      </c>
      <c r="F3096" s="211">
        <f>'IWP03'!I$424</f>
        <v>0</v>
      </c>
      <c r="G3096" s="191" t="str">
        <f>IF('IWP03'!J$424=0,"",'IWP03'!J$424)</f>
        <v/>
      </c>
      <c r="H3096" s="211">
        <f>'IWP03'!K$424</f>
        <v>0</v>
      </c>
      <c r="I3096" s="211">
        <f>'IWP03'!L$424</f>
        <v>0</v>
      </c>
      <c r="J3096" s="212">
        <f>'IWP03'!M$424</f>
        <v>0</v>
      </c>
      <c r="K3096" s="106"/>
      <c r="L3096" s="106"/>
      <c r="M3096" s="129"/>
    </row>
    <row r="3097" spans="1:13" s="105" customFormat="1">
      <c r="A3097" s="193" t="s">
        <v>501</v>
      </c>
      <c r="B3097" s="210">
        <v>5</v>
      </c>
      <c r="C3097" s="191" t="str">
        <f>IF('IWP03'!E$425=0,"",'IWP03'!E$425)</f>
        <v/>
      </c>
      <c r="D3097" s="211">
        <f>'IWP03'!G$425</f>
        <v>0</v>
      </c>
      <c r="E3097" s="211">
        <f>'IWP03'!H$425</f>
        <v>0</v>
      </c>
      <c r="F3097" s="211">
        <f>'IWP03'!I$425</f>
        <v>0</v>
      </c>
      <c r="G3097" s="191" t="str">
        <f>IF('IWP03'!J$425=0,"",'IWP03'!J$425)</f>
        <v/>
      </c>
      <c r="H3097" s="211">
        <f>'IWP03'!K$425</f>
        <v>0</v>
      </c>
      <c r="I3097" s="211">
        <f>'IWP03'!L$425</f>
        <v>0</v>
      </c>
      <c r="J3097" s="212">
        <f>'IWP03'!M$425</f>
        <v>0</v>
      </c>
      <c r="K3097" s="106"/>
      <c r="L3097" s="106"/>
      <c r="M3097" s="129"/>
    </row>
    <row r="3098" spans="1:13" s="105" customFormat="1">
      <c r="A3098" s="193" t="s">
        <v>501</v>
      </c>
      <c r="B3098" s="210">
        <v>5</v>
      </c>
      <c r="C3098" s="191" t="str">
        <f>IF('IWP03'!E$426=0,"",'IWP03'!E$426)</f>
        <v/>
      </c>
      <c r="D3098" s="211">
        <f>'IWP03'!G$426</f>
        <v>0</v>
      </c>
      <c r="E3098" s="211">
        <f>'IWP03'!H$426</f>
        <v>0</v>
      </c>
      <c r="F3098" s="211">
        <f>'IWP03'!I$426</f>
        <v>0</v>
      </c>
      <c r="G3098" s="191" t="str">
        <f>IF('IWP03'!J$426=0,"",'IWP03'!J$426)</f>
        <v/>
      </c>
      <c r="H3098" s="211">
        <f>'IWP03'!K$426</f>
        <v>0</v>
      </c>
      <c r="I3098" s="211">
        <f>'IWP03'!L$426</f>
        <v>0</v>
      </c>
      <c r="J3098" s="212">
        <f>'IWP03'!M$426</f>
        <v>0</v>
      </c>
      <c r="K3098" s="106"/>
      <c r="L3098" s="106"/>
      <c r="M3098" s="129"/>
    </row>
    <row r="3099" spans="1:13" s="105" customFormat="1">
      <c r="A3099" s="193" t="s">
        <v>501</v>
      </c>
      <c r="B3099" s="210">
        <v>5</v>
      </c>
      <c r="C3099" s="191" t="str">
        <f>IF('IWP03'!E$427=0,"",'IWP03'!E$427)</f>
        <v/>
      </c>
      <c r="D3099" s="211">
        <f>'IWP03'!G$427</f>
        <v>0</v>
      </c>
      <c r="E3099" s="211">
        <f>'IWP03'!H$427</f>
        <v>0</v>
      </c>
      <c r="F3099" s="211">
        <f>'IWP03'!I$427</f>
        <v>0</v>
      </c>
      <c r="G3099" s="191" t="str">
        <f>IF('IWP03'!J$427=0,"",'IWP03'!J$427)</f>
        <v/>
      </c>
      <c r="H3099" s="211">
        <f>'IWP03'!K$427</f>
        <v>0</v>
      </c>
      <c r="I3099" s="211">
        <f>'IWP03'!L$427</f>
        <v>0</v>
      </c>
      <c r="J3099" s="212">
        <f>'IWP03'!M$427</f>
        <v>0</v>
      </c>
      <c r="K3099" s="106"/>
      <c r="L3099" s="106"/>
      <c r="M3099" s="129"/>
    </row>
    <row r="3100" spans="1:13" s="105" customFormat="1">
      <c r="A3100" s="193" t="s">
        <v>501</v>
      </c>
      <c r="B3100" s="210">
        <v>5</v>
      </c>
      <c r="C3100" s="191" t="str">
        <f>IF('IWP03'!E$428=0,"",'IWP03'!E$428)</f>
        <v/>
      </c>
      <c r="D3100" s="211">
        <f>'IWP03'!G$428</f>
        <v>0</v>
      </c>
      <c r="E3100" s="211">
        <f>'IWP03'!H$428</f>
        <v>0</v>
      </c>
      <c r="F3100" s="211">
        <f>'IWP03'!I$428</f>
        <v>0</v>
      </c>
      <c r="G3100" s="191" t="str">
        <f>IF('IWP03'!J$428=0,"",'IWP03'!J$428)</f>
        <v/>
      </c>
      <c r="H3100" s="211">
        <f>'IWP03'!K$428</f>
        <v>0</v>
      </c>
      <c r="I3100" s="211">
        <f>'IWP03'!L$428</f>
        <v>0</v>
      </c>
      <c r="J3100" s="212">
        <f>'IWP03'!M$428</f>
        <v>0</v>
      </c>
      <c r="K3100" s="106"/>
      <c r="L3100" s="106"/>
      <c r="M3100" s="129"/>
    </row>
    <row r="3101" spans="1:13" s="105" customFormat="1">
      <c r="A3101" s="193" t="s">
        <v>501</v>
      </c>
      <c r="B3101" s="210">
        <v>6</v>
      </c>
      <c r="C3101" s="191" t="str">
        <f>IF('IWP03'!E$435=0,"",'IWP03'!E$435)</f>
        <v>Subtotal column D.</v>
      </c>
      <c r="D3101" s="211">
        <f>'IWP03'!G$435</f>
        <v>0</v>
      </c>
      <c r="E3101" s="211">
        <f>'IWP03'!H$435</f>
        <v>0</v>
      </c>
      <c r="F3101" s="211">
        <f>'IWP03'!I$435</f>
        <v>0</v>
      </c>
      <c r="G3101" s="191" t="str">
        <f>IF('IWP03'!J$435=0,"",'IWP03'!J$435)</f>
        <v/>
      </c>
      <c r="H3101" s="211">
        <f>'IWP03'!K$435</f>
        <v>0</v>
      </c>
      <c r="I3101" s="211">
        <f>'IWP03'!L$435</f>
        <v>0</v>
      </c>
      <c r="J3101" s="212">
        <f>'IWP03'!M$435</f>
        <v>0</v>
      </c>
      <c r="K3101" s="106"/>
      <c r="L3101" s="106"/>
      <c r="M3101" s="129"/>
    </row>
    <row r="3102" spans="1:13" s="105" customFormat="1">
      <c r="A3102" s="193" t="s">
        <v>501</v>
      </c>
      <c r="B3102" s="210">
        <v>6</v>
      </c>
      <c r="C3102" s="191" t="str">
        <f>IF('IWP03'!E$436=0,"",'IWP03'!E$436)</f>
        <v>Unverified/Undocumented (Subtotal D - C)</v>
      </c>
      <c r="D3102" s="211">
        <f>'IWP03'!G$436</f>
        <v>0</v>
      </c>
      <c r="E3102" s="211">
        <f>'IWP03'!H$436</f>
        <v>0</v>
      </c>
      <c r="F3102" s="211">
        <f>'IWP03'!I$436</f>
        <v>0</v>
      </c>
      <c r="G3102" s="191" t="str">
        <f>IF('IWP03'!J$436=0,"",'IWP03'!J$436)</f>
        <v/>
      </c>
      <c r="H3102" s="211">
        <f>'IWP03'!K$436</f>
        <v>0</v>
      </c>
      <c r="I3102" s="211">
        <f>'IWP03'!L$436</f>
        <v>0</v>
      </c>
      <c r="J3102" s="212">
        <f>'IWP03'!M$436</f>
        <v>0</v>
      </c>
      <c r="K3102" s="106"/>
      <c r="L3102" s="106"/>
      <c r="M3102" s="129"/>
    </row>
    <row r="3103" spans="1:13" s="105" customFormat="1">
      <c r="A3103" s="193" t="s">
        <v>501</v>
      </c>
      <c r="B3103" s="210">
        <v>6</v>
      </c>
      <c r="C3103" s="191" t="str">
        <f>IF('IWP03'!E$437=0,"",'IWP03'!E$437)</f>
        <v>J. Billing Period Total</v>
      </c>
      <c r="D3103" s="211">
        <f>'IWP03'!G$437</f>
        <v>0</v>
      </c>
      <c r="E3103" s="211">
        <f>'IWP03'!H$437</f>
        <v>0</v>
      </c>
      <c r="F3103" s="211">
        <f>'IWP03'!I$437</f>
        <v>0</v>
      </c>
      <c r="G3103" s="191" t="str">
        <f>IF('IWP03'!J$437=0,"",'IWP03'!J$437)</f>
        <v/>
      </c>
      <c r="H3103" s="211">
        <f>'IWP03'!K$437</f>
        <v>0</v>
      </c>
      <c r="I3103" s="211">
        <f>'IWP03'!L$437</f>
        <v>0</v>
      </c>
      <c r="J3103" s="212">
        <f>'IWP03'!M$437</f>
        <v>0</v>
      </c>
      <c r="K3103" s="106"/>
      <c r="L3103" s="106"/>
      <c r="M3103" s="129"/>
    </row>
    <row r="3104" spans="1:13" s="105" customFormat="1">
      <c r="A3104" s="193" t="s">
        <v>501</v>
      </c>
      <c r="B3104" s="210">
        <v>6</v>
      </c>
      <c r="C3104" s="191" t="str">
        <f>IF('IWP03'!E$438=0,"",'IWP03'!E$438)</f>
        <v>D.</v>
      </c>
      <c r="D3104" s="211">
        <f>'IWP03'!G$438</f>
        <v>0</v>
      </c>
      <c r="E3104" s="211" t="str">
        <f>'IWP03'!H$438</f>
        <v>E.</v>
      </c>
      <c r="F3104" s="211" t="str">
        <f>'IWP03'!I$438</f>
        <v>F.</v>
      </c>
      <c r="G3104" s="191" t="str">
        <f>IF('IWP03'!J$438=0,"",'IWP03'!J$438)</f>
        <v>G.</v>
      </c>
      <c r="H3104" s="211">
        <f>'IWP03'!K$438</f>
        <v>0</v>
      </c>
      <c r="I3104" s="211" t="str">
        <f>'IWP03'!L$438</f>
        <v>H.</v>
      </c>
      <c r="J3104" s="212" t="str">
        <f>'IWP03'!M$438</f>
        <v>I.</v>
      </c>
      <c r="K3104" s="106"/>
      <c r="L3104" s="106"/>
      <c r="M3104" s="129"/>
    </row>
    <row r="3105" spans="1:13" s="105" customFormat="1">
      <c r="A3105" s="193" t="s">
        <v>501</v>
      </c>
      <c r="B3105" s="210">
        <v>6</v>
      </c>
      <c r="C3105" s="191" t="str">
        <f>IF('IWP03'!E$439=0,"",'IWP03'!E$439)</f>
        <v xml:space="preserve">Items/Services Related to Billing Period </v>
      </c>
      <c r="D3105" s="211">
        <f>'IWP03'!G$439</f>
        <v>0</v>
      </c>
      <c r="E3105" s="211" t="str">
        <f>'IWP03'!H$439</f>
        <v xml:space="preserve">Item/
Service Verified Amounts
</v>
      </c>
      <c r="F3105" s="211" t="str">
        <f>'IWP03'!I$439</f>
        <v>Amount Due to DADS (E. - D.)</v>
      </c>
      <c r="G3105" s="191" t="str">
        <f>IF('IWP03'!J$439=0,"",'IWP03'!J$439)</f>
        <v>Amount Reimbursed to 
Employee(s)/Employer</v>
      </c>
      <c r="H3105" s="211">
        <f>'IWP03'!K$439</f>
        <v>0</v>
      </c>
      <c r="I3105" s="211" t="str">
        <f>'IWP03'!L$439</f>
        <v>Amount Due to Employee(s) (G. - E.)</v>
      </c>
      <c r="J3105" s="212" t="str">
        <f>'IWP03'!M$439</f>
        <v>Amount Due to Employer (G. - E.)</v>
      </c>
      <c r="K3105" s="106"/>
      <c r="L3105" s="106"/>
      <c r="M3105" s="129"/>
    </row>
    <row r="3106" spans="1:13" s="105" customFormat="1">
      <c r="A3106" s="193" t="s">
        <v>501</v>
      </c>
      <c r="B3106" s="210">
        <v>6</v>
      </c>
      <c r="C3106" s="191" t="str">
        <f>IF('IWP03'!E$440=0,"",'IWP03'!E$440)</f>
        <v>Item/Service</v>
      </c>
      <c r="D3106" s="211" t="str">
        <f>'IWP03'!G$440</f>
        <v>Itemized Amount Paid by DADS</v>
      </c>
      <c r="E3106" s="211">
        <f>'IWP03'!H$440</f>
        <v>0</v>
      </c>
      <c r="F3106" s="211">
        <f>'IWP03'!I$440</f>
        <v>0</v>
      </c>
      <c r="G3106" s="191" t="str">
        <f>IF('IWP03'!J$440=0,"",'IWP03'!J$440)</f>
        <v/>
      </c>
      <c r="H3106" s="211">
        <f>'IWP03'!K$440</f>
        <v>0</v>
      </c>
      <c r="I3106" s="211">
        <f>'IWP03'!L$440</f>
        <v>0</v>
      </c>
      <c r="J3106" s="212">
        <f>'IWP03'!M$440</f>
        <v>0</v>
      </c>
      <c r="K3106" s="106"/>
      <c r="L3106" s="106"/>
      <c r="M3106" s="129"/>
    </row>
    <row r="3107" spans="1:13" s="105" customFormat="1">
      <c r="A3107" s="193" t="s">
        <v>501</v>
      </c>
      <c r="B3107" s="210">
        <v>6</v>
      </c>
      <c r="C3107" s="191" t="str">
        <f>IF('IWP03'!E$441=0,"",'IWP03'!E$441)</f>
        <v/>
      </c>
      <c r="D3107" s="211">
        <f>'IWP03'!G$441</f>
        <v>0</v>
      </c>
      <c r="E3107" s="211">
        <f>'IWP03'!H$441</f>
        <v>0</v>
      </c>
      <c r="F3107" s="211">
        <f>'IWP03'!I$441</f>
        <v>0</v>
      </c>
      <c r="G3107" s="191" t="str">
        <f>IF('IWP03'!J$441=0,"",'IWP03'!J$441)</f>
        <v/>
      </c>
      <c r="H3107" s="211">
        <f>'IWP03'!K$441</f>
        <v>0</v>
      </c>
      <c r="I3107" s="211">
        <f>'IWP03'!L$441</f>
        <v>0</v>
      </c>
      <c r="J3107" s="212">
        <f>'IWP03'!M$441</f>
        <v>0</v>
      </c>
      <c r="K3107" s="106"/>
      <c r="L3107" s="106"/>
      <c r="M3107" s="129"/>
    </row>
    <row r="3108" spans="1:13" s="105" customFormat="1">
      <c r="A3108" s="193" t="s">
        <v>501</v>
      </c>
      <c r="B3108" s="210">
        <v>6</v>
      </c>
      <c r="C3108" s="191" t="str">
        <f>IF('IWP03'!E$442=0,"",'IWP03'!E$442)</f>
        <v/>
      </c>
      <c r="D3108" s="211">
        <f>'IWP03'!G$442</f>
        <v>0</v>
      </c>
      <c r="E3108" s="211">
        <f>'IWP03'!H$442</f>
        <v>0</v>
      </c>
      <c r="F3108" s="211">
        <f>'IWP03'!I$442</f>
        <v>0</v>
      </c>
      <c r="G3108" s="191" t="str">
        <f>IF('IWP03'!J$442=0,"",'IWP03'!J$442)</f>
        <v/>
      </c>
      <c r="H3108" s="211">
        <f>'IWP03'!K$442</f>
        <v>0</v>
      </c>
      <c r="I3108" s="211">
        <f>'IWP03'!L$442</f>
        <v>0</v>
      </c>
      <c r="J3108" s="212">
        <f>'IWP03'!M$442</f>
        <v>0</v>
      </c>
      <c r="K3108" s="106"/>
      <c r="L3108" s="106"/>
      <c r="M3108" s="129"/>
    </row>
    <row r="3109" spans="1:13" s="105" customFormat="1">
      <c r="A3109" s="193" t="s">
        <v>501</v>
      </c>
      <c r="B3109" s="210">
        <v>6</v>
      </c>
      <c r="C3109" s="191" t="str">
        <f>IF('IWP03'!E$443=0,"",'IWP03'!E$443)</f>
        <v/>
      </c>
      <c r="D3109" s="211">
        <f>'IWP03'!G$443</f>
        <v>0</v>
      </c>
      <c r="E3109" s="211">
        <f>'IWP03'!H$443</f>
        <v>0</v>
      </c>
      <c r="F3109" s="211">
        <f>'IWP03'!I$443</f>
        <v>0</v>
      </c>
      <c r="G3109" s="191" t="str">
        <f>IF('IWP03'!J$443=0,"",'IWP03'!J$443)</f>
        <v/>
      </c>
      <c r="H3109" s="211">
        <f>'IWP03'!K$443</f>
        <v>0</v>
      </c>
      <c r="I3109" s="211">
        <f>'IWP03'!L$443</f>
        <v>0</v>
      </c>
      <c r="J3109" s="212">
        <f>'IWP03'!M$443</f>
        <v>0</v>
      </c>
      <c r="K3109" s="106"/>
      <c r="L3109" s="106"/>
      <c r="M3109" s="129"/>
    </row>
    <row r="3110" spans="1:13" s="105" customFormat="1">
      <c r="A3110" s="193" t="s">
        <v>501</v>
      </c>
      <c r="B3110" s="210">
        <v>6</v>
      </c>
      <c r="C3110" s="191" t="str">
        <f>IF('IWP03'!E$444=0,"",'IWP03'!E$444)</f>
        <v/>
      </c>
      <c r="D3110" s="211">
        <f>'IWP03'!G$444</f>
        <v>0</v>
      </c>
      <c r="E3110" s="211">
        <f>'IWP03'!H$444</f>
        <v>0</v>
      </c>
      <c r="F3110" s="211">
        <f>'IWP03'!I$444</f>
        <v>0</v>
      </c>
      <c r="G3110" s="191" t="str">
        <f>IF('IWP03'!J$444=0,"",'IWP03'!J$444)</f>
        <v/>
      </c>
      <c r="H3110" s="211">
        <f>'IWP03'!K$444</f>
        <v>0</v>
      </c>
      <c r="I3110" s="211">
        <f>'IWP03'!L$444</f>
        <v>0</v>
      </c>
      <c r="J3110" s="212">
        <f>'IWP03'!M$444</f>
        <v>0</v>
      </c>
      <c r="K3110" s="106"/>
      <c r="L3110" s="106"/>
      <c r="M3110" s="129"/>
    </row>
    <row r="3111" spans="1:13" s="105" customFormat="1">
      <c r="A3111" s="193" t="s">
        <v>501</v>
      </c>
      <c r="B3111" s="210">
        <v>7</v>
      </c>
      <c r="C3111" s="191" t="str">
        <f>IF('IWP03'!E$451=0,"",'IWP03'!E$451)</f>
        <v>Subtotal column D.</v>
      </c>
      <c r="D3111" s="211">
        <f>'IWP03'!G$451</f>
        <v>0</v>
      </c>
      <c r="E3111" s="211">
        <f>'IWP03'!H$451</f>
        <v>0</v>
      </c>
      <c r="F3111" s="211">
        <f>'IWP03'!I$451</f>
        <v>0</v>
      </c>
      <c r="G3111" s="191" t="str">
        <f>IF('IWP03'!J$451=0,"",'IWP03'!J$451)</f>
        <v/>
      </c>
      <c r="H3111" s="211">
        <f>'IWP03'!K$451</f>
        <v>0</v>
      </c>
      <c r="I3111" s="211">
        <f>'IWP03'!L$451</f>
        <v>0</v>
      </c>
      <c r="J3111" s="212">
        <f>'IWP03'!M$451</f>
        <v>0</v>
      </c>
      <c r="K3111" s="106"/>
      <c r="L3111" s="106"/>
      <c r="M3111" s="129"/>
    </row>
    <row r="3112" spans="1:13" s="105" customFormat="1">
      <c r="A3112" s="193" t="s">
        <v>501</v>
      </c>
      <c r="B3112" s="210">
        <v>7</v>
      </c>
      <c r="C3112" s="191" t="str">
        <f>IF('IWP03'!E$452=0,"",'IWP03'!E$452)</f>
        <v>Unverified/Undocumented (Subtotal D - C)</v>
      </c>
      <c r="D3112" s="211">
        <f>'IWP03'!G$452</f>
        <v>0</v>
      </c>
      <c r="E3112" s="211">
        <f>'IWP03'!H$452</f>
        <v>0</v>
      </c>
      <c r="F3112" s="211">
        <f>'IWP03'!I$452</f>
        <v>0</v>
      </c>
      <c r="G3112" s="191" t="str">
        <f>IF('IWP03'!J$452=0,"",'IWP03'!J$452)</f>
        <v/>
      </c>
      <c r="H3112" s="211">
        <f>'IWP03'!K$452</f>
        <v>0</v>
      </c>
      <c r="I3112" s="211">
        <f>'IWP03'!L$452</f>
        <v>0</v>
      </c>
      <c r="J3112" s="212">
        <f>'IWP03'!M$452</f>
        <v>0</v>
      </c>
      <c r="K3112" s="106"/>
      <c r="L3112" s="106"/>
      <c r="M3112" s="129"/>
    </row>
    <row r="3113" spans="1:13" s="105" customFormat="1">
      <c r="A3113" s="193" t="s">
        <v>501</v>
      </c>
      <c r="B3113" s="210">
        <v>7</v>
      </c>
      <c r="C3113" s="191" t="str">
        <f>IF('IWP03'!E$453=0,"",'IWP03'!E$453)</f>
        <v>J. Billing Period Total</v>
      </c>
      <c r="D3113" s="211">
        <f>'IWP03'!G$453</f>
        <v>0</v>
      </c>
      <c r="E3113" s="211">
        <f>'IWP03'!H$453</f>
        <v>0</v>
      </c>
      <c r="F3113" s="211">
        <f>'IWP03'!I$453</f>
        <v>0</v>
      </c>
      <c r="G3113" s="191" t="str">
        <f>IF('IWP03'!J$453=0,"",'IWP03'!J$453)</f>
        <v/>
      </c>
      <c r="H3113" s="211">
        <f>'IWP03'!K$453</f>
        <v>0</v>
      </c>
      <c r="I3113" s="211">
        <f>'IWP03'!L$453</f>
        <v>0</v>
      </c>
      <c r="J3113" s="212">
        <f>'IWP03'!M$453</f>
        <v>0</v>
      </c>
      <c r="K3113" s="106"/>
      <c r="L3113" s="106"/>
      <c r="M3113" s="129"/>
    </row>
    <row r="3114" spans="1:13" s="105" customFormat="1">
      <c r="A3114" s="193" t="s">
        <v>501</v>
      </c>
      <c r="B3114" s="210">
        <v>7</v>
      </c>
      <c r="C3114" s="191" t="str">
        <f>IF('IWP03'!E$454=0,"",'IWP03'!E$454)</f>
        <v>D.</v>
      </c>
      <c r="D3114" s="211">
        <f>'IWP03'!G$454</f>
        <v>0</v>
      </c>
      <c r="E3114" s="211" t="str">
        <f>'IWP03'!H$454</f>
        <v>E.</v>
      </c>
      <c r="F3114" s="211" t="str">
        <f>'IWP03'!I$454</f>
        <v>F.</v>
      </c>
      <c r="G3114" s="191" t="str">
        <f>IF('IWP03'!J$454=0,"",'IWP03'!J$454)</f>
        <v>G.</v>
      </c>
      <c r="H3114" s="211">
        <f>'IWP03'!K$454</f>
        <v>0</v>
      </c>
      <c r="I3114" s="211" t="str">
        <f>'IWP03'!L$454</f>
        <v>H.</v>
      </c>
      <c r="J3114" s="212" t="str">
        <f>'IWP03'!M$454</f>
        <v>I.</v>
      </c>
      <c r="K3114" s="106"/>
      <c r="L3114" s="106"/>
      <c r="M3114" s="129"/>
    </row>
    <row r="3115" spans="1:13" s="105" customFormat="1">
      <c r="A3115" s="193" t="s">
        <v>501</v>
      </c>
      <c r="B3115" s="210">
        <v>7</v>
      </c>
      <c r="C3115" s="191" t="str">
        <f>IF('IWP03'!E$455=0,"",'IWP03'!E$455)</f>
        <v xml:space="preserve">Items/Services Related to Billing Period </v>
      </c>
      <c r="D3115" s="211">
        <f>'IWP03'!G$455</f>
        <v>0</v>
      </c>
      <c r="E3115" s="211" t="str">
        <f>'IWP03'!H$455</f>
        <v xml:space="preserve">Item/
Service Verified Amounts
</v>
      </c>
      <c r="F3115" s="211" t="str">
        <f>'IWP03'!I$455</f>
        <v>Amount Due to DADS (E. - D.)</v>
      </c>
      <c r="G3115" s="191" t="str">
        <f>IF('IWP03'!J$455=0,"",'IWP03'!J$455)</f>
        <v>Amount Reimbursed to 
Employee(s)/Employer</v>
      </c>
      <c r="H3115" s="211">
        <f>'IWP03'!K$455</f>
        <v>0</v>
      </c>
      <c r="I3115" s="211" t="str">
        <f>'IWP03'!L$455</f>
        <v>Amount Due to Employee(s) (G. - E.)</v>
      </c>
      <c r="J3115" s="212" t="str">
        <f>'IWP03'!M$455</f>
        <v>Amount Due to Employer (G. - E.)</v>
      </c>
      <c r="K3115" s="106"/>
      <c r="L3115" s="106"/>
      <c r="M3115" s="129"/>
    </row>
    <row r="3116" spans="1:13" s="105" customFormat="1">
      <c r="A3116" s="193" t="s">
        <v>501</v>
      </c>
      <c r="B3116" s="210">
        <v>7</v>
      </c>
      <c r="C3116" s="191" t="str">
        <f>IF('IWP03'!E$456=0,"",'IWP03'!E$456)</f>
        <v>Item/Service</v>
      </c>
      <c r="D3116" s="211" t="str">
        <f>'IWP03'!G$456</f>
        <v>Itemized Amount Paid by DADS</v>
      </c>
      <c r="E3116" s="211">
        <f>'IWP03'!H$456</f>
        <v>0</v>
      </c>
      <c r="F3116" s="211">
        <f>'IWP03'!I$456</f>
        <v>0</v>
      </c>
      <c r="G3116" s="191" t="str">
        <f>IF('IWP03'!J$456=0,"",'IWP03'!J$456)</f>
        <v/>
      </c>
      <c r="H3116" s="211">
        <f>'IWP03'!K$456</f>
        <v>0</v>
      </c>
      <c r="I3116" s="211">
        <f>'IWP03'!L$456</f>
        <v>0</v>
      </c>
      <c r="J3116" s="212">
        <f>'IWP03'!M$456</f>
        <v>0</v>
      </c>
      <c r="K3116" s="106"/>
      <c r="L3116" s="106"/>
      <c r="M3116" s="129"/>
    </row>
    <row r="3117" spans="1:13" s="105" customFormat="1">
      <c r="A3117" s="193" t="s">
        <v>501</v>
      </c>
      <c r="B3117" s="210">
        <v>7</v>
      </c>
      <c r="C3117" s="191" t="str">
        <f>IF('IWP03'!E$457=0,"",'IWP03'!E$457)</f>
        <v/>
      </c>
      <c r="D3117" s="211">
        <f>'IWP03'!G$457</f>
        <v>0</v>
      </c>
      <c r="E3117" s="211">
        <f>'IWP03'!H$457</f>
        <v>0</v>
      </c>
      <c r="F3117" s="211">
        <f>'IWP03'!I$457</f>
        <v>0</v>
      </c>
      <c r="G3117" s="191" t="str">
        <f>IF('IWP03'!J$457=0,"",'IWP03'!J$457)</f>
        <v/>
      </c>
      <c r="H3117" s="211">
        <f>'IWP03'!K$457</f>
        <v>0</v>
      </c>
      <c r="I3117" s="211">
        <f>'IWP03'!L$457</f>
        <v>0</v>
      </c>
      <c r="J3117" s="212">
        <f>'IWP03'!M$457</f>
        <v>0</v>
      </c>
      <c r="K3117" s="106"/>
      <c r="L3117" s="106"/>
      <c r="M3117" s="129"/>
    </row>
    <row r="3118" spans="1:13" s="105" customFormat="1">
      <c r="A3118" s="193" t="s">
        <v>501</v>
      </c>
      <c r="B3118" s="210">
        <v>7</v>
      </c>
      <c r="C3118" s="191" t="str">
        <f>IF('IWP03'!E$458=0,"",'IWP03'!E$458)</f>
        <v/>
      </c>
      <c r="D3118" s="211">
        <f>'IWP03'!G$458</f>
        <v>0</v>
      </c>
      <c r="E3118" s="211">
        <f>'IWP03'!H$458</f>
        <v>0</v>
      </c>
      <c r="F3118" s="211">
        <f>'IWP03'!I$458</f>
        <v>0</v>
      </c>
      <c r="G3118" s="191" t="str">
        <f>IF('IWP03'!J$458=0,"",'IWP03'!J$458)</f>
        <v/>
      </c>
      <c r="H3118" s="211">
        <f>'IWP03'!K$458</f>
        <v>0</v>
      </c>
      <c r="I3118" s="211">
        <f>'IWP03'!L$458</f>
        <v>0</v>
      </c>
      <c r="J3118" s="212">
        <f>'IWP03'!M$458</f>
        <v>0</v>
      </c>
      <c r="K3118" s="106"/>
      <c r="L3118" s="106"/>
      <c r="M3118" s="129"/>
    </row>
    <row r="3119" spans="1:13" s="105" customFormat="1">
      <c r="A3119" s="193" t="s">
        <v>501</v>
      </c>
      <c r="B3119" s="210">
        <v>7</v>
      </c>
      <c r="C3119" s="191" t="str">
        <f>IF('IWP03'!E$459=0,"",'IWP03'!E$459)</f>
        <v/>
      </c>
      <c r="D3119" s="211">
        <f>'IWP03'!G$459</f>
        <v>0</v>
      </c>
      <c r="E3119" s="211">
        <f>'IWP03'!H$459</f>
        <v>0</v>
      </c>
      <c r="F3119" s="211">
        <f>'IWP03'!I$459</f>
        <v>0</v>
      </c>
      <c r="G3119" s="191" t="str">
        <f>IF('IWP03'!J$459=0,"",'IWP03'!J$459)</f>
        <v/>
      </c>
      <c r="H3119" s="211">
        <f>'IWP03'!K$459</f>
        <v>0</v>
      </c>
      <c r="I3119" s="211">
        <f>'IWP03'!L$459</f>
        <v>0</v>
      </c>
      <c r="J3119" s="212">
        <f>'IWP03'!M$459</f>
        <v>0</v>
      </c>
      <c r="K3119" s="106"/>
      <c r="L3119" s="106"/>
      <c r="M3119" s="129"/>
    </row>
    <row r="3120" spans="1:13" s="105" customFormat="1">
      <c r="A3120" s="193" t="s">
        <v>501</v>
      </c>
      <c r="B3120" s="210">
        <v>7</v>
      </c>
      <c r="C3120" s="191" t="str">
        <f>IF('IWP03'!E$460=0,"",'IWP03'!E$460)</f>
        <v/>
      </c>
      <c r="D3120" s="211">
        <f>'IWP03'!G$460</f>
        <v>0</v>
      </c>
      <c r="E3120" s="211">
        <f>'IWP03'!H$460</f>
        <v>0</v>
      </c>
      <c r="F3120" s="211">
        <f>'IWP03'!I$460</f>
        <v>0</v>
      </c>
      <c r="G3120" s="191" t="str">
        <f>IF('IWP03'!J$460=0,"",'IWP03'!J$460)</f>
        <v/>
      </c>
      <c r="H3120" s="211">
        <f>'IWP03'!K$460</f>
        <v>0</v>
      </c>
      <c r="I3120" s="211">
        <f>'IWP03'!L$460</f>
        <v>0</v>
      </c>
      <c r="J3120" s="212">
        <f>'IWP03'!M$460</f>
        <v>0</v>
      </c>
      <c r="K3120" s="106"/>
      <c r="L3120" s="106"/>
      <c r="M3120" s="129"/>
    </row>
    <row r="3121" spans="1:13" s="105" customFormat="1">
      <c r="A3121" s="193" t="s">
        <v>501</v>
      </c>
      <c r="B3121" s="210">
        <v>8</v>
      </c>
      <c r="C3121" s="191" t="str">
        <f>IF('IWP03'!E$467=0,"",'IWP03'!E$467)</f>
        <v>Subtotal column D.</v>
      </c>
      <c r="D3121" s="211">
        <f>'IWP03'!G$467</f>
        <v>0</v>
      </c>
      <c r="E3121" s="211">
        <f>'IWP03'!H$467</f>
        <v>0</v>
      </c>
      <c r="F3121" s="211">
        <f>'IWP03'!I$467</f>
        <v>0</v>
      </c>
      <c r="G3121" s="191" t="str">
        <f>IF('IWP03'!J$467=0,"",'IWP03'!J$467)</f>
        <v/>
      </c>
      <c r="H3121" s="211">
        <f>'IWP03'!K$467</f>
        <v>0</v>
      </c>
      <c r="I3121" s="211">
        <f>'IWP03'!L$467</f>
        <v>0</v>
      </c>
      <c r="J3121" s="212">
        <f>'IWP03'!M$467</f>
        <v>0</v>
      </c>
      <c r="K3121" s="106"/>
      <c r="L3121" s="106"/>
      <c r="M3121" s="129"/>
    </row>
    <row r="3122" spans="1:13" s="105" customFormat="1">
      <c r="A3122" s="193" t="s">
        <v>501</v>
      </c>
      <c r="B3122" s="210">
        <v>8</v>
      </c>
      <c r="C3122" s="191" t="str">
        <f>IF('IWP03'!E$468=0,"",'IWP03'!E$468)</f>
        <v>Unverified/Undocumented (Subtotal D - C)</v>
      </c>
      <c r="D3122" s="211">
        <f>'IWP03'!G$468</f>
        <v>0</v>
      </c>
      <c r="E3122" s="211">
        <f>'IWP03'!H$468</f>
        <v>0</v>
      </c>
      <c r="F3122" s="211">
        <f>'IWP03'!I$468</f>
        <v>0</v>
      </c>
      <c r="G3122" s="191" t="str">
        <f>IF('IWP03'!J$468=0,"",'IWP03'!J$468)</f>
        <v/>
      </c>
      <c r="H3122" s="211">
        <f>'IWP03'!K$468</f>
        <v>0</v>
      </c>
      <c r="I3122" s="211">
        <f>'IWP03'!L$468</f>
        <v>0</v>
      </c>
      <c r="J3122" s="212">
        <f>'IWP03'!M$468</f>
        <v>0</v>
      </c>
      <c r="K3122" s="106"/>
      <c r="L3122" s="106"/>
      <c r="M3122" s="129"/>
    </row>
    <row r="3123" spans="1:13" s="105" customFormat="1">
      <c r="A3123" s="193" t="s">
        <v>501</v>
      </c>
      <c r="B3123" s="210">
        <v>8</v>
      </c>
      <c r="C3123" s="191" t="str">
        <f>IF('IWP03'!E$469=0,"",'IWP03'!E$469)</f>
        <v>J. Billing Period Total</v>
      </c>
      <c r="D3123" s="211">
        <f>'IWP03'!G$469</f>
        <v>0</v>
      </c>
      <c r="E3123" s="211">
        <f>'IWP03'!H$469</f>
        <v>0</v>
      </c>
      <c r="F3123" s="211">
        <f>'IWP03'!I$469</f>
        <v>0</v>
      </c>
      <c r="G3123" s="191" t="str">
        <f>IF('IWP03'!J$469=0,"",'IWP03'!J$469)</f>
        <v/>
      </c>
      <c r="H3123" s="211">
        <f>'IWP03'!K$469</f>
        <v>0</v>
      </c>
      <c r="I3123" s="211">
        <f>'IWP03'!L$469</f>
        <v>0</v>
      </c>
      <c r="J3123" s="212">
        <f>'IWP03'!M$469</f>
        <v>0</v>
      </c>
      <c r="K3123" s="106"/>
      <c r="L3123" s="106"/>
      <c r="M3123" s="129"/>
    </row>
    <row r="3124" spans="1:13" s="105" customFormat="1">
      <c r="A3124" s="193" t="s">
        <v>501</v>
      </c>
      <c r="B3124" s="210">
        <v>8</v>
      </c>
      <c r="C3124" s="191" t="str">
        <f>IF('IWP03'!E$470=0,"",'IWP03'!E$470)</f>
        <v>D.</v>
      </c>
      <c r="D3124" s="211">
        <f>'IWP03'!G$470</f>
        <v>0</v>
      </c>
      <c r="E3124" s="211" t="str">
        <f>'IWP03'!H$470</f>
        <v>E.</v>
      </c>
      <c r="F3124" s="211" t="str">
        <f>'IWP03'!I$470</f>
        <v>F.</v>
      </c>
      <c r="G3124" s="191" t="str">
        <f>IF('IWP03'!J$470=0,"",'IWP03'!J$470)</f>
        <v>G.</v>
      </c>
      <c r="H3124" s="211">
        <f>'IWP03'!K$470</f>
        <v>0</v>
      </c>
      <c r="I3124" s="211" t="str">
        <f>'IWP03'!L$470</f>
        <v>H.</v>
      </c>
      <c r="J3124" s="212" t="str">
        <f>'IWP03'!M$470</f>
        <v>I.</v>
      </c>
      <c r="K3124" s="106"/>
      <c r="L3124" s="106"/>
      <c r="M3124" s="129"/>
    </row>
    <row r="3125" spans="1:13" s="105" customFormat="1">
      <c r="A3125" s="193" t="s">
        <v>501</v>
      </c>
      <c r="B3125" s="210">
        <v>8</v>
      </c>
      <c r="C3125" s="191" t="str">
        <f>IF('IWP03'!E$471=0,"",'IWP03'!E$471)</f>
        <v xml:space="preserve">Items/Services Related to Billing Period </v>
      </c>
      <c r="D3125" s="211">
        <f>'IWP03'!G$471</f>
        <v>0</v>
      </c>
      <c r="E3125" s="211" t="str">
        <f>'IWP03'!H$471</f>
        <v xml:space="preserve">Item/
Service Verified Amounts
</v>
      </c>
      <c r="F3125" s="211" t="str">
        <f>'IWP03'!I$471</f>
        <v>Amount Due to DADS (E. - D.)</v>
      </c>
      <c r="G3125" s="191" t="str">
        <f>IF('IWP03'!J$471=0,"",'IWP03'!J$471)</f>
        <v>Amount Reimbursed to 
Employee(s)/Employer</v>
      </c>
      <c r="H3125" s="211">
        <f>'IWP03'!K$471</f>
        <v>0</v>
      </c>
      <c r="I3125" s="211" t="str">
        <f>'IWP03'!L$471</f>
        <v>Amount Due to Employee(s) (G. - E.)</v>
      </c>
      <c r="J3125" s="212" t="str">
        <f>'IWP03'!M$471</f>
        <v>Amount Due to Employer (G. - E.)</v>
      </c>
      <c r="K3125" s="106"/>
      <c r="L3125" s="106"/>
      <c r="M3125" s="129"/>
    </row>
    <row r="3126" spans="1:13" s="105" customFormat="1">
      <c r="A3126" s="193" t="s">
        <v>501</v>
      </c>
      <c r="B3126" s="210">
        <v>8</v>
      </c>
      <c r="C3126" s="191" t="str">
        <f>IF('IWP03'!E$472=0,"",'IWP03'!E$472)</f>
        <v>Item/Service</v>
      </c>
      <c r="D3126" s="211" t="str">
        <f>'IWP03'!G$472</f>
        <v>Itemized Amount Paid by DADS</v>
      </c>
      <c r="E3126" s="211">
        <f>'IWP03'!H$472</f>
        <v>0</v>
      </c>
      <c r="F3126" s="211">
        <f>'IWP03'!I$472</f>
        <v>0</v>
      </c>
      <c r="G3126" s="191" t="str">
        <f>IF('IWP03'!J$472=0,"",'IWP03'!J$472)</f>
        <v/>
      </c>
      <c r="H3126" s="211">
        <f>'IWP03'!K$472</f>
        <v>0</v>
      </c>
      <c r="I3126" s="211">
        <f>'IWP03'!L$472</f>
        <v>0</v>
      </c>
      <c r="J3126" s="212">
        <f>'IWP03'!M$472</f>
        <v>0</v>
      </c>
      <c r="K3126" s="106"/>
      <c r="L3126" s="106"/>
      <c r="M3126" s="129"/>
    </row>
    <row r="3127" spans="1:13" s="105" customFormat="1">
      <c r="A3127" s="193" t="s">
        <v>501</v>
      </c>
      <c r="B3127" s="210">
        <v>8</v>
      </c>
      <c r="C3127" s="191" t="str">
        <f>IF('IWP03'!E$473=0,"",'IWP03'!E$473)</f>
        <v/>
      </c>
      <c r="D3127" s="211">
        <f>'IWP03'!G$473</f>
        <v>0</v>
      </c>
      <c r="E3127" s="211">
        <f>'IWP03'!H$473</f>
        <v>0</v>
      </c>
      <c r="F3127" s="211">
        <f>'IWP03'!I$473</f>
        <v>0</v>
      </c>
      <c r="G3127" s="191" t="str">
        <f>IF('IWP03'!J$473=0,"",'IWP03'!J$473)</f>
        <v/>
      </c>
      <c r="H3127" s="211">
        <f>'IWP03'!K$473</f>
        <v>0</v>
      </c>
      <c r="I3127" s="211">
        <f>'IWP03'!L$473</f>
        <v>0</v>
      </c>
      <c r="J3127" s="212">
        <f>'IWP03'!M$473</f>
        <v>0</v>
      </c>
      <c r="K3127" s="106"/>
      <c r="L3127" s="106"/>
      <c r="M3127" s="129"/>
    </row>
    <row r="3128" spans="1:13" s="105" customFormat="1">
      <c r="A3128" s="193" t="s">
        <v>501</v>
      </c>
      <c r="B3128" s="210">
        <v>8</v>
      </c>
      <c r="C3128" s="191" t="str">
        <f>IF('IWP03'!E$474=0,"",'IWP03'!E$474)</f>
        <v/>
      </c>
      <c r="D3128" s="211">
        <f>'IWP03'!G$474</f>
        <v>0</v>
      </c>
      <c r="E3128" s="211">
        <f>'IWP03'!H$474</f>
        <v>0</v>
      </c>
      <c r="F3128" s="211">
        <f>'IWP03'!I$474</f>
        <v>0</v>
      </c>
      <c r="G3128" s="191" t="str">
        <f>IF('IWP03'!J$474=0,"",'IWP03'!J$474)</f>
        <v/>
      </c>
      <c r="H3128" s="211">
        <f>'IWP03'!K$474</f>
        <v>0</v>
      </c>
      <c r="I3128" s="211">
        <f>'IWP03'!L$474</f>
        <v>0</v>
      </c>
      <c r="J3128" s="212">
        <f>'IWP03'!M$474</f>
        <v>0</v>
      </c>
      <c r="K3128" s="106"/>
      <c r="L3128" s="106"/>
      <c r="M3128" s="129"/>
    </row>
    <row r="3129" spans="1:13" s="105" customFormat="1">
      <c r="A3129" s="193" t="s">
        <v>501</v>
      </c>
      <c r="B3129" s="210">
        <v>8</v>
      </c>
      <c r="C3129" s="191" t="str">
        <f>IF('IWP03'!E$475=0,"",'IWP03'!E$475)</f>
        <v/>
      </c>
      <c r="D3129" s="211">
        <f>'IWP03'!G$475</f>
        <v>0</v>
      </c>
      <c r="E3129" s="211">
        <f>'IWP03'!H$475</f>
        <v>0</v>
      </c>
      <c r="F3129" s="211">
        <f>'IWP03'!I$475</f>
        <v>0</v>
      </c>
      <c r="G3129" s="191" t="str">
        <f>IF('IWP03'!J$475=0,"",'IWP03'!J$475)</f>
        <v/>
      </c>
      <c r="H3129" s="211">
        <f>'IWP03'!K$475</f>
        <v>0</v>
      </c>
      <c r="I3129" s="211">
        <f>'IWP03'!L$475</f>
        <v>0</v>
      </c>
      <c r="J3129" s="212">
        <f>'IWP03'!M$475</f>
        <v>0</v>
      </c>
      <c r="K3129" s="106"/>
      <c r="L3129" s="106"/>
      <c r="M3129" s="129"/>
    </row>
    <row r="3130" spans="1:13" s="105" customFormat="1">
      <c r="A3130" s="193" t="s">
        <v>501</v>
      </c>
      <c r="B3130" s="210">
        <v>8</v>
      </c>
      <c r="C3130" s="191" t="str">
        <f>IF('IWP03'!E$476=0,"",'IWP03'!E$476)</f>
        <v/>
      </c>
      <c r="D3130" s="211">
        <f>'IWP03'!G$476</f>
        <v>0</v>
      </c>
      <c r="E3130" s="211">
        <f>'IWP03'!H$476</f>
        <v>0</v>
      </c>
      <c r="F3130" s="211">
        <f>'IWP03'!I$476</f>
        <v>0</v>
      </c>
      <c r="G3130" s="191" t="str">
        <f>IF('IWP03'!J$476=0,"",'IWP03'!J$476)</f>
        <v/>
      </c>
      <c r="H3130" s="211">
        <f>'IWP03'!K$476</f>
        <v>0</v>
      </c>
      <c r="I3130" s="211">
        <f>'IWP03'!L$476</f>
        <v>0</v>
      </c>
      <c r="J3130" s="212">
        <f>'IWP03'!M$476</f>
        <v>0</v>
      </c>
      <c r="K3130" s="106"/>
      <c r="L3130" s="106"/>
      <c r="M3130" s="129"/>
    </row>
    <row r="3131" spans="1:13" s="105" customFormat="1">
      <c r="A3131" s="193" t="s">
        <v>501</v>
      </c>
      <c r="B3131" s="210">
        <v>9</v>
      </c>
      <c r="C3131" s="191" t="str">
        <f>IF('IWP03'!E$483=0,"",'IWP03'!E$483)</f>
        <v>Subtotal column D.</v>
      </c>
      <c r="D3131" s="211">
        <f>'IWP03'!G$483</f>
        <v>0</v>
      </c>
      <c r="E3131" s="211">
        <f>'IWP03'!H$483</f>
        <v>0</v>
      </c>
      <c r="F3131" s="211">
        <f>'IWP03'!I$483</f>
        <v>0</v>
      </c>
      <c r="G3131" s="191" t="str">
        <f>IF('IWP03'!J$483=0,"",'IWP03'!J$483)</f>
        <v/>
      </c>
      <c r="H3131" s="211">
        <f>'IWP03'!K$483</f>
        <v>0</v>
      </c>
      <c r="I3131" s="211">
        <f>'IWP03'!L$483</f>
        <v>0</v>
      </c>
      <c r="J3131" s="212">
        <f>'IWP03'!M$483</f>
        <v>0</v>
      </c>
      <c r="K3131" s="106"/>
      <c r="L3131" s="106"/>
      <c r="M3131" s="129"/>
    </row>
    <row r="3132" spans="1:13" s="105" customFormat="1">
      <c r="A3132" s="193" t="s">
        <v>501</v>
      </c>
      <c r="B3132" s="210">
        <v>9</v>
      </c>
      <c r="C3132" s="191" t="str">
        <f>IF('IWP03'!E$484=0,"",'IWP03'!E$484)</f>
        <v>Unverified/Undocumented (Subtotal D - C)</v>
      </c>
      <c r="D3132" s="211">
        <f>'IWP03'!G$484</f>
        <v>0</v>
      </c>
      <c r="E3132" s="211">
        <f>'IWP03'!H$484</f>
        <v>0</v>
      </c>
      <c r="F3132" s="211">
        <f>'IWP03'!I$484</f>
        <v>0</v>
      </c>
      <c r="G3132" s="191" t="str">
        <f>IF('IWP03'!J$484=0,"",'IWP03'!J$484)</f>
        <v/>
      </c>
      <c r="H3132" s="211">
        <f>'IWP03'!K$484</f>
        <v>0</v>
      </c>
      <c r="I3132" s="211">
        <f>'IWP03'!L$484</f>
        <v>0</v>
      </c>
      <c r="J3132" s="212">
        <f>'IWP03'!M$484</f>
        <v>0</v>
      </c>
      <c r="K3132" s="106"/>
      <c r="L3132" s="106"/>
      <c r="M3132" s="129"/>
    </row>
    <row r="3133" spans="1:13" s="105" customFormat="1">
      <c r="A3133" s="193" t="s">
        <v>501</v>
      </c>
      <c r="B3133" s="210">
        <v>9</v>
      </c>
      <c r="C3133" s="191" t="str">
        <f>IF('IWP03'!E$485=0,"",'IWP03'!E$485)</f>
        <v>J. Billing Period Total</v>
      </c>
      <c r="D3133" s="211">
        <f>'IWP03'!G$485</f>
        <v>0</v>
      </c>
      <c r="E3133" s="211">
        <f>'IWP03'!H$485</f>
        <v>0</v>
      </c>
      <c r="F3133" s="211">
        <f>'IWP03'!I$485</f>
        <v>0</v>
      </c>
      <c r="G3133" s="191" t="str">
        <f>IF('IWP03'!J$485=0,"",'IWP03'!J$485)</f>
        <v/>
      </c>
      <c r="H3133" s="211">
        <f>'IWP03'!K$485</f>
        <v>0</v>
      </c>
      <c r="I3133" s="211">
        <f>'IWP03'!L$485</f>
        <v>0</v>
      </c>
      <c r="J3133" s="212">
        <f>'IWP03'!M$485</f>
        <v>0</v>
      </c>
      <c r="K3133" s="106"/>
      <c r="L3133" s="106"/>
      <c r="M3133" s="129"/>
    </row>
    <row r="3134" spans="1:13" s="105" customFormat="1">
      <c r="A3134" s="193" t="s">
        <v>501</v>
      </c>
      <c r="B3134" s="210">
        <v>9</v>
      </c>
      <c r="C3134" s="191" t="str">
        <f>IF('IWP03'!E$486=0,"",'IWP03'!E$486)</f>
        <v>D.</v>
      </c>
      <c r="D3134" s="211">
        <f>'IWP03'!G$486</f>
        <v>0</v>
      </c>
      <c r="E3134" s="211" t="str">
        <f>'IWP03'!H$486</f>
        <v>E.</v>
      </c>
      <c r="F3134" s="211" t="str">
        <f>'IWP03'!I$486</f>
        <v>F.</v>
      </c>
      <c r="G3134" s="191" t="str">
        <f>IF('IWP03'!J$486=0,"",'IWP03'!J$486)</f>
        <v>G.</v>
      </c>
      <c r="H3134" s="211">
        <f>'IWP03'!K$486</f>
        <v>0</v>
      </c>
      <c r="I3134" s="211" t="str">
        <f>'IWP03'!L$486</f>
        <v>H.</v>
      </c>
      <c r="J3134" s="212" t="str">
        <f>'IWP03'!M$486</f>
        <v>I.</v>
      </c>
      <c r="K3134" s="106"/>
      <c r="L3134" s="106"/>
      <c r="M3134" s="129"/>
    </row>
    <row r="3135" spans="1:13" s="105" customFormat="1">
      <c r="A3135" s="193" t="s">
        <v>501</v>
      </c>
      <c r="B3135" s="210">
        <v>9</v>
      </c>
      <c r="C3135" s="191" t="str">
        <f>IF('IWP03'!E$487=0,"",'IWP03'!E$487)</f>
        <v xml:space="preserve">Items/Services Related to Billing Period </v>
      </c>
      <c r="D3135" s="211">
        <f>'IWP03'!G$487</f>
        <v>0</v>
      </c>
      <c r="E3135" s="211" t="str">
        <f>'IWP03'!H$487</f>
        <v xml:space="preserve">Item/
Service Verified Amounts
</v>
      </c>
      <c r="F3135" s="211" t="str">
        <f>'IWP03'!I$487</f>
        <v>Amount Due to DADS (E. - D.)</v>
      </c>
      <c r="G3135" s="191" t="str">
        <f>IF('IWP03'!J$487=0,"",'IWP03'!J$487)</f>
        <v>Amount Reimbursed to 
Employee(s)/Employer</v>
      </c>
      <c r="H3135" s="211">
        <f>'IWP03'!K$487</f>
        <v>0</v>
      </c>
      <c r="I3135" s="211" t="str">
        <f>'IWP03'!L$487</f>
        <v>Amount Due to Employee(s) (G. - E.)</v>
      </c>
      <c r="J3135" s="212" t="str">
        <f>'IWP03'!M$487</f>
        <v>Amount Due to Employer (G. - E.)</v>
      </c>
      <c r="K3135" s="106"/>
      <c r="L3135" s="106"/>
      <c r="M3135" s="129"/>
    </row>
    <row r="3136" spans="1:13" s="105" customFormat="1">
      <c r="A3136" s="193" t="s">
        <v>501</v>
      </c>
      <c r="B3136" s="210">
        <v>9</v>
      </c>
      <c r="C3136" s="191" t="str">
        <f>IF('IWP03'!E$488=0,"",'IWP03'!E$488)</f>
        <v>Item/Service</v>
      </c>
      <c r="D3136" s="211" t="str">
        <f>'IWP03'!G$488</f>
        <v>Itemized Amount Paid by DADS</v>
      </c>
      <c r="E3136" s="211">
        <f>'IWP03'!H$488</f>
        <v>0</v>
      </c>
      <c r="F3136" s="211">
        <f>'IWP03'!I$488</f>
        <v>0</v>
      </c>
      <c r="G3136" s="191" t="str">
        <f>IF('IWP03'!J$488=0,"",'IWP03'!J$488)</f>
        <v/>
      </c>
      <c r="H3136" s="211">
        <f>'IWP03'!K$488</f>
        <v>0</v>
      </c>
      <c r="I3136" s="211">
        <f>'IWP03'!L$488</f>
        <v>0</v>
      </c>
      <c r="J3136" s="212">
        <f>'IWP03'!M$488</f>
        <v>0</v>
      </c>
      <c r="K3136" s="106"/>
      <c r="L3136" s="106"/>
      <c r="M3136" s="129"/>
    </row>
    <row r="3137" spans="1:13" s="105" customFormat="1">
      <c r="A3137" s="193" t="s">
        <v>501</v>
      </c>
      <c r="B3137" s="210">
        <v>9</v>
      </c>
      <c r="C3137" s="191" t="str">
        <f>IF('IWP03'!E$489=0,"",'IWP03'!E$489)</f>
        <v/>
      </c>
      <c r="D3137" s="211">
        <f>'IWP03'!G$489</f>
        <v>0</v>
      </c>
      <c r="E3137" s="211">
        <f>'IWP03'!H$489</f>
        <v>0</v>
      </c>
      <c r="F3137" s="211">
        <f>'IWP03'!I$489</f>
        <v>0</v>
      </c>
      <c r="G3137" s="191" t="str">
        <f>IF('IWP03'!J$489=0,"",'IWP03'!J$489)</f>
        <v/>
      </c>
      <c r="H3137" s="211">
        <f>'IWP03'!K$489</f>
        <v>0</v>
      </c>
      <c r="I3137" s="211">
        <f>'IWP03'!L$489</f>
        <v>0</v>
      </c>
      <c r="J3137" s="212">
        <f>'IWP03'!M$489</f>
        <v>0</v>
      </c>
      <c r="K3137" s="106"/>
      <c r="L3137" s="106"/>
      <c r="M3137" s="129"/>
    </row>
    <row r="3138" spans="1:13" s="105" customFormat="1">
      <c r="A3138" s="193" t="s">
        <v>501</v>
      </c>
      <c r="B3138" s="210">
        <v>9</v>
      </c>
      <c r="C3138" s="191" t="str">
        <f>IF('IWP03'!E$490=0,"",'IWP03'!E$490)</f>
        <v/>
      </c>
      <c r="D3138" s="211">
        <f>'IWP03'!G$490</f>
        <v>0</v>
      </c>
      <c r="E3138" s="211">
        <f>'IWP03'!H$490</f>
        <v>0</v>
      </c>
      <c r="F3138" s="211">
        <f>'IWP03'!I$490</f>
        <v>0</v>
      </c>
      <c r="G3138" s="191" t="str">
        <f>IF('IWP03'!J$490=0,"",'IWP03'!J$490)</f>
        <v/>
      </c>
      <c r="H3138" s="211">
        <f>'IWP03'!K$490</f>
        <v>0</v>
      </c>
      <c r="I3138" s="211">
        <f>'IWP03'!L$490</f>
        <v>0</v>
      </c>
      <c r="J3138" s="212">
        <f>'IWP03'!M$490</f>
        <v>0</v>
      </c>
      <c r="K3138" s="106"/>
      <c r="L3138" s="106"/>
      <c r="M3138" s="129"/>
    </row>
    <row r="3139" spans="1:13" s="105" customFormat="1">
      <c r="A3139" s="193" t="s">
        <v>501</v>
      </c>
      <c r="B3139" s="210">
        <v>9</v>
      </c>
      <c r="C3139" s="191" t="str">
        <f>IF('IWP03'!E$491=0,"",'IWP03'!E$491)</f>
        <v/>
      </c>
      <c r="D3139" s="211">
        <f>'IWP03'!G$491</f>
        <v>0</v>
      </c>
      <c r="E3139" s="211">
        <f>'IWP03'!H$491</f>
        <v>0</v>
      </c>
      <c r="F3139" s="211">
        <f>'IWP03'!I$491</f>
        <v>0</v>
      </c>
      <c r="G3139" s="191" t="str">
        <f>IF('IWP03'!J$491=0,"",'IWP03'!J$491)</f>
        <v/>
      </c>
      <c r="H3139" s="211">
        <f>'IWP03'!K$491</f>
        <v>0</v>
      </c>
      <c r="I3139" s="211">
        <f>'IWP03'!L$491</f>
        <v>0</v>
      </c>
      <c r="J3139" s="212">
        <f>'IWP03'!M$491</f>
        <v>0</v>
      </c>
      <c r="K3139" s="106"/>
      <c r="L3139" s="106"/>
      <c r="M3139" s="129"/>
    </row>
    <row r="3140" spans="1:13" s="105" customFormat="1">
      <c r="A3140" s="193" t="s">
        <v>501</v>
      </c>
      <c r="B3140" s="210">
        <v>9</v>
      </c>
      <c r="C3140" s="191" t="str">
        <f>IF('IWP03'!E$492=0,"",'IWP03'!E$492)</f>
        <v/>
      </c>
      <c r="D3140" s="211">
        <f>'IWP03'!G$492</f>
        <v>0</v>
      </c>
      <c r="E3140" s="211">
        <f>'IWP03'!H$492</f>
        <v>0</v>
      </c>
      <c r="F3140" s="211">
        <f>'IWP03'!I$492</f>
        <v>0</v>
      </c>
      <c r="G3140" s="191" t="str">
        <f>IF('IWP03'!J$492=0,"",'IWP03'!J$492)</f>
        <v/>
      </c>
      <c r="H3140" s="211">
        <f>'IWP03'!K$492</f>
        <v>0</v>
      </c>
      <c r="I3140" s="211">
        <f>'IWP03'!L$492</f>
        <v>0</v>
      </c>
      <c r="J3140" s="212">
        <f>'IWP03'!M$492</f>
        <v>0</v>
      </c>
      <c r="K3140" s="106"/>
      <c r="L3140" s="106"/>
      <c r="M3140" s="129"/>
    </row>
    <row r="3141" spans="1:13" s="105" customFormat="1">
      <c r="A3141" s="193" t="s">
        <v>501</v>
      </c>
      <c r="B3141" s="210">
        <v>10</v>
      </c>
      <c r="C3141" s="191" t="str">
        <f>IF('IWP03'!E$499=0,"",'IWP03'!E$499)</f>
        <v>Subtotal column D.</v>
      </c>
      <c r="D3141" s="211">
        <f>'IWP03'!G$499</f>
        <v>0</v>
      </c>
      <c r="E3141" s="211">
        <f>'IWP03'!H$499</f>
        <v>0</v>
      </c>
      <c r="F3141" s="211">
        <f>'IWP03'!I$499</f>
        <v>0</v>
      </c>
      <c r="G3141" s="191" t="str">
        <f>IF('IWP03'!J$499=0,"",'IWP03'!J$499)</f>
        <v/>
      </c>
      <c r="H3141" s="211">
        <f>'IWP03'!K$499</f>
        <v>0</v>
      </c>
      <c r="I3141" s="211">
        <f>'IWP03'!L$499</f>
        <v>0</v>
      </c>
      <c r="J3141" s="212">
        <f>'IWP03'!M$499</f>
        <v>0</v>
      </c>
      <c r="K3141" s="106"/>
      <c r="L3141" s="106"/>
      <c r="M3141" s="129"/>
    </row>
    <row r="3142" spans="1:13" s="105" customFormat="1">
      <c r="A3142" s="193" t="s">
        <v>501</v>
      </c>
      <c r="B3142" s="210">
        <v>10</v>
      </c>
      <c r="C3142" s="191" t="str">
        <f>IF('IWP03'!E$500=0,"",'IWP03'!E$500)</f>
        <v>Unverified/Undocumented (Subtotal D - C)</v>
      </c>
      <c r="D3142" s="211">
        <f>'IWP03'!G$500</f>
        <v>0</v>
      </c>
      <c r="E3142" s="211">
        <f>'IWP03'!H$500</f>
        <v>0</v>
      </c>
      <c r="F3142" s="211">
        <f>'IWP03'!I$500</f>
        <v>0</v>
      </c>
      <c r="G3142" s="191" t="str">
        <f>IF('IWP03'!J$500=0,"",'IWP03'!J$500)</f>
        <v/>
      </c>
      <c r="H3142" s="211">
        <f>'IWP03'!K$500</f>
        <v>0</v>
      </c>
      <c r="I3142" s="211">
        <f>'IWP03'!L$500</f>
        <v>0</v>
      </c>
      <c r="J3142" s="212">
        <f>'IWP03'!M$500</f>
        <v>0</v>
      </c>
      <c r="K3142" s="106"/>
      <c r="L3142" s="106"/>
      <c r="M3142" s="129"/>
    </row>
    <row r="3143" spans="1:13" s="105" customFormat="1">
      <c r="A3143" s="193" t="s">
        <v>501</v>
      </c>
      <c r="B3143" s="210">
        <v>10</v>
      </c>
      <c r="C3143" s="191" t="str">
        <f>IF('IWP03'!E$501=0,"",'IWP03'!E$501)</f>
        <v>J. Billing Period Total</v>
      </c>
      <c r="D3143" s="211">
        <f>'IWP03'!G$501</f>
        <v>0</v>
      </c>
      <c r="E3143" s="211">
        <f>'IWP03'!H$501</f>
        <v>0</v>
      </c>
      <c r="F3143" s="211">
        <f>'IWP03'!I$501</f>
        <v>0</v>
      </c>
      <c r="G3143" s="191" t="str">
        <f>IF('IWP03'!J$501=0,"",'IWP03'!J$501)</f>
        <v/>
      </c>
      <c r="H3143" s="211">
        <f>'IWP03'!K$501</f>
        <v>0</v>
      </c>
      <c r="I3143" s="211">
        <f>'IWP03'!L$501</f>
        <v>0</v>
      </c>
      <c r="J3143" s="212">
        <f>'IWP03'!M$501</f>
        <v>0</v>
      </c>
      <c r="K3143" s="106"/>
      <c r="L3143" s="106"/>
      <c r="M3143" s="129"/>
    </row>
    <row r="3144" spans="1:13" s="105" customFormat="1">
      <c r="A3144" s="193" t="s">
        <v>501</v>
      </c>
      <c r="B3144" s="210">
        <v>10</v>
      </c>
      <c r="C3144" s="191" t="str">
        <f>IF('IWP03'!E$502=0,"",'IWP03'!E$502)</f>
        <v>D.</v>
      </c>
      <c r="D3144" s="211">
        <f>'IWP03'!G$502</f>
        <v>0</v>
      </c>
      <c r="E3144" s="211" t="str">
        <f>'IWP03'!H$502</f>
        <v>E.</v>
      </c>
      <c r="F3144" s="211" t="str">
        <f>'IWP03'!I$502</f>
        <v>F.</v>
      </c>
      <c r="G3144" s="191" t="str">
        <f>IF('IWP03'!J$502=0,"",'IWP03'!J$502)</f>
        <v>G.</v>
      </c>
      <c r="H3144" s="211">
        <f>'IWP03'!K$502</f>
        <v>0</v>
      </c>
      <c r="I3144" s="211" t="str">
        <f>'IWP03'!L$502</f>
        <v>H.</v>
      </c>
      <c r="J3144" s="212" t="str">
        <f>'IWP03'!M$502</f>
        <v>I.</v>
      </c>
      <c r="K3144" s="106"/>
      <c r="L3144" s="106"/>
      <c r="M3144" s="129"/>
    </row>
    <row r="3145" spans="1:13" s="105" customFormat="1">
      <c r="A3145" s="193" t="s">
        <v>501</v>
      </c>
      <c r="B3145" s="210">
        <v>10</v>
      </c>
      <c r="C3145" s="191" t="str">
        <f>IF('IWP03'!E$503=0,"",'IWP03'!E$503)</f>
        <v xml:space="preserve">Items/Services Related to Billing Period </v>
      </c>
      <c r="D3145" s="211">
        <f>'IWP03'!G$503</f>
        <v>0</v>
      </c>
      <c r="E3145" s="211" t="str">
        <f>'IWP03'!H$503</f>
        <v xml:space="preserve">Item/
Service Verified Amounts
</v>
      </c>
      <c r="F3145" s="211" t="str">
        <f>'IWP03'!I$503</f>
        <v>Amount Due to DADS (E. - D.)</v>
      </c>
      <c r="G3145" s="191" t="str">
        <f>IF('IWP03'!J$503=0,"",'IWP03'!J$503)</f>
        <v>Amount Reimbursed to 
Employee(s)/Employer</v>
      </c>
      <c r="H3145" s="211">
        <f>'IWP03'!K$503</f>
        <v>0</v>
      </c>
      <c r="I3145" s="211" t="str">
        <f>'IWP03'!L$503</f>
        <v>Amount Due to Employee(s) (G. - E.)</v>
      </c>
      <c r="J3145" s="212" t="str">
        <f>'IWP03'!M$503</f>
        <v>Amount Due to Employer (G. - E.)</v>
      </c>
      <c r="K3145" s="106"/>
      <c r="L3145" s="106"/>
      <c r="M3145" s="129"/>
    </row>
    <row r="3146" spans="1:13" s="105" customFormat="1">
      <c r="A3146" s="193" t="s">
        <v>501</v>
      </c>
      <c r="B3146" s="210">
        <v>10</v>
      </c>
      <c r="C3146" s="191" t="str">
        <f>IF('IWP03'!E$504=0,"",'IWP03'!E$504)</f>
        <v>Item/Service</v>
      </c>
      <c r="D3146" s="211" t="str">
        <f>'IWP03'!G$504</f>
        <v>Itemized Amount Paid by DADS</v>
      </c>
      <c r="E3146" s="211">
        <f>'IWP03'!H$504</f>
        <v>0</v>
      </c>
      <c r="F3146" s="211">
        <f>'IWP03'!I$504</f>
        <v>0</v>
      </c>
      <c r="G3146" s="191" t="str">
        <f>IF('IWP03'!J$504=0,"",'IWP03'!J$504)</f>
        <v/>
      </c>
      <c r="H3146" s="211">
        <f>'IWP03'!K$504</f>
        <v>0</v>
      </c>
      <c r="I3146" s="211">
        <f>'IWP03'!L$504</f>
        <v>0</v>
      </c>
      <c r="J3146" s="212">
        <f>'IWP03'!M$504</f>
        <v>0</v>
      </c>
      <c r="K3146" s="106"/>
      <c r="L3146" s="106"/>
      <c r="M3146" s="129"/>
    </row>
    <row r="3147" spans="1:13" s="105" customFormat="1">
      <c r="A3147" s="193" t="s">
        <v>501</v>
      </c>
      <c r="B3147" s="210">
        <v>10</v>
      </c>
      <c r="C3147" s="191" t="str">
        <f>IF('IWP03'!E$505=0,"",'IWP03'!E$505)</f>
        <v/>
      </c>
      <c r="D3147" s="211">
        <f>'IWP03'!G$505</f>
        <v>0</v>
      </c>
      <c r="E3147" s="211">
        <f>'IWP03'!H$505</f>
        <v>0</v>
      </c>
      <c r="F3147" s="211">
        <f>'IWP03'!I$505</f>
        <v>0</v>
      </c>
      <c r="G3147" s="191" t="str">
        <f>IF('IWP03'!J$505=0,"",'IWP03'!J$505)</f>
        <v/>
      </c>
      <c r="H3147" s="211">
        <f>'IWP03'!K$505</f>
        <v>0</v>
      </c>
      <c r="I3147" s="211">
        <f>'IWP03'!L$505</f>
        <v>0</v>
      </c>
      <c r="J3147" s="212">
        <f>'IWP03'!M$505</f>
        <v>0</v>
      </c>
      <c r="K3147" s="106"/>
      <c r="L3147" s="106"/>
      <c r="M3147" s="129"/>
    </row>
    <row r="3148" spans="1:13" s="105" customFormat="1">
      <c r="A3148" s="193" t="s">
        <v>501</v>
      </c>
      <c r="B3148" s="210">
        <v>10</v>
      </c>
      <c r="C3148" s="191" t="str">
        <f>IF('IWP03'!E$506=0,"",'IWP03'!E$506)</f>
        <v/>
      </c>
      <c r="D3148" s="211">
        <f>'IWP03'!G$506</f>
        <v>0</v>
      </c>
      <c r="E3148" s="211">
        <f>'IWP03'!H$506</f>
        <v>0</v>
      </c>
      <c r="F3148" s="211">
        <f>'IWP03'!I$506</f>
        <v>0</v>
      </c>
      <c r="G3148" s="191" t="str">
        <f>IF('IWP03'!J$506=0,"",'IWP03'!J$506)</f>
        <v/>
      </c>
      <c r="H3148" s="211">
        <f>'IWP03'!K$506</f>
        <v>0</v>
      </c>
      <c r="I3148" s="211">
        <f>'IWP03'!L$506</f>
        <v>0</v>
      </c>
      <c r="J3148" s="212">
        <f>'IWP03'!M$506</f>
        <v>0</v>
      </c>
      <c r="K3148" s="106"/>
      <c r="L3148" s="106"/>
      <c r="M3148" s="129"/>
    </row>
    <row r="3149" spans="1:13" s="105" customFormat="1">
      <c r="A3149" s="193" t="s">
        <v>501</v>
      </c>
      <c r="B3149" s="210">
        <v>10</v>
      </c>
      <c r="C3149" s="191" t="str">
        <f>IF('IWP03'!E$507=0,"",'IWP03'!E$507)</f>
        <v/>
      </c>
      <c r="D3149" s="211">
        <f>'IWP03'!G$507</f>
        <v>0</v>
      </c>
      <c r="E3149" s="211">
        <f>'IWP03'!H$507</f>
        <v>0</v>
      </c>
      <c r="F3149" s="211">
        <f>'IWP03'!I$507</f>
        <v>0</v>
      </c>
      <c r="G3149" s="191" t="str">
        <f>IF('IWP03'!J$507=0,"",'IWP03'!J$507)</f>
        <v/>
      </c>
      <c r="H3149" s="211">
        <f>'IWP03'!K$507</f>
        <v>0</v>
      </c>
      <c r="I3149" s="211">
        <f>'IWP03'!L$507</f>
        <v>0</v>
      </c>
      <c r="J3149" s="212">
        <f>'IWP03'!M$507</f>
        <v>0</v>
      </c>
      <c r="K3149" s="106"/>
      <c r="L3149" s="106"/>
      <c r="M3149" s="129"/>
    </row>
    <row r="3150" spans="1:13" s="105" customFormat="1">
      <c r="A3150" s="193" t="s">
        <v>501</v>
      </c>
      <c r="B3150" s="210">
        <v>10</v>
      </c>
      <c r="C3150" s="191" t="str">
        <f>IF('IWP03'!E$508=0,"",'IWP03'!E$508)</f>
        <v/>
      </c>
      <c r="D3150" s="211">
        <f>'IWP03'!G$508</f>
        <v>0</v>
      </c>
      <c r="E3150" s="211">
        <f>'IWP03'!H$508</f>
        <v>0</v>
      </c>
      <c r="F3150" s="211">
        <f>'IWP03'!I$508</f>
        <v>0</v>
      </c>
      <c r="G3150" s="191" t="str">
        <f>IF('IWP03'!J$508=0,"",'IWP03'!J$508)</f>
        <v/>
      </c>
      <c r="H3150" s="211">
        <f>'IWP03'!K$508</f>
        <v>0</v>
      </c>
      <c r="I3150" s="211">
        <f>'IWP03'!L$508</f>
        <v>0</v>
      </c>
      <c r="J3150" s="212">
        <f>'IWP03'!M$508</f>
        <v>0</v>
      </c>
      <c r="K3150" s="106"/>
      <c r="L3150" s="106"/>
      <c r="M3150" s="129"/>
    </row>
    <row r="3151" spans="1:13" s="105" customFormat="1">
      <c r="A3151" s="193" t="s">
        <v>501</v>
      </c>
      <c r="B3151" s="210">
        <v>11</v>
      </c>
      <c r="C3151" s="191" t="str">
        <f>IF('IWP03'!E$515=0,"",'IWP03'!E$515)</f>
        <v>Subtotal column D.</v>
      </c>
      <c r="D3151" s="211">
        <f>'IWP03'!G$515</f>
        <v>0</v>
      </c>
      <c r="E3151" s="211">
        <f>'IWP03'!H$515</f>
        <v>0</v>
      </c>
      <c r="F3151" s="211">
        <f>'IWP03'!I$515</f>
        <v>0</v>
      </c>
      <c r="G3151" s="191" t="str">
        <f>IF('IWP03'!J$515=0,"",'IWP03'!J$515)</f>
        <v/>
      </c>
      <c r="H3151" s="211">
        <f>'IWP03'!K$515</f>
        <v>0</v>
      </c>
      <c r="I3151" s="211">
        <f>'IWP03'!L$515</f>
        <v>0</v>
      </c>
      <c r="J3151" s="212">
        <f>'IWP03'!M$515</f>
        <v>0</v>
      </c>
      <c r="K3151" s="106"/>
      <c r="L3151" s="106"/>
      <c r="M3151" s="129"/>
    </row>
    <row r="3152" spans="1:13" s="105" customFormat="1">
      <c r="A3152" s="193" t="s">
        <v>501</v>
      </c>
      <c r="B3152" s="210">
        <v>11</v>
      </c>
      <c r="C3152" s="191" t="str">
        <f>IF('IWP03'!E$516=0,"",'IWP03'!E$516)</f>
        <v>Unverified/Undocumented (Subtotal D - C)</v>
      </c>
      <c r="D3152" s="211">
        <f>'IWP03'!G$516</f>
        <v>0</v>
      </c>
      <c r="E3152" s="211">
        <f>'IWP03'!H$516</f>
        <v>0</v>
      </c>
      <c r="F3152" s="211">
        <f>'IWP03'!I$516</f>
        <v>0</v>
      </c>
      <c r="G3152" s="191" t="str">
        <f>IF('IWP03'!J$516=0,"",'IWP03'!J$516)</f>
        <v/>
      </c>
      <c r="H3152" s="211">
        <f>'IWP03'!K$516</f>
        <v>0</v>
      </c>
      <c r="I3152" s="211">
        <f>'IWP03'!L$516</f>
        <v>0</v>
      </c>
      <c r="J3152" s="212">
        <f>'IWP03'!M$516</f>
        <v>0</v>
      </c>
      <c r="K3152" s="106"/>
      <c r="L3152" s="106"/>
      <c r="M3152" s="129"/>
    </row>
    <row r="3153" spans="1:13" s="105" customFormat="1">
      <c r="A3153" s="193" t="s">
        <v>501</v>
      </c>
      <c r="B3153" s="210">
        <v>11</v>
      </c>
      <c r="C3153" s="191" t="str">
        <f>IF('IWP03'!E$517=0,"",'IWP03'!E$517)</f>
        <v>J. Billing Period Total</v>
      </c>
      <c r="D3153" s="211">
        <f>'IWP03'!G$517</f>
        <v>0</v>
      </c>
      <c r="E3153" s="211">
        <f>'IWP03'!H$517</f>
        <v>0</v>
      </c>
      <c r="F3153" s="211">
        <f>'IWP03'!I$517</f>
        <v>0</v>
      </c>
      <c r="G3153" s="191" t="str">
        <f>IF('IWP03'!J$517=0,"",'IWP03'!J$517)</f>
        <v/>
      </c>
      <c r="H3153" s="211">
        <f>'IWP03'!K$517</f>
        <v>0</v>
      </c>
      <c r="I3153" s="211">
        <f>'IWP03'!L$517</f>
        <v>0</v>
      </c>
      <c r="J3153" s="212">
        <f>'IWP03'!M$517</f>
        <v>0</v>
      </c>
      <c r="K3153" s="106"/>
      <c r="L3153" s="106"/>
      <c r="M3153" s="129"/>
    </row>
    <row r="3154" spans="1:13" s="105" customFormat="1">
      <c r="A3154" s="193" t="s">
        <v>501</v>
      </c>
      <c r="B3154" s="210">
        <v>11</v>
      </c>
      <c r="C3154" s="191" t="str">
        <f>IF('IWP03'!E$518=0,"",'IWP03'!E$518)</f>
        <v>D.</v>
      </c>
      <c r="D3154" s="211">
        <f>'IWP03'!G$518</f>
        <v>0</v>
      </c>
      <c r="E3154" s="211" t="str">
        <f>'IWP03'!H$518</f>
        <v>E.</v>
      </c>
      <c r="F3154" s="211" t="str">
        <f>'IWP03'!I$518</f>
        <v>F.</v>
      </c>
      <c r="G3154" s="191" t="str">
        <f>IF('IWP03'!J$518=0,"",'IWP03'!J$518)</f>
        <v>G.</v>
      </c>
      <c r="H3154" s="211">
        <f>'IWP03'!K$518</f>
        <v>0</v>
      </c>
      <c r="I3154" s="211" t="str">
        <f>'IWP03'!L$518</f>
        <v>H.</v>
      </c>
      <c r="J3154" s="212" t="str">
        <f>'IWP03'!M$518</f>
        <v>I.</v>
      </c>
      <c r="K3154" s="106"/>
      <c r="L3154" s="106"/>
      <c r="M3154" s="129"/>
    </row>
    <row r="3155" spans="1:13" s="105" customFormat="1">
      <c r="A3155" s="193" t="s">
        <v>501</v>
      </c>
      <c r="B3155" s="210">
        <v>11</v>
      </c>
      <c r="C3155" s="191" t="str">
        <f>IF('IWP03'!E$519=0,"",'IWP03'!E$519)</f>
        <v xml:space="preserve">Items/Services Related to Billing Period </v>
      </c>
      <c r="D3155" s="211">
        <f>'IWP03'!G$519</f>
        <v>0</v>
      </c>
      <c r="E3155" s="211" t="str">
        <f>'IWP03'!H$519</f>
        <v xml:space="preserve">Item/
Service Verified Amounts
</v>
      </c>
      <c r="F3155" s="211" t="str">
        <f>'IWP03'!I$519</f>
        <v>Amount Due to DADS (E. - D.)</v>
      </c>
      <c r="G3155" s="191" t="str">
        <f>IF('IWP03'!J$519=0,"",'IWP03'!J$519)</f>
        <v>Amount Reimbursed to 
Employee(s)/Employer</v>
      </c>
      <c r="H3155" s="211">
        <f>'IWP03'!K$519</f>
        <v>0</v>
      </c>
      <c r="I3155" s="211" t="str">
        <f>'IWP03'!L$519</f>
        <v>Amount Due to Employee(s) (G. - E.)</v>
      </c>
      <c r="J3155" s="212" t="str">
        <f>'IWP03'!M$519</f>
        <v>Amount Due to Employer (G. - E.)</v>
      </c>
      <c r="K3155" s="106"/>
      <c r="L3155" s="106"/>
      <c r="M3155" s="129"/>
    </row>
    <row r="3156" spans="1:13" s="105" customFormat="1">
      <c r="A3156" s="193" t="s">
        <v>501</v>
      </c>
      <c r="B3156" s="210">
        <v>11</v>
      </c>
      <c r="C3156" s="191" t="str">
        <f>IF('IWP03'!E$520=0,"",'IWP03'!E$520)</f>
        <v>Item/Service</v>
      </c>
      <c r="D3156" s="211" t="str">
        <f>'IWP03'!G$520</f>
        <v>Itemized Amount Paid by DADS</v>
      </c>
      <c r="E3156" s="211">
        <f>'IWP03'!H$520</f>
        <v>0</v>
      </c>
      <c r="F3156" s="211">
        <f>'IWP03'!I$520</f>
        <v>0</v>
      </c>
      <c r="G3156" s="191" t="str">
        <f>IF('IWP03'!J$520=0,"",'IWP03'!J$520)</f>
        <v/>
      </c>
      <c r="H3156" s="211">
        <f>'IWP03'!K$520</f>
        <v>0</v>
      </c>
      <c r="I3156" s="211">
        <f>'IWP03'!L$520</f>
        <v>0</v>
      </c>
      <c r="J3156" s="212">
        <f>'IWP03'!M$520</f>
        <v>0</v>
      </c>
      <c r="K3156" s="106"/>
      <c r="L3156" s="106"/>
      <c r="M3156" s="129"/>
    </row>
    <row r="3157" spans="1:13" s="105" customFormat="1">
      <c r="A3157" s="193" t="s">
        <v>501</v>
      </c>
      <c r="B3157" s="210">
        <v>11</v>
      </c>
      <c r="C3157" s="191" t="str">
        <f>IF('IWP03'!E$521=0,"",'IWP03'!E$521)</f>
        <v/>
      </c>
      <c r="D3157" s="211">
        <f>'IWP03'!G$521</f>
        <v>0</v>
      </c>
      <c r="E3157" s="211">
        <f>'IWP03'!H$521</f>
        <v>0</v>
      </c>
      <c r="F3157" s="211">
        <f>'IWP03'!I$521</f>
        <v>0</v>
      </c>
      <c r="G3157" s="191" t="str">
        <f>IF('IWP03'!J$521=0,"",'IWP03'!J$521)</f>
        <v/>
      </c>
      <c r="H3157" s="211">
        <f>'IWP03'!K$521</f>
        <v>0</v>
      </c>
      <c r="I3157" s="211">
        <f>'IWP03'!L$521</f>
        <v>0</v>
      </c>
      <c r="J3157" s="212">
        <f>'IWP03'!M$521</f>
        <v>0</v>
      </c>
      <c r="K3157" s="106"/>
      <c r="L3157" s="106"/>
      <c r="M3157" s="129"/>
    </row>
    <row r="3158" spans="1:13" s="105" customFormat="1">
      <c r="A3158" s="193" t="s">
        <v>501</v>
      </c>
      <c r="B3158" s="210">
        <v>11</v>
      </c>
      <c r="C3158" s="191" t="str">
        <f>IF('IWP03'!E$522=0,"",'IWP03'!E$522)</f>
        <v/>
      </c>
      <c r="D3158" s="211">
        <f>'IWP03'!G$522</f>
        <v>0</v>
      </c>
      <c r="E3158" s="211">
        <f>'IWP03'!H$522</f>
        <v>0</v>
      </c>
      <c r="F3158" s="211">
        <f>'IWP03'!I$522</f>
        <v>0</v>
      </c>
      <c r="G3158" s="191" t="str">
        <f>IF('IWP03'!J$522=0,"",'IWP03'!J$522)</f>
        <v/>
      </c>
      <c r="H3158" s="211">
        <f>'IWP03'!K$522</f>
        <v>0</v>
      </c>
      <c r="I3158" s="211">
        <f>'IWP03'!L$522</f>
        <v>0</v>
      </c>
      <c r="J3158" s="212">
        <f>'IWP03'!M$522</f>
        <v>0</v>
      </c>
      <c r="K3158" s="106"/>
      <c r="L3158" s="106"/>
      <c r="M3158" s="129"/>
    </row>
    <row r="3159" spans="1:13" s="105" customFormat="1">
      <c r="A3159" s="193" t="s">
        <v>501</v>
      </c>
      <c r="B3159" s="210">
        <v>11</v>
      </c>
      <c r="C3159" s="191" t="str">
        <f>IF('IWP03'!E$523=0,"",'IWP03'!E$523)</f>
        <v/>
      </c>
      <c r="D3159" s="211">
        <f>'IWP03'!G$523</f>
        <v>0</v>
      </c>
      <c r="E3159" s="211">
        <f>'IWP03'!H$523</f>
        <v>0</v>
      </c>
      <c r="F3159" s="211">
        <f>'IWP03'!I$523</f>
        <v>0</v>
      </c>
      <c r="G3159" s="191" t="str">
        <f>IF('IWP03'!J$523=0,"",'IWP03'!J$523)</f>
        <v/>
      </c>
      <c r="H3159" s="211">
        <f>'IWP03'!K$523</f>
        <v>0</v>
      </c>
      <c r="I3159" s="211">
        <f>'IWP03'!L$523</f>
        <v>0</v>
      </c>
      <c r="J3159" s="212">
        <f>'IWP03'!M$523</f>
        <v>0</v>
      </c>
      <c r="K3159" s="106"/>
      <c r="L3159" s="106"/>
      <c r="M3159" s="129"/>
    </row>
    <row r="3160" spans="1:13" s="105" customFormat="1">
      <c r="A3160" s="193" t="s">
        <v>501</v>
      </c>
      <c r="B3160" s="210">
        <v>11</v>
      </c>
      <c r="C3160" s="191" t="str">
        <f>IF('IWP03'!E$524=0,"",'IWP03'!E$524)</f>
        <v/>
      </c>
      <c r="D3160" s="211">
        <f>'IWP03'!G$524</f>
        <v>0</v>
      </c>
      <c r="E3160" s="211">
        <f>'IWP03'!H$524</f>
        <v>0</v>
      </c>
      <c r="F3160" s="211">
        <f>'IWP03'!I$524</f>
        <v>0</v>
      </c>
      <c r="G3160" s="191" t="str">
        <f>IF('IWP03'!J$524=0,"",'IWP03'!J$524)</f>
        <v/>
      </c>
      <c r="H3160" s="211">
        <f>'IWP03'!K$524</f>
        <v>0</v>
      </c>
      <c r="I3160" s="211">
        <f>'IWP03'!L$524</f>
        <v>0</v>
      </c>
      <c r="J3160" s="212">
        <f>'IWP03'!M$524</f>
        <v>0</v>
      </c>
      <c r="K3160" s="106"/>
      <c r="L3160" s="106"/>
      <c r="M3160" s="129"/>
    </row>
    <row r="3161" spans="1:13" s="105" customFormat="1">
      <c r="A3161" s="193" t="s">
        <v>501</v>
      </c>
      <c r="B3161" s="210">
        <v>12</v>
      </c>
      <c r="C3161" s="191" t="str">
        <f>IF('IWP03'!E$531=0,"",'IWP03'!E$531)</f>
        <v>Subtotal column D.</v>
      </c>
      <c r="D3161" s="211">
        <f>'IWP03'!G$531</f>
        <v>0</v>
      </c>
      <c r="E3161" s="211">
        <f>'IWP03'!H$531</f>
        <v>0</v>
      </c>
      <c r="F3161" s="211">
        <f>'IWP03'!I$531</f>
        <v>0</v>
      </c>
      <c r="G3161" s="191" t="str">
        <f>IF('IWP03'!J$531=0,"",'IWP03'!J$531)</f>
        <v/>
      </c>
      <c r="H3161" s="211">
        <f>'IWP03'!K$531</f>
        <v>0</v>
      </c>
      <c r="I3161" s="211">
        <f>'IWP03'!L$531</f>
        <v>0</v>
      </c>
      <c r="J3161" s="212">
        <f>'IWP03'!M$531</f>
        <v>0</v>
      </c>
      <c r="K3161" s="106"/>
      <c r="L3161" s="106"/>
      <c r="M3161" s="129"/>
    </row>
    <row r="3162" spans="1:13" s="105" customFormat="1">
      <c r="A3162" s="193" t="s">
        <v>501</v>
      </c>
      <c r="B3162" s="210">
        <v>12</v>
      </c>
      <c r="C3162" s="191" t="str">
        <f>IF('IWP03'!E$532=0,"",'IWP03'!E$532)</f>
        <v>Unverified/Undocumented (Subtotal D - C)</v>
      </c>
      <c r="D3162" s="211">
        <f>'IWP03'!G$532</f>
        <v>0</v>
      </c>
      <c r="E3162" s="211">
        <f>'IWP03'!H$532</f>
        <v>0</v>
      </c>
      <c r="F3162" s="211">
        <f>'IWP03'!I$532</f>
        <v>0</v>
      </c>
      <c r="G3162" s="191" t="str">
        <f>IF('IWP03'!J$532=0,"",'IWP03'!J$532)</f>
        <v/>
      </c>
      <c r="H3162" s="211">
        <f>'IWP03'!K$532</f>
        <v>0</v>
      </c>
      <c r="I3162" s="211">
        <f>'IWP03'!L$532</f>
        <v>0</v>
      </c>
      <c r="J3162" s="212">
        <f>'IWP03'!M$532</f>
        <v>0</v>
      </c>
      <c r="K3162" s="106"/>
      <c r="L3162" s="106"/>
      <c r="M3162" s="129"/>
    </row>
    <row r="3163" spans="1:13" s="105" customFormat="1">
      <c r="A3163" s="193" t="s">
        <v>501</v>
      </c>
      <c r="B3163" s="210">
        <v>12</v>
      </c>
      <c r="C3163" s="191" t="str">
        <f>IF('IWP03'!E$533=0,"",'IWP03'!E$533)</f>
        <v>J. Billing Period Total</v>
      </c>
      <c r="D3163" s="211">
        <f>'IWP03'!G$533</f>
        <v>0</v>
      </c>
      <c r="E3163" s="211">
        <f>'IWP03'!H$533</f>
        <v>0</v>
      </c>
      <c r="F3163" s="211">
        <f>'IWP03'!I$533</f>
        <v>0</v>
      </c>
      <c r="G3163" s="191" t="str">
        <f>IF('IWP03'!J$533=0,"",'IWP03'!J$533)</f>
        <v/>
      </c>
      <c r="H3163" s="211">
        <f>'IWP03'!K$533</f>
        <v>0</v>
      </c>
      <c r="I3163" s="211">
        <f>'IWP03'!L$533</f>
        <v>0</v>
      </c>
      <c r="J3163" s="212">
        <f>'IWP03'!M$533</f>
        <v>0</v>
      </c>
      <c r="K3163" s="106"/>
      <c r="L3163" s="106"/>
      <c r="M3163" s="129"/>
    </row>
    <row r="3164" spans="1:13" s="105" customFormat="1">
      <c r="A3164" s="193" t="s">
        <v>501</v>
      </c>
      <c r="B3164" s="210">
        <v>12</v>
      </c>
      <c r="C3164" s="191" t="str">
        <f>IF('IWP03'!E$534=0,"",'IWP03'!E$534)</f>
        <v>D.</v>
      </c>
      <c r="D3164" s="211">
        <f>'IWP03'!G$534</f>
        <v>0</v>
      </c>
      <c r="E3164" s="211" t="str">
        <f>'IWP03'!H$534</f>
        <v>E.</v>
      </c>
      <c r="F3164" s="211" t="str">
        <f>'IWP03'!I$534</f>
        <v>F.</v>
      </c>
      <c r="G3164" s="191" t="str">
        <f>IF('IWP03'!J$534=0,"",'IWP03'!J$534)</f>
        <v>G.</v>
      </c>
      <c r="H3164" s="211">
        <f>'IWP03'!K$534</f>
        <v>0</v>
      </c>
      <c r="I3164" s="211" t="str">
        <f>'IWP03'!L$534</f>
        <v>H.</v>
      </c>
      <c r="J3164" s="212" t="str">
        <f>'IWP03'!M$534</f>
        <v>I.</v>
      </c>
      <c r="K3164" s="106"/>
      <c r="L3164" s="106"/>
      <c r="M3164" s="129"/>
    </row>
    <row r="3165" spans="1:13" s="105" customFormat="1">
      <c r="A3165" s="193" t="s">
        <v>501</v>
      </c>
      <c r="B3165" s="210">
        <v>12</v>
      </c>
      <c r="C3165" s="191" t="str">
        <f>IF('IWP03'!E$535=0,"",'IWP03'!E$535)</f>
        <v xml:space="preserve">Items/Services Related to Billing Period </v>
      </c>
      <c r="D3165" s="211">
        <f>'IWP03'!G$535</f>
        <v>0</v>
      </c>
      <c r="E3165" s="211" t="str">
        <f>'IWP03'!H$535</f>
        <v xml:space="preserve">Item/
Service Verified Amounts
</v>
      </c>
      <c r="F3165" s="211" t="str">
        <f>'IWP03'!I$535</f>
        <v>Amount Due to DADS (E. - D.)</v>
      </c>
      <c r="G3165" s="191" t="str">
        <f>IF('IWP03'!J$535=0,"",'IWP03'!J$535)</f>
        <v>Amount Reimbursed to 
Employee(s)/Employer</v>
      </c>
      <c r="H3165" s="211">
        <f>'IWP03'!K$535</f>
        <v>0</v>
      </c>
      <c r="I3165" s="211" t="str">
        <f>'IWP03'!L$535</f>
        <v>Amount Due to Employee(s) (G. - E.)</v>
      </c>
      <c r="J3165" s="212" t="str">
        <f>'IWP03'!M$535</f>
        <v>Amount Due to Employer (G. - E.)</v>
      </c>
      <c r="K3165" s="106"/>
      <c r="L3165" s="106"/>
      <c r="M3165" s="129"/>
    </row>
    <row r="3166" spans="1:13" s="105" customFormat="1">
      <c r="A3166" s="193" t="s">
        <v>501</v>
      </c>
      <c r="B3166" s="210">
        <v>12</v>
      </c>
      <c r="C3166" s="191" t="str">
        <f>IF('IWP03'!E$536=0,"",'IWP03'!E$536)</f>
        <v>Item/Service</v>
      </c>
      <c r="D3166" s="211" t="str">
        <f>'IWP03'!G$536</f>
        <v>Itemized Amount Paid by DADS</v>
      </c>
      <c r="E3166" s="211">
        <f>'IWP03'!H$536</f>
        <v>0</v>
      </c>
      <c r="F3166" s="211">
        <f>'IWP03'!I$536</f>
        <v>0</v>
      </c>
      <c r="G3166" s="191" t="str">
        <f>IF('IWP03'!J$536=0,"",'IWP03'!J$536)</f>
        <v/>
      </c>
      <c r="H3166" s="211">
        <f>'IWP03'!K$536</f>
        <v>0</v>
      </c>
      <c r="I3166" s="211">
        <f>'IWP03'!L$536</f>
        <v>0</v>
      </c>
      <c r="J3166" s="212">
        <f>'IWP03'!M$536</f>
        <v>0</v>
      </c>
      <c r="K3166" s="106"/>
      <c r="L3166" s="106"/>
      <c r="M3166" s="129"/>
    </row>
    <row r="3167" spans="1:13" s="105" customFormat="1">
      <c r="A3167" s="193" t="s">
        <v>501</v>
      </c>
      <c r="B3167" s="210">
        <v>12</v>
      </c>
      <c r="C3167" s="191" t="str">
        <f>IF('IWP03'!E$537=0,"",'IWP03'!E$537)</f>
        <v/>
      </c>
      <c r="D3167" s="211">
        <f>'IWP03'!G$537</f>
        <v>0</v>
      </c>
      <c r="E3167" s="211">
        <f>'IWP03'!H$537</f>
        <v>0</v>
      </c>
      <c r="F3167" s="211">
        <f>'IWP03'!I$537</f>
        <v>0</v>
      </c>
      <c r="G3167" s="191" t="str">
        <f>IF('IWP03'!J$537=0,"",'IWP03'!J$537)</f>
        <v/>
      </c>
      <c r="H3167" s="211">
        <f>'IWP03'!K$537</f>
        <v>0</v>
      </c>
      <c r="I3167" s="211">
        <f>'IWP03'!L$537</f>
        <v>0</v>
      </c>
      <c r="J3167" s="212">
        <f>'IWP03'!M$537</f>
        <v>0</v>
      </c>
      <c r="K3167" s="106"/>
      <c r="L3167" s="106"/>
      <c r="M3167" s="129"/>
    </row>
    <row r="3168" spans="1:13" s="105" customFormat="1">
      <c r="A3168" s="193" t="s">
        <v>501</v>
      </c>
      <c r="B3168" s="210">
        <v>12</v>
      </c>
      <c r="C3168" s="191" t="str">
        <f>IF('IWP03'!E$538=0,"",'IWP03'!E$538)</f>
        <v/>
      </c>
      <c r="D3168" s="211">
        <f>'IWP03'!G$538</f>
        <v>0</v>
      </c>
      <c r="E3168" s="211">
        <f>'IWP03'!H$538</f>
        <v>0</v>
      </c>
      <c r="F3168" s="211">
        <f>'IWP03'!I$538</f>
        <v>0</v>
      </c>
      <c r="G3168" s="191" t="str">
        <f>IF('IWP03'!J$538=0,"",'IWP03'!J$538)</f>
        <v/>
      </c>
      <c r="H3168" s="211">
        <f>'IWP03'!K$538</f>
        <v>0</v>
      </c>
      <c r="I3168" s="211">
        <f>'IWP03'!L$538</f>
        <v>0</v>
      </c>
      <c r="J3168" s="212">
        <f>'IWP03'!M$538</f>
        <v>0</v>
      </c>
      <c r="K3168" s="106"/>
      <c r="L3168" s="106"/>
      <c r="M3168" s="129"/>
    </row>
    <row r="3169" spans="1:13" s="105" customFormat="1">
      <c r="A3169" s="193" t="s">
        <v>501</v>
      </c>
      <c r="B3169" s="210">
        <v>12</v>
      </c>
      <c r="C3169" s="191" t="str">
        <f>IF('IWP03'!E$539=0,"",'IWP03'!E$539)</f>
        <v/>
      </c>
      <c r="D3169" s="211">
        <f>'IWP03'!G$539</f>
        <v>0</v>
      </c>
      <c r="E3169" s="211">
        <f>'IWP03'!H$539</f>
        <v>0</v>
      </c>
      <c r="F3169" s="211">
        <f>'IWP03'!I$539</f>
        <v>0</v>
      </c>
      <c r="G3169" s="191" t="str">
        <f>IF('IWP03'!J$539=0,"",'IWP03'!J$539)</f>
        <v/>
      </c>
      <c r="H3169" s="211">
        <f>'IWP03'!K$539</f>
        <v>0</v>
      </c>
      <c r="I3169" s="211">
        <f>'IWP03'!L$539</f>
        <v>0</v>
      </c>
      <c r="J3169" s="212">
        <f>'IWP03'!M$539</f>
        <v>0</v>
      </c>
      <c r="K3169" s="106"/>
      <c r="L3169" s="106"/>
      <c r="M3169" s="129"/>
    </row>
    <row r="3170" spans="1:13" s="105" customFormat="1">
      <c r="A3170" s="193" t="s">
        <v>501</v>
      </c>
      <c r="B3170" s="210">
        <v>12</v>
      </c>
      <c r="C3170" s="191" t="str">
        <f>IF('IWP03'!E$540=0,"",'IWP03'!E$540)</f>
        <v/>
      </c>
      <c r="D3170" s="211">
        <f>'IWP03'!G$540</f>
        <v>0</v>
      </c>
      <c r="E3170" s="211">
        <f>'IWP03'!H$540</f>
        <v>0</v>
      </c>
      <c r="F3170" s="211">
        <f>'IWP03'!I$540</f>
        <v>0</v>
      </c>
      <c r="G3170" s="191" t="str">
        <f>IF('IWP03'!J$540=0,"",'IWP03'!J$540)</f>
        <v/>
      </c>
      <c r="H3170" s="211">
        <f>'IWP03'!K$540</f>
        <v>0</v>
      </c>
      <c r="I3170" s="211">
        <f>'IWP03'!L$540</f>
        <v>0</v>
      </c>
      <c r="J3170" s="212">
        <f>'IWP03'!M$540</f>
        <v>0</v>
      </c>
      <c r="K3170" s="106"/>
      <c r="L3170" s="106"/>
      <c r="M3170" s="129"/>
    </row>
    <row r="3171" spans="1:13" s="105" customFormat="1">
      <c r="A3171" s="193" t="s">
        <v>501</v>
      </c>
      <c r="B3171" s="210">
        <v>13</v>
      </c>
      <c r="C3171" s="191" t="str">
        <f>IF('IWP03'!E$547=0,"",'IWP03'!E$547)</f>
        <v>Subtotal column D.</v>
      </c>
      <c r="D3171" s="211">
        <f>'IWP03'!G$547</f>
        <v>0</v>
      </c>
      <c r="E3171" s="211">
        <f>'IWP03'!H$547</f>
        <v>0</v>
      </c>
      <c r="F3171" s="211">
        <f>'IWP03'!I$547</f>
        <v>0</v>
      </c>
      <c r="G3171" s="191" t="str">
        <f>IF('IWP03'!J$547=0,"",'IWP03'!J$547)</f>
        <v/>
      </c>
      <c r="H3171" s="211">
        <f>'IWP03'!K$547</f>
        <v>0</v>
      </c>
      <c r="I3171" s="211">
        <f>'IWP03'!L$547</f>
        <v>0</v>
      </c>
      <c r="J3171" s="212">
        <f>'IWP03'!M$547</f>
        <v>0</v>
      </c>
      <c r="K3171" s="106"/>
      <c r="L3171" s="106"/>
      <c r="M3171" s="129"/>
    </row>
    <row r="3172" spans="1:13" s="105" customFormat="1">
      <c r="A3172" s="193" t="s">
        <v>501</v>
      </c>
      <c r="B3172" s="210">
        <v>13</v>
      </c>
      <c r="C3172" s="191" t="str">
        <f>IF('IWP03'!E$548=0,"",'IWP03'!E$548)</f>
        <v>Unverified/Undocumented (Subtotal D - C)</v>
      </c>
      <c r="D3172" s="211">
        <f>'IWP03'!G$548</f>
        <v>0</v>
      </c>
      <c r="E3172" s="211">
        <f>'IWP03'!H$548</f>
        <v>0</v>
      </c>
      <c r="F3172" s="211">
        <f>'IWP03'!I$548</f>
        <v>0</v>
      </c>
      <c r="G3172" s="191" t="str">
        <f>IF('IWP03'!J$548=0,"",'IWP03'!J$548)</f>
        <v/>
      </c>
      <c r="H3172" s="211">
        <f>'IWP03'!K$548</f>
        <v>0</v>
      </c>
      <c r="I3172" s="211">
        <f>'IWP03'!L$548</f>
        <v>0</v>
      </c>
      <c r="J3172" s="212">
        <f>'IWP03'!M$548</f>
        <v>0</v>
      </c>
      <c r="K3172" s="106"/>
      <c r="L3172" s="106"/>
      <c r="M3172" s="129"/>
    </row>
    <row r="3173" spans="1:13" s="105" customFormat="1">
      <c r="A3173" s="193" t="s">
        <v>501</v>
      </c>
      <c r="B3173" s="210">
        <v>13</v>
      </c>
      <c r="C3173" s="191" t="str">
        <f>IF('IWP03'!E$549=0,"",'IWP03'!E$549)</f>
        <v>J. Billing Period Total</v>
      </c>
      <c r="D3173" s="211">
        <f>'IWP03'!G$549</f>
        <v>0</v>
      </c>
      <c r="E3173" s="211">
        <f>'IWP03'!H$549</f>
        <v>0</v>
      </c>
      <c r="F3173" s="211">
        <f>'IWP03'!I$549</f>
        <v>0</v>
      </c>
      <c r="G3173" s="191" t="str">
        <f>IF('IWP03'!J$549=0,"",'IWP03'!J$549)</f>
        <v/>
      </c>
      <c r="H3173" s="211">
        <f>'IWP03'!K$549</f>
        <v>0</v>
      </c>
      <c r="I3173" s="211">
        <f>'IWP03'!L$549</f>
        <v>0</v>
      </c>
      <c r="J3173" s="212">
        <f>'IWP03'!M$549</f>
        <v>0</v>
      </c>
      <c r="K3173" s="106"/>
      <c r="L3173" s="106"/>
      <c r="M3173" s="129"/>
    </row>
    <row r="3174" spans="1:13" s="105" customFormat="1">
      <c r="A3174" s="193" t="s">
        <v>501</v>
      </c>
      <c r="B3174" s="210">
        <v>13</v>
      </c>
      <c r="C3174" s="191" t="str">
        <f>IF('IWP03'!E$550=0,"",'IWP03'!E$550)</f>
        <v>D.</v>
      </c>
      <c r="D3174" s="211">
        <f>'IWP03'!G$550</f>
        <v>0</v>
      </c>
      <c r="E3174" s="211" t="str">
        <f>'IWP03'!H$550</f>
        <v>E.</v>
      </c>
      <c r="F3174" s="211" t="str">
        <f>'IWP03'!I$550</f>
        <v>F.</v>
      </c>
      <c r="G3174" s="191" t="str">
        <f>IF('IWP03'!J$550=0,"",'IWP03'!J$550)</f>
        <v>G.</v>
      </c>
      <c r="H3174" s="211">
        <f>'IWP03'!K$550</f>
        <v>0</v>
      </c>
      <c r="I3174" s="211" t="str">
        <f>'IWP03'!L$550</f>
        <v>H.</v>
      </c>
      <c r="J3174" s="212" t="str">
        <f>'IWP03'!M$550</f>
        <v>I.</v>
      </c>
      <c r="K3174" s="106"/>
      <c r="L3174" s="106"/>
      <c r="M3174" s="129"/>
    </row>
    <row r="3175" spans="1:13" s="105" customFormat="1">
      <c r="A3175" s="193" t="s">
        <v>501</v>
      </c>
      <c r="B3175" s="210">
        <v>13</v>
      </c>
      <c r="C3175" s="191" t="str">
        <f>IF('IWP03'!E$551=0,"",'IWP03'!E$551)</f>
        <v xml:space="preserve">Items/Services Related to Billing Period </v>
      </c>
      <c r="D3175" s="211">
        <f>'IWP03'!G$551</f>
        <v>0</v>
      </c>
      <c r="E3175" s="211" t="str">
        <f>'IWP03'!H$551</f>
        <v xml:space="preserve">Item/
Service Verified Amounts
</v>
      </c>
      <c r="F3175" s="211" t="str">
        <f>'IWP03'!I$551</f>
        <v>Amount Due to DADS (E. - D.)</v>
      </c>
      <c r="G3175" s="191" t="str">
        <f>IF('IWP03'!J$551=0,"",'IWP03'!J$551)</f>
        <v>Amount Reimbursed to 
Employee(s)/Employer</v>
      </c>
      <c r="H3175" s="211">
        <f>'IWP03'!K$551</f>
        <v>0</v>
      </c>
      <c r="I3175" s="211" t="str">
        <f>'IWP03'!L$551</f>
        <v>Amount Due to Employee(s) (G. - E.)</v>
      </c>
      <c r="J3175" s="212" t="str">
        <f>'IWP03'!M$551</f>
        <v>Amount Due to Employer (G. - E.)</v>
      </c>
      <c r="K3175" s="106"/>
      <c r="L3175" s="106"/>
      <c r="M3175" s="129"/>
    </row>
    <row r="3176" spans="1:13" s="105" customFormat="1">
      <c r="A3176" s="193" t="s">
        <v>501</v>
      </c>
      <c r="B3176" s="210">
        <v>13</v>
      </c>
      <c r="C3176" s="191" t="str">
        <f>IF('IWP03'!E$552=0,"",'IWP03'!E$552)</f>
        <v>Item/Service</v>
      </c>
      <c r="D3176" s="211" t="str">
        <f>'IWP03'!G$552</f>
        <v>Itemized Amount Paid by DADS</v>
      </c>
      <c r="E3176" s="211">
        <f>'IWP03'!H$552</f>
        <v>0</v>
      </c>
      <c r="F3176" s="211">
        <f>'IWP03'!I$552</f>
        <v>0</v>
      </c>
      <c r="G3176" s="191" t="str">
        <f>IF('IWP03'!J$552=0,"",'IWP03'!J$552)</f>
        <v/>
      </c>
      <c r="H3176" s="211">
        <f>'IWP03'!K$552</f>
        <v>0</v>
      </c>
      <c r="I3176" s="211">
        <f>'IWP03'!L$552</f>
        <v>0</v>
      </c>
      <c r="J3176" s="212">
        <f>'IWP03'!M$552</f>
        <v>0</v>
      </c>
      <c r="K3176" s="106"/>
      <c r="L3176" s="106"/>
      <c r="M3176" s="129"/>
    </row>
    <row r="3177" spans="1:13" s="105" customFormat="1">
      <c r="A3177" s="193" t="s">
        <v>501</v>
      </c>
      <c r="B3177" s="210">
        <v>13</v>
      </c>
      <c r="C3177" s="191" t="str">
        <f>IF('IWP03'!E$553=0,"",'IWP03'!E$553)</f>
        <v/>
      </c>
      <c r="D3177" s="211">
        <f>'IWP03'!G$553</f>
        <v>0</v>
      </c>
      <c r="E3177" s="211">
        <f>'IWP03'!H$553</f>
        <v>0</v>
      </c>
      <c r="F3177" s="211">
        <f>'IWP03'!I$553</f>
        <v>0</v>
      </c>
      <c r="G3177" s="191" t="str">
        <f>IF('IWP03'!J$553=0,"",'IWP03'!J$553)</f>
        <v/>
      </c>
      <c r="H3177" s="211">
        <f>'IWP03'!K$553</f>
        <v>0</v>
      </c>
      <c r="I3177" s="211">
        <f>'IWP03'!L$553</f>
        <v>0</v>
      </c>
      <c r="J3177" s="212">
        <f>'IWP03'!M$553</f>
        <v>0</v>
      </c>
      <c r="K3177" s="106"/>
      <c r="L3177" s="106"/>
      <c r="M3177" s="129"/>
    </row>
    <row r="3178" spans="1:13" s="105" customFormat="1">
      <c r="A3178" s="193" t="s">
        <v>501</v>
      </c>
      <c r="B3178" s="210">
        <v>13</v>
      </c>
      <c r="C3178" s="191" t="str">
        <f>IF('IWP03'!E$554=0,"",'IWP03'!E$554)</f>
        <v/>
      </c>
      <c r="D3178" s="211">
        <f>'IWP03'!G$554</f>
        <v>0</v>
      </c>
      <c r="E3178" s="211">
        <f>'IWP03'!H$554</f>
        <v>0</v>
      </c>
      <c r="F3178" s="211">
        <f>'IWP03'!I$554</f>
        <v>0</v>
      </c>
      <c r="G3178" s="191" t="str">
        <f>IF('IWP03'!J$554=0,"",'IWP03'!J$554)</f>
        <v/>
      </c>
      <c r="H3178" s="211">
        <f>'IWP03'!K$554</f>
        <v>0</v>
      </c>
      <c r="I3178" s="211">
        <f>'IWP03'!L$554</f>
        <v>0</v>
      </c>
      <c r="J3178" s="212">
        <f>'IWP03'!M$554</f>
        <v>0</v>
      </c>
      <c r="K3178" s="106"/>
      <c r="L3178" s="106"/>
      <c r="M3178" s="129"/>
    </row>
    <row r="3179" spans="1:13" s="105" customFormat="1">
      <c r="A3179" s="193" t="s">
        <v>501</v>
      </c>
      <c r="B3179" s="210">
        <v>13</v>
      </c>
      <c r="C3179" s="191" t="str">
        <f>IF('IWP03'!E$555=0,"",'IWP03'!E$555)</f>
        <v/>
      </c>
      <c r="D3179" s="211">
        <f>'IWP03'!G$555</f>
        <v>0</v>
      </c>
      <c r="E3179" s="211">
        <f>'IWP03'!H$555</f>
        <v>0</v>
      </c>
      <c r="F3179" s="211">
        <f>'IWP03'!I$555</f>
        <v>0</v>
      </c>
      <c r="G3179" s="191" t="str">
        <f>IF('IWP03'!J$555=0,"",'IWP03'!J$555)</f>
        <v/>
      </c>
      <c r="H3179" s="211">
        <f>'IWP03'!K$555</f>
        <v>0</v>
      </c>
      <c r="I3179" s="211">
        <f>'IWP03'!L$555</f>
        <v>0</v>
      </c>
      <c r="J3179" s="212">
        <f>'IWP03'!M$555</f>
        <v>0</v>
      </c>
      <c r="K3179" s="106"/>
      <c r="L3179" s="106"/>
      <c r="M3179" s="129"/>
    </row>
    <row r="3180" spans="1:13" s="105" customFormat="1">
      <c r="A3180" s="193" t="s">
        <v>501</v>
      </c>
      <c r="B3180" s="210">
        <v>13</v>
      </c>
      <c r="C3180" s="191" t="str">
        <f>IF('IWP03'!E$556=0,"",'IWP03'!E$556)</f>
        <v/>
      </c>
      <c r="D3180" s="211">
        <f>'IWP03'!G$556</f>
        <v>0</v>
      </c>
      <c r="E3180" s="211">
        <f>'IWP03'!H$556</f>
        <v>0</v>
      </c>
      <c r="F3180" s="211">
        <f>'IWP03'!I$556</f>
        <v>0</v>
      </c>
      <c r="G3180" s="191" t="str">
        <f>IF('IWP03'!J$556=0,"",'IWP03'!J$556)</f>
        <v/>
      </c>
      <c r="H3180" s="211">
        <f>'IWP03'!K$556</f>
        <v>0</v>
      </c>
      <c r="I3180" s="211">
        <f>'IWP03'!L$556</f>
        <v>0</v>
      </c>
      <c r="J3180" s="212">
        <f>'IWP03'!M$556</f>
        <v>0</v>
      </c>
      <c r="K3180" s="106"/>
      <c r="L3180" s="106"/>
      <c r="M3180" s="129"/>
    </row>
    <row r="3181" spans="1:13" s="105" customFormat="1">
      <c r="A3181" s="193" t="s">
        <v>501</v>
      </c>
      <c r="B3181" s="210">
        <v>14</v>
      </c>
      <c r="C3181" s="191" t="str">
        <f>IF('IWP03'!E$563=0,"",'IWP03'!E$563)</f>
        <v>Subtotal column D.</v>
      </c>
      <c r="D3181" s="211">
        <f>'IWP03'!G$563</f>
        <v>0</v>
      </c>
      <c r="E3181" s="211">
        <f>'IWP03'!H$563</f>
        <v>0</v>
      </c>
      <c r="F3181" s="211">
        <f>'IWP03'!I$563</f>
        <v>0</v>
      </c>
      <c r="G3181" s="191" t="str">
        <f>IF('IWP03'!J$563=0,"",'IWP03'!J$563)</f>
        <v/>
      </c>
      <c r="H3181" s="211">
        <f>'IWP03'!K$563</f>
        <v>0</v>
      </c>
      <c r="I3181" s="211">
        <f>'IWP03'!L$563</f>
        <v>0</v>
      </c>
      <c r="J3181" s="212">
        <f>'IWP03'!M$563</f>
        <v>0</v>
      </c>
      <c r="K3181" s="106"/>
      <c r="L3181" s="106"/>
      <c r="M3181" s="129"/>
    </row>
    <row r="3182" spans="1:13" s="105" customFormat="1">
      <c r="A3182" s="193" t="s">
        <v>501</v>
      </c>
      <c r="B3182" s="210">
        <v>14</v>
      </c>
      <c r="C3182" s="191" t="str">
        <f>IF('IWP03'!E$564=0,"",'IWP03'!E$564)</f>
        <v>Unverified/Undocumented (Subtotal D - C)</v>
      </c>
      <c r="D3182" s="211">
        <f>'IWP03'!G$564</f>
        <v>0</v>
      </c>
      <c r="E3182" s="211">
        <f>'IWP03'!H$564</f>
        <v>0</v>
      </c>
      <c r="F3182" s="211">
        <f>'IWP03'!I$564</f>
        <v>0</v>
      </c>
      <c r="G3182" s="191" t="str">
        <f>IF('IWP03'!J$564=0,"",'IWP03'!J$564)</f>
        <v/>
      </c>
      <c r="H3182" s="211">
        <f>'IWP03'!K$564</f>
        <v>0</v>
      </c>
      <c r="I3182" s="211">
        <f>'IWP03'!L$564</f>
        <v>0</v>
      </c>
      <c r="J3182" s="212">
        <f>'IWP03'!M$564</f>
        <v>0</v>
      </c>
      <c r="K3182" s="106"/>
      <c r="L3182" s="106"/>
      <c r="M3182" s="129"/>
    </row>
    <row r="3183" spans="1:13" s="105" customFormat="1">
      <c r="A3183" s="193" t="s">
        <v>501</v>
      </c>
      <c r="B3183" s="210">
        <v>14</v>
      </c>
      <c r="C3183" s="191" t="str">
        <f>IF('IWP03'!E$565=0,"",'IWP03'!E$565)</f>
        <v>J. Billing Period Total</v>
      </c>
      <c r="D3183" s="211">
        <f>'IWP03'!G$565</f>
        <v>0</v>
      </c>
      <c r="E3183" s="211">
        <f>'IWP03'!H$565</f>
        <v>0</v>
      </c>
      <c r="F3183" s="211">
        <f>'IWP03'!I$565</f>
        <v>0</v>
      </c>
      <c r="G3183" s="191" t="str">
        <f>IF('IWP03'!J$565=0,"",'IWP03'!J$565)</f>
        <v/>
      </c>
      <c r="H3183" s="211">
        <f>'IWP03'!K$565</f>
        <v>0</v>
      </c>
      <c r="I3183" s="211">
        <f>'IWP03'!L$565</f>
        <v>0</v>
      </c>
      <c r="J3183" s="212">
        <f>'IWP03'!M$565</f>
        <v>0</v>
      </c>
      <c r="K3183" s="106"/>
      <c r="L3183" s="106"/>
      <c r="M3183" s="129"/>
    </row>
    <row r="3184" spans="1:13" s="105" customFormat="1">
      <c r="A3184" s="193" t="s">
        <v>501</v>
      </c>
      <c r="B3184" s="210">
        <v>14</v>
      </c>
      <c r="C3184" s="191" t="str">
        <f>IF('IWP03'!E$566=0,"",'IWP03'!E$566)</f>
        <v>D.</v>
      </c>
      <c r="D3184" s="211">
        <f>'IWP03'!G$566</f>
        <v>0</v>
      </c>
      <c r="E3184" s="211" t="str">
        <f>'IWP03'!H$566</f>
        <v>E.</v>
      </c>
      <c r="F3184" s="211" t="str">
        <f>'IWP03'!I$566</f>
        <v>F.</v>
      </c>
      <c r="G3184" s="191" t="str">
        <f>IF('IWP03'!J$566=0,"",'IWP03'!J$566)</f>
        <v>G.</v>
      </c>
      <c r="H3184" s="211">
        <f>'IWP03'!K$566</f>
        <v>0</v>
      </c>
      <c r="I3184" s="211" t="str">
        <f>'IWP03'!L$566</f>
        <v>H.</v>
      </c>
      <c r="J3184" s="212" t="str">
        <f>'IWP03'!M$566</f>
        <v>I.</v>
      </c>
      <c r="K3184" s="106"/>
      <c r="L3184" s="106"/>
      <c r="M3184" s="129"/>
    </row>
    <row r="3185" spans="1:13" s="105" customFormat="1">
      <c r="A3185" s="193" t="s">
        <v>501</v>
      </c>
      <c r="B3185" s="210">
        <v>14</v>
      </c>
      <c r="C3185" s="191" t="str">
        <f>IF('IWP03'!E$567=0,"",'IWP03'!E$567)</f>
        <v xml:space="preserve">Items/Services Related to Billing Period </v>
      </c>
      <c r="D3185" s="211">
        <f>'IWP03'!G$567</f>
        <v>0</v>
      </c>
      <c r="E3185" s="211" t="str">
        <f>'IWP03'!H$567</f>
        <v xml:space="preserve">Item/
Service Verified Amounts
</v>
      </c>
      <c r="F3185" s="211" t="str">
        <f>'IWP03'!I$567</f>
        <v>Amount Due to DADS (E. - D.)</v>
      </c>
      <c r="G3185" s="191" t="str">
        <f>IF('IWP03'!J$567=0,"",'IWP03'!J$567)</f>
        <v>Amount Reimbursed to 
Employee(s)/Employer</v>
      </c>
      <c r="H3185" s="211">
        <f>'IWP03'!K$567</f>
        <v>0</v>
      </c>
      <c r="I3185" s="211" t="str">
        <f>'IWP03'!L$567</f>
        <v>Amount Due to Employee(s) (G. - E.)</v>
      </c>
      <c r="J3185" s="212" t="str">
        <f>'IWP03'!M$567</f>
        <v>Amount Due to Employer (G. - E.)</v>
      </c>
      <c r="K3185" s="106"/>
      <c r="L3185" s="106"/>
      <c r="M3185" s="129"/>
    </row>
    <row r="3186" spans="1:13" s="105" customFormat="1">
      <c r="A3186" s="193" t="s">
        <v>501</v>
      </c>
      <c r="B3186" s="210">
        <v>14</v>
      </c>
      <c r="C3186" s="191" t="str">
        <f>IF('IWP03'!E$568=0,"",'IWP03'!E$568)</f>
        <v>Item/Service</v>
      </c>
      <c r="D3186" s="211" t="str">
        <f>'IWP03'!G$568</f>
        <v>Itemized Amount Paid by DADS</v>
      </c>
      <c r="E3186" s="211">
        <f>'IWP03'!H$568</f>
        <v>0</v>
      </c>
      <c r="F3186" s="211">
        <f>'IWP03'!I$568</f>
        <v>0</v>
      </c>
      <c r="G3186" s="191" t="str">
        <f>IF('IWP03'!J$568=0,"",'IWP03'!J$568)</f>
        <v/>
      </c>
      <c r="H3186" s="211">
        <f>'IWP03'!K$568</f>
        <v>0</v>
      </c>
      <c r="I3186" s="211">
        <f>'IWP03'!L$568</f>
        <v>0</v>
      </c>
      <c r="J3186" s="212">
        <f>'IWP03'!M$568</f>
        <v>0</v>
      </c>
      <c r="K3186" s="106"/>
      <c r="L3186" s="106"/>
      <c r="M3186" s="129"/>
    </row>
    <row r="3187" spans="1:13" s="105" customFormat="1">
      <c r="A3187" s="193" t="s">
        <v>501</v>
      </c>
      <c r="B3187" s="210">
        <v>14</v>
      </c>
      <c r="C3187" s="191" t="str">
        <f>IF('IWP03'!E$569=0,"",'IWP03'!E$569)</f>
        <v/>
      </c>
      <c r="D3187" s="211">
        <f>'IWP03'!G$569</f>
        <v>0</v>
      </c>
      <c r="E3187" s="211">
        <f>'IWP03'!H$569</f>
        <v>0</v>
      </c>
      <c r="F3187" s="211">
        <f>'IWP03'!I$569</f>
        <v>0</v>
      </c>
      <c r="G3187" s="191" t="str">
        <f>IF('IWP03'!J$569=0,"",'IWP03'!J$569)</f>
        <v/>
      </c>
      <c r="H3187" s="211">
        <f>'IWP03'!K$569</f>
        <v>0</v>
      </c>
      <c r="I3187" s="211">
        <f>'IWP03'!L$569</f>
        <v>0</v>
      </c>
      <c r="J3187" s="212">
        <f>'IWP03'!M$569</f>
        <v>0</v>
      </c>
      <c r="K3187" s="106"/>
      <c r="L3187" s="106"/>
      <c r="M3187" s="129"/>
    </row>
    <row r="3188" spans="1:13" s="105" customFormat="1">
      <c r="A3188" s="193" t="s">
        <v>501</v>
      </c>
      <c r="B3188" s="210">
        <v>14</v>
      </c>
      <c r="C3188" s="191" t="str">
        <f>IF('IWP03'!E$570=0,"",'IWP03'!E$570)</f>
        <v/>
      </c>
      <c r="D3188" s="211">
        <f>'IWP03'!G$570</f>
        <v>0</v>
      </c>
      <c r="E3188" s="211">
        <f>'IWP03'!H$570</f>
        <v>0</v>
      </c>
      <c r="F3188" s="211">
        <f>'IWP03'!I$570</f>
        <v>0</v>
      </c>
      <c r="G3188" s="191" t="str">
        <f>IF('IWP03'!J$570=0,"",'IWP03'!J$570)</f>
        <v/>
      </c>
      <c r="H3188" s="211">
        <f>'IWP03'!K$570</f>
        <v>0</v>
      </c>
      <c r="I3188" s="211">
        <f>'IWP03'!L$570</f>
        <v>0</v>
      </c>
      <c r="J3188" s="212">
        <f>'IWP03'!M$570</f>
        <v>0</v>
      </c>
      <c r="K3188" s="106"/>
      <c r="L3188" s="106"/>
      <c r="M3188" s="129"/>
    </row>
    <row r="3189" spans="1:13" s="105" customFormat="1">
      <c r="A3189" s="193" t="s">
        <v>501</v>
      </c>
      <c r="B3189" s="210">
        <v>14</v>
      </c>
      <c r="C3189" s="191" t="str">
        <f>IF('IWP03'!E$571=0,"",'IWP03'!E$571)</f>
        <v/>
      </c>
      <c r="D3189" s="211">
        <f>'IWP03'!G$571</f>
        <v>0</v>
      </c>
      <c r="E3189" s="211">
        <f>'IWP03'!H$571</f>
        <v>0</v>
      </c>
      <c r="F3189" s="211">
        <f>'IWP03'!I$571</f>
        <v>0</v>
      </c>
      <c r="G3189" s="191" t="str">
        <f>IF('IWP03'!J$571=0,"",'IWP03'!J$571)</f>
        <v/>
      </c>
      <c r="H3189" s="211">
        <f>'IWP03'!K$571</f>
        <v>0</v>
      </c>
      <c r="I3189" s="211">
        <f>'IWP03'!L$571</f>
        <v>0</v>
      </c>
      <c r="J3189" s="212">
        <f>'IWP03'!M$571</f>
        <v>0</v>
      </c>
      <c r="K3189" s="106"/>
      <c r="L3189" s="106"/>
      <c r="M3189" s="129"/>
    </row>
    <row r="3190" spans="1:13" s="105" customFormat="1">
      <c r="A3190" s="193" t="s">
        <v>501</v>
      </c>
      <c r="B3190" s="210">
        <v>14</v>
      </c>
      <c r="C3190" s="191" t="str">
        <f>IF('IWP03'!E$572=0,"",'IWP03'!E$572)</f>
        <v/>
      </c>
      <c r="D3190" s="211">
        <f>'IWP03'!G$572</f>
        <v>0</v>
      </c>
      <c r="E3190" s="211">
        <f>'IWP03'!H$572</f>
        <v>0</v>
      </c>
      <c r="F3190" s="211">
        <f>'IWP03'!I$572</f>
        <v>0</v>
      </c>
      <c r="G3190" s="191" t="str">
        <f>IF('IWP03'!J$572=0,"",'IWP03'!J$572)</f>
        <v/>
      </c>
      <c r="H3190" s="211">
        <f>'IWP03'!K$572</f>
        <v>0</v>
      </c>
      <c r="I3190" s="211">
        <f>'IWP03'!L$572</f>
        <v>0</v>
      </c>
      <c r="J3190" s="212">
        <f>'IWP03'!M$572</f>
        <v>0</v>
      </c>
      <c r="K3190" s="106"/>
      <c r="L3190" s="106"/>
      <c r="M3190" s="129"/>
    </row>
    <row r="3191" spans="1:13" s="105" customFormat="1">
      <c r="A3191" s="193" t="s">
        <v>501</v>
      </c>
      <c r="B3191" s="210">
        <v>15</v>
      </c>
      <c r="C3191" s="191" t="str">
        <f>IF('IWP03'!E$579=0,"",'IWP03'!E$579)</f>
        <v>Subtotal column D.</v>
      </c>
      <c r="D3191" s="211">
        <f>'IWP03'!G$579</f>
        <v>0</v>
      </c>
      <c r="E3191" s="211">
        <f>'IWP03'!H$579</f>
        <v>0</v>
      </c>
      <c r="F3191" s="211">
        <f>'IWP03'!I$579</f>
        <v>0</v>
      </c>
      <c r="G3191" s="191" t="str">
        <f>IF('IWP03'!J$579=0,"",'IWP03'!J$579)</f>
        <v/>
      </c>
      <c r="H3191" s="211">
        <f>'IWP03'!K$579</f>
        <v>0</v>
      </c>
      <c r="I3191" s="211">
        <f>'IWP03'!L$579</f>
        <v>0</v>
      </c>
      <c r="J3191" s="212">
        <f>'IWP03'!M$579</f>
        <v>0</v>
      </c>
      <c r="K3191" s="106"/>
      <c r="L3191" s="106"/>
      <c r="M3191" s="129"/>
    </row>
    <row r="3192" spans="1:13" s="105" customFormat="1">
      <c r="A3192" s="193" t="s">
        <v>501</v>
      </c>
      <c r="B3192" s="210">
        <v>15</v>
      </c>
      <c r="C3192" s="191" t="str">
        <f>IF('IWP03'!E$580=0,"",'IWP03'!E$580)</f>
        <v>Unverified/Undocumented (Subtotal D - C)</v>
      </c>
      <c r="D3192" s="211">
        <f>'IWP03'!G$580</f>
        <v>0</v>
      </c>
      <c r="E3192" s="211">
        <f>'IWP03'!H$580</f>
        <v>0</v>
      </c>
      <c r="F3192" s="211">
        <f>'IWP03'!I$580</f>
        <v>0</v>
      </c>
      <c r="G3192" s="191" t="str">
        <f>IF('IWP03'!J$580=0,"",'IWP03'!J$580)</f>
        <v/>
      </c>
      <c r="H3192" s="211">
        <f>'IWP03'!K$580</f>
        <v>0</v>
      </c>
      <c r="I3192" s="211">
        <f>'IWP03'!L$580</f>
        <v>0</v>
      </c>
      <c r="J3192" s="212">
        <f>'IWP03'!M$580</f>
        <v>0</v>
      </c>
      <c r="K3192" s="106"/>
      <c r="L3192" s="106"/>
      <c r="M3192" s="129"/>
    </row>
    <row r="3193" spans="1:13" s="105" customFormat="1">
      <c r="A3193" s="193" t="s">
        <v>501</v>
      </c>
      <c r="B3193" s="210">
        <v>15</v>
      </c>
      <c r="C3193" s="191" t="str">
        <f>IF('IWP03'!E$581=0,"",'IWP03'!E$581)</f>
        <v>J. Billing Period Total</v>
      </c>
      <c r="D3193" s="211">
        <f>'IWP03'!G$581</f>
        <v>0</v>
      </c>
      <c r="E3193" s="211">
        <f>'IWP03'!H$581</f>
        <v>0</v>
      </c>
      <c r="F3193" s="211">
        <f>'IWP03'!I$581</f>
        <v>0</v>
      </c>
      <c r="G3193" s="191" t="str">
        <f>IF('IWP03'!J$581=0,"",'IWP03'!J$581)</f>
        <v/>
      </c>
      <c r="H3193" s="211">
        <f>'IWP03'!K$581</f>
        <v>0</v>
      </c>
      <c r="I3193" s="211">
        <f>'IWP03'!L$581</f>
        <v>0</v>
      </c>
      <c r="J3193" s="212">
        <f>'IWP03'!M$581</f>
        <v>0</v>
      </c>
      <c r="K3193" s="106"/>
      <c r="L3193" s="106"/>
      <c r="M3193" s="129"/>
    </row>
    <row r="3194" spans="1:13" s="105" customFormat="1">
      <c r="A3194" s="193" t="s">
        <v>501</v>
      </c>
      <c r="B3194" s="210">
        <v>15</v>
      </c>
      <c r="C3194" s="191" t="str">
        <f>IF('IWP03'!E$582=0,"",'IWP03'!E$582)</f>
        <v>D.</v>
      </c>
      <c r="D3194" s="211">
        <f>'IWP03'!G$582</f>
        <v>0</v>
      </c>
      <c r="E3194" s="211" t="str">
        <f>'IWP03'!H$582</f>
        <v>E.</v>
      </c>
      <c r="F3194" s="211" t="str">
        <f>'IWP03'!I$582</f>
        <v>F.</v>
      </c>
      <c r="G3194" s="191" t="str">
        <f>IF('IWP03'!J$582=0,"",'IWP03'!J$582)</f>
        <v>G.</v>
      </c>
      <c r="H3194" s="211">
        <f>'IWP03'!K$582</f>
        <v>0</v>
      </c>
      <c r="I3194" s="211" t="str">
        <f>'IWP03'!L$582</f>
        <v>H.</v>
      </c>
      <c r="J3194" s="212" t="str">
        <f>'IWP03'!M$582</f>
        <v>I.</v>
      </c>
      <c r="K3194" s="106"/>
      <c r="L3194" s="106"/>
      <c r="M3194" s="129"/>
    </row>
    <row r="3195" spans="1:13" s="105" customFormat="1">
      <c r="A3195" s="193" t="s">
        <v>501</v>
      </c>
      <c r="B3195" s="210">
        <v>15</v>
      </c>
      <c r="C3195" s="191" t="str">
        <f>IF('IWP03'!E$583=0,"",'IWP03'!E$583)</f>
        <v xml:space="preserve">Items/Services Related to Billing Period </v>
      </c>
      <c r="D3195" s="211">
        <f>'IWP03'!G$583</f>
        <v>0</v>
      </c>
      <c r="E3195" s="211" t="str">
        <f>'IWP03'!H$583</f>
        <v xml:space="preserve">Item/
Service Verified Amounts
</v>
      </c>
      <c r="F3195" s="211" t="str">
        <f>'IWP03'!I$583</f>
        <v>Amount Due to DADS (E. - D.)</v>
      </c>
      <c r="G3195" s="191" t="str">
        <f>IF('IWP03'!J$583=0,"",'IWP03'!J$583)</f>
        <v>Amount Reimbursed to 
Employee(s)/Employer</v>
      </c>
      <c r="H3195" s="211">
        <f>'IWP03'!K$583</f>
        <v>0</v>
      </c>
      <c r="I3195" s="211" t="str">
        <f>'IWP03'!L$583</f>
        <v>Amount Due to Employee(s) (G. - E.)</v>
      </c>
      <c r="J3195" s="212" t="str">
        <f>'IWP03'!M$583</f>
        <v>Amount Due to Employer (G. - E.)</v>
      </c>
      <c r="K3195" s="106"/>
      <c r="L3195" s="106"/>
      <c r="M3195" s="129"/>
    </row>
    <row r="3196" spans="1:13" s="105" customFormat="1">
      <c r="A3196" s="193" t="s">
        <v>501</v>
      </c>
      <c r="B3196" s="210">
        <v>15</v>
      </c>
      <c r="C3196" s="191" t="str">
        <f>IF('IWP03'!E$584=0,"",'IWP03'!E$584)</f>
        <v>Item/Service</v>
      </c>
      <c r="D3196" s="211" t="str">
        <f>'IWP03'!G$584</f>
        <v>Itemized Amount Paid by DADS</v>
      </c>
      <c r="E3196" s="211">
        <f>'IWP03'!H$584</f>
        <v>0</v>
      </c>
      <c r="F3196" s="211">
        <f>'IWP03'!I$584</f>
        <v>0</v>
      </c>
      <c r="G3196" s="191" t="str">
        <f>IF('IWP03'!J$584=0,"",'IWP03'!J$584)</f>
        <v/>
      </c>
      <c r="H3196" s="211">
        <f>'IWP03'!K$584</f>
        <v>0</v>
      </c>
      <c r="I3196" s="211">
        <f>'IWP03'!L$584</f>
        <v>0</v>
      </c>
      <c r="J3196" s="212">
        <f>'IWP03'!M$584</f>
        <v>0</v>
      </c>
      <c r="K3196" s="106"/>
      <c r="L3196" s="106"/>
      <c r="M3196" s="129"/>
    </row>
    <row r="3197" spans="1:13" s="105" customFormat="1">
      <c r="A3197" s="193" t="s">
        <v>501</v>
      </c>
      <c r="B3197" s="210">
        <v>15</v>
      </c>
      <c r="C3197" s="191" t="str">
        <f>IF('IWP03'!E$585=0,"",'IWP03'!E$585)</f>
        <v/>
      </c>
      <c r="D3197" s="211">
        <f>'IWP03'!G$585</f>
        <v>0</v>
      </c>
      <c r="E3197" s="211">
        <f>'IWP03'!H$585</f>
        <v>0</v>
      </c>
      <c r="F3197" s="211">
        <f>'IWP03'!I$585</f>
        <v>0</v>
      </c>
      <c r="G3197" s="191" t="str">
        <f>IF('IWP03'!J$585=0,"",'IWP03'!J$585)</f>
        <v/>
      </c>
      <c r="H3197" s="211">
        <f>'IWP03'!K$585</f>
        <v>0</v>
      </c>
      <c r="I3197" s="211">
        <f>'IWP03'!L$585</f>
        <v>0</v>
      </c>
      <c r="J3197" s="212">
        <f>'IWP03'!M$585</f>
        <v>0</v>
      </c>
      <c r="K3197" s="106"/>
      <c r="L3197" s="106"/>
      <c r="M3197" s="129"/>
    </row>
    <row r="3198" spans="1:13" s="105" customFormat="1">
      <c r="A3198" s="193" t="s">
        <v>501</v>
      </c>
      <c r="B3198" s="210">
        <v>15</v>
      </c>
      <c r="C3198" s="191" t="str">
        <f>IF('IWP03'!E$586=0,"",'IWP03'!E$586)</f>
        <v/>
      </c>
      <c r="D3198" s="211">
        <f>'IWP03'!G$586</f>
        <v>0</v>
      </c>
      <c r="E3198" s="211">
        <f>'IWP03'!H$586</f>
        <v>0</v>
      </c>
      <c r="F3198" s="211">
        <f>'IWP03'!I$586</f>
        <v>0</v>
      </c>
      <c r="G3198" s="191" t="str">
        <f>IF('IWP03'!J$586=0,"",'IWP03'!J$586)</f>
        <v/>
      </c>
      <c r="H3198" s="211">
        <f>'IWP03'!K$586</f>
        <v>0</v>
      </c>
      <c r="I3198" s="211">
        <f>'IWP03'!L$586</f>
        <v>0</v>
      </c>
      <c r="J3198" s="212">
        <f>'IWP03'!M$586</f>
        <v>0</v>
      </c>
      <c r="K3198" s="106"/>
      <c r="L3198" s="106"/>
      <c r="M3198" s="129"/>
    </row>
    <row r="3199" spans="1:13" s="105" customFormat="1">
      <c r="A3199" s="193" t="s">
        <v>501</v>
      </c>
      <c r="B3199" s="210">
        <v>15</v>
      </c>
      <c r="C3199" s="191" t="str">
        <f>IF('IWP03'!E$587=0,"",'IWP03'!E$587)</f>
        <v/>
      </c>
      <c r="D3199" s="211">
        <f>'IWP03'!G$587</f>
        <v>0</v>
      </c>
      <c r="E3199" s="211">
        <f>'IWP03'!H$587</f>
        <v>0</v>
      </c>
      <c r="F3199" s="211">
        <f>'IWP03'!I$587</f>
        <v>0</v>
      </c>
      <c r="G3199" s="191" t="str">
        <f>IF('IWP03'!J$587=0,"",'IWP03'!J$587)</f>
        <v/>
      </c>
      <c r="H3199" s="211">
        <f>'IWP03'!K$587</f>
        <v>0</v>
      </c>
      <c r="I3199" s="211">
        <f>'IWP03'!L$587</f>
        <v>0</v>
      </c>
      <c r="J3199" s="212">
        <f>'IWP03'!M$587</f>
        <v>0</v>
      </c>
      <c r="K3199" s="106"/>
      <c r="L3199" s="106"/>
      <c r="M3199" s="129"/>
    </row>
    <row r="3200" spans="1:13" s="105" customFormat="1">
      <c r="A3200" s="193" t="s">
        <v>501</v>
      </c>
      <c r="B3200" s="210">
        <v>15</v>
      </c>
      <c r="C3200" s="191" t="str">
        <f>IF('IWP03'!E$588=0,"",'IWP03'!E$588)</f>
        <v/>
      </c>
      <c r="D3200" s="211">
        <f>'IWP03'!G$588</f>
        <v>0</v>
      </c>
      <c r="E3200" s="211">
        <f>'IWP03'!H$588</f>
        <v>0</v>
      </c>
      <c r="F3200" s="211">
        <f>'IWP03'!I$588</f>
        <v>0</v>
      </c>
      <c r="G3200" s="191" t="str">
        <f>IF('IWP03'!J$588=0,"",'IWP03'!J$588)</f>
        <v/>
      </c>
      <c r="H3200" s="211">
        <f>'IWP03'!K$588</f>
        <v>0</v>
      </c>
      <c r="I3200" s="211">
        <f>'IWP03'!L$588</f>
        <v>0</v>
      </c>
      <c r="J3200" s="212">
        <f>'IWP03'!M$588</f>
        <v>0</v>
      </c>
      <c r="K3200" s="106"/>
      <c r="L3200" s="106"/>
      <c r="M3200" s="129"/>
    </row>
    <row r="3201" spans="1:13" s="105" customFormat="1">
      <c r="A3201" s="193" t="s">
        <v>501</v>
      </c>
      <c r="B3201" s="210">
        <v>16</v>
      </c>
      <c r="C3201" s="191" t="str">
        <f>IF('IWP03'!E$595=0,"",'IWP03'!E$595)</f>
        <v>Subtotal column D.</v>
      </c>
      <c r="D3201" s="211">
        <f>'IWP03'!G$595</f>
        <v>0</v>
      </c>
      <c r="E3201" s="211">
        <f>'IWP03'!H$595</f>
        <v>0</v>
      </c>
      <c r="F3201" s="211">
        <f>'IWP03'!I$595</f>
        <v>0</v>
      </c>
      <c r="G3201" s="191" t="str">
        <f>IF('IWP03'!J$595=0,"",'IWP03'!J$595)</f>
        <v/>
      </c>
      <c r="H3201" s="211">
        <f>'IWP03'!K$595</f>
        <v>0</v>
      </c>
      <c r="I3201" s="211">
        <f>'IWP03'!L$595</f>
        <v>0</v>
      </c>
      <c r="J3201" s="212">
        <f>'IWP03'!M$595</f>
        <v>0</v>
      </c>
      <c r="K3201" s="106"/>
      <c r="L3201" s="106"/>
      <c r="M3201" s="129"/>
    </row>
    <row r="3202" spans="1:13" s="105" customFormat="1">
      <c r="A3202" s="193" t="s">
        <v>501</v>
      </c>
      <c r="B3202" s="210">
        <v>16</v>
      </c>
      <c r="C3202" s="191" t="str">
        <f>IF('IWP03'!E$596=0,"",'IWP03'!E$596)</f>
        <v>Unverified/Undocumented (Subtotal D - C)</v>
      </c>
      <c r="D3202" s="211">
        <f>'IWP03'!G$596</f>
        <v>0</v>
      </c>
      <c r="E3202" s="211">
        <f>'IWP03'!H$596</f>
        <v>0</v>
      </c>
      <c r="F3202" s="211">
        <f>'IWP03'!I$596</f>
        <v>0</v>
      </c>
      <c r="G3202" s="191" t="str">
        <f>IF('IWP03'!J$596=0,"",'IWP03'!J$596)</f>
        <v/>
      </c>
      <c r="H3202" s="211">
        <f>'IWP03'!K$596</f>
        <v>0</v>
      </c>
      <c r="I3202" s="211">
        <f>'IWP03'!L$596</f>
        <v>0</v>
      </c>
      <c r="J3202" s="212">
        <f>'IWP03'!M$596</f>
        <v>0</v>
      </c>
      <c r="K3202" s="106"/>
      <c r="L3202" s="106"/>
      <c r="M3202" s="129"/>
    </row>
    <row r="3203" spans="1:13" s="105" customFormat="1">
      <c r="A3203" s="193" t="s">
        <v>501</v>
      </c>
      <c r="B3203" s="210">
        <v>16</v>
      </c>
      <c r="C3203" s="191" t="str">
        <f>IF('IWP03'!E$597=0,"",'IWP03'!E$597)</f>
        <v>J. Billing Period Total</v>
      </c>
      <c r="D3203" s="211">
        <f>'IWP03'!G$597</f>
        <v>0</v>
      </c>
      <c r="E3203" s="211">
        <f>'IWP03'!H$597</f>
        <v>0</v>
      </c>
      <c r="F3203" s="211">
        <f>'IWP03'!I$597</f>
        <v>0</v>
      </c>
      <c r="G3203" s="191" t="str">
        <f>IF('IWP03'!J$597=0,"",'IWP03'!J$597)</f>
        <v/>
      </c>
      <c r="H3203" s="211">
        <f>'IWP03'!K$597</f>
        <v>0</v>
      </c>
      <c r="I3203" s="211">
        <f>'IWP03'!L$597</f>
        <v>0</v>
      </c>
      <c r="J3203" s="212">
        <f>'IWP03'!M$597</f>
        <v>0</v>
      </c>
      <c r="K3203" s="106"/>
      <c r="L3203" s="106"/>
      <c r="M3203" s="129"/>
    </row>
    <row r="3204" spans="1:13" s="105" customFormat="1">
      <c r="A3204" s="193" t="s">
        <v>501</v>
      </c>
      <c r="B3204" s="210">
        <v>16</v>
      </c>
      <c r="C3204" s="191" t="str">
        <f>IF('IWP03'!E$598=0,"",'IWP03'!E$598)</f>
        <v>D.</v>
      </c>
      <c r="D3204" s="211">
        <f>'IWP03'!G$598</f>
        <v>0</v>
      </c>
      <c r="E3204" s="211" t="str">
        <f>'IWP03'!H$598</f>
        <v>E.</v>
      </c>
      <c r="F3204" s="211" t="str">
        <f>'IWP03'!I$598</f>
        <v>F.</v>
      </c>
      <c r="G3204" s="191" t="str">
        <f>IF('IWP03'!J$598=0,"",'IWP03'!J$598)</f>
        <v>G.</v>
      </c>
      <c r="H3204" s="211">
        <f>'IWP03'!K$598</f>
        <v>0</v>
      </c>
      <c r="I3204" s="211" t="str">
        <f>'IWP03'!L$598</f>
        <v>H.</v>
      </c>
      <c r="J3204" s="212" t="str">
        <f>'IWP03'!M$598</f>
        <v>I.</v>
      </c>
      <c r="K3204" s="106"/>
      <c r="L3204" s="106"/>
      <c r="M3204" s="129"/>
    </row>
    <row r="3205" spans="1:13" s="105" customFormat="1">
      <c r="A3205" s="193" t="s">
        <v>501</v>
      </c>
      <c r="B3205" s="210">
        <v>16</v>
      </c>
      <c r="C3205" s="191" t="str">
        <f>IF('IWP03'!E$599=0,"",'IWP03'!E$599)</f>
        <v xml:space="preserve">Items/Services Related to Billing Period </v>
      </c>
      <c r="D3205" s="211">
        <f>'IWP03'!G$599</f>
        <v>0</v>
      </c>
      <c r="E3205" s="211" t="str">
        <f>'IWP03'!H$599</f>
        <v xml:space="preserve">Item/
Service Verified Amounts
</v>
      </c>
      <c r="F3205" s="211" t="str">
        <f>'IWP03'!I$599</f>
        <v>Amount Due to DADS (E. - D.)</v>
      </c>
      <c r="G3205" s="191" t="str">
        <f>IF('IWP03'!J$599=0,"",'IWP03'!J$599)</f>
        <v>Amount Reimbursed to 
Employee(s)/Employer</v>
      </c>
      <c r="H3205" s="211">
        <f>'IWP03'!K$599</f>
        <v>0</v>
      </c>
      <c r="I3205" s="211" t="str">
        <f>'IWP03'!L$599</f>
        <v>Amount Due to Employee(s) (G. - E.)</v>
      </c>
      <c r="J3205" s="212" t="str">
        <f>'IWP03'!M$599</f>
        <v>Amount Due to Employer (G. - E.)</v>
      </c>
      <c r="K3205" s="106"/>
      <c r="L3205" s="106"/>
      <c r="M3205" s="129"/>
    </row>
    <row r="3206" spans="1:13" s="105" customFormat="1">
      <c r="A3206" s="193" t="s">
        <v>501</v>
      </c>
      <c r="B3206" s="210">
        <v>16</v>
      </c>
      <c r="C3206" s="191" t="str">
        <f>IF('IWP03'!E$600=0,"",'IWP03'!E$600)</f>
        <v>Item/Service</v>
      </c>
      <c r="D3206" s="211" t="str">
        <f>'IWP03'!G$600</f>
        <v>Itemized Amount Paid by DADS</v>
      </c>
      <c r="E3206" s="211">
        <f>'IWP03'!H$600</f>
        <v>0</v>
      </c>
      <c r="F3206" s="211">
        <f>'IWP03'!I$600</f>
        <v>0</v>
      </c>
      <c r="G3206" s="191" t="str">
        <f>IF('IWP03'!J$600=0,"",'IWP03'!J$600)</f>
        <v/>
      </c>
      <c r="H3206" s="211">
        <f>'IWP03'!K$600</f>
        <v>0</v>
      </c>
      <c r="I3206" s="211">
        <f>'IWP03'!L$600</f>
        <v>0</v>
      </c>
      <c r="J3206" s="212">
        <f>'IWP03'!M$600</f>
        <v>0</v>
      </c>
      <c r="K3206" s="106"/>
      <c r="L3206" s="106"/>
      <c r="M3206" s="129"/>
    </row>
    <row r="3207" spans="1:13" s="105" customFormat="1">
      <c r="A3207" s="193" t="s">
        <v>501</v>
      </c>
      <c r="B3207" s="210">
        <v>16</v>
      </c>
      <c r="C3207" s="191" t="str">
        <f>IF('IWP03'!E$601=0,"",'IWP03'!E$601)</f>
        <v/>
      </c>
      <c r="D3207" s="211">
        <f>'IWP03'!G$601</f>
        <v>0</v>
      </c>
      <c r="E3207" s="211">
        <f>'IWP03'!H$601</f>
        <v>0</v>
      </c>
      <c r="F3207" s="211">
        <f>'IWP03'!I$601</f>
        <v>0</v>
      </c>
      <c r="G3207" s="191" t="str">
        <f>IF('IWP03'!J$601=0,"",'IWP03'!J$601)</f>
        <v/>
      </c>
      <c r="H3207" s="211">
        <f>'IWP03'!K$601</f>
        <v>0</v>
      </c>
      <c r="I3207" s="211">
        <f>'IWP03'!L$601</f>
        <v>0</v>
      </c>
      <c r="J3207" s="212">
        <f>'IWP03'!M$601</f>
        <v>0</v>
      </c>
      <c r="K3207" s="106"/>
      <c r="L3207" s="106"/>
      <c r="M3207" s="129"/>
    </row>
    <row r="3208" spans="1:13" s="105" customFormat="1">
      <c r="A3208" s="193" t="s">
        <v>501</v>
      </c>
      <c r="B3208" s="210">
        <v>16</v>
      </c>
      <c r="C3208" s="191" t="str">
        <f>IF('IWP03'!E$602=0,"",'IWP03'!E$602)</f>
        <v/>
      </c>
      <c r="D3208" s="211">
        <f>'IWP03'!G$602</f>
        <v>0</v>
      </c>
      <c r="E3208" s="211">
        <f>'IWP03'!H$602</f>
        <v>0</v>
      </c>
      <c r="F3208" s="211">
        <f>'IWP03'!I$602</f>
        <v>0</v>
      </c>
      <c r="G3208" s="191" t="str">
        <f>IF('IWP03'!J$602=0,"",'IWP03'!J$602)</f>
        <v/>
      </c>
      <c r="H3208" s="211">
        <f>'IWP03'!K$602</f>
        <v>0</v>
      </c>
      <c r="I3208" s="211">
        <f>'IWP03'!L$602</f>
        <v>0</v>
      </c>
      <c r="J3208" s="212">
        <f>'IWP03'!M$602</f>
        <v>0</v>
      </c>
      <c r="K3208" s="106"/>
      <c r="L3208" s="106"/>
      <c r="M3208" s="129"/>
    </row>
    <row r="3209" spans="1:13" s="105" customFormat="1">
      <c r="A3209" s="193" t="s">
        <v>501</v>
      </c>
      <c r="B3209" s="210">
        <v>16</v>
      </c>
      <c r="C3209" s="191" t="str">
        <f>IF('IWP03'!E$603=0,"",'IWP03'!E$603)</f>
        <v/>
      </c>
      <c r="D3209" s="211">
        <f>'IWP03'!G$603</f>
        <v>0</v>
      </c>
      <c r="E3209" s="211">
        <f>'IWP03'!H$603</f>
        <v>0</v>
      </c>
      <c r="F3209" s="211">
        <f>'IWP03'!I$603</f>
        <v>0</v>
      </c>
      <c r="G3209" s="191" t="str">
        <f>IF('IWP03'!J$603=0,"",'IWP03'!J$603)</f>
        <v/>
      </c>
      <c r="H3209" s="211">
        <f>'IWP03'!K$603</f>
        <v>0</v>
      </c>
      <c r="I3209" s="211">
        <f>'IWP03'!L$603</f>
        <v>0</v>
      </c>
      <c r="J3209" s="212">
        <f>'IWP03'!M$603</f>
        <v>0</v>
      </c>
      <c r="K3209" s="106"/>
      <c r="L3209" s="106"/>
      <c r="M3209" s="129"/>
    </row>
    <row r="3210" spans="1:13" s="105" customFormat="1">
      <c r="A3210" s="193" t="s">
        <v>501</v>
      </c>
      <c r="B3210" s="210">
        <v>16</v>
      </c>
      <c r="C3210" s="191" t="str">
        <f>IF('IWP03'!E$604=0,"",'IWP03'!E$604)</f>
        <v/>
      </c>
      <c r="D3210" s="211">
        <f>'IWP03'!G$604</f>
        <v>0</v>
      </c>
      <c r="E3210" s="211">
        <f>'IWP03'!H$604</f>
        <v>0</v>
      </c>
      <c r="F3210" s="211">
        <f>'IWP03'!I$604</f>
        <v>0</v>
      </c>
      <c r="G3210" s="191" t="str">
        <f>IF('IWP03'!J$604=0,"",'IWP03'!J$604)</f>
        <v/>
      </c>
      <c r="H3210" s="211">
        <f>'IWP03'!K$604</f>
        <v>0</v>
      </c>
      <c r="I3210" s="211">
        <f>'IWP03'!L$604</f>
        <v>0</v>
      </c>
      <c r="J3210" s="212">
        <f>'IWP03'!M$604</f>
        <v>0</v>
      </c>
      <c r="K3210" s="106"/>
      <c r="L3210" s="106"/>
      <c r="M3210" s="129"/>
    </row>
    <row r="3211" spans="1:13" s="105" customFormat="1">
      <c r="A3211" s="193" t="s">
        <v>501</v>
      </c>
      <c r="B3211" s="210">
        <v>17</v>
      </c>
      <c r="C3211" s="191" t="str">
        <f>IF('IWP03'!E$611=0,"",'IWP03'!E$611)</f>
        <v>Subtotal column D.</v>
      </c>
      <c r="D3211" s="211">
        <f>'IWP03'!G$611</f>
        <v>0</v>
      </c>
      <c r="E3211" s="211">
        <f>'IWP03'!H$611</f>
        <v>0</v>
      </c>
      <c r="F3211" s="211">
        <f>'IWP03'!I$611</f>
        <v>0</v>
      </c>
      <c r="G3211" s="191" t="str">
        <f>IF('IWP03'!J$611=0,"",'IWP03'!J$611)</f>
        <v/>
      </c>
      <c r="H3211" s="211">
        <f>'IWP03'!K$611</f>
        <v>0</v>
      </c>
      <c r="I3211" s="211">
        <f>'IWP03'!L$611</f>
        <v>0</v>
      </c>
      <c r="J3211" s="212">
        <f>'IWP03'!M$611</f>
        <v>0</v>
      </c>
      <c r="K3211" s="106"/>
      <c r="L3211" s="106"/>
      <c r="M3211" s="129"/>
    </row>
    <row r="3212" spans="1:13" s="105" customFormat="1">
      <c r="A3212" s="193" t="s">
        <v>501</v>
      </c>
      <c r="B3212" s="210">
        <v>17</v>
      </c>
      <c r="C3212" s="191" t="str">
        <f>IF('IWP03'!E$612=0,"",'IWP03'!E$612)</f>
        <v>Unverified/Undocumented (Subtotal D - C)</v>
      </c>
      <c r="D3212" s="211">
        <f>'IWP03'!G$612</f>
        <v>0</v>
      </c>
      <c r="E3212" s="211">
        <f>'IWP03'!H$612</f>
        <v>0</v>
      </c>
      <c r="F3212" s="211">
        <f>'IWP03'!I$612</f>
        <v>0</v>
      </c>
      <c r="G3212" s="191" t="str">
        <f>IF('IWP03'!J$612=0,"",'IWP03'!J$612)</f>
        <v/>
      </c>
      <c r="H3212" s="211">
        <f>'IWP03'!K$612</f>
        <v>0</v>
      </c>
      <c r="I3212" s="211">
        <f>'IWP03'!L$612</f>
        <v>0</v>
      </c>
      <c r="J3212" s="212">
        <f>'IWP03'!M$612</f>
        <v>0</v>
      </c>
      <c r="K3212" s="106"/>
      <c r="L3212" s="106"/>
      <c r="M3212" s="129"/>
    </row>
    <row r="3213" spans="1:13" s="105" customFormat="1">
      <c r="A3213" s="193" t="s">
        <v>501</v>
      </c>
      <c r="B3213" s="210">
        <v>17</v>
      </c>
      <c r="C3213" s="191" t="str">
        <f>IF('IWP03'!E$613=0,"",'IWP03'!E$613)</f>
        <v>J. Billing Period Total</v>
      </c>
      <c r="D3213" s="211">
        <f>'IWP03'!G$613</f>
        <v>0</v>
      </c>
      <c r="E3213" s="211">
        <f>'IWP03'!H$613</f>
        <v>0</v>
      </c>
      <c r="F3213" s="211">
        <f>'IWP03'!I$613</f>
        <v>0</v>
      </c>
      <c r="G3213" s="191" t="str">
        <f>IF('IWP03'!J$613=0,"",'IWP03'!J$613)</f>
        <v/>
      </c>
      <c r="H3213" s="211">
        <f>'IWP03'!K$613</f>
        <v>0</v>
      </c>
      <c r="I3213" s="211">
        <f>'IWP03'!L$613</f>
        <v>0</v>
      </c>
      <c r="J3213" s="212">
        <f>'IWP03'!M$613</f>
        <v>0</v>
      </c>
      <c r="K3213" s="106"/>
      <c r="L3213" s="106"/>
      <c r="M3213" s="129"/>
    </row>
    <row r="3214" spans="1:13" s="105" customFormat="1">
      <c r="A3214" s="193" t="s">
        <v>501</v>
      </c>
      <c r="B3214" s="210">
        <v>17</v>
      </c>
      <c r="C3214" s="191" t="str">
        <f>IF('IWP03'!E$614=0,"",'IWP03'!E$614)</f>
        <v/>
      </c>
      <c r="D3214" s="211">
        <f>'IWP03'!G$614</f>
        <v>0</v>
      </c>
      <c r="E3214" s="211">
        <f>'IWP03'!H$614</f>
        <v>0</v>
      </c>
      <c r="F3214" s="211">
        <f>'IWP03'!I$614</f>
        <v>0</v>
      </c>
      <c r="G3214" s="191" t="str">
        <f>IF('IWP03'!J$614=0,"",'IWP03'!J$614)</f>
        <v/>
      </c>
      <c r="H3214" s="211">
        <f>'IWP03'!K$614</f>
        <v>0</v>
      </c>
      <c r="I3214" s="211">
        <f>'IWP03'!L$614</f>
        <v>0</v>
      </c>
      <c r="J3214" s="212">
        <f>'IWP03'!M$614</f>
        <v>0</v>
      </c>
      <c r="K3214" s="106"/>
      <c r="L3214" s="106"/>
      <c r="M3214" s="129"/>
    </row>
    <row r="3215" spans="1:13" s="105" customFormat="1">
      <c r="A3215" s="193" t="s">
        <v>501</v>
      </c>
      <c r="B3215" s="210">
        <v>17</v>
      </c>
      <c r="C3215" s="191" t="str">
        <f>IF('IWP03'!E$615=0,"",'IWP03'!E$615)</f>
        <v/>
      </c>
      <c r="D3215" s="211">
        <f>'IWP03'!G$615</f>
        <v>0</v>
      </c>
      <c r="E3215" s="211">
        <f>'IWP03'!H$615</f>
        <v>0</v>
      </c>
      <c r="F3215" s="211">
        <f>'IWP03'!I$615</f>
        <v>0</v>
      </c>
      <c r="G3215" s="191" t="str">
        <f>IF('IWP03'!J$615=0,"",'IWP03'!J$615)</f>
        <v/>
      </c>
      <c r="H3215" s="211">
        <f>'IWP03'!K$615</f>
        <v>0</v>
      </c>
      <c r="I3215" s="211">
        <f>'IWP03'!L$615</f>
        <v>0</v>
      </c>
      <c r="J3215" s="212">
        <f>'IWP03'!M$615</f>
        <v>0</v>
      </c>
      <c r="K3215" s="106"/>
      <c r="L3215" s="106"/>
      <c r="M3215" s="129"/>
    </row>
    <row r="3216" spans="1:13" s="105" customFormat="1">
      <c r="A3216" s="193" t="s">
        <v>501</v>
      </c>
      <c r="B3216" s="210">
        <v>17</v>
      </c>
      <c r="C3216" s="191" t="str">
        <f>IF('IWP03'!E$616=0,"",'IWP03'!E$616)</f>
        <v/>
      </c>
      <c r="D3216" s="211">
        <f>'IWP03'!G$616</f>
        <v>0</v>
      </c>
      <c r="E3216" s="211">
        <f>'IWP03'!H$616</f>
        <v>0</v>
      </c>
      <c r="F3216" s="211">
        <f>'IWP03'!I$616</f>
        <v>0</v>
      </c>
      <c r="G3216" s="191" t="str">
        <f>IF('IWP03'!J$616=0,"",'IWP03'!J$616)</f>
        <v/>
      </c>
      <c r="H3216" s="211">
        <f>'IWP03'!K$616</f>
        <v>0</v>
      </c>
      <c r="I3216" s="211">
        <f>'IWP03'!L$616</f>
        <v>0</v>
      </c>
      <c r="J3216" s="212">
        <f>'IWP03'!M$616</f>
        <v>0</v>
      </c>
      <c r="K3216" s="106"/>
      <c r="L3216" s="106"/>
      <c r="M3216" s="129"/>
    </row>
    <row r="3217" spans="1:13" s="105" customFormat="1">
      <c r="A3217" s="193" t="s">
        <v>501</v>
      </c>
      <c r="B3217" s="210">
        <v>17</v>
      </c>
      <c r="C3217" s="191" t="str">
        <f>IF('IWP03'!E$617=0,"",'IWP03'!E$617)</f>
        <v/>
      </c>
      <c r="D3217" s="211">
        <f>'IWP03'!G$617</f>
        <v>0</v>
      </c>
      <c r="E3217" s="211">
        <f>'IWP03'!H$617</f>
        <v>0</v>
      </c>
      <c r="F3217" s="211">
        <f>'IWP03'!I$617</f>
        <v>0</v>
      </c>
      <c r="G3217" s="191" t="str">
        <f>IF('IWP03'!J$617=0,"",'IWP03'!J$617)</f>
        <v/>
      </c>
      <c r="H3217" s="211">
        <f>'IWP03'!K$617</f>
        <v>0</v>
      </c>
      <c r="I3217" s="211">
        <f>'IWP03'!L$617</f>
        <v>0</v>
      </c>
      <c r="J3217" s="212">
        <f>'IWP03'!M$617</f>
        <v>0</v>
      </c>
      <c r="K3217" s="106"/>
      <c r="L3217" s="106"/>
      <c r="M3217" s="129"/>
    </row>
    <row r="3218" spans="1:13" s="105" customFormat="1">
      <c r="A3218" s="193" t="s">
        <v>501</v>
      </c>
      <c r="B3218" s="210">
        <v>17</v>
      </c>
      <c r="C3218" s="191" t="str">
        <f>IF('IWP03'!E$618=0,"",'IWP03'!E$618)</f>
        <v/>
      </c>
      <c r="D3218" s="211">
        <f>'IWP03'!G$618</f>
        <v>0</v>
      </c>
      <c r="E3218" s="211">
        <f>'IWP03'!H$618</f>
        <v>0</v>
      </c>
      <c r="F3218" s="211">
        <f>'IWP03'!I$618</f>
        <v>0</v>
      </c>
      <c r="G3218" s="191" t="str">
        <f>IF('IWP03'!J$618=0,"",'IWP03'!J$618)</f>
        <v/>
      </c>
      <c r="H3218" s="211">
        <f>'IWP03'!K$618</f>
        <v>0</v>
      </c>
      <c r="I3218" s="211">
        <f>'IWP03'!L$618</f>
        <v>0</v>
      </c>
      <c r="J3218" s="212">
        <f>'IWP03'!M$618</f>
        <v>0</v>
      </c>
      <c r="K3218" s="106"/>
      <c r="L3218" s="106"/>
      <c r="M3218" s="129"/>
    </row>
    <row r="3219" spans="1:13" s="105" customFormat="1">
      <c r="A3219" s="193" t="s">
        <v>501</v>
      </c>
      <c r="B3219" s="210">
        <v>17</v>
      </c>
      <c r="C3219" s="191" t="str">
        <f>IF('IWP03'!E$619=0,"",'IWP03'!E$619)</f>
        <v/>
      </c>
      <c r="D3219" s="211">
        <f>'IWP03'!G$619</f>
        <v>0</v>
      </c>
      <c r="E3219" s="211">
        <f>'IWP03'!H$619</f>
        <v>0</v>
      </c>
      <c r="F3219" s="211">
        <f>'IWP03'!I$619</f>
        <v>0</v>
      </c>
      <c r="G3219" s="191" t="str">
        <f>IF('IWP03'!J$619=0,"",'IWP03'!J$619)</f>
        <v/>
      </c>
      <c r="H3219" s="211">
        <f>'IWP03'!K$619</f>
        <v>0</v>
      </c>
      <c r="I3219" s="211">
        <f>'IWP03'!L$619</f>
        <v>0</v>
      </c>
      <c r="J3219" s="212">
        <f>'IWP03'!M$619</f>
        <v>0</v>
      </c>
      <c r="K3219" s="106"/>
      <c r="L3219" s="106"/>
      <c r="M3219" s="129"/>
    </row>
    <row r="3220" spans="1:13" s="105" customFormat="1">
      <c r="A3220" s="193" t="s">
        <v>501</v>
      </c>
      <c r="B3220" s="210">
        <v>17</v>
      </c>
      <c r="C3220" s="191" t="str">
        <f>IF('IWP03'!E$620=0,"",'IWP03'!E$620)</f>
        <v/>
      </c>
      <c r="D3220" s="211">
        <f>'IWP03'!G$620</f>
        <v>0</v>
      </c>
      <c r="E3220" s="211">
        <f>'IWP03'!H$620</f>
        <v>0</v>
      </c>
      <c r="F3220" s="211">
        <f>'IWP03'!I$620</f>
        <v>0</v>
      </c>
      <c r="G3220" s="191" t="str">
        <f>IF('IWP03'!J$620=0,"",'IWP03'!J$620)</f>
        <v/>
      </c>
      <c r="H3220" s="211">
        <f>'IWP03'!K$620</f>
        <v>0</v>
      </c>
      <c r="I3220" s="211">
        <f>'IWP03'!L$620</f>
        <v>0</v>
      </c>
      <c r="J3220" s="212">
        <f>'IWP03'!M$620</f>
        <v>0</v>
      </c>
      <c r="K3220" s="106"/>
      <c r="L3220" s="106"/>
      <c r="M3220" s="129"/>
    </row>
    <row r="3221" spans="1:13" s="105" customFormat="1">
      <c r="A3221" s="193" t="s">
        <v>501</v>
      </c>
      <c r="B3221" s="210">
        <v>18</v>
      </c>
      <c r="C3221" s="191" t="str">
        <f>IF('IWP03'!E$627=0,"",'IWP03'!E$627)</f>
        <v/>
      </c>
      <c r="D3221" s="211">
        <f>'IWP03'!G$627</f>
        <v>0</v>
      </c>
      <c r="E3221" s="211">
        <f>'IWP03'!H$627</f>
        <v>0</v>
      </c>
      <c r="F3221" s="211">
        <f>'IWP03'!I$627</f>
        <v>0</v>
      </c>
      <c r="G3221" s="191" t="str">
        <f>IF('IWP03'!J$627=0,"",'IWP03'!J$627)</f>
        <v/>
      </c>
      <c r="H3221" s="211">
        <f>'IWP03'!K$627</f>
        <v>0</v>
      </c>
      <c r="I3221" s="211">
        <f>'IWP03'!L$627</f>
        <v>0</v>
      </c>
      <c r="J3221" s="212">
        <f>'IWP03'!M$627</f>
        <v>0</v>
      </c>
      <c r="K3221" s="106"/>
      <c r="L3221" s="106"/>
      <c r="M3221" s="129"/>
    </row>
    <row r="3222" spans="1:13" s="105" customFormat="1">
      <c r="A3222" s="193" t="s">
        <v>501</v>
      </c>
      <c r="B3222" s="210">
        <v>18</v>
      </c>
      <c r="C3222" s="191" t="str">
        <f>IF('IWP03'!E$628=0,"",'IWP03'!E$628)</f>
        <v/>
      </c>
      <c r="D3222" s="211">
        <f>'IWP03'!G$628</f>
        <v>0</v>
      </c>
      <c r="E3222" s="211">
        <f>'IWP03'!H$628</f>
        <v>0</v>
      </c>
      <c r="F3222" s="211">
        <f>'IWP03'!I$628</f>
        <v>0</v>
      </c>
      <c r="G3222" s="191" t="str">
        <f>IF('IWP03'!J$628=0,"",'IWP03'!J$628)</f>
        <v/>
      </c>
      <c r="H3222" s="211">
        <f>'IWP03'!K$628</f>
        <v>0</v>
      </c>
      <c r="I3222" s="211">
        <f>'IWP03'!L$628</f>
        <v>0</v>
      </c>
      <c r="J3222" s="212">
        <f>'IWP03'!M$628</f>
        <v>0</v>
      </c>
      <c r="K3222" s="106"/>
      <c r="L3222" s="106"/>
      <c r="M3222" s="129"/>
    </row>
    <row r="3223" spans="1:13" s="105" customFormat="1">
      <c r="A3223" s="193" t="s">
        <v>501</v>
      </c>
      <c r="B3223" s="210">
        <v>18</v>
      </c>
      <c r="C3223" s="191" t="str">
        <f>IF('IWP03'!E$629=0,"",'IWP03'!E$629)</f>
        <v/>
      </c>
      <c r="D3223" s="211">
        <f>'IWP03'!G$629</f>
        <v>0</v>
      </c>
      <c r="E3223" s="211">
        <f>'IWP03'!H$629</f>
        <v>0</v>
      </c>
      <c r="F3223" s="211">
        <f>'IWP03'!I$629</f>
        <v>0</v>
      </c>
      <c r="G3223" s="191" t="str">
        <f>IF('IWP03'!J$629=0,"",'IWP03'!J$629)</f>
        <v/>
      </c>
      <c r="H3223" s="211">
        <f>'IWP03'!K$629</f>
        <v>0</v>
      </c>
      <c r="I3223" s="211">
        <f>'IWP03'!L$629</f>
        <v>0</v>
      </c>
      <c r="J3223" s="212">
        <f>'IWP03'!M$629</f>
        <v>0</v>
      </c>
      <c r="K3223" s="106"/>
      <c r="L3223" s="106"/>
      <c r="M3223" s="129"/>
    </row>
    <row r="3224" spans="1:13" s="105" customFormat="1">
      <c r="A3224" s="193" t="s">
        <v>501</v>
      </c>
      <c r="B3224" s="210">
        <v>18</v>
      </c>
      <c r="C3224" s="191" t="str">
        <f>IF('IWP03'!E$630=0,"",'IWP03'!E$630)</f>
        <v/>
      </c>
      <c r="D3224" s="211">
        <f>'IWP03'!G$630</f>
        <v>0</v>
      </c>
      <c r="E3224" s="211">
        <f>'IWP03'!H$630</f>
        <v>0</v>
      </c>
      <c r="F3224" s="211">
        <f>'IWP03'!I$630</f>
        <v>0</v>
      </c>
      <c r="G3224" s="191" t="str">
        <f>IF('IWP03'!J$630=0,"",'IWP03'!J$630)</f>
        <v/>
      </c>
      <c r="H3224" s="211">
        <f>'IWP03'!K$630</f>
        <v>0</v>
      </c>
      <c r="I3224" s="211">
        <f>'IWP03'!L$630</f>
        <v>0</v>
      </c>
      <c r="J3224" s="212">
        <f>'IWP03'!M$630</f>
        <v>0</v>
      </c>
      <c r="K3224" s="106"/>
      <c r="L3224" s="106"/>
      <c r="M3224" s="129"/>
    </row>
    <row r="3225" spans="1:13" s="105" customFormat="1">
      <c r="A3225" s="193" t="s">
        <v>501</v>
      </c>
      <c r="B3225" s="210">
        <v>18</v>
      </c>
      <c r="C3225" s="191" t="str">
        <f>IF('IWP03'!E$631=0,"",'IWP03'!E$631)</f>
        <v/>
      </c>
      <c r="D3225" s="211">
        <f>'IWP03'!G$631</f>
        <v>0</v>
      </c>
      <c r="E3225" s="211">
        <f>'IWP03'!H$631</f>
        <v>0</v>
      </c>
      <c r="F3225" s="211">
        <f>'IWP03'!I$631</f>
        <v>0</v>
      </c>
      <c r="G3225" s="191" t="str">
        <f>IF('IWP03'!J$631=0,"",'IWP03'!J$631)</f>
        <v/>
      </c>
      <c r="H3225" s="211">
        <f>'IWP03'!K$631</f>
        <v>0</v>
      </c>
      <c r="I3225" s="211">
        <f>'IWP03'!L$631</f>
        <v>0</v>
      </c>
      <c r="J3225" s="212">
        <f>'IWP03'!M$631</f>
        <v>0</v>
      </c>
      <c r="K3225" s="106"/>
      <c r="L3225" s="106"/>
      <c r="M3225" s="129"/>
    </row>
    <row r="3226" spans="1:13" s="105" customFormat="1">
      <c r="A3226" s="193" t="s">
        <v>501</v>
      </c>
      <c r="B3226" s="210">
        <v>18</v>
      </c>
      <c r="C3226" s="191" t="str">
        <f>IF('IWP03'!E$632=0,"",'IWP03'!E$632)</f>
        <v/>
      </c>
      <c r="D3226" s="211">
        <f>'IWP03'!G$632</f>
        <v>0</v>
      </c>
      <c r="E3226" s="211">
        <f>'IWP03'!H$632</f>
        <v>0</v>
      </c>
      <c r="F3226" s="211">
        <f>'IWP03'!I$632</f>
        <v>0</v>
      </c>
      <c r="G3226" s="191" t="str">
        <f>IF('IWP03'!J$632=0,"",'IWP03'!J$632)</f>
        <v/>
      </c>
      <c r="H3226" s="211">
        <f>'IWP03'!K$632</f>
        <v>0</v>
      </c>
      <c r="I3226" s="211">
        <f>'IWP03'!L$632</f>
        <v>0</v>
      </c>
      <c r="J3226" s="212">
        <f>'IWP03'!M$632</f>
        <v>0</v>
      </c>
      <c r="K3226" s="106"/>
      <c r="L3226" s="106"/>
      <c r="M3226" s="129"/>
    </row>
    <row r="3227" spans="1:13" s="105" customFormat="1">
      <c r="A3227" s="193" t="s">
        <v>501</v>
      </c>
      <c r="B3227" s="210">
        <v>18</v>
      </c>
      <c r="C3227" s="191" t="str">
        <f>IF('IWP03'!E$633=0,"",'IWP03'!E$633)</f>
        <v/>
      </c>
      <c r="D3227" s="211">
        <f>'IWP03'!G$633</f>
        <v>0</v>
      </c>
      <c r="E3227" s="211">
        <f>'IWP03'!H$633</f>
        <v>0</v>
      </c>
      <c r="F3227" s="211">
        <f>'IWP03'!I$633</f>
        <v>0</v>
      </c>
      <c r="G3227" s="191" t="str">
        <f>IF('IWP03'!J$633=0,"",'IWP03'!J$633)</f>
        <v/>
      </c>
      <c r="H3227" s="211">
        <f>'IWP03'!K$633</f>
        <v>0</v>
      </c>
      <c r="I3227" s="211">
        <f>'IWP03'!L$633</f>
        <v>0</v>
      </c>
      <c r="J3227" s="212">
        <f>'IWP03'!M$633</f>
        <v>0</v>
      </c>
      <c r="K3227" s="106"/>
      <c r="L3227" s="106"/>
      <c r="M3227" s="129"/>
    </row>
    <row r="3228" spans="1:13" s="105" customFormat="1">
      <c r="A3228" s="193" t="s">
        <v>501</v>
      </c>
      <c r="B3228" s="210">
        <v>18</v>
      </c>
      <c r="C3228" s="191" t="str">
        <f>IF('IWP03'!E$634=0,"",'IWP03'!E$634)</f>
        <v/>
      </c>
      <c r="D3228" s="211">
        <f>'IWP03'!G$634</f>
        <v>0</v>
      </c>
      <c r="E3228" s="211">
        <f>'IWP03'!H$634</f>
        <v>0</v>
      </c>
      <c r="F3228" s="211">
        <f>'IWP03'!I$634</f>
        <v>0</v>
      </c>
      <c r="G3228" s="191" t="str">
        <f>IF('IWP03'!J$634=0,"",'IWP03'!J$634)</f>
        <v/>
      </c>
      <c r="H3228" s="211">
        <f>'IWP03'!K$634</f>
        <v>0</v>
      </c>
      <c r="I3228" s="211">
        <f>'IWP03'!L$634</f>
        <v>0</v>
      </c>
      <c r="J3228" s="212">
        <f>'IWP03'!M$634</f>
        <v>0</v>
      </c>
      <c r="K3228" s="106"/>
      <c r="L3228" s="106"/>
      <c r="M3228" s="129"/>
    </row>
    <row r="3229" spans="1:13" s="105" customFormat="1">
      <c r="A3229" s="193" t="s">
        <v>501</v>
      </c>
      <c r="B3229" s="210">
        <v>18</v>
      </c>
      <c r="C3229" s="191" t="str">
        <f>IF('IWP03'!E$635=0,"",'IWP03'!E$635)</f>
        <v/>
      </c>
      <c r="D3229" s="211">
        <f>'IWP03'!G$635</f>
        <v>0</v>
      </c>
      <c r="E3229" s="211">
        <f>'IWP03'!H$635</f>
        <v>0</v>
      </c>
      <c r="F3229" s="211">
        <f>'IWP03'!I$635</f>
        <v>0</v>
      </c>
      <c r="G3229" s="191" t="str">
        <f>IF('IWP03'!J$635=0,"",'IWP03'!J$635)</f>
        <v/>
      </c>
      <c r="H3229" s="211">
        <f>'IWP03'!K$635</f>
        <v>0</v>
      </c>
      <c r="I3229" s="211">
        <f>'IWP03'!L$635</f>
        <v>0</v>
      </c>
      <c r="J3229" s="212">
        <f>'IWP03'!M$635</f>
        <v>0</v>
      </c>
      <c r="K3229" s="106"/>
      <c r="L3229" s="106"/>
      <c r="M3229" s="129"/>
    </row>
    <row r="3230" spans="1:13" s="105" customFormat="1">
      <c r="A3230" s="193" t="s">
        <v>501</v>
      </c>
      <c r="B3230" s="210">
        <v>18</v>
      </c>
      <c r="C3230" s="191" t="str">
        <f>IF('IWP03'!E$636=0,"",'IWP03'!E$636)</f>
        <v/>
      </c>
      <c r="D3230" s="211">
        <f>'IWP03'!G$636</f>
        <v>0</v>
      </c>
      <c r="E3230" s="211">
        <f>'IWP03'!H$636</f>
        <v>0</v>
      </c>
      <c r="F3230" s="211">
        <f>'IWP03'!I$636</f>
        <v>0</v>
      </c>
      <c r="G3230" s="191" t="str">
        <f>IF('IWP03'!J$636=0,"",'IWP03'!J$636)</f>
        <v/>
      </c>
      <c r="H3230" s="211">
        <f>'IWP03'!K$636</f>
        <v>0</v>
      </c>
      <c r="I3230" s="211">
        <f>'IWP03'!L$636</f>
        <v>0</v>
      </c>
      <c r="J3230" s="212">
        <f>'IWP03'!M$636</f>
        <v>0</v>
      </c>
      <c r="K3230" s="106"/>
      <c r="L3230" s="106"/>
      <c r="M3230" s="129"/>
    </row>
    <row r="3231" spans="1:13" s="146" customFormat="1">
      <c r="A3231" s="193" t="s">
        <v>502</v>
      </c>
      <c r="B3231" s="210">
        <v>1</v>
      </c>
      <c r="C3231" s="191" t="str">
        <f>IF('IWP04'!E$355=0,"",'IWP04'!E$355)</f>
        <v>Subtotal column D.</v>
      </c>
      <c r="D3231" s="211">
        <f>'IWP04'!G$355</f>
        <v>0</v>
      </c>
      <c r="E3231" s="211">
        <f>'IWP04'!H$355</f>
        <v>0</v>
      </c>
      <c r="F3231" s="211">
        <f>'IWP04'!I$355</f>
        <v>0</v>
      </c>
      <c r="G3231" s="191" t="str">
        <f>IF('IWP04'!J$355=0,"",'IWP04'!J$355)</f>
        <v/>
      </c>
      <c r="H3231" s="211">
        <f>'IWP04'!K$355</f>
        <v>0</v>
      </c>
      <c r="I3231" s="211">
        <f>'IWP04'!L$355</f>
        <v>0</v>
      </c>
      <c r="J3231" s="212">
        <f>'IWP04'!M$355</f>
        <v>0</v>
      </c>
      <c r="K3231" s="106"/>
      <c r="L3231" s="106"/>
      <c r="M3231" s="129"/>
    </row>
    <row r="3232" spans="1:13" s="146" customFormat="1">
      <c r="A3232" s="193" t="s">
        <v>502</v>
      </c>
      <c r="B3232" s="210">
        <v>1</v>
      </c>
      <c r="C3232" s="191" t="str">
        <f>IF('IWP04'!E$356=0,"",'IWP04'!E$356)</f>
        <v>Unverified/Undocumented (Subtotall D - C)</v>
      </c>
      <c r="D3232" s="211">
        <f>'IWP04'!G$356</f>
        <v>0</v>
      </c>
      <c r="E3232" s="211">
        <f>'IWP04'!H$356</f>
        <v>0</v>
      </c>
      <c r="F3232" s="211">
        <f>'IWP04'!I$356</f>
        <v>0</v>
      </c>
      <c r="G3232" s="191" t="str">
        <f>IF('IWP04'!J$356=0,"",'IWP04'!J$356)</f>
        <v/>
      </c>
      <c r="H3232" s="211">
        <f>'IWP04'!K$356</f>
        <v>0</v>
      </c>
      <c r="I3232" s="211">
        <f>'IWP04'!L$356</f>
        <v>0</v>
      </c>
      <c r="J3232" s="212">
        <f>'IWP04'!M$356</f>
        <v>0</v>
      </c>
      <c r="K3232" s="106"/>
      <c r="L3232" s="106"/>
      <c r="M3232" s="129"/>
    </row>
    <row r="3233" spans="1:13" s="146" customFormat="1">
      <c r="A3233" s="193" t="s">
        <v>502</v>
      </c>
      <c r="B3233" s="210">
        <v>1</v>
      </c>
      <c r="C3233" s="191" t="str">
        <f>IF('IWP04'!E$357=0,"",'IWP04'!E$357)</f>
        <v>J. Billing Period Total</v>
      </c>
      <c r="D3233" s="211">
        <f>'IWP04'!G$357</f>
        <v>0</v>
      </c>
      <c r="E3233" s="211">
        <f>'IWP04'!H$357</f>
        <v>0</v>
      </c>
      <c r="F3233" s="211">
        <f>'IWP04'!I$357</f>
        <v>0</v>
      </c>
      <c r="G3233" s="191" t="str">
        <f>IF('IWP04'!J$357=0,"",'IWP04'!J$357)</f>
        <v/>
      </c>
      <c r="H3233" s="211">
        <f>'IWP04'!K$357</f>
        <v>0</v>
      </c>
      <c r="I3233" s="211">
        <f>'IWP04'!L$357</f>
        <v>0</v>
      </c>
      <c r="J3233" s="212">
        <f>'IWP04'!M$357</f>
        <v>0</v>
      </c>
      <c r="K3233" s="106"/>
      <c r="L3233" s="106"/>
      <c r="M3233" s="129"/>
    </row>
    <row r="3234" spans="1:13" s="146" customFormat="1">
      <c r="A3234" s="193" t="s">
        <v>502</v>
      </c>
      <c r="B3234" s="210">
        <v>1</v>
      </c>
      <c r="C3234" s="191" t="str">
        <f>IF('IWP04'!E$358=0,"",'IWP04'!E$358)</f>
        <v>D.</v>
      </c>
      <c r="D3234" s="211">
        <f>'IWP04'!G$358</f>
        <v>0</v>
      </c>
      <c r="E3234" s="211" t="str">
        <f>'IWP04'!H$358</f>
        <v>E.</v>
      </c>
      <c r="F3234" s="211" t="str">
        <f>'IWP04'!I$358</f>
        <v>F.</v>
      </c>
      <c r="G3234" s="191" t="str">
        <f>IF('IWP04'!J$358=0,"",'IWP04'!J$358)</f>
        <v>G.</v>
      </c>
      <c r="H3234" s="211">
        <f>'IWP04'!K$358</f>
        <v>0</v>
      </c>
      <c r="I3234" s="211" t="str">
        <f>'IWP04'!L$358</f>
        <v>H.</v>
      </c>
      <c r="J3234" s="212" t="str">
        <f>'IWP04'!M$358</f>
        <v>I.</v>
      </c>
      <c r="K3234" s="106"/>
      <c r="L3234" s="106"/>
      <c r="M3234" s="129"/>
    </row>
    <row r="3235" spans="1:13" s="146" customFormat="1">
      <c r="A3235" s="193" t="s">
        <v>502</v>
      </c>
      <c r="B3235" s="210">
        <v>1</v>
      </c>
      <c r="C3235" s="191" t="str">
        <f>IF('IWP04'!E$359=0,"",'IWP04'!E$359)</f>
        <v xml:space="preserve">Items/Services Related to Billing Period </v>
      </c>
      <c r="D3235" s="211">
        <f>'IWP04'!G$359</f>
        <v>0</v>
      </c>
      <c r="E3235" s="211" t="str">
        <f>'IWP04'!H$359</f>
        <v xml:space="preserve">Item/
Service Verified Amounts
</v>
      </c>
      <c r="F3235" s="211" t="str">
        <f>'IWP04'!I$359</f>
        <v>Amount Due to DADS (E. - D.)</v>
      </c>
      <c r="G3235" s="191" t="str">
        <f>IF('IWP04'!J$359=0,"",'IWP04'!J$359)</f>
        <v>Amount Reimbursed to 
Employee(s)/Employer</v>
      </c>
      <c r="H3235" s="211">
        <f>'IWP04'!K$359</f>
        <v>0</v>
      </c>
      <c r="I3235" s="211" t="str">
        <f>'IWP04'!L$359</f>
        <v>Amount Due to Employee(s) (G. - E.)</v>
      </c>
      <c r="J3235" s="212" t="str">
        <f>'IWP04'!M$359</f>
        <v>Amount Due to Employer (G. - E.)</v>
      </c>
      <c r="K3235" s="106"/>
      <c r="L3235" s="106"/>
      <c r="M3235" s="129"/>
    </row>
    <row r="3236" spans="1:13" s="146" customFormat="1">
      <c r="A3236" s="193" t="s">
        <v>502</v>
      </c>
      <c r="B3236" s="210">
        <v>1</v>
      </c>
      <c r="C3236" s="191" t="str">
        <f>IF('IWP04'!E$360=0,"",'IWP04'!E$360)</f>
        <v>Item/Service</v>
      </c>
      <c r="D3236" s="211" t="str">
        <f>'IWP04'!G$360</f>
        <v>Itemized Amount Paid by DADS</v>
      </c>
      <c r="E3236" s="211">
        <f>'IWP04'!H$360</f>
        <v>0</v>
      </c>
      <c r="F3236" s="211">
        <f>'IWP04'!I$360</f>
        <v>0</v>
      </c>
      <c r="G3236" s="191" t="str">
        <f>IF('IWP04'!J$360=0,"",'IWP04'!J$360)</f>
        <v/>
      </c>
      <c r="H3236" s="211">
        <f>'IWP04'!K$360</f>
        <v>0</v>
      </c>
      <c r="I3236" s="211">
        <f>'IWP04'!L$360</f>
        <v>0</v>
      </c>
      <c r="J3236" s="212">
        <f>'IWP04'!M$360</f>
        <v>0</v>
      </c>
      <c r="K3236" s="106"/>
      <c r="L3236" s="106"/>
      <c r="M3236" s="129"/>
    </row>
    <row r="3237" spans="1:13" s="146" customFormat="1">
      <c r="A3237" s="193" t="s">
        <v>502</v>
      </c>
      <c r="B3237" s="210">
        <v>1</v>
      </c>
      <c r="C3237" s="191" t="str">
        <f>IF('IWP04'!E$361=0,"",'IWP04'!E$361)</f>
        <v/>
      </c>
      <c r="D3237" s="211">
        <f>'IWP04'!G$361</f>
        <v>0</v>
      </c>
      <c r="E3237" s="211">
        <f>'IWP04'!H$361</f>
        <v>0</v>
      </c>
      <c r="F3237" s="211">
        <f>'IWP04'!I$361</f>
        <v>0</v>
      </c>
      <c r="G3237" s="191" t="str">
        <f>IF('IWP04'!J$361=0,"",'IWP04'!J$361)</f>
        <v/>
      </c>
      <c r="H3237" s="211">
        <f>'IWP04'!K$361</f>
        <v>0</v>
      </c>
      <c r="I3237" s="211">
        <f>'IWP04'!L$361</f>
        <v>0</v>
      </c>
      <c r="J3237" s="212">
        <f>'IWP04'!M$361</f>
        <v>0</v>
      </c>
      <c r="K3237" s="106"/>
      <c r="L3237" s="106"/>
      <c r="M3237" s="129"/>
    </row>
    <row r="3238" spans="1:13" s="146" customFormat="1">
      <c r="A3238" s="193" t="s">
        <v>502</v>
      </c>
      <c r="B3238" s="210">
        <v>1</v>
      </c>
      <c r="C3238" s="191" t="str">
        <f>IF('IWP04'!E$362=0,"",'IWP04'!E$362)</f>
        <v/>
      </c>
      <c r="D3238" s="211">
        <f>'IWP04'!G$362</f>
        <v>0</v>
      </c>
      <c r="E3238" s="211">
        <f>'IWP04'!H$362</f>
        <v>0</v>
      </c>
      <c r="F3238" s="211">
        <f>'IWP04'!I$362</f>
        <v>0</v>
      </c>
      <c r="G3238" s="191" t="str">
        <f>IF('IWP04'!J$362=0,"",'IWP04'!J$362)</f>
        <v/>
      </c>
      <c r="H3238" s="211">
        <f>'IWP04'!K$362</f>
        <v>0</v>
      </c>
      <c r="I3238" s="211">
        <f>'IWP04'!L$362</f>
        <v>0</v>
      </c>
      <c r="J3238" s="212">
        <f>'IWP04'!M$362</f>
        <v>0</v>
      </c>
      <c r="K3238" s="106"/>
      <c r="L3238" s="106"/>
      <c r="M3238" s="129"/>
    </row>
    <row r="3239" spans="1:13" s="146" customFormat="1">
      <c r="A3239" s="193" t="s">
        <v>502</v>
      </c>
      <c r="B3239" s="210">
        <v>1</v>
      </c>
      <c r="C3239" s="191" t="str">
        <f>IF('IWP04'!E$363=0,"",'IWP04'!E$363)</f>
        <v/>
      </c>
      <c r="D3239" s="211">
        <f>'IWP04'!G$363</f>
        <v>0</v>
      </c>
      <c r="E3239" s="211">
        <f>'IWP04'!H$363</f>
        <v>0</v>
      </c>
      <c r="F3239" s="211">
        <f>'IWP04'!I$363</f>
        <v>0</v>
      </c>
      <c r="G3239" s="191" t="str">
        <f>IF('IWP04'!J$363=0,"",'IWP04'!J$363)</f>
        <v/>
      </c>
      <c r="H3239" s="211">
        <f>'IWP04'!K$363</f>
        <v>0</v>
      </c>
      <c r="I3239" s="211">
        <f>'IWP04'!L$363</f>
        <v>0</v>
      </c>
      <c r="J3239" s="212">
        <f>'IWP04'!M$363</f>
        <v>0</v>
      </c>
      <c r="K3239" s="106"/>
      <c r="L3239" s="106"/>
      <c r="M3239" s="129"/>
    </row>
    <row r="3240" spans="1:13" s="146" customFormat="1">
      <c r="A3240" s="193" t="s">
        <v>502</v>
      </c>
      <c r="B3240" s="210">
        <v>1</v>
      </c>
      <c r="C3240" s="191" t="str">
        <f>IF('IWP04'!E$364=0,"",'IWP04'!E$364)</f>
        <v/>
      </c>
      <c r="D3240" s="211">
        <f>'IWP04'!G$364</f>
        <v>0</v>
      </c>
      <c r="E3240" s="211">
        <f>'IWP04'!H$364</f>
        <v>0</v>
      </c>
      <c r="F3240" s="211">
        <f>'IWP04'!I$364</f>
        <v>0</v>
      </c>
      <c r="G3240" s="191" t="str">
        <f>IF('IWP04'!J$364=0,"",'IWP04'!J$364)</f>
        <v/>
      </c>
      <c r="H3240" s="211">
        <f>'IWP04'!K$364</f>
        <v>0</v>
      </c>
      <c r="I3240" s="211">
        <f>'IWP04'!L$364</f>
        <v>0</v>
      </c>
      <c r="J3240" s="212">
        <f>'IWP04'!M$364</f>
        <v>0</v>
      </c>
      <c r="K3240" s="106"/>
      <c r="L3240" s="106"/>
      <c r="M3240" s="129"/>
    </row>
    <row r="3241" spans="1:13" s="146" customFormat="1">
      <c r="A3241" s="193" t="s">
        <v>502</v>
      </c>
      <c r="B3241" s="210">
        <v>2</v>
      </c>
      <c r="C3241" s="191" t="str">
        <f>IF('IWP04'!E$371=0,"",'IWP04'!E$371)</f>
        <v>Subtotal column D.</v>
      </c>
      <c r="D3241" s="211">
        <f>'IWP04'!G$371</f>
        <v>0</v>
      </c>
      <c r="E3241" s="211">
        <f>'IWP04'!H$371</f>
        <v>0</v>
      </c>
      <c r="F3241" s="211">
        <f>'IWP04'!I$371</f>
        <v>0</v>
      </c>
      <c r="G3241" s="191" t="str">
        <f>IF('IWP04'!J$371=0,"",'IWP04'!J$371)</f>
        <v/>
      </c>
      <c r="H3241" s="211">
        <f>'IWP04'!K$371</f>
        <v>0</v>
      </c>
      <c r="I3241" s="211">
        <f>'IWP04'!L$371</f>
        <v>0</v>
      </c>
      <c r="J3241" s="212">
        <f>'IWP04'!M$371</f>
        <v>0</v>
      </c>
      <c r="K3241" s="106"/>
      <c r="L3241" s="106"/>
      <c r="M3241" s="129"/>
    </row>
    <row r="3242" spans="1:13" s="146" customFormat="1">
      <c r="A3242" s="193" t="s">
        <v>502</v>
      </c>
      <c r="B3242" s="210">
        <v>2</v>
      </c>
      <c r="C3242" s="191" t="str">
        <f>IF('IWP04'!E$372=0,"",'IWP04'!E$372)</f>
        <v>Unverified/Undocumented (Subtotal D - C)</v>
      </c>
      <c r="D3242" s="211">
        <f>'IWP04'!G$372</f>
        <v>0</v>
      </c>
      <c r="E3242" s="211">
        <f>'IWP04'!H$372</f>
        <v>0</v>
      </c>
      <c r="F3242" s="211">
        <f>'IWP04'!I$372</f>
        <v>0</v>
      </c>
      <c r="G3242" s="191" t="str">
        <f>IF('IWP04'!J$372=0,"",'IWP04'!J$372)</f>
        <v/>
      </c>
      <c r="H3242" s="211">
        <f>'IWP04'!K$372</f>
        <v>0</v>
      </c>
      <c r="I3242" s="211">
        <f>'IWP04'!L$372</f>
        <v>0</v>
      </c>
      <c r="J3242" s="212">
        <f>'IWP04'!M$372</f>
        <v>0</v>
      </c>
      <c r="K3242" s="106"/>
      <c r="L3242" s="106"/>
      <c r="M3242" s="129"/>
    </row>
    <row r="3243" spans="1:13" s="146" customFormat="1">
      <c r="A3243" s="193" t="s">
        <v>502</v>
      </c>
      <c r="B3243" s="210">
        <v>2</v>
      </c>
      <c r="C3243" s="191" t="str">
        <f>IF('IWP04'!E$373=0,"",'IWP04'!E$373)</f>
        <v>J. Billing Period Total</v>
      </c>
      <c r="D3243" s="211">
        <f>'IWP04'!G$373</f>
        <v>0</v>
      </c>
      <c r="E3243" s="211">
        <f>'IWP04'!H$373</f>
        <v>0</v>
      </c>
      <c r="F3243" s="211">
        <f>'IWP04'!I$373</f>
        <v>0</v>
      </c>
      <c r="G3243" s="191" t="str">
        <f>IF('IWP04'!J$373=0,"",'IWP04'!J$373)</f>
        <v/>
      </c>
      <c r="H3243" s="211">
        <f>'IWP04'!K$373</f>
        <v>0</v>
      </c>
      <c r="I3243" s="211">
        <f>'IWP04'!L$373</f>
        <v>0</v>
      </c>
      <c r="J3243" s="212">
        <f>'IWP04'!M$373</f>
        <v>0</v>
      </c>
      <c r="K3243" s="106"/>
      <c r="L3243" s="106"/>
      <c r="M3243" s="129"/>
    </row>
    <row r="3244" spans="1:13" s="146" customFormat="1">
      <c r="A3244" s="193" t="s">
        <v>502</v>
      </c>
      <c r="B3244" s="210">
        <v>2</v>
      </c>
      <c r="C3244" s="191" t="str">
        <f>IF('IWP04'!E$374=0,"",'IWP04'!E$374)</f>
        <v>D.</v>
      </c>
      <c r="D3244" s="211">
        <f>'IWP04'!G$374</f>
        <v>0</v>
      </c>
      <c r="E3244" s="211" t="str">
        <f>'IWP04'!H$374</f>
        <v>E.</v>
      </c>
      <c r="F3244" s="211" t="str">
        <f>'IWP04'!I$374</f>
        <v>F.</v>
      </c>
      <c r="G3244" s="191" t="str">
        <f>IF('IWP04'!J$374=0,"",'IWP04'!J$374)</f>
        <v>G.</v>
      </c>
      <c r="H3244" s="211">
        <f>'IWP04'!K$374</f>
        <v>0</v>
      </c>
      <c r="I3244" s="211" t="str">
        <f>'IWP04'!L$374</f>
        <v>H.</v>
      </c>
      <c r="J3244" s="212" t="str">
        <f>'IWP04'!M$374</f>
        <v>I.</v>
      </c>
      <c r="K3244" s="106"/>
      <c r="L3244" s="106"/>
      <c r="M3244" s="129"/>
    </row>
    <row r="3245" spans="1:13" s="146" customFormat="1">
      <c r="A3245" s="193" t="s">
        <v>502</v>
      </c>
      <c r="B3245" s="210">
        <v>2</v>
      </c>
      <c r="C3245" s="191" t="str">
        <f>IF('IWP04'!E$375=0,"",'IWP04'!E$375)</f>
        <v xml:space="preserve">Items/Services Related to Billing Period </v>
      </c>
      <c r="D3245" s="211">
        <f>'IWP04'!G$375</f>
        <v>0</v>
      </c>
      <c r="E3245" s="211" t="str">
        <f>'IWP04'!H$375</f>
        <v xml:space="preserve">Item/
Service Verified Amounts
</v>
      </c>
      <c r="F3245" s="211" t="str">
        <f>'IWP04'!I$375</f>
        <v>Amount Due to DADS (E. - D.)</v>
      </c>
      <c r="G3245" s="191" t="str">
        <f>IF('IWP04'!J$375=0,"",'IWP04'!J$375)</f>
        <v>Amount Reimbursed to 
Employee(s)/Employer</v>
      </c>
      <c r="H3245" s="211">
        <f>'IWP04'!K$375</f>
        <v>0</v>
      </c>
      <c r="I3245" s="211" t="str">
        <f>'IWP04'!L$375</f>
        <v>Amount Due to Employee(s) (G. - E.)</v>
      </c>
      <c r="J3245" s="212" t="str">
        <f>'IWP04'!M$375</f>
        <v>Amount Due to Employer (G. - E.)</v>
      </c>
      <c r="K3245" s="106"/>
      <c r="L3245" s="106"/>
      <c r="M3245" s="129"/>
    </row>
    <row r="3246" spans="1:13" s="146" customFormat="1">
      <c r="A3246" s="193" t="s">
        <v>502</v>
      </c>
      <c r="B3246" s="210">
        <v>2</v>
      </c>
      <c r="C3246" s="191" t="str">
        <f>IF('IWP04'!E$376=0,"",'IWP04'!E$376)</f>
        <v>Item/Service</v>
      </c>
      <c r="D3246" s="211" t="str">
        <f>'IWP04'!G$376</f>
        <v>Itemized Amount Paid by DADS</v>
      </c>
      <c r="E3246" s="211">
        <f>'IWP04'!H$376</f>
        <v>0</v>
      </c>
      <c r="F3246" s="211">
        <f>'IWP04'!I$376</f>
        <v>0</v>
      </c>
      <c r="G3246" s="191" t="str">
        <f>IF('IWP04'!J$376=0,"",'IWP04'!J$376)</f>
        <v/>
      </c>
      <c r="H3246" s="211">
        <f>'IWP04'!K$376</f>
        <v>0</v>
      </c>
      <c r="I3246" s="211">
        <f>'IWP04'!L$376</f>
        <v>0</v>
      </c>
      <c r="J3246" s="212">
        <f>'IWP04'!M$376</f>
        <v>0</v>
      </c>
      <c r="K3246" s="106"/>
      <c r="L3246" s="106"/>
      <c r="M3246" s="129"/>
    </row>
    <row r="3247" spans="1:13" s="146" customFormat="1">
      <c r="A3247" s="193" t="s">
        <v>502</v>
      </c>
      <c r="B3247" s="210">
        <v>2</v>
      </c>
      <c r="C3247" s="191" t="str">
        <f>IF('IWP04'!E$377=0,"",'IWP04'!E$377)</f>
        <v/>
      </c>
      <c r="D3247" s="211">
        <f>'IWP04'!G$377</f>
        <v>0</v>
      </c>
      <c r="E3247" s="211">
        <f>'IWP04'!H$377</f>
        <v>0</v>
      </c>
      <c r="F3247" s="211">
        <f>'IWP04'!I$377</f>
        <v>0</v>
      </c>
      <c r="G3247" s="191" t="str">
        <f>IF('IWP04'!J$377=0,"",'IWP04'!J$377)</f>
        <v/>
      </c>
      <c r="H3247" s="211">
        <f>'IWP04'!K$377</f>
        <v>0</v>
      </c>
      <c r="I3247" s="211">
        <f>'IWP04'!L$377</f>
        <v>0</v>
      </c>
      <c r="J3247" s="212">
        <f>'IWP04'!M$377</f>
        <v>0</v>
      </c>
      <c r="K3247" s="106"/>
      <c r="L3247" s="106"/>
      <c r="M3247" s="129"/>
    </row>
    <row r="3248" spans="1:13" s="146" customFormat="1">
      <c r="A3248" s="193" t="s">
        <v>502</v>
      </c>
      <c r="B3248" s="210">
        <v>2</v>
      </c>
      <c r="C3248" s="191" t="str">
        <f>IF('IWP04'!E$378=0,"",'IWP04'!E$378)</f>
        <v/>
      </c>
      <c r="D3248" s="211">
        <f>'IWP04'!G$378</f>
        <v>0</v>
      </c>
      <c r="E3248" s="211">
        <f>'IWP04'!H$378</f>
        <v>0</v>
      </c>
      <c r="F3248" s="211">
        <f>'IWP04'!I$378</f>
        <v>0</v>
      </c>
      <c r="G3248" s="191" t="str">
        <f>IF('IWP04'!J$378=0,"",'IWP04'!J$378)</f>
        <v/>
      </c>
      <c r="H3248" s="211">
        <f>'IWP04'!K$378</f>
        <v>0</v>
      </c>
      <c r="I3248" s="211">
        <f>'IWP04'!L$378</f>
        <v>0</v>
      </c>
      <c r="J3248" s="212">
        <f>'IWP04'!M$378</f>
        <v>0</v>
      </c>
      <c r="K3248" s="106"/>
      <c r="L3248" s="106"/>
      <c r="M3248" s="129"/>
    </row>
    <row r="3249" spans="1:13" s="146" customFormat="1">
      <c r="A3249" s="193" t="s">
        <v>502</v>
      </c>
      <c r="B3249" s="210">
        <v>2</v>
      </c>
      <c r="C3249" s="191" t="str">
        <f>IF('IWP04'!E$379=0,"",'IWP04'!E$379)</f>
        <v/>
      </c>
      <c r="D3249" s="211">
        <f>'IWP04'!G$379</f>
        <v>0</v>
      </c>
      <c r="E3249" s="211">
        <f>'IWP04'!H$379</f>
        <v>0</v>
      </c>
      <c r="F3249" s="211">
        <f>'IWP04'!I$379</f>
        <v>0</v>
      </c>
      <c r="G3249" s="191" t="str">
        <f>IF('IWP04'!J$379=0,"",'IWP04'!J$379)</f>
        <v/>
      </c>
      <c r="H3249" s="211">
        <f>'IWP04'!K$379</f>
        <v>0</v>
      </c>
      <c r="I3249" s="211">
        <f>'IWP04'!L$379</f>
        <v>0</v>
      </c>
      <c r="J3249" s="212">
        <f>'IWP04'!M$379</f>
        <v>0</v>
      </c>
      <c r="K3249" s="106"/>
      <c r="L3249" s="106"/>
      <c r="M3249" s="129"/>
    </row>
    <row r="3250" spans="1:13" s="146" customFormat="1">
      <c r="A3250" s="193" t="s">
        <v>502</v>
      </c>
      <c r="B3250" s="210">
        <v>2</v>
      </c>
      <c r="C3250" s="191" t="str">
        <f>IF('IWP04'!E$380=0,"",'IWP04'!E$380)</f>
        <v/>
      </c>
      <c r="D3250" s="211">
        <f>'IWP04'!G$380</f>
        <v>0</v>
      </c>
      <c r="E3250" s="211">
        <f>'IWP04'!H$380</f>
        <v>0</v>
      </c>
      <c r="F3250" s="211">
        <f>'IWP04'!I$380</f>
        <v>0</v>
      </c>
      <c r="G3250" s="191" t="str">
        <f>IF('IWP04'!J$380=0,"",'IWP04'!J$380)</f>
        <v/>
      </c>
      <c r="H3250" s="211">
        <f>'IWP04'!K$380</f>
        <v>0</v>
      </c>
      <c r="I3250" s="211">
        <f>'IWP04'!L$380</f>
        <v>0</v>
      </c>
      <c r="J3250" s="212">
        <f>'IWP04'!M$380</f>
        <v>0</v>
      </c>
      <c r="K3250" s="106"/>
      <c r="L3250" s="106"/>
      <c r="M3250" s="129"/>
    </row>
    <row r="3251" spans="1:13" s="146" customFormat="1">
      <c r="A3251" s="193" t="s">
        <v>502</v>
      </c>
      <c r="B3251" s="210">
        <v>3</v>
      </c>
      <c r="C3251" s="191" t="str">
        <f>IF('IWP04'!E$387=0,"",'IWP04'!E$387)</f>
        <v>Subtotal column D.</v>
      </c>
      <c r="D3251" s="211">
        <f>'IWP04'!G$387</f>
        <v>0</v>
      </c>
      <c r="E3251" s="211">
        <f>'IWP04'!H$387</f>
        <v>0</v>
      </c>
      <c r="F3251" s="211">
        <f>'IWP04'!I$387</f>
        <v>0</v>
      </c>
      <c r="G3251" s="191" t="str">
        <f>IF('IWP04'!J$387=0,"",'IWP04'!J$387)</f>
        <v/>
      </c>
      <c r="H3251" s="211">
        <f>'IWP04'!K$387</f>
        <v>0</v>
      </c>
      <c r="I3251" s="211">
        <f>'IWP04'!L$387</f>
        <v>0</v>
      </c>
      <c r="J3251" s="212">
        <f>'IWP04'!M$387</f>
        <v>0</v>
      </c>
      <c r="K3251" s="106"/>
      <c r="L3251" s="106"/>
      <c r="M3251" s="129"/>
    </row>
    <row r="3252" spans="1:13" s="146" customFormat="1">
      <c r="A3252" s="193" t="s">
        <v>502</v>
      </c>
      <c r="B3252" s="210">
        <v>3</v>
      </c>
      <c r="C3252" s="191" t="str">
        <f>IF('IWP04'!E$388=0,"",'IWP04'!E$388)</f>
        <v>Unverified/Undocumented (Subtotal D - C)</v>
      </c>
      <c r="D3252" s="211">
        <f>'IWP04'!G$388</f>
        <v>0</v>
      </c>
      <c r="E3252" s="211">
        <f>'IWP04'!H$388</f>
        <v>0</v>
      </c>
      <c r="F3252" s="211">
        <f>'IWP04'!I$388</f>
        <v>0</v>
      </c>
      <c r="G3252" s="191" t="str">
        <f>IF('IWP04'!J$388=0,"",'IWP04'!J$388)</f>
        <v/>
      </c>
      <c r="H3252" s="211">
        <f>'IWP04'!K$388</f>
        <v>0</v>
      </c>
      <c r="I3252" s="211">
        <f>'IWP04'!L$388</f>
        <v>0</v>
      </c>
      <c r="J3252" s="212">
        <f>'IWP04'!M$388</f>
        <v>0</v>
      </c>
      <c r="K3252" s="106"/>
      <c r="L3252" s="106"/>
      <c r="M3252" s="129"/>
    </row>
    <row r="3253" spans="1:13" s="146" customFormat="1">
      <c r="A3253" s="193" t="s">
        <v>502</v>
      </c>
      <c r="B3253" s="210">
        <v>3</v>
      </c>
      <c r="C3253" s="191" t="str">
        <f>IF('IWP04'!E$389=0,"",'IWP04'!E$389)</f>
        <v>J. Billing Period Total</v>
      </c>
      <c r="D3253" s="211">
        <f>'IWP04'!G$389</f>
        <v>0</v>
      </c>
      <c r="E3253" s="211">
        <f>'IWP04'!H$389</f>
        <v>0</v>
      </c>
      <c r="F3253" s="211">
        <f>'IWP04'!I$389</f>
        <v>0</v>
      </c>
      <c r="G3253" s="191" t="str">
        <f>IF('IWP04'!J$389=0,"",'IWP04'!J$389)</f>
        <v/>
      </c>
      <c r="H3253" s="211">
        <f>'IWP04'!K$389</f>
        <v>0</v>
      </c>
      <c r="I3253" s="211">
        <f>'IWP04'!L$389</f>
        <v>0</v>
      </c>
      <c r="J3253" s="212">
        <f>'IWP04'!M$389</f>
        <v>0</v>
      </c>
      <c r="K3253" s="106"/>
      <c r="L3253" s="106"/>
      <c r="M3253" s="129"/>
    </row>
    <row r="3254" spans="1:13" s="146" customFormat="1">
      <c r="A3254" s="193" t="s">
        <v>502</v>
      </c>
      <c r="B3254" s="210">
        <v>3</v>
      </c>
      <c r="C3254" s="191" t="str">
        <f>IF('IWP04'!E$390=0,"",'IWP04'!E$390)</f>
        <v>D.</v>
      </c>
      <c r="D3254" s="211">
        <f>'IWP04'!G$390</f>
        <v>0</v>
      </c>
      <c r="E3254" s="211" t="str">
        <f>'IWP04'!H$390</f>
        <v>E.</v>
      </c>
      <c r="F3254" s="211" t="str">
        <f>'IWP04'!I$390</f>
        <v>F.</v>
      </c>
      <c r="G3254" s="191" t="str">
        <f>IF('IWP04'!J$390=0,"",'IWP04'!J$390)</f>
        <v>G.</v>
      </c>
      <c r="H3254" s="211">
        <f>'IWP04'!K$390</f>
        <v>0</v>
      </c>
      <c r="I3254" s="211" t="str">
        <f>'IWP04'!L$390</f>
        <v>H.</v>
      </c>
      <c r="J3254" s="212" t="str">
        <f>'IWP04'!M$390</f>
        <v>I.</v>
      </c>
      <c r="K3254" s="106"/>
      <c r="L3254" s="106"/>
      <c r="M3254" s="129"/>
    </row>
    <row r="3255" spans="1:13" s="146" customFormat="1">
      <c r="A3255" s="193" t="s">
        <v>502</v>
      </c>
      <c r="B3255" s="210">
        <v>3</v>
      </c>
      <c r="C3255" s="191" t="str">
        <f>IF('IWP04'!E$391=0,"",'IWP04'!E$391)</f>
        <v xml:space="preserve">Items/Services Related to Billing Period </v>
      </c>
      <c r="D3255" s="211">
        <f>'IWP04'!G$391</f>
        <v>0</v>
      </c>
      <c r="E3255" s="211" t="str">
        <f>'IWP04'!H$391</f>
        <v xml:space="preserve">Item/
Service Verified Amounts
</v>
      </c>
      <c r="F3255" s="211" t="str">
        <f>'IWP04'!I$391</f>
        <v>Amount Due to DADS (E. - D.)</v>
      </c>
      <c r="G3255" s="191" t="str">
        <f>IF('IWP04'!J$391=0,"",'IWP04'!J$391)</f>
        <v>Amount Reimbursed to 
Employee(s)/Employer</v>
      </c>
      <c r="H3255" s="211">
        <f>'IWP04'!K$391</f>
        <v>0</v>
      </c>
      <c r="I3255" s="211" t="str">
        <f>'IWP04'!L$391</f>
        <v>Amount Due to Employee(s) (G. - E.)</v>
      </c>
      <c r="J3255" s="212" t="str">
        <f>'IWP04'!M$391</f>
        <v>Amount Due to Employer (G. - E.)</v>
      </c>
      <c r="K3255" s="106"/>
      <c r="L3255" s="106"/>
      <c r="M3255" s="129"/>
    </row>
    <row r="3256" spans="1:13" s="146" customFormat="1">
      <c r="A3256" s="193" t="s">
        <v>502</v>
      </c>
      <c r="B3256" s="210">
        <v>3</v>
      </c>
      <c r="C3256" s="191" t="str">
        <f>IF('IWP04'!E$392=0,"",'IWP04'!E$392)</f>
        <v>Item/Service</v>
      </c>
      <c r="D3256" s="211" t="str">
        <f>'IWP04'!G$392</f>
        <v>Itemized Amount Paid by DADS</v>
      </c>
      <c r="E3256" s="211">
        <f>'IWP04'!H$392</f>
        <v>0</v>
      </c>
      <c r="F3256" s="211">
        <f>'IWP04'!I$392</f>
        <v>0</v>
      </c>
      <c r="G3256" s="191" t="str">
        <f>IF('IWP04'!J$392=0,"",'IWP04'!J$392)</f>
        <v/>
      </c>
      <c r="H3256" s="211">
        <f>'IWP04'!K$392</f>
        <v>0</v>
      </c>
      <c r="I3256" s="211">
        <f>'IWP04'!L$392</f>
        <v>0</v>
      </c>
      <c r="J3256" s="212">
        <f>'IWP04'!M$392</f>
        <v>0</v>
      </c>
      <c r="K3256" s="106"/>
      <c r="L3256" s="106"/>
      <c r="M3256" s="129"/>
    </row>
    <row r="3257" spans="1:13" s="146" customFormat="1">
      <c r="A3257" s="193" t="s">
        <v>502</v>
      </c>
      <c r="B3257" s="210">
        <v>3</v>
      </c>
      <c r="C3257" s="191" t="str">
        <f>IF('IWP04'!E$393=0,"",'IWP04'!E$393)</f>
        <v/>
      </c>
      <c r="D3257" s="211">
        <f>'IWP04'!G$393</f>
        <v>0</v>
      </c>
      <c r="E3257" s="211">
        <f>'IWP04'!H$393</f>
        <v>0</v>
      </c>
      <c r="F3257" s="211">
        <f>'IWP04'!I$393</f>
        <v>0</v>
      </c>
      <c r="G3257" s="191" t="str">
        <f>IF('IWP04'!J$393=0,"",'IWP04'!J$393)</f>
        <v/>
      </c>
      <c r="H3257" s="211">
        <f>'IWP04'!K$393</f>
        <v>0</v>
      </c>
      <c r="I3257" s="211">
        <f>'IWP04'!L$393</f>
        <v>0</v>
      </c>
      <c r="J3257" s="212">
        <f>'IWP04'!M$393</f>
        <v>0</v>
      </c>
      <c r="K3257" s="106"/>
      <c r="L3257" s="106"/>
      <c r="M3257" s="129"/>
    </row>
    <row r="3258" spans="1:13" s="146" customFormat="1">
      <c r="A3258" s="193" t="s">
        <v>502</v>
      </c>
      <c r="B3258" s="210">
        <v>3</v>
      </c>
      <c r="C3258" s="191" t="str">
        <f>IF('IWP04'!E$394=0,"",'IWP04'!E$394)</f>
        <v/>
      </c>
      <c r="D3258" s="211">
        <f>'IWP04'!G$394</f>
        <v>0</v>
      </c>
      <c r="E3258" s="211">
        <f>'IWP04'!H$394</f>
        <v>0</v>
      </c>
      <c r="F3258" s="211">
        <f>'IWP04'!I$394</f>
        <v>0</v>
      </c>
      <c r="G3258" s="191" t="str">
        <f>IF('IWP04'!J$394=0,"",'IWP04'!J$394)</f>
        <v/>
      </c>
      <c r="H3258" s="211">
        <f>'IWP04'!K$394</f>
        <v>0</v>
      </c>
      <c r="I3258" s="211">
        <f>'IWP04'!L$394</f>
        <v>0</v>
      </c>
      <c r="J3258" s="212">
        <f>'IWP04'!M$394</f>
        <v>0</v>
      </c>
      <c r="K3258" s="106"/>
      <c r="L3258" s="106"/>
      <c r="M3258" s="129"/>
    </row>
    <row r="3259" spans="1:13" s="146" customFormat="1">
      <c r="A3259" s="193" t="s">
        <v>502</v>
      </c>
      <c r="B3259" s="210">
        <v>3</v>
      </c>
      <c r="C3259" s="191" t="str">
        <f>IF('IWP04'!E$395=0,"",'IWP04'!E$395)</f>
        <v/>
      </c>
      <c r="D3259" s="211">
        <f>'IWP04'!G$395</f>
        <v>0</v>
      </c>
      <c r="E3259" s="211">
        <f>'IWP04'!H$395</f>
        <v>0</v>
      </c>
      <c r="F3259" s="211">
        <f>'IWP04'!I$395</f>
        <v>0</v>
      </c>
      <c r="G3259" s="191" t="str">
        <f>IF('IWP04'!J$395=0,"",'IWP04'!J$395)</f>
        <v/>
      </c>
      <c r="H3259" s="211">
        <f>'IWP04'!K$395</f>
        <v>0</v>
      </c>
      <c r="I3259" s="211">
        <f>'IWP04'!L$395</f>
        <v>0</v>
      </c>
      <c r="J3259" s="212">
        <f>'IWP04'!M$395</f>
        <v>0</v>
      </c>
      <c r="K3259" s="106"/>
      <c r="L3259" s="106"/>
      <c r="M3259" s="129"/>
    </row>
    <row r="3260" spans="1:13" s="146" customFormat="1">
      <c r="A3260" s="193" t="s">
        <v>502</v>
      </c>
      <c r="B3260" s="210">
        <v>3</v>
      </c>
      <c r="C3260" s="191" t="str">
        <f>IF('IWP04'!E$396=0,"",'IWP04'!E$396)</f>
        <v/>
      </c>
      <c r="D3260" s="211">
        <f>'IWP04'!G$396</f>
        <v>0</v>
      </c>
      <c r="E3260" s="211">
        <f>'IWP04'!H$396</f>
        <v>0</v>
      </c>
      <c r="F3260" s="211">
        <f>'IWP04'!I$396</f>
        <v>0</v>
      </c>
      <c r="G3260" s="191" t="str">
        <f>IF('IWP04'!J$396=0,"",'IWP04'!J$396)</f>
        <v/>
      </c>
      <c r="H3260" s="211">
        <f>'IWP04'!K$396</f>
        <v>0</v>
      </c>
      <c r="I3260" s="211">
        <f>'IWP04'!L$396</f>
        <v>0</v>
      </c>
      <c r="J3260" s="212">
        <f>'IWP04'!M$396</f>
        <v>0</v>
      </c>
      <c r="K3260" s="106"/>
      <c r="L3260" s="106"/>
      <c r="M3260" s="129"/>
    </row>
    <row r="3261" spans="1:13" s="146" customFormat="1">
      <c r="A3261" s="193" t="s">
        <v>502</v>
      </c>
      <c r="B3261" s="210">
        <v>4</v>
      </c>
      <c r="C3261" s="191" t="str">
        <f>IF('IWP04'!E$403=0,"",'IWP04'!E$403)</f>
        <v>Subtotal column D.</v>
      </c>
      <c r="D3261" s="211">
        <f>'IWP04'!G$403</f>
        <v>0</v>
      </c>
      <c r="E3261" s="211">
        <f>'IWP04'!H$403</f>
        <v>0</v>
      </c>
      <c r="F3261" s="211">
        <f>'IWP04'!I$403</f>
        <v>0</v>
      </c>
      <c r="G3261" s="191" t="str">
        <f>IF('IWP04'!J$403=0,"",'IWP04'!J$403)</f>
        <v/>
      </c>
      <c r="H3261" s="211">
        <f>'IWP04'!K$403</f>
        <v>0</v>
      </c>
      <c r="I3261" s="211">
        <f>'IWP04'!L$403</f>
        <v>0</v>
      </c>
      <c r="J3261" s="212">
        <f>'IWP04'!M$403</f>
        <v>0</v>
      </c>
      <c r="K3261" s="106"/>
      <c r="L3261" s="106"/>
      <c r="M3261" s="129"/>
    </row>
    <row r="3262" spans="1:13" s="146" customFormat="1">
      <c r="A3262" s="193" t="s">
        <v>502</v>
      </c>
      <c r="B3262" s="210">
        <v>4</v>
      </c>
      <c r="C3262" s="191" t="str">
        <f>IF('IWP04'!E$404=0,"",'IWP04'!E$404)</f>
        <v>Unverified/Undocumented (Subtotal D - C)</v>
      </c>
      <c r="D3262" s="211">
        <f>'IWP04'!G$404</f>
        <v>0</v>
      </c>
      <c r="E3262" s="211">
        <f>'IWP04'!H$404</f>
        <v>0</v>
      </c>
      <c r="F3262" s="211">
        <f>'IWP04'!I$404</f>
        <v>0</v>
      </c>
      <c r="G3262" s="191" t="str">
        <f>IF('IWP04'!J$404=0,"",'IWP04'!J$404)</f>
        <v/>
      </c>
      <c r="H3262" s="211">
        <f>'IWP04'!K$404</f>
        <v>0</v>
      </c>
      <c r="I3262" s="211">
        <f>'IWP04'!L$404</f>
        <v>0</v>
      </c>
      <c r="J3262" s="212">
        <f>'IWP04'!M$404</f>
        <v>0</v>
      </c>
      <c r="K3262" s="106"/>
      <c r="L3262" s="106"/>
      <c r="M3262" s="129"/>
    </row>
    <row r="3263" spans="1:13" s="146" customFormat="1">
      <c r="A3263" s="193" t="s">
        <v>502</v>
      </c>
      <c r="B3263" s="210">
        <v>4</v>
      </c>
      <c r="C3263" s="191" t="str">
        <f>IF('IWP04'!E$405=0,"",'IWP04'!E$405)</f>
        <v>J. Billing Period Total</v>
      </c>
      <c r="D3263" s="211">
        <f>'IWP04'!G$405</f>
        <v>0</v>
      </c>
      <c r="E3263" s="211">
        <f>'IWP04'!H$405</f>
        <v>0</v>
      </c>
      <c r="F3263" s="211">
        <f>'IWP04'!I$405</f>
        <v>0</v>
      </c>
      <c r="G3263" s="191" t="str">
        <f>IF('IWP04'!J$405=0,"",'IWP04'!J$405)</f>
        <v/>
      </c>
      <c r="H3263" s="211">
        <f>'IWP04'!K$405</f>
        <v>0</v>
      </c>
      <c r="I3263" s="211">
        <f>'IWP04'!L$405</f>
        <v>0</v>
      </c>
      <c r="J3263" s="212">
        <f>'IWP04'!M$405</f>
        <v>0</v>
      </c>
      <c r="K3263" s="106"/>
      <c r="L3263" s="106"/>
      <c r="M3263" s="129"/>
    </row>
    <row r="3264" spans="1:13" s="146" customFormat="1">
      <c r="A3264" s="193" t="s">
        <v>502</v>
      </c>
      <c r="B3264" s="210">
        <v>4</v>
      </c>
      <c r="C3264" s="191" t="str">
        <f>IF('IWP04'!E$406=0,"",'IWP04'!E$406)</f>
        <v>D.</v>
      </c>
      <c r="D3264" s="211">
        <f>'IWP04'!G$406</f>
        <v>0</v>
      </c>
      <c r="E3264" s="211" t="str">
        <f>'IWP04'!H$406</f>
        <v>E.</v>
      </c>
      <c r="F3264" s="211" t="str">
        <f>'IWP04'!I$406</f>
        <v>F.</v>
      </c>
      <c r="G3264" s="191" t="str">
        <f>IF('IWP04'!J$406=0,"",'IWP04'!J$406)</f>
        <v>G.</v>
      </c>
      <c r="H3264" s="211">
        <f>'IWP04'!K$406</f>
        <v>0</v>
      </c>
      <c r="I3264" s="211" t="str">
        <f>'IWP04'!L$406</f>
        <v>H.</v>
      </c>
      <c r="J3264" s="212" t="str">
        <f>'IWP04'!M$406</f>
        <v>I.</v>
      </c>
      <c r="K3264" s="106"/>
      <c r="L3264" s="106"/>
      <c r="M3264" s="129"/>
    </row>
    <row r="3265" spans="1:13" s="146" customFormat="1">
      <c r="A3265" s="193" t="s">
        <v>502</v>
      </c>
      <c r="B3265" s="210">
        <v>4</v>
      </c>
      <c r="C3265" s="191" t="str">
        <f>IF('IWP04'!E$407=0,"",'IWP04'!E$407)</f>
        <v xml:space="preserve">Items/Services Related to Billing Period </v>
      </c>
      <c r="D3265" s="211">
        <f>'IWP04'!G$407</f>
        <v>0</v>
      </c>
      <c r="E3265" s="211" t="str">
        <f>'IWP04'!H$407</f>
        <v xml:space="preserve">Item/
Service Verified Amounts
</v>
      </c>
      <c r="F3265" s="211" t="str">
        <f>'IWP04'!I$407</f>
        <v>Amount Due to DADS (E. - D.)</v>
      </c>
      <c r="G3265" s="191" t="str">
        <f>IF('IWP04'!J$407=0,"",'IWP04'!J$407)</f>
        <v>Amount Reimbursed to 
Employee(s)/Employer</v>
      </c>
      <c r="H3265" s="211">
        <f>'IWP04'!K$407</f>
        <v>0</v>
      </c>
      <c r="I3265" s="211" t="str">
        <f>'IWP04'!L$407</f>
        <v>Amount Due to Employee(s) (G. - E.)</v>
      </c>
      <c r="J3265" s="212" t="str">
        <f>'IWP04'!M$407</f>
        <v>Amount Due to Employer (G. - E.)</v>
      </c>
      <c r="K3265" s="106"/>
      <c r="L3265" s="106"/>
      <c r="M3265" s="129"/>
    </row>
    <row r="3266" spans="1:13" s="146" customFormat="1">
      <c r="A3266" s="193" t="s">
        <v>502</v>
      </c>
      <c r="B3266" s="210">
        <v>4</v>
      </c>
      <c r="C3266" s="191" t="str">
        <f>IF('IWP04'!E$408=0,"",'IWP04'!E$408)</f>
        <v>Item/Service</v>
      </c>
      <c r="D3266" s="211" t="str">
        <f>'IWP04'!G$408</f>
        <v>Itemized Amount Paid by DADS</v>
      </c>
      <c r="E3266" s="211">
        <f>'IWP04'!H$408</f>
        <v>0</v>
      </c>
      <c r="F3266" s="211">
        <f>'IWP04'!I$408</f>
        <v>0</v>
      </c>
      <c r="G3266" s="191" t="str">
        <f>IF('IWP04'!J$408=0,"",'IWP04'!J$408)</f>
        <v/>
      </c>
      <c r="H3266" s="211">
        <f>'IWP04'!K$408</f>
        <v>0</v>
      </c>
      <c r="I3266" s="211">
        <f>'IWP04'!L$408</f>
        <v>0</v>
      </c>
      <c r="J3266" s="212">
        <f>'IWP04'!M$408</f>
        <v>0</v>
      </c>
      <c r="K3266" s="106"/>
      <c r="L3266" s="106"/>
      <c r="M3266" s="129"/>
    </row>
    <row r="3267" spans="1:13" s="146" customFormat="1">
      <c r="A3267" s="193" t="s">
        <v>502</v>
      </c>
      <c r="B3267" s="210">
        <v>4</v>
      </c>
      <c r="C3267" s="191" t="str">
        <f>IF('IWP04'!E$409=0,"",'IWP04'!E$409)</f>
        <v/>
      </c>
      <c r="D3267" s="211">
        <f>'IWP04'!G$409</f>
        <v>0</v>
      </c>
      <c r="E3267" s="211">
        <f>'IWP04'!H$409</f>
        <v>0</v>
      </c>
      <c r="F3267" s="211">
        <f>'IWP04'!I$409</f>
        <v>0</v>
      </c>
      <c r="G3267" s="191" t="str">
        <f>IF('IWP04'!J$409=0,"",'IWP04'!J$409)</f>
        <v/>
      </c>
      <c r="H3267" s="211">
        <f>'IWP04'!K$409</f>
        <v>0</v>
      </c>
      <c r="I3267" s="211">
        <f>'IWP04'!L$409</f>
        <v>0</v>
      </c>
      <c r="J3267" s="212">
        <f>'IWP04'!M$409</f>
        <v>0</v>
      </c>
      <c r="K3267" s="106"/>
      <c r="L3267" s="106"/>
      <c r="M3267" s="129"/>
    </row>
    <row r="3268" spans="1:13" s="146" customFormat="1">
      <c r="A3268" s="193" t="s">
        <v>502</v>
      </c>
      <c r="B3268" s="210">
        <v>4</v>
      </c>
      <c r="C3268" s="191" t="str">
        <f>IF('IWP04'!E$410=0,"",'IWP04'!E$410)</f>
        <v/>
      </c>
      <c r="D3268" s="211">
        <f>'IWP04'!G$410</f>
        <v>0</v>
      </c>
      <c r="E3268" s="211">
        <f>'IWP04'!H$410</f>
        <v>0</v>
      </c>
      <c r="F3268" s="211">
        <f>'IWP04'!I$410</f>
        <v>0</v>
      </c>
      <c r="G3268" s="191" t="str">
        <f>IF('IWP04'!J$410=0,"",'IWP04'!J$410)</f>
        <v/>
      </c>
      <c r="H3268" s="211">
        <f>'IWP04'!K$410</f>
        <v>0</v>
      </c>
      <c r="I3268" s="211">
        <f>'IWP04'!L$410</f>
        <v>0</v>
      </c>
      <c r="J3268" s="212">
        <f>'IWP04'!M$410</f>
        <v>0</v>
      </c>
      <c r="K3268" s="106"/>
      <c r="L3268" s="106"/>
      <c r="M3268" s="129"/>
    </row>
    <row r="3269" spans="1:13" s="146" customFormat="1">
      <c r="A3269" s="193" t="s">
        <v>502</v>
      </c>
      <c r="B3269" s="210">
        <v>4</v>
      </c>
      <c r="C3269" s="191" t="str">
        <f>IF('IWP04'!E$411=0,"",'IWP04'!E$411)</f>
        <v/>
      </c>
      <c r="D3269" s="211">
        <f>'IWP04'!G$411</f>
        <v>0</v>
      </c>
      <c r="E3269" s="211">
        <f>'IWP04'!H$411</f>
        <v>0</v>
      </c>
      <c r="F3269" s="211">
        <f>'IWP04'!I$411</f>
        <v>0</v>
      </c>
      <c r="G3269" s="191" t="str">
        <f>IF('IWP04'!J$411=0,"",'IWP04'!J$411)</f>
        <v/>
      </c>
      <c r="H3269" s="211">
        <f>'IWP04'!K$411</f>
        <v>0</v>
      </c>
      <c r="I3269" s="211">
        <f>'IWP04'!L$411</f>
        <v>0</v>
      </c>
      <c r="J3269" s="212">
        <f>'IWP04'!M$411</f>
        <v>0</v>
      </c>
      <c r="K3269" s="106"/>
      <c r="L3269" s="106"/>
      <c r="M3269" s="129"/>
    </row>
    <row r="3270" spans="1:13" s="146" customFormat="1">
      <c r="A3270" s="193" t="s">
        <v>502</v>
      </c>
      <c r="B3270" s="210">
        <v>4</v>
      </c>
      <c r="C3270" s="191" t="str">
        <f>IF('IWP04'!E$412=0,"",'IWP04'!E$412)</f>
        <v/>
      </c>
      <c r="D3270" s="211">
        <f>'IWP04'!G$412</f>
        <v>0</v>
      </c>
      <c r="E3270" s="211">
        <f>'IWP04'!H$412</f>
        <v>0</v>
      </c>
      <c r="F3270" s="211">
        <f>'IWP04'!I$412</f>
        <v>0</v>
      </c>
      <c r="G3270" s="191" t="str">
        <f>IF('IWP04'!J$412=0,"",'IWP04'!J$412)</f>
        <v/>
      </c>
      <c r="H3270" s="211">
        <f>'IWP04'!K$412</f>
        <v>0</v>
      </c>
      <c r="I3270" s="211">
        <f>'IWP04'!L$412</f>
        <v>0</v>
      </c>
      <c r="J3270" s="212">
        <f>'IWP04'!M$412</f>
        <v>0</v>
      </c>
      <c r="K3270" s="106"/>
      <c r="L3270" s="106"/>
      <c r="M3270" s="129"/>
    </row>
    <row r="3271" spans="1:13" s="146" customFormat="1">
      <c r="A3271" s="193" t="s">
        <v>502</v>
      </c>
      <c r="B3271" s="210">
        <v>5</v>
      </c>
      <c r="C3271" s="191" t="str">
        <f>IF('IWP04'!E$419=0,"",'IWP04'!E$419)</f>
        <v>Subtotal column D.</v>
      </c>
      <c r="D3271" s="211">
        <f>'IWP04'!G$419</f>
        <v>0</v>
      </c>
      <c r="E3271" s="211">
        <f>'IWP04'!H$419</f>
        <v>0</v>
      </c>
      <c r="F3271" s="211">
        <f>'IWP04'!I$419</f>
        <v>0</v>
      </c>
      <c r="G3271" s="191" t="str">
        <f>IF('IWP04'!J$419=0,"",'IWP04'!J$419)</f>
        <v/>
      </c>
      <c r="H3271" s="211">
        <f>'IWP04'!K$419</f>
        <v>0</v>
      </c>
      <c r="I3271" s="211">
        <f>'IWP04'!L$419</f>
        <v>0</v>
      </c>
      <c r="J3271" s="212">
        <f>'IWP04'!M$419</f>
        <v>0</v>
      </c>
      <c r="K3271" s="106"/>
      <c r="L3271" s="106"/>
      <c r="M3271" s="129"/>
    </row>
    <row r="3272" spans="1:13" s="146" customFormat="1">
      <c r="A3272" s="193" t="s">
        <v>502</v>
      </c>
      <c r="B3272" s="210">
        <v>5</v>
      </c>
      <c r="C3272" s="191" t="str">
        <f>IF('IWP04'!E$420=0,"",'IWP04'!E$420)</f>
        <v>Unverified/Undocumented (Subtotal D - C)</v>
      </c>
      <c r="D3272" s="211">
        <f>'IWP04'!G$420</f>
        <v>0</v>
      </c>
      <c r="E3272" s="211">
        <f>'IWP04'!H$420</f>
        <v>0</v>
      </c>
      <c r="F3272" s="211">
        <f>'IWP04'!I$420</f>
        <v>0</v>
      </c>
      <c r="G3272" s="191" t="str">
        <f>IF('IWP04'!J$420=0,"",'IWP04'!J$420)</f>
        <v/>
      </c>
      <c r="H3272" s="211">
        <f>'IWP04'!K$420</f>
        <v>0</v>
      </c>
      <c r="I3272" s="211">
        <f>'IWP04'!L$420</f>
        <v>0</v>
      </c>
      <c r="J3272" s="212">
        <f>'IWP04'!M$420</f>
        <v>0</v>
      </c>
      <c r="K3272" s="106"/>
      <c r="L3272" s="106"/>
      <c r="M3272" s="129"/>
    </row>
    <row r="3273" spans="1:13" s="146" customFormat="1">
      <c r="A3273" s="193" t="s">
        <v>502</v>
      </c>
      <c r="B3273" s="210">
        <v>5</v>
      </c>
      <c r="C3273" s="191" t="str">
        <f>IF('IWP04'!E$421=0,"",'IWP04'!E$421)</f>
        <v>J. Billing Period Total</v>
      </c>
      <c r="D3273" s="211">
        <f>'IWP04'!G$421</f>
        <v>0</v>
      </c>
      <c r="E3273" s="211">
        <f>'IWP04'!H$421</f>
        <v>0</v>
      </c>
      <c r="F3273" s="211">
        <f>'IWP04'!I$421</f>
        <v>0</v>
      </c>
      <c r="G3273" s="191" t="str">
        <f>IF('IWP04'!J$421=0,"",'IWP04'!J$421)</f>
        <v/>
      </c>
      <c r="H3273" s="211">
        <f>'IWP04'!K$421</f>
        <v>0</v>
      </c>
      <c r="I3273" s="211">
        <f>'IWP04'!L$421</f>
        <v>0</v>
      </c>
      <c r="J3273" s="212">
        <f>'IWP04'!M$421</f>
        <v>0</v>
      </c>
      <c r="K3273" s="106"/>
      <c r="L3273" s="106"/>
      <c r="M3273" s="129"/>
    </row>
    <row r="3274" spans="1:13" s="146" customFormat="1">
      <c r="A3274" s="193" t="s">
        <v>502</v>
      </c>
      <c r="B3274" s="210">
        <v>5</v>
      </c>
      <c r="C3274" s="191" t="str">
        <f>IF('IWP04'!E$422=0,"",'IWP04'!E$422)</f>
        <v>D.</v>
      </c>
      <c r="D3274" s="211">
        <f>'IWP04'!G$422</f>
        <v>0</v>
      </c>
      <c r="E3274" s="211" t="str">
        <f>'IWP04'!H$422</f>
        <v>E.</v>
      </c>
      <c r="F3274" s="211" t="str">
        <f>'IWP04'!I$422</f>
        <v>F.</v>
      </c>
      <c r="G3274" s="191" t="str">
        <f>IF('IWP04'!J$422=0,"",'IWP04'!J$422)</f>
        <v>G.</v>
      </c>
      <c r="H3274" s="211">
        <f>'IWP04'!K$422</f>
        <v>0</v>
      </c>
      <c r="I3274" s="211" t="str">
        <f>'IWP04'!L$422</f>
        <v>H.</v>
      </c>
      <c r="J3274" s="212" t="str">
        <f>'IWP04'!M$422</f>
        <v>I.</v>
      </c>
      <c r="K3274" s="106"/>
      <c r="L3274" s="106"/>
      <c r="M3274" s="129"/>
    </row>
    <row r="3275" spans="1:13" s="146" customFormat="1">
      <c r="A3275" s="193" t="s">
        <v>502</v>
      </c>
      <c r="B3275" s="210">
        <v>5</v>
      </c>
      <c r="C3275" s="191" t="str">
        <f>IF('IWP04'!E$423=0,"",'IWP04'!E$423)</f>
        <v xml:space="preserve">Items/Services Related to Billing Period </v>
      </c>
      <c r="D3275" s="211">
        <f>'IWP04'!G$423</f>
        <v>0</v>
      </c>
      <c r="E3275" s="211" t="str">
        <f>'IWP04'!H$423</f>
        <v xml:space="preserve">Item/
Service Verified Amounts
</v>
      </c>
      <c r="F3275" s="211" t="str">
        <f>'IWP04'!I$423</f>
        <v>Amount Due to DADS (E. - D.)</v>
      </c>
      <c r="G3275" s="191" t="str">
        <f>IF('IWP04'!J$423=0,"",'IWP04'!J$423)</f>
        <v>Amount Reimbursed to 
Employee(s)/Employer</v>
      </c>
      <c r="H3275" s="211">
        <f>'IWP04'!K$423</f>
        <v>0</v>
      </c>
      <c r="I3275" s="211" t="str">
        <f>'IWP04'!L$423</f>
        <v>Amount Due to Employee(s) (G. - E.)</v>
      </c>
      <c r="J3275" s="212" t="str">
        <f>'IWP04'!M$423</f>
        <v>Amount Due to Employer (G. - E.)</v>
      </c>
      <c r="K3275" s="106"/>
      <c r="L3275" s="106"/>
      <c r="M3275" s="129"/>
    </row>
    <row r="3276" spans="1:13" s="146" customFormat="1">
      <c r="A3276" s="193" t="s">
        <v>502</v>
      </c>
      <c r="B3276" s="210">
        <v>5</v>
      </c>
      <c r="C3276" s="191" t="str">
        <f>IF('IWP04'!E$424=0,"",'IWP04'!E$424)</f>
        <v>Item/Service</v>
      </c>
      <c r="D3276" s="211" t="str">
        <f>'IWP04'!G$424</f>
        <v>Itemized Amount Paid by DADS</v>
      </c>
      <c r="E3276" s="211">
        <f>'IWP04'!H$424</f>
        <v>0</v>
      </c>
      <c r="F3276" s="211">
        <f>'IWP04'!I$424</f>
        <v>0</v>
      </c>
      <c r="G3276" s="191" t="str">
        <f>IF('IWP04'!J$424=0,"",'IWP04'!J$424)</f>
        <v/>
      </c>
      <c r="H3276" s="211">
        <f>'IWP04'!K$424</f>
        <v>0</v>
      </c>
      <c r="I3276" s="211">
        <f>'IWP04'!L$424</f>
        <v>0</v>
      </c>
      <c r="J3276" s="212">
        <f>'IWP04'!M$424</f>
        <v>0</v>
      </c>
      <c r="K3276" s="106"/>
      <c r="L3276" s="106"/>
      <c r="M3276" s="129"/>
    </row>
    <row r="3277" spans="1:13" s="146" customFormat="1">
      <c r="A3277" s="193" t="s">
        <v>502</v>
      </c>
      <c r="B3277" s="210">
        <v>5</v>
      </c>
      <c r="C3277" s="191" t="str">
        <f>IF('IWP04'!E$425=0,"",'IWP04'!E$425)</f>
        <v/>
      </c>
      <c r="D3277" s="211">
        <f>'IWP04'!G$425</f>
        <v>0</v>
      </c>
      <c r="E3277" s="211">
        <f>'IWP04'!H$425</f>
        <v>0</v>
      </c>
      <c r="F3277" s="211">
        <f>'IWP04'!I$425</f>
        <v>0</v>
      </c>
      <c r="G3277" s="191" t="str">
        <f>IF('IWP04'!J$425=0,"",'IWP04'!J$425)</f>
        <v/>
      </c>
      <c r="H3277" s="211">
        <f>'IWP04'!K$425</f>
        <v>0</v>
      </c>
      <c r="I3277" s="211">
        <f>'IWP04'!L$425</f>
        <v>0</v>
      </c>
      <c r="J3277" s="212">
        <f>'IWP04'!M$425</f>
        <v>0</v>
      </c>
      <c r="K3277" s="106"/>
      <c r="L3277" s="106"/>
      <c r="M3277" s="129"/>
    </row>
    <row r="3278" spans="1:13" s="146" customFormat="1">
      <c r="A3278" s="193" t="s">
        <v>502</v>
      </c>
      <c r="B3278" s="210">
        <v>5</v>
      </c>
      <c r="C3278" s="191" t="str">
        <f>IF('IWP04'!E$426=0,"",'IWP04'!E$426)</f>
        <v/>
      </c>
      <c r="D3278" s="211">
        <f>'IWP04'!G$426</f>
        <v>0</v>
      </c>
      <c r="E3278" s="211">
        <f>'IWP04'!H$426</f>
        <v>0</v>
      </c>
      <c r="F3278" s="211">
        <f>'IWP04'!I$426</f>
        <v>0</v>
      </c>
      <c r="G3278" s="191" t="str">
        <f>IF('IWP04'!J$426=0,"",'IWP04'!J$426)</f>
        <v/>
      </c>
      <c r="H3278" s="211">
        <f>'IWP04'!K$426</f>
        <v>0</v>
      </c>
      <c r="I3278" s="211">
        <f>'IWP04'!L$426</f>
        <v>0</v>
      </c>
      <c r="J3278" s="212">
        <f>'IWP04'!M$426</f>
        <v>0</v>
      </c>
      <c r="K3278" s="106"/>
      <c r="L3278" s="106"/>
      <c r="M3278" s="129"/>
    </row>
    <row r="3279" spans="1:13" s="146" customFormat="1">
      <c r="A3279" s="193" t="s">
        <v>502</v>
      </c>
      <c r="B3279" s="210">
        <v>5</v>
      </c>
      <c r="C3279" s="191" t="str">
        <f>IF('IWP04'!E$427=0,"",'IWP04'!E$427)</f>
        <v/>
      </c>
      <c r="D3279" s="211">
        <f>'IWP04'!G$427</f>
        <v>0</v>
      </c>
      <c r="E3279" s="211">
        <f>'IWP04'!H$427</f>
        <v>0</v>
      </c>
      <c r="F3279" s="211">
        <f>'IWP04'!I$427</f>
        <v>0</v>
      </c>
      <c r="G3279" s="191" t="str">
        <f>IF('IWP04'!J$427=0,"",'IWP04'!J$427)</f>
        <v/>
      </c>
      <c r="H3279" s="211">
        <f>'IWP04'!K$427</f>
        <v>0</v>
      </c>
      <c r="I3279" s="211">
        <f>'IWP04'!L$427</f>
        <v>0</v>
      </c>
      <c r="J3279" s="212">
        <f>'IWP04'!M$427</f>
        <v>0</v>
      </c>
      <c r="K3279" s="106"/>
      <c r="L3279" s="106"/>
      <c r="M3279" s="129"/>
    </row>
    <row r="3280" spans="1:13" s="146" customFormat="1">
      <c r="A3280" s="193" t="s">
        <v>502</v>
      </c>
      <c r="B3280" s="210">
        <v>5</v>
      </c>
      <c r="C3280" s="191" t="str">
        <f>IF('IWP04'!E$428=0,"",'IWP04'!E$428)</f>
        <v/>
      </c>
      <c r="D3280" s="211">
        <f>'IWP04'!G$428</f>
        <v>0</v>
      </c>
      <c r="E3280" s="211">
        <f>'IWP04'!H$428</f>
        <v>0</v>
      </c>
      <c r="F3280" s="211">
        <f>'IWP04'!I$428</f>
        <v>0</v>
      </c>
      <c r="G3280" s="191" t="str">
        <f>IF('IWP04'!J$428=0,"",'IWP04'!J$428)</f>
        <v/>
      </c>
      <c r="H3280" s="211">
        <f>'IWP04'!K$428</f>
        <v>0</v>
      </c>
      <c r="I3280" s="211">
        <f>'IWP04'!L$428</f>
        <v>0</v>
      </c>
      <c r="J3280" s="212">
        <f>'IWP04'!M$428</f>
        <v>0</v>
      </c>
      <c r="K3280" s="106"/>
      <c r="L3280" s="106"/>
      <c r="M3280" s="129"/>
    </row>
    <row r="3281" spans="1:13" s="146" customFormat="1">
      <c r="A3281" s="193" t="s">
        <v>502</v>
      </c>
      <c r="B3281" s="210">
        <v>6</v>
      </c>
      <c r="C3281" s="191" t="str">
        <f>IF('IWP04'!E$435=0,"",'IWP04'!E$435)</f>
        <v>Subtotal column D.</v>
      </c>
      <c r="D3281" s="211">
        <f>'IWP04'!G$435</f>
        <v>0</v>
      </c>
      <c r="E3281" s="211">
        <f>'IWP04'!H$435</f>
        <v>0</v>
      </c>
      <c r="F3281" s="211">
        <f>'IWP04'!I$435</f>
        <v>0</v>
      </c>
      <c r="G3281" s="191" t="str">
        <f>IF('IWP04'!J$435=0,"",'IWP04'!J$435)</f>
        <v/>
      </c>
      <c r="H3281" s="211">
        <f>'IWP04'!K$435</f>
        <v>0</v>
      </c>
      <c r="I3281" s="211">
        <f>'IWP04'!L$435</f>
        <v>0</v>
      </c>
      <c r="J3281" s="212">
        <f>'IWP04'!M$435</f>
        <v>0</v>
      </c>
      <c r="K3281" s="106"/>
      <c r="L3281" s="106"/>
      <c r="M3281" s="129"/>
    </row>
    <row r="3282" spans="1:13" s="146" customFormat="1">
      <c r="A3282" s="193" t="s">
        <v>502</v>
      </c>
      <c r="B3282" s="210">
        <v>6</v>
      </c>
      <c r="C3282" s="191" t="str">
        <f>IF('IWP04'!E$436=0,"",'IWP04'!E$436)</f>
        <v>Unverified/Undocumented (Subtotal D - C)</v>
      </c>
      <c r="D3282" s="211">
        <f>'IWP04'!G$436</f>
        <v>0</v>
      </c>
      <c r="E3282" s="211">
        <f>'IWP04'!H$436</f>
        <v>0</v>
      </c>
      <c r="F3282" s="211">
        <f>'IWP04'!I$436</f>
        <v>0</v>
      </c>
      <c r="G3282" s="191" t="str">
        <f>IF('IWP04'!J$436=0,"",'IWP04'!J$436)</f>
        <v/>
      </c>
      <c r="H3282" s="211">
        <f>'IWP04'!K$436</f>
        <v>0</v>
      </c>
      <c r="I3282" s="211">
        <f>'IWP04'!L$436</f>
        <v>0</v>
      </c>
      <c r="J3282" s="212">
        <f>'IWP04'!M$436</f>
        <v>0</v>
      </c>
      <c r="K3282" s="106"/>
      <c r="L3282" s="106"/>
      <c r="M3282" s="129"/>
    </row>
    <row r="3283" spans="1:13" s="146" customFormat="1">
      <c r="A3283" s="193" t="s">
        <v>502</v>
      </c>
      <c r="B3283" s="210">
        <v>6</v>
      </c>
      <c r="C3283" s="191" t="str">
        <f>IF('IWP04'!E$437=0,"",'IWP04'!E$437)</f>
        <v>J. Billing Period Total</v>
      </c>
      <c r="D3283" s="211">
        <f>'IWP04'!G$437</f>
        <v>0</v>
      </c>
      <c r="E3283" s="211">
        <f>'IWP04'!H$437</f>
        <v>0</v>
      </c>
      <c r="F3283" s="211">
        <f>'IWP04'!I$437</f>
        <v>0</v>
      </c>
      <c r="G3283" s="191" t="str">
        <f>IF('IWP04'!J$437=0,"",'IWP04'!J$437)</f>
        <v/>
      </c>
      <c r="H3283" s="211">
        <f>'IWP04'!K$437</f>
        <v>0</v>
      </c>
      <c r="I3283" s="211">
        <f>'IWP04'!L$437</f>
        <v>0</v>
      </c>
      <c r="J3283" s="212">
        <f>'IWP04'!M$437</f>
        <v>0</v>
      </c>
      <c r="K3283" s="106"/>
      <c r="L3283" s="106"/>
      <c r="M3283" s="129"/>
    </row>
    <row r="3284" spans="1:13" s="146" customFormat="1">
      <c r="A3284" s="193" t="s">
        <v>502</v>
      </c>
      <c r="B3284" s="210">
        <v>6</v>
      </c>
      <c r="C3284" s="191" t="str">
        <f>IF('IWP04'!E$438=0,"",'IWP04'!E$438)</f>
        <v>D.</v>
      </c>
      <c r="D3284" s="211">
        <f>'IWP04'!G$438</f>
        <v>0</v>
      </c>
      <c r="E3284" s="211" t="str">
        <f>'IWP04'!H$438</f>
        <v>E.</v>
      </c>
      <c r="F3284" s="211" t="str">
        <f>'IWP04'!I$438</f>
        <v>F.</v>
      </c>
      <c r="G3284" s="191" t="str">
        <f>IF('IWP04'!J$438=0,"",'IWP04'!J$438)</f>
        <v>G.</v>
      </c>
      <c r="H3284" s="211">
        <f>'IWP04'!K$438</f>
        <v>0</v>
      </c>
      <c r="I3284" s="211" t="str">
        <f>'IWP04'!L$438</f>
        <v>H.</v>
      </c>
      <c r="J3284" s="212" t="str">
        <f>'IWP04'!M$438</f>
        <v>I.</v>
      </c>
      <c r="K3284" s="106"/>
      <c r="L3284" s="106"/>
      <c r="M3284" s="129"/>
    </row>
    <row r="3285" spans="1:13" s="146" customFormat="1">
      <c r="A3285" s="193" t="s">
        <v>502</v>
      </c>
      <c r="B3285" s="210">
        <v>6</v>
      </c>
      <c r="C3285" s="191" t="str">
        <f>IF('IWP04'!E$439=0,"",'IWP04'!E$439)</f>
        <v xml:space="preserve">Items/Services Related to Billing Period </v>
      </c>
      <c r="D3285" s="211">
        <f>'IWP04'!G$439</f>
        <v>0</v>
      </c>
      <c r="E3285" s="211" t="str">
        <f>'IWP04'!H$439</f>
        <v xml:space="preserve">Item/
Service Verified Amounts
</v>
      </c>
      <c r="F3285" s="211" t="str">
        <f>'IWP04'!I$439</f>
        <v>Amount Due to DADS (E. - D.)</v>
      </c>
      <c r="G3285" s="191" t="str">
        <f>IF('IWP04'!J$439=0,"",'IWP04'!J$439)</f>
        <v>Amount Reimbursed to 
Employee(s)/Employer</v>
      </c>
      <c r="H3285" s="211">
        <f>'IWP04'!K$439</f>
        <v>0</v>
      </c>
      <c r="I3285" s="211" t="str">
        <f>'IWP04'!L$439</f>
        <v>Amount Due to Employee(s) (G. - E.)</v>
      </c>
      <c r="J3285" s="212" t="str">
        <f>'IWP04'!M$439</f>
        <v>Amount Due to Employer (G. - E.)</v>
      </c>
      <c r="K3285" s="106"/>
      <c r="L3285" s="106"/>
      <c r="M3285" s="129"/>
    </row>
    <row r="3286" spans="1:13" s="146" customFormat="1">
      <c r="A3286" s="193" t="s">
        <v>502</v>
      </c>
      <c r="B3286" s="210">
        <v>6</v>
      </c>
      <c r="C3286" s="191" t="str">
        <f>IF('IWP04'!E$440=0,"",'IWP04'!E$440)</f>
        <v>Item/Service</v>
      </c>
      <c r="D3286" s="211" t="str">
        <f>'IWP04'!G$440</f>
        <v>Itemized Amount Paid by DADS</v>
      </c>
      <c r="E3286" s="211">
        <f>'IWP04'!H$440</f>
        <v>0</v>
      </c>
      <c r="F3286" s="211">
        <f>'IWP04'!I$440</f>
        <v>0</v>
      </c>
      <c r="G3286" s="191" t="str">
        <f>IF('IWP04'!J$440=0,"",'IWP04'!J$440)</f>
        <v/>
      </c>
      <c r="H3286" s="211">
        <f>'IWP04'!K$440</f>
        <v>0</v>
      </c>
      <c r="I3286" s="211">
        <f>'IWP04'!L$440</f>
        <v>0</v>
      </c>
      <c r="J3286" s="212">
        <f>'IWP04'!M$440</f>
        <v>0</v>
      </c>
      <c r="K3286" s="106"/>
      <c r="L3286" s="106"/>
      <c r="M3286" s="129"/>
    </row>
    <row r="3287" spans="1:13" s="146" customFormat="1">
      <c r="A3287" s="193" t="s">
        <v>502</v>
      </c>
      <c r="B3287" s="210">
        <v>6</v>
      </c>
      <c r="C3287" s="191" t="str">
        <f>IF('IWP04'!E$441=0,"",'IWP04'!E$441)</f>
        <v/>
      </c>
      <c r="D3287" s="211">
        <f>'IWP04'!G$441</f>
        <v>0</v>
      </c>
      <c r="E3287" s="211">
        <f>'IWP04'!H$441</f>
        <v>0</v>
      </c>
      <c r="F3287" s="211">
        <f>'IWP04'!I$441</f>
        <v>0</v>
      </c>
      <c r="G3287" s="191" t="str">
        <f>IF('IWP04'!J$441=0,"",'IWP04'!J$441)</f>
        <v/>
      </c>
      <c r="H3287" s="211">
        <f>'IWP04'!K$441</f>
        <v>0</v>
      </c>
      <c r="I3287" s="211">
        <f>'IWP04'!L$441</f>
        <v>0</v>
      </c>
      <c r="J3287" s="212">
        <f>'IWP04'!M$441</f>
        <v>0</v>
      </c>
      <c r="K3287" s="106"/>
      <c r="L3287" s="106"/>
      <c r="M3287" s="129"/>
    </row>
    <row r="3288" spans="1:13" s="146" customFormat="1">
      <c r="A3288" s="193" t="s">
        <v>502</v>
      </c>
      <c r="B3288" s="210">
        <v>6</v>
      </c>
      <c r="C3288" s="191" t="str">
        <f>IF('IWP04'!E$442=0,"",'IWP04'!E$442)</f>
        <v/>
      </c>
      <c r="D3288" s="211">
        <f>'IWP04'!G$442</f>
        <v>0</v>
      </c>
      <c r="E3288" s="211">
        <f>'IWP04'!H$442</f>
        <v>0</v>
      </c>
      <c r="F3288" s="211">
        <f>'IWP04'!I$442</f>
        <v>0</v>
      </c>
      <c r="G3288" s="191" t="str">
        <f>IF('IWP04'!J$442=0,"",'IWP04'!J$442)</f>
        <v/>
      </c>
      <c r="H3288" s="211">
        <f>'IWP04'!K$442</f>
        <v>0</v>
      </c>
      <c r="I3288" s="211">
        <f>'IWP04'!L$442</f>
        <v>0</v>
      </c>
      <c r="J3288" s="212">
        <f>'IWP04'!M$442</f>
        <v>0</v>
      </c>
      <c r="K3288" s="106"/>
      <c r="L3288" s="106"/>
      <c r="M3288" s="129"/>
    </row>
    <row r="3289" spans="1:13" s="146" customFormat="1">
      <c r="A3289" s="193" t="s">
        <v>502</v>
      </c>
      <c r="B3289" s="210">
        <v>6</v>
      </c>
      <c r="C3289" s="191" t="str">
        <f>IF('IWP04'!E$443=0,"",'IWP04'!E$443)</f>
        <v/>
      </c>
      <c r="D3289" s="211">
        <f>'IWP04'!G$443</f>
        <v>0</v>
      </c>
      <c r="E3289" s="211">
        <f>'IWP04'!H$443</f>
        <v>0</v>
      </c>
      <c r="F3289" s="211">
        <f>'IWP04'!I$443</f>
        <v>0</v>
      </c>
      <c r="G3289" s="191" t="str">
        <f>IF('IWP04'!J$443=0,"",'IWP04'!J$443)</f>
        <v/>
      </c>
      <c r="H3289" s="211">
        <f>'IWP04'!K$443</f>
        <v>0</v>
      </c>
      <c r="I3289" s="211">
        <f>'IWP04'!L$443</f>
        <v>0</v>
      </c>
      <c r="J3289" s="212">
        <f>'IWP04'!M$443</f>
        <v>0</v>
      </c>
      <c r="K3289" s="106"/>
      <c r="L3289" s="106"/>
      <c r="M3289" s="129"/>
    </row>
    <row r="3290" spans="1:13" s="146" customFormat="1">
      <c r="A3290" s="193" t="s">
        <v>502</v>
      </c>
      <c r="B3290" s="210">
        <v>6</v>
      </c>
      <c r="C3290" s="191" t="str">
        <f>IF('IWP04'!E$444=0,"",'IWP04'!E$444)</f>
        <v/>
      </c>
      <c r="D3290" s="211">
        <f>'IWP04'!G$444</f>
        <v>0</v>
      </c>
      <c r="E3290" s="211">
        <f>'IWP04'!H$444</f>
        <v>0</v>
      </c>
      <c r="F3290" s="211">
        <f>'IWP04'!I$444</f>
        <v>0</v>
      </c>
      <c r="G3290" s="191" t="str">
        <f>IF('IWP04'!J$444=0,"",'IWP04'!J$444)</f>
        <v/>
      </c>
      <c r="H3290" s="211">
        <f>'IWP04'!K$444</f>
        <v>0</v>
      </c>
      <c r="I3290" s="211">
        <f>'IWP04'!L$444</f>
        <v>0</v>
      </c>
      <c r="J3290" s="212">
        <f>'IWP04'!M$444</f>
        <v>0</v>
      </c>
      <c r="K3290" s="106"/>
      <c r="L3290" s="106"/>
      <c r="M3290" s="129"/>
    </row>
    <row r="3291" spans="1:13" s="146" customFormat="1">
      <c r="A3291" s="193" t="s">
        <v>502</v>
      </c>
      <c r="B3291" s="210">
        <v>7</v>
      </c>
      <c r="C3291" s="191" t="str">
        <f>IF('IWP04'!E$451=0,"",'IWP04'!E$451)</f>
        <v>Subtotal column D.</v>
      </c>
      <c r="D3291" s="211">
        <f>'IWP04'!G$451</f>
        <v>0</v>
      </c>
      <c r="E3291" s="211">
        <f>'IWP04'!H$451</f>
        <v>0</v>
      </c>
      <c r="F3291" s="211">
        <f>'IWP04'!I$451</f>
        <v>0</v>
      </c>
      <c r="G3291" s="191" t="str">
        <f>IF('IWP04'!J$451=0,"",'IWP04'!J$451)</f>
        <v/>
      </c>
      <c r="H3291" s="211">
        <f>'IWP04'!K$451</f>
        <v>0</v>
      </c>
      <c r="I3291" s="211">
        <f>'IWP04'!L$451</f>
        <v>0</v>
      </c>
      <c r="J3291" s="212">
        <f>'IWP04'!M$451</f>
        <v>0</v>
      </c>
      <c r="K3291" s="106"/>
      <c r="L3291" s="106"/>
      <c r="M3291" s="129"/>
    </row>
    <row r="3292" spans="1:13" s="146" customFormat="1">
      <c r="A3292" s="193" t="s">
        <v>502</v>
      </c>
      <c r="B3292" s="210">
        <v>7</v>
      </c>
      <c r="C3292" s="191" t="str">
        <f>IF('IWP04'!E$452=0,"",'IWP04'!E$452)</f>
        <v>Unverified/Undocumented (Subtotal D - C)</v>
      </c>
      <c r="D3292" s="211">
        <f>'IWP04'!G$452</f>
        <v>0</v>
      </c>
      <c r="E3292" s="211">
        <f>'IWP04'!H$452</f>
        <v>0</v>
      </c>
      <c r="F3292" s="211">
        <f>'IWP04'!I$452</f>
        <v>0</v>
      </c>
      <c r="G3292" s="191" t="str">
        <f>IF('IWP04'!J$452=0,"",'IWP04'!J$452)</f>
        <v/>
      </c>
      <c r="H3292" s="211">
        <f>'IWP04'!K$452</f>
        <v>0</v>
      </c>
      <c r="I3292" s="211">
        <f>'IWP04'!L$452</f>
        <v>0</v>
      </c>
      <c r="J3292" s="212">
        <f>'IWP04'!M$452</f>
        <v>0</v>
      </c>
      <c r="K3292" s="106"/>
      <c r="L3292" s="106"/>
      <c r="M3292" s="129"/>
    </row>
    <row r="3293" spans="1:13" s="146" customFormat="1">
      <c r="A3293" s="193" t="s">
        <v>502</v>
      </c>
      <c r="B3293" s="210">
        <v>7</v>
      </c>
      <c r="C3293" s="191" t="str">
        <f>IF('IWP04'!E$453=0,"",'IWP04'!E$453)</f>
        <v>J. Billing Period Total</v>
      </c>
      <c r="D3293" s="211">
        <f>'IWP04'!G$453</f>
        <v>0</v>
      </c>
      <c r="E3293" s="211">
        <f>'IWP04'!H$453</f>
        <v>0</v>
      </c>
      <c r="F3293" s="211">
        <f>'IWP04'!I$453</f>
        <v>0</v>
      </c>
      <c r="G3293" s="191" t="str">
        <f>IF('IWP04'!J$453=0,"",'IWP04'!J$453)</f>
        <v/>
      </c>
      <c r="H3293" s="211">
        <f>'IWP04'!K$453</f>
        <v>0</v>
      </c>
      <c r="I3293" s="211">
        <f>'IWP04'!L$453</f>
        <v>0</v>
      </c>
      <c r="J3293" s="212">
        <f>'IWP04'!M$453</f>
        <v>0</v>
      </c>
      <c r="K3293" s="106"/>
      <c r="L3293" s="106"/>
      <c r="M3293" s="129"/>
    </row>
    <row r="3294" spans="1:13" s="146" customFormat="1">
      <c r="A3294" s="193" t="s">
        <v>502</v>
      </c>
      <c r="B3294" s="210">
        <v>7</v>
      </c>
      <c r="C3294" s="191" t="str">
        <f>IF('IWP04'!E$454=0,"",'IWP04'!E$454)</f>
        <v>D.</v>
      </c>
      <c r="D3294" s="211">
        <f>'IWP04'!G$454</f>
        <v>0</v>
      </c>
      <c r="E3294" s="211" t="str">
        <f>'IWP04'!H$454</f>
        <v>E.</v>
      </c>
      <c r="F3294" s="211" t="str">
        <f>'IWP04'!I$454</f>
        <v>F.</v>
      </c>
      <c r="G3294" s="191" t="str">
        <f>IF('IWP04'!J$454=0,"",'IWP04'!J$454)</f>
        <v>G.</v>
      </c>
      <c r="H3294" s="211">
        <f>'IWP04'!K$454</f>
        <v>0</v>
      </c>
      <c r="I3294" s="211" t="str">
        <f>'IWP04'!L$454</f>
        <v>H.</v>
      </c>
      <c r="J3294" s="212" t="str">
        <f>'IWP04'!M$454</f>
        <v>I.</v>
      </c>
      <c r="K3294" s="106"/>
      <c r="L3294" s="106"/>
      <c r="M3294" s="129"/>
    </row>
    <row r="3295" spans="1:13" s="146" customFormat="1">
      <c r="A3295" s="193" t="s">
        <v>502</v>
      </c>
      <c r="B3295" s="210">
        <v>7</v>
      </c>
      <c r="C3295" s="191" t="str">
        <f>IF('IWP04'!E$455=0,"",'IWP04'!E$455)</f>
        <v xml:space="preserve">Items/Services Related to Billing Period </v>
      </c>
      <c r="D3295" s="211">
        <f>'IWP04'!G$455</f>
        <v>0</v>
      </c>
      <c r="E3295" s="211" t="str">
        <f>'IWP04'!H$455</f>
        <v xml:space="preserve">Item/
Service Verified Amounts
</v>
      </c>
      <c r="F3295" s="211" t="str">
        <f>'IWP04'!I$455</f>
        <v>Amount Due to DADS (E. - D.)</v>
      </c>
      <c r="G3295" s="191" t="str">
        <f>IF('IWP04'!J$455=0,"",'IWP04'!J$455)</f>
        <v>Amount Reimbursed to 
Employee(s)/Employer</v>
      </c>
      <c r="H3295" s="211">
        <f>'IWP04'!K$455</f>
        <v>0</v>
      </c>
      <c r="I3295" s="211" t="str">
        <f>'IWP04'!L$455</f>
        <v>Amount Due to Employee(s) (G. - E.)</v>
      </c>
      <c r="J3295" s="212" t="str">
        <f>'IWP04'!M$455</f>
        <v>Amount Due to Employer (G. - E.)</v>
      </c>
      <c r="K3295" s="106"/>
      <c r="L3295" s="106"/>
      <c r="M3295" s="129"/>
    </row>
    <row r="3296" spans="1:13" s="146" customFormat="1">
      <c r="A3296" s="193" t="s">
        <v>502</v>
      </c>
      <c r="B3296" s="210">
        <v>7</v>
      </c>
      <c r="C3296" s="191" t="str">
        <f>IF('IWP04'!E$456=0,"",'IWP04'!E$456)</f>
        <v>Item/Service</v>
      </c>
      <c r="D3296" s="211" t="str">
        <f>'IWP04'!G$456</f>
        <v>Itemized Amount Paid by DADS</v>
      </c>
      <c r="E3296" s="211">
        <f>'IWP04'!H$456</f>
        <v>0</v>
      </c>
      <c r="F3296" s="211">
        <f>'IWP04'!I$456</f>
        <v>0</v>
      </c>
      <c r="G3296" s="191" t="str">
        <f>IF('IWP04'!J$456=0,"",'IWP04'!J$456)</f>
        <v/>
      </c>
      <c r="H3296" s="211">
        <f>'IWP04'!K$456</f>
        <v>0</v>
      </c>
      <c r="I3296" s="211">
        <f>'IWP04'!L$456</f>
        <v>0</v>
      </c>
      <c r="J3296" s="212">
        <f>'IWP04'!M$456</f>
        <v>0</v>
      </c>
      <c r="K3296" s="106"/>
      <c r="L3296" s="106"/>
      <c r="M3296" s="129"/>
    </row>
    <row r="3297" spans="1:13" s="146" customFormat="1">
      <c r="A3297" s="193" t="s">
        <v>502</v>
      </c>
      <c r="B3297" s="210">
        <v>7</v>
      </c>
      <c r="C3297" s="191" t="str">
        <f>IF('IWP04'!E$457=0,"",'IWP04'!E$457)</f>
        <v/>
      </c>
      <c r="D3297" s="211">
        <f>'IWP04'!G$457</f>
        <v>0</v>
      </c>
      <c r="E3297" s="211">
        <f>'IWP04'!H$457</f>
        <v>0</v>
      </c>
      <c r="F3297" s="211">
        <f>'IWP04'!I$457</f>
        <v>0</v>
      </c>
      <c r="G3297" s="191" t="str">
        <f>IF('IWP04'!J$457=0,"",'IWP04'!J$457)</f>
        <v/>
      </c>
      <c r="H3297" s="211">
        <f>'IWP04'!K$457</f>
        <v>0</v>
      </c>
      <c r="I3297" s="211">
        <f>'IWP04'!L$457</f>
        <v>0</v>
      </c>
      <c r="J3297" s="212">
        <f>'IWP04'!M$457</f>
        <v>0</v>
      </c>
      <c r="K3297" s="106"/>
      <c r="L3297" s="106"/>
      <c r="M3297" s="129"/>
    </row>
    <row r="3298" spans="1:13" s="146" customFormat="1">
      <c r="A3298" s="193" t="s">
        <v>502</v>
      </c>
      <c r="B3298" s="210">
        <v>7</v>
      </c>
      <c r="C3298" s="191" t="str">
        <f>IF('IWP04'!E$458=0,"",'IWP04'!E$458)</f>
        <v/>
      </c>
      <c r="D3298" s="211">
        <f>'IWP04'!G$458</f>
        <v>0</v>
      </c>
      <c r="E3298" s="211">
        <f>'IWP04'!H$458</f>
        <v>0</v>
      </c>
      <c r="F3298" s="211">
        <f>'IWP04'!I$458</f>
        <v>0</v>
      </c>
      <c r="G3298" s="191" t="str">
        <f>IF('IWP04'!J$458=0,"",'IWP04'!J$458)</f>
        <v/>
      </c>
      <c r="H3298" s="211">
        <f>'IWP04'!K$458</f>
        <v>0</v>
      </c>
      <c r="I3298" s="211">
        <f>'IWP04'!L$458</f>
        <v>0</v>
      </c>
      <c r="J3298" s="212">
        <f>'IWP04'!M$458</f>
        <v>0</v>
      </c>
      <c r="K3298" s="106"/>
      <c r="L3298" s="106"/>
      <c r="M3298" s="129"/>
    </row>
    <row r="3299" spans="1:13" s="146" customFormat="1">
      <c r="A3299" s="193" t="s">
        <v>502</v>
      </c>
      <c r="B3299" s="210">
        <v>7</v>
      </c>
      <c r="C3299" s="191" t="str">
        <f>IF('IWP04'!E$459=0,"",'IWP04'!E$459)</f>
        <v/>
      </c>
      <c r="D3299" s="211">
        <f>'IWP04'!G$459</f>
        <v>0</v>
      </c>
      <c r="E3299" s="211">
        <f>'IWP04'!H$459</f>
        <v>0</v>
      </c>
      <c r="F3299" s="211">
        <f>'IWP04'!I$459</f>
        <v>0</v>
      </c>
      <c r="G3299" s="191" t="str">
        <f>IF('IWP04'!J$459=0,"",'IWP04'!J$459)</f>
        <v/>
      </c>
      <c r="H3299" s="211">
        <f>'IWP04'!K$459</f>
        <v>0</v>
      </c>
      <c r="I3299" s="211">
        <f>'IWP04'!L$459</f>
        <v>0</v>
      </c>
      <c r="J3299" s="212">
        <f>'IWP04'!M$459</f>
        <v>0</v>
      </c>
      <c r="K3299" s="106"/>
      <c r="L3299" s="106"/>
      <c r="M3299" s="129"/>
    </row>
    <row r="3300" spans="1:13" s="146" customFormat="1">
      <c r="A3300" s="193" t="s">
        <v>502</v>
      </c>
      <c r="B3300" s="210">
        <v>7</v>
      </c>
      <c r="C3300" s="191" t="str">
        <f>IF('IWP04'!E$460=0,"",'IWP04'!E$460)</f>
        <v/>
      </c>
      <c r="D3300" s="211">
        <f>'IWP04'!G$460</f>
        <v>0</v>
      </c>
      <c r="E3300" s="211">
        <f>'IWP04'!H$460</f>
        <v>0</v>
      </c>
      <c r="F3300" s="211">
        <f>'IWP04'!I$460</f>
        <v>0</v>
      </c>
      <c r="G3300" s="191" t="str">
        <f>IF('IWP04'!J$460=0,"",'IWP04'!J$460)</f>
        <v/>
      </c>
      <c r="H3300" s="211">
        <f>'IWP04'!K$460</f>
        <v>0</v>
      </c>
      <c r="I3300" s="211">
        <f>'IWP04'!L$460</f>
        <v>0</v>
      </c>
      <c r="J3300" s="212">
        <f>'IWP04'!M$460</f>
        <v>0</v>
      </c>
      <c r="K3300" s="106"/>
      <c r="L3300" s="106"/>
      <c r="M3300" s="129"/>
    </row>
    <row r="3301" spans="1:13" s="146" customFormat="1">
      <c r="A3301" s="193" t="s">
        <v>502</v>
      </c>
      <c r="B3301" s="210">
        <v>8</v>
      </c>
      <c r="C3301" s="191" t="str">
        <f>IF('IWP04'!E$467=0,"",'IWP04'!E$467)</f>
        <v>Subtotal column D.</v>
      </c>
      <c r="D3301" s="211">
        <f>'IWP04'!G$467</f>
        <v>0</v>
      </c>
      <c r="E3301" s="211">
        <f>'IWP04'!H$467</f>
        <v>0</v>
      </c>
      <c r="F3301" s="211">
        <f>'IWP04'!I$467</f>
        <v>0</v>
      </c>
      <c r="G3301" s="191" t="str">
        <f>IF('IWP04'!J$467=0,"",'IWP04'!J$467)</f>
        <v/>
      </c>
      <c r="H3301" s="211">
        <f>'IWP04'!K$467</f>
        <v>0</v>
      </c>
      <c r="I3301" s="211">
        <f>'IWP04'!L$467</f>
        <v>0</v>
      </c>
      <c r="J3301" s="212">
        <f>'IWP04'!M$467</f>
        <v>0</v>
      </c>
      <c r="K3301" s="106"/>
      <c r="L3301" s="106"/>
      <c r="M3301" s="129"/>
    </row>
    <row r="3302" spans="1:13" s="146" customFormat="1">
      <c r="A3302" s="193" t="s">
        <v>502</v>
      </c>
      <c r="B3302" s="210">
        <v>8</v>
      </c>
      <c r="C3302" s="191" t="str">
        <f>IF('IWP04'!E$468=0,"",'IWP04'!E$468)</f>
        <v>Unverified/Undocumented (Subtotal D - C)</v>
      </c>
      <c r="D3302" s="211">
        <f>'IWP04'!G$468</f>
        <v>0</v>
      </c>
      <c r="E3302" s="211">
        <f>'IWP04'!H$468</f>
        <v>0</v>
      </c>
      <c r="F3302" s="211">
        <f>'IWP04'!I$468</f>
        <v>0</v>
      </c>
      <c r="G3302" s="191" t="str">
        <f>IF('IWP04'!J$468=0,"",'IWP04'!J$468)</f>
        <v/>
      </c>
      <c r="H3302" s="211">
        <f>'IWP04'!K$468</f>
        <v>0</v>
      </c>
      <c r="I3302" s="211">
        <f>'IWP04'!L$468</f>
        <v>0</v>
      </c>
      <c r="J3302" s="212">
        <f>'IWP04'!M$468</f>
        <v>0</v>
      </c>
      <c r="K3302" s="106"/>
      <c r="L3302" s="106"/>
      <c r="M3302" s="129"/>
    </row>
    <row r="3303" spans="1:13" s="146" customFormat="1">
      <c r="A3303" s="193" t="s">
        <v>502</v>
      </c>
      <c r="B3303" s="210">
        <v>8</v>
      </c>
      <c r="C3303" s="191" t="str">
        <f>IF('IWP04'!E$469=0,"",'IWP04'!E$469)</f>
        <v>J. Billing Period Total</v>
      </c>
      <c r="D3303" s="211">
        <f>'IWP04'!G$469</f>
        <v>0</v>
      </c>
      <c r="E3303" s="211">
        <f>'IWP04'!H$469</f>
        <v>0</v>
      </c>
      <c r="F3303" s="211">
        <f>'IWP04'!I$469</f>
        <v>0</v>
      </c>
      <c r="G3303" s="191" t="str">
        <f>IF('IWP04'!J$469=0,"",'IWP04'!J$469)</f>
        <v/>
      </c>
      <c r="H3303" s="211">
        <f>'IWP04'!K$469</f>
        <v>0</v>
      </c>
      <c r="I3303" s="211">
        <f>'IWP04'!L$469</f>
        <v>0</v>
      </c>
      <c r="J3303" s="212">
        <f>'IWP04'!M$469</f>
        <v>0</v>
      </c>
      <c r="K3303" s="106"/>
      <c r="L3303" s="106"/>
      <c r="M3303" s="129"/>
    </row>
    <row r="3304" spans="1:13" s="146" customFormat="1">
      <c r="A3304" s="193" t="s">
        <v>502</v>
      </c>
      <c r="B3304" s="210">
        <v>8</v>
      </c>
      <c r="C3304" s="191" t="str">
        <f>IF('IWP04'!E$470=0,"",'IWP04'!E$470)</f>
        <v>D.</v>
      </c>
      <c r="D3304" s="211">
        <f>'IWP04'!G$470</f>
        <v>0</v>
      </c>
      <c r="E3304" s="211" t="str">
        <f>'IWP04'!H$470</f>
        <v>E.</v>
      </c>
      <c r="F3304" s="211" t="str">
        <f>'IWP04'!I$470</f>
        <v>F.</v>
      </c>
      <c r="G3304" s="191" t="str">
        <f>IF('IWP04'!J$470=0,"",'IWP04'!J$470)</f>
        <v>G.</v>
      </c>
      <c r="H3304" s="211">
        <f>'IWP04'!K$470</f>
        <v>0</v>
      </c>
      <c r="I3304" s="211" t="str">
        <f>'IWP04'!L$470</f>
        <v>H.</v>
      </c>
      <c r="J3304" s="212" t="str">
        <f>'IWP04'!M$470</f>
        <v>I.</v>
      </c>
      <c r="K3304" s="106"/>
      <c r="L3304" s="106"/>
      <c r="M3304" s="129"/>
    </row>
    <row r="3305" spans="1:13" s="146" customFormat="1">
      <c r="A3305" s="193" t="s">
        <v>502</v>
      </c>
      <c r="B3305" s="210">
        <v>8</v>
      </c>
      <c r="C3305" s="191" t="str">
        <f>IF('IWP04'!E$471=0,"",'IWP04'!E$471)</f>
        <v xml:space="preserve">Items/Services Related to Billing Period </v>
      </c>
      <c r="D3305" s="211">
        <f>'IWP04'!G$471</f>
        <v>0</v>
      </c>
      <c r="E3305" s="211" t="str">
        <f>'IWP04'!H$471</f>
        <v xml:space="preserve">Item/
Service Verified Amounts
</v>
      </c>
      <c r="F3305" s="211" t="str">
        <f>'IWP04'!I$471</f>
        <v>Amount Due to DADS (E. - D.)</v>
      </c>
      <c r="G3305" s="191" t="str">
        <f>IF('IWP04'!J$471=0,"",'IWP04'!J$471)</f>
        <v>Amount Reimbursed to 
Employee(s)/Employer</v>
      </c>
      <c r="H3305" s="211">
        <f>'IWP04'!K$471</f>
        <v>0</v>
      </c>
      <c r="I3305" s="211" t="str">
        <f>'IWP04'!L$471</f>
        <v>Amount Due to Employee(s) (G. - E.)</v>
      </c>
      <c r="J3305" s="212" t="str">
        <f>'IWP04'!M$471</f>
        <v>Amount Due to Employer (G. - E.)</v>
      </c>
      <c r="K3305" s="106"/>
      <c r="L3305" s="106"/>
      <c r="M3305" s="129"/>
    </row>
    <row r="3306" spans="1:13" s="146" customFormat="1">
      <c r="A3306" s="193" t="s">
        <v>502</v>
      </c>
      <c r="B3306" s="210">
        <v>8</v>
      </c>
      <c r="C3306" s="191" t="str">
        <f>IF('IWP04'!E$472=0,"",'IWP04'!E$472)</f>
        <v>Item/Service</v>
      </c>
      <c r="D3306" s="211" t="str">
        <f>'IWP04'!G$472</f>
        <v>Itemized Amount Paid by DADS</v>
      </c>
      <c r="E3306" s="211">
        <f>'IWP04'!H$472</f>
        <v>0</v>
      </c>
      <c r="F3306" s="211">
        <f>'IWP04'!I$472</f>
        <v>0</v>
      </c>
      <c r="G3306" s="191" t="str">
        <f>IF('IWP04'!J$472=0,"",'IWP04'!J$472)</f>
        <v/>
      </c>
      <c r="H3306" s="211">
        <f>'IWP04'!K$472</f>
        <v>0</v>
      </c>
      <c r="I3306" s="211">
        <f>'IWP04'!L$472</f>
        <v>0</v>
      </c>
      <c r="J3306" s="212">
        <f>'IWP04'!M$472</f>
        <v>0</v>
      </c>
      <c r="K3306" s="106"/>
      <c r="L3306" s="106"/>
      <c r="M3306" s="129"/>
    </row>
    <row r="3307" spans="1:13" s="146" customFormat="1">
      <c r="A3307" s="193" t="s">
        <v>502</v>
      </c>
      <c r="B3307" s="210">
        <v>8</v>
      </c>
      <c r="C3307" s="191" t="str">
        <f>IF('IWP04'!E$473=0,"",'IWP04'!E$473)</f>
        <v/>
      </c>
      <c r="D3307" s="211">
        <f>'IWP04'!G$473</f>
        <v>0</v>
      </c>
      <c r="E3307" s="211">
        <f>'IWP04'!H$473</f>
        <v>0</v>
      </c>
      <c r="F3307" s="211">
        <f>'IWP04'!I$473</f>
        <v>0</v>
      </c>
      <c r="G3307" s="191" t="str">
        <f>IF('IWP04'!J$473=0,"",'IWP04'!J$473)</f>
        <v/>
      </c>
      <c r="H3307" s="211">
        <f>'IWP04'!K$473</f>
        <v>0</v>
      </c>
      <c r="I3307" s="211">
        <f>'IWP04'!L$473</f>
        <v>0</v>
      </c>
      <c r="J3307" s="212">
        <f>'IWP04'!M$473</f>
        <v>0</v>
      </c>
      <c r="K3307" s="106"/>
      <c r="L3307" s="106"/>
      <c r="M3307" s="129"/>
    </row>
    <row r="3308" spans="1:13" s="146" customFormat="1">
      <c r="A3308" s="193" t="s">
        <v>502</v>
      </c>
      <c r="B3308" s="210">
        <v>8</v>
      </c>
      <c r="C3308" s="191" t="str">
        <f>IF('IWP04'!E$474=0,"",'IWP04'!E$474)</f>
        <v/>
      </c>
      <c r="D3308" s="211">
        <f>'IWP04'!G$474</f>
        <v>0</v>
      </c>
      <c r="E3308" s="211">
        <f>'IWP04'!H$474</f>
        <v>0</v>
      </c>
      <c r="F3308" s="211">
        <f>'IWP04'!I$474</f>
        <v>0</v>
      </c>
      <c r="G3308" s="191" t="str">
        <f>IF('IWP04'!J$474=0,"",'IWP04'!J$474)</f>
        <v/>
      </c>
      <c r="H3308" s="211">
        <f>'IWP04'!K$474</f>
        <v>0</v>
      </c>
      <c r="I3308" s="211">
        <f>'IWP04'!L$474</f>
        <v>0</v>
      </c>
      <c r="J3308" s="212">
        <f>'IWP04'!M$474</f>
        <v>0</v>
      </c>
      <c r="K3308" s="106"/>
      <c r="L3308" s="106"/>
      <c r="M3308" s="129"/>
    </row>
    <row r="3309" spans="1:13" s="146" customFormat="1">
      <c r="A3309" s="193" t="s">
        <v>502</v>
      </c>
      <c r="B3309" s="210">
        <v>8</v>
      </c>
      <c r="C3309" s="191" t="str">
        <f>IF('IWP04'!E$475=0,"",'IWP04'!E$475)</f>
        <v/>
      </c>
      <c r="D3309" s="211">
        <f>'IWP04'!G$475</f>
        <v>0</v>
      </c>
      <c r="E3309" s="211">
        <f>'IWP04'!H$475</f>
        <v>0</v>
      </c>
      <c r="F3309" s="211">
        <f>'IWP04'!I$475</f>
        <v>0</v>
      </c>
      <c r="G3309" s="191" t="str">
        <f>IF('IWP04'!J$475=0,"",'IWP04'!J$475)</f>
        <v/>
      </c>
      <c r="H3309" s="211">
        <f>'IWP04'!K$475</f>
        <v>0</v>
      </c>
      <c r="I3309" s="211">
        <f>'IWP04'!L$475</f>
        <v>0</v>
      </c>
      <c r="J3309" s="212">
        <f>'IWP04'!M$475</f>
        <v>0</v>
      </c>
      <c r="K3309" s="106"/>
      <c r="L3309" s="106"/>
      <c r="M3309" s="129"/>
    </row>
    <row r="3310" spans="1:13" s="146" customFormat="1">
      <c r="A3310" s="193" t="s">
        <v>502</v>
      </c>
      <c r="B3310" s="210">
        <v>8</v>
      </c>
      <c r="C3310" s="191" t="str">
        <f>IF('IWP04'!E$476=0,"",'IWP04'!E$476)</f>
        <v/>
      </c>
      <c r="D3310" s="211">
        <f>'IWP04'!G$476</f>
        <v>0</v>
      </c>
      <c r="E3310" s="211">
        <f>'IWP04'!H$476</f>
        <v>0</v>
      </c>
      <c r="F3310" s="211">
        <f>'IWP04'!I$476</f>
        <v>0</v>
      </c>
      <c r="G3310" s="191" t="str">
        <f>IF('IWP04'!J$476=0,"",'IWP04'!J$476)</f>
        <v/>
      </c>
      <c r="H3310" s="211">
        <f>'IWP04'!K$476</f>
        <v>0</v>
      </c>
      <c r="I3310" s="211">
        <f>'IWP04'!L$476</f>
        <v>0</v>
      </c>
      <c r="J3310" s="212">
        <f>'IWP04'!M$476</f>
        <v>0</v>
      </c>
      <c r="K3310" s="106"/>
      <c r="L3310" s="106"/>
      <c r="M3310" s="129"/>
    </row>
    <row r="3311" spans="1:13" s="146" customFormat="1">
      <c r="A3311" s="193" t="s">
        <v>502</v>
      </c>
      <c r="B3311" s="210">
        <v>9</v>
      </c>
      <c r="C3311" s="191" t="str">
        <f>IF('IWP04'!E$483=0,"",'IWP04'!E$483)</f>
        <v>Subtotal column D.</v>
      </c>
      <c r="D3311" s="211">
        <f>'IWP04'!G$483</f>
        <v>0</v>
      </c>
      <c r="E3311" s="211">
        <f>'IWP04'!H$483</f>
        <v>0</v>
      </c>
      <c r="F3311" s="211">
        <f>'IWP04'!I$483</f>
        <v>0</v>
      </c>
      <c r="G3311" s="191" t="str">
        <f>IF('IWP04'!J$483=0,"",'IWP04'!J$483)</f>
        <v/>
      </c>
      <c r="H3311" s="211">
        <f>'IWP04'!K$483</f>
        <v>0</v>
      </c>
      <c r="I3311" s="211">
        <f>'IWP04'!L$483</f>
        <v>0</v>
      </c>
      <c r="J3311" s="212">
        <f>'IWP04'!M$483</f>
        <v>0</v>
      </c>
      <c r="K3311" s="106"/>
      <c r="L3311" s="106"/>
      <c r="M3311" s="129"/>
    </row>
    <row r="3312" spans="1:13" s="146" customFormat="1">
      <c r="A3312" s="193" t="s">
        <v>502</v>
      </c>
      <c r="B3312" s="210">
        <v>9</v>
      </c>
      <c r="C3312" s="191" t="str">
        <f>IF('IWP04'!E$484=0,"",'IWP04'!E$484)</f>
        <v>Unverified/Undocumented (Subtotal D - C)</v>
      </c>
      <c r="D3312" s="211">
        <f>'IWP04'!G$484</f>
        <v>0</v>
      </c>
      <c r="E3312" s="211">
        <f>'IWP04'!H$484</f>
        <v>0</v>
      </c>
      <c r="F3312" s="211">
        <f>'IWP04'!I$484</f>
        <v>0</v>
      </c>
      <c r="G3312" s="191" t="str">
        <f>IF('IWP04'!J$484=0,"",'IWP04'!J$484)</f>
        <v/>
      </c>
      <c r="H3312" s="211">
        <f>'IWP04'!K$484</f>
        <v>0</v>
      </c>
      <c r="I3312" s="211">
        <f>'IWP04'!L$484</f>
        <v>0</v>
      </c>
      <c r="J3312" s="212">
        <f>'IWP04'!M$484</f>
        <v>0</v>
      </c>
      <c r="K3312" s="106"/>
      <c r="L3312" s="106"/>
      <c r="M3312" s="129"/>
    </row>
    <row r="3313" spans="1:13" s="146" customFormat="1">
      <c r="A3313" s="193" t="s">
        <v>502</v>
      </c>
      <c r="B3313" s="210">
        <v>9</v>
      </c>
      <c r="C3313" s="191" t="str">
        <f>IF('IWP04'!E$485=0,"",'IWP04'!E$485)</f>
        <v>J. Billing Period Total</v>
      </c>
      <c r="D3313" s="211">
        <f>'IWP04'!G$485</f>
        <v>0</v>
      </c>
      <c r="E3313" s="211">
        <f>'IWP04'!H$485</f>
        <v>0</v>
      </c>
      <c r="F3313" s="211">
        <f>'IWP04'!I$485</f>
        <v>0</v>
      </c>
      <c r="G3313" s="191" t="str">
        <f>IF('IWP04'!J$485=0,"",'IWP04'!J$485)</f>
        <v/>
      </c>
      <c r="H3313" s="211">
        <f>'IWP04'!K$485</f>
        <v>0</v>
      </c>
      <c r="I3313" s="211">
        <f>'IWP04'!L$485</f>
        <v>0</v>
      </c>
      <c r="J3313" s="212">
        <f>'IWP04'!M$485</f>
        <v>0</v>
      </c>
      <c r="K3313" s="106"/>
      <c r="L3313" s="106"/>
      <c r="M3313" s="129"/>
    </row>
    <row r="3314" spans="1:13" s="146" customFormat="1">
      <c r="A3314" s="193" t="s">
        <v>502</v>
      </c>
      <c r="B3314" s="210">
        <v>9</v>
      </c>
      <c r="C3314" s="191" t="str">
        <f>IF('IWP04'!E$486=0,"",'IWP04'!E$486)</f>
        <v>D.</v>
      </c>
      <c r="D3314" s="211">
        <f>'IWP04'!G$486</f>
        <v>0</v>
      </c>
      <c r="E3314" s="211" t="str">
        <f>'IWP04'!H$486</f>
        <v>E.</v>
      </c>
      <c r="F3314" s="211" t="str">
        <f>'IWP04'!I$486</f>
        <v>F.</v>
      </c>
      <c r="G3314" s="191" t="str">
        <f>IF('IWP04'!J$486=0,"",'IWP04'!J$486)</f>
        <v>G.</v>
      </c>
      <c r="H3314" s="211">
        <f>'IWP04'!K$486</f>
        <v>0</v>
      </c>
      <c r="I3314" s="211" t="str">
        <f>'IWP04'!L$486</f>
        <v>H.</v>
      </c>
      <c r="J3314" s="212" t="str">
        <f>'IWP04'!M$486</f>
        <v>I.</v>
      </c>
      <c r="K3314" s="106"/>
      <c r="L3314" s="106"/>
      <c r="M3314" s="129"/>
    </row>
    <row r="3315" spans="1:13" s="146" customFormat="1">
      <c r="A3315" s="193" t="s">
        <v>502</v>
      </c>
      <c r="B3315" s="210">
        <v>9</v>
      </c>
      <c r="C3315" s="191" t="str">
        <f>IF('IWP04'!E$487=0,"",'IWP04'!E$487)</f>
        <v xml:space="preserve">Items/Services Related to Billing Period </v>
      </c>
      <c r="D3315" s="211">
        <f>'IWP04'!G$487</f>
        <v>0</v>
      </c>
      <c r="E3315" s="211" t="str">
        <f>'IWP04'!H$487</f>
        <v xml:space="preserve">Item/
Service Verified Amounts
</v>
      </c>
      <c r="F3315" s="211" t="str">
        <f>'IWP04'!I$487</f>
        <v>Amount Due to DADS (E. - D.)</v>
      </c>
      <c r="G3315" s="191" t="str">
        <f>IF('IWP04'!J$487=0,"",'IWP04'!J$487)</f>
        <v>Amount Reimbursed to 
Employee(s)/Employer</v>
      </c>
      <c r="H3315" s="211">
        <f>'IWP04'!K$487</f>
        <v>0</v>
      </c>
      <c r="I3315" s="211" t="str">
        <f>'IWP04'!L$487</f>
        <v>Amount Due to Employee(s) (G. - E.)</v>
      </c>
      <c r="J3315" s="212" t="str">
        <f>'IWP04'!M$487</f>
        <v>Amount Due to Employer (G. - E.)</v>
      </c>
      <c r="K3315" s="106"/>
      <c r="L3315" s="106"/>
      <c r="M3315" s="129"/>
    </row>
    <row r="3316" spans="1:13" s="146" customFormat="1">
      <c r="A3316" s="193" t="s">
        <v>502</v>
      </c>
      <c r="B3316" s="210">
        <v>9</v>
      </c>
      <c r="C3316" s="191" t="str">
        <f>IF('IWP04'!E$488=0,"",'IWP04'!E$488)</f>
        <v>Item/Service</v>
      </c>
      <c r="D3316" s="211" t="str">
        <f>'IWP04'!G$488</f>
        <v>Itemized Amount Paid by DADS</v>
      </c>
      <c r="E3316" s="211">
        <f>'IWP04'!H$488</f>
        <v>0</v>
      </c>
      <c r="F3316" s="211">
        <f>'IWP04'!I$488</f>
        <v>0</v>
      </c>
      <c r="G3316" s="191" t="str">
        <f>IF('IWP04'!J$488=0,"",'IWP04'!J$488)</f>
        <v/>
      </c>
      <c r="H3316" s="211">
        <f>'IWP04'!K$488</f>
        <v>0</v>
      </c>
      <c r="I3316" s="211">
        <f>'IWP04'!L$488</f>
        <v>0</v>
      </c>
      <c r="J3316" s="212">
        <f>'IWP04'!M$488</f>
        <v>0</v>
      </c>
      <c r="K3316" s="106"/>
      <c r="L3316" s="106"/>
      <c r="M3316" s="129"/>
    </row>
    <row r="3317" spans="1:13" s="146" customFormat="1">
      <c r="A3317" s="193" t="s">
        <v>502</v>
      </c>
      <c r="B3317" s="210">
        <v>9</v>
      </c>
      <c r="C3317" s="191" t="str">
        <f>IF('IWP04'!E$489=0,"",'IWP04'!E$489)</f>
        <v/>
      </c>
      <c r="D3317" s="211">
        <f>'IWP04'!G$489</f>
        <v>0</v>
      </c>
      <c r="E3317" s="211">
        <f>'IWP04'!H$489</f>
        <v>0</v>
      </c>
      <c r="F3317" s="211">
        <f>'IWP04'!I$489</f>
        <v>0</v>
      </c>
      <c r="G3317" s="191" t="str">
        <f>IF('IWP04'!J$489=0,"",'IWP04'!J$489)</f>
        <v/>
      </c>
      <c r="H3317" s="211">
        <f>'IWP04'!K$489</f>
        <v>0</v>
      </c>
      <c r="I3317" s="211">
        <f>'IWP04'!L$489</f>
        <v>0</v>
      </c>
      <c r="J3317" s="212">
        <f>'IWP04'!M$489</f>
        <v>0</v>
      </c>
      <c r="K3317" s="106"/>
      <c r="L3317" s="106"/>
      <c r="M3317" s="129"/>
    </row>
    <row r="3318" spans="1:13" s="146" customFormat="1">
      <c r="A3318" s="193" t="s">
        <v>502</v>
      </c>
      <c r="B3318" s="210">
        <v>9</v>
      </c>
      <c r="C3318" s="191" t="str">
        <f>IF('IWP04'!E$490=0,"",'IWP04'!E$490)</f>
        <v/>
      </c>
      <c r="D3318" s="211">
        <f>'IWP04'!G$490</f>
        <v>0</v>
      </c>
      <c r="E3318" s="211">
        <f>'IWP04'!H$490</f>
        <v>0</v>
      </c>
      <c r="F3318" s="211">
        <f>'IWP04'!I$490</f>
        <v>0</v>
      </c>
      <c r="G3318" s="191" t="str">
        <f>IF('IWP04'!J$490=0,"",'IWP04'!J$490)</f>
        <v/>
      </c>
      <c r="H3318" s="211">
        <f>'IWP04'!K$490</f>
        <v>0</v>
      </c>
      <c r="I3318" s="211">
        <f>'IWP04'!L$490</f>
        <v>0</v>
      </c>
      <c r="J3318" s="212">
        <f>'IWP04'!M$490</f>
        <v>0</v>
      </c>
      <c r="K3318" s="106"/>
      <c r="L3318" s="106"/>
      <c r="M3318" s="129"/>
    </row>
    <row r="3319" spans="1:13" s="146" customFormat="1">
      <c r="A3319" s="193" t="s">
        <v>502</v>
      </c>
      <c r="B3319" s="210">
        <v>9</v>
      </c>
      <c r="C3319" s="191" t="str">
        <f>IF('IWP04'!E$491=0,"",'IWP04'!E$491)</f>
        <v/>
      </c>
      <c r="D3319" s="211">
        <f>'IWP04'!G$491</f>
        <v>0</v>
      </c>
      <c r="E3319" s="211">
        <f>'IWP04'!H$491</f>
        <v>0</v>
      </c>
      <c r="F3319" s="211">
        <f>'IWP04'!I$491</f>
        <v>0</v>
      </c>
      <c r="G3319" s="191" t="str">
        <f>IF('IWP04'!J$491=0,"",'IWP04'!J$491)</f>
        <v/>
      </c>
      <c r="H3319" s="211">
        <f>'IWP04'!K$491</f>
        <v>0</v>
      </c>
      <c r="I3319" s="211">
        <f>'IWP04'!L$491</f>
        <v>0</v>
      </c>
      <c r="J3319" s="212">
        <f>'IWP04'!M$491</f>
        <v>0</v>
      </c>
      <c r="K3319" s="106"/>
      <c r="L3319" s="106"/>
      <c r="M3319" s="129"/>
    </row>
    <row r="3320" spans="1:13" s="146" customFormat="1">
      <c r="A3320" s="193" t="s">
        <v>502</v>
      </c>
      <c r="B3320" s="210">
        <v>9</v>
      </c>
      <c r="C3320" s="191" t="str">
        <f>IF('IWP04'!E$492=0,"",'IWP04'!E$492)</f>
        <v/>
      </c>
      <c r="D3320" s="211">
        <f>'IWP04'!G$492</f>
        <v>0</v>
      </c>
      <c r="E3320" s="211">
        <f>'IWP04'!H$492</f>
        <v>0</v>
      </c>
      <c r="F3320" s="211">
        <f>'IWP04'!I$492</f>
        <v>0</v>
      </c>
      <c r="G3320" s="191" t="str">
        <f>IF('IWP04'!J$492=0,"",'IWP04'!J$492)</f>
        <v/>
      </c>
      <c r="H3320" s="211">
        <f>'IWP04'!K$492</f>
        <v>0</v>
      </c>
      <c r="I3320" s="211">
        <f>'IWP04'!L$492</f>
        <v>0</v>
      </c>
      <c r="J3320" s="212">
        <f>'IWP04'!M$492</f>
        <v>0</v>
      </c>
      <c r="K3320" s="106"/>
      <c r="L3320" s="106"/>
      <c r="M3320" s="129"/>
    </row>
    <row r="3321" spans="1:13" s="146" customFormat="1">
      <c r="A3321" s="193" t="s">
        <v>502</v>
      </c>
      <c r="B3321" s="210">
        <v>10</v>
      </c>
      <c r="C3321" s="191" t="str">
        <f>IF('IWP04'!E$499=0,"",'IWP04'!E$499)</f>
        <v>Subtotal column D.</v>
      </c>
      <c r="D3321" s="211">
        <f>'IWP04'!G$499</f>
        <v>0</v>
      </c>
      <c r="E3321" s="211">
        <f>'IWP04'!H$499</f>
        <v>0</v>
      </c>
      <c r="F3321" s="211">
        <f>'IWP04'!I$499</f>
        <v>0</v>
      </c>
      <c r="G3321" s="191" t="str">
        <f>IF('IWP04'!J$499=0,"",'IWP04'!J$499)</f>
        <v/>
      </c>
      <c r="H3321" s="211">
        <f>'IWP04'!K$499</f>
        <v>0</v>
      </c>
      <c r="I3321" s="211">
        <f>'IWP04'!L$499</f>
        <v>0</v>
      </c>
      <c r="J3321" s="212">
        <f>'IWP04'!M$499</f>
        <v>0</v>
      </c>
      <c r="K3321" s="106"/>
      <c r="L3321" s="106"/>
      <c r="M3321" s="129"/>
    </row>
    <row r="3322" spans="1:13" s="146" customFormat="1">
      <c r="A3322" s="193" t="s">
        <v>502</v>
      </c>
      <c r="B3322" s="210">
        <v>10</v>
      </c>
      <c r="C3322" s="191" t="str">
        <f>IF('IWP04'!E$500=0,"",'IWP04'!E$500)</f>
        <v>Unverified/Undocumented (Subtotal D - C)</v>
      </c>
      <c r="D3322" s="211">
        <f>'IWP04'!G$500</f>
        <v>0</v>
      </c>
      <c r="E3322" s="211">
        <f>'IWP04'!H$500</f>
        <v>0</v>
      </c>
      <c r="F3322" s="211">
        <f>'IWP04'!I$500</f>
        <v>0</v>
      </c>
      <c r="G3322" s="191" t="str">
        <f>IF('IWP04'!J$500=0,"",'IWP04'!J$500)</f>
        <v/>
      </c>
      <c r="H3322" s="211">
        <f>'IWP04'!K$500</f>
        <v>0</v>
      </c>
      <c r="I3322" s="211">
        <f>'IWP04'!L$500</f>
        <v>0</v>
      </c>
      <c r="J3322" s="212">
        <f>'IWP04'!M$500</f>
        <v>0</v>
      </c>
      <c r="K3322" s="106"/>
      <c r="L3322" s="106"/>
      <c r="M3322" s="129"/>
    </row>
    <row r="3323" spans="1:13" s="146" customFormat="1">
      <c r="A3323" s="193" t="s">
        <v>502</v>
      </c>
      <c r="B3323" s="210">
        <v>10</v>
      </c>
      <c r="C3323" s="191" t="str">
        <f>IF('IWP04'!E$501=0,"",'IWP04'!E$501)</f>
        <v>J. Billing Period Total</v>
      </c>
      <c r="D3323" s="211">
        <f>'IWP04'!G$501</f>
        <v>0</v>
      </c>
      <c r="E3323" s="211">
        <f>'IWP04'!H$501</f>
        <v>0</v>
      </c>
      <c r="F3323" s="211">
        <f>'IWP04'!I$501</f>
        <v>0</v>
      </c>
      <c r="G3323" s="191" t="str">
        <f>IF('IWP04'!J$501=0,"",'IWP04'!J$501)</f>
        <v/>
      </c>
      <c r="H3323" s="211">
        <f>'IWP04'!K$501</f>
        <v>0</v>
      </c>
      <c r="I3323" s="211">
        <f>'IWP04'!L$501</f>
        <v>0</v>
      </c>
      <c r="J3323" s="212">
        <f>'IWP04'!M$501</f>
        <v>0</v>
      </c>
      <c r="K3323" s="106"/>
      <c r="L3323" s="106"/>
      <c r="M3323" s="129"/>
    </row>
    <row r="3324" spans="1:13" s="146" customFormat="1">
      <c r="A3324" s="193" t="s">
        <v>502</v>
      </c>
      <c r="B3324" s="210">
        <v>10</v>
      </c>
      <c r="C3324" s="191" t="str">
        <f>IF('IWP04'!E$502=0,"",'IWP04'!E$502)</f>
        <v>D.</v>
      </c>
      <c r="D3324" s="211">
        <f>'IWP04'!G$502</f>
        <v>0</v>
      </c>
      <c r="E3324" s="211" t="str">
        <f>'IWP04'!H$502</f>
        <v>E.</v>
      </c>
      <c r="F3324" s="211" t="str">
        <f>'IWP04'!I$502</f>
        <v>F.</v>
      </c>
      <c r="G3324" s="191" t="str">
        <f>IF('IWP04'!J$502=0,"",'IWP04'!J$502)</f>
        <v>G.</v>
      </c>
      <c r="H3324" s="211">
        <f>'IWP04'!K$502</f>
        <v>0</v>
      </c>
      <c r="I3324" s="211" t="str">
        <f>'IWP04'!L$502</f>
        <v>H.</v>
      </c>
      <c r="J3324" s="212" t="str">
        <f>'IWP04'!M$502</f>
        <v>I.</v>
      </c>
      <c r="K3324" s="106"/>
      <c r="L3324" s="106"/>
      <c r="M3324" s="129"/>
    </row>
    <row r="3325" spans="1:13" s="146" customFormat="1">
      <c r="A3325" s="193" t="s">
        <v>502</v>
      </c>
      <c r="B3325" s="210">
        <v>10</v>
      </c>
      <c r="C3325" s="191" t="str">
        <f>IF('IWP04'!E$503=0,"",'IWP04'!E$503)</f>
        <v xml:space="preserve">Items/Services Related to Billing Period </v>
      </c>
      <c r="D3325" s="211">
        <f>'IWP04'!G$503</f>
        <v>0</v>
      </c>
      <c r="E3325" s="211" t="str">
        <f>'IWP04'!H$503</f>
        <v xml:space="preserve">Item/
Service Verified Amounts
</v>
      </c>
      <c r="F3325" s="211" t="str">
        <f>'IWP04'!I$503</f>
        <v>Amount Due to DADS (E. - D.)</v>
      </c>
      <c r="G3325" s="191" t="str">
        <f>IF('IWP04'!J$503=0,"",'IWP04'!J$503)</f>
        <v>Amount Reimbursed to 
Employee(s)/Employer</v>
      </c>
      <c r="H3325" s="211">
        <f>'IWP04'!K$503</f>
        <v>0</v>
      </c>
      <c r="I3325" s="211" t="str">
        <f>'IWP04'!L$503</f>
        <v>Amount Due to Employee(s) (G. - E.)</v>
      </c>
      <c r="J3325" s="212" t="str">
        <f>'IWP04'!M$503</f>
        <v>Amount Due to Employer (G. - E.)</v>
      </c>
      <c r="K3325" s="106"/>
      <c r="L3325" s="106"/>
      <c r="M3325" s="129"/>
    </row>
    <row r="3326" spans="1:13" s="146" customFormat="1">
      <c r="A3326" s="193" t="s">
        <v>502</v>
      </c>
      <c r="B3326" s="210">
        <v>10</v>
      </c>
      <c r="C3326" s="191" t="str">
        <f>IF('IWP04'!E$504=0,"",'IWP04'!E$504)</f>
        <v>Item/Service</v>
      </c>
      <c r="D3326" s="211" t="str">
        <f>'IWP04'!G$504</f>
        <v>Itemized Amount Paid by DADS</v>
      </c>
      <c r="E3326" s="211">
        <f>'IWP04'!H$504</f>
        <v>0</v>
      </c>
      <c r="F3326" s="211">
        <f>'IWP04'!I$504</f>
        <v>0</v>
      </c>
      <c r="G3326" s="191" t="str">
        <f>IF('IWP04'!J$504=0,"",'IWP04'!J$504)</f>
        <v/>
      </c>
      <c r="H3326" s="211">
        <f>'IWP04'!K$504</f>
        <v>0</v>
      </c>
      <c r="I3326" s="211">
        <f>'IWP04'!L$504</f>
        <v>0</v>
      </c>
      <c r="J3326" s="212">
        <f>'IWP04'!M$504</f>
        <v>0</v>
      </c>
      <c r="K3326" s="106"/>
      <c r="L3326" s="106"/>
      <c r="M3326" s="129"/>
    </row>
    <row r="3327" spans="1:13" s="146" customFormat="1">
      <c r="A3327" s="193" t="s">
        <v>502</v>
      </c>
      <c r="B3327" s="210">
        <v>10</v>
      </c>
      <c r="C3327" s="191" t="str">
        <f>IF('IWP04'!E$505=0,"",'IWP04'!E$505)</f>
        <v/>
      </c>
      <c r="D3327" s="211">
        <f>'IWP04'!G$505</f>
        <v>0</v>
      </c>
      <c r="E3327" s="211">
        <f>'IWP04'!H$505</f>
        <v>0</v>
      </c>
      <c r="F3327" s="211">
        <f>'IWP04'!I$505</f>
        <v>0</v>
      </c>
      <c r="G3327" s="191" t="str">
        <f>IF('IWP04'!J$505=0,"",'IWP04'!J$505)</f>
        <v/>
      </c>
      <c r="H3327" s="211">
        <f>'IWP04'!K$505</f>
        <v>0</v>
      </c>
      <c r="I3327" s="211">
        <f>'IWP04'!L$505</f>
        <v>0</v>
      </c>
      <c r="J3327" s="212">
        <f>'IWP04'!M$505</f>
        <v>0</v>
      </c>
      <c r="K3327" s="106"/>
      <c r="L3327" s="106"/>
      <c r="M3327" s="129"/>
    </row>
    <row r="3328" spans="1:13" s="146" customFormat="1">
      <c r="A3328" s="193" t="s">
        <v>502</v>
      </c>
      <c r="B3328" s="210">
        <v>10</v>
      </c>
      <c r="C3328" s="191" t="str">
        <f>IF('IWP04'!E$506=0,"",'IWP04'!E$506)</f>
        <v/>
      </c>
      <c r="D3328" s="211">
        <f>'IWP04'!G$506</f>
        <v>0</v>
      </c>
      <c r="E3328" s="211">
        <f>'IWP04'!H$506</f>
        <v>0</v>
      </c>
      <c r="F3328" s="211">
        <f>'IWP04'!I$506</f>
        <v>0</v>
      </c>
      <c r="G3328" s="191" t="str">
        <f>IF('IWP04'!J$506=0,"",'IWP04'!J$506)</f>
        <v/>
      </c>
      <c r="H3328" s="211">
        <f>'IWP04'!K$506</f>
        <v>0</v>
      </c>
      <c r="I3328" s="211">
        <f>'IWP04'!L$506</f>
        <v>0</v>
      </c>
      <c r="J3328" s="212">
        <f>'IWP04'!M$506</f>
        <v>0</v>
      </c>
      <c r="K3328" s="106"/>
      <c r="L3328" s="106"/>
      <c r="M3328" s="129"/>
    </row>
    <row r="3329" spans="1:13" s="146" customFormat="1">
      <c r="A3329" s="193" t="s">
        <v>502</v>
      </c>
      <c r="B3329" s="210">
        <v>10</v>
      </c>
      <c r="C3329" s="191" t="str">
        <f>IF('IWP04'!E$507=0,"",'IWP04'!E$507)</f>
        <v/>
      </c>
      <c r="D3329" s="211">
        <f>'IWP04'!G$507</f>
        <v>0</v>
      </c>
      <c r="E3329" s="211">
        <f>'IWP04'!H$507</f>
        <v>0</v>
      </c>
      <c r="F3329" s="211">
        <f>'IWP04'!I$507</f>
        <v>0</v>
      </c>
      <c r="G3329" s="191" t="str">
        <f>IF('IWP04'!J$507=0,"",'IWP04'!J$507)</f>
        <v/>
      </c>
      <c r="H3329" s="211">
        <f>'IWP04'!K$507</f>
        <v>0</v>
      </c>
      <c r="I3329" s="211">
        <f>'IWP04'!L$507</f>
        <v>0</v>
      </c>
      <c r="J3329" s="212">
        <f>'IWP04'!M$507</f>
        <v>0</v>
      </c>
      <c r="K3329" s="106"/>
      <c r="L3329" s="106"/>
      <c r="M3329" s="129"/>
    </row>
    <row r="3330" spans="1:13" s="146" customFormat="1">
      <c r="A3330" s="193" t="s">
        <v>502</v>
      </c>
      <c r="B3330" s="210">
        <v>10</v>
      </c>
      <c r="C3330" s="191" t="str">
        <f>IF('IWP04'!E$508=0,"",'IWP04'!E$508)</f>
        <v/>
      </c>
      <c r="D3330" s="211">
        <f>'IWP04'!G$508</f>
        <v>0</v>
      </c>
      <c r="E3330" s="211">
        <f>'IWP04'!H$508</f>
        <v>0</v>
      </c>
      <c r="F3330" s="211">
        <f>'IWP04'!I$508</f>
        <v>0</v>
      </c>
      <c r="G3330" s="191" t="str">
        <f>IF('IWP04'!J$508=0,"",'IWP04'!J$508)</f>
        <v/>
      </c>
      <c r="H3330" s="211">
        <f>'IWP04'!K$508</f>
        <v>0</v>
      </c>
      <c r="I3330" s="211">
        <f>'IWP04'!L$508</f>
        <v>0</v>
      </c>
      <c r="J3330" s="212">
        <f>'IWP04'!M$508</f>
        <v>0</v>
      </c>
      <c r="K3330" s="106"/>
      <c r="L3330" s="106"/>
      <c r="M3330" s="129"/>
    </row>
    <row r="3331" spans="1:13" s="146" customFormat="1">
      <c r="A3331" s="193" t="s">
        <v>502</v>
      </c>
      <c r="B3331" s="210">
        <v>11</v>
      </c>
      <c r="C3331" s="191" t="str">
        <f>IF('IWP04'!E$515=0,"",'IWP04'!E$515)</f>
        <v>Subtotal column D.</v>
      </c>
      <c r="D3331" s="211">
        <f>'IWP04'!G$515</f>
        <v>0</v>
      </c>
      <c r="E3331" s="211">
        <f>'IWP04'!H$515</f>
        <v>0</v>
      </c>
      <c r="F3331" s="211">
        <f>'IWP04'!I$515</f>
        <v>0</v>
      </c>
      <c r="G3331" s="191" t="str">
        <f>IF('IWP04'!J$515=0,"",'IWP04'!J$515)</f>
        <v/>
      </c>
      <c r="H3331" s="211">
        <f>'IWP04'!K$515</f>
        <v>0</v>
      </c>
      <c r="I3331" s="211">
        <f>'IWP04'!L$515</f>
        <v>0</v>
      </c>
      <c r="J3331" s="212">
        <f>'IWP04'!M$515</f>
        <v>0</v>
      </c>
      <c r="K3331" s="106"/>
      <c r="L3331" s="106"/>
      <c r="M3331" s="129"/>
    </row>
    <row r="3332" spans="1:13" s="146" customFormat="1">
      <c r="A3332" s="193" t="s">
        <v>502</v>
      </c>
      <c r="B3332" s="210">
        <v>11</v>
      </c>
      <c r="C3332" s="191" t="str">
        <f>IF('IWP04'!E$516=0,"",'IWP04'!E$516)</f>
        <v>Unverified/Undocumented (Subtotal D - C)</v>
      </c>
      <c r="D3332" s="211">
        <f>'IWP04'!G$516</f>
        <v>0</v>
      </c>
      <c r="E3332" s="211">
        <f>'IWP04'!H$516</f>
        <v>0</v>
      </c>
      <c r="F3332" s="211">
        <f>'IWP04'!I$516</f>
        <v>0</v>
      </c>
      <c r="G3332" s="191" t="str">
        <f>IF('IWP04'!J$516=0,"",'IWP04'!J$516)</f>
        <v/>
      </c>
      <c r="H3332" s="211">
        <f>'IWP04'!K$516</f>
        <v>0</v>
      </c>
      <c r="I3332" s="211">
        <f>'IWP04'!L$516</f>
        <v>0</v>
      </c>
      <c r="J3332" s="212">
        <f>'IWP04'!M$516</f>
        <v>0</v>
      </c>
      <c r="K3332" s="106"/>
      <c r="L3332" s="106"/>
      <c r="M3332" s="129"/>
    </row>
    <row r="3333" spans="1:13" s="146" customFormat="1">
      <c r="A3333" s="193" t="s">
        <v>502</v>
      </c>
      <c r="B3333" s="210">
        <v>11</v>
      </c>
      <c r="C3333" s="191" t="str">
        <f>IF('IWP04'!E$517=0,"",'IWP04'!E$517)</f>
        <v>J. Billing Period Total</v>
      </c>
      <c r="D3333" s="211">
        <f>'IWP04'!G$517</f>
        <v>0</v>
      </c>
      <c r="E3333" s="211">
        <f>'IWP04'!H$517</f>
        <v>0</v>
      </c>
      <c r="F3333" s="211">
        <f>'IWP04'!I$517</f>
        <v>0</v>
      </c>
      <c r="G3333" s="191" t="str">
        <f>IF('IWP04'!J$517=0,"",'IWP04'!J$517)</f>
        <v/>
      </c>
      <c r="H3333" s="211">
        <f>'IWP04'!K$517</f>
        <v>0</v>
      </c>
      <c r="I3333" s="211">
        <f>'IWP04'!L$517</f>
        <v>0</v>
      </c>
      <c r="J3333" s="212">
        <f>'IWP04'!M$517</f>
        <v>0</v>
      </c>
      <c r="K3333" s="106"/>
      <c r="L3333" s="106"/>
      <c r="M3333" s="129"/>
    </row>
    <row r="3334" spans="1:13" s="146" customFormat="1">
      <c r="A3334" s="193" t="s">
        <v>502</v>
      </c>
      <c r="B3334" s="210">
        <v>11</v>
      </c>
      <c r="C3334" s="191" t="str">
        <f>IF('IWP04'!E$518=0,"",'IWP04'!E$518)</f>
        <v>D.</v>
      </c>
      <c r="D3334" s="211">
        <f>'IWP04'!G$518</f>
        <v>0</v>
      </c>
      <c r="E3334" s="211" t="str">
        <f>'IWP04'!H$518</f>
        <v>E.</v>
      </c>
      <c r="F3334" s="211" t="str">
        <f>'IWP04'!I$518</f>
        <v>F.</v>
      </c>
      <c r="G3334" s="191" t="str">
        <f>IF('IWP04'!J$518=0,"",'IWP04'!J$518)</f>
        <v>G.</v>
      </c>
      <c r="H3334" s="211">
        <f>'IWP04'!K$518</f>
        <v>0</v>
      </c>
      <c r="I3334" s="211" t="str">
        <f>'IWP04'!L$518</f>
        <v>H.</v>
      </c>
      <c r="J3334" s="212" t="str">
        <f>'IWP04'!M$518</f>
        <v>I.</v>
      </c>
      <c r="K3334" s="106"/>
      <c r="L3334" s="106"/>
      <c r="M3334" s="129"/>
    </row>
    <row r="3335" spans="1:13" s="146" customFormat="1">
      <c r="A3335" s="193" t="s">
        <v>502</v>
      </c>
      <c r="B3335" s="210">
        <v>11</v>
      </c>
      <c r="C3335" s="191" t="str">
        <f>IF('IWP04'!E$519=0,"",'IWP04'!E$519)</f>
        <v xml:space="preserve">Items/Services Related to Billing Period </v>
      </c>
      <c r="D3335" s="211">
        <f>'IWP04'!G$519</f>
        <v>0</v>
      </c>
      <c r="E3335" s="211" t="str">
        <f>'IWP04'!H$519</f>
        <v xml:space="preserve">Item/
Service Verified Amounts
</v>
      </c>
      <c r="F3335" s="211" t="str">
        <f>'IWP04'!I$519</f>
        <v>Amount Due to DADS (E. - D.)</v>
      </c>
      <c r="G3335" s="191" t="str">
        <f>IF('IWP04'!J$519=0,"",'IWP04'!J$519)</f>
        <v>Amount Reimbursed to 
Employee(s)/Employer</v>
      </c>
      <c r="H3335" s="211">
        <f>'IWP04'!K$519</f>
        <v>0</v>
      </c>
      <c r="I3335" s="211" t="str">
        <f>'IWP04'!L$519</f>
        <v>Amount Due to Employee(s) (G. - E.)</v>
      </c>
      <c r="J3335" s="212" t="str">
        <f>'IWP04'!M$519</f>
        <v>Amount Due to Employer (G. - E.)</v>
      </c>
      <c r="K3335" s="106"/>
      <c r="L3335" s="106"/>
      <c r="M3335" s="129"/>
    </row>
    <row r="3336" spans="1:13" s="146" customFormat="1">
      <c r="A3336" s="193" t="s">
        <v>502</v>
      </c>
      <c r="B3336" s="210">
        <v>11</v>
      </c>
      <c r="C3336" s="191" t="str">
        <f>IF('IWP04'!E$520=0,"",'IWP04'!E$520)</f>
        <v>Item/Service</v>
      </c>
      <c r="D3336" s="211" t="str">
        <f>'IWP04'!G$520</f>
        <v>Itemized Amount Paid by DADS</v>
      </c>
      <c r="E3336" s="211">
        <f>'IWP04'!H$520</f>
        <v>0</v>
      </c>
      <c r="F3336" s="211">
        <f>'IWP04'!I$520</f>
        <v>0</v>
      </c>
      <c r="G3336" s="191" t="str">
        <f>IF('IWP04'!J$520=0,"",'IWP04'!J$520)</f>
        <v/>
      </c>
      <c r="H3336" s="211">
        <f>'IWP04'!K$520</f>
        <v>0</v>
      </c>
      <c r="I3336" s="211">
        <f>'IWP04'!L$520</f>
        <v>0</v>
      </c>
      <c r="J3336" s="212">
        <f>'IWP04'!M$520</f>
        <v>0</v>
      </c>
      <c r="K3336" s="106"/>
      <c r="L3336" s="106"/>
      <c r="M3336" s="129"/>
    </row>
    <row r="3337" spans="1:13" s="146" customFormat="1">
      <c r="A3337" s="193" t="s">
        <v>502</v>
      </c>
      <c r="B3337" s="210">
        <v>11</v>
      </c>
      <c r="C3337" s="191" t="str">
        <f>IF('IWP04'!E$521=0,"",'IWP04'!E$521)</f>
        <v/>
      </c>
      <c r="D3337" s="211">
        <f>'IWP04'!G$521</f>
        <v>0</v>
      </c>
      <c r="E3337" s="211">
        <f>'IWP04'!H$521</f>
        <v>0</v>
      </c>
      <c r="F3337" s="211">
        <f>'IWP04'!I$521</f>
        <v>0</v>
      </c>
      <c r="G3337" s="191" t="str">
        <f>IF('IWP04'!J$521=0,"",'IWP04'!J$521)</f>
        <v/>
      </c>
      <c r="H3337" s="211">
        <f>'IWP04'!K$521</f>
        <v>0</v>
      </c>
      <c r="I3337" s="211">
        <f>'IWP04'!L$521</f>
        <v>0</v>
      </c>
      <c r="J3337" s="212">
        <f>'IWP04'!M$521</f>
        <v>0</v>
      </c>
      <c r="K3337" s="106"/>
      <c r="L3337" s="106"/>
      <c r="M3337" s="129"/>
    </row>
    <row r="3338" spans="1:13" s="146" customFormat="1">
      <c r="A3338" s="193" t="s">
        <v>502</v>
      </c>
      <c r="B3338" s="210">
        <v>11</v>
      </c>
      <c r="C3338" s="191" t="str">
        <f>IF('IWP04'!E$522=0,"",'IWP04'!E$522)</f>
        <v/>
      </c>
      <c r="D3338" s="211">
        <f>'IWP04'!G$522</f>
        <v>0</v>
      </c>
      <c r="E3338" s="211">
        <f>'IWP04'!H$522</f>
        <v>0</v>
      </c>
      <c r="F3338" s="211">
        <f>'IWP04'!I$522</f>
        <v>0</v>
      </c>
      <c r="G3338" s="191" t="str">
        <f>IF('IWP04'!J$522=0,"",'IWP04'!J$522)</f>
        <v/>
      </c>
      <c r="H3338" s="211">
        <f>'IWP04'!K$522</f>
        <v>0</v>
      </c>
      <c r="I3338" s="211">
        <f>'IWP04'!L$522</f>
        <v>0</v>
      </c>
      <c r="J3338" s="212">
        <f>'IWP04'!M$522</f>
        <v>0</v>
      </c>
      <c r="K3338" s="106"/>
      <c r="L3338" s="106"/>
      <c r="M3338" s="129"/>
    </row>
    <row r="3339" spans="1:13" s="146" customFormat="1">
      <c r="A3339" s="193" t="s">
        <v>502</v>
      </c>
      <c r="B3339" s="210">
        <v>11</v>
      </c>
      <c r="C3339" s="191" t="str">
        <f>IF('IWP04'!E$523=0,"",'IWP04'!E$523)</f>
        <v/>
      </c>
      <c r="D3339" s="211">
        <f>'IWP04'!G$523</f>
        <v>0</v>
      </c>
      <c r="E3339" s="211">
        <f>'IWP04'!H$523</f>
        <v>0</v>
      </c>
      <c r="F3339" s="211">
        <f>'IWP04'!I$523</f>
        <v>0</v>
      </c>
      <c r="G3339" s="191" t="str">
        <f>IF('IWP04'!J$523=0,"",'IWP04'!J$523)</f>
        <v/>
      </c>
      <c r="H3339" s="211">
        <f>'IWP04'!K$523</f>
        <v>0</v>
      </c>
      <c r="I3339" s="211">
        <f>'IWP04'!L$523</f>
        <v>0</v>
      </c>
      <c r="J3339" s="212">
        <f>'IWP04'!M$523</f>
        <v>0</v>
      </c>
      <c r="K3339" s="106"/>
      <c r="L3339" s="106"/>
      <c r="M3339" s="129"/>
    </row>
    <row r="3340" spans="1:13" s="146" customFormat="1">
      <c r="A3340" s="193" t="s">
        <v>502</v>
      </c>
      <c r="B3340" s="210">
        <v>11</v>
      </c>
      <c r="C3340" s="191" t="str">
        <f>IF('IWP04'!E$524=0,"",'IWP04'!E$524)</f>
        <v/>
      </c>
      <c r="D3340" s="211">
        <f>'IWP04'!G$524</f>
        <v>0</v>
      </c>
      <c r="E3340" s="211">
        <f>'IWP04'!H$524</f>
        <v>0</v>
      </c>
      <c r="F3340" s="211">
        <f>'IWP04'!I$524</f>
        <v>0</v>
      </c>
      <c r="G3340" s="191" t="str">
        <f>IF('IWP04'!J$524=0,"",'IWP04'!J$524)</f>
        <v/>
      </c>
      <c r="H3340" s="211">
        <f>'IWP04'!K$524</f>
        <v>0</v>
      </c>
      <c r="I3340" s="211">
        <f>'IWP04'!L$524</f>
        <v>0</v>
      </c>
      <c r="J3340" s="212">
        <f>'IWP04'!M$524</f>
        <v>0</v>
      </c>
      <c r="K3340" s="106"/>
      <c r="L3340" s="106"/>
      <c r="M3340" s="129"/>
    </row>
    <row r="3341" spans="1:13" s="146" customFormat="1">
      <c r="A3341" s="193" t="s">
        <v>502</v>
      </c>
      <c r="B3341" s="210">
        <v>12</v>
      </c>
      <c r="C3341" s="191" t="str">
        <f>IF('IWP04'!E$531=0,"",'IWP04'!E$531)</f>
        <v>Subtotal column D.</v>
      </c>
      <c r="D3341" s="211">
        <f>'IWP04'!G$531</f>
        <v>0</v>
      </c>
      <c r="E3341" s="211">
        <f>'IWP04'!H$531</f>
        <v>0</v>
      </c>
      <c r="F3341" s="211">
        <f>'IWP04'!I$531</f>
        <v>0</v>
      </c>
      <c r="G3341" s="191" t="str">
        <f>IF('IWP04'!J$531=0,"",'IWP04'!J$531)</f>
        <v/>
      </c>
      <c r="H3341" s="211">
        <f>'IWP04'!K$531</f>
        <v>0</v>
      </c>
      <c r="I3341" s="211">
        <f>'IWP04'!L$531</f>
        <v>0</v>
      </c>
      <c r="J3341" s="212">
        <f>'IWP04'!M$531</f>
        <v>0</v>
      </c>
      <c r="K3341" s="106"/>
      <c r="L3341" s="106"/>
      <c r="M3341" s="129"/>
    </row>
    <row r="3342" spans="1:13" s="146" customFormat="1">
      <c r="A3342" s="193" t="s">
        <v>502</v>
      </c>
      <c r="B3342" s="210">
        <v>12</v>
      </c>
      <c r="C3342" s="191" t="str">
        <f>IF('IWP04'!E$532=0,"",'IWP04'!E$532)</f>
        <v>Unverified/Undocumented (Subtotal D - C)</v>
      </c>
      <c r="D3342" s="211">
        <f>'IWP04'!G$532</f>
        <v>0</v>
      </c>
      <c r="E3342" s="211">
        <f>'IWP04'!H$532</f>
        <v>0</v>
      </c>
      <c r="F3342" s="211">
        <f>'IWP04'!I$532</f>
        <v>0</v>
      </c>
      <c r="G3342" s="191" t="str">
        <f>IF('IWP04'!J$532=0,"",'IWP04'!J$532)</f>
        <v/>
      </c>
      <c r="H3342" s="211">
        <f>'IWP04'!K$532</f>
        <v>0</v>
      </c>
      <c r="I3342" s="211">
        <f>'IWP04'!L$532</f>
        <v>0</v>
      </c>
      <c r="J3342" s="212">
        <f>'IWP04'!M$532</f>
        <v>0</v>
      </c>
      <c r="K3342" s="106"/>
      <c r="L3342" s="106"/>
      <c r="M3342" s="129"/>
    </row>
    <row r="3343" spans="1:13" s="146" customFormat="1">
      <c r="A3343" s="193" t="s">
        <v>502</v>
      </c>
      <c r="B3343" s="210">
        <v>12</v>
      </c>
      <c r="C3343" s="191" t="str">
        <f>IF('IWP04'!E$533=0,"",'IWP04'!E$533)</f>
        <v>J. Billing Period Total</v>
      </c>
      <c r="D3343" s="211">
        <f>'IWP04'!G$533</f>
        <v>0</v>
      </c>
      <c r="E3343" s="211">
        <f>'IWP04'!H$533</f>
        <v>0</v>
      </c>
      <c r="F3343" s="211">
        <f>'IWP04'!I$533</f>
        <v>0</v>
      </c>
      <c r="G3343" s="191" t="str">
        <f>IF('IWP04'!J$533=0,"",'IWP04'!J$533)</f>
        <v/>
      </c>
      <c r="H3343" s="211">
        <f>'IWP04'!K$533</f>
        <v>0</v>
      </c>
      <c r="I3343" s="211">
        <f>'IWP04'!L$533</f>
        <v>0</v>
      </c>
      <c r="J3343" s="212">
        <f>'IWP04'!M$533</f>
        <v>0</v>
      </c>
      <c r="K3343" s="106"/>
      <c r="L3343" s="106"/>
      <c r="M3343" s="129"/>
    </row>
    <row r="3344" spans="1:13" s="146" customFormat="1">
      <c r="A3344" s="193" t="s">
        <v>502</v>
      </c>
      <c r="B3344" s="210">
        <v>12</v>
      </c>
      <c r="C3344" s="191" t="str">
        <f>IF('IWP04'!E$534=0,"",'IWP04'!E$534)</f>
        <v>D.</v>
      </c>
      <c r="D3344" s="211">
        <f>'IWP04'!G$534</f>
        <v>0</v>
      </c>
      <c r="E3344" s="211" t="str">
        <f>'IWP04'!H$534</f>
        <v>E.</v>
      </c>
      <c r="F3344" s="211" t="str">
        <f>'IWP04'!I$534</f>
        <v>F.</v>
      </c>
      <c r="G3344" s="191" t="str">
        <f>IF('IWP04'!J$534=0,"",'IWP04'!J$534)</f>
        <v>G.</v>
      </c>
      <c r="H3344" s="211">
        <f>'IWP04'!K$534</f>
        <v>0</v>
      </c>
      <c r="I3344" s="211" t="str">
        <f>'IWP04'!L$534</f>
        <v>H.</v>
      </c>
      <c r="J3344" s="212" t="str">
        <f>'IWP04'!M$534</f>
        <v>I.</v>
      </c>
      <c r="K3344" s="106"/>
      <c r="L3344" s="106"/>
      <c r="M3344" s="129"/>
    </row>
    <row r="3345" spans="1:13" s="146" customFormat="1">
      <c r="A3345" s="193" t="s">
        <v>502</v>
      </c>
      <c r="B3345" s="210">
        <v>12</v>
      </c>
      <c r="C3345" s="191" t="str">
        <f>IF('IWP04'!E$535=0,"",'IWP04'!E$535)</f>
        <v xml:space="preserve">Items/Services Related to Billing Period </v>
      </c>
      <c r="D3345" s="211">
        <f>'IWP04'!G$535</f>
        <v>0</v>
      </c>
      <c r="E3345" s="211" t="str">
        <f>'IWP04'!H$535</f>
        <v xml:space="preserve">Item/
Service Verified Amounts
</v>
      </c>
      <c r="F3345" s="211" t="str">
        <f>'IWP04'!I$535</f>
        <v>Amount Due to DADS (E. - D.)</v>
      </c>
      <c r="G3345" s="191" t="str">
        <f>IF('IWP04'!J$535=0,"",'IWP04'!J$535)</f>
        <v>Amount Reimbursed to 
Employee(s)/Employer</v>
      </c>
      <c r="H3345" s="211">
        <f>'IWP04'!K$535</f>
        <v>0</v>
      </c>
      <c r="I3345" s="211" t="str">
        <f>'IWP04'!L$535</f>
        <v>Amount Due to Employee(s) (G. - E.)</v>
      </c>
      <c r="J3345" s="212" t="str">
        <f>'IWP04'!M$535</f>
        <v>Amount Due to Employer (G. - E.)</v>
      </c>
      <c r="K3345" s="106"/>
      <c r="L3345" s="106"/>
      <c r="M3345" s="129"/>
    </row>
    <row r="3346" spans="1:13" s="146" customFormat="1">
      <c r="A3346" s="193" t="s">
        <v>502</v>
      </c>
      <c r="B3346" s="210">
        <v>12</v>
      </c>
      <c r="C3346" s="191" t="str">
        <f>IF('IWP04'!E$536=0,"",'IWP04'!E$536)</f>
        <v>Item/Service</v>
      </c>
      <c r="D3346" s="211" t="str">
        <f>'IWP04'!G$536</f>
        <v>Itemized Amount Paid by DADS</v>
      </c>
      <c r="E3346" s="211">
        <f>'IWP04'!H$536</f>
        <v>0</v>
      </c>
      <c r="F3346" s="211">
        <f>'IWP04'!I$536</f>
        <v>0</v>
      </c>
      <c r="G3346" s="191" t="str">
        <f>IF('IWP04'!J$536=0,"",'IWP04'!J$536)</f>
        <v/>
      </c>
      <c r="H3346" s="211">
        <f>'IWP04'!K$536</f>
        <v>0</v>
      </c>
      <c r="I3346" s="211">
        <f>'IWP04'!L$536</f>
        <v>0</v>
      </c>
      <c r="J3346" s="212">
        <f>'IWP04'!M$536</f>
        <v>0</v>
      </c>
      <c r="K3346" s="106"/>
      <c r="L3346" s="106"/>
      <c r="M3346" s="129"/>
    </row>
    <row r="3347" spans="1:13" s="146" customFormat="1">
      <c r="A3347" s="193" t="s">
        <v>502</v>
      </c>
      <c r="B3347" s="210">
        <v>12</v>
      </c>
      <c r="C3347" s="191" t="str">
        <f>IF('IWP04'!E$537=0,"",'IWP04'!E$537)</f>
        <v/>
      </c>
      <c r="D3347" s="211">
        <f>'IWP04'!G$537</f>
        <v>0</v>
      </c>
      <c r="E3347" s="211">
        <f>'IWP04'!H$537</f>
        <v>0</v>
      </c>
      <c r="F3347" s="211">
        <f>'IWP04'!I$537</f>
        <v>0</v>
      </c>
      <c r="G3347" s="191" t="str">
        <f>IF('IWP04'!J$537=0,"",'IWP04'!J$537)</f>
        <v/>
      </c>
      <c r="H3347" s="211">
        <f>'IWP04'!K$537</f>
        <v>0</v>
      </c>
      <c r="I3347" s="211">
        <f>'IWP04'!L$537</f>
        <v>0</v>
      </c>
      <c r="J3347" s="212">
        <f>'IWP04'!M$537</f>
        <v>0</v>
      </c>
      <c r="K3347" s="106"/>
      <c r="L3347" s="106"/>
      <c r="M3347" s="129"/>
    </row>
    <row r="3348" spans="1:13" s="146" customFormat="1">
      <c r="A3348" s="193" t="s">
        <v>502</v>
      </c>
      <c r="B3348" s="210">
        <v>12</v>
      </c>
      <c r="C3348" s="191" t="str">
        <f>IF('IWP04'!E$538=0,"",'IWP04'!E$538)</f>
        <v/>
      </c>
      <c r="D3348" s="211">
        <f>'IWP04'!G$538</f>
        <v>0</v>
      </c>
      <c r="E3348" s="211">
        <f>'IWP04'!H$538</f>
        <v>0</v>
      </c>
      <c r="F3348" s="211">
        <f>'IWP04'!I$538</f>
        <v>0</v>
      </c>
      <c r="G3348" s="191" t="str">
        <f>IF('IWP04'!J$538=0,"",'IWP04'!J$538)</f>
        <v/>
      </c>
      <c r="H3348" s="211">
        <f>'IWP04'!K$538</f>
        <v>0</v>
      </c>
      <c r="I3348" s="211">
        <f>'IWP04'!L$538</f>
        <v>0</v>
      </c>
      <c r="J3348" s="212">
        <f>'IWP04'!M$538</f>
        <v>0</v>
      </c>
      <c r="K3348" s="106"/>
      <c r="L3348" s="106"/>
      <c r="M3348" s="129"/>
    </row>
    <row r="3349" spans="1:13" s="146" customFormat="1">
      <c r="A3349" s="193" t="s">
        <v>502</v>
      </c>
      <c r="B3349" s="210">
        <v>12</v>
      </c>
      <c r="C3349" s="191" t="str">
        <f>IF('IWP04'!E$539=0,"",'IWP04'!E$539)</f>
        <v/>
      </c>
      <c r="D3349" s="211">
        <f>'IWP04'!G$539</f>
        <v>0</v>
      </c>
      <c r="E3349" s="211">
        <f>'IWP04'!H$539</f>
        <v>0</v>
      </c>
      <c r="F3349" s="211">
        <f>'IWP04'!I$539</f>
        <v>0</v>
      </c>
      <c r="G3349" s="191" t="str">
        <f>IF('IWP04'!J$539=0,"",'IWP04'!J$539)</f>
        <v/>
      </c>
      <c r="H3349" s="211">
        <f>'IWP04'!K$539</f>
        <v>0</v>
      </c>
      <c r="I3349" s="211">
        <f>'IWP04'!L$539</f>
        <v>0</v>
      </c>
      <c r="J3349" s="212">
        <f>'IWP04'!M$539</f>
        <v>0</v>
      </c>
      <c r="K3349" s="106"/>
      <c r="L3349" s="106"/>
      <c r="M3349" s="129"/>
    </row>
    <row r="3350" spans="1:13" s="146" customFormat="1">
      <c r="A3350" s="193" t="s">
        <v>502</v>
      </c>
      <c r="B3350" s="210">
        <v>12</v>
      </c>
      <c r="C3350" s="191" t="str">
        <f>IF('IWP04'!E$540=0,"",'IWP04'!E$540)</f>
        <v/>
      </c>
      <c r="D3350" s="211">
        <f>'IWP04'!G$540</f>
        <v>0</v>
      </c>
      <c r="E3350" s="211">
        <f>'IWP04'!H$540</f>
        <v>0</v>
      </c>
      <c r="F3350" s="211">
        <f>'IWP04'!I$540</f>
        <v>0</v>
      </c>
      <c r="G3350" s="191" t="str">
        <f>IF('IWP04'!J$540=0,"",'IWP04'!J$540)</f>
        <v/>
      </c>
      <c r="H3350" s="211">
        <f>'IWP04'!K$540</f>
        <v>0</v>
      </c>
      <c r="I3350" s="211">
        <f>'IWP04'!L$540</f>
        <v>0</v>
      </c>
      <c r="J3350" s="212">
        <f>'IWP04'!M$540</f>
        <v>0</v>
      </c>
      <c r="K3350" s="106"/>
      <c r="L3350" s="106"/>
      <c r="M3350" s="129"/>
    </row>
    <row r="3351" spans="1:13" s="146" customFormat="1">
      <c r="A3351" s="193" t="s">
        <v>502</v>
      </c>
      <c r="B3351" s="210">
        <v>13</v>
      </c>
      <c r="C3351" s="191" t="str">
        <f>IF('IWP04'!E$547=0,"",'IWP04'!E$547)</f>
        <v>Subtotal column D.</v>
      </c>
      <c r="D3351" s="211">
        <f>'IWP04'!G$547</f>
        <v>0</v>
      </c>
      <c r="E3351" s="211">
        <f>'IWP04'!H$547</f>
        <v>0</v>
      </c>
      <c r="F3351" s="211">
        <f>'IWP04'!I$547</f>
        <v>0</v>
      </c>
      <c r="G3351" s="191" t="str">
        <f>IF('IWP04'!J$547=0,"",'IWP04'!J$547)</f>
        <v/>
      </c>
      <c r="H3351" s="211">
        <f>'IWP04'!K$547</f>
        <v>0</v>
      </c>
      <c r="I3351" s="211">
        <f>'IWP04'!L$547</f>
        <v>0</v>
      </c>
      <c r="J3351" s="212">
        <f>'IWP04'!M$547</f>
        <v>0</v>
      </c>
      <c r="K3351" s="106"/>
      <c r="L3351" s="106"/>
      <c r="M3351" s="129"/>
    </row>
    <row r="3352" spans="1:13" s="146" customFormat="1">
      <c r="A3352" s="193" t="s">
        <v>502</v>
      </c>
      <c r="B3352" s="210">
        <v>13</v>
      </c>
      <c r="C3352" s="191" t="str">
        <f>IF('IWP04'!E$548=0,"",'IWP04'!E$548)</f>
        <v>Unverified/Undocumented (Subtotal D - C)</v>
      </c>
      <c r="D3352" s="211">
        <f>'IWP04'!G$548</f>
        <v>0</v>
      </c>
      <c r="E3352" s="211">
        <f>'IWP04'!H$548</f>
        <v>0</v>
      </c>
      <c r="F3352" s="211">
        <f>'IWP04'!I$548</f>
        <v>0</v>
      </c>
      <c r="G3352" s="191" t="str">
        <f>IF('IWP04'!J$548=0,"",'IWP04'!J$548)</f>
        <v/>
      </c>
      <c r="H3352" s="211">
        <f>'IWP04'!K$548</f>
        <v>0</v>
      </c>
      <c r="I3352" s="211">
        <f>'IWP04'!L$548</f>
        <v>0</v>
      </c>
      <c r="J3352" s="212">
        <f>'IWP04'!M$548</f>
        <v>0</v>
      </c>
      <c r="K3352" s="106"/>
      <c r="L3352" s="106"/>
      <c r="M3352" s="129"/>
    </row>
    <row r="3353" spans="1:13" s="146" customFormat="1">
      <c r="A3353" s="193" t="s">
        <v>502</v>
      </c>
      <c r="B3353" s="210">
        <v>13</v>
      </c>
      <c r="C3353" s="191" t="str">
        <f>IF('IWP04'!E$549=0,"",'IWP04'!E$549)</f>
        <v>J. Billing Period Total</v>
      </c>
      <c r="D3353" s="211">
        <f>'IWP04'!G$549</f>
        <v>0</v>
      </c>
      <c r="E3353" s="211">
        <f>'IWP04'!H$549</f>
        <v>0</v>
      </c>
      <c r="F3353" s="211">
        <f>'IWP04'!I$549</f>
        <v>0</v>
      </c>
      <c r="G3353" s="191" t="str">
        <f>IF('IWP04'!J$549=0,"",'IWP04'!J$549)</f>
        <v/>
      </c>
      <c r="H3353" s="211">
        <f>'IWP04'!K$549</f>
        <v>0</v>
      </c>
      <c r="I3353" s="211">
        <f>'IWP04'!L$549</f>
        <v>0</v>
      </c>
      <c r="J3353" s="212">
        <f>'IWP04'!M$549</f>
        <v>0</v>
      </c>
      <c r="K3353" s="106"/>
      <c r="L3353" s="106"/>
      <c r="M3353" s="129"/>
    </row>
    <row r="3354" spans="1:13" s="146" customFormat="1">
      <c r="A3354" s="193" t="s">
        <v>502</v>
      </c>
      <c r="B3354" s="210">
        <v>13</v>
      </c>
      <c r="C3354" s="191" t="str">
        <f>IF('IWP04'!E$550=0,"",'IWP04'!E$550)</f>
        <v>D.</v>
      </c>
      <c r="D3354" s="211">
        <f>'IWP04'!G$550</f>
        <v>0</v>
      </c>
      <c r="E3354" s="211" t="str">
        <f>'IWP04'!H$550</f>
        <v>E.</v>
      </c>
      <c r="F3354" s="211" t="str">
        <f>'IWP04'!I$550</f>
        <v>F.</v>
      </c>
      <c r="G3354" s="191" t="str">
        <f>IF('IWP04'!J$550=0,"",'IWP04'!J$550)</f>
        <v>G.</v>
      </c>
      <c r="H3354" s="211">
        <f>'IWP04'!K$550</f>
        <v>0</v>
      </c>
      <c r="I3354" s="211" t="str">
        <f>'IWP04'!L$550</f>
        <v>H.</v>
      </c>
      <c r="J3354" s="212" t="str">
        <f>'IWP04'!M$550</f>
        <v>I.</v>
      </c>
      <c r="K3354" s="106"/>
      <c r="L3354" s="106"/>
      <c r="M3354" s="129"/>
    </row>
    <row r="3355" spans="1:13" s="146" customFormat="1">
      <c r="A3355" s="193" t="s">
        <v>502</v>
      </c>
      <c r="B3355" s="210">
        <v>13</v>
      </c>
      <c r="C3355" s="191" t="str">
        <f>IF('IWP04'!E$551=0,"",'IWP04'!E$551)</f>
        <v xml:space="preserve">Items/Services Related to Billing Period </v>
      </c>
      <c r="D3355" s="211">
        <f>'IWP04'!G$551</f>
        <v>0</v>
      </c>
      <c r="E3355" s="211" t="str">
        <f>'IWP04'!H$551</f>
        <v xml:space="preserve">Item/
Service Verified Amounts
</v>
      </c>
      <c r="F3355" s="211" t="str">
        <f>'IWP04'!I$551</f>
        <v>Amount Due to DADS (E. - D.)</v>
      </c>
      <c r="G3355" s="191" t="str">
        <f>IF('IWP04'!J$551=0,"",'IWP04'!J$551)</f>
        <v>Amount Reimbursed to 
Employee(s)/Employer</v>
      </c>
      <c r="H3355" s="211">
        <f>'IWP04'!K$551</f>
        <v>0</v>
      </c>
      <c r="I3355" s="211" t="str">
        <f>'IWP04'!L$551</f>
        <v>Amount Due to Employee(s) (G. - E.)</v>
      </c>
      <c r="J3355" s="212" t="str">
        <f>'IWP04'!M$551</f>
        <v>Amount Due to Employer (G. - E.)</v>
      </c>
      <c r="K3355" s="106"/>
      <c r="L3355" s="106"/>
      <c r="M3355" s="129"/>
    </row>
    <row r="3356" spans="1:13" s="146" customFormat="1">
      <c r="A3356" s="193" t="s">
        <v>502</v>
      </c>
      <c r="B3356" s="210">
        <v>13</v>
      </c>
      <c r="C3356" s="191" t="str">
        <f>IF('IWP04'!E$552=0,"",'IWP04'!E$552)</f>
        <v>Item/Service</v>
      </c>
      <c r="D3356" s="211" t="str">
        <f>'IWP04'!G$552</f>
        <v>Itemized Amount Paid by DADS</v>
      </c>
      <c r="E3356" s="211">
        <f>'IWP04'!H$552</f>
        <v>0</v>
      </c>
      <c r="F3356" s="211">
        <f>'IWP04'!I$552</f>
        <v>0</v>
      </c>
      <c r="G3356" s="191" t="str">
        <f>IF('IWP04'!J$552=0,"",'IWP04'!J$552)</f>
        <v/>
      </c>
      <c r="H3356" s="211">
        <f>'IWP04'!K$552</f>
        <v>0</v>
      </c>
      <c r="I3356" s="211">
        <f>'IWP04'!L$552</f>
        <v>0</v>
      </c>
      <c r="J3356" s="212">
        <f>'IWP04'!M$552</f>
        <v>0</v>
      </c>
      <c r="K3356" s="106"/>
      <c r="L3356" s="106"/>
      <c r="M3356" s="129"/>
    </row>
    <row r="3357" spans="1:13" s="146" customFormat="1">
      <c r="A3357" s="193" t="s">
        <v>502</v>
      </c>
      <c r="B3357" s="210">
        <v>13</v>
      </c>
      <c r="C3357" s="191" t="str">
        <f>IF('IWP04'!E$553=0,"",'IWP04'!E$553)</f>
        <v/>
      </c>
      <c r="D3357" s="211">
        <f>'IWP04'!G$553</f>
        <v>0</v>
      </c>
      <c r="E3357" s="211">
        <f>'IWP04'!H$553</f>
        <v>0</v>
      </c>
      <c r="F3357" s="211">
        <f>'IWP04'!I$553</f>
        <v>0</v>
      </c>
      <c r="G3357" s="191" t="str">
        <f>IF('IWP04'!J$553=0,"",'IWP04'!J$553)</f>
        <v/>
      </c>
      <c r="H3357" s="211">
        <f>'IWP04'!K$553</f>
        <v>0</v>
      </c>
      <c r="I3357" s="211">
        <f>'IWP04'!L$553</f>
        <v>0</v>
      </c>
      <c r="J3357" s="212">
        <f>'IWP04'!M$553</f>
        <v>0</v>
      </c>
      <c r="K3357" s="106"/>
      <c r="L3357" s="106"/>
      <c r="M3357" s="129"/>
    </row>
    <row r="3358" spans="1:13" s="146" customFormat="1">
      <c r="A3358" s="193" t="s">
        <v>502</v>
      </c>
      <c r="B3358" s="210">
        <v>13</v>
      </c>
      <c r="C3358" s="191" t="str">
        <f>IF('IWP04'!E$554=0,"",'IWP04'!E$554)</f>
        <v/>
      </c>
      <c r="D3358" s="211">
        <f>'IWP04'!G$554</f>
        <v>0</v>
      </c>
      <c r="E3358" s="211">
        <f>'IWP04'!H$554</f>
        <v>0</v>
      </c>
      <c r="F3358" s="211">
        <f>'IWP04'!I$554</f>
        <v>0</v>
      </c>
      <c r="G3358" s="191" t="str">
        <f>IF('IWP04'!J$554=0,"",'IWP04'!J$554)</f>
        <v/>
      </c>
      <c r="H3358" s="211">
        <f>'IWP04'!K$554</f>
        <v>0</v>
      </c>
      <c r="I3358" s="211">
        <f>'IWP04'!L$554</f>
        <v>0</v>
      </c>
      <c r="J3358" s="212">
        <f>'IWP04'!M$554</f>
        <v>0</v>
      </c>
      <c r="K3358" s="106"/>
      <c r="L3358" s="106"/>
      <c r="M3358" s="129"/>
    </row>
    <row r="3359" spans="1:13" s="146" customFormat="1">
      <c r="A3359" s="193" t="s">
        <v>502</v>
      </c>
      <c r="B3359" s="210">
        <v>13</v>
      </c>
      <c r="C3359" s="191" t="str">
        <f>IF('IWP04'!E$555=0,"",'IWP04'!E$555)</f>
        <v/>
      </c>
      <c r="D3359" s="211">
        <f>'IWP04'!G$555</f>
        <v>0</v>
      </c>
      <c r="E3359" s="211">
        <f>'IWP04'!H$555</f>
        <v>0</v>
      </c>
      <c r="F3359" s="211">
        <f>'IWP04'!I$555</f>
        <v>0</v>
      </c>
      <c r="G3359" s="191" t="str">
        <f>IF('IWP04'!J$555=0,"",'IWP04'!J$555)</f>
        <v/>
      </c>
      <c r="H3359" s="211">
        <f>'IWP04'!K$555</f>
        <v>0</v>
      </c>
      <c r="I3359" s="211">
        <f>'IWP04'!L$555</f>
        <v>0</v>
      </c>
      <c r="J3359" s="212">
        <f>'IWP04'!M$555</f>
        <v>0</v>
      </c>
      <c r="K3359" s="106"/>
      <c r="L3359" s="106"/>
      <c r="M3359" s="129"/>
    </row>
    <row r="3360" spans="1:13" s="146" customFormat="1">
      <c r="A3360" s="193" t="s">
        <v>502</v>
      </c>
      <c r="B3360" s="210">
        <v>13</v>
      </c>
      <c r="C3360" s="191" t="str">
        <f>IF('IWP04'!E$556=0,"",'IWP04'!E$556)</f>
        <v/>
      </c>
      <c r="D3360" s="211">
        <f>'IWP04'!G$556</f>
        <v>0</v>
      </c>
      <c r="E3360" s="211">
        <f>'IWP04'!H$556</f>
        <v>0</v>
      </c>
      <c r="F3360" s="211">
        <f>'IWP04'!I$556</f>
        <v>0</v>
      </c>
      <c r="G3360" s="191" t="str">
        <f>IF('IWP04'!J$556=0,"",'IWP04'!J$556)</f>
        <v/>
      </c>
      <c r="H3360" s="211">
        <f>'IWP04'!K$556</f>
        <v>0</v>
      </c>
      <c r="I3360" s="211">
        <f>'IWP04'!L$556</f>
        <v>0</v>
      </c>
      <c r="J3360" s="212">
        <f>'IWP04'!M$556</f>
        <v>0</v>
      </c>
      <c r="K3360" s="106"/>
      <c r="L3360" s="106"/>
      <c r="M3360" s="129"/>
    </row>
    <row r="3361" spans="1:13" s="146" customFormat="1">
      <c r="A3361" s="193" t="s">
        <v>502</v>
      </c>
      <c r="B3361" s="210">
        <v>14</v>
      </c>
      <c r="C3361" s="191" t="str">
        <f>IF('IWP04'!E$563=0,"",'IWP04'!E$563)</f>
        <v>Subtotal column D.</v>
      </c>
      <c r="D3361" s="211">
        <f>'IWP04'!G$563</f>
        <v>0</v>
      </c>
      <c r="E3361" s="211">
        <f>'IWP04'!H$563</f>
        <v>0</v>
      </c>
      <c r="F3361" s="211">
        <f>'IWP04'!I$563</f>
        <v>0</v>
      </c>
      <c r="G3361" s="191" t="str">
        <f>IF('IWP04'!J$563=0,"",'IWP04'!J$563)</f>
        <v/>
      </c>
      <c r="H3361" s="211">
        <f>'IWP04'!K$563</f>
        <v>0</v>
      </c>
      <c r="I3361" s="211">
        <f>'IWP04'!L$563</f>
        <v>0</v>
      </c>
      <c r="J3361" s="212">
        <f>'IWP04'!M$563</f>
        <v>0</v>
      </c>
      <c r="K3361" s="106"/>
      <c r="L3361" s="106"/>
      <c r="M3361" s="129"/>
    </row>
    <row r="3362" spans="1:13" s="146" customFormat="1">
      <c r="A3362" s="193" t="s">
        <v>502</v>
      </c>
      <c r="B3362" s="210">
        <v>14</v>
      </c>
      <c r="C3362" s="191" t="str">
        <f>IF('IWP04'!E$564=0,"",'IWP04'!E$564)</f>
        <v>Unverified/Undocumented (Subtotal D - C)</v>
      </c>
      <c r="D3362" s="211">
        <f>'IWP04'!G$564</f>
        <v>0</v>
      </c>
      <c r="E3362" s="211">
        <f>'IWP04'!H$564</f>
        <v>0</v>
      </c>
      <c r="F3362" s="211">
        <f>'IWP04'!I$564</f>
        <v>0</v>
      </c>
      <c r="G3362" s="191" t="str">
        <f>IF('IWP04'!J$564=0,"",'IWP04'!J$564)</f>
        <v/>
      </c>
      <c r="H3362" s="211">
        <f>'IWP04'!K$564</f>
        <v>0</v>
      </c>
      <c r="I3362" s="211">
        <f>'IWP04'!L$564</f>
        <v>0</v>
      </c>
      <c r="J3362" s="212">
        <f>'IWP04'!M$564</f>
        <v>0</v>
      </c>
      <c r="K3362" s="106"/>
      <c r="L3362" s="106"/>
      <c r="M3362" s="129"/>
    </row>
    <row r="3363" spans="1:13" s="146" customFormat="1">
      <c r="A3363" s="193" t="s">
        <v>502</v>
      </c>
      <c r="B3363" s="210">
        <v>14</v>
      </c>
      <c r="C3363" s="191" t="str">
        <f>IF('IWP04'!E$565=0,"",'IWP04'!E$565)</f>
        <v>J. Billing Period Total</v>
      </c>
      <c r="D3363" s="211">
        <f>'IWP04'!G$565</f>
        <v>0</v>
      </c>
      <c r="E3363" s="211">
        <f>'IWP04'!H$565</f>
        <v>0</v>
      </c>
      <c r="F3363" s="211">
        <f>'IWP04'!I$565</f>
        <v>0</v>
      </c>
      <c r="G3363" s="191" t="str">
        <f>IF('IWP04'!J$565=0,"",'IWP04'!J$565)</f>
        <v/>
      </c>
      <c r="H3363" s="211">
        <f>'IWP04'!K$565</f>
        <v>0</v>
      </c>
      <c r="I3363" s="211">
        <f>'IWP04'!L$565</f>
        <v>0</v>
      </c>
      <c r="J3363" s="212">
        <f>'IWP04'!M$565</f>
        <v>0</v>
      </c>
      <c r="K3363" s="106"/>
      <c r="L3363" s="106"/>
      <c r="M3363" s="129"/>
    </row>
    <row r="3364" spans="1:13" s="146" customFormat="1">
      <c r="A3364" s="193" t="s">
        <v>502</v>
      </c>
      <c r="B3364" s="210">
        <v>14</v>
      </c>
      <c r="C3364" s="191" t="str">
        <f>IF('IWP04'!E$566=0,"",'IWP04'!E$566)</f>
        <v>D.</v>
      </c>
      <c r="D3364" s="211">
        <f>'IWP04'!G$566</f>
        <v>0</v>
      </c>
      <c r="E3364" s="211" t="str">
        <f>'IWP04'!H$566</f>
        <v>E.</v>
      </c>
      <c r="F3364" s="211" t="str">
        <f>'IWP04'!I$566</f>
        <v>F.</v>
      </c>
      <c r="G3364" s="191" t="str">
        <f>IF('IWP04'!J$566=0,"",'IWP04'!J$566)</f>
        <v>G.</v>
      </c>
      <c r="H3364" s="211">
        <f>'IWP04'!K$566</f>
        <v>0</v>
      </c>
      <c r="I3364" s="211" t="str">
        <f>'IWP04'!L$566</f>
        <v>H.</v>
      </c>
      <c r="J3364" s="212" t="str">
        <f>'IWP04'!M$566</f>
        <v>I.</v>
      </c>
      <c r="K3364" s="106"/>
      <c r="L3364" s="106"/>
      <c r="M3364" s="129"/>
    </row>
    <row r="3365" spans="1:13" s="146" customFormat="1">
      <c r="A3365" s="193" t="s">
        <v>502</v>
      </c>
      <c r="B3365" s="210">
        <v>14</v>
      </c>
      <c r="C3365" s="191" t="str">
        <f>IF('IWP04'!E$567=0,"",'IWP04'!E$567)</f>
        <v xml:space="preserve">Items/Services Related to Billing Period </v>
      </c>
      <c r="D3365" s="211">
        <f>'IWP04'!G$567</f>
        <v>0</v>
      </c>
      <c r="E3365" s="211" t="str">
        <f>'IWP04'!H$567</f>
        <v xml:space="preserve">Item/
Service Verified Amounts
</v>
      </c>
      <c r="F3365" s="211" t="str">
        <f>'IWP04'!I$567</f>
        <v>Amount Due to DADS (E. - D.)</v>
      </c>
      <c r="G3365" s="191" t="str">
        <f>IF('IWP04'!J$567=0,"",'IWP04'!J$567)</f>
        <v>Amount Reimbursed to 
Employee(s)/Employer</v>
      </c>
      <c r="H3365" s="211">
        <f>'IWP04'!K$567</f>
        <v>0</v>
      </c>
      <c r="I3365" s="211" t="str">
        <f>'IWP04'!L$567</f>
        <v>Amount Due to Employee(s) (G. - E.)</v>
      </c>
      <c r="J3365" s="212" t="str">
        <f>'IWP04'!M$567</f>
        <v>Amount Due to Employer (G. - E.)</v>
      </c>
      <c r="K3365" s="106"/>
      <c r="L3365" s="106"/>
      <c r="M3365" s="129"/>
    </row>
    <row r="3366" spans="1:13" s="146" customFormat="1">
      <c r="A3366" s="193" t="s">
        <v>502</v>
      </c>
      <c r="B3366" s="210">
        <v>14</v>
      </c>
      <c r="C3366" s="191" t="str">
        <f>IF('IWP04'!E$568=0,"",'IWP04'!E$568)</f>
        <v>Item/Service</v>
      </c>
      <c r="D3366" s="211" t="str">
        <f>'IWP04'!G$568</f>
        <v>Itemized Amount Paid by DADS</v>
      </c>
      <c r="E3366" s="211">
        <f>'IWP04'!H$568</f>
        <v>0</v>
      </c>
      <c r="F3366" s="211">
        <f>'IWP04'!I$568</f>
        <v>0</v>
      </c>
      <c r="G3366" s="191" t="str">
        <f>IF('IWP04'!J$568=0,"",'IWP04'!J$568)</f>
        <v/>
      </c>
      <c r="H3366" s="211">
        <f>'IWP04'!K$568</f>
        <v>0</v>
      </c>
      <c r="I3366" s="211">
        <f>'IWP04'!L$568</f>
        <v>0</v>
      </c>
      <c r="J3366" s="212">
        <f>'IWP04'!M$568</f>
        <v>0</v>
      </c>
      <c r="K3366" s="106"/>
      <c r="L3366" s="106"/>
      <c r="M3366" s="129"/>
    </row>
    <row r="3367" spans="1:13" s="146" customFormat="1">
      <c r="A3367" s="193" t="s">
        <v>502</v>
      </c>
      <c r="B3367" s="210">
        <v>14</v>
      </c>
      <c r="C3367" s="191" t="str">
        <f>IF('IWP04'!E$569=0,"",'IWP04'!E$569)</f>
        <v/>
      </c>
      <c r="D3367" s="211">
        <f>'IWP04'!G$569</f>
        <v>0</v>
      </c>
      <c r="E3367" s="211">
        <f>'IWP04'!H$569</f>
        <v>0</v>
      </c>
      <c r="F3367" s="211">
        <f>'IWP04'!I$569</f>
        <v>0</v>
      </c>
      <c r="G3367" s="191" t="str">
        <f>IF('IWP04'!J$569=0,"",'IWP04'!J$569)</f>
        <v/>
      </c>
      <c r="H3367" s="211">
        <f>'IWP04'!K$569</f>
        <v>0</v>
      </c>
      <c r="I3367" s="211">
        <f>'IWP04'!L$569</f>
        <v>0</v>
      </c>
      <c r="J3367" s="212">
        <f>'IWP04'!M$569</f>
        <v>0</v>
      </c>
      <c r="K3367" s="106"/>
      <c r="L3367" s="106"/>
      <c r="M3367" s="129"/>
    </row>
    <row r="3368" spans="1:13" s="146" customFormat="1">
      <c r="A3368" s="193" t="s">
        <v>502</v>
      </c>
      <c r="B3368" s="210">
        <v>14</v>
      </c>
      <c r="C3368" s="191" t="str">
        <f>IF('IWP04'!E$570=0,"",'IWP04'!E$570)</f>
        <v/>
      </c>
      <c r="D3368" s="211">
        <f>'IWP04'!G$570</f>
        <v>0</v>
      </c>
      <c r="E3368" s="211">
        <f>'IWP04'!H$570</f>
        <v>0</v>
      </c>
      <c r="F3368" s="211">
        <f>'IWP04'!I$570</f>
        <v>0</v>
      </c>
      <c r="G3368" s="191" t="str">
        <f>IF('IWP04'!J$570=0,"",'IWP04'!J$570)</f>
        <v/>
      </c>
      <c r="H3368" s="211">
        <f>'IWP04'!K$570</f>
        <v>0</v>
      </c>
      <c r="I3368" s="211">
        <f>'IWP04'!L$570</f>
        <v>0</v>
      </c>
      <c r="J3368" s="212">
        <f>'IWP04'!M$570</f>
        <v>0</v>
      </c>
      <c r="K3368" s="106"/>
      <c r="L3368" s="106"/>
      <c r="M3368" s="129"/>
    </row>
    <row r="3369" spans="1:13" s="146" customFormat="1">
      <c r="A3369" s="193" t="s">
        <v>502</v>
      </c>
      <c r="B3369" s="210">
        <v>14</v>
      </c>
      <c r="C3369" s="191" t="str">
        <f>IF('IWP04'!E$571=0,"",'IWP04'!E$571)</f>
        <v/>
      </c>
      <c r="D3369" s="211">
        <f>'IWP04'!G$571</f>
        <v>0</v>
      </c>
      <c r="E3369" s="211">
        <f>'IWP04'!H$571</f>
        <v>0</v>
      </c>
      <c r="F3369" s="211">
        <f>'IWP04'!I$571</f>
        <v>0</v>
      </c>
      <c r="G3369" s="191" t="str">
        <f>IF('IWP04'!J$571=0,"",'IWP04'!J$571)</f>
        <v/>
      </c>
      <c r="H3369" s="211">
        <f>'IWP04'!K$571</f>
        <v>0</v>
      </c>
      <c r="I3369" s="211">
        <f>'IWP04'!L$571</f>
        <v>0</v>
      </c>
      <c r="J3369" s="212">
        <f>'IWP04'!M$571</f>
        <v>0</v>
      </c>
      <c r="K3369" s="106"/>
      <c r="L3369" s="106"/>
      <c r="M3369" s="129"/>
    </row>
    <row r="3370" spans="1:13" s="146" customFormat="1">
      <c r="A3370" s="193" t="s">
        <v>502</v>
      </c>
      <c r="B3370" s="210">
        <v>14</v>
      </c>
      <c r="C3370" s="191" t="str">
        <f>IF('IWP04'!E$572=0,"",'IWP04'!E$572)</f>
        <v/>
      </c>
      <c r="D3370" s="211">
        <f>'IWP04'!G$572</f>
        <v>0</v>
      </c>
      <c r="E3370" s="211">
        <f>'IWP04'!H$572</f>
        <v>0</v>
      </c>
      <c r="F3370" s="211">
        <f>'IWP04'!I$572</f>
        <v>0</v>
      </c>
      <c r="G3370" s="191" t="str">
        <f>IF('IWP04'!J$572=0,"",'IWP04'!J$572)</f>
        <v/>
      </c>
      <c r="H3370" s="211">
        <f>'IWP04'!K$572</f>
        <v>0</v>
      </c>
      <c r="I3370" s="211">
        <f>'IWP04'!L$572</f>
        <v>0</v>
      </c>
      <c r="J3370" s="212">
        <f>'IWP04'!M$572</f>
        <v>0</v>
      </c>
      <c r="K3370" s="106"/>
      <c r="L3370" s="106"/>
      <c r="M3370" s="129"/>
    </row>
    <row r="3371" spans="1:13" s="146" customFormat="1">
      <c r="A3371" s="193" t="s">
        <v>502</v>
      </c>
      <c r="B3371" s="210">
        <v>15</v>
      </c>
      <c r="C3371" s="191" t="str">
        <f>IF('IWP04'!E$579=0,"",'IWP04'!E$579)</f>
        <v>Subtotal column D.</v>
      </c>
      <c r="D3371" s="211">
        <f>'IWP04'!G$579</f>
        <v>0</v>
      </c>
      <c r="E3371" s="211">
        <f>'IWP04'!H$579</f>
        <v>0</v>
      </c>
      <c r="F3371" s="211">
        <f>'IWP04'!I$579</f>
        <v>0</v>
      </c>
      <c r="G3371" s="191" t="str">
        <f>IF('IWP04'!J$579=0,"",'IWP04'!J$579)</f>
        <v/>
      </c>
      <c r="H3371" s="211">
        <f>'IWP04'!K$579</f>
        <v>0</v>
      </c>
      <c r="I3371" s="211">
        <f>'IWP04'!L$579</f>
        <v>0</v>
      </c>
      <c r="J3371" s="212">
        <f>'IWP04'!M$579</f>
        <v>0</v>
      </c>
      <c r="K3371" s="106"/>
      <c r="L3371" s="106"/>
      <c r="M3371" s="129"/>
    </row>
    <row r="3372" spans="1:13" s="146" customFormat="1">
      <c r="A3372" s="193" t="s">
        <v>502</v>
      </c>
      <c r="B3372" s="210">
        <v>15</v>
      </c>
      <c r="C3372" s="191" t="str">
        <f>IF('IWP04'!E$580=0,"",'IWP04'!E$580)</f>
        <v>Unverified/Undocumented (Subtotal D - C)</v>
      </c>
      <c r="D3372" s="211">
        <f>'IWP04'!G$580</f>
        <v>0</v>
      </c>
      <c r="E3372" s="211">
        <f>'IWP04'!H$580</f>
        <v>0</v>
      </c>
      <c r="F3372" s="211">
        <f>'IWP04'!I$580</f>
        <v>0</v>
      </c>
      <c r="G3372" s="191" t="str">
        <f>IF('IWP04'!J$580=0,"",'IWP04'!J$580)</f>
        <v/>
      </c>
      <c r="H3372" s="211">
        <f>'IWP04'!K$580</f>
        <v>0</v>
      </c>
      <c r="I3372" s="211">
        <f>'IWP04'!L$580</f>
        <v>0</v>
      </c>
      <c r="J3372" s="212">
        <f>'IWP04'!M$580</f>
        <v>0</v>
      </c>
      <c r="K3372" s="106"/>
      <c r="L3372" s="106"/>
      <c r="M3372" s="129"/>
    </row>
    <row r="3373" spans="1:13" s="146" customFormat="1">
      <c r="A3373" s="193" t="s">
        <v>502</v>
      </c>
      <c r="B3373" s="210">
        <v>15</v>
      </c>
      <c r="C3373" s="191" t="str">
        <f>IF('IWP04'!E$581=0,"",'IWP04'!E$581)</f>
        <v>J. Billing Period Total</v>
      </c>
      <c r="D3373" s="211">
        <f>'IWP04'!G$581</f>
        <v>0</v>
      </c>
      <c r="E3373" s="211">
        <f>'IWP04'!H$581</f>
        <v>0</v>
      </c>
      <c r="F3373" s="211">
        <f>'IWP04'!I$581</f>
        <v>0</v>
      </c>
      <c r="G3373" s="191" t="str">
        <f>IF('IWP04'!J$581=0,"",'IWP04'!J$581)</f>
        <v/>
      </c>
      <c r="H3373" s="211">
        <f>'IWP04'!K$581</f>
        <v>0</v>
      </c>
      <c r="I3373" s="211">
        <f>'IWP04'!L$581</f>
        <v>0</v>
      </c>
      <c r="J3373" s="212">
        <f>'IWP04'!M$581</f>
        <v>0</v>
      </c>
      <c r="K3373" s="106"/>
      <c r="L3373" s="106"/>
      <c r="M3373" s="129"/>
    </row>
    <row r="3374" spans="1:13" s="146" customFormat="1">
      <c r="A3374" s="193" t="s">
        <v>502</v>
      </c>
      <c r="B3374" s="210">
        <v>15</v>
      </c>
      <c r="C3374" s="191" t="str">
        <f>IF('IWP04'!E$582=0,"",'IWP04'!E$582)</f>
        <v>D.</v>
      </c>
      <c r="D3374" s="211">
        <f>'IWP04'!G$582</f>
        <v>0</v>
      </c>
      <c r="E3374" s="211" t="str">
        <f>'IWP04'!H$582</f>
        <v>E.</v>
      </c>
      <c r="F3374" s="211" t="str">
        <f>'IWP04'!I$582</f>
        <v>F.</v>
      </c>
      <c r="G3374" s="191" t="str">
        <f>IF('IWP04'!J$582=0,"",'IWP04'!J$582)</f>
        <v>G.</v>
      </c>
      <c r="H3374" s="211">
        <f>'IWP04'!K$582</f>
        <v>0</v>
      </c>
      <c r="I3374" s="211" t="str">
        <f>'IWP04'!L$582</f>
        <v>H.</v>
      </c>
      <c r="J3374" s="212" t="str">
        <f>'IWP04'!M$582</f>
        <v>I.</v>
      </c>
      <c r="K3374" s="106"/>
      <c r="L3374" s="106"/>
      <c r="M3374" s="129"/>
    </row>
    <row r="3375" spans="1:13" s="146" customFormat="1">
      <c r="A3375" s="193" t="s">
        <v>502</v>
      </c>
      <c r="B3375" s="210">
        <v>15</v>
      </c>
      <c r="C3375" s="191" t="str">
        <f>IF('IWP04'!E$583=0,"",'IWP04'!E$583)</f>
        <v xml:space="preserve">Items/Services Related to Billing Period </v>
      </c>
      <c r="D3375" s="211">
        <f>'IWP04'!G$583</f>
        <v>0</v>
      </c>
      <c r="E3375" s="211" t="str">
        <f>'IWP04'!H$583</f>
        <v xml:space="preserve">Item/
Service Verified Amounts
</v>
      </c>
      <c r="F3375" s="211" t="str">
        <f>'IWP04'!I$583</f>
        <v>Amount Due to DADS (E. - D.)</v>
      </c>
      <c r="G3375" s="191" t="str">
        <f>IF('IWP04'!J$583=0,"",'IWP04'!J$583)</f>
        <v>Amount Reimbursed to 
Employee(s)/Employer</v>
      </c>
      <c r="H3375" s="211">
        <f>'IWP04'!K$583</f>
        <v>0</v>
      </c>
      <c r="I3375" s="211" t="str">
        <f>'IWP04'!L$583</f>
        <v>Amount Due to Employee(s) (G. - E.)</v>
      </c>
      <c r="J3375" s="212" t="str">
        <f>'IWP04'!M$583</f>
        <v>Amount Due to Employer (G. - E.)</v>
      </c>
      <c r="K3375" s="106"/>
      <c r="L3375" s="106"/>
      <c r="M3375" s="129"/>
    </row>
    <row r="3376" spans="1:13" s="146" customFormat="1">
      <c r="A3376" s="193" t="s">
        <v>502</v>
      </c>
      <c r="B3376" s="210">
        <v>15</v>
      </c>
      <c r="C3376" s="191" t="str">
        <f>IF('IWP04'!E$584=0,"",'IWP04'!E$584)</f>
        <v>Item/Service</v>
      </c>
      <c r="D3376" s="211" t="str">
        <f>'IWP04'!G$584</f>
        <v>Itemized Amount Paid by DADS</v>
      </c>
      <c r="E3376" s="211">
        <f>'IWP04'!H$584</f>
        <v>0</v>
      </c>
      <c r="F3376" s="211">
        <f>'IWP04'!I$584</f>
        <v>0</v>
      </c>
      <c r="G3376" s="191" t="str">
        <f>IF('IWP04'!J$584=0,"",'IWP04'!J$584)</f>
        <v/>
      </c>
      <c r="H3376" s="211">
        <f>'IWP04'!K$584</f>
        <v>0</v>
      </c>
      <c r="I3376" s="211">
        <f>'IWP04'!L$584</f>
        <v>0</v>
      </c>
      <c r="J3376" s="212">
        <f>'IWP04'!M$584</f>
        <v>0</v>
      </c>
      <c r="K3376" s="106"/>
      <c r="L3376" s="106"/>
      <c r="M3376" s="129"/>
    </row>
    <row r="3377" spans="1:13" s="146" customFormat="1">
      <c r="A3377" s="193" t="s">
        <v>502</v>
      </c>
      <c r="B3377" s="210">
        <v>15</v>
      </c>
      <c r="C3377" s="191" t="str">
        <f>IF('IWP04'!E$585=0,"",'IWP04'!E$585)</f>
        <v/>
      </c>
      <c r="D3377" s="211">
        <f>'IWP04'!G$585</f>
        <v>0</v>
      </c>
      <c r="E3377" s="211">
        <f>'IWP04'!H$585</f>
        <v>0</v>
      </c>
      <c r="F3377" s="211">
        <f>'IWP04'!I$585</f>
        <v>0</v>
      </c>
      <c r="G3377" s="191" t="str">
        <f>IF('IWP04'!J$585=0,"",'IWP04'!J$585)</f>
        <v/>
      </c>
      <c r="H3377" s="211">
        <f>'IWP04'!K$585</f>
        <v>0</v>
      </c>
      <c r="I3377" s="211">
        <f>'IWP04'!L$585</f>
        <v>0</v>
      </c>
      <c r="J3377" s="212">
        <f>'IWP04'!M$585</f>
        <v>0</v>
      </c>
      <c r="K3377" s="106"/>
      <c r="L3377" s="106"/>
      <c r="M3377" s="129"/>
    </row>
    <row r="3378" spans="1:13" s="146" customFormat="1">
      <c r="A3378" s="193" t="s">
        <v>502</v>
      </c>
      <c r="B3378" s="210">
        <v>15</v>
      </c>
      <c r="C3378" s="191" t="str">
        <f>IF('IWP04'!E$586=0,"",'IWP04'!E$586)</f>
        <v/>
      </c>
      <c r="D3378" s="211">
        <f>'IWP04'!G$586</f>
        <v>0</v>
      </c>
      <c r="E3378" s="211">
        <f>'IWP04'!H$586</f>
        <v>0</v>
      </c>
      <c r="F3378" s="211">
        <f>'IWP04'!I$586</f>
        <v>0</v>
      </c>
      <c r="G3378" s="191" t="str">
        <f>IF('IWP04'!J$586=0,"",'IWP04'!J$586)</f>
        <v/>
      </c>
      <c r="H3378" s="211">
        <f>'IWP04'!K$586</f>
        <v>0</v>
      </c>
      <c r="I3378" s="211">
        <f>'IWP04'!L$586</f>
        <v>0</v>
      </c>
      <c r="J3378" s="212">
        <f>'IWP04'!M$586</f>
        <v>0</v>
      </c>
      <c r="K3378" s="106"/>
      <c r="L3378" s="106"/>
      <c r="M3378" s="129"/>
    </row>
    <row r="3379" spans="1:13" s="146" customFormat="1">
      <c r="A3379" s="193" t="s">
        <v>502</v>
      </c>
      <c r="B3379" s="210">
        <v>15</v>
      </c>
      <c r="C3379" s="191" t="str">
        <f>IF('IWP04'!E$587=0,"",'IWP04'!E$587)</f>
        <v/>
      </c>
      <c r="D3379" s="211">
        <f>'IWP04'!G$587</f>
        <v>0</v>
      </c>
      <c r="E3379" s="211">
        <f>'IWP04'!H$587</f>
        <v>0</v>
      </c>
      <c r="F3379" s="211">
        <f>'IWP04'!I$587</f>
        <v>0</v>
      </c>
      <c r="G3379" s="191" t="str">
        <f>IF('IWP04'!J$587=0,"",'IWP04'!J$587)</f>
        <v/>
      </c>
      <c r="H3379" s="211">
        <f>'IWP04'!K$587</f>
        <v>0</v>
      </c>
      <c r="I3379" s="211">
        <f>'IWP04'!L$587</f>
        <v>0</v>
      </c>
      <c r="J3379" s="212">
        <f>'IWP04'!M$587</f>
        <v>0</v>
      </c>
      <c r="K3379" s="106"/>
      <c r="L3379" s="106"/>
      <c r="M3379" s="129"/>
    </row>
    <row r="3380" spans="1:13" s="146" customFormat="1">
      <c r="A3380" s="193" t="s">
        <v>502</v>
      </c>
      <c r="B3380" s="210">
        <v>15</v>
      </c>
      <c r="C3380" s="191" t="str">
        <f>IF('IWP04'!E$588=0,"",'IWP04'!E$588)</f>
        <v/>
      </c>
      <c r="D3380" s="211">
        <f>'IWP04'!G$588</f>
        <v>0</v>
      </c>
      <c r="E3380" s="211">
        <f>'IWP04'!H$588</f>
        <v>0</v>
      </c>
      <c r="F3380" s="211">
        <f>'IWP04'!I$588</f>
        <v>0</v>
      </c>
      <c r="G3380" s="191" t="str">
        <f>IF('IWP04'!J$588=0,"",'IWP04'!J$588)</f>
        <v/>
      </c>
      <c r="H3380" s="211">
        <f>'IWP04'!K$588</f>
        <v>0</v>
      </c>
      <c r="I3380" s="211">
        <f>'IWP04'!L$588</f>
        <v>0</v>
      </c>
      <c r="J3380" s="212">
        <f>'IWP04'!M$588</f>
        <v>0</v>
      </c>
      <c r="K3380" s="106"/>
      <c r="L3380" s="106"/>
      <c r="M3380" s="129"/>
    </row>
    <row r="3381" spans="1:13" s="146" customFormat="1">
      <c r="A3381" s="193" t="s">
        <v>502</v>
      </c>
      <c r="B3381" s="210">
        <v>16</v>
      </c>
      <c r="C3381" s="191" t="str">
        <f>IF('IWP04'!E$595=0,"",'IWP04'!E$595)</f>
        <v>Subtotal column D.</v>
      </c>
      <c r="D3381" s="211">
        <f>'IWP04'!G$595</f>
        <v>0</v>
      </c>
      <c r="E3381" s="211">
        <f>'IWP04'!H$595</f>
        <v>0</v>
      </c>
      <c r="F3381" s="211">
        <f>'IWP04'!I$595</f>
        <v>0</v>
      </c>
      <c r="G3381" s="191" t="str">
        <f>IF('IWP04'!J$595=0,"",'IWP04'!J$595)</f>
        <v/>
      </c>
      <c r="H3381" s="211">
        <f>'IWP04'!K$595</f>
        <v>0</v>
      </c>
      <c r="I3381" s="211">
        <f>'IWP04'!L$595</f>
        <v>0</v>
      </c>
      <c r="J3381" s="212">
        <f>'IWP04'!M$595</f>
        <v>0</v>
      </c>
      <c r="K3381" s="106"/>
      <c r="L3381" s="106"/>
      <c r="M3381" s="129"/>
    </row>
    <row r="3382" spans="1:13" s="146" customFormat="1">
      <c r="A3382" s="193" t="s">
        <v>502</v>
      </c>
      <c r="B3382" s="210">
        <v>16</v>
      </c>
      <c r="C3382" s="191" t="str">
        <f>IF('IWP04'!E$596=0,"",'IWP04'!E$596)</f>
        <v>Unverified/Undocumented (Subtotal D - C)</v>
      </c>
      <c r="D3382" s="211">
        <f>'IWP04'!G$596</f>
        <v>0</v>
      </c>
      <c r="E3382" s="211">
        <f>'IWP04'!H$596</f>
        <v>0</v>
      </c>
      <c r="F3382" s="211">
        <f>'IWP04'!I$596</f>
        <v>0</v>
      </c>
      <c r="G3382" s="191" t="str">
        <f>IF('IWP04'!J$596=0,"",'IWP04'!J$596)</f>
        <v/>
      </c>
      <c r="H3382" s="211">
        <f>'IWP04'!K$596</f>
        <v>0</v>
      </c>
      <c r="I3382" s="211">
        <f>'IWP04'!L$596</f>
        <v>0</v>
      </c>
      <c r="J3382" s="212">
        <f>'IWP04'!M$596</f>
        <v>0</v>
      </c>
      <c r="K3382" s="106"/>
      <c r="L3382" s="106"/>
      <c r="M3382" s="129"/>
    </row>
    <row r="3383" spans="1:13" s="146" customFormat="1">
      <c r="A3383" s="193" t="s">
        <v>502</v>
      </c>
      <c r="B3383" s="210">
        <v>16</v>
      </c>
      <c r="C3383" s="191" t="str">
        <f>IF('IWP04'!E$597=0,"",'IWP04'!E$597)</f>
        <v>J. Billing Period Total</v>
      </c>
      <c r="D3383" s="211">
        <f>'IWP04'!G$597</f>
        <v>0</v>
      </c>
      <c r="E3383" s="211">
        <f>'IWP04'!H$597</f>
        <v>0</v>
      </c>
      <c r="F3383" s="211">
        <f>'IWP04'!I$597</f>
        <v>0</v>
      </c>
      <c r="G3383" s="191" t="str">
        <f>IF('IWP04'!J$597=0,"",'IWP04'!J$597)</f>
        <v/>
      </c>
      <c r="H3383" s="211">
        <f>'IWP04'!K$597</f>
        <v>0</v>
      </c>
      <c r="I3383" s="211">
        <f>'IWP04'!L$597</f>
        <v>0</v>
      </c>
      <c r="J3383" s="212">
        <f>'IWP04'!M$597</f>
        <v>0</v>
      </c>
      <c r="K3383" s="106"/>
      <c r="L3383" s="106"/>
      <c r="M3383" s="129"/>
    </row>
    <row r="3384" spans="1:13" s="146" customFormat="1">
      <c r="A3384" s="193" t="s">
        <v>502</v>
      </c>
      <c r="B3384" s="210">
        <v>16</v>
      </c>
      <c r="C3384" s="191" t="str">
        <f>IF('IWP04'!E$598=0,"",'IWP04'!E$598)</f>
        <v>D.</v>
      </c>
      <c r="D3384" s="211">
        <f>'IWP04'!G$598</f>
        <v>0</v>
      </c>
      <c r="E3384" s="211" t="str">
        <f>'IWP04'!H$598</f>
        <v>E.</v>
      </c>
      <c r="F3384" s="211" t="str">
        <f>'IWP04'!I$598</f>
        <v>F.</v>
      </c>
      <c r="G3384" s="191" t="str">
        <f>IF('IWP04'!J$598=0,"",'IWP04'!J$598)</f>
        <v>G.</v>
      </c>
      <c r="H3384" s="211">
        <f>'IWP04'!K$598</f>
        <v>0</v>
      </c>
      <c r="I3384" s="211" t="str">
        <f>'IWP04'!L$598</f>
        <v>H.</v>
      </c>
      <c r="J3384" s="212" t="str">
        <f>'IWP04'!M$598</f>
        <v>I.</v>
      </c>
      <c r="K3384" s="106"/>
      <c r="L3384" s="106"/>
      <c r="M3384" s="129"/>
    </row>
    <row r="3385" spans="1:13" s="146" customFormat="1">
      <c r="A3385" s="193" t="s">
        <v>502</v>
      </c>
      <c r="B3385" s="210">
        <v>16</v>
      </c>
      <c r="C3385" s="191" t="str">
        <f>IF('IWP04'!E$599=0,"",'IWP04'!E$599)</f>
        <v xml:space="preserve">Items/Services Related to Billing Period </v>
      </c>
      <c r="D3385" s="211">
        <f>'IWP04'!G$599</f>
        <v>0</v>
      </c>
      <c r="E3385" s="211" t="str">
        <f>'IWP04'!H$599</f>
        <v xml:space="preserve">Item/
Service Verified Amounts
</v>
      </c>
      <c r="F3385" s="211" t="str">
        <f>'IWP04'!I$599</f>
        <v>Amount Due to DADS (E. - D.)</v>
      </c>
      <c r="G3385" s="191" t="str">
        <f>IF('IWP04'!J$599=0,"",'IWP04'!J$599)</f>
        <v>Amount Reimbursed to 
Employee(s)/Employer</v>
      </c>
      <c r="H3385" s="211">
        <f>'IWP04'!K$599</f>
        <v>0</v>
      </c>
      <c r="I3385" s="211" t="str">
        <f>'IWP04'!L$599</f>
        <v>Amount Due to Employee(s) (G. - E.)</v>
      </c>
      <c r="J3385" s="212" t="str">
        <f>'IWP04'!M$599</f>
        <v>Amount Due to Employer (G. - E.)</v>
      </c>
      <c r="K3385" s="106"/>
      <c r="L3385" s="106"/>
      <c r="M3385" s="129"/>
    </row>
    <row r="3386" spans="1:13" s="146" customFormat="1">
      <c r="A3386" s="193" t="s">
        <v>502</v>
      </c>
      <c r="B3386" s="210">
        <v>16</v>
      </c>
      <c r="C3386" s="191" t="str">
        <f>IF('IWP04'!E$600=0,"",'IWP04'!E$600)</f>
        <v>Item/Service</v>
      </c>
      <c r="D3386" s="211" t="str">
        <f>'IWP04'!G$600</f>
        <v>Itemized Amount Paid by DADS</v>
      </c>
      <c r="E3386" s="211">
        <f>'IWP04'!H$600</f>
        <v>0</v>
      </c>
      <c r="F3386" s="211">
        <f>'IWP04'!I$600</f>
        <v>0</v>
      </c>
      <c r="G3386" s="191" t="str">
        <f>IF('IWP04'!J$600=0,"",'IWP04'!J$600)</f>
        <v/>
      </c>
      <c r="H3386" s="211">
        <f>'IWP04'!K$600</f>
        <v>0</v>
      </c>
      <c r="I3386" s="211">
        <f>'IWP04'!L$600</f>
        <v>0</v>
      </c>
      <c r="J3386" s="212">
        <f>'IWP04'!M$600</f>
        <v>0</v>
      </c>
      <c r="K3386" s="106"/>
      <c r="L3386" s="106"/>
      <c r="M3386" s="129"/>
    </row>
    <row r="3387" spans="1:13" s="146" customFormat="1">
      <c r="A3387" s="193" t="s">
        <v>502</v>
      </c>
      <c r="B3387" s="210">
        <v>16</v>
      </c>
      <c r="C3387" s="191" t="str">
        <f>IF('IWP04'!E$601=0,"",'IWP04'!E$601)</f>
        <v/>
      </c>
      <c r="D3387" s="211">
        <f>'IWP04'!G$601</f>
        <v>0</v>
      </c>
      <c r="E3387" s="211">
        <f>'IWP04'!H$601</f>
        <v>0</v>
      </c>
      <c r="F3387" s="211">
        <f>'IWP04'!I$601</f>
        <v>0</v>
      </c>
      <c r="G3387" s="191" t="str">
        <f>IF('IWP04'!J$601=0,"",'IWP04'!J$601)</f>
        <v/>
      </c>
      <c r="H3387" s="211">
        <f>'IWP04'!K$601</f>
        <v>0</v>
      </c>
      <c r="I3387" s="211">
        <f>'IWP04'!L$601</f>
        <v>0</v>
      </c>
      <c r="J3387" s="212">
        <f>'IWP04'!M$601</f>
        <v>0</v>
      </c>
      <c r="K3387" s="106"/>
      <c r="L3387" s="106"/>
      <c r="M3387" s="129"/>
    </row>
    <row r="3388" spans="1:13" s="146" customFormat="1">
      <c r="A3388" s="193" t="s">
        <v>502</v>
      </c>
      <c r="B3388" s="210">
        <v>16</v>
      </c>
      <c r="C3388" s="191" t="str">
        <f>IF('IWP04'!E$602=0,"",'IWP04'!E$602)</f>
        <v/>
      </c>
      <c r="D3388" s="211">
        <f>'IWP04'!G$602</f>
        <v>0</v>
      </c>
      <c r="E3388" s="211">
        <f>'IWP04'!H$602</f>
        <v>0</v>
      </c>
      <c r="F3388" s="211">
        <f>'IWP04'!I$602</f>
        <v>0</v>
      </c>
      <c r="G3388" s="191" t="str">
        <f>IF('IWP04'!J$602=0,"",'IWP04'!J$602)</f>
        <v/>
      </c>
      <c r="H3388" s="211">
        <f>'IWP04'!K$602</f>
        <v>0</v>
      </c>
      <c r="I3388" s="211">
        <f>'IWP04'!L$602</f>
        <v>0</v>
      </c>
      <c r="J3388" s="212">
        <f>'IWP04'!M$602</f>
        <v>0</v>
      </c>
      <c r="K3388" s="106"/>
      <c r="L3388" s="106"/>
      <c r="M3388" s="129"/>
    </row>
    <row r="3389" spans="1:13" s="146" customFormat="1">
      <c r="A3389" s="193" t="s">
        <v>502</v>
      </c>
      <c r="B3389" s="210">
        <v>16</v>
      </c>
      <c r="C3389" s="191" t="str">
        <f>IF('IWP04'!E$603=0,"",'IWP04'!E$603)</f>
        <v/>
      </c>
      <c r="D3389" s="211">
        <f>'IWP04'!G$603</f>
        <v>0</v>
      </c>
      <c r="E3389" s="211">
        <f>'IWP04'!H$603</f>
        <v>0</v>
      </c>
      <c r="F3389" s="211">
        <f>'IWP04'!I$603</f>
        <v>0</v>
      </c>
      <c r="G3389" s="191" t="str">
        <f>IF('IWP04'!J$603=0,"",'IWP04'!J$603)</f>
        <v/>
      </c>
      <c r="H3389" s="211">
        <f>'IWP04'!K$603</f>
        <v>0</v>
      </c>
      <c r="I3389" s="211">
        <f>'IWP04'!L$603</f>
        <v>0</v>
      </c>
      <c r="J3389" s="212">
        <f>'IWP04'!M$603</f>
        <v>0</v>
      </c>
      <c r="K3389" s="106"/>
      <c r="L3389" s="106"/>
      <c r="M3389" s="129"/>
    </row>
    <row r="3390" spans="1:13" s="146" customFormat="1">
      <c r="A3390" s="193" t="s">
        <v>502</v>
      </c>
      <c r="B3390" s="210">
        <v>16</v>
      </c>
      <c r="C3390" s="191" t="str">
        <f>IF('IWP04'!E$604=0,"",'IWP04'!E$604)</f>
        <v/>
      </c>
      <c r="D3390" s="211">
        <f>'IWP04'!G$604</f>
        <v>0</v>
      </c>
      <c r="E3390" s="211">
        <f>'IWP04'!H$604</f>
        <v>0</v>
      </c>
      <c r="F3390" s="211">
        <f>'IWP04'!I$604</f>
        <v>0</v>
      </c>
      <c r="G3390" s="191" t="str">
        <f>IF('IWP04'!J$604=0,"",'IWP04'!J$604)</f>
        <v/>
      </c>
      <c r="H3390" s="211">
        <f>'IWP04'!K$604</f>
        <v>0</v>
      </c>
      <c r="I3390" s="211">
        <f>'IWP04'!L$604</f>
        <v>0</v>
      </c>
      <c r="J3390" s="212">
        <f>'IWP04'!M$604</f>
        <v>0</v>
      </c>
      <c r="K3390" s="106"/>
      <c r="L3390" s="106"/>
      <c r="M3390" s="129"/>
    </row>
    <row r="3391" spans="1:13" s="146" customFormat="1">
      <c r="A3391" s="193" t="s">
        <v>502</v>
      </c>
      <c r="B3391" s="210">
        <v>17</v>
      </c>
      <c r="C3391" s="191" t="str">
        <f>IF('IWP04'!E$611=0,"",'IWP04'!E$611)</f>
        <v>Subtotal column D.</v>
      </c>
      <c r="D3391" s="211">
        <f>'IWP04'!G$611</f>
        <v>0</v>
      </c>
      <c r="E3391" s="211">
        <f>'IWP04'!H$611</f>
        <v>0</v>
      </c>
      <c r="F3391" s="211">
        <f>'IWP04'!I$611</f>
        <v>0</v>
      </c>
      <c r="G3391" s="191" t="str">
        <f>IF('IWP04'!J$611=0,"",'IWP04'!J$611)</f>
        <v/>
      </c>
      <c r="H3391" s="211">
        <f>'IWP04'!K$611</f>
        <v>0</v>
      </c>
      <c r="I3391" s="211">
        <f>'IWP04'!L$611</f>
        <v>0</v>
      </c>
      <c r="J3391" s="212">
        <f>'IWP04'!M$611</f>
        <v>0</v>
      </c>
      <c r="K3391" s="106"/>
      <c r="L3391" s="106"/>
      <c r="M3391" s="129"/>
    </row>
    <row r="3392" spans="1:13" s="146" customFormat="1">
      <c r="A3392" s="193" t="s">
        <v>502</v>
      </c>
      <c r="B3392" s="210">
        <v>17</v>
      </c>
      <c r="C3392" s="191" t="str">
        <f>IF('IWP04'!E$612=0,"",'IWP04'!E$612)</f>
        <v>Unverified/Undocumented (Subtotal D - C)</v>
      </c>
      <c r="D3392" s="211">
        <f>'IWP04'!G$612</f>
        <v>0</v>
      </c>
      <c r="E3392" s="211">
        <f>'IWP04'!H$612</f>
        <v>0</v>
      </c>
      <c r="F3392" s="211">
        <f>'IWP04'!I$612</f>
        <v>0</v>
      </c>
      <c r="G3392" s="191" t="str">
        <f>IF('IWP04'!J$612=0,"",'IWP04'!J$612)</f>
        <v/>
      </c>
      <c r="H3392" s="211">
        <f>'IWP04'!K$612</f>
        <v>0</v>
      </c>
      <c r="I3392" s="211">
        <f>'IWP04'!L$612</f>
        <v>0</v>
      </c>
      <c r="J3392" s="212">
        <f>'IWP04'!M$612</f>
        <v>0</v>
      </c>
      <c r="K3392" s="106"/>
      <c r="L3392" s="106"/>
      <c r="M3392" s="129"/>
    </row>
    <row r="3393" spans="1:13" s="146" customFormat="1">
      <c r="A3393" s="193" t="s">
        <v>502</v>
      </c>
      <c r="B3393" s="210">
        <v>17</v>
      </c>
      <c r="C3393" s="191" t="str">
        <f>IF('IWP04'!E$613=0,"",'IWP04'!E$613)</f>
        <v>J. Billing Period Total</v>
      </c>
      <c r="D3393" s="211">
        <f>'IWP04'!G$613</f>
        <v>0</v>
      </c>
      <c r="E3393" s="211">
        <f>'IWP04'!H$613</f>
        <v>0</v>
      </c>
      <c r="F3393" s="211">
        <f>'IWP04'!I$613</f>
        <v>0</v>
      </c>
      <c r="G3393" s="191" t="str">
        <f>IF('IWP04'!J$613=0,"",'IWP04'!J$613)</f>
        <v/>
      </c>
      <c r="H3393" s="211">
        <f>'IWP04'!K$613</f>
        <v>0</v>
      </c>
      <c r="I3393" s="211">
        <f>'IWP04'!L$613</f>
        <v>0</v>
      </c>
      <c r="J3393" s="212">
        <f>'IWP04'!M$613</f>
        <v>0</v>
      </c>
      <c r="K3393" s="106"/>
      <c r="L3393" s="106"/>
      <c r="M3393" s="129"/>
    </row>
    <row r="3394" spans="1:13" s="146" customFormat="1">
      <c r="A3394" s="193" t="s">
        <v>502</v>
      </c>
      <c r="B3394" s="210">
        <v>17</v>
      </c>
      <c r="C3394" s="191" t="str">
        <f>IF('IWP04'!E$614=0,"",'IWP04'!E$614)</f>
        <v/>
      </c>
      <c r="D3394" s="211">
        <f>'IWP04'!G$614</f>
        <v>0</v>
      </c>
      <c r="E3394" s="211">
        <f>'IWP04'!H$614</f>
        <v>0</v>
      </c>
      <c r="F3394" s="211">
        <f>'IWP04'!I$614</f>
        <v>0</v>
      </c>
      <c r="G3394" s="191" t="str">
        <f>IF('IWP04'!J$614=0,"",'IWP04'!J$614)</f>
        <v/>
      </c>
      <c r="H3394" s="211">
        <f>'IWP04'!K$614</f>
        <v>0</v>
      </c>
      <c r="I3394" s="211">
        <f>'IWP04'!L$614</f>
        <v>0</v>
      </c>
      <c r="J3394" s="212">
        <f>'IWP04'!M$614</f>
        <v>0</v>
      </c>
      <c r="K3394" s="106"/>
      <c r="L3394" s="106"/>
      <c r="M3394" s="129"/>
    </row>
    <row r="3395" spans="1:13" s="146" customFormat="1">
      <c r="A3395" s="193" t="s">
        <v>502</v>
      </c>
      <c r="B3395" s="210">
        <v>17</v>
      </c>
      <c r="C3395" s="191" t="str">
        <f>IF('IWP04'!E$615=0,"",'IWP04'!E$615)</f>
        <v/>
      </c>
      <c r="D3395" s="211">
        <f>'IWP04'!G$615</f>
        <v>0</v>
      </c>
      <c r="E3395" s="211">
        <f>'IWP04'!H$615</f>
        <v>0</v>
      </c>
      <c r="F3395" s="211">
        <f>'IWP04'!I$615</f>
        <v>0</v>
      </c>
      <c r="G3395" s="191" t="str">
        <f>IF('IWP04'!J$615=0,"",'IWP04'!J$615)</f>
        <v/>
      </c>
      <c r="H3395" s="211">
        <f>'IWP04'!K$615</f>
        <v>0</v>
      </c>
      <c r="I3395" s="211">
        <f>'IWP04'!L$615</f>
        <v>0</v>
      </c>
      <c r="J3395" s="212">
        <f>'IWP04'!M$615</f>
        <v>0</v>
      </c>
      <c r="K3395" s="106"/>
      <c r="L3395" s="106"/>
      <c r="M3395" s="129"/>
    </row>
    <row r="3396" spans="1:13" s="146" customFormat="1">
      <c r="A3396" s="193" t="s">
        <v>502</v>
      </c>
      <c r="B3396" s="210">
        <v>17</v>
      </c>
      <c r="C3396" s="191" t="str">
        <f>IF('IWP04'!E$616=0,"",'IWP04'!E$616)</f>
        <v/>
      </c>
      <c r="D3396" s="211">
        <f>'IWP04'!G$616</f>
        <v>0</v>
      </c>
      <c r="E3396" s="211">
        <f>'IWP04'!H$616</f>
        <v>0</v>
      </c>
      <c r="F3396" s="211">
        <f>'IWP04'!I$616</f>
        <v>0</v>
      </c>
      <c r="G3396" s="191" t="str">
        <f>IF('IWP04'!J$616=0,"",'IWP04'!J$616)</f>
        <v/>
      </c>
      <c r="H3396" s="211">
        <f>'IWP04'!K$616</f>
        <v>0</v>
      </c>
      <c r="I3396" s="211">
        <f>'IWP04'!L$616</f>
        <v>0</v>
      </c>
      <c r="J3396" s="212">
        <f>'IWP04'!M$616</f>
        <v>0</v>
      </c>
      <c r="K3396" s="106"/>
      <c r="L3396" s="106"/>
      <c r="M3396" s="129"/>
    </row>
    <row r="3397" spans="1:13" s="146" customFormat="1">
      <c r="A3397" s="193" t="s">
        <v>502</v>
      </c>
      <c r="B3397" s="210">
        <v>17</v>
      </c>
      <c r="C3397" s="191" t="str">
        <f>IF('IWP04'!E$617=0,"",'IWP04'!E$617)</f>
        <v/>
      </c>
      <c r="D3397" s="211">
        <f>'IWP04'!G$617</f>
        <v>0</v>
      </c>
      <c r="E3397" s="211">
        <f>'IWP04'!H$617</f>
        <v>0</v>
      </c>
      <c r="F3397" s="211">
        <f>'IWP04'!I$617</f>
        <v>0</v>
      </c>
      <c r="G3397" s="191" t="str">
        <f>IF('IWP04'!J$617=0,"",'IWP04'!J$617)</f>
        <v/>
      </c>
      <c r="H3397" s="211">
        <f>'IWP04'!K$617</f>
        <v>0</v>
      </c>
      <c r="I3397" s="211">
        <f>'IWP04'!L$617</f>
        <v>0</v>
      </c>
      <c r="J3397" s="212">
        <f>'IWP04'!M$617</f>
        <v>0</v>
      </c>
      <c r="K3397" s="106"/>
      <c r="L3397" s="106"/>
      <c r="M3397" s="129"/>
    </row>
    <row r="3398" spans="1:13" s="146" customFormat="1">
      <c r="A3398" s="193" t="s">
        <v>502</v>
      </c>
      <c r="B3398" s="210">
        <v>17</v>
      </c>
      <c r="C3398" s="191" t="str">
        <f>IF('IWP04'!E$618=0,"",'IWP04'!E$618)</f>
        <v/>
      </c>
      <c r="D3398" s="211">
        <f>'IWP04'!G$618</f>
        <v>0</v>
      </c>
      <c r="E3398" s="211">
        <f>'IWP04'!H$618</f>
        <v>0</v>
      </c>
      <c r="F3398" s="211">
        <f>'IWP04'!I$618</f>
        <v>0</v>
      </c>
      <c r="G3398" s="191" t="str">
        <f>IF('IWP04'!J$618=0,"",'IWP04'!J$618)</f>
        <v/>
      </c>
      <c r="H3398" s="211">
        <f>'IWP04'!K$618</f>
        <v>0</v>
      </c>
      <c r="I3398" s="211">
        <f>'IWP04'!L$618</f>
        <v>0</v>
      </c>
      <c r="J3398" s="212">
        <f>'IWP04'!M$618</f>
        <v>0</v>
      </c>
      <c r="K3398" s="106"/>
      <c r="L3398" s="106"/>
      <c r="M3398" s="129"/>
    </row>
    <row r="3399" spans="1:13" s="146" customFormat="1">
      <c r="A3399" s="193" t="s">
        <v>502</v>
      </c>
      <c r="B3399" s="210">
        <v>17</v>
      </c>
      <c r="C3399" s="191" t="str">
        <f>IF('IWP04'!E$619=0,"",'IWP04'!E$619)</f>
        <v/>
      </c>
      <c r="D3399" s="211">
        <f>'IWP04'!G$619</f>
        <v>0</v>
      </c>
      <c r="E3399" s="211">
        <f>'IWP04'!H$619</f>
        <v>0</v>
      </c>
      <c r="F3399" s="211">
        <f>'IWP04'!I$619</f>
        <v>0</v>
      </c>
      <c r="G3399" s="191" t="str">
        <f>IF('IWP04'!J$619=0,"",'IWP04'!J$619)</f>
        <v/>
      </c>
      <c r="H3399" s="211">
        <f>'IWP04'!K$619</f>
        <v>0</v>
      </c>
      <c r="I3399" s="211">
        <f>'IWP04'!L$619</f>
        <v>0</v>
      </c>
      <c r="J3399" s="212">
        <f>'IWP04'!M$619</f>
        <v>0</v>
      </c>
      <c r="K3399" s="106"/>
      <c r="L3399" s="106"/>
      <c r="M3399" s="129"/>
    </row>
    <row r="3400" spans="1:13" s="146" customFormat="1">
      <c r="A3400" s="193" t="s">
        <v>502</v>
      </c>
      <c r="B3400" s="210">
        <v>17</v>
      </c>
      <c r="C3400" s="191" t="str">
        <f>IF('IWP04'!E$620=0,"",'IWP04'!E$620)</f>
        <v/>
      </c>
      <c r="D3400" s="211">
        <f>'IWP04'!G$620</f>
        <v>0</v>
      </c>
      <c r="E3400" s="211">
        <f>'IWP04'!H$620</f>
        <v>0</v>
      </c>
      <c r="F3400" s="211">
        <f>'IWP04'!I$620</f>
        <v>0</v>
      </c>
      <c r="G3400" s="191" t="str">
        <f>IF('IWP04'!J$620=0,"",'IWP04'!J$620)</f>
        <v/>
      </c>
      <c r="H3400" s="211">
        <f>'IWP04'!K$620</f>
        <v>0</v>
      </c>
      <c r="I3400" s="211">
        <f>'IWP04'!L$620</f>
        <v>0</v>
      </c>
      <c r="J3400" s="212">
        <f>'IWP04'!M$620</f>
        <v>0</v>
      </c>
      <c r="K3400" s="106"/>
      <c r="L3400" s="106"/>
      <c r="M3400" s="129"/>
    </row>
    <row r="3401" spans="1:13" s="146" customFormat="1">
      <c r="A3401" s="193" t="s">
        <v>502</v>
      </c>
      <c r="B3401" s="210">
        <v>18</v>
      </c>
      <c r="C3401" s="191" t="str">
        <f>IF('IWP04'!E$627=0,"",'IWP04'!E$627)</f>
        <v/>
      </c>
      <c r="D3401" s="211">
        <f>'IWP04'!G$627</f>
        <v>0</v>
      </c>
      <c r="E3401" s="211">
        <f>'IWP04'!H$627</f>
        <v>0</v>
      </c>
      <c r="F3401" s="211">
        <f>'IWP04'!I$627</f>
        <v>0</v>
      </c>
      <c r="G3401" s="191" t="str">
        <f>IF('IWP04'!J$627=0,"",'IWP04'!J$627)</f>
        <v/>
      </c>
      <c r="H3401" s="211">
        <f>'IWP04'!K$627</f>
        <v>0</v>
      </c>
      <c r="I3401" s="211">
        <f>'IWP04'!L$627</f>
        <v>0</v>
      </c>
      <c r="J3401" s="212">
        <f>'IWP04'!M$627</f>
        <v>0</v>
      </c>
      <c r="K3401" s="106"/>
      <c r="L3401" s="106"/>
      <c r="M3401" s="129"/>
    </row>
    <row r="3402" spans="1:13" s="146" customFormat="1">
      <c r="A3402" s="193" t="s">
        <v>502</v>
      </c>
      <c r="B3402" s="210">
        <v>18</v>
      </c>
      <c r="C3402" s="191" t="str">
        <f>IF('IWP04'!E$628=0,"",'IWP04'!E$628)</f>
        <v/>
      </c>
      <c r="D3402" s="211">
        <f>'IWP04'!G$628</f>
        <v>0</v>
      </c>
      <c r="E3402" s="211">
        <f>'IWP04'!H$628</f>
        <v>0</v>
      </c>
      <c r="F3402" s="211">
        <f>'IWP04'!I$628</f>
        <v>0</v>
      </c>
      <c r="G3402" s="191" t="str">
        <f>IF('IWP04'!J$628=0,"",'IWP04'!J$628)</f>
        <v/>
      </c>
      <c r="H3402" s="211">
        <f>'IWP04'!K$628</f>
        <v>0</v>
      </c>
      <c r="I3402" s="211">
        <f>'IWP04'!L$628</f>
        <v>0</v>
      </c>
      <c r="J3402" s="212">
        <f>'IWP04'!M$628</f>
        <v>0</v>
      </c>
      <c r="K3402" s="106"/>
      <c r="L3402" s="106"/>
      <c r="M3402" s="129"/>
    </row>
    <row r="3403" spans="1:13" s="146" customFormat="1">
      <c r="A3403" s="193" t="s">
        <v>502</v>
      </c>
      <c r="B3403" s="210">
        <v>18</v>
      </c>
      <c r="C3403" s="191" t="str">
        <f>IF('IWP04'!E$629=0,"",'IWP04'!E$629)</f>
        <v/>
      </c>
      <c r="D3403" s="211">
        <f>'IWP04'!G$629</f>
        <v>0</v>
      </c>
      <c r="E3403" s="211">
        <f>'IWP04'!H$629</f>
        <v>0</v>
      </c>
      <c r="F3403" s="211">
        <f>'IWP04'!I$629</f>
        <v>0</v>
      </c>
      <c r="G3403" s="191" t="str">
        <f>IF('IWP04'!J$629=0,"",'IWP04'!J$629)</f>
        <v/>
      </c>
      <c r="H3403" s="211">
        <f>'IWP04'!K$629</f>
        <v>0</v>
      </c>
      <c r="I3403" s="211">
        <f>'IWP04'!L$629</f>
        <v>0</v>
      </c>
      <c r="J3403" s="212">
        <f>'IWP04'!M$629</f>
        <v>0</v>
      </c>
      <c r="K3403" s="106"/>
      <c r="L3403" s="106"/>
      <c r="M3403" s="129"/>
    </row>
    <row r="3404" spans="1:13" s="146" customFormat="1">
      <c r="A3404" s="193" t="s">
        <v>502</v>
      </c>
      <c r="B3404" s="210">
        <v>18</v>
      </c>
      <c r="C3404" s="191" t="str">
        <f>IF('IWP04'!E$630=0,"",'IWP04'!E$630)</f>
        <v/>
      </c>
      <c r="D3404" s="211">
        <f>'IWP04'!G$630</f>
        <v>0</v>
      </c>
      <c r="E3404" s="211">
        <f>'IWP04'!H$630</f>
        <v>0</v>
      </c>
      <c r="F3404" s="211">
        <f>'IWP04'!I$630</f>
        <v>0</v>
      </c>
      <c r="G3404" s="191" t="str">
        <f>IF('IWP04'!J$630=0,"",'IWP04'!J$630)</f>
        <v/>
      </c>
      <c r="H3404" s="211">
        <f>'IWP04'!K$630</f>
        <v>0</v>
      </c>
      <c r="I3404" s="211">
        <f>'IWP04'!L$630</f>
        <v>0</v>
      </c>
      <c r="J3404" s="212">
        <f>'IWP04'!M$630</f>
        <v>0</v>
      </c>
      <c r="K3404" s="106"/>
      <c r="L3404" s="106"/>
      <c r="M3404" s="129"/>
    </row>
    <row r="3405" spans="1:13" s="146" customFormat="1">
      <c r="A3405" s="193" t="s">
        <v>502</v>
      </c>
      <c r="B3405" s="210">
        <v>18</v>
      </c>
      <c r="C3405" s="191" t="str">
        <f>IF('IWP04'!E$631=0,"",'IWP04'!E$631)</f>
        <v/>
      </c>
      <c r="D3405" s="211">
        <f>'IWP04'!G$631</f>
        <v>0</v>
      </c>
      <c r="E3405" s="211">
        <f>'IWP04'!H$631</f>
        <v>0</v>
      </c>
      <c r="F3405" s="211">
        <f>'IWP04'!I$631</f>
        <v>0</v>
      </c>
      <c r="G3405" s="191" t="str">
        <f>IF('IWP04'!J$631=0,"",'IWP04'!J$631)</f>
        <v/>
      </c>
      <c r="H3405" s="211">
        <f>'IWP04'!K$631</f>
        <v>0</v>
      </c>
      <c r="I3405" s="211">
        <f>'IWP04'!L$631</f>
        <v>0</v>
      </c>
      <c r="J3405" s="212">
        <f>'IWP04'!M$631</f>
        <v>0</v>
      </c>
      <c r="K3405" s="106"/>
      <c r="L3405" s="106"/>
      <c r="M3405" s="129"/>
    </row>
    <row r="3406" spans="1:13" s="146" customFormat="1">
      <c r="A3406" s="193" t="s">
        <v>502</v>
      </c>
      <c r="B3406" s="210">
        <v>18</v>
      </c>
      <c r="C3406" s="191" t="str">
        <f>IF('IWP04'!E$632=0,"",'IWP04'!E$632)</f>
        <v/>
      </c>
      <c r="D3406" s="211">
        <f>'IWP04'!G$632</f>
        <v>0</v>
      </c>
      <c r="E3406" s="211">
        <f>'IWP04'!H$632</f>
        <v>0</v>
      </c>
      <c r="F3406" s="211">
        <f>'IWP04'!I$632</f>
        <v>0</v>
      </c>
      <c r="G3406" s="191" t="str">
        <f>IF('IWP04'!J$632=0,"",'IWP04'!J$632)</f>
        <v/>
      </c>
      <c r="H3406" s="211">
        <f>'IWP04'!K$632</f>
        <v>0</v>
      </c>
      <c r="I3406" s="211">
        <f>'IWP04'!L$632</f>
        <v>0</v>
      </c>
      <c r="J3406" s="212">
        <f>'IWP04'!M$632</f>
        <v>0</v>
      </c>
      <c r="K3406" s="106"/>
      <c r="L3406" s="106"/>
      <c r="M3406" s="129"/>
    </row>
    <row r="3407" spans="1:13" s="146" customFormat="1">
      <c r="A3407" s="193" t="s">
        <v>502</v>
      </c>
      <c r="B3407" s="210">
        <v>18</v>
      </c>
      <c r="C3407" s="191" t="str">
        <f>IF('IWP04'!E$633=0,"",'IWP04'!E$633)</f>
        <v/>
      </c>
      <c r="D3407" s="211">
        <f>'IWP04'!G$633</f>
        <v>0</v>
      </c>
      <c r="E3407" s="211">
        <f>'IWP04'!H$633</f>
        <v>0</v>
      </c>
      <c r="F3407" s="211">
        <f>'IWP04'!I$633</f>
        <v>0</v>
      </c>
      <c r="G3407" s="191" t="str">
        <f>IF('IWP04'!J$633=0,"",'IWP04'!J$633)</f>
        <v/>
      </c>
      <c r="H3407" s="211">
        <f>'IWP04'!K$633</f>
        <v>0</v>
      </c>
      <c r="I3407" s="211">
        <f>'IWP04'!L$633</f>
        <v>0</v>
      </c>
      <c r="J3407" s="212">
        <f>'IWP04'!M$633</f>
        <v>0</v>
      </c>
      <c r="K3407" s="106"/>
      <c r="L3407" s="106"/>
      <c r="M3407" s="129"/>
    </row>
    <row r="3408" spans="1:13" s="146" customFormat="1">
      <c r="A3408" s="193" t="s">
        <v>502</v>
      </c>
      <c r="B3408" s="210">
        <v>18</v>
      </c>
      <c r="C3408" s="191" t="str">
        <f>IF('IWP04'!E$634=0,"",'IWP04'!E$634)</f>
        <v/>
      </c>
      <c r="D3408" s="211">
        <f>'IWP04'!G$634</f>
        <v>0</v>
      </c>
      <c r="E3408" s="211">
        <f>'IWP04'!H$634</f>
        <v>0</v>
      </c>
      <c r="F3408" s="211">
        <f>'IWP04'!I$634</f>
        <v>0</v>
      </c>
      <c r="G3408" s="191" t="str">
        <f>IF('IWP04'!J$634=0,"",'IWP04'!J$634)</f>
        <v/>
      </c>
      <c r="H3408" s="211">
        <f>'IWP04'!K$634</f>
        <v>0</v>
      </c>
      <c r="I3408" s="211">
        <f>'IWP04'!L$634</f>
        <v>0</v>
      </c>
      <c r="J3408" s="212">
        <f>'IWP04'!M$634</f>
        <v>0</v>
      </c>
      <c r="K3408" s="106"/>
      <c r="L3408" s="106"/>
      <c r="M3408" s="129"/>
    </row>
    <row r="3409" spans="1:13" s="146" customFormat="1">
      <c r="A3409" s="193" t="s">
        <v>502</v>
      </c>
      <c r="B3409" s="210">
        <v>18</v>
      </c>
      <c r="C3409" s="191" t="str">
        <f>IF('IWP04'!E$635=0,"",'IWP04'!E$635)</f>
        <v/>
      </c>
      <c r="D3409" s="211">
        <f>'IWP04'!G$635</f>
        <v>0</v>
      </c>
      <c r="E3409" s="211">
        <f>'IWP04'!H$635</f>
        <v>0</v>
      </c>
      <c r="F3409" s="211">
        <f>'IWP04'!I$635</f>
        <v>0</v>
      </c>
      <c r="G3409" s="191" t="str">
        <f>IF('IWP04'!J$635=0,"",'IWP04'!J$635)</f>
        <v/>
      </c>
      <c r="H3409" s="211">
        <f>'IWP04'!K$635</f>
        <v>0</v>
      </c>
      <c r="I3409" s="211">
        <f>'IWP04'!L$635</f>
        <v>0</v>
      </c>
      <c r="J3409" s="212">
        <f>'IWP04'!M$635</f>
        <v>0</v>
      </c>
      <c r="K3409" s="106"/>
      <c r="L3409" s="106"/>
      <c r="M3409" s="129"/>
    </row>
    <row r="3410" spans="1:13" s="146" customFormat="1">
      <c r="A3410" s="193" t="s">
        <v>502</v>
      </c>
      <c r="B3410" s="210">
        <v>18</v>
      </c>
      <c r="C3410" s="191" t="str">
        <f>IF('IWP04'!E$636=0,"",'IWP04'!E$636)</f>
        <v/>
      </c>
      <c r="D3410" s="211">
        <f>'IWP04'!G$636</f>
        <v>0</v>
      </c>
      <c r="E3410" s="211">
        <f>'IWP04'!H$636</f>
        <v>0</v>
      </c>
      <c r="F3410" s="211">
        <f>'IWP04'!I$636</f>
        <v>0</v>
      </c>
      <c r="G3410" s="191" t="str">
        <f>IF('IWP04'!J$636=0,"",'IWP04'!J$636)</f>
        <v/>
      </c>
      <c r="H3410" s="211">
        <f>'IWP04'!K$636</f>
        <v>0</v>
      </c>
      <c r="I3410" s="211">
        <f>'IWP04'!L$636</f>
        <v>0</v>
      </c>
      <c r="J3410" s="212">
        <f>'IWP04'!M$636</f>
        <v>0</v>
      </c>
      <c r="K3410" s="106"/>
      <c r="L3410" s="106"/>
      <c r="M3410" s="129"/>
    </row>
    <row r="3411" spans="1:13" s="146" customFormat="1">
      <c r="A3411" s="193" t="s">
        <v>503</v>
      </c>
      <c r="B3411" s="210">
        <v>1</v>
      </c>
      <c r="C3411" s="191" t="str">
        <f>IF('IWP05'!E$355=0,"",'IWP05'!E$355)</f>
        <v>Subtotal column D.</v>
      </c>
      <c r="D3411" s="211">
        <f>'IWP05'!G$355</f>
        <v>0</v>
      </c>
      <c r="E3411" s="211">
        <f>'IWP05'!H$355</f>
        <v>0</v>
      </c>
      <c r="F3411" s="211">
        <f>'IWP05'!I$355</f>
        <v>0</v>
      </c>
      <c r="G3411" s="191" t="str">
        <f>IF('IWP05'!J$355=0,"",'IWP05'!J$355)</f>
        <v/>
      </c>
      <c r="H3411" s="211">
        <f>'IWP05'!K$355</f>
        <v>0</v>
      </c>
      <c r="I3411" s="211">
        <f>'IWP05'!L$355</f>
        <v>0</v>
      </c>
      <c r="J3411" s="212">
        <f>'IWP05'!M$355</f>
        <v>0</v>
      </c>
      <c r="K3411" s="106"/>
      <c r="L3411" s="106"/>
      <c r="M3411" s="129"/>
    </row>
    <row r="3412" spans="1:13" s="146" customFormat="1">
      <c r="A3412" s="193" t="s">
        <v>503</v>
      </c>
      <c r="B3412" s="210">
        <v>1</v>
      </c>
      <c r="C3412" s="191" t="str">
        <f>IF('IWP05'!E$356=0,"",'IWP05'!E$356)</f>
        <v>Unverified/Undocumented (Subtotall D - C)</v>
      </c>
      <c r="D3412" s="211">
        <f>'IWP05'!G$356</f>
        <v>0</v>
      </c>
      <c r="E3412" s="211">
        <f>'IWP05'!H$356</f>
        <v>0</v>
      </c>
      <c r="F3412" s="211">
        <f>'IWP05'!I$356</f>
        <v>0</v>
      </c>
      <c r="G3412" s="191" t="str">
        <f>IF('IWP05'!J$356=0,"",'IWP05'!J$356)</f>
        <v/>
      </c>
      <c r="H3412" s="211">
        <f>'IWP05'!K$356</f>
        <v>0</v>
      </c>
      <c r="I3412" s="211">
        <f>'IWP05'!L$356</f>
        <v>0</v>
      </c>
      <c r="J3412" s="212">
        <f>'IWP05'!M$356</f>
        <v>0</v>
      </c>
      <c r="K3412" s="106"/>
      <c r="L3412" s="106"/>
      <c r="M3412" s="129"/>
    </row>
    <row r="3413" spans="1:13" s="146" customFormat="1">
      <c r="A3413" s="193" t="s">
        <v>503</v>
      </c>
      <c r="B3413" s="210">
        <v>1</v>
      </c>
      <c r="C3413" s="191" t="str">
        <f>IF('IWP05'!E$357=0,"",'IWP05'!E$357)</f>
        <v>J. Billing Period Total</v>
      </c>
      <c r="D3413" s="211">
        <f>'IWP05'!G$357</f>
        <v>0</v>
      </c>
      <c r="E3413" s="211">
        <f>'IWP05'!H$357</f>
        <v>0</v>
      </c>
      <c r="F3413" s="211">
        <f>'IWP05'!I$357</f>
        <v>0</v>
      </c>
      <c r="G3413" s="191" t="str">
        <f>IF('IWP05'!J$357=0,"",'IWP05'!J$357)</f>
        <v/>
      </c>
      <c r="H3413" s="211">
        <f>'IWP05'!K$357</f>
        <v>0</v>
      </c>
      <c r="I3413" s="211">
        <f>'IWP05'!L$357</f>
        <v>0</v>
      </c>
      <c r="J3413" s="212">
        <f>'IWP05'!M$357</f>
        <v>0</v>
      </c>
      <c r="K3413" s="106"/>
      <c r="L3413" s="106"/>
      <c r="M3413" s="129"/>
    </row>
    <row r="3414" spans="1:13" s="146" customFormat="1">
      <c r="A3414" s="193" t="s">
        <v>503</v>
      </c>
      <c r="B3414" s="210">
        <v>1</v>
      </c>
      <c r="C3414" s="191" t="str">
        <f>IF('IWP05'!E$358=0,"",'IWP05'!E$358)</f>
        <v>D.</v>
      </c>
      <c r="D3414" s="211">
        <f>'IWP05'!G$358</f>
        <v>0</v>
      </c>
      <c r="E3414" s="211" t="str">
        <f>'IWP05'!H$358</f>
        <v>E.</v>
      </c>
      <c r="F3414" s="211" t="str">
        <f>'IWP05'!I$358</f>
        <v>F.</v>
      </c>
      <c r="G3414" s="191" t="str">
        <f>IF('IWP05'!J$358=0,"",'IWP05'!J$358)</f>
        <v>G.</v>
      </c>
      <c r="H3414" s="211">
        <f>'IWP05'!K$358</f>
        <v>0</v>
      </c>
      <c r="I3414" s="211" t="str">
        <f>'IWP05'!L$358</f>
        <v>H.</v>
      </c>
      <c r="J3414" s="212" t="str">
        <f>'IWP05'!M$358</f>
        <v>I.</v>
      </c>
      <c r="K3414" s="106"/>
      <c r="L3414" s="106"/>
      <c r="M3414" s="129"/>
    </row>
    <row r="3415" spans="1:13" s="146" customFormat="1">
      <c r="A3415" s="193" t="s">
        <v>503</v>
      </c>
      <c r="B3415" s="210">
        <v>1</v>
      </c>
      <c r="C3415" s="191" t="str">
        <f>IF('IWP05'!E$359=0,"",'IWP05'!E$359)</f>
        <v xml:space="preserve">Items/Services Related to Billing Period </v>
      </c>
      <c r="D3415" s="211">
        <f>'IWP05'!G$359</f>
        <v>0</v>
      </c>
      <c r="E3415" s="211" t="str">
        <f>'IWP05'!H$359</f>
        <v xml:space="preserve">Item/
Service Verified Amounts
</v>
      </c>
      <c r="F3415" s="211" t="str">
        <f>'IWP05'!I$359</f>
        <v>Amount Due to DADS (E. - D.)</v>
      </c>
      <c r="G3415" s="191" t="str">
        <f>IF('IWP05'!J$359=0,"",'IWP05'!J$359)</f>
        <v>Amount Reimbursed to 
Employee(s)/Employer</v>
      </c>
      <c r="H3415" s="211">
        <f>'IWP05'!K$359</f>
        <v>0</v>
      </c>
      <c r="I3415" s="211" t="str">
        <f>'IWP05'!L$359</f>
        <v>Amount Due to Employee(s) (G. - E.)</v>
      </c>
      <c r="J3415" s="212" t="str">
        <f>'IWP05'!M$359</f>
        <v>Amount Due to Employer (G. - E.)</v>
      </c>
      <c r="K3415" s="106"/>
      <c r="L3415" s="106"/>
      <c r="M3415" s="129"/>
    </row>
    <row r="3416" spans="1:13" s="146" customFormat="1">
      <c r="A3416" s="193" t="s">
        <v>503</v>
      </c>
      <c r="B3416" s="210">
        <v>1</v>
      </c>
      <c r="C3416" s="191" t="str">
        <f>IF('IWP05'!E$360=0,"",'IWP05'!E$360)</f>
        <v>Item/Service</v>
      </c>
      <c r="D3416" s="211" t="str">
        <f>'IWP05'!G$360</f>
        <v>Itemized Amount Paid by DADS</v>
      </c>
      <c r="E3416" s="211">
        <f>'IWP05'!H$360</f>
        <v>0</v>
      </c>
      <c r="F3416" s="211">
        <f>'IWP05'!I$360</f>
        <v>0</v>
      </c>
      <c r="G3416" s="191" t="str">
        <f>IF('IWP05'!J$360=0,"",'IWP05'!J$360)</f>
        <v/>
      </c>
      <c r="H3416" s="211">
        <f>'IWP05'!K$360</f>
        <v>0</v>
      </c>
      <c r="I3416" s="211">
        <f>'IWP05'!L$360</f>
        <v>0</v>
      </c>
      <c r="J3416" s="212">
        <f>'IWP05'!M$360</f>
        <v>0</v>
      </c>
      <c r="K3416" s="106"/>
      <c r="L3416" s="106"/>
      <c r="M3416" s="129"/>
    </row>
    <row r="3417" spans="1:13" s="146" customFormat="1">
      <c r="A3417" s="193" t="s">
        <v>503</v>
      </c>
      <c r="B3417" s="210">
        <v>1</v>
      </c>
      <c r="C3417" s="191" t="str">
        <f>IF('IWP05'!E$361=0,"",'IWP05'!E$361)</f>
        <v/>
      </c>
      <c r="D3417" s="211">
        <f>'IWP05'!G$361</f>
        <v>0</v>
      </c>
      <c r="E3417" s="211">
        <f>'IWP05'!H$361</f>
        <v>0</v>
      </c>
      <c r="F3417" s="211">
        <f>'IWP05'!I$361</f>
        <v>0</v>
      </c>
      <c r="G3417" s="191" t="str">
        <f>IF('IWP05'!J$361=0,"",'IWP05'!J$361)</f>
        <v/>
      </c>
      <c r="H3417" s="211">
        <f>'IWP05'!K$361</f>
        <v>0</v>
      </c>
      <c r="I3417" s="211">
        <f>'IWP05'!L$361</f>
        <v>0</v>
      </c>
      <c r="J3417" s="212">
        <f>'IWP05'!M$361</f>
        <v>0</v>
      </c>
      <c r="K3417" s="106"/>
      <c r="L3417" s="106"/>
      <c r="M3417" s="129"/>
    </row>
    <row r="3418" spans="1:13" s="146" customFormat="1">
      <c r="A3418" s="193" t="s">
        <v>503</v>
      </c>
      <c r="B3418" s="210">
        <v>1</v>
      </c>
      <c r="C3418" s="191" t="str">
        <f>IF('IWP05'!E$362=0,"",'IWP05'!E$362)</f>
        <v/>
      </c>
      <c r="D3418" s="211">
        <f>'IWP05'!G$362</f>
        <v>0</v>
      </c>
      <c r="E3418" s="211">
        <f>'IWP05'!H$362</f>
        <v>0</v>
      </c>
      <c r="F3418" s="211">
        <f>'IWP05'!I$362</f>
        <v>0</v>
      </c>
      <c r="G3418" s="191" t="str">
        <f>IF('IWP05'!J$362=0,"",'IWP05'!J$362)</f>
        <v/>
      </c>
      <c r="H3418" s="211">
        <f>'IWP05'!K$362</f>
        <v>0</v>
      </c>
      <c r="I3418" s="211">
        <f>'IWP05'!L$362</f>
        <v>0</v>
      </c>
      <c r="J3418" s="212">
        <f>'IWP05'!M$362</f>
        <v>0</v>
      </c>
      <c r="K3418" s="106"/>
      <c r="L3418" s="106"/>
      <c r="M3418" s="129"/>
    </row>
    <row r="3419" spans="1:13" s="146" customFormat="1">
      <c r="A3419" s="193" t="s">
        <v>503</v>
      </c>
      <c r="B3419" s="210">
        <v>1</v>
      </c>
      <c r="C3419" s="191" t="str">
        <f>IF('IWP05'!E$363=0,"",'IWP05'!E$363)</f>
        <v/>
      </c>
      <c r="D3419" s="211">
        <f>'IWP05'!G$363</f>
        <v>0</v>
      </c>
      <c r="E3419" s="211">
        <f>'IWP05'!H$363</f>
        <v>0</v>
      </c>
      <c r="F3419" s="211">
        <f>'IWP05'!I$363</f>
        <v>0</v>
      </c>
      <c r="G3419" s="191" t="str">
        <f>IF('IWP05'!J$363=0,"",'IWP05'!J$363)</f>
        <v/>
      </c>
      <c r="H3419" s="211">
        <f>'IWP05'!K$363</f>
        <v>0</v>
      </c>
      <c r="I3419" s="211">
        <f>'IWP05'!L$363</f>
        <v>0</v>
      </c>
      <c r="J3419" s="212">
        <f>'IWP05'!M$363</f>
        <v>0</v>
      </c>
      <c r="K3419" s="106"/>
      <c r="L3419" s="106"/>
      <c r="M3419" s="129"/>
    </row>
    <row r="3420" spans="1:13" s="146" customFormat="1">
      <c r="A3420" s="193" t="s">
        <v>503</v>
      </c>
      <c r="B3420" s="210">
        <v>1</v>
      </c>
      <c r="C3420" s="191" t="str">
        <f>IF('IWP05'!E$364=0,"",'IWP05'!E$364)</f>
        <v/>
      </c>
      <c r="D3420" s="211">
        <f>'IWP05'!G$364</f>
        <v>0</v>
      </c>
      <c r="E3420" s="211">
        <f>'IWP05'!H$364</f>
        <v>0</v>
      </c>
      <c r="F3420" s="211">
        <f>'IWP05'!I$364</f>
        <v>0</v>
      </c>
      <c r="G3420" s="191" t="str">
        <f>IF('IWP05'!J$364=0,"",'IWP05'!J$364)</f>
        <v/>
      </c>
      <c r="H3420" s="211">
        <f>'IWP05'!K$364</f>
        <v>0</v>
      </c>
      <c r="I3420" s="211">
        <f>'IWP05'!L$364</f>
        <v>0</v>
      </c>
      <c r="J3420" s="212">
        <f>'IWP05'!M$364</f>
        <v>0</v>
      </c>
      <c r="K3420" s="106"/>
      <c r="L3420" s="106"/>
      <c r="M3420" s="129"/>
    </row>
    <row r="3421" spans="1:13" s="146" customFormat="1">
      <c r="A3421" s="193" t="s">
        <v>503</v>
      </c>
      <c r="B3421" s="210">
        <v>2</v>
      </c>
      <c r="C3421" s="191" t="str">
        <f>IF('IWP05'!E$371=0,"",'IWP05'!E$371)</f>
        <v>Subtotal column D.</v>
      </c>
      <c r="D3421" s="211">
        <f>'IWP05'!G$371</f>
        <v>0</v>
      </c>
      <c r="E3421" s="211">
        <f>'IWP05'!H$371</f>
        <v>0</v>
      </c>
      <c r="F3421" s="211">
        <f>'IWP05'!I$371</f>
        <v>0</v>
      </c>
      <c r="G3421" s="191" t="str">
        <f>IF('IWP05'!J$371=0,"",'IWP05'!J$371)</f>
        <v/>
      </c>
      <c r="H3421" s="211">
        <f>'IWP05'!K$371</f>
        <v>0</v>
      </c>
      <c r="I3421" s="211">
        <f>'IWP05'!L$371</f>
        <v>0</v>
      </c>
      <c r="J3421" s="212">
        <f>'IWP05'!M$371</f>
        <v>0</v>
      </c>
      <c r="K3421" s="106"/>
      <c r="L3421" s="106"/>
      <c r="M3421" s="129"/>
    </row>
    <row r="3422" spans="1:13" s="146" customFormat="1">
      <c r="A3422" s="193" t="s">
        <v>503</v>
      </c>
      <c r="B3422" s="210">
        <v>2</v>
      </c>
      <c r="C3422" s="191" t="str">
        <f>IF('IWP05'!E$372=0,"",'IWP05'!E$372)</f>
        <v>Unverified/Undocumented (Subtotal D - C)</v>
      </c>
      <c r="D3422" s="211">
        <f>'IWP05'!G$372</f>
        <v>0</v>
      </c>
      <c r="E3422" s="211">
        <f>'IWP05'!H$372</f>
        <v>0</v>
      </c>
      <c r="F3422" s="211">
        <f>'IWP05'!I$372</f>
        <v>0</v>
      </c>
      <c r="G3422" s="191" t="str">
        <f>IF('IWP05'!J$372=0,"",'IWP05'!J$372)</f>
        <v/>
      </c>
      <c r="H3422" s="211">
        <f>'IWP05'!K$372</f>
        <v>0</v>
      </c>
      <c r="I3422" s="211">
        <f>'IWP05'!L$372</f>
        <v>0</v>
      </c>
      <c r="J3422" s="212">
        <f>'IWP05'!M$372</f>
        <v>0</v>
      </c>
      <c r="K3422" s="106"/>
      <c r="L3422" s="106"/>
      <c r="M3422" s="129"/>
    </row>
    <row r="3423" spans="1:13" s="146" customFormat="1">
      <c r="A3423" s="193" t="s">
        <v>503</v>
      </c>
      <c r="B3423" s="210">
        <v>2</v>
      </c>
      <c r="C3423" s="191" t="str">
        <f>IF('IWP05'!E$373=0,"",'IWP05'!E$373)</f>
        <v>J. Billing Period Total</v>
      </c>
      <c r="D3423" s="211">
        <f>'IWP05'!G$373</f>
        <v>0</v>
      </c>
      <c r="E3423" s="211">
        <f>'IWP05'!H$373</f>
        <v>0</v>
      </c>
      <c r="F3423" s="211">
        <f>'IWP05'!I$373</f>
        <v>0</v>
      </c>
      <c r="G3423" s="191" t="str">
        <f>IF('IWP05'!J$373=0,"",'IWP05'!J$373)</f>
        <v/>
      </c>
      <c r="H3423" s="211">
        <f>'IWP05'!K$373</f>
        <v>0</v>
      </c>
      <c r="I3423" s="211">
        <f>'IWP05'!L$373</f>
        <v>0</v>
      </c>
      <c r="J3423" s="212">
        <f>'IWP05'!M$373</f>
        <v>0</v>
      </c>
      <c r="K3423" s="106"/>
      <c r="L3423" s="106"/>
      <c r="M3423" s="129"/>
    </row>
    <row r="3424" spans="1:13" s="146" customFormat="1">
      <c r="A3424" s="193" t="s">
        <v>503</v>
      </c>
      <c r="B3424" s="210">
        <v>2</v>
      </c>
      <c r="C3424" s="191" t="str">
        <f>IF('IWP05'!E$374=0,"",'IWP05'!E$374)</f>
        <v>D.</v>
      </c>
      <c r="D3424" s="211">
        <f>'IWP05'!G$374</f>
        <v>0</v>
      </c>
      <c r="E3424" s="211" t="str">
        <f>'IWP05'!H$374</f>
        <v>E.</v>
      </c>
      <c r="F3424" s="211" t="str">
        <f>'IWP05'!I$374</f>
        <v>F.</v>
      </c>
      <c r="G3424" s="191" t="str">
        <f>IF('IWP05'!J$374=0,"",'IWP05'!J$374)</f>
        <v>G.</v>
      </c>
      <c r="H3424" s="211">
        <f>'IWP05'!K$374</f>
        <v>0</v>
      </c>
      <c r="I3424" s="211" t="str">
        <f>'IWP05'!L$374</f>
        <v>H.</v>
      </c>
      <c r="J3424" s="212" t="str">
        <f>'IWP05'!M$374</f>
        <v>I.</v>
      </c>
      <c r="K3424" s="106"/>
      <c r="L3424" s="106"/>
      <c r="M3424" s="129"/>
    </row>
    <row r="3425" spans="1:13" s="146" customFormat="1">
      <c r="A3425" s="193" t="s">
        <v>503</v>
      </c>
      <c r="B3425" s="210">
        <v>2</v>
      </c>
      <c r="C3425" s="191" t="str">
        <f>IF('IWP05'!E$375=0,"",'IWP05'!E$375)</f>
        <v xml:space="preserve">Items/Services Related to Billing Period </v>
      </c>
      <c r="D3425" s="211">
        <f>'IWP05'!G$375</f>
        <v>0</v>
      </c>
      <c r="E3425" s="211" t="str">
        <f>'IWP05'!H$375</f>
        <v xml:space="preserve">Item/
Service Verified Amounts
</v>
      </c>
      <c r="F3425" s="211" t="str">
        <f>'IWP05'!I$375</f>
        <v>Amount Due to DADS (E. - D.)</v>
      </c>
      <c r="G3425" s="191" t="str">
        <f>IF('IWP05'!J$375=0,"",'IWP05'!J$375)</f>
        <v>Amount Reimbursed to 
Employee(s)/Employer</v>
      </c>
      <c r="H3425" s="211">
        <f>'IWP05'!K$375</f>
        <v>0</v>
      </c>
      <c r="I3425" s="211" t="str">
        <f>'IWP05'!L$375</f>
        <v>Amount Due to Employee(s) (G. - E.)</v>
      </c>
      <c r="J3425" s="212" t="str">
        <f>'IWP05'!M$375</f>
        <v>Amount Due to Employer (G. - E.)</v>
      </c>
      <c r="K3425" s="106"/>
      <c r="L3425" s="106"/>
      <c r="M3425" s="129"/>
    </row>
    <row r="3426" spans="1:13" s="146" customFormat="1">
      <c r="A3426" s="193" t="s">
        <v>503</v>
      </c>
      <c r="B3426" s="210">
        <v>2</v>
      </c>
      <c r="C3426" s="191" t="str">
        <f>IF('IWP05'!E$376=0,"",'IWP05'!E$376)</f>
        <v>Item/Service</v>
      </c>
      <c r="D3426" s="211" t="str">
        <f>'IWP05'!G$376</f>
        <v>Itemized Amount Paid by DADS</v>
      </c>
      <c r="E3426" s="211">
        <f>'IWP05'!H$376</f>
        <v>0</v>
      </c>
      <c r="F3426" s="211">
        <f>'IWP05'!I$376</f>
        <v>0</v>
      </c>
      <c r="G3426" s="191" t="str">
        <f>IF('IWP05'!J$376=0,"",'IWP05'!J$376)</f>
        <v/>
      </c>
      <c r="H3426" s="211">
        <f>'IWP05'!K$376</f>
        <v>0</v>
      </c>
      <c r="I3426" s="211">
        <f>'IWP05'!L$376</f>
        <v>0</v>
      </c>
      <c r="J3426" s="212">
        <f>'IWP05'!M$376</f>
        <v>0</v>
      </c>
      <c r="K3426" s="106"/>
      <c r="L3426" s="106"/>
      <c r="M3426" s="129"/>
    </row>
    <row r="3427" spans="1:13" s="146" customFormat="1">
      <c r="A3427" s="193" t="s">
        <v>503</v>
      </c>
      <c r="B3427" s="210">
        <v>2</v>
      </c>
      <c r="C3427" s="191" t="str">
        <f>IF('IWP05'!E$377=0,"",'IWP05'!E$377)</f>
        <v/>
      </c>
      <c r="D3427" s="211">
        <f>'IWP05'!G$377</f>
        <v>0</v>
      </c>
      <c r="E3427" s="211">
        <f>'IWP05'!H$377</f>
        <v>0</v>
      </c>
      <c r="F3427" s="211">
        <f>'IWP05'!I$377</f>
        <v>0</v>
      </c>
      <c r="G3427" s="191" t="str">
        <f>IF('IWP05'!J$377=0,"",'IWP05'!J$377)</f>
        <v/>
      </c>
      <c r="H3427" s="211">
        <f>'IWP05'!K$377</f>
        <v>0</v>
      </c>
      <c r="I3427" s="211">
        <f>'IWP05'!L$377</f>
        <v>0</v>
      </c>
      <c r="J3427" s="212">
        <f>'IWP05'!M$377</f>
        <v>0</v>
      </c>
      <c r="K3427" s="106"/>
      <c r="L3427" s="106"/>
      <c r="M3427" s="129"/>
    </row>
    <row r="3428" spans="1:13" s="146" customFormat="1">
      <c r="A3428" s="193" t="s">
        <v>503</v>
      </c>
      <c r="B3428" s="210">
        <v>2</v>
      </c>
      <c r="C3428" s="191" t="str">
        <f>IF('IWP05'!E$378=0,"",'IWP05'!E$378)</f>
        <v/>
      </c>
      <c r="D3428" s="211">
        <f>'IWP05'!G$378</f>
        <v>0</v>
      </c>
      <c r="E3428" s="211">
        <f>'IWP05'!H$378</f>
        <v>0</v>
      </c>
      <c r="F3428" s="211">
        <f>'IWP05'!I$378</f>
        <v>0</v>
      </c>
      <c r="G3428" s="191" t="str">
        <f>IF('IWP05'!J$378=0,"",'IWP05'!J$378)</f>
        <v/>
      </c>
      <c r="H3428" s="211">
        <f>'IWP05'!K$378</f>
        <v>0</v>
      </c>
      <c r="I3428" s="211">
        <f>'IWP05'!L$378</f>
        <v>0</v>
      </c>
      <c r="J3428" s="212">
        <f>'IWP05'!M$378</f>
        <v>0</v>
      </c>
      <c r="K3428" s="106"/>
      <c r="L3428" s="106"/>
      <c r="M3428" s="129"/>
    </row>
    <row r="3429" spans="1:13" s="146" customFormat="1">
      <c r="A3429" s="193" t="s">
        <v>503</v>
      </c>
      <c r="B3429" s="210">
        <v>2</v>
      </c>
      <c r="C3429" s="191" t="str">
        <f>IF('IWP05'!E$379=0,"",'IWP05'!E$379)</f>
        <v/>
      </c>
      <c r="D3429" s="211">
        <f>'IWP05'!G$379</f>
        <v>0</v>
      </c>
      <c r="E3429" s="211">
        <f>'IWP05'!H$379</f>
        <v>0</v>
      </c>
      <c r="F3429" s="211">
        <f>'IWP05'!I$379</f>
        <v>0</v>
      </c>
      <c r="G3429" s="191" t="str">
        <f>IF('IWP05'!J$379=0,"",'IWP05'!J$379)</f>
        <v/>
      </c>
      <c r="H3429" s="211">
        <f>'IWP05'!K$379</f>
        <v>0</v>
      </c>
      <c r="I3429" s="211">
        <f>'IWP05'!L$379</f>
        <v>0</v>
      </c>
      <c r="J3429" s="212">
        <f>'IWP05'!M$379</f>
        <v>0</v>
      </c>
      <c r="K3429" s="106"/>
      <c r="L3429" s="106"/>
      <c r="M3429" s="129"/>
    </row>
    <row r="3430" spans="1:13" s="146" customFormat="1">
      <c r="A3430" s="193" t="s">
        <v>503</v>
      </c>
      <c r="B3430" s="210">
        <v>2</v>
      </c>
      <c r="C3430" s="191" t="str">
        <f>IF('IWP05'!E$380=0,"",'IWP05'!E$380)</f>
        <v/>
      </c>
      <c r="D3430" s="211">
        <f>'IWP05'!G$380</f>
        <v>0</v>
      </c>
      <c r="E3430" s="211">
        <f>'IWP05'!H$380</f>
        <v>0</v>
      </c>
      <c r="F3430" s="211">
        <f>'IWP05'!I$380</f>
        <v>0</v>
      </c>
      <c r="G3430" s="191" t="str">
        <f>IF('IWP05'!J$380=0,"",'IWP05'!J$380)</f>
        <v/>
      </c>
      <c r="H3430" s="211">
        <f>'IWP05'!K$380</f>
        <v>0</v>
      </c>
      <c r="I3430" s="211">
        <f>'IWP05'!L$380</f>
        <v>0</v>
      </c>
      <c r="J3430" s="212">
        <f>'IWP05'!M$380</f>
        <v>0</v>
      </c>
      <c r="K3430" s="106"/>
      <c r="L3430" s="106"/>
      <c r="M3430" s="129"/>
    </row>
    <row r="3431" spans="1:13" s="146" customFormat="1">
      <c r="A3431" s="193" t="s">
        <v>503</v>
      </c>
      <c r="B3431" s="210">
        <v>3</v>
      </c>
      <c r="C3431" s="191" t="str">
        <f>IF('IWP05'!E$387=0,"",'IWP05'!E$387)</f>
        <v>Subtotal column D.</v>
      </c>
      <c r="D3431" s="211">
        <f>'IWP05'!G$387</f>
        <v>0</v>
      </c>
      <c r="E3431" s="211">
        <f>'IWP05'!H$387</f>
        <v>0</v>
      </c>
      <c r="F3431" s="211">
        <f>'IWP05'!I$387</f>
        <v>0</v>
      </c>
      <c r="G3431" s="191" t="str">
        <f>IF('IWP05'!J$387=0,"",'IWP05'!J$387)</f>
        <v/>
      </c>
      <c r="H3431" s="211">
        <f>'IWP05'!K$387</f>
        <v>0</v>
      </c>
      <c r="I3431" s="211">
        <f>'IWP05'!L$387</f>
        <v>0</v>
      </c>
      <c r="J3431" s="212">
        <f>'IWP05'!M$387</f>
        <v>0</v>
      </c>
      <c r="K3431" s="106"/>
      <c r="L3431" s="106"/>
      <c r="M3431" s="129"/>
    </row>
    <row r="3432" spans="1:13" s="146" customFormat="1">
      <c r="A3432" s="193" t="s">
        <v>503</v>
      </c>
      <c r="B3432" s="210">
        <v>3</v>
      </c>
      <c r="C3432" s="191" t="str">
        <f>IF('IWP05'!E$388=0,"",'IWP05'!E$388)</f>
        <v>Unverified/Undocumented (Subtotal D - C)</v>
      </c>
      <c r="D3432" s="211">
        <f>'IWP05'!G$388</f>
        <v>0</v>
      </c>
      <c r="E3432" s="211">
        <f>'IWP05'!H$388</f>
        <v>0</v>
      </c>
      <c r="F3432" s="211">
        <f>'IWP05'!I$388</f>
        <v>0</v>
      </c>
      <c r="G3432" s="191" t="str">
        <f>IF('IWP05'!J$388=0,"",'IWP05'!J$388)</f>
        <v/>
      </c>
      <c r="H3432" s="211">
        <f>'IWP05'!K$388</f>
        <v>0</v>
      </c>
      <c r="I3432" s="211">
        <f>'IWP05'!L$388</f>
        <v>0</v>
      </c>
      <c r="J3432" s="212">
        <f>'IWP05'!M$388</f>
        <v>0</v>
      </c>
      <c r="K3432" s="106"/>
      <c r="L3432" s="106"/>
      <c r="M3432" s="129"/>
    </row>
    <row r="3433" spans="1:13" s="146" customFormat="1">
      <c r="A3433" s="193" t="s">
        <v>503</v>
      </c>
      <c r="B3433" s="210">
        <v>3</v>
      </c>
      <c r="C3433" s="191" t="str">
        <f>IF('IWP05'!E$389=0,"",'IWP05'!E$389)</f>
        <v>J. Billing Period Total</v>
      </c>
      <c r="D3433" s="211">
        <f>'IWP05'!G$389</f>
        <v>0</v>
      </c>
      <c r="E3433" s="211">
        <f>'IWP05'!H$389</f>
        <v>0</v>
      </c>
      <c r="F3433" s="211">
        <f>'IWP05'!I$389</f>
        <v>0</v>
      </c>
      <c r="G3433" s="191" t="str">
        <f>IF('IWP05'!J$389=0,"",'IWP05'!J$389)</f>
        <v/>
      </c>
      <c r="H3433" s="211">
        <f>'IWP05'!K$389</f>
        <v>0</v>
      </c>
      <c r="I3433" s="211">
        <f>'IWP05'!L$389</f>
        <v>0</v>
      </c>
      <c r="J3433" s="212">
        <f>'IWP05'!M$389</f>
        <v>0</v>
      </c>
      <c r="K3433" s="106"/>
      <c r="L3433" s="106"/>
      <c r="M3433" s="129"/>
    </row>
    <row r="3434" spans="1:13" s="146" customFormat="1">
      <c r="A3434" s="193" t="s">
        <v>503</v>
      </c>
      <c r="B3434" s="210">
        <v>3</v>
      </c>
      <c r="C3434" s="191" t="str">
        <f>IF('IWP05'!E$390=0,"",'IWP05'!E$390)</f>
        <v>D.</v>
      </c>
      <c r="D3434" s="211">
        <f>'IWP05'!G$390</f>
        <v>0</v>
      </c>
      <c r="E3434" s="211" t="str">
        <f>'IWP05'!H$390</f>
        <v>E.</v>
      </c>
      <c r="F3434" s="211" t="str">
        <f>'IWP05'!I$390</f>
        <v>F.</v>
      </c>
      <c r="G3434" s="191" t="str">
        <f>IF('IWP05'!J$390=0,"",'IWP05'!J$390)</f>
        <v>G.</v>
      </c>
      <c r="H3434" s="211">
        <f>'IWP05'!K$390</f>
        <v>0</v>
      </c>
      <c r="I3434" s="211" t="str">
        <f>'IWP05'!L$390</f>
        <v>H.</v>
      </c>
      <c r="J3434" s="212" t="str">
        <f>'IWP05'!M$390</f>
        <v>I.</v>
      </c>
      <c r="K3434" s="106"/>
      <c r="L3434" s="106"/>
      <c r="M3434" s="129"/>
    </row>
    <row r="3435" spans="1:13" s="146" customFormat="1">
      <c r="A3435" s="193" t="s">
        <v>503</v>
      </c>
      <c r="B3435" s="210">
        <v>3</v>
      </c>
      <c r="C3435" s="191" t="str">
        <f>IF('IWP05'!E$391=0,"",'IWP05'!E$391)</f>
        <v xml:space="preserve">Items/Services Related to Billing Period </v>
      </c>
      <c r="D3435" s="211">
        <f>'IWP05'!G$391</f>
        <v>0</v>
      </c>
      <c r="E3435" s="211" t="str">
        <f>'IWP05'!H$391</f>
        <v xml:space="preserve">Item/
Service Verified Amounts
</v>
      </c>
      <c r="F3435" s="211" t="str">
        <f>'IWP05'!I$391</f>
        <v>Amount Due to DADS (E. - D.)</v>
      </c>
      <c r="G3435" s="191" t="str">
        <f>IF('IWP05'!J$391=0,"",'IWP05'!J$391)</f>
        <v>Amount Reimbursed to 
Employee(s)/Employer</v>
      </c>
      <c r="H3435" s="211">
        <f>'IWP05'!K$391</f>
        <v>0</v>
      </c>
      <c r="I3435" s="211" t="str">
        <f>'IWP05'!L$391</f>
        <v>Amount Due to Employee(s) (G. - E.)</v>
      </c>
      <c r="J3435" s="212" t="str">
        <f>'IWP05'!M$391</f>
        <v>Amount Due to Employer (G. - E.)</v>
      </c>
      <c r="K3435" s="106"/>
      <c r="L3435" s="106"/>
      <c r="M3435" s="129"/>
    </row>
    <row r="3436" spans="1:13" s="146" customFormat="1">
      <c r="A3436" s="193" t="s">
        <v>503</v>
      </c>
      <c r="B3436" s="210">
        <v>3</v>
      </c>
      <c r="C3436" s="191" t="str">
        <f>IF('IWP05'!E$392=0,"",'IWP05'!E$392)</f>
        <v>Item/Service</v>
      </c>
      <c r="D3436" s="211" t="str">
        <f>'IWP05'!G$392</f>
        <v>Itemized Amount Paid by DADS</v>
      </c>
      <c r="E3436" s="211">
        <f>'IWP05'!H$392</f>
        <v>0</v>
      </c>
      <c r="F3436" s="211">
        <f>'IWP05'!I$392</f>
        <v>0</v>
      </c>
      <c r="G3436" s="191" t="str">
        <f>IF('IWP05'!J$392=0,"",'IWP05'!J$392)</f>
        <v/>
      </c>
      <c r="H3436" s="211">
        <f>'IWP05'!K$392</f>
        <v>0</v>
      </c>
      <c r="I3436" s="211">
        <f>'IWP05'!L$392</f>
        <v>0</v>
      </c>
      <c r="J3436" s="212">
        <f>'IWP05'!M$392</f>
        <v>0</v>
      </c>
      <c r="K3436" s="106"/>
      <c r="L3436" s="106"/>
      <c r="M3436" s="129"/>
    </row>
    <row r="3437" spans="1:13" s="146" customFormat="1">
      <c r="A3437" s="193" t="s">
        <v>503</v>
      </c>
      <c r="B3437" s="210">
        <v>3</v>
      </c>
      <c r="C3437" s="191" t="str">
        <f>IF('IWP05'!E$393=0,"",'IWP05'!E$393)</f>
        <v/>
      </c>
      <c r="D3437" s="211">
        <f>'IWP05'!G$393</f>
        <v>0</v>
      </c>
      <c r="E3437" s="211">
        <f>'IWP05'!H$393</f>
        <v>0</v>
      </c>
      <c r="F3437" s="211">
        <f>'IWP05'!I$393</f>
        <v>0</v>
      </c>
      <c r="G3437" s="191" t="str">
        <f>IF('IWP05'!J$393=0,"",'IWP05'!J$393)</f>
        <v/>
      </c>
      <c r="H3437" s="211">
        <f>'IWP05'!K$393</f>
        <v>0</v>
      </c>
      <c r="I3437" s="211">
        <f>'IWP05'!L$393</f>
        <v>0</v>
      </c>
      <c r="J3437" s="212">
        <f>'IWP05'!M$393</f>
        <v>0</v>
      </c>
      <c r="K3437" s="106"/>
      <c r="L3437" s="106"/>
      <c r="M3437" s="129"/>
    </row>
    <row r="3438" spans="1:13" s="146" customFormat="1">
      <c r="A3438" s="193" t="s">
        <v>503</v>
      </c>
      <c r="B3438" s="210">
        <v>3</v>
      </c>
      <c r="C3438" s="191" t="str">
        <f>IF('IWP05'!E$394=0,"",'IWP05'!E$394)</f>
        <v/>
      </c>
      <c r="D3438" s="211">
        <f>'IWP05'!G$394</f>
        <v>0</v>
      </c>
      <c r="E3438" s="211">
        <f>'IWP05'!H$394</f>
        <v>0</v>
      </c>
      <c r="F3438" s="211">
        <f>'IWP05'!I$394</f>
        <v>0</v>
      </c>
      <c r="G3438" s="191" t="str">
        <f>IF('IWP05'!J$394=0,"",'IWP05'!J$394)</f>
        <v/>
      </c>
      <c r="H3438" s="211">
        <f>'IWP05'!K$394</f>
        <v>0</v>
      </c>
      <c r="I3438" s="211">
        <f>'IWP05'!L$394</f>
        <v>0</v>
      </c>
      <c r="J3438" s="212">
        <f>'IWP05'!M$394</f>
        <v>0</v>
      </c>
      <c r="K3438" s="106"/>
      <c r="L3438" s="106"/>
      <c r="M3438" s="129"/>
    </row>
    <row r="3439" spans="1:13" s="146" customFormat="1">
      <c r="A3439" s="193" t="s">
        <v>503</v>
      </c>
      <c r="B3439" s="210">
        <v>3</v>
      </c>
      <c r="C3439" s="191" t="str">
        <f>IF('IWP05'!E$395=0,"",'IWP05'!E$395)</f>
        <v/>
      </c>
      <c r="D3439" s="211">
        <f>'IWP05'!G$395</f>
        <v>0</v>
      </c>
      <c r="E3439" s="211">
        <f>'IWP05'!H$395</f>
        <v>0</v>
      </c>
      <c r="F3439" s="211">
        <f>'IWP05'!I$395</f>
        <v>0</v>
      </c>
      <c r="G3439" s="191" t="str">
        <f>IF('IWP05'!J$395=0,"",'IWP05'!J$395)</f>
        <v/>
      </c>
      <c r="H3439" s="211">
        <f>'IWP05'!K$395</f>
        <v>0</v>
      </c>
      <c r="I3439" s="211">
        <f>'IWP05'!L$395</f>
        <v>0</v>
      </c>
      <c r="J3439" s="212">
        <f>'IWP05'!M$395</f>
        <v>0</v>
      </c>
      <c r="K3439" s="106"/>
      <c r="L3439" s="106"/>
      <c r="M3439" s="129"/>
    </row>
    <row r="3440" spans="1:13" s="146" customFormat="1">
      <c r="A3440" s="193" t="s">
        <v>503</v>
      </c>
      <c r="B3440" s="210">
        <v>3</v>
      </c>
      <c r="C3440" s="191" t="str">
        <f>IF('IWP05'!E$396=0,"",'IWP05'!E$396)</f>
        <v/>
      </c>
      <c r="D3440" s="211">
        <f>'IWP05'!G$396</f>
        <v>0</v>
      </c>
      <c r="E3440" s="211">
        <f>'IWP05'!H$396</f>
        <v>0</v>
      </c>
      <c r="F3440" s="211">
        <f>'IWP05'!I$396</f>
        <v>0</v>
      </c>
      <c r="G3440" s="191" t="str">
        <f>IF('IWP05'!J$396=0,"",'IWP05'!J$396)</f>
        <v/>
      </c>
      <c r="H3440" s="211">
        <f>'IWP05'!K$396</f>
        <v>0</v>
      </c>
      <c r="I3440" s="211">
        <f>'IWP05'!L$396</f>
        <v>0</v>
      </c>
      <c r="J3440" s="212">
        <f>'IWP05'!M$396</f>
        <v>0</v>
      </c>
      <c r="K3440" s="106"/>
      <c r="L3440" s="106"/>
      <c r="M3440" s="129"/>
    </row>
    <row r="3441" spans="1:13" s="146" customFormat="1">
      <c r="A3441" s="193" t="s">
        <v>503</v>
      </c>
      <c r="B3441" s="210">
        <v>4</v>
      </c>
      <c r="C3441" s="191" t="str">
        <f>IF('IWP05'!E$403=0,"",'IWP05'!E$403)</f>
        <v>Subtotal column D.</v>
      </c>
      <c r="D3441" s="211">
        <f>'IWP05'!G$403</f>
        <v>0</v>
      </c>
      <c r="E3441" s="211">
        <f>'IWP05'!H$403</f>
        <v>0</v>
      </c>
      <c r="F3441" s="211">
        <f>'IWP05'!I$403</f>
        <v>0</v>
      </c>
      <c r="G3441" s="191" t="str">
        <f>IF('IWP05'!J$403=0,"",'IWP05'!J$403)</f>
        <v/>
      </c>
      <c r="H3441" s="211">
        <f>'IWP05'!K$403</f>
        <v>0</v>
      </c>
      <c r="I3441" s="211">
        <f>'IWP05'!L$403</f>
        <v>0</v>
      </c>
      <c r="J3441" s="212">
        <f>'IWP05'!M$403</f>
        <v>0</v>
      </c>
      <c r="K3441" s="106"/>
      <c r="L3441" s="106"/>
      <c r="M3441" s="129"/>
    </row>
    <row r="3442" spans="1:13" s="146" customFormat="1">
      <c r="A3442" s="193" t="s">
        <v>503</v>
      </c>
      <c r="B3442" s="210">
        <v>4</v>
      </c>
      <c r="C3442" s="191" t="str">
        <f>IF('IWP05'!E$404=0,"",'IWP05'!E$404)</f>
        <v>Unverified/Undocumented (Subtotal D - C)</v>
      </c>
      <c r="D3442" s="211">
        <f>'IWP05'!G$404</f>
        <v>0</v>
      </c>
      <c r="E3442" s="211">
        <f>'IWP05'!H$404</f>
        <v>0</v>
      </c>
      <c r="F3442" s="211">
        <f>'IWP05'!I$404</f>
        <v>0</v>
      </c>
      <c r="G3442" s="191" t="str">
        <f>IF('IWP05'!J$404=0,"",'IWP05'!J$404)</f>
        <v/>
      </c>
      <c r="H3442" s="211">
        <f>'IWP05'!K$404</f>
        <v>0</v>
      </c>
      <c r="I3442" s="211">
        <f>'IWP05'!L$404</f>
        <v>0</v>
      </c>
      <c r="J3442" s="212">
        <f>'IWP05'!M$404</f>
        <v>0</v>
      </c>
      <c r="K3442" s="106"/>
      <c r="L3442" s="106"/>
      <c r="M3442" s="129"/>
    </row>
    <row r="3443" spans="1:13" s="146" customFormat="1">
      <c r="A3443" s="193" t="s">
        <v>503</v>
      </c>
      <c r="B3443" s="210">
        <v>4</v>
      </c>
      <c r="C3443" s="191" t="str">
        <f>IF('IWP05'!E$405=0,"",'IWP05'!E$405)</f>
        <v>J. Billing Period Total</v>
      </c>
      <c r="D3443" s="211">
        <f>'IWP05'!G$405</f>
        <v>0</v>
      </c>
      <c r="E3443" s="211">
        <f>'IWP05'!H$405</f>
        <v>0</v>
      </c>
      <c r="F3443" s="211">
        <f>'IWP05'!I$405</f>
        <v>0</v>
      </c>
      <c r="G3443" s="191" t="str">
        <f>IF('IWP05'!J$405=0,"",'IWP05'!J$405)</f>
        <v/>
      </c>
      <c r="H3443" s="211">
        <f>'IWP05'!K$405</f>
        <v>0</v>
      </c>
      <c r="I3443" s="211">
        <f>'IWP05'!L$405</f>
        <v>0</v>
      </c>
      <c r="J3443" s="212">
        <f>'IWP05'!M$405</f>
        <v>0</v>
      </c>
      <c r="K3443" s="106"/>
      <c r="L3443" s="106"/>
      <c r="M3443" s="129"/>
    </row>
    <row r="3444" spans="1:13" s="146" customFormat="1">
      <c r="A3444" s="193" t="s">
        <v>503</v>
      </c>
      <c r="B3444" s="210">
        <v>4</v>
      </c>
      <c r="C3444" s="191" t="str">
        <f>IF('IWP05'!E$406=0,"",'IWP05'!E$406)</f>
        <v>D.</v>
      </c>
      <c r="D3444" s="211">
        <f>'IWP05'!G$406</f>
        <v>0</v>
      </c>
      <c r="E3444" s="211" t="str">
        <f>'IWP05'!H$406</f>
        <v>E.</v>
      </c>
      <c r="F3444" s="211" t="str">
        <f>'IWP05'!I$406</f>
        <v>F.</v>
      </c>
      <c r="G3444" s="191" t="str">
        <f>IF('IWP05'!J$406=0,"",'IWP05'!J$406)</f>
        <v>G.</v>
      </c>
      <c r="H3444" s="211">
        <f>'IWP05'!K$406</f>
        <v>0</v>
      </c>
      <c r="I3444" s="211" t="str">
        <f>'IWP05'!L$406</f>
        <v>H.</v>
      </c>
      <c r="J3444" s="212" t="str">
        <f>'IWP05'!M$406</f>
        <v>I.</v>
      </c>
      <c r="K3444" s="106"/>
      <c r="L3444" s="106"/>
      <c r="M3444" s="129"/>
    </row>
    <row r="3445" spans="1:13" s="146" customFormat="1">
      <c r="A3445" s="193" t="s">
        <v>503</v>
      </c>
      <c r="B3445" s="210">
        <v>4</v>
      </c>
      <c r="C3445" s="191" t="str">
        <f>IF('IWP05'!E$407=0,"",'IWP05'!E$407)</f>
        <v xml:space="preserve">Items/Services Related to Billing Period </v>
      </c>
      <c r="D3445" s="211">
        <f>'IWP05'!G$407</f>
        <v>0</v>
      </c>
      <c r="E3445" s="211" t="str">
        <f>'IWP05'!H$407</f>
        <v xml:space="preserve">Item/
Service Verified Amounts
</v>
      </c>
      <c r="F3445" s="211" t="str">
        <f>'IWP05'!I$407</f>
        <v>Amount Due to DADS (E. - D.)</v>
      </c>
      <c r="G3445" s="191" t="str">
        <f>IF('IWP05'!J$407=0,"",'IWP05'!J$407)</f>
        <v>Amount Reimbursed to 
Employee(s)/Employer</v>
      </c>
      <c r="H3445" s="211">
        <f>'IWP05'!K$407</f>
        <v>0</v>
      </c>
      <c r="I3445" s="211" t="str">
        <f>'IWP05'!L$407</f>
        <v>Amount Due to Employee(s) (G. - E.)</v>
      </c>
      <c r="J3445" s="212" t="str">
        <f>'IWP05'!M$407</f>
        <v>Amount Due to Employer (G. - E.)</v>
      </c>
      <c r="K3445" s="106"/>
      <c r="L3445" s="106"/>
      <c r="M3445" s="129"/>
    </row>
    <row r="3446" spans="1:13" s="146" customFormat="1">
      <c r="A3446" s="193" t="s">
        <v>503</v>
      </c>
      <c r="B3446" s="210">
        <v>4</v>
      </c>
      <c r="C3446" s="191" t="str">
        <f>IF('IWP05'!E$408=0,"",'IWP05'!E$408)</f>
        <v>Item/Service</v>
      </c>
      <c r="D3446" s="211" t="str">
        <f>'IWP05'!G$408</f>
        <v>Itemized Amount Paid by DADS</v>
      </c>
      <c r="E3446" s="211">
        <f>'IWP05'!H$408</f>
        <v>0</v>
      </c>
      <c r="F3446" s="211">
        <f>'IWP05'!I$408</f>
        <v>0</v>
      </c>
      <c r="G3446" s="191" t="str">
        <f>IF('IWP05'!J$408=0,"",'IWP05'!J$408)</f>
        <v/>
      </c>
      <c r="H3446" s="211">
        <f>'IWP05'!K$408</f>
        <v>0</v>
      </c>
      <c r="I3446" s="211">
        <f>'IWP05'!L$408</f>
        <v>0</v>
      </c>
      <c r="J3446" s="212">
        <f>'IWP05'!M$408</f>
        <v>0</v>
      </c>
      <c r="K3446" s="106"/>
      <c r="L3446" s="106"/>
      <c r="M3446" s="129"/>
    </row>
    <row r="3447" spans="1:13" s="146" customFormat="1">
      <c r="A3447" s="193" t="s">
        <v>503</v>
      </c>
      <c r="B3447" s="210">
        <v>4</v>
      </c>
      <c r="C3447" s="191" t="str">
        <f>IF('IWP05'!E$409=0,"",'IWP05'!E$409)</f>
        <v/>
      </c>
      <c r="D3447" s="211">
        <f>'IWP05'!G$409</f>
        <v>0</v>
      </c>
      <c r="E3447" s="211">
        <f>'IWP05'!H$409</f>
        <v>0</v>
      </c>
      <c r="F3447" s="211">
        <f>'IWP05'!I$409</f>
        <v>0</v>
      </c>
      <c r="G3447" s="191" t="str">
        <f>IF('IWP05'!J$409=0,"",'IWP05'!J$409)</f>
        <v/>
      </c>
      <c r="H3447" s="211">
        <f>'IWP05'!K$409</f>
        <v>0</v>
      </c>
      <c r="I3447" s="211">
        <f>'IWP05'!L$409</f>
        <v>0</v>
      </c>
      <c r="J3447" s="212">
        <f>'IWP05'!M$409</f>
        <v>0</v>
      </c>
      <c r="K3447" s="106"/>
      <c r="L3447" s="106"/>
      <c r="M3447" s="129"/>
    </row>
    <row r="3448" spans="1:13" s="146" customFormat="1">
      <c r="A3448" s="193" t="s">
        <v>503</v>
      </c>
      <c r="B3448" s="210">
        <v>4</v>
      </c>
      <c r="C3448" s="191" t="str">
        <f>IF('IWP05'!E$410=0,"",'IWP05'!E$410)</f>
        <v/>
      </c>
      <c r="D3448" s="211">
        <f>'IWP05'!G$410</f>
        <v>0</v>
      </c>
      <c r="E3448" s="211">
        <f>'IWP05'!H$410</f>
        <v>0</v>
      </c>
      <c r="F3448" s="211">
        <f>'IWP05'!I$410</f>
        <v>0</v>
      </c>
      <c r="G3448" s="191" t="str">
        <f>IF('IWP05'!J$410=0,"",'IWP05'!J$410)</f>
        <v/>
      </c>
      <c r="H3448" s="211">
        <f>'IWP05'!K$410</f>
        <v>0</v>
      </c>
      <c r="I3448" s="211">
        <f>'IWP05'!L$410</f>
        <v>0</v>
      </c>
      <c r="J3448" s="212">
        <f>'IWP05'!M$410</f>
        <v>0</v>
      </c>
      <c r="K3448" s="106"/>
      <c r="L3448" s="106"/>
      <c r="M3448" s="129"/>
    </row>
    <row r="3449" spans="1:13" s="146" customFormat="1">
      <c r="A3449" s="193" t="s">
        <v>503</v>
      </c>
      <c r="B3449" s="210">
        <v>4</v>
      </c>
      <c r="C3449" s="191" t="str">
        <f>IF('IWP05'!E$411=0,"",'IWP05'!E$411)</f>
        <v/>
      </c>
      <c r="D3449" s="211">
        <f>'IWP05'!G$411</f>
        <v>0</v>
      </c>
      <c r="E3449" s="211">
        <f>'IWP05'!H$411</f>
        <v>0</v>
      </c>
      <c r="F3449" s="211">
        <f>'IWP05'!I$411</f>
        <v>0</v>
      </c>
      <c r="G3449" s="191" t="str">
        <f>IF('IWP05'!J$411=0,"",'IWP05'!J$411)</f>
        <v/>
      </c>
      <c r="H3449" s="211">
        <f>'IWP05'!K$411</f>
        <v>0</v>
      </c>
      <c r="I3449" s="211">
        <f>'IWP05'!L$411</f>
        <v>0</v>
      </c>
      <c r="J3449" s="212">
        <f>'IWP05'!M$411</f>
        <v>0</v>
      </c>
      <c r="K3449" s="106"/>
      <c r="L3449" s="106"/>
      <c r="M3449" s="129"/>
    </row>
    <row r="3450" spans="1:13" s="146" customFormat="1">
      <c r="A3450" s="193" t="s">
        <v>503</v>
      </c>
      <c r="B3450" s="210">
        <v>4</v>
      </c>
      <c r="C3450" s="191" t="str">
        <f>IF('IWP05'!E$412=0,"",'IWP05'!E$412)</f>
        <v/>
      </c>
      <c r="D3450" s="211">
        <f>'IWP05'!G$412</f>
        <v>0</v>
      </c>
      <c r="E3450" s="211">
        <f>'IWP05'!H$412</f>
        <v>0</v>
      </c>
      <c r="F3450" s="211">
        <f>'IWP05'!I$412</f>
        <v>0</v>
      </c>
      <c r="G3450" s="191" t="str">
        <f>IF('IWP05'!J$412=0,"",'IWP05'!J$412)</f>
        <v/>
      </c>
      <c r="H3450" s="211">
        <f>'IWP05'!K$412</f>
        <v>0</v>
      </c>
      <c r="I3450" s="211">
        <f>'IWP05'!L$412</f>
        <v>0</v>
      </c>
      <c r="J3450" s="212">
        <f>'IWP05'!M$412</f>
        <v>0</v>
      </c>
      <c r="K3450" s="106"/>
      <c r="L3450" s="106"/>
      <c r="M3450" s="129"/>
    </row>
    <row r="3451" spans="1:13" s="146" customFormat="1">
      <c r="A3451" s="193" t="s">
        <v>503</v>
      </c>
      <c r="B3451" s="210">
        <v>5</v>
      </c>
      <c r="C3451" s="191" t="str">
        <f>IF('IWP05'!E$419=0,"",'IWP05'!E$419)</f>
        <v>Subtotal column D.</v>
      </c>
      <c r="D3451" s="211">
        <f>'IWP05'!G$419</f>
        <v>0</v>
      </c>
      <c r="E3451" s="211">
        <f>'IWP05'!H$419</f>
        <v>0</v>
      </c>
      <c r="F3451" s="211">
        <f>'IWP05'!I$419</f>
        <v>0</v>
      </c>
      <c r="G3451" s="191" t="str">
        <f>IF('IWP05'!J$419=0,"",'IWP05'!J$419)</f>
        <v/>
      </c>
      <c r="H3451" s="211">
        <f>'IWP05'!K$419</f>
        <v>0</v>
      </c>
      <c r="I3451" s="211">
        <f>'IWP05'!L$419</f>
        <v>0</v>
      </c>
      <c r="J3451" s="212">
        <f>'IWP05'!M$419</f>
        <v>0</v>
      </c>
      <c r="K3451" s="106"/>
      <c r="L3451" s="106"/>
      <c r="M3451" s="129"/>
    </row>
    <row r="3452" spans="1:13" s="146" customFormat="1">
      <c r="A3452" s="193" t="s">
        <v>503</v>
      </c>
      <c r="B3452" s="210">
        <v>5</v>
      </c>
      <c r="C3452" s="191" t="str">
        <f>IF('IWP05'!E$420=0,"",'IWP05'!E$420)</f>
        <v>Unverified/Undocumented (Subtotal D - C)</v>
      </c>
      <c r="D3452" s="211">
        <f>'IWP05'!G$420</f>
        <v>0</v>
      </c>
      <c r="E3452" s="211">
        <f>'IWP05'!H$420</f>
        <v>0</v>
      </c>
      <c r="F3452" s="211">
        <f>'IWP05'!I$420</f>
        <v>0</v>
      </c>
      <c r="G3452" s="191" t="str">
        <f>IF('IWP05'!J$420=0,"",'IWP05'!J$420)</f>
        <v/>
      </c>
      <c r="H3452" s="211">
        <f>'IWP05'!K$420</f>
        <v>0</v>
      </c>
      <c r="I3452" s="211">
        <f>'IWP05'!L$420</f>
        <v>0</v>
      </c>
      <c r="J3452" s="212">
        <f>'IWP05'!M$420</f>
        <v>0</v>
      </c>
      <c r="K3452" s="106"/>
      <c r="L3452" s="106"/>
      <c r="M3452" s="129"/>
    </row>
    <row r="3453" spans="1:13" s="146" customFormat="1">
      <c r="A3453" s="193" t="s">
        <v>503</v>
      </c>
      <c r="B3453" s="210">
        <v>5</v>
      </c>
      <c r="C3453" s="191" t="str">
        <f>IF('IWP05'!E$421=0,"",'IWP05'!E$421)</f>
        <v>J. Billing Period Total</v>
      </c>
      <c r="D3453" s="211">
        <f>'IWP05'!G$421</f>
        <v>0</v>
      </c>
      <c r="E3453" s="211">
        <f>'IWP05'!H$421</f>
        <v>0</v>
      </c>
      <c r="F3453" s="211">
        <f>'IWP05'!I$421</f>
        <v>0</v>
      </c>
      <c r="G3453" s="191" t="str">
        <f>IF('IWP05'!J$421=0,"",'IWP05'!J$421)</f>
        <v/>
      </c>
      <c r="H3453" s="211">
        <f>'IWP05'!K$421</f>
        <v>0</v>
      </c>
      <c r="I3453" s="211">
        <f>'IWP05'!L$421</f>
        <v>0</v>
      </c>
      <c r="J3453" s="212">
        <f>'IWP05'!M$421</f>
        <v>0</v>
      </c>
      <c r="K3453" s="106"/>
      <c r="L3453" s="106"/>
      <c r="M3453" s="129"/>
    </row>
    <row r="3454" spans="1:13" s="146" customFormat="1">
      <c r="A3454" s="193" t="s">
        <v>503</v>
      </c>
      <c r="B3454" s="210">
        <v>5</v>
      </c>
      <c r="C3454" s="191" t="str">
        <f>IF('IWP05'!E$422=0,"",'IWP05'!E$422)</f>
        <v>D.</v>
      </c>
      <c r="D3454" s="211">
        <f>'IWP05'!G$422</f>
        <v>0</v>
      </c>
      <c r="E3454" s="211" t="str">
        <f>'IWP05'!H$422</f>
        <v>E.</v>
      </c>
      <c r="F3454" s="211" t="str">
        <f>'IWP05'!I$422</f>
        <v>F.</v>
      </c>
      <c r="G3454" s="191" t="str">
        <f>IF('IWP05'!J$422=0,"",'IWP05'!J$422)</f>
        <v>G.</v>
      </c>
      <c r="H3454" s="211">
        <f>'IWP05'!K$422</f>
        <v>0</v>
      </c>
      <c r="I3454" s="211" t="str">
        <f>'IWP05'!L$422</f>
        <v>H.</v>
      </c>
      <c r="J3454" s="212" t="str">
        <f>'IWP05'!M$422</f>
        <v>I.</v>
      </c>
      <c r="K3454" s="106"/>
      <c r="L3454" s="106"/>
      <c r="M3454" s="129"/>
    </row>
    <row r="3455" spans="1:13" s="146" customFormat="1">
      <c r="A3455" s="193" t="s">
        <v>503</v>
      </c>
      <c r="B3455" s="210">
        <v>5</v>
      </c>
      <c r="C3455" s="191" t="str">
        <f>IF('IWP05'!E$423=0,"",'IWP05'!E$423)</f>
        <v xml:space="preserve">Items/Services Related to Billing Period </v>
      </c>
      <c r="D3455" s="211">
        <f>'IWP05'!G$423</f>
        <v>0</v>
      </c>
      <c r="E3455" s="211" t="str">
        <f>'IWP05'!H$423</f>
        <v xml:space="preserve">Item/
Service Verified Amounts
</v>
      </c>
      <c r="F3455" s="211" t="str">
        <f>'IWP05'!I$423</f>
        <v>Amount Due to DADS (E. - D.)</v>
      </c>
      <c r="G3455" s="191" t="str">
        <f>IF('IWP05'!J$423=0,"",'IWP05'!J$423)</f>
        <v>Amount Reimbursed to 
Employee(s)/Employer</v>
      </c>
      <c r="H3455" s="211">
        <f>'IWP05'!K$423</f>
        <v>0</v>
      </c>
      <c r="I3455" s="211" t="str">
        <f>'IWP05'!L$423</f>
        <v>Amount Due to Employee(s) (G. - E.)</v>
      </c>
      <c r="J3455" s="212" t="str">
        <f>'IWP05'!M$423</f>
        <v>Amount Due to Employer (G. - E.)</v>
      </c>
      <c r="K3455" s="106"/>
      <c r="L3455" s="106"/>
      <c r="M3455" s="129"/>
    </row>
    <row r="3456" spans="1:13" s="146" customFormat="1">
      <c r="A3456" s="193" t="s">
        <v>503</v>
      </c>
      <c r="B3456" s="210">
        <v>5</v>
      </c>
      <c r="C3456" s="191" t="str">
        <f>IF('IWP05'!E$424=0,"",'IWP05'!E$424)</f>
        <v>Item/Service</v>
      </c>
      <c r="D3456" s="211" t="str">
        <f>'IWP05'!G$424</f>
        <v>Itemized Amount Paid by DADS</v>
      </c>
      <c r="E3456" s="211">
        <f>'IWP05'!H$424</f>
        <v>0</v>
      </c>
      <c r="F3456" s="211">
        <f>'IWP05'!I$424</f>
        <v>0</v>
      </c>
      <c r="G3456" s="191" t="str">
        <f>IF('IWP05'!J$424=0,"",'IWP05'!J$424)</f>
        <v/>
      </c>
      <c r="H3456" s="211">
        <f>'IWP05'!K$424</f>
        <v>0</v>
      </c>
      <c r="I3456" s="211">
        <f>'IWP05'!L$424</f>
        <v>0</v>
      </c>
      <c r="J3456" s="212">
        <f>'IWP05'!M$424</f>
        <v>0</v>
      </c>
      <c r="K3456" s="106"/>
      <c r="L3456" s="106"/>
      <c r="M3456" s="129"/>
    </row>
    <row r="3457" spans="1:13" s="146" customFormat="1">
      <c r="A3457" s="193" t="s">
        <v>503</v>
      </c>
      <c r="B3457" s="210">
        <v>5</v>
      </c>
      <c r="C3457" s="191" t="str">
        <f>IF('IWP05'!E$425=0,"",'IWP05'!E$425)</f>
        <v/>
      </c>
      <c r="D3457" s="211">
        <f>'IWP05'!G$425</f>
        <v>0</v>
      </c>
      <c r="E3457" s="211">
        <f>'IWP05'!H$425</f>
        <v>0</v>
      </c>
      <c r="F3457" s="211">
        <f>'IWP05'!I$425</f>
        <v>0</v>
      </c>
      <c r="G3457" s="191" t="str">
        <f>IF('IWP05'!J$425=0,"",'IWP05'!J$425)</f>
        <v/>
      </c>
      <c r="H3457" s="211">
        <f>'IWP05'!K$425</f>
        <v>0</v>
      </c>
      <c r="I3457" s="211">
        <f>'IWP05'!L$425</f>
        <v>0</v>
      </c>
      <c r="J3457" s="212">
        <f>'IWP05'!M$425</f>
        <v>0</v>
      </c>
      <c r="K3457" s="106"/>
      <c r="L3457" s="106"/>
      <c r="M3457" s="129"/>
    </row>
    <row r="3458" spans="1:13" s="146" customFormat="1">
      <c r="A3458" s="193" t="s">
        <v>503</v>
      </c>
      <c r="B3458" s="210">
        <v>5</v>
      </c>
      <c r="C3458" s="191" t="str">
        <f>IF('IWP05'!E$426=0,"",'IWP05'!E$426)</f>
        <v/>
      </c>
      <c r="D3458" s="211">
        <f>'IWP05'!G$426</f>
        <v>0</v>
      </c>
      <c r="E3458" s="211">
        <f>'IWP05'!H$426</f>
        <v>0</v>
      </c>
      <c r="F3458" s="211">
        <f>'IWP05'!I$426</f>
        <v>0</v>
      </c>
      <c r="G3458" s="191" t="str">
        <f>IF('IWP05'!J$426=0,"",'IWP05'!J$426)</f>
        <v/>
      </c>
      <c r="H3458" s="211">
        <f>'IWP05'!K$426</f>
        <v>0</v>
      </c>
      <c r="I3458" s="211">
        <f>'IWP05'!L$426</f>
        <v>0</v>
      </c>
      <c r="J3458" s="212">
        <f>'IWP05'!M$426</f>
        <v>0</v>
      </c>
      <c r="K3458" s="106"/>
      <c r="L3458" s="106"/>
      <c r="M3458" s="129"/>
    </row>
    <row r="3459" spans="1:13" s="146" customFormat="1">
      <c r="A3459" s="193" t="s">
        <v>503</v>
      </c>
      <c r="B3459" s="210">
        <v>5</v>
      </c>
      <c r="C3459" s="191" t="str">
        <f>IF('IWP05'!E$427=0,"",'IWP05'!E$427)</f>
        <v/>
      </c>
      <c r="D3459" s="211">
        <f>'IWP05'!G$427</f>
        <v>0</v>
      </c>
      <c r="E3459" s="211">
        <f>'IWP05'!H$427</f>
        <v>0</v>
      </c>
      <c r="F3459" s="211">
        <f>'IWP05'!I$427</f>
        <v>0</v>
      </c>
      <c r="G3459" s="191" t="str">
        <f>IF('IWP05'!J$427=0,"",'IWP05'!J$427)</f>
        <v/>
      </c>
      <c r="H3459" s="211">
        <f>'IWP05'!K$427</f>
        <v>0</v>
      </c>
      <c r="I3459" s="211">
        <f>'IWP05'!L$427</f>
        <v>0</v>
      </c>
      <c r="J3459" s="212">
        <f>'IWP05'!M$427</f>
        <v>0</v>
      </c>
      <c r="K3459" s="106"/>
      <c r="L3459" s="106"/>
      <c r="M3459" s="129"/>
    </row>
    <row r="3460" spans="1:13" s="146" customFormat="1">
      <c r="A3460" s="193" t="s">
        <v>503</v>
      </c>
      <c r="B3460" s="210">
        <v>5</v>
      </c>
      <c r="C3460" s="191" t="str">
        <f>IF('IWP05'!E$428=0,"",'IWP05'!E$428)</f>
        <v/>
      </c>
      <c r="D3460" s="211">
        <f>'IWP05'!G$428</f>
        <v>0</v>
      </c>
      <c r="E3460" s="211">
        <f>'IWP05'!H$428</f>
        <v>0</v>
      </c>
      <c r="F3460" s="211">
        <f>'IWP05'!I$428</f>
        <v>0</v>
      </c>
      <c r="G3460" s="191" t="str">
        <f>IF('IWP05'!J$428=0,"",'IWP05'!J$428)</f>
        <v/>
      </c>
      <c r="H3460" s="211">
        <f>'IWP05'!K$428</f>
        <v>0</v>
      </c>
      <c r="I3460" s="211">
        <f>'IWP05'!L$428</f>
        <v>0</v>
      </c>
      <c r="J3460" s="212">
        <f>'IWP05'!M$428</f>
        <v>0</v>
      </c>
      <c r="K3460" s="106"/>
      <c r="L3460" s="106"/>
      <c r="M3460" s="129"/>
    </row>
    <row r="3461" spans="1:13" s="146" customFormat="1">
      <c r="A3461" s="193" t="s">
        <v>503</v>
      </c>
      <c r="B3461" s="210">
        <v>6</v>
      </c>
      <c r="C3461" s="191" t="str">
        <f>IF('IWP05'!E$435=0,"",'IWP05'!E$435)</f>
        <v>Subtotal column D.</v>
      </c>
      <c r="D3461" s="211">
        <f>'IWP05'!G$435</f>
        <v>0</v>
      </c>
      <c r="E3461" s="211">
        <f>'IWP05'!H$435</f>
        <v>0</v>
      </c>
      <c r="F3461" s="211">
        <f>'IWP05'!I$435</f>
        <v>0</v>
      </c>
      <c r="G3461" s="191" t="str">
        <f>IF('IWP05'!J$435=0,"",'IWP05'!J$435)</f>
        <v/>
      </c>
      <c r="H3461" s="211">
        <f>'IWP05'!K$435</f>
        <v>0</v>
      </c>
      <c r="I3461" s="211">
        <f>'IWP05'!L$435</f>
        <v>0</v>
      </c>
      <c r="J3461" s="212">
        <f>'IWP05'!M$435</f>
        <v>0</v>
      </c>
      <c r="K3461" s="106"/>
      <c r="L3461" s="106"/>
      <c r="M3461" s="129"/>
    </row>
    <row r="3462" spans="1:13" s="146" customFormat="1">
      <c r="A3462" s="193" t="s">
        <v>503</v>
      </c>
      <c r="B3462" s="210">
        <v>6</v>
      </c>
      <c r="C3462" s="191" t="str">
        <f>IF('IWP05'!E$436=0,"",'IWP05'!E$436)</f>
        <v>Unverified/Undocumented (Subtotal D - C)</v>
      </c>
      <c r="D3462" s="211">
        <f>'IWP05'!G$436</f>
        <v>0</v>
      </c>
      <c r="E3462" s="211">
        <f>'IWP05'!H$436</f>
        <v>0</v>
      </c>
      <c r="F3462" s="211">
        <f>'IWP05'!I$436</f>
        <v>0</v>
      </c>
      <c r="G3462" s="191" t="str">
        <f>IF('IWP05'!J$436=0,"",'IWP05'!J$436)</f>
        <v/>
      </c>
      <c r="H3462" s="211">
        <f>'IWP05'!K$436</f>
        <v>0</v>
      </c>
      <c r="I3462" s="211">
        <f>'IWP05'!L$436</f>
        <v>0</v>
      </c>
      <c r="J3462" s="212">
        <f>'IWP05'!M$436</f>
        <v>0</v>
      </c>
      <c r="K3462" s="106"/>
      <c r="L3462" s="106"/>
      <c r="M3462" s="129"/>
    </row>
    <row r="3463" spans="1:13" s="146" customFormat="1">
      <c r="A3463" s="193" t="s">
        <v>503</v>
      </c>
      <c r="B3463" s="210">
        <v>6</v>
      </c>
      <c r="C3463" s="191" t="str">
        <f>IF('IWP05'!E$437=0,"",'IWP05'!E$437)</f>
        <v>J. Billing Period Total</v>
      </c>
      <c r="D3463" s="211">
        <f>'IWP05'!G$437</f>
        <v>0</v>
      </c>
      <c r="E3463" s="211">
        <f>'IWP05'!H$437</f>
        <v>0</v>
      </c>
      <c r="F3463" s="211">
        <f>'IWP05'!I$437</f>
        <v>0</v>
      </c>
      <c r="G3463" s="191" t="str">
        <f>IF('IWP05'!J$437=0,"",'IWP05'!J$437)</f>
        <v/>
      </c>
      <c r="H3463" s="211">
        <f>'IWP05'!K$437</f>
        <v>0</v>
      </c>
      <c r="I3463" s="211">
        <f>'IWP05'!L$437</f>
        <v>0</v>
      </c>
      <c r="J3463" s="212">
        <f>'IWP05'!M$437</f>
        <v>0</v>
      </c>
      <c r="K3463" s="106"/>
      <c r="L3463" s="106"/>
      <c r="M3463" s="129"/>
    </row>
    <row r="3464" spans="1:13" s="146" customFormat="1">
      <c r="A3464" s="193" t="s">
        <v>503</v>
      </c>
      <c r="B3464" s="210">
        <v>6</v>
      </c>
      <c r="C3464" s="191" t="str">
        <f>IF('IWP05'!E$438=0,"",'IWP05'!E$438)</f>
        <v>D.</v>
      </c>
      <c r="D3464" s="211">
        <f>'IWP05'!G$438</f>
        <v>0</v>
      </c>
      <c r="E3464" s="211" t="str">
        <f>'IWP05'!H$438</f>
        <v>E.</v>
      </c>
      <c r="F3464" s="211" t="str">
        <f>'IWP05'!I$438</f>
        <v>F.</v>
      </c>
      <c r="G3464" s="191" t="str">
        <f>IF('IWP05'!J$438=0,"",'IWP05'!J$438)</f>
        <v>G.</v>
      </c>
      <c r="H3464" s="211">
        <f>'IWP05'!K$438</f>
        <v>0</v>
      </c>
      <c r="I3464" s="211" t="str">
        <f>'IWP05'!L$438</f>
        <v>H.</v>
      </c>
      <c r="J3464" s="212" t="str">
        <f>'IWP05'!M$438</f>
        <v>I.</v>
      </c>
      <c r="K3464" s="106"/>
      <c r="L3464" s="106"/>
      <c r="M3464" s="129"/>
    </row>
    <row r="3465" spans="1:13" s="146" customFormat="1">
      <c r="A3465" s="193" t="s">
        <v>503</v>
      </c>
      <c r="B3465" s="210">
        <v>6</v>
      </c>
      <c r="C3465" s="191" t="str">
        <f>IF('IWP05'!E$439=0,"",'IWP05'!E$439)</f>
        <v xml:space="preserve">Items/Services Related to Billing Period </v>
      </c>
      <c r="D3465" s="211">
        <f>'IWP05'!G$439</f>
        <v>0</v>
      </c>
      <c r="E3465" s="211" t="str">
        <f>'IWP05'!H$439</f>
        <v xml:space="preserve">Item/
Service Verified Amounts
</v>
      </c>
      <c r="F3465" s="211" t="str">
        <f>'IWP05'!I$439</f>
        <v>Amount Due to DADS (E. - D.)</v>
      </c>
      <c r="G3465" s="191" t="str">
        <f>IF('IWP05'!J$439=0,"",'IWP05'!J$439)</f>
        <v>Amount Reimbursed to 
Employee(s)/Employer</v>
      </c>
      <c r="H3465" s="211">
        <f>'IWP05'!K$439</f>
        <v>0</v>
      </c>
      <c r="I3465" s="211" t="str">
        <f>'IWP05'!L$439</f>
        <v>Amount Due to Employee(s) (G. - E.)</v>
      </c>
      <c r="J3465" s="212" t="str">
        <f>'IWP05'!M$439</f>
        <v>Amount Due to Employer (G. - E.)</v>
      </c>
      <c r="K3465" s="106"/>
      <c r="L3465" s="106"/>
      <c r="M3465" s="129"/>
    </row>
    <row r="3466" spans="1:13" s="146" customFormat="1">
      <c r="A3466" s="193" t="s">
        <v>503</v>
      </c>
      <c r="B3466" s="210">
        <v>6</v>
      </c>
      <c r="C3466" s="191" t="str">
        <f>IF('IWP05'!E$440=0,"",'IWP05'!E$440)</f>
        <v>Item/Service</v>
      </c>
      <c r="D3466" s="211" t="str">
        <f>'IWP05'!G$440</f>
        <v>Itemized Amount Paid by DADS</v>
      </c>
      <c r="E3466" s="211">
        <f>'IWP05'!H$440</f>
        <v>0</v>
      </c>
      <c r="F3466" s="211">
        <f>'IWP05'!I$440</f>
        <v>0</v>
      </c>
      <c r="G3466" s="191" t="str">
        <f>IF('IWP05'!J$440=0,"",'IWP05'!J$440)</f>
        <v/>
      </c>
      <c r="H3466" s="211">
        <f>'IWP05'!K$440</f>
        <v>0</v>
      </c>
      <c r="I3466" s="211">
        <f>'IWP05'!L$440</f>
        <v>0</v>
      </c>
      <c r="J3466" s="212">
        <f>'IWP05'!M$440</f>
        <v>0</v>
      </c>
      <c r="K3466" s="106"/>
      <c r="L3466" s="106"/>
      <c r="M3466" s="129"/>
    </row>
    <row r="3467" spans="1:13" s="146" customFormat="1">
      <c r="A3467" s="193" t="s">
        <v>503</v>
      </c>
      <c r="B3467" s="210">
        <v>6</v>
      </c>
      <c r="C3467" s="191" t="str">
        <f>IF('IWP05'!E$441=0,"",'IWP05'!E$441)</f>
        <v/>
      </c>
      <c r="D3467" s="211">
        <f>'IWP05'!G$441</f>
        <v>0</v>
      </c>
      <c r="E3467" s="211">
        <f>'IWP05'!H$441</f>
        <v>0</v>
      </c>
      <c r="F3467" s="211">
        <f>'IWP05'!I$441</f>
        <v>0</v>
      </c>
      <c r="G3467" s="191" t="str">
        <f>IF('IWP05'!J$441=0,"",'IWP05'!J$441)</f>
        <v/>
      </c>
      <c r="H3467" s="211">
        <f>'IWP05'!K$441</f>
        <v>0</v>
      </c>
      <c r="I3467" s="211">
        <f>'IWP05'!L$441</f>
        <v>0</v>
      </c>
      <c r="J3467" s="212">
        <f>'IWP05'!M$441</f>
        <v>0</v>
      </c>
      <c r="K3467" s="106"/>
      <c r="L3467" s="106"/>
      <c r="M3467" s="129"/>
    </row>
    <row r="3468" spans="1:13" s="146" customFormat="1">
      <c r="A3468" s="193" t="s">
        <v>503</v>
      </c>
      <c r="B3468" s="210">
        <v>6</v>
      </c>
      <c r="C3468" s="191" t="str">
        <f>IF('IWP05'!E$442=0,"",'IWP05'!E$442)</f>
        <v/>
      </c>
      <c r="D3468" s="211">
        <f>'IWP05'!G$442</f>
        <v>0</v>
      </c>
      <c r="E3468" s="211">
        <f>'IWP05'!H$442</f>
        <v>0</v>
      </c>
      <c r="F3468" s="211">
        <f>'IWP05'!I$442</f>
        <v>0</v>
      </c>
      <c r="G3468" s="191" t="str">
        <f>IF('IWP05'!J$442=0,"",'IWP05'!J$442)</f>
        <v/>
      </c>
      <c r="H3468" s="211">
        <f>'IWP05'!K$442</f>
        <v>0</v>
      </c>
      <c r="I3468" s="211">
        <f>'IWP05'!L$442</f>
        <v>0</v>
      </c>
      <c r="J3468" s="212">
        <f>'IWP05'!M$442</f>
        <v>0</v>
      </c>
      <c r="K3468" s="106"/>
      <c r="L3468" s="106"/>
      <c r="M3468" s="129"/>
    </row>
    <row r="3469" spans="1:13" s="146" customFormat="1">
      <c r="A3469" s="193" t="s">
        <v>503</v>
      </c>
      <c r="B3469" s="210">
        <v>6</v>
      </c>
      <c r="C3469" s="191" t="str">
        <f>IF('IWP05'!E$443=0,"",'IWP05'!E$443)</f>
        <v/>
      </c>
      <c r="D3469" s="211">
        <f>'IWP05'!G$443</f>
        <v>0</v>
      </c>
      <c r="E3469" s="211">
        <f>'IWP05'!H$443</f>
        <v>0</v>
      </c>
      <c r="F3469" s="211">
        <f>'IWP05'!I$443</f>
        <v>0</v>
      </c>
      <c r="G3469" s="191" t="str">
        <f>IF('IWP05'!J$443=0,"",'IWP05'!J$443)</f>
        <v/>
      </c>
      <c r="H3469" s="211">
        <f>'IWP05'!K$443</f>
        <v>0</v>
      </c>
      <c r="I3469" s="211">
        <f>'IWP05'!L$443</f>
        <v>0</v>
      </c>
      <c r="J3469" s="212">
        <f>'IWP05'!M$443</f>
        <v>0</v>
      </c>
      <c r="K3469" s="106"/>
      <c r="L3469" s="106"/>
      <c r="M3469" s="129"/>
    </row>
    <row r="3470" spans="1:13" s="146" customFormat="1">
      <c r="A3470" s="193" t="s">
        <v>503</v>
      </c>
      <c r="B3470" s="210">
        <v>6</v>
      </c>
      <c r="C3470" s="191" t="str">
        <f>IF('IWP05'!E$444=0,"",'IWP05'!E$444)</f>
        <v/>
      </c>
      <c r="D3470" s="211">
        <f>'IWP05'!G$444</f>
        <v>0</v>
      </c>
      <c r="E3470" s="211">
        <f>'IWP05'!H$444</f>
        <v>0</v>
      </c>
      <c r="F3470" s="211">
        <f>'IWP05'!I$444</f>
        <v>0</v>
      </c>
      <c r="G3470" s="191" t="str">
        <f>IF('IWP05'!J$444=0,"",'IWP05'!J$444)</f>
        <v/>
      </c>
      <c r="H3470" s="211">
        <f>'IWP05'!K$444</f>
        <v>0</v>
      </c>
      <c r="I3470" s="211">
        <f>'IWP05'!L$444</f>
        <v>0</v>
      </c>
      <c r="J3470" s="212">
        <f>'IWP05'!M$444</f>
        <v>0</v>
      </c>
      <c r="K3470" s="106"/>
      <c r="L3470" s="106"/>
      <c r="M3470" s="129"/>
    </row>
    <row r="3471" spans="1:13" s="146" customFormat="1">
      <c r="A3471" s="193" t="s">
        <v>503</v>
      </c>
      <c r="B3471" s="210">
        <v>7</v>
      </c>
      <c r="C3471" s="191" t="str">
        <f>IF('IWP05'!E$451=0,"",'IWP05'!E$451)</f>
        <v>Subtotal column D.</v>
      </c>
      <c r="D3471" s="211">
        <f>'IWP05'!G$451</f>
        <v>0</v>
      </c>
      <c r="E3471" s="211">
        <f>'IWP05'!H$451</f>
        <v>0</v>
      </c>
      <c r="F3471" s="211">
        <f>'IWP05'!I$451</f>
        <v>0</v>
      </c>
      <c r="G3471" s="191" t="str">
        <f>IF('IWP05'!J$451=0,"",'IWP05'!J$451)</f>
        <v/>
      </c>
      <c r="H3471" s="211">
        <f>'IWP05'!K$451</f>
        <v>0</v>
      </c>
      <c r="I3471" s="211">
        <f>'IWP05'!L$451</f>
        <v>0</v>
      </c>
      <c r="J3471" s="212">
        <f>'IWP05'!M$451</f>
        <v>0</v>
      </c>
      <c r="K3471" s="106"/>
      <c r="L3471" s="106"/>
      <c r="M3471" s="129"/>
    </row>
    <row r="3472" spans="1:13" s="146" customFormat="1">
      <c r="A3472" s="193" t="s">
        <v>503</v>
      </c>
      <c r="B3472" s="210">
        <v>7</v>
      </c>
      <c r="C3472" s="191" t="str">
        <f>IF('IWP05'!E$452=0,"",'IWP05'!E$452)</f>
        <v>Unverified/Undocumented (Subtotal D - C)</v>
      </c>
      <c r="D3472" s="211">
        <f>'IWP05'!G$452</f>
        <v>0</v>
      </c>
      <c r="E3472" s="211">
        <f>'IWP05'!H$452</f>
        <v>0</v>
      </c>
      <c r="F3472" s="211">
        <f>'IWP05'!I$452</f>
        <v>0</v>
      </c>
      <c r="G3472" s="191" t="str">
        <f>IF('IWP05'!J$452=0,"",'IWP05'!J$452)</f>
        <v/>
      </c>
      <c r="H3472" s="211">
        <f>'IWP05'!K$452</f>
        <v>0</v>
      </c>
      <c r="I3472" s="211">
        <f>'IWP05'!L$452</f>
        <v>0</v>
      </c>
      <c r="J3472" s="212">
        <f>'IWP05'!M$452</f>
        <v>0</v>
      </c>
      <c r="K3472" s="106"/>
      <c r="L3472" s="106"/>
      <c r="M3472" s="129"/>
    </row>
    <row r="3473" spans="1:13" s="146" customFormat="1">
      <c r="A3473" s="193" t="s">
        <v>503</v>
      </c>
      <c r="B3473" s="210">
        <v>7</v>
      </c>
      <c r="C3473" s="191" t="str">
        <f>IF('IWP05'!E$453=0,"",'IWP05'!E$453)</f>
        <v>J. Billing Period Total</v>
      </c>
      <c r="D3473" s="211">
        <f>'IWP05'!G$453</f>
        <v>0</v>
      </c>
      <c r="E3473" s="211">
        <f>'IWP05'!H$453</f>
        <v>0</v>
      </c>
      <c r="F3473" s="211">
        <f>'IWP05'!I$453</f>
        <v>0</v>
      </c>
      <c r="G3473" s="191" t="str">
        <f>IF('IWP05'!J$453=0,"",'IWP05'!J$453)</f>
        <v/>
      </c>
      <c r="H3473" s="211">
        <f>'IWP05'!K$453</f>
        <v>0</v>
      </c>
      <c r="I3473" s="211">
        <f>'IWP05'!L$453</f>
        <v>0</v>
      </c>
      <c r="J3473" s="212">
        <f>'IWP05'!M$453</f>
        <v>0</v>
      </c>
      <c r="K3473" s="106"/>
      <c r="L3473" s="106"/>
      <c r="M3473" s="129"/>
    </row>
    <row r="3474" spans="1:13" s="146" customFormat="1">
      <c r="A3474" s="193" t="s">
        <v>503</v>
      </c>
      <c r="B3474" s="210">
        <v>7</v>
      </c>
      <c r="C3474" s="191" t="str">
        <f>IF('IWP05'!E$454=0,"",'IWP05'!E$454)</f>
        <v>D.</v>
      </c>
      <c r="D3474" s="211">
        <f>'IWP05'!G$454</f>
        <v>0</v>
      </c>
      <c r="E3474" s="211" t="str">
        <f>'IWP05'!H$454</f>
        <v>E.</v>
      </c>
      <c r="F3474" s="211" t="str">
        <f>'IWP05'!I$454</f>
        <v>F.</v>
      </c>
      <c r="G3474" s="191" t="str">
        <f>IF('IWP05'!J$454=0,"",'IWP05'!J$454)</f>
        <v>G.</v>
      </c>
      <c r="H3474" s="211">
        <f>'IWP05'!K$454</f>
        <v>0</v>
      </c>
      <c r="I3474" s="211" t="str">
        <f>'IWP05'!L$454</f>
        <v>H.</v>
      </c>
      <c r="J3474" s="212" t="str">
        <f>'IWP05'!M$454</f>
        <v>I.</v>
      </c>
      <c r="K3474" s="106"/>
      <c r="L3474" s="106"/>
      <c r="M3474" s="129"/>
    </row>
    <row r="3475" spans="1:13" s="146" customFormat="1">
      <c r="A3475" s="193" t="s">
        <v>503</v>
      </c>
      <c r="B3475" s="210">
        <v>7</v>
      </c>
      <c r="C3475" s="191" t="str">
        <f>IF('IWP05'!E$455=0,"",'IWP05'!E$455)</f>
        <v xml:space="preserve">Items/Services Related to Billing Period </v>
      </c>
      <c r="D3475" s="211">
        <f>'IWP05'!G$455</f>
        <v>0</v>
      </c>
      <c r="E3475" s="211" t="str">
        <f>'IWP05'!H$455</f>
        <v xml:space="preserve">Item/
Service Verified Amounts
</v>
      </c>
      <c r="F3475" s="211" t="str">
        <f>'IWP05'!I$455</f>
        <v>Amount Due to DADS (E. - D.)</v>
      </c>
      <c r="G3475" s="191" t="str">
        <f>IF('IWP05'!J$455=0,"",'IWP05'!J$455)</f>
        <v>Amount Reimbursed to 
Employee(s)/Employer</v>
      </c>
      <c r="H3475" s="211">
        <f>'IWP05'!K$455</f>
        <v>0</v>
      </c>
      <c r="I3475" s="211" t="str">
        <f>'IWP05'!L$455</f>
        <v>Amount Due to Employee(s) (G. - E.)</v>
      </c>
      <c r="J3475" s="212" t="str">
        <f>'IWP05'!M$455</f>
        <v>Amount Due to Employer (G. - E.)</v>
      </c>
      <c r="K3475" s="106"/>
      <c r="L3475" s="106"/>
      <c r="M3475" s="129"/>
    </row>
    <row r="3476" spans="1:13" s="146" customFormat="1">
      <c r="A3476" s="193" t="s">
        <v>503</v>
      </c>
      <c r="B3476" s="210">
        <v>7</v>
      </c>
      <c r="C3476" s="191" t="str">
        <f>IF('IWP05'!E$456=0,"",'IWP05'!E$456)</f>
        <v>Item/Service</v>
      </c>
      <c r="D3476" s="211" t="str">
        <f>'IWP05'!G$456</f>
        <v>Itemized Amount Paid by DADS</v>
      </c>
      <c r="E3476" s="211">
        <f>'IWP05'!H$456</f>
        <v>0</v>
      </c>
      <c r="F3476" s="211">
        <f>'IWP05'!I$456</f>
        <v>0</v>
      </c>
      <c r="G3476" s="191" t="str">
        <f>IF('IWP05'!J$456=0,"",'IWP05'!J$456)</f>
        <v/>
      </c>
      <c r="H3476" s="211">
        <f>'IWP05'!K$456</f>
        <v>0</v>
      </c>
      <c r="I3476" s="211">
        <f>'IWP05'!L$456</f>
        <v>0</v>
      </c>
      <c r="J3476" s="212">
        <f>'IWP05'!M$456</f>
        <v>0</v>
      </c>
      <c r="K3476" s="106"/>
      <c r="L3476" s="106"/>
      <c r="M3476" s="129"/>
    </row>
    <row r="3477" spans="1:13" s="146" customFormat="1">
      <c r="A3477" s="193" t="s">
        <v>503</v>
      </c>
      <c r="B3477" s="210">
        <v>7</v>
      </c>
      <c r="C3477" s="191" t="str">
        <f>IF('IWP05'!E$457=0,"",'IWP05'!E$457)</f>
        <v/>
      </c>
      <c r="D3477" s="211">
        <f>'IWP05'!G$457</f>
        <v>0</v>
      </c>
      <c r="E3477" s="211">
        <f>'IWP05'!H$457</f>
        <v>0</v>
      </c>
      <c r="F3477" s="211">
        <f>'IWP05'!I$457</f>
        <v>0</v>
      </c>
      <c r="G3477" s="191" t="str">
        <f>IF('IWP05'!J$457=0,"",'IWP05'!J$457)</f>
        <v/>
      </c>
      <c r="H3477" s="211">
        <f>'IWP05'!K$457</f>
        <v>0</v>
      </c>
      <c r="I3477" s="211">
        <f>'IWP05'!L$457</f>
        <v>0</v>
      </c>
      <c r="J3477" s="212">
        <f>'IWP05'!M$457</f>
        <v>0</v>
      </c>
      <c r="K3477" s="106"/>
      <c r="L3477" s="106"/>
      <c r="M3477" s="129"/>
    </row>
    <row r="3478" spans="1:13" s="146" customFormat="1">
      <c r="A3478" s="193" t="s">
        <v>503</v>
      </c>
      <c r="B3478" s="210">
        <v>7</v>
      </c>
      <c r="C3478" s="191" t="str">
        <f>IF('IWP05'!E$458=0,"",'IWP05'!E$458)</f>
        <v/>
      </c>
      <c r="D3478" s="211">
        <f>'IWP05'!G$458</f>
        <v>0</v>
      </c>
      <c r="E3478" s="211">
        <f>'IWP05'!H$458</f>
        <v>0</v>
      </c>
      <c r="F3478" s="211">
        <f>'IWP05'!I$458</f>
        <v>0</v>
      </c>
      <c r="G3478" s="191" t="str">
        <f>IF('IWP05'!J$458=0,"",'IWP05'!J$458)</f>
        <v/>
      </c>
      <c r="H3478" s="211">
        <f>'IWP05'!K$458</f>
        <v>0</v>
      </c>
      <c r="I3478" s="211">
        <f>'IWP05'!L$458</f>
        <v>0</v>
      </c>
      <c r="J3478" s="212">
        <f>'IWP05'!M$458</f>
        <v>0</v>
      </c>
      <c r="K3478" s="106"/>
      <c r="L3478" s="106"/>
      <c r="M3478" s="129"/>
    </row>
    <row r="3479" spans="1:13" s="146" customFormat="1">
      <c r="A3479" s="193" t="s">
        <v>503</v>
      </c>
      <c r="B3479" s="210">
        <v>7</v>
      </c>
      <c r="C3479" s="191" t="str">
        <f>IF('IWP05'!E$459=0,"",'IWP05'!E$459)</f>
        <v/>
      </c>
      <c r="D3479" s="211">
        <f>'IWP05'!G$459</f>
        <v>0</v>
      </c>
      <c r="E3479" s="211">
        <f>'IWP05'!H$459</f>
        <v>0</v>
      </c>
      <c r="F3479" s="211">
        <f>'IWP05'!I$459</f>
        <v>0</v>
      </c>
      <c r="G3479" s="191" t="str">
        <f>IF('IWP05'!J$459=0,"",'IWP05'!J$459)</f>
        <v/>
      </c>
      <c r="H3479" s="211">
        <f>'IWP05'!K$459</f>
        <v>0</v>
      </c>
      <c r="I3479" s="211">
        <f>'IWP05'!L$459</f>
        <v>0</v>
      </c>
      <c r="J3479" s="212">
        <f>'IWP05'!M$459</f>
        <v>0</v>
      </c>
      <c r="K3479" s="106"/>
      <c r="L3479" s="106"/>
      <c r="M3479" s="129"/>
    </row>
    <row r="3480" spans="1:13" s="146" customFormat="1">
      <c r="A3480" s="193" t="s">
        <v>503</v>
      </c>
      <c r="B3480" s="210">
        <v>7</v>
      </c>
      <c r="C3480" s="191" t="str">
        <f>IF('IWP05'!E$460=0,"",'IWP05'!E$460)</f>
        <v/>
      </c>
      <c r="D3480" s="211">
        <f>'IWP05'!G$460</f>
        <v>0</v>
      </c>
      <c r="E3480" s="211">
        <f>'IWP05'!H$460</f>
        <v>0</v>
      </c>
      <c r="F3480" s="211">
        <f>'IWP05'!I$460</f>
        <v>0</v>
      </c>
      <c r="G3480" s="191" t="str">
        <f>IF('IWP05'!J$460=0,"",'IWP05'!J$460)</f>
        <v/>
      </c>
      <c r="H3480" s="211">
        <f>'IWP05'!K$460</f>
        <v>0</v>
      </c>
      <c r="I3480" s="211">
        <f>'IWP05'!L$460</f>
        <v>0</v>
      </c>
      <c r="J3480" s="212">
        <f>'IWP05'!M$460</f>
        <v>0</v>
      </c>
      <c r="K3480" s="106"/>
      <c r="L3480" s="106"/>
      <c r="M3480" s="129"/>
    </row>
    <row r="3481" spans="1:13" s="146" customFormat="1">
      <c r="A3481" s="193" t="s">
        <v>503</v>
      </c>
      <c r="B3481" s="210">
        <v>8</v>
      </c>
      <c r="C3481" s="191" t="str">
        <f>IF('IWP05'!E$467=0,"",'IWP05'!E$467)</f>
        <v>Subtotal column D.</v>
      </c>
      <c r="D3481" s="211">
        <f>'IWP05'!G$467</f>
        <v>0</v>
      </c>
      <c r="E3481" s="211">
        <f>'IWP05'!H$467</f>
        <v>0</v>
      </c>
      <c r="F3481" s="211">
        <f>'IWP05'!I$467</f>
        <v>0</v>
      </c>
      <c r="G3481" s="191" t="str">
        <f>IF('IWP05'!J$467=0,"",'IWP05'!J$467)</f>
        <v/>
      </c>
      <c r="H3481" s="211">
        <f>'IWP05'!K$467</f>
        <v>0</v>
      </c>
      <c r="I3481" s="211">
        <f>'IWP05'!L$467</f>
        <v>0</v>
      </c>
      <c r="J3481" s="212">
        <f>'IWP05'!M$467</f>
        <v>0</v>
      </c>
      <c r="K3481" s="106"/>
      <c r="L3481" s="106"/>
      <c r="M3481" s="129"/>
    </row>
    <row r="3482" spans="1:13" s="146" customFormat="1">
      <c r="A3482" s="193" t="s">
        <v>503</v>
      </c>
      <c r="B3482" s="210">
        <v>8</v>
      </c>
      <c r="C3482" s="191" t="str">
        <f>IF('IWP05'!E$468=0,"",'IWP05'!E$468)</f>
        <v>Unverified/Undocumented (Subtotal D - C)</v>
      </c>
      <c r="D3482" s="211">
        <f>'IWP05'!G$468</f>
        <v>0</v>
      </c>
      <c r="E3482" s="211">
        <f>'IWP05'!H$468</f>
        <v>0</v>
      </c>
      <c r="F3482" s="211">
        <f>'IWP05'!I$468</f>
        <v>0</v>
      </c>
      <c r="G3482" s="191" t="str">
        <f>IF('IWP05'!J$468=0,"",'IWP05'!J$468)</f>
        <v/>
      </c>
      <c r="H3482" s="211">
        <f>'IWP05'!K$468</f>
        <v>0</v>
      </c>
      <c r="I3482" s="211">
        <f>'IWP05'!L$468</f>
        <v>0</v>
      </c>
      <c r="J3482" s="212">
        <f>'IWP05'!M$468</f>
        <v>0</v>
      </c>
      <c r="K3482" s="106"/>
      <c r="L3482" s="106"/>
      <c r="M3482" s="129"/>
    </row>
    <row r="3483" spans="1:13" s="146" customFormat="1">
      <c r="A3483" s="193" t="s">
        <v>503</v>
      </c>
      <c r="B3483" s="210">
        <v>8</v>
      </c>
      <c r="C3483" s="191" t="str">
        <f>IF('IWP05'!E$469=0,"",'IWP05'!E$469)</f>
        <v>J. Billing Period Total</v>
      </c>
      <c r="D3483" s="211">
        <f>'IWP05'!G$469</f>
        <v>0</v>
      </c>
      <c r="E3483" s="211">
        <f>'IWP05'!H$469</f>
        <v>0</v>
      </c>
      <c r="F3483" s="211">
        <f>'IWP05'!I$469</f>
        <v>0</v>
      </c>
      <c r="G3483" s="191" t="str">
        <f>IF('IWP05'!J$469=0,"",'IWP05'!J$469)</f>
        <v/>
      </c>
      <c r="H3483" s="211">
        <f>'IWP05'!K$469</f>
        <v>0</v>
      </c>
      <c r="I3483" s="211">
        <f>'IWP05'!L$469</f>
        <v>0</v>
      </c>
      <c r="J3483" s="212">
        <f>'IWP05'!M$469</f>
        <v>0</v>
      </c>
      <c r="K3483" s="106"/>
      <c r="L3483" s="106"/>
      <c r="M3483" s="129"/>
    </row>
    <row r="3484" spans="1:13" s="146" customFormat="1">
      <c r="A3484" s="193" t="s">
        <v>503</v>
      </c>
      <c r="B3484" s="210">
        <v>8</v>
      </c>
      <c r="C3484" s="191" t="str">
        <f>IF('IWP05'!E$470=0,"",'IWP05'!E$470)</f>
        <v>D.</v>
      </c>
      <c r="D3484" s="211">
        <f>'IWP05'!G$470</f>
        <v>0</v>
      </c>
      <c r="E3484" s="211" t="str">
        <f>'IWP05'!H$470</f>
        <v>E.</v>
      </c>
      <c r="F3484" s="211" t="str">
        <f>'IWP05'!I$470</f>
        <v>F.</v>
      </c>
      <c r="G3484" s="191" t="str">
        <f>IF('IWP05'!J$470=0,"",'IWP05'!J$470)</f>
        <v>G.</v>
      </c>
      <c r="H3484" s="211">
        <f>'IWP05'!K$470</f>
        <v>0</v>
      </c>
      <c r="I3484" s="211" t="str">
        <f>'IWP05'!L$470</f>
        <v>H.</v>
      </c>
      <c r="J3484" s="212" t="str">
        <f>'IWP05'!M$470</f>
        <v>I.</v>
      </c>
      <c r="K3484" s="106"/>
      <c r="L3484" s="106"/>
      <c r="M3484" s="129"/>
    </row>
    <row r="3485" spans="1:13" s="146" customFormat="1">
      <c r="A3485" s="193" t="s">
        <v>503</v>
      </c>
      <c r="B3485" s="210">
        <v>8</v>
      </c>
      <c r="C3485" s="191" t="str">
        <f>IF('IWP05'!E$471=0,"",'IWP05'!E$471)</f>
        <v xml:space="preserve">Items/Services Related to Billing Period </v>
      </c>
      <c r="D3485" s="211">
        <f>'IWP05'!G$471</f>
        <v>0</v>
      </c>
      <c r="E3485" s="211" t="str">
        <f>'IWP05'!H$471</f>
        <v xml:space="preserve">Item/
Service Verified Amounts
</v>
      </c>
      <c r="F3485" s="211" t="str">
        <f>'IWP05'!I$471</f>
        <v>Amount Due to DADS (E. - D.)</v>
      </c>
      <c r="G3485" s="191" t="str">
        <f>IF('IWP05'!J$471=0,"",'IWP05'!J$471)</f>
        <v>Amount Reimbursed to 
Employee(s)/Employer</v>
      </c>
      <c r="H3485" s="211">
        <f>'IWP05'!K$471</f>
        <v>0</v>
      </c>
      <c r="I3485" s="211" t="str">
        <f>'IWP05'!L$471</f>
        <v>Amount Due to Employee(s) (G. - E.)</v>
      </c>
      <c r="J3485" s="212" t="str">
        <f>'IWP05'!M$471</f>
        <v>Amount Due to Employer (G. - E.)</v>
      </c>
      <c r="K3485" s="106"/>
      <c r="L3485" s="106"/>
      <c r="M3485" s="129"/>
    </row>
    <row r="3486" spans="1:13" s="146" customFormat="1">
      <c r="A3486" s="193" t="s">
        <v>503</v>
      </c>
      <c r="B3486" s="210">
        <v>8</v>
      </c>
      <c r="C3486" s="191" t="str">
        <f>IF('IWP05'!E$472=0,"",'IWP05'!E$472)</f>
        <v>Item/Service</v>
      </c>
      <c r="D3486" s="211" t="str">
        <f>'IWP05'!G$472</f>
        <v>Itemized Amount Paid by DADS</v>
      </c>
      <c r="E3486" s="211">
        <f>'IWP05'!H$472</f>
        <v>0</v>
      </c>
      <c r="F3486" s="211">
        <f>'IWP05'!I$472</f>
        <v>0</v>
      </c>
      <c r="G3486" s="191" t="str">
        <f>IF('IWP05'!J$472=0,"",'IWP05'!J$472)</f>
        <v/>
      </c>
      <c r="H3486" s="211">
        <f>'IWP05'!K$472</f>
        <v>0</v>
      </c>
      <c r="I3486" s="211">
        <f>'IWP05'!L$472</f>
        <v>0</v>
      </c>
      <c r="J3486" s="212">
        <f>'IWP05'!M$472</f>
        <v>0</v>
      </c>
      <c r="K3486" s="106"/>
      <c r="L3486" s="106"/>
      <c r="M3486" s="129"/>
    </row>
    <row r="3487" spans="1:13" s="146" customFormat="1">
      <c r="A3487" s="193" t="s">
        <v>503</v>
      </c>
      <c r="B3487" s="210">
        <v>8</v>
      </c>
      <c r="C3487" s="191" t="str">
        <f>IF('IWP05'!E$473=0,"",'IWP05'!E$473)</f>
        <v/>
      </c>
      <c r="D3487" s="211">
        <f>'IWP05'!G$473</f>
        <v>0</v>
      </c>
      <c r="E3487" s="211">
        <f>'IWP05'!H$473</f>
        <v>0</v>
      </c>
      <c r="F3487" s="211">
        <f>'IWP05'!I$473</f>
        <v>0</v>
      </c>
      <c r="G3487" s="191" t="str">
        <f>IF('IWP05'!J$473=0,"",'IWP05'!J$473)</f>
        <v/>
      </c>
      <c r="H3487" s="211">
        <f>'IWP05'!K$473</f>
        <v>0</v>
      </c>
      <c r="I3487" s="211">
        <f>'IWP05'!L$473</f>
        <v>0</v>
      </c>
      <c r="J3487" s="212">
        <f>'IWP05'!M$473</f>
        <v>0</v>
      </c>
      <c r="K3487" s="106"/>
      <c r="L3487" s="106"/>
      <c r="M3487" s="129"/>
    </row>
    <row r="3488" spans="1:13" s="146" customFormat="1">
      <c r="A3488" s="193" t="s">
        <v>503</v>
      </c>
      <c r="B3488" s="210">
        <v>8</v>
      </c>
      <c r="C3488" s="191" t="str">
        <f>IF('IWP05'!E$474=0,"",'IWP05'!E$474)</f>
        <v/>
      </c>
      <c r="D3488" s="211">
        <f>'IWP05'!G$474</f>
        <v>0</v>
      </c>
      <c r="E3488" s="211">
        <f>'IWP05'!H$474</f>
        <v>0</v>
      </c>
      <c r="F3488" s="211">
        <f>'IWP05'!I$474</f>
        <v>0</v>
      </c>
      <c r="G3488" s="191" t="str">
        <f>IF('IWP05'!J$474=0,"",'IWP05'!J$474)</f>
        <v/>
      </c>
      <c r="H3488" s="211">
        <f>'IWP05'!K$474</f>
        <v>0</v>
      </c>
      <c r="I3488" s="211">
        <f>'IWP05'!L$474</f>
        <v>0</v>
      </c>
      <c r="J3488" s="212">
        <f>'IWP05'!M$474</f>
        <v>0</v>
      </c>
      <c r="K3488" s="106"/>
      <c r="L3488" s="106"/>
      <c r="M3488" s="129"/>
    </row>
    <row r="3489" spans="1:13" s="146" customFormat="1">
      <c r="A3489" s="193" t="s">
        <v>503</v>
      </c>
      <c r="B3489" s="210">
        <v>8</v>
      </c>
      <c r="C3489" s="191" t="str">
        <f>IF('IWP05'!E$475=0,"",'IWP05'!E$475)</f>
        <v/>
      </c>
      <c r="D3489" s="211">
        <f>'IWP05'!G$475</f>
        <v>0</v>
      </c>
      <c r="E3489" s="211">
        <f>'IWP05'!H$475</f>
        <v>0</v>
      </c>
      <c r="F3489" s="211">
        <f>'IWP05'!I$475</f>
        <v>0</v>
      </c>
      <c r="G3489" s="191" t="str">
        <f>IF('IWP05'!J$475=0,"",'IWP05'!J$475)</f>
        <v/>
      </c>
      <c r="H3489" s="211">
        <f>'IWP05'!K$475</f>
        <v>0</v>
      </c>
      <c r="I3489" s="211">
        <f>'IWP05'!L$475</f>
        <v>0</v>
      </c>
      <c r="J3489" s="212">
        <f>'IWP05'!M$475</f>
        <v>0</v>
      </c>
      <c r="K3489" s="106"/>
      <c r="L3489" s="106"/>
      <c r="M3489" s="129"/>
    </row>
    <row r="3490" spans="1:13" s="146" customFormat="1">
      <c r="A3490" s="193" t="s">
        <v>503</v>
      </c>
      <c r="B3490" s="210">
        <v>8</v>
      </c>
      <c r="C3490" s="191" t="str">
        <f>IF('IWP05'!E$476=0,"",'IWP05'!E$476)</f>
        <v/>
      </c>
      <c r="D3490" s="211">
        <f>'IWP05'!G$476</f>
        <v>0</v>
      </c>
      <c r="E3490" s="211">
        <f>'IWP05'!H$476</f>
        <v>0</v>
      </c>
      <c r="F3490" s="211">
        <f>'IWP05'!I$476</f>
        <v>0</v>
      </c>
      <c r="G3490" s="191" t="str">
        <f>IF('IWP05'!J$476=0,"",'IWP05'!J$476)</f>
        <v/>
      </c>
      <c r="H3490" s="211">
        <f>'IWP05'!K$476</f>
        <v>0</v>
      </c>
      <c r="I3490" s="211">
        <f>'IWP05'!L$476</f>
        <v>0</v>
      </c>
      <c r="J3490" s="212">
        <f>'IWP05'!M$476</f>
        <v>0</v>
      </c>
      <c r="K3490" s="106"/>
      <c r="L3490" s="106"/>
      <c r="M3490" s="129"/>
    </row>
    <row r="3491" spans="1:13" s="146" customFormat="1">
      <c r="A3491" s="193" t="s">
        <v>503</v>
      </c>
      <c r="B3491" s="210">
        <v>9</v>
      </c>
      <c r="C3491" s="191" t="str">
        <f>IF('IWP05'!E$483=0,"",'IWP05'!E$483)</f>
        <v>Subtotal column D.</v>
      </c>
      <c r="D3491" s="211">
        <f>'IWP05'!G$483</f>
        <v>0</v>
      </c>
      <c r="E3491" s="211">
        <f>'IWP05'!H$483</f>
        <v>0</v>
      </c>
      <c r="F3491" s="211">
        <f>'IWP05'!I$483</f>
        <v>0</v>
      </c>
      <c r="G3491" s="191" t="str">
        <f>IF('IWP05'!J$483=0,"",'IWP05'!J$483)</f>
        <v/>
      </c>
      <c r="H3491" s="211">
        <f>'IWP05'!K$483</f>
        <v>0</v>
      </c>
      <c r="I3491" s="211">
        <f>'IWP05'!L$483</f>
        <v>0</v>
      </c>
      <c r="J3491" s="212">
        <f>'IWP05'!M$483</f>
        <v>0</v>
      </c>
      <c r="K3491" s="106"/>
      <c r="L3491" s="106"/>
      <c r="M3491" s="129"/>
    </row>
    <row r="3492" spans="1:13" s="146" customFormat="1">
      <c r="A3492" s="193" t="s">
        <v>503</v>
      </c>
      <c r="B3492" s="210">
        <v>9</v>
      </c>
      <c r="C3492" s="191" t="str">
        <f>IF('IWP05'!E$484=0,"",'IWP05'!E$484)</f>
        <v>Unverified/Undocumented (Subtotal D - C)</v>
      </c>
      <c r="D3492" s="211">
        <f>'IWP05'!G$484</f>
        <v>0</v>
      </c>
      <c r="E3492" s="211">
        <f>'IWP05'!H$484</f>
        <v>0</v>
      </c>
      <c r="F3492" s="211">
        <f>'IWP05'!I$484</f>
        <v>0</v>
      </c>
      <c r="G3492" s="191" t="str">
        <f>IF('IWP05'!J$484=0,"",'IWP05'!J$484)</f>
        <v/>
      </c>
      <c r="H3492" s="211">
        <f>'IWP05'!K$484</f>
        <v>0</v>
      </c>
      <c r="I3492" s="211">
        <f>'IWP05'!L$484</f>
        <v>0</v>
      </c>
      <c r="J3492" s="212">
        <f>'IWP05'!M$484</f>
        <v>0</v>
      </c>
      <c r="K3492" s="106"/>
      <c r="L3492" s="106"/>
      <c r="M3492" s="129"/>
    </row>
    <row r="3493" spans="1:13" s="146" customFormat="1">
      <c r="A3493" s="193" t="s">
        <v>503</v>
      </c>
      <c r="B3493" s="210">
        <v>9</v>
      </c>
      <c r="C3493" s="191" t="str">
        <f>IF('IWP05'!E$485=0,"",'IWP05'!E$485)</f>
        <v>J. Billing Period Total</v>
      </c>
      <c r="D3493" s="211">
        <f>'IWP05'!G$485</f>
        <v>0</v>
      </c>
      <c r="E3493" s="211">
        <f>'IWP05'!H$485</f>
        <v>0</v>
      </c>
      <c r="F3493" s="211">
        <f>'IWP05'!I$485</f>
        <v>0</v>
      </c>
      <c r="G3493" s="191" t="str">
        <f>IF('IWP05'!J$485=0,"",'IWP05'!J$485)</f>
        <v/>
      </c>
      <c r="H3493" s="211">
        <f>'IWP05'!K$485</f>
        <v>0</v>
      </c>
      <c r="I3493" s="211">
        <f>'IWP05'!L$485</f>
        <v>0</v>
      </c>
      <c r="J3493" s="212">
        <f>'IWP05'!M$485</f>
        <v>0</v>
      </c>
      <c r="K3493" s="106"/>
      <c r="L3493" s="106"/>
      <c r="M3493" s="129"/>
    </row>
    <row r="3494" spans="1:13" s="146" customFormat="1">
      <c r="A3494" s="193" t="s">
        <v>503</v>
      </c>
      <c r="B3494" s="210">
        <v>9</v>
      </c>
      <c r="C3494" s="191" t="str">
        <f>IF('IWP05'!E$486=0,"",'IWP05'!E$486)</f>
        <v>D.</v>
      </c>
      <c r="D3494" s="211">
        <f>'IWP05'!G$486</f>
        <v>0</v>
      </c>
      <c r="E3494" s="211" t="str">
        <f>'IWP05'!H$486</f>
        <v>E.</v>
      </c>
      <c r="F3494" s="211" t="str">
        <f>'IWP05'!I$486</f>
        <v>F.</v>
      </c>
      <c r="G3494" s="191" t="str">
        <f>IF('IWP05'!J$486=0,"",'IWP05'!J$486)</f>
        <v>G.</v>
      </c>
      <c r="H3494" s="211">
        <f>'IWP05'!K$486</f>
        <v>0</v>
      </c>
      <c r="I3494" s="211" t="str">
        <f>'IWP05'!L$486</f>
        <v>H.</v>
      </c>
      <c r="J3494" s="212" t="str">
        <f>'IWP05'!M$486</f>
        <v>I.</v>
      </c>
      <c r="K3494" s="106"/>
      <c r="L3494" s="106"/>
      <c r="M3494" s="129"/>
    </row>
    <row r="3495" spans="1:13" s="146" customFormat="1">
      <c r="A3495" s="193" t="s">
        <v>503</v>
      </c>
      <c r="B3495" s="210">
        <v>9</v>
      </c>
      <c r="C3495" s="191" t="str">
        <f>IF('IWP05'!E$487=0,"",'IWP05'!E$487)</f>
        <v xml:space="preserve">Items/Services Related to Billing Period </v>
      </c>
      <c r="D3495" s="211">
        <f>'IWP05'!G$487</f>
        <v>0</v>
      </c>
      <c r="E3495" s="211" t="str">
        <f>'IWP05'!H$487</f>
        <v xml:space="preserve">Item/
Service Verified Amounts
</v>
      </c>
      <c r="F3495" s="211" t="str">
        <f>'IWP05'!I$487</f>
        <v>Amount Due to DADS (E. - D.)</v>
      </c>
      <c r="G3495" s="191" t="str">
        <f>IF('IWP05'!J$487=0,"",'IWP05'!J$487)</f>
        <v>Amount Reimbursed to 
Employee(s)/Employer</v>
      </c>
      <c r="H3495" s="211">
        <f>'IWP05'!K$487</f>
        <v>0</v>
      </c>
      <c r="I3495" s="211" t="str">
        <f>'IWP05'!L$487</f>
        <v>Amount Due to Employee(s) (G. - E.)</v>
      </c>
      <c r="J3495" s="212" t="str">
        <f>'IWP05'!M$487</f>
        <v>Amount Due to Employer (G. - E.)</v>
      </c>
      <c r="K3495" s="106"/>
      <c r="L3495" s="106"/>
      <c r="M3495" s="129"/>
    </row>
    <row r="3496" spans="1:13" s="146" customFormat="1">
      <c r="A3496" s="193" t="s">
        <v>503</v>
      </c>
      <c r="B3496" s="210">
        <v>9</v>
      </c>
      <c r="C3496" s="191" t="str">
        <f>IF('IWP05'!E$488=0,"",'IWP05'!E$488)</f>
        <v>Item/Service</v>
      </c>
      <c r="D3496" s="211" t="str">
        <f>'IWP05'!G$488</f>
        <v>Itemized Amount Paid by DADS</v>
      </c>
      <c r="E3496" s="211">
        <f>'IWP05'!H$488</f>
        <v>0</v>
      </c>
      <c r="F3496" s="211">
        <f>'IWP05'!I$488</f>
        <v>0</v>
      </c>
      <c r="G3496" s="191" t="str">
        <f>IF('IWP05'!J$488=0,"",'IWP05'!J$488)</f>
        <v/>
      </c>
      <c r="H3496" s="211">
        <f>'IWP05'!K$488</f>
        <v>0</v>
      </c>
      <c r="I3496" s="211">
        <f>'IWP05'!L$488</f>
        <v>0</v>
      </c>
      <c r="J3496" s="212">
        <f>'IWP05'!M$488</f>
        <v>0</v>
      </c>
      <c r="K3496" s="106"/>
      <c r="L3496" s="106"/>
      <c r="M3496" s="129"/>
    </row>
    <row r="3497" spans="1:13" s="146" customFormat="1">
      <c r="A3497" s="193" t="s">
        <v>503</v>
      </c>
      <c r="B3497" s="210">
        <v>9</v>
      </c>
      <c r="C3497" s="191" t="str">
        <f>IF('IWP05'!E$489=0,"",'IWP05'!E$489)</f>
        <v/>
      </c>
      <c r="D3497" s="211">
        <f>'IWP05'!G$489</f>
        <v>0</v>
      </c>
      <c r="E3497" s="211">
        <f>'IWP05'!H$489</f>
        <v>0</v>
      </c>
      <c r="F3497" s="211">
        <f>'IWP05'!I$489</f>
        <v>0</v>
      </c>
      <c r="G3497" s="191" t="str">
        <f>IF('IWP05'!J$489=0,"",'IWP05'!J$489)</f>
        <v/>
      </c>
      <c r="H3497" s="211">
        <f>'IWP05'!K$489</f>
        <v>0</v>
      </c>
      <c r="I3497" s="211">
        <f>'IWP05'!L$489</f>
        <v>0</v>
      </c>
      <c r="J3497" s="212">
        <f>'IWP05'!M$489</f>
        <v>0</v>
      </c>
      <c r="K3497" s="106"/>
      <c r="L3497" s="106"/>
      <c r="M3497" s="129"/>
    </row>
    <row r="3498" spans="1:13" s="146" customFormat="1">
      <c r="A3498" s="193" t="s">
        <v>503</v>
      </c>
      <c r="B3498" s="210">
        <v>9</v>
      </c>
      <c r="C3498" s="191" t="str">
        <f>IF('IWP05'!E$490=0,"",'IWP05'!E$490)</f>
        <v/>
      </c>
      <c r="D3498" s="211">
        <f>'IWP05'!G$490</f>
        <v>0</v>
      </c>
      <c r="E3498" s="211">
        <f>'IWP05'!H$490</f>
        <v>0</v>
      </c>
      <c r="F3498" s="211">
        <f>'IWP05'!I$490</f>
        <v>0</v>
      </c>
      <c r="G3498" s="191" t="str">
        <f>IF('IWP05'!J$490=0,"",'IWP05'!J$490)</f>
        <v/>
      </c>
      <c r="H3498" s="211">
        <f>'IWP05'!K$490</f>
        <v>0</v>
      </c>
      <c r="I3498" s="211">
        <f>'IWP05'!L$490</f>
        <v>0</v>
      </c>
      <c r="J3498" s="212">
        <f>'IWP05'!M$490</f>
        <v>0</v>
      </c>
      <c r="K3498" s="106"/>
      <c r="L3498" s="106"/>
      <c r="M3498" s="129"/>
    </row>
    <row r="3499" spans="1:13" s="146" customFormat="1">
      <c r="A3499" s="193" t="s">
        <v>503</v>
      </c>
      <c r="B3499" s="210">
        <v>9</v>
      </c>
      <c r="C3499" s="191" t="str">
        <f>IF('IWP05'!E$491=0,"",'IWP05'!E$491)</f>
        <v/>
      </c>
      <c r="D3499" s="211">
        <f>'IWP05'!G$491</f>
        <v>0</v>
      </c>
      <c r="E3499" s="211">
        <f>'IWP05'!H$491</f>
        <v>0</v>
      </c>
      <c r="F3499" s="211">
        <f>'IWP05'!I$491</f>
        <v>0</v>
      </c>
      <c r="G3499" s="191" t="str">
        <f>IF('IWP05'!J$491=0,"",'IWP05'!J$491)</f>
        <v/>
      </c>
      <c r="H3499" s="211">
        <f>'IWP05'!K$491</f>
        <v>0</v>
      </c>
      <c r="I3499" s="211">
        <f>'IWP05'!L$491</f>
        <v>0</v>
      </c>
      <c r="J3499" s="212">
        <f>'IWP05'!M$491</f>
        <v>0</v>
      </c>
      <c r="K3499" s="106"/>
      <c r="L3499" s="106"/>
      <c r="M3499" s="129"/>
    </row>
    <row r="3500" spans="1:13" s="146" customFormat="1">
      <c r="A3500" s="193" t="s">
        <v>503</v>
      </c>
      <c r="B3500" s="210">
        <v>9</v>
      </c>
      <c r="C3500" s="191" t="str">
        <f>IF('IWP05'!E$492=0,"",'IWP05'!E$492)</f>
        <v/>
      </c>
      <c r="D3500" s="211">
        <f>'IWP05'!G$492</f>
        <v>0</v>
      </c>
      <c r="E3500" s="211">
        <f>'IWP05'!H$492</f>
        <v>0</v>
      </c>
      <c r="F3500" s="211">
        <f>'IWP05'!I$492</f>
        <v>0</v>
      </c>
      <c r="G3500" s="191" t="str">
        <f>IF('IWP05'!J$492=0,"",'IWP05'!J$492)</f>
        <v/>
      </c>
      <c r="H3500" s="211">
        <f>'IWP05'!K$492</f>
        <v>0</v>
      </c>
      <c r="I3500" s="211">
        <f>'IWP05'!L$492</f>
        <v>0</v>
      </c>
      <c r="J3500" s="212">
        <f>'IWP05'!M$492</f>
        <v>0</v>
      </c>
      <c r="K3500" s="106"/>
      <c r="L3500" s="106"/>
      <c r="M3500" s="129"/>
    </row>
    <row r="3501" spans="1:13" s="146" customFormat="1">
      <c r="A3501" s="193" t="s">
        <v>503</v>
      </c>
      <c r="B3501" s="210">
        <v>10</v>
      </c>
      <c r="C3501" s="191" t="str">
        <f>IF('IWP05'!E$499=0,"",'IWP05'!E$499)</f>
        <v>Subtotal column D.</v>
      </c>
      <c r="D3501" s="211">
        <f>'IWP05'!G$499</f>
        <v>0</v>
      </c>
      <c r="E3501" s="211">
        <f>'IWP05'!H$499</f>
        <v>0</v>
      </c>
      <c r="F3501" s="211">
        <f>'IWP05'!I$499</f>
        <v>0</v>
      </c>
      <c r="G3501" s="191" t="str">
        <f>IF('IWP05'!J$499=0,"",'IWP05'!J$499)</f>
        <v/>
      </c>
      <c r="H3501" s="211">
        <f>'IWP05'!K$499</f>
        <v>0</v>
      </c>
      <c r="I3501" s="211">
        <f>'IWP05'!L$499</f>
        <v>0</v>
      </c>
      <c r="J3501" s="212">
        <f>'IWP05'!M$499</f>
        <v>0</v>
      </c>
      <c r="K3501" s="106"/>
      <c r="L3501" s="106"/>
      <c r="M3501" s="129"/>
    </row>
    <row r="3502" spans="1:13" s="146" customFormat="1">
      <c r="A3502" s="193" t="s">
        <v>503</v>
      </c>
      <c r="B3502" s="210">
        <v>10</v>
      </c>
      <c r="C3502" s="191" t="str">
        <f>IF('IWP05'!E$500=0,"",'IWP05'!E$500)</f>
        <v>Unverified/Undocumented (Subtotal D - C)</v>
      </c>
      <c r="D3502" s="211">
        <f>'IWP05'!G$500</f>
        <v>0</v>
      </c>
      <c r="E3502" s="211">
        <f>'IWP05'!H$500</f>
        <v>0</v>
      </c>
      <c r="F3502" s="211">
        <f>'IWP05'!I$500</f>
        <v>0</v>
      </c>
      <c r="G3502" s="191" t="str">
        <f>IF('IWP05'!J$500=0,"",'IWP05'!J$500)</f>
        <v/>
      </c>
      <c r="H3502" s="211">
        <f>'IWP05'!K$500</f>
        <v>0</v>
      </c>
      <c r="I3502" s="211">
        <f>'IWP05'!L$500</f>
        <v>0</v>
      </c>
      <c r="J3502" s="212">
        <f>'IWP05'!M$500</f>
        <v>0</v>
      </c>
      <c r="K3502" s="106"/>
      <c r="L3502" s="106"/>
      <c r="M3502" s="129"/>
    </row>
    <row r="3503" spans="1:13" s="146" customFormat="1">
      <c r="A3503" s="193" t="s">
        <v>503</v>
      </c>
      <c r="B3503" s="210">
        <v>10</v>
      </c>
      <c r="C3503" s="191" t="str">
        <f>IF('IWP05'!E$501=0,"",'IWP05'!E$501)</f>
        <v>J. Billing Period Total</v>
      </c>
      <c r="D3503" s="211">
        <f>'IWP05'!G$501</f>
        <v>0</v>
      </c>
      <c r="E3503" s="211">
        <f>'IWP05'!H$501</f>
        <v>0</v>
      </c>
      <c r="F3503" s="211">
        <f>'IWP05'!I$501</f>
        <v>0</v>
      </c>
      <c r="G3503" s="191" t="str">
        <f>IF('IWP05'!J$501=0,"",'IWP05'!J$501)</f>
        <v/>
      </c>
      <c r="H3503" s="211">
        <f>'IWP05'!K$501</f>
        <v>0</v>
      </c>
      <c r="I3503" s="211">
        <f>'IWP05'!L$501</f>
        <v>0</v>
      </c>
      <c r="J3503" s="212">
        <f>'IWP05'!M$501</f>
        <v>0</v>
      </c>
      <c r="K3503" s="106"/>
      <c r="L3503" s="106"/>
      <c r="M3503" s="129"/>
    </row>
    <row r="3504" spans="1:13" s="146" customFormat="1">
      <c r="A3504" s="193" t="s">
        <v>503</v>
      </c>
      <c r="B3504" s="210">
        <v>10</v>
      </c>
      <c r="C3504" s="191" t="str">
        <f>IF('IWP05'!E$502=0,"",'IWP05'!E$502)</f>
        <v>D.</v>
      </c>
      <c r="D3504" s="211">
        <f>'IWP05'!G$502</f>
        <v>0</v>
      </c>
      <c r="E3504" s="211" t="str">
        <f>'IWP05'!H$502</f>
        <v>E.</v>
      </c>
      <c r="F3504" s="211" t="str">
        <f>'IWP05'!I$502</f>
        <v>F.</v>
      </c>
      <c r="G3504" s="191" t="str">
        <f>IF('IWP05'!J$502=0,"",'IWP05'!J$502)</f>
        <v>G.</v>
      </c>
      <c r="H3504" s="211">
        <f>'IWP05'!K$502</f>
        <v>0</v>
      </c>
      <c r="I3504" s="211" t="str">
        <f>'IWP05'!L$502</f>
        <v>H.</v>
      </c>
      <c r="J3504" s="212" t="str">
        <f>'IWP05'!M$502</f>
        <v>I.</v>
      </c>
      <c r="K3504" s="106"/>
      <c r="L3504" s="106"/>
      <c r="M3504" s="129"/>
    </row>
    <row r="3505" spans="1:13" s="146" customFormat="1">
      <c r="A3505" s="193" t="s">
        <v>503</v>
      </c>
      <c r="B3505" s="210">
        <v>10</v>
      </c>
      <c r="C3505" s="191" t="str">
        <f>IF('IWP05'!E$503=0,"",'IWP05'!E$503)</f>
        <v xml:space="preserve">Items/Services Related to Billing Period </v>
      </c>
      <c r="D3505" s="211">
        <f>'IWP05'!G$503</f>
        <v>0</v>
      </c>
      <c r="E3505" s="211" t="str">
        <f>'IWP05'!H$503</f>
        <v xml:space="preserve">Item/
Service Verified Amounts
</v>
      </c>
      <c r="F3505" s="211" t="str">
        <f>'IWP05'!I$503</f>
        <v>Amount Due to DADS (E. - D.)</v>
      </c>
      <c r="G3505" s="191" t="str">
        <f>IF('IWP05'!J$503=0,"",'IWP05'!J$503)</f>
        <v>Amount Reimbursed to 
Employee(s)/Employer</v>
      </c>
      <c r="H3505" s="211">
        <f>'IWP05'!K$503</f>
        <v>0</v>
      </c>
      <c r="I3505" s="211" t="str">
        <f>'IWP05'!L$503</f>
        <v>Amount Due to Employee(s) (G. - E.)</v>
      </c>
      <c r="J3505" s="212" t="str">
        <f>'IWP05'!M$503</f>
        <v>Amount Due to Employer (G. - E.)</v>
      </c>
      <c r="K3505" s="106"/>
      <c r="L3505" s="106"/>
      <c r="M3505" s="129"/>
    </row>
    <row r="3506" spans="1:13" s="146" customFormat="1">
      <c r="A3506" s="193" t="s">
        <v>503</v>
      </c>
      <c r="B3506" s="210">
        <v>10</v>
      </c>
      <c r="C3506" s="191" t="str">
        <f>IF('IWP05'!E$504=0,"",'IWP05'!E$504)</f>
        <v>Item/Service</v>
      </c>
      <c r="D3506" s="211" t="str">
        <f>'IWP05'!G$504</f>
        <v>Itemized Amount Paid by DADS</v>
      </c>
      <c r="E3506" s="211">
        <f>'IWP05'!H$504</f>
        <v>0</v>
      </c>
      <c r="F3506" s="211">
        <f>'IWP05'!I$504</f>
        <v>0</v>
      </c>
      <c r="G3506" s="191" t="str">
        <f>IF('IWP05'!J$504=0,"",'IWP05'!J$504)</f>
        <v/>
      </c>
      <c r="H3506" s="211">
        <f>'IWP05'!K$504</f>
        <v>0</v>
      </c>
      <c r="I3506" s="211">
        <f>'IWP05'!L$504</f>
        <v>0</v>
      </c>
      <c r="J3506" s="212">
        <f>'IWP05'!M$504</f>
        <v>0</v>
      </c>
      <c r="K3506" s="106"/>
      <c r="L3506" s="106"/>
      <c r="M3506" s="129"/>
    </row>
    <row r="3507" spans="1:13" s="146" customFormat="1">
      <c r="A3507" s="193" t="s">
        <v>503</v>
      </c>
      <c r="B3507" s="210">
        <v>10</v>
      </c>
      <c r="C3507" s="191" t="str">
        <f>IF('IWP05'!E$505=0,"",'IWP05'!E$505)</f>
        <v/>
      </c>
      <c r="D3507" s="211">
        <f>'IWP05'!G$505</f>
        <v>0</v>
      </c>
      <c r="E3507" s="211">
        <f>'IWP05'!H$505</f>
        <v>0</v>
      </c>
      <c r="F3507" s="211">
        <f>'IWP05'!I$505</f>
        <v>0</v>
      </c>
      <c r="G3507" s="191" t="str">
        <f>IF('IWP05'!J$505=0,"",'IWP05'!J$505)</f>
        <v/>
      </c>
      <c r="H3507" s="211">
        <f>'IWP05'!K$505</f>
        <v>0</v>
      </c>
      <c r="I3507" s="211">
        <f>'IWP05'!L$505</f>
        <v>0</v>
      </c>
      <c r="J3507" s="212">
        <f>'IWP05'!M$505</f>
        <v>0</v>
      </c>
      <c r="K3507" s="106"/>
      <c r="L3507" s="106"/>
      <c r="M3507" s="129"/>
    </row>
    <row r="3508" spans="1:13" s="146" customFormat="1">
      <c r="A3508" s="193" t="s">
        <v>503</v>
      </c>
      <c r="B3508" s="210">
        <v>10</v>
      </c>
      <c r="C3508" s="191" t="str">
        <f>IF('IWP05'!E$506=0,"",'IWP05'!E$506)</f>
        <v/>
      </c>
      <c r="D3508" s="211">
        <f>'IWP05'!G$506</f>
        <v>0</v>
      </c>
      <c r="E3508" s="211">
        <f>'IWP05'!H$506</f>
        <v>0</v>
      </c>
      <c r="F3508" s="211">
        <f>'IWP05'!I$506</f>
        <v>0</v>
      </c>
      <c r="G3508" s="191" t="str">
        <f>IF('IWP05'!J$506=0,"",'IWP05'!J$506)</f>
        <v/>
      </c>
      <c r="H3508" s="211">
        <f>'IWP05'!K$506</f>
        <v>0</v>
      </c>
      <c r="I3508" s="211">
        <f>'IWP05'!L$506</f>
        <v>0</v>
      </c>
      <c r="J3508" s="212">
        <f>'IWP05'!M$506</f>
        <v>0</v>
      </c>
      <c r="K3508" s="106"/>
      <c r="L3508" s="106"/>
      <c r="M3508" s="129"/>
    </row>
    <row r="3509" spans="1:13" s="146" customFormat="1">
      <c r="A3509" s="193" t="s">
        <v>503</v>
      </c>
      <c r="B3509" s="210">
        <v>10</v>
      </c>
      <c r="C3509" s="191" t="str">
        <f>IF('IWP05'!E$507=0,"",'IWP05'!E$507)</f>
        <v/>
      </c>
      <c r="D3509" s="211">
        <f>'IWP05'!G$507</f>
        <v>0</v>
      </c>
      <c r="E3509" s="211">
        <f>'IWP05'!H$507</f>
        <v>0</v>
      </c>
      <c r="F3509" s="211">
        <f>'IWP05'!I$507</f>
        <v>0</v>
      </c>
      <c r="G3509" s="191" t="str">
        <f>IF('IWP05'!J$507=0,"",'IWP05'!J$507)</f>
        <v/>
      </c>
      <c r="H3509" s="211">
        <f>'IWP05'!K$507</f>
        <v>0</v>
      </c>
      <c r="I3509" s="211">
        <f>'IWP05'!L$507</f>
        <v>0</v>
      </c>
      <c r="J3509" s="212">
        <f>'IWP05'!M$507</f>
        <v>0</v>
      </c>
      <c r="K3509" s="106"/>
      <c r="L3509" s="106"/>
      <c r="M3509" s="129"/>
    </row>
    <row r="3510" spans="1:13" s="146" customFormat="1">
      <c r="A3510" s="193" t="s">
        <v>503</v>
      </c>
      <c r="B3510" s="210">
        <v>10</v>
      </c>
      <c r="C3510" s="191" t="str">
        <f>IF('IWP05'!E$508=0,"",'IWP05'!E$508)</f>
        <v/>
      </c>
      <c r="D3510" s="211">
        <f>'IWP05'!G$508</f>
        <v>0</v>
      </c>
      <c r="E3510" s="211">
        <f>'IWP05'!H$508</f>
        <v>0</v>
      </c>
      <c r="F3510" s="211">
        <f>'IWP05'!I$508</f>
        <v>0</v>
      </c>
      <c r="G3510" s="191" t="str">
        <f>IF('IWP05'!J$508=0,"",'IWP05'!J$508)</f>
        <v/>
      </c>
      <c r="H3510" s="211">
        <f>'IWP05'!K$508</f>
        <v>0</v>
      </c>
      <c r="I3510" s="211">
        <f>'IWP05'!L$508</f>
        <v>0</v>
      </c>
      <c r="J3510" s="212">
        <f>'IWP05'!M$508</f>
        <v>0</v>
      </c>
      <c r="K3510" s="106"/>
      <c r="L3510" s="106"/>
      <c r="M3510" s="129"/>
    </row>
    <row r="3511" spans="1:13" s="146" customFormat="1">
      <c r="A3511" s="193" t="s">
        <v>503</v>
      </c>
      <c r="B3511" s="210">
        <v>11</v>
      </c>
      <c r="C3511" s="191" t="str">
        <f>IF('IWP05'!E$515=0,"",'IWP05'!E$515)</f>
        <v>Subtotal column D.</v>
      </c>
      <c r="D3511" s="211">
        <f>'IWP05'!G$515</f>
        <v>0</v>
      </c>
      <c r="E3511" s="211">
        <f>'IWP05'!H$515</f>
        <v>0</v>
      </c>
      <c r="F3511" s="211">
        <f>'IWP05'!I$515</f>
        <v>0</v>
      </c>
      <c r="G3511" s="191" t="str">
        <f>IF('IWP05'!J$515=0,"",'IWP05'!J$515)</f>
        <v/>
      </c>
      <c r="H3511" s="211">
        <f>'IWP05'!K$515</f>
        <v>0</v>
      </c>
      <c r="I3511" s="211">
        <f>'IWP05'!L$515</f>
        <v>0</v>
      </c>
      <c r="J3511" s="212">
        <f>'IWP05'!M$515</f>
        <v>0</v>
      </c>
      <c r="K3511" s="106"/>
      <c r="L3511" s="106"/>
      <c r="M3511" s="129"/>
    </row>
    <row r="3512" spans="1:13" s="146" customFormat="1">
      <c r="A3512" s="193" t="s">
        <v>503</v>
      </c>
      <c r="B3512" s="210">
        <v>11</v>
      </c>
      <c r="C3512" s="191" t="str">
        <f>IF('IWP05'!E$516=0,"",'IWP05'!E$516)</f>
        <v>Unverified/Undocumented (Subtotal D - C)</v>
      </c>
      <c r="D3512" s="211">
        <f>'IWP05'!G$516</f>
        <v>0</v>
      </c>
      <c r="E3512" s="211">
        <f>'IWP05'!H$516</f>
        <v>0</v>
      </c>
      <c r="F3512" s="211">
        <f>'IWP05'!I$516</f>
        <v>0</v>
      </c>
      <c r="G3512" s="191" t="str">
        <f>IF('IWP05'!J$516=0,"",'IWP05'!J$516)</f>
        <v/>
      </c>
      <c r="H3512" s="211">
        <f>'IWP05'!K$516</f>
        <v>0</v>
      </c>
      <c r="I3512" s="211">
        <f>'IWP05'!L$516</f>
        <v>0</v>
      </c>
      <c r="J3512" s="212">
        <f>'IWP05'!M$516</f>
        <v>0</v>
      </c>
      <c r="K3512" s="106"/>
      <c r="L3512" s="106"/>
      <c r="M3512" s="129"/>
    </row>
    <row r="3513" spans="1:13" s="146" customFormat="1">
      <c r="A3513" s="193" t="s">
        <v>503</v>
      </c>
      <c r="B3513" s="210">
        <v>11</v>
      </c>
      <c r="C3513" s="191" t="str">
        <f>IF('IWP05'!E$517=0,"",'IWP05'!E$517)</f>
        <v>J. Billing Period Total</v>
      </c>
      <c r="D3513" s="211">
        <f>'IWP05'!G$517</f>
        <v>0</v>
      </c>
      <c r="E3513" s="211">
        <f>'IWP05'!H$517</f>
        <v>0</v>
      </c>
      <c r="F3513" s="211">
        <f>'IWP05'!I$517</f>
        <v>0</v>
      </c>
      <c r="G3513" s="191" t="str">
        <f>IF('IWP05'!J$517=0,"",'IWP05'!J$517)</f>
        <v/>
      </c>
      <c r="H3513" s="211">
        <f>'IWP05'!K$517</f>
        <v>0</v>
      </c>
      <c r="I3513" s="211">
        <f>'IWP05'!L$517</f>
        <v>0</v>
      </c>
      <c r="J3513" s="212">
        <f>'IWP05'!M$517</f>
        <v>0</v>
      </c>
      <c r="K3513" s="106"/>
      <c r="L3513" s="106"/>
      <c r="M3513" s="129"/>
    </row>
    <row r="3514" spans="1:13" s="146" customFormat="1">
      <c r="A3514" s="193" t="s">
        <v>503</v>
      </c>
      <c r="B3514" s="210">
        <v>11</v>
      </c>
      <c r="C3514" s="191" t="str">
        <f>IF('IWP05'!E$518=0,"",'IWP05'!E$518)</f>
        <v>D.</v>
      </c>
      <c r="D3514" s="211">
        <f>'IWP05'!G$518</f>
        <v>0</v>
      </c>
      <c r="E3514" s="211" t="str">
        <f>'IWP05'!H$518</f>
        <v>E.</v>
      </c>
      <c r="F3514" s="211" t="str">
        <f>'IWP05'!I$518</f>
        <v>F.</v>
      </c>
      <c r="G3514" s="191" t="str">
        <f>IF('IWP05'!J$518=0,"",'IWP05'!J$518)</f>
        <v>G.</v>
      </c>
      <c r="H3514" s="211">
        <f>'IWP05'!K$518</f>
        <v>0</v>
      </c>
      <c r="I3514" s="211" t="str">
        <f>'IWP05'!L$518</f>
        <v>H.</v>
      </c>
      <c r="J3514" s="212" t="str">
        <f>'IWP05'!M$518</f>
        <v>I.</v>
      </c>
      <c r="K3514" s="106"/>
      <c r="L3514" s="106"/>
      <c r="M3514" s="129"/>
    </row>
    <row r="3515" spans="1:13" s="146" customFormat="1">
      <c r="A3515" s="193" t="s">
        <v>503</v>
      </c>
      <c r="B3515" s="210">
        <v>11</v>
      </c>
      <c r="C3515" s="191" t="str">
        <f>IF('IWP05'!E$519=0,"",'IWP05'!E$519)</f>
        <v xml:space="preserve">Items/Services Related to Billing Period </v>
      </c>
      <c r="D3515" s="211">
        <f>'IWP05'!G$519</f>
        <v>0</v>
      </c>
      <c r="E3515" s="211" t="str">
        <f>'IWP05'!H$519</f>
        <v xml:space="preserve">Item/
Service Verified Amounts
</v>
      </c>
      <c r="F3515" s="211" t="str">
        <f>'IWP05'!I$519</f>
        <v>Amount Due to DADS (E. - D.)</v>
      </c>
      <c r="G3515" s="191" t="str">
        <f>IF('IWP05'!J$519=0,"",'IWP05'!J$519)</f>
        <v>Amount Reimbursed to 
Employee(s)/Employer</v>
      </c>
      <c r="H3515" s="211">
        <f>'IWP05'!K$519</f>
        <v>0</v>
      </c>
      <c r="I3515" s="211" t="str">
        <f>'IWP05'!L$519</f>
        <v>Amount Due to Employee(s) (G. - E.)</v>
      </c>
      <c r="J3515" s="212" t="str">
        <f>'IWP05'!M$519</f>
        <v>Amount Due to Employer (G. - E.)</v>
      </c>
      <c r="K3515" s="106"/>
      <c r="L3515" s="106"/>
      <c r="M3515" s="129"/>
    </row>
    <row r="3516" spans="1:13" s="146" customFormat="1">
      <c r="A3516" s="193" t="s">
        <v>503</v>
      </c>
      <c r="B3516" s="210">
        <v>11</v>
      </c>
      <c r="C3516" s="191" t="str">
        <f>IF('IWP05'!E$520=0,"",'IWP05'!E$520)</f>
        <v>Item/Service</v>
      </c>
      <c r="D3516" s="211" t="str">
        <f>'IWP05'!G$520</f>
        <v>Itemized Amount Paid by DADS</v>
      </c>
      <c r="E3516" s="211">
        <f>'IWP05'!H$520</f>
        <v>0</v>
      </c>
      <c r="F3516" s="211">
        <f>'IWP05'!I$520</f>
        <v>0</v>
      </c>
      <c r="G3516" s="191" t="str">
        <f>IF('IWP05'!J$520=0,"",'IWP05'!J$520)</f>
        <v/>
      </c>
      <c r="H3516" s="211">
        <f>'IWP05'!K$520</f>
        <v>0</v>
      </c>
      <c r="I3516" s="211">
        <f>'IWP05'!L$520</f>
        <v>0</v>
      </c>
      <c r="J3516" s="212">
        <f>'IWP05'!M$520</f>
        <v>0</v>
      </c>
      <c r="K3516" s="106"/>
      <c r="L3516" s="106"/>
      <c r="M3516" s="129"/>
    </row>
    <row r="3517" spans="1:13" s="146" customFormat="1">
      <c r="A3517" s="193" t="s">
        <v>503</v>
      </c>
      <c r="B3517" s="210">
        <v>11</v>
      </c>
      <c r="C3517" s="191" t="str">
        <f>IF('IWP05'!E$521=0,"",'IWP05'!E$521)</f>
        <v/>
      </c>
      <c r="D3517" s="211">
        <f>'IWP05'!G$521</f>
        <v>0</v>
      </c>
      <c r="E3517" s="211">
        <f>'IWP05'!H$521</f>
        <v>0</v>
      </c>
      <c r="F3517" s="211">
        <f>'IWP05'!I$521</f>
        <v>0</v>
      </c>
      <c r="G3517" s="191" t="str">
        <f>IF('IWP05'!J$521=0,"",'IWP05'!J$521)</f>
        <v/>
      </c>
      <c r="H3517" s="211">
        <f>'IWP05'!K$521</f>
        <v>0</v>
      </c>
      <c r="I3517" s="211">
        <f>'IWP05'!L$521</f>
        <v>0</v>
      </c>
      <c r="J3517" s="212">
        <f>'IWP05'!M$521</f>
        <v>0</v>
      </c>
      <c r="K3517" s="106"/>
      <c r="L3517" s="106"/>
      <c r="M3517" s="129"/>
    </row>
    <row r="3518" spans="1:13" s="146" customFormat="1">
      <c r="A3518" s="193" t="s">
        <v>503</v>
      </c>
      <c r="B3518" s="210">
        <v>11</v>
      </c>
      <c r="C3518" s="191" t="str">
        <f>IF('IWP05'!E$522=0,"",'IWP05'!E$522)</f>
        <v/>
      </c>
      <c r="D3518" s="211">
        <f>'IWP05'!G$522</f>
        <v>0</v>
      </c>
      <c r="E3518" s="211">
        <f>'IWP05'!H$522</f>
        <v>0</v>
      </c>
      <c r="F3518" s="211">
        <f>'IWP05'!I$522</f>
        <v>0</v>
      </c>
      <c r="G3518" s="191" t="str">
        <f>IF('IWP05'!J$522=0,"",'IWP05'!J$522)</f>
        <v/>
      </c>
      <c r="H3518" s="211">
        <f>'IWP05'!K$522</f>
        <v>0</v>
      </c>
      <c r="I3518" s="211">
        <f>'IWP05'!L$522</f>
        <v>0</v>
      </c>
      <c r="J3518" s="212">
        <f>'IWP05'!M$522</f>
        <v>0</v>
      </c>
      <c r="K3518" s="106"/>
      <c r="L3518" s="106"/>
      <c r="M3518" s="129"/>
    </row>
    <row r="3519" spans="1:13" s="146" customFormat="1">
      <c r="A3519" s="193" t="s">
        <v>503</v>
      </c>
      <c r="B3519" s="210">
        <v>11</v>
      </c>
      <c r="C3519" s="191" t="str">
        <f>IF('IWP05'!E$523=0,"",'IWP05'!E$523)</f>
        <v/>
      </c>
      <c r="D3519" s="211">
        <f>'IWP05'!G$523</f>
        <v>0</v>
      </c>
      <c r="E3519" s="211">
        <f>'IWP05'!H$523</f>
        <v>0</v>
      </c>
      <c r="F3519" s="211">
        <f>'IWP05'!I$523</f>
        <v>0</v>
      </c>
      <c r="G3519" s="191" t="str">
        <f>IF('IWP05'!J$523=0,"",'IWP05'!J$523)</f>
        <v/>
      </c>
      <c r="H3519" s="211">
        <f>'IWP05'!K$523</f>
        <v>0</v>
      </c>
      <c r="I3519" s="211">
        <f>'IWP05'!L$523</f>
        <v>0</v>
      </c>
      <c r="J3519" s="212">
        <f>'IWP05'!M$523</f>
        <v>0</v>
      </c>
      <c r="K3519" s="106"/>
      <c r="L3519" s="106"/>
      <c r="M3519" s="129"/>
    </row>
    <row r="3520" spans="1:13" s="146" customFormat="1">
      <c r="A3520" s="193" t="s">
        <v>503</v>
      </c>
      <c r="B3520" s="210">
        <v>11</v>
      </c>
      <c r="C3520" s="191" t="str">
        <f>IF('IWP05'!E$524=0,"",'IWP05'!E$524)</f>
        <v/>
      </c>
      <c r="D3520" s="211">
        <f>'IWP05'!G$524</f>
        <v>0</v>
      </c>
      <c r="E3520" s="211">
        <f>'IWP05'!H$524</f>
        <v>0</v>
      </c>
      <c r="F3520" s="211">
        <f>'IWP05'!I$524</f>
        <v>0</v>
      </c>
      <c r="G3520" s="191" t="str">
        <f>IF('IWP05'!J$524=0,"",'IWP05'!J$524)</f>
        <v/>
      </c>
      <c r="H3520" s="211">
        <f>'IWP05'!K$524</f>
        <v>0</v>
      </c>
      <c r="I3520" s="211">
        <f>'IWP05'!L$524</f>
        <v>0</v>
      </c>
      <c r="J3520" s="212">
        <f>'IWP05'!M$524</f>
        <v>0</v>
      </c>
      <c r="K3520" s="106"/>
      <c r="L3520" s="106"/>
      <c r="M3520" s="129"/>
    </row>
    <row r="3521" spans="1:13" s="146" customFormat="1">
      <c r="A3521" s="193" t="s">
        <v>503</v>
      </c>
      <c r="B3521" s="210">
        <v>12</v>
      </c>
      <c r="C3521" s="191" t="str">
        <f>IF('IWP05'!E$531=0,"",'IWP05'!E$531)</f>
        <v>Subtotal column D.</v>
      </c>
      <c r="D3521" s="211">
        <f>'IWP05'!G$531</f>
        <v>0</v>
      </c>
      <c r="E3521" s="211">
        <f>'IWP05'!H$531</f>
        <v>0</v>
      </c>
      <c r="F3521" s="211">
        <f>'IWP05'!I$531</f>
        <v>0</v>
      </c>
      <c r="G3521" s="191" t="str">
        <f>IF('IWP05'!J$531=0,"",'IWP05'!J$531)</f>
        <v/>
      </c>
      <c r="H3521" s="211">
        <f>'IWP05'!K$531</f>
        <v>0</v>
      </c>
      <c r="I3521" s="211">
        <f>'IWP05'!L$531</f>
        <v>0</v>
      </c>
      <c r="J3521" s="212">
        <f>'IWP05'!M$531</f>
        <v>0</v>
      </c>
      <c r="K3521" s="106"/>
      <c r="L3521" s="106"/>
      <c r="M3521" s="129"/>
    </row>
    <row r="3522" spans="1:13" s="146" customFormat="1">
      <c r="A3522" s="193" t="s">
        <v>503</v>
      </c>
      <c r="B3522" s="210">
        <v>12</v>
      </c>
      <c r="C3522" s="191" t="str">
        <f>IF('IWP05'!E$532=0,"",'IWP05'!E$532)</f>
        <v>Unverified/Undocumented (Subtotal D - C)</v>
      </c>
      <c r="D3522" s="211">
        <f>'IWP05'!G$532</f>
        <v>0</v>
      </c>
      <c r="E3522" s="211">
        <f>'IWP05'!H$532</f>
        <v>0</v>
      </c>
      <c r="F3522" s="211">
        <f>'IWP05'!I$532</f>
        <v>0</v>
      </c>
      <c r="G3522" s="191" t="str">
        <f>IF('IWP05'!J$532=0,"",'IWP05'!J$532)</f>
        <v/>
      </c>
      <c r="H3522" s="211">
        <f>'IWP05'!K$532</f>
        <v>0</v>
      </c>
      <c r="I3522" s="211">
        <f>'IWP05'!L$532</f>
        <v>0</v>
      </c>
      <c r="J3522" s="212">
        <f>'IWP05'!M$532</f>
        <v>0</v>
      </c>
      <c r="K3522" s="106"/>
      <c r="L3522" s="106"/>
      <c r="M3522" s="129"/>
    </row>
    <row r="3523" spans="1:13" s="146" customFormat="1">
      <c r="A3523" s="193" t="s">
        <v>503</v>
      </c>
      <c r="B3523" s="210">
        <v>12</v>
      </c>
      <c r="C3523" s="191" t="str">
        <f>IF('IWP05'!E$533=0,"",'IWP05'!E$533)</f>
        <v>J. Billing Period Total</v>
      </c>
      <c r="D3523" s="211">
        <f>'IWP05'!G$533</f>
        <v>0</v>
      </c>
      <c r="E3523" s="211">
        <f>'IWP05'!H$533</f>
        <v>0</v>
      </c>
      <c r="F3523" s="211">
        <f>'IWP05'!I$533</f>
        <v>0</v>
      </c>
      <c r="G3523" s="191" t="str">
        <f>IF('IWP05'!J$533=0,"",'IWP05'!J$533)</f>
        <v/>
      </c>
      <c r="H3523" s="211">
        <f>'IWP05'!K$533</f>
        <v>0</v>
      </c>
      <c r="I3523" s="211">
        <f>'IWP05'!L$533</f>
        <v>0</v>
      </c>
      <c r="J3523" s="212">
        <f>'IWP05'!M$533</f>
        <v>0</v>
      </c>
      <c r="K3523" s="106"/>
      <c r="L3523" s="106"/>
      <c r="M3523" s="129"/>
    </row>
    <row r="3524" spans="1:13" s="146" customFormat="1">
      <c r="A3524" s="193" t="s">
        <v>503</v>
      </c>
      <c r="B3524" s="210">
        <v>12</v>
      </c>
      <c r="C3524" s="191" t="str">
        <f>IF('IWP05'!E$534=0,"",'IWP05'!E$534)</f>
        <v>D.</v>
      </c>
      <c r="D3524" s="211">
        <f>'IWP05'!G$534</f>
        <v>0</v>
      </c>
      <c r="E3524" s="211" t="str">
        <f>'IWP05'!H$534</f>
        <v>E.</v>
      </c>
      <c r="F3524" s="211" t="str">
        <f>'IWP05'!I$534</f>
        <v>F.</v>
      </c>
      <c r="G3524" s="191" t="str">
        <f>IF('IWP05'!J$534=0,"",'IWP05'!J$534)</f>
        <v>G.</v>
      </c>
      <c r="H3524" s="211">
        <f>'IWP05'!K$534</f>
        <v>0</v>
      </c>
      <c r="I3524" s="211" t="str">
        <f>'IWP05'!L$534</f>
        <v>H.</v>
      </c>
      <c r="J3524" s="212" t="str">
        <f>'IWP05'!M$534</f>
        <v>I.</v>
      </c>
      <c r="K3524" s="106"/>
      <c r="L3524" s="106"/>
      <c r="M3524" s="129"/>
    </row>
    <row r="3525" spans="1:13" s="146" customFormat="1">
      <c r="A3525" s="193" t="s">
        <v>503</v>
      </c>
      <c r="B3525" s="210">
        <v>12</v>
      </c>
      <c r="C3525" s="191" t="str">
        <f>IF('IWP05'!E$535=0,"",'IWP05'!E$535)</f>
        <v xml:space="preserve">Items/Services Related to Billing Period </v>
      </c>
      <c r="D3525" s="211">
        <f>'IWP05'!G$535</f>
        <v>0</v>
      </c>
      <c r="E3525" s="211" t="str">
        <f>'IWP05'!H$535</f>
        <v xml:space="preserve">Item/
Service Verified Amounts
</v>
      </c>
      <c r="F3525" s="211" t="str">
        <f>'IWP05'!I$535</f>
        <v>Amount Due to DADS (E. - D.)</v>
      </c>
      <c r="G3525" s="191" t="str">
        <f>IF('IWP05'!J$535=0,"",'IWP05'!J$535)</f>
        <v>Amount Reimbursed to 
Employee(s)/Employer</v>
      </c>
      <c r="H3525" s="211">
        <f>'IWP05'!K$535</f>
        <v>0</v>
      </c>
      <c r="I3525" s="211" t="str">
        <f>'IWP05'!L$535</f>
        <v>Amount Due to Employee(s) (G. - E.)</v>
      </c>
      <c r="J3525" s="212" t="str">
        <f>'IWP05'!M$535</f>
        <v>Amount Due to Employer (G. - E.)</v>
      </c>
      <c r="K3525" s="106"/>
      <c r="L3525" s="106"/>
      <c r="M3525" s="129"/>
    </row>
    <row r="3526" spans="1:13" s="146" customFormat="1">
      <c r="A3526" s="193" t="s">
        <v>503</v>
      </c>
      <c r="B3526" s="210">
        <v>12</v>
      </c>
      <c r="C3526" s="191" t="str">
        <f>IF('IWP05'!E$536=0,"",'IWP05'!E$536)</f>
        <v>Item/Service</v>
      </c>
      <c r="D3526" s="211" t="str">
        <f>'IWP05'!G$536</f>
        <v>Itemized Amount Paid by DADS</v>
      </c>
      <c r="E3526" s="211">
        <f>'IWP05'!H$536</f>
        <v>0</v>
      </c>
      <c r="F3526" s="211">
        <f>'IWP05'!I$536</f>
        <v>0</v>
      </c>
      <c r="G3526" s="191" t="str">
        <f>IF('IWP05'!J$536=0,"",'IWP05'!J$536)</f>
        <v/>
      </c>
      <c r="H3526" s="211">
        <f>'IWP05'!K$536</f>
        <v>0</v>
      </c>
      <c r="I3526" s="211">
        <f>'IWP05'!L$536</f>
        <v>0</v>
      </c>
      <c r="J3526" s="212">
        <f>'IWP05'!M$536</f>
        <v>0</v>
      </c>
      <c r="K3526" s="106"/>
      <c r="L3526" s="106"/>
      <c r="M3526" s="129"/>
    </row>
    <row r="3527" spans="1:13" s="146" customFormat="1">
      <c r="A3527" s="193" t="s">
        <v>503</v>
      </c>
      <c r="B3527" s="210">
        <v>12</v>
      </c>
      <c r="C3527" s="191" t="str">
        <f>IF('IWP05'!E$537=0,"",'IWP05'!E$537)</f>
        <v/>
      </c>
      <c r="D3527" s="211">
        <f>'IWP05'!G$537</f>
        <v>0</v>
      </c>
      <c r="E3527" s="211">
        <f>'IWP05'!H$537</f>
        <v>0</v>
      </c>
      <c r="F3527" s="211">
        <f>'IWP05'!I$537</f>
        <v>0</v>
      </c>
      <c r="G3527" s="191" t="str">
        <f>IF('IWP05'!J$537=0,"",'IWP05'!J$537)</f>
        <v/>
      </c>
      <c r="H3527" s="211">
        <f>'IWP05'!K$537</f>
        <v>0</v>
      </c>
      <c r="I3527" s="211">
        <f>'IWP05'!L$537</f>
        <v>0</v>
      </c>
      <c r="J3527" s="212">
        <f>'IWP05'!M$537</f>
        <v>0</v>
      </c>
      <c r="K3527" s="106"/>
      <c r="L3527" s="106"/>
      <c r="M3527" s="129"/>
    </row>
    <row r="3528" spans="1:13" s="146" customFormat="1">
      <c r="A3528" s="193" t="s">
        <v>503</v>
      </c>
      <c r="B3528" s="210">
        <v>12</v>
      </c>
      <c r="C3528" s="191" t="str">
        <f>IF('IWP05'!E$538=0,"",'IWP05'!E$538)</f>
        <v/>
      </c>
      <c r="D3528" s="211">
        <f>'IWP05'!G$538</f>
        <v>0</v>
      </c>
      <c r="E3528" s="211">
        <f>'IWP05'!H$538</f>
        <v>0</v>
      </c>
      <c r="F3528" s="211">
        <f>'IWP05'!I$538</f>
        <v>0</v>
      </c>
      <c r="G3528" s="191" t="str">
        <f>IF('IWP05'!J$538=0,"",'IWP05'!J$538)</f>
        <v/>
      </c>
      <c r="H3528" s="211">
        <f>'IWP05'!K$538</f>
        <v>0</v>
      </c>
      <c r="I3528" s="211">
        <f>'IWP05'!L$538</f>
        <v>0</v>
      </c>
      <c r="J3528" s="212">
        <f>'IWP05'!M$538</f>
        <v>0</v>
      </c>
      <c r="K3528" s="106"/>
      <c r="L3528" s="106"/>
      <c r="M3528" s="129"/>
    </row>
    <row r="3529" spans="1:13" s="146" customFormat="1">
      <c r="A3529" s="193" t="s">
        <v>503</v>
      </c>
      <c r="B3529" s="210">
        <v>12</v>
      </c>
      <c r="C3529" s="191" t="str">
        <f>IF('IWP05'!E$539=0,"",'IWP05'!E$539)</f>
        <v/>
      </c>
      <c r="D3529" s="211">
        <f>'IWP05'!G$539</f>
        <v>0</v>
      </c>
      <c r="E3529" s="211">
        <f>'IWP05'!H$539</f>
        <v>0</v>
      </c>
      <c r="F3529" s="211">
        <f>'IWP05'!I$539</f>
        <v>0</v>
      </c>
      <c r="G3529" s="191" t="str">
        <f>IF('IWP05'!J$539=0,"",'IWP05'!J$539)</f>
        <v/>
      </c>
      <c r="H3529" s="211">
        <f>'IWP05'!K$539</f>
        <v>0</v>
      </c>
      <c r="I3529" s="211">
        <f>'IWP05'!L$539</f>
        <v>0</v>
      </c>
      <c r="J3529" s="212">
        <f>'IWP05'!M$539</f>
        <v>0</v>
      </c>
      <c r="K3529" s="106"/>
      <c r="L3529" s="106"/>
      <c r="M3529" s="129"/>
    </row>
    <row r="3530" spans="1:13" s="146" customFormat="1">
      <c r="A3530" s="193" t="s">
        <v>503</v>
      </c>
      <c r="B3530" s="210">
        <v>12</v>
      </c>
      <c r="C3530" s="191" t="str">
        <f>IF('IWP05'!E$540=0,"",'IWP05'!E$540)</f>
        <v/>
      </c>
      <c r="D3530" s="211">
        <f>'IWP05'!G$540</f>
        <v>0</v>
      </c>
      <c r="E3530" s="211">
        <f>'IWP05'!H$540</f>
        <v>0</v>
      </c>
      <c r="F3530" s="211">
        <f>'IWP05'!I$540</f>
        <v>0</v>
      </c>
      <c r="G3530" s="191" t="str">
        <f>IF('IWP05'!J$540=0,"",'IWP05'!J$540)</f>
        <v/>
      </c>
      <c r="H3530" s="211">
        <f>'IWP05'!K$540</f>
        <v>0</v>
      </c>
      <c r="I3530" s="211">
        <f>'IWP05'!L$540</f>
        <v>0</v>
      </c>
      <c r="J3530" s="212">
        <f>'IWP05'!M$540</f>
        <v>0</v>
      </c>
      <c r="K3530" s="106"/>
      <c r="L3530" s="106"/>
      <c r="M3530" s="129"/>
    </row>
    <row r="3531" spans="1:13" s="146" customFormat="1">
      <c r="A3531" s="193" t="s">
        <v>503</v>
      </c>
      <c r="B3531" s="210">
        <v>13</v>
      </c>
      <c r="C3531" s="191" t="str">
        <f>IF('IWP05'!E$547=0,"",'IWP05'!E$547)</f>
        <v>Subtotal column D.</v>
      </c>
      <c r="D3531" s="211">
        <f>'IWP05'!G$547</f>
        <v>0</v>
      </c>
      <c r="E3531" s="211">
        <f>'IWP05'!H$547</f>
        <v>0</v>
      </c>
      <c r="F3531" s="211">
        <f>'IWP05'!I$547</f>
        <v>0</v>
      </c>
      <c r="G3531" s="191" t="str">
        <f>IF('IWP05'!J$547=0,"",'IWP05'!J$547)</f>
        <v/>
      </c>
      <c r="H3531" s="211">
        <f>'IWP05'!K$547</f>
        <v>0</v>
      </c>
      <c r="I3531" s="211">
        <f>'IWP05'!L$547</f>
        <v>0</v>
      </c>
      <c r="J3531" s="212">
        <f>'IWP05'!M$547</f>
        <v>0</v>
      </c>
      <c r="K3531" s="106"/>
      <c r="L3531" s="106"/>
      <c r="M3531" s="129"/>
    </row>
    <row r="3532" spans="1:13" s="146" customFormat="1">
      <c r="A3532" s="193" t="s">
        <v>503</v>
      </c>
      <c r="B3532" s="210">
        <v>13</v>
      </c>
      <c r="C3532" s="191" t="str">
        <f>IF('IWP05'!E$548=0,"",'IWP05'!E$548)</f>
        <v>Unverified/Undocumented (Subtotal D - C)</v>
      </c>
      <c r="D3532" s="211">
        <f>'IWP05'!G$548</f>
        <v>0</v>
      </c>
      <c r="E3532" s="211">
        <f>'IWP05'!H$548</f>
        <v>0</v>
      </c>
      <c r="F3532" s="211">
        <f>'IWP05'!I$548</f>
        <v>0</v>
      </c>
      <c r="G3532" s="191" t="str">
        <f>IF('IWP05'!J$548=0,"",'IWP05'!J$548)</f>
        <v/>
      </c>
      <c r="H3532" s="211">
        <f>'IWP05'!K$548</f>
        <v>0</v>
      </c>
      <c r="I3532" s="211">
        <f>'IWP05'!L$548</f>
        <v>0</v>
      </c>
      <c r="J3532" s="212">
        <f>'IWP05'!M$548</f>
        <v>0</v>
      </c>
      <c r="K3532" s="106"/>
      <c r="L3532" s="106"/>
      <c r="M3532" s="129"/>
    </row>
    <row r="3533" spans="1:13" s="146" customFormat="1">
      <c r="A3533" s="193" t="s">
        <v>503</v>
      </c>
      <c r="B3533" s="210">
        <v>13</v>
      </c>
      <c r="C3533" s="191" t="str">
        <f>IF('IWP05'!E$549=0,"",'IWP05'!E$549)</f>
        <v>J. Billing Period Total</v>
      </c>
      <c r="D3533" s="211">
        <f>'IWP05'!G$549</f>
        <v>0</v>
      </c>
      <c r="E3533" s="211">
        <f>'IWP05'!H$549</f>
        <v>0</v>
      </c>
      <c r="F3533" s="211">
        <f>'IWP05'!I$549</f>
        <v>0</v>
      </c>
      <c r="G3533" s="191" t="str">
        <f>IF('IWP05'!J$549=0,"",'IWP05'!J$549)</f>
        <v/>
      </c>
      <c r="H3533" s="211">
        <f>'IWP05'!K$549</f>
        <v>0</v>
      </c>
      <c r="I3533" s="211">
        <f>'IWP05'!L$549</f>
        <v>0</v>
      </c>
      <c r="J3533" s="212">
        <f>'IWP05'!M$549</f>
        <v>0</v>
      </c>
      <c r="K3533" s="106"/>
      <c r="L3533" s="106"/>
      <c r="M3533" s="129"/>
    </row>
    <row r="3534" spans="1:13" s="146" customFormat="1">
      <c r="A3534" s="193" t="s">
        <v>503</v>
      </c>
      <c r="B3534" s="210">
        <v>13</v>
      </c>
      <c r="C3534" s="191" t="str">
        <f>IF('IWP05'!E$550=0,"",'IWP05'!E$550)</f>
        <v>D.</v>
      </c>
      <c r="D3534" s="211">
        <f>'IWP05'!G$550</f>
        <v>0</v>
      </c>
      <c r="E3534" s="211" t="str">
        <f>'IWP05'!H$550</f>
        <v>E.</v>
      </c>
      <c r="F3534" s="211" t="str">
        <f>'IWP05'!I$550</f>
        <v>F.</v>
      </c>
      <c r="G3534" s="191" t="str">
        <f>IF('IWP05'!J$550=0,"",'IWP05'!J$550)</f>
        <v>G.</v>
      </c>
      <c r="H3534" s="211">
        <f>'IWP05'!K$550</f>
        <v>0</v>
      </c>
      <c r="I3534" s="211" t="str">
        <f>'IWP05'!L$550</f>
        <v>H.</v>
      </c>
      <c r="J3534" s="212" t="str">
        <f>'IWP05'!M$550</f>
        <v>I.</v>
      </c>
      <c r="K3534" s="106"/>
      <c r="L3534" s="106"/>
      <c r="M3534" s="129"/>
    </row>
    <row r="3535" spans="1:13" s="146" customFormat="1">
      <c r="A3535" s="193" t="s">
        <v>503</v>
      </c>
      <c r="B3535" s="210">
        <v>13</v>
      </c>
      <c r="C3535" s="191" t="str">
        <f>IF('IWP05'!E$551=0,"",'IWP05'!E$551)</f>
        <v xml:space="preserve">Items/Services Related to Billing Period </v>
      </c>
      <c r="D3535" s="211">
        <f>'IWP05'!G$551</f>
        <v>0</v>
      </c>
      <c r="E3535" s="211" t="str">
        <f>'IWP05'!H$551</f>
        <v xml:space="preserve">Item/
Service Verified Amounts
</v>
      </c>
      <c r="F3535" s="211" t="str">
        <f>'IWP05'!I$551</f>
        <v>Amount Due to DADS (E. - D.)</v>
      </c>
      <c r="G3535" s="191" t="str">
        <f>IF('IWP05'!J$551=0,"",'IWP05'!J$551)</f>
        <v>Amount Reimbursed to 
Employee(s)/Employer</v>
      </c>
      <c r="H3535" s="211">
        <f>'IWP05'!K$551</f>
        <v>0</v>
      </c>
      <c r="I3535" s="211" t="str">
        <f>'IWP05'!L$551</f>
        <v>Amount Due to Employee(s) (G. - E.)</v>
      </c>
      <c r="J3535" s="212" t="str">
        <f>'IWP05'!M$551</f>
        <v>Amount Due to Employer (G. - E.)</v>
      </c>
      <c r="K3535" s="106"/>
      <c r="L3535" s="106"/>
      <c r="M3535" s="129"/>
    </row>
    <row r="3536" spans="1:13" s="146" customFormat="1">
      <c r="A3536" s="193" t="s">
        <v>503</v>
      </c>
      <c r="B3536" s="210">
        <v>13</v>
      </c>
      <c r="C3536" s="191" t="str">
        <f>IF('IWP05'!E$552=0,"",'IWP05'!E$552)</f>
        <v>Item/Service</v>
      </c>
      <c r="D3536" s="211" t="str">
        <f>'IWP05'!G$552</f>
        <v>Itemized Amount Paid by DADS</v>
      </c>
      <c r="E3536" s="211">
        <f>'IWP05'!H$552</f>
        <v>0</v>
      </c>
      <c r="F3536" s="211">
        <f>'IWP05'!I$552</f>
        <v>0</v>
      </c>
      <c r="G3536" s="191" t="str">
        <f>IF('IWP05'!J$552=0,"",'IWP05'!J$552)</f>
        <v/>
      </c>
      <c r="H3536" s="211">
        <f>'IWP05'!K$552</f>
        <v>0</v>
      </c>
      <c r="I3536" s="211">
        <f>'IWP05'!L$552</f>
        <v>0</v>
      </c>
      <c r="J3536" s="212">
        <f>'IWP05'!M$552</f>
        <v>0</v>
      </c>
      <c r="K3536" s="106"/>
      <c r="L3536" s="106"/>
      <c r="M3536" s="129"/>
    </row>
    <row r="3537" spans="1:13" s="146" customFormat="1">
      <c r="A3537" s="193" t="s">
        <v>503</v>
      </c>
      <c r="B3537" s="210">
        <v>13</v>
      </c>
      <c r="C3537" s="191" t="str">
        <f>IF('IWP05'!E$553=0,"",'IWP05'!E$553)</f>
        <v/>
      </c>
      <c r="D3537" s="211">
        <f>'IWP05'!G$553</f>
        <v>0</v>
      </c>
      <c r="E3537" s="211">
        <f>'IWP05'!H$553</f>
        <v>0</v>
      </c>
      <c r="F3537" s="211">
        <f>'IWP05'!I$553</f>
        <v>0</v>
      </c>
      <c r="G3537" s="191" t="str">
        <f>IF('IWP05'!J$553=0,"",'IWP05'!J$553)</f>
        <v/>
      </c>
      <c r="H3537" s="211">
        <f>'IWP05'!K$553</f>
        <v>0</v>
      </c>
      <c r="I3537" s="211">
        <f>'IWP05'!L$553</f>
        <v>0</v>
      </c>
      <c r="J3537" s="212">
        <f>'IWP05'!M$553</f>
        <v>0</v>
      </c>
      <c r="K3537" s="106"/>
      <c r="L3537" s="106"/>
      <c r="M3537" s="129"/>
    </row>
    <row r="3538" spans="1:13" s="146" customFormat="1">
      <c r="A3538" s="193" t="s">
        <v>503</v>
      </c>
      <c r="B3538" s="210">
        <v>13</v>
      </c>
      <c r="C3538" s="191" t="str">
        <f>IF('IWP05'!E$554=0,"",'IWP05'!E$554)</f>
        <v/>
      </c>
      <c r="D3538" s="211">
        <f>'IWP05'!G$554</f>
        <v>0</v>
      </c>
      <c r="E3538" s="211">
        <f>'IWP05'!H$554</f>
        <v>0</v>
      </c>
      <c r="F3538" s="211">
        <f>'IWP05'!I$554</f>
        <v>0</v>
      </c>
      <c r="G3538" s="191" t="str">
        <f>IF('IWP05'!J$554=0,"",'IWP05'!J$554)</f>
        <v/>
      </c>
      <c r="H3538" s="211">
        <f>'IWP05'!K$554</f>
        <v>0</v>
      </c>
      <c r="I3538" s="211">
        <f>'IWP05'!L$554</f>
        <v>0</v>
      </c>
      <c r="J3538" s="212">
        <f>'IWP05'!M$554</f>
        <v>0</v>
      </c>
      <c r="K3538" s="106"/>
      <c r="L3538" s="106"/>
      <c r="M3538" s="129"/>
    </row>
    <row r="3539" spans="1:13" s="146" customFormat="1">
      <c r="A3539" s="193" t="s">
        <v>503</v>
      </c>
      <c r="B3539" s="210">
        <v>13</v>
      </c>
      <c r="C3539" s="191" t="str">
        <f>IF('IWP05'!E$555=0,"",'IWP05'!E$555)</f>
        <v/>
      </c>
      <c r="D3539" s="211">
        <f>'IWP05'!G$555</f>
        <v>0</v>
      </c>
      <c r="E3539" s="211">
        <f>'IWP05'!H$555</f>
        <v>0</v>
      </c>
      <c r="F3539" s="211">
        <f>'IWP05'!I$555</f>
        <v>0</v>
      </c>
      <c r="G3539" s="191" t="str">
        <f>IF('IWP05'!J$555=0,"",'IWP05'!J$555)</f>
        <v/>
      </c>
      <c r="H3539" s="211">
        <f>'IWP05'!K$555</f>
        <v>0</v>
      </c>
      <c r="I3539" s="211">
        <f>'IWP05'!L$555</f>
        <v>0</v>
      </c>
      <c r="J3539" s="212">
        <f>'IWP05'!M$555</f>
        <v>0</v>
      </c>
      <c r="K3539" s="106"/>
      <c r="L3539" s="106"/>
      <c r="M3539" s="129"/>
    </row>
    <row r="3540" spans="1:13" s="146" customFormat="1">
      <c r="A3540" s="193" t="s">
        <v>503</v>
      </c>
      <c r="B3540" s="210">
        <v>13</v>
      </c>
      <c r="C3540" s="191" t="str">
        <f>IF('IWP05'!E$556=0,"",'IWP05'!E$556)</f>
        <v/>
      </c>
      <c r="D3540" s="211">
        <f>'IWP05'!G$556</f>
        <v>0</v>
      </c>
      <c r="E3540" s="211">
        <f>'IWP05'!H$556</f>
        <v>0</v>
      </c>
      <c r="F3540" s="211">
        <f>'IWP05'!I$556</f>
        <v>0</v>
      </c>
      <c r="G3540" s="191" t="str">
        <f>IF('IWP05'!J$556=0,"",'IWP05'!J$556)</f>
        <v/>
      </c>
      <c r="H3540" s="211">
        <f>'IWP05'!K$556</f>
        <v>0</v>
      </c>
      <c r="I3540" s="211">
        <f>'IWP05'!L$556</f>
        <v>0</v>
      </c>
      <c r="J3540" s="212">
        <f>'IWP05'!M$556</f>
        <v>0</v>
      </c>
      <c r="K3540" s="106"/>
      <c r="L3540" s="106"/>
      <c r="M3540" s="129"/>
    </row>
    <row r="3541" spans="1:13" s="146" customFormat="1">
      <c r="A3541" s="193" t="s">
        <v>503</v>
      </c>
      <c r="B3541" s="210">
        <v>14</v>
      </c>
      <c r="C3541" s="191" t="str">
        <f>IF('IWP05'!E$563=0,"",'IWP05'!E$563)</f>
        <v>Subtotal column D.</v>
      </c>
      <c r="D3541" s="211">
        <f>'IWP05'!G$563</f>
        <v>0</v>
      </c>
      <c r="E3541" s="211">
        <f>'IWP05'!H$563</f>
        <v>0</v>
      </c>
      <c r="F3541" s="211">
        <f>'IWP05'!I$563</f>
        <v>0</v>
      </c>
      <c r="G3541" s="191" t="str">
        <f>IF('IWP05'!J$563=0,"",'IWP05'!J$563)</f>
        <v/>
      </c>
      <c r="H3541" s="211">
        <f>'IWP05'!K$563</f>
        <v>0</v>
      </c>
      <c r="I3541" s="211">
        <f>'IWP05'!L$563</f>
        <v>0</v>
      </c>
      <c r="J3541" s="212">
        <f>'IWP05'!M$563</f>
        <v>0</v>
      </c>
      <c r="K3541" s="106"/>
      <c r="L3541" s="106"/>
      <c r="M3541" s="129"/>
    </row>
    <row r="3542" spans="1:13" s="146" customFormat="1">
      <c r="A3542" s="193" t="s">
        <v>503</v>
      </c>
      <c r="B3542" s="210">
        <v>14</v>
      </c>
      <c r="C3542" s="191" t="str">
        <f>IF('IWP05'!E$564=0,"",'IWP05'!E$564)</f>
        <v>Unverified/Undocumented (Subtotal D - C)</v>
      </c>
      <c r="D3542" s="211">
        <f>'IWP05'!G$564</f>
        <v>0</v>
      </c>
      <c r="E3542" s="211">
        <f>'IWP05'!H$564</f>
        <v>0</v>
      </c>
      <c r="F3542" s="211">
        <f>'IWP05'!I$564</f>
        <v>0</v>
      </c>
      <c r="G3542" s="191" t="str">
        <f>IF('IWP05'!J$564=0,"",'IWP05'!J$564)</f>
        <v/>
      </c>
      <c r="H3542" s="211">
        <f>'IWP05'!K$564</f>
        <v>0</v>
      </c>
      <c r="I3542" s="211">
        <f>'IWP05'!L$564</f>
        <v>0</v>
      </c>
      <c r="J3542" s="212">
        <f>'IWP05'!M$564</f>
        <v>0</v>
      </c>
      <c r="K3542" s="106"/>
      <c r="L3542" s="106"/>
      <c r="M3542" s="129"/>
    </row>
    <row r="3543" spans="1:13" s="146" customFormat="1">
      <c r="A3543" s="193" t="s">
        <v>503</v>
      </c>
      <c r="B3543" s="210">
        <v>14</v>
      </c>
      <c r="C3543" s="191" t="str">
        <f>IF('IWP05'!E$565=0,"",'IWP05'!E$565)</f>
        <v>J. Billing Period Total</v>
      </c>
      <c r="D3543" s="211">
        <f>'IWP05'!G$565</f>
        <v>0</v>
      </c>
      <c r="E3543" s="211">
        <f>'IWP05'!H$565</f>
        <v>0</v>
      </c>
      <c r="F3543" s="211">
        <f>'IWP05'!I$565</f>
        <v>0</v>
      </c>
      <c r="G3543" s="191" t="str">
        <f>IF('IWP05'!J$565=0,"",'IWP05'!J$565)</f>
        <v/>
      </c>
      <c r="H3543" s="211">
        <f>'IWP05'!K$565</f>
        <v>0</v>
      </c>
      <c r="I3543" s="211">
        <f>'IWP05'!L$565</f>
        <v>0</v>
      </c>
      <c r="J3543" s="212">
        <f>'IWP05'!M$565</f>
        <v>0</v>
      </c>
      <c r="K3543" s="106"/>
      <c r="L3543" s="106"/>
      <c r="M3543" s="129"/>
    </row>
    <row r="3544" spans="1:13" s="146" customFormat="1">
      <c r="A3544" s="193" t="s">
        <v>503</v>
      </c>
      <c r="B3544" s="210">
        <v>14</v>
      </c>
      <c r="C3544" s="191" t="str">
        <f>IF('IWP05'!E$566=0,"",'IWP05'!E$566)</f>
        <v>D.</v>
      </c>
      <c r="D3544" s="211">
        <f>'IWP05'!G$566</f>
        <v>0</v>
      </c>
      <c r="E3544" s="211" t="str">
        <f>'IWP05'!H$566</f>
        <v>E.</v>
      </c>
      <c r="F3544" s="211" t="str">
        <f>'IWP05'!I$566</f>
        <v>F.</v>
      </c>
      <c r="G3544" s="191" t="str">
        <f>IF('IWP05'!J$566=0,"",'IWP05'!J$566)</f>
        <v>G.</v>
      </c>
      <c r="H3544" s="211">
        <f>'IWP05'!K$566</f>
        <v>0</v>
      </c>
      <c r="I3544" s="211" t="str">
        <f>'IWP05'!L$566</f>
        <v>H.</v>
      </c>
      <c r="J3544" s="212" t="str">
        <f>'IWP05'!M$566</f>
        <v>I.</v>
      </c>
      <c r="K3544" s="106"/>
      <c r="L3544" s="106"/>
      <c r="M3544" s="129"/>
    </row>
    <row r="3545" spans="1:13" s="146" customFormat="1">
      <c r="A3545" s="193" t="s">
        <v>503</v>
      </c>
      <c r="B3545" s="210">
        <v>14</v>
      </c>
      <c r="C3545" s="191" t="str">
        <f>IF('IWP05'!E$567=0,"",'IWP05'!E$567)</f>
        <v xml:space="preserve">Items/Services Related to Billing Period </v>
      </c>
      <c r="D3545" s="211">
        <f>'IWP05'!G$567</f>
        <v>0</v>
      </c>
      <c r="E3545" s="211" t="str">
        <f>'IWP05'!H$567</f>
        <v xml:space="preserve">Item/
Service Verified Amounts
</v>
      </c>
      <c r="F3545" s="211" t="str">
        <f>'IWP05'!I$567</f>
        <v>Amount Due to DADS (E. - D.)</v>
      </c>
      <c r="G3545" s="191" t="str">
        <f>IF('IWP05'!J$567=0,"",'IWP05'!J$567)</f>
        <v>Amount Reimbursed to 
Employee(s)/Employer</v>
      </c>
      <c r="H3545" s="211">
        <f>'IWP05'!K$567</f>
        <v>0</v>
      </c>
      <c r="I3545" s="211" t="str">
        <f>'IWP05'!L$567</f>
        <v>Amount Due to Employee(s) (G. - E.)</v>
      </c>
      <c r="J3545" s="212" t="str">
        <f>'IWP05'!M$567</f>
        <v>Amount Due to Employer (G. - E.)</v>
      </c>
      <c r="K3545" s="106"/>
      <c r="L3545" s="106"/>
      <c r="M3545" s="129"/>
    </row>
    <row r="3546" spans="1:13" s="146" customFormat="1">
      <c r="A3546" s="193" t="s">
        <v>503</v>
      </c>
      <c r="B3546" s="210">
        <v>14</v>
      </c>
      <c r="C3546" s="191" t="str">
        <f>IF('IWP05'!E$568=0,"",'IWP05'!E$568)</f>
        <v>Item/Service</v>
      </c>
      <c r="D3546" s="211" t="str">
        <f>'IWP05'!G$568</f>
        <v>Itemized Amount Paid by DADS</v>
      </c>
      <c r="E3546" s="211">
        <f>'IWP05'!H$568</f>
        <v>0</v>
      </c>
      <c r="F3546" s="211">
        <f>'IWP05'!I$568</f>
        <v>0</v>
      </c>
      <c r="G3546" s="191" t="str">
        <f>IF('IWP05'!J$568=0,"",'IWP05'!J$568)</f>
        <v/>
      </c>
      <c r="H3546" s="211">
        <f>'IWP05'!K$568</f>
        <v>0</v>
      </c>
      <c r="I3546" s="211">
        <f>'IWP05'!L$568</f>
        <v>0</v>
      </c>
      <c r="J3546" s="212">
        <f>'IWP05'!M$568</f>
        <v>0</v>
      </c>
      <c r="K3546" s="106"/>
      <c r="L3546" s="106"/>
      <c r="M3546" s="129"/>
    </row>
    <row r="3547" spans="1:13" s="146" customFormat="1">
      <c r="A3547" s="193" t="s">
        <v>503</v>
      </c>
      <c r="B3547" s="210">
        <v>14</v>
      </c>
      <c r="C3547" s="191" t="str">
        <f>IF('IWP05'!E$569=0,"",'IWP05'!E$569)</f>
        <v/>
      </c>
      <c r="D3547" s="211">
        <f>'IWP05'!G$569</f>
        <v>0</v>
      </c>
      <c r="E3547" s="211">
        <f>'IWP05'!H$569</f>
        <v>0</v>
      </c>
      <c r="F3547" s="211">
        <f>'IWP05'!I$569</f>
        <v>0</v>
      </c>
      <c r="G3547" s="191" t="str">
        <f>IF('IWP05'!J$569=0,"",'IWP05'!J$569)</f>
        <v/>
      </c>
      <c r="H3547" s="211">
        <f>'IWP05'!K$569</f>
        <v>0</v>
      </c>
      <c r="I3547" s="211">
        <f>'IWP05'!L$569</f>
        <v>0</v>
      </c>
      <c r="J3547" s="212">
        <f>'IWP05'!M$569</f>
        <v>0</v>
      </c>
      <c r="K3547" s="106"/>
      <c r="L3547" s="106"/>
      <c r="M3547" s="129"/>
    </row>
    <row r="3548" spans="1:13" s="146" customFormat="1">
      <c r="A3548" s="193" t="s">
        <v>503</v>
      </c>
      <c r="B3548" s="210">
        <v>14</v>
      </c>
      <c r="C3548" s="191" t="str">
        <f>IF('IWP05'!E$570=0,"",'IWP05'!E$570)</f>
        <v/>
      </c>
      <c r="D3548" s="211">
        <f>'IWP05'!G$570</f>
        <v>0</v>
      </c>
      <c r="E3548" s="211">
        <f>'IWP05'!H$570</f>
        <v>0</v>
      </c>
      <c r="F3548" s="211">
        <f>'IWP05'!I$570</f>
        <v>0</v>
      </c>
      <c r="G3548" s="191" t="str">
        <f>IF('IWP05'!J$570=0,"",'IWP05'!J$570)</f>
        <v/>
      </c>
      <c r="H3548" s="211">
        <f>'IWP05'!K$570</f>
        <v>0</v>
      </c>
      <c r="I3548" s="211">
        <f>'IWP05'!L$570</f>
        <v>0</v>
      </c>
      <c r="J3548" s="212">
        <f>'IWP05'!M$570</f>
        <v>0</v>
      </c>
      <c r="K3548" s="106"/>
      <c r="L3548" s="106"/>
      <c r="M3548" s="129"/>
    </row>
    <row r="3549" spans="1:13" s="146" customFormat="1">
      <c r="A3549" s="193" t="s">
        <v>503</v>
      </c>
      <c r="B3549" s="210">
        <v>14</v>
      </c>
      <c r="C3549" s="191" t="str">
        <f>IF('IWP05'!E$571=0,"",'IWP05'!E$571)</f>
        <v/>
      </c>
      <c r="D3549" s="211">
        <f>'IWP05'!G$571</f>
        <v>0</v>
      </c>
      <c r="E3549" s="211">
        <f>'IWP05'!H$571</f>
        <v>0</v>
      </c>
      <c r="F3549" s="211">
        <f>'IWP05'!I$571</f>
        <v>0</v>
      </c>
      <c r="G3549" s="191" t="str">
        <f>IF('IWP05'!J$571=0,"",'IWP05'!J$571)</f>
        <v/>
      </c>
      <c r="H3549" s="211">
        <f>'IWP05'!K$571</f>
        <v>0</v>
      </c>
      <c r="I3549" s="211">
        <f>'IWP05'!L$571</f>
        <v>0</v>
      </c>
      <c r="J3549" s="212">
        <f>'IWP05'!M$571</f>
        <v>0</v>
      </c>
      <c r="K3549" s="106"/>
      <c r="L3549" s="106"/>
      <c r="M3549" s="129"/>
    </row>
    <row r="3550" spans="1:13" s="146" customFormat="1">
      <c r="A3550" s="193" t="s">
        <v>503</v>
      </c>
      <c r="B3550" s="210">
        <v>14</v>
      </c>
      <c r="C3550" s="191" t="str">
        <f>IF('IWP05'!E$572=0,"",'IWP05'!E$572)</f>
        <v/>
      </c>
      <c r="D3550" s="211">
        <f>'IWP05'!G$572</f>
        <v>0</v>
      </c>
      <c r="E3550" s="211">
        <f>'IWP05'!H$572</f>
        <v>0</v>
      </c>
      <c r="F3550" s="211">
        <f>'IWP05'!I$572</f>
        <v>0</v>
      </c>
      <c r="G3550" s="191" t="str">
        <f>IF('IWP05'!J$572=0,"",'IWP05'!J$572)</f>
        <v/>
      </c>
      <c r="H3550" s="211">
        <f>'IWP05'!K$572</f>
        <v>0</v>
      </c>
      <c r="I3550" s="211">
        <f>'IWP05'!L$572</f>
        <v>0</v>
      </c>
      <c r="J3550" s="212">
        <f>'IWP05'!M$572</f>
        <v>0</v>
      </c>
      <c r="K3550" s="106"/>
      <c r="L3550" s="106"/>
      <c r="M3550" s="129"/>
    </row>
    <row r="3551" spans="1:13" s="146" customFormat="1">
      <c r="A3551" s="193" t="s">
        <v>503</v>
      </c>
      <c r="B3551" s="210">
        <v>15</v>
      </c>
      <c r="C3551" s="191" t="str">
        <f>IF('IWP05'!E$579=0,"",'IWP05'!E$579)</f>
        <v>Subtotal column D.</v>
      </c>
      <c r="D3551" s="211">
        <f>'IWP05'!G$579</f>
        <v>0</v>
      </c>
      <c r="E3551" s="211">
        <f>'IWP05'!H$579</f>
        <v>0</v>
      </c>
      <c r="F3551" s="211">
        <f>'IWP05'!I$579</f>
        <v>0</v>
      </c>
      <c r="G3551" s="191" t="str">
        <f>IF('IWP05'!J$579=0,"",'IWP05'!J$579)</f>
        <v/>
      </c>
      <c r="H3551" s="211">
        <f>'IWP05'!K$579</f>
        <v>0</v>
      </c>
      <c r="I3551" s="211">
        <f>'IWP05'!L$579</f>
        <v>0</v>
      </c>
      <c r="J3551" s="212">
        <f>'IWP05'!M$579</f>
        <v>0</v>
      </c>
      <c r="K3551" s="106"/>
      <c r="L3551" s="106"/>
      <c r="M3551" s="129"/>
    </row>
    <row r="3552" spans="1:13" s="146" customFormat="1">
      <c r="A3552" s="193" t="s">
        <v>503</v>
      </c>
      <c r="B3552" s="210">
        <v>15</v>
      </c>
      <c r="C3552" s="191" t="str">
        <f>IF('IWP05'!E$580=0,"",'IWP05'!E$580)</f>
        <v>Unverified/Undocumented (Subtotal D - C)</v>
      </c>
      <c r="D3552" s="211">
        <f>'IWP05'!G$580</f>
        <v>0</v>
      </c>
      <c r="E3552" s="211">
        <f>'IWP05'!H$580</f>
        <v>0</v>
      </c>
      <c r="F3552" s="211">
        <f>'IWP05'!I$580</f>
        <v>0</v>
      </c>
      <c r="G3552" s="191" t="str">
        <f>IF('IWP05'!J$580=0,"",'IWP05'!J$580)</f>
        <v/>
      </c>
      <c r="H3552" s="211">
        <f>'IWP05'!K$580</f>
        <v>0</v>
      </c>
      <c r="I3552" s="211">
        <f>'IWP05'!L$580</f>
        <v>0</v>
      </c>
      <c r="J3552" s="212">
        <f>'IWP05'!M$580</f>
        <v>0</v>
      </c>
      <c r="K3552" s="106"/>
      <c r="L3552" s="106"/>
      <c r="M3552" s="129"/>
    </row>
    <row r="3553" spans="1:13" s="146" customFormat="1">
      <c r="A3553" s="193" t="s">
        <v>503</v>
      </c>
      <c r="B3553" s="210">
        <v>15</v>
      </c>
      <c r="C3553" s="191" t="str">
        <f>IF('IWP05'!E$581=0,"",'IWP05'!E$581)</f>
        <v>J. Billing Period Total</v>
      </c>
      <c r="D3553" s="211">
        <f>'IWP05'!G$581</f>
        <v>0</v>
      </c>
      <c r="E3553" s="211">
        <f>'IWP05'!H$581</f>
        <v>0</v>
      </c>
      <c r="F3553" s="211">
        <f>'IWP05'!I$581</f>
        <v>0</v>
      </c>
      <c r="G3553" s="191" t="str">
        <f>IF('IWP05'!J$581=0,"",'IWP05'!J$581)</f>
        <v/>
      </c>
      <c r="H3553" s="211">
        <f>'IWP05'!K$581</f>
        <v>0</v>
      </c>
      <c r="I3553" s="211">
        <f>'IWP05'!L$581</f>
        <v>0</v>
      </c>
      <c r="J3553" s="212">
        <f>'IWP05'!M$581</f>
        <v>0</v>
      </c>
      <c r="K3553" s="106"/>
      <c r="L3553" s="106"/>
      <c r="M3553" s="129"/>
    </row>
    <row r="3554" spans="1:13" s="146" customFormat="1">
      <c r="A3554" s="193" t="s">
        <v>503</v>
      </c>
      <c r="B3554" s="210">
        <v>15</v>
      </c>
      <c r="C3554" s="191" t="str">
        <f>IF('IWP05'!E$582=0,"",'IWP05'!E$582)</f>
        <v>D.</v>
      </c>
      <c r="D3554" s="211">
        <f>'IWP05'!G$582</f>
        <v>0</v>
      </c>
      <c r="E3554" s="211" t="str">
        <f>'IWP05'!H$582</f>
        <v>E.</v>
      </c>
      <c r="F3554" s="211" t="str">
        <f>'IWP05'!I$582</f>
        <v>F.</v>
      </c>
      <c r="G3554" s="191" t="str">
        <f>IF('IWP05'!J$582=0,"",'IWP05'!J$582)</f>
        <v>G.</v>
      </c>
      <c r="H3554" s="211">
        <f>'IWP05'!K$582</f>
        <v>0</v>
      </c>
      <c r="I3554" s="211" t="str">
        <f>'IWP05'!L$582</f>
        <v>H.</v>
      </c>
      <c r="J3554" s="212" t="str">
        <f>'IWP05'!M$582</f>
        <v>I.</v>
      </c>
      <c r="K3554" s="106"/>
      <c r="L3554" s="106"/>
      <c r="M3554" s="129"/>
    </row>
    <row r="3555" spans="1:13" s="146" customFormat="1">
      <c r="A3555" s="193" t="s">
        <v>503</v>
      </c>
      <c r="B3555" s="210">
        <v>15</v>
      </c>
      <c r="C3555" s="191" t="str">
        <f>IF('IWP05'!E$583=0,"",'IWP05'!E$583)</f>
        <v xml:space="preserve">Items/Services Related to Billing Period </v>
      </c>
      <c r="D3555" s="211">
        <f>'IWP05'!G$583</f>
        <v>0</v>
      </c>
      <c r="E3555" s="211" t="str">
        <f>'IWP05'!H$583</f>
        <v xml:space="preserve">Item/
Service Verified Amounts
</v>
      </c>
      <c r="F3555" s="211" t="str">
        <f>'IWP05'!I$583</f>
        <v>Amount Due to DADS (E. - D.)</v>
      </c>
      <c r="G3555" s="191" t="str">
        <f>IF('IWP05'!J$583=0,"",'IWP05'!J$583)</f>
        <v>Amount Reimbursed to 
Employee(s)/Employer</v>
      </c>
      <c r="H3555" s="211">
        <f>'IWP05'!K$583</f>
        <v>0</v>
      </c>
      <c r="I3555" s="211" t="str">
        <f>'IWP05'!L$583</f>
        <v>Amount Due to Employee(s) (G. - E.)</v>
      </c>
      <c r="J3555" s="212" t="str">
        <f>'IWP05'!M$583</f>
        <v>Amount Due to Employer (G. - E.)</v>
      </c>
      <c r="K3555" s="106"/>
      <c r="L3555" s="106"/>
      <c r="M3555" s="129"/>
    </row>
    <row r="3556" spans="1:13" s="146" customFormat="1">
      <c r="A3556" s="193" t="s">
        <v>503</v>
      </c>
      <c r="B3556" s="210">
        <v>15</v>
      </c>
      <c r="C3556" s="191" t="str">
        <f>IF('IWP05'!E$584=0,"",'IWP05'!E$584)</f>
        <v>Item/Service</v>
      </c>
      <c r="D3556" s="211" t="str">
        <f>'IWP05'!G$584</f>
        <v>Itemized Amount Paid by DADS</v>
      </c>
      <c r="E3556" s="211">
        <f>'IWP05'!H$584</f>
        <v>0</v>
      </c>
      <c r="F3556" s="211">
        <f>'IWP05'!I$584</f>
        <v>0</v>
      </c>
      <c r="G3556" s="191" t="str">
        <f>IF('IWP05'!J$584=0,"",'IWP05'!J$584)</f>
        <v/>
      </c>
      <c r="H3556" s="211">
        <f>'IWP05'!K$584</f>
        <v>0</v>
      </c>
      <c r="I3556" s="211">
        <f>'IWP05'!L$584</f>
        <v>0</v>
      </c>
      <c r="J3556" s="212">
        <f>'IWP05'!M$584</f>
        <v>0</v>
      </c>
      <c r="K3556" s="106"/>
      <c r="L3556" s="106"/>
      <c r="M3556" s="129"/>
    </row>
    <row r="3557" spans="1:13" s="146" customFormat="1">
      <c r="A3557" s="193" t="s">
        <v>503</v>
      </c>
      <c r="B3557" s="210">
        <v>15</v>
      </c>
      <c r="C3557" s="191" t="str">
        <f>IF('IWP05'!E$585=0,"",'IWP05'!E$585)</f>
        <v/>
      </c>
      <c r="D3557" s="211">
        <f>'IWP05'!G$585</f>
        <v>0</v>
      </c>
      <c r="E3557" s="211">
        <f>'IWP05'!H$585</f>
        <v>0</v>
      </c>
      <c r="F3557" s="211">
        <f>'IWP05'!I$585</f>
        <v>0</v>
      </c>
      <c r="G3557" s="191" t="str">
        <f>IF('IWP05'!J$585=0,"",'IWP05'!J$585)</f>
        <v/>
      </c>
      <c r="H3557" s="211">
        <f>'IWP05'!K$585</f>
        <v>0</v>
      </c>
      <c r="I3557" s="211">
        <f>'IWP05'!L$585</f>
        <v>0</v>
      </c>
      <c r="J3557" s="212">
        <f>'IWP05'!M$585</f>
        <v>0</v>
      </c>
      <c r="K3557" s="106"/>
      <c r="L3557" s="106"/>
      <c r="M3557" s="129"/>
    </row>
    <row r="3558" spans="1:13" s="146" customFormat="1">
      <c r="A3558" s="193" t="s">
        <v>503</v>
      </c>
      <c r="B3558" s="210">
        <v>15</v>
      </c>
      <c r="C3558" s="191" t="str">
        <f>IF('IWP05'!E$586=0,"",'IWP05'!E$586)</f>
        <v/>
      </c>
      <c r="D3558" s="211">
        <f>'IWP05'!G$586</f>
        <v>0</v>
      </c>
      <c r="E3558" s="211">
        <f>'IWP05'!H$586</f>
        <v>0</v>
      </c>
      <c r="F3558" s="211">
        <f>'IWP05'!I$586</f>
        <v>0</v>
      </c>
      <c r="G3558" s="191" t="str">
        <f>IF('IWP05'!J$586=0,"",'IWP05'!J$586)</f>
        <v/>
      </c>
      <c r="H3558" s="211">
        <f>'IWP05'!K$586</f>
        <v>0</v>
      </c>
      <c r="I3558" s="211">
        <f>'IWP05'!L$586</f>
        <v>0</v>
      </c>
      <c r="J3558" s="212">
        <f>'IWP05'!M$586</f>
        <v>0</v>
      </c>
      <c r="K3558" s="106"/>
      <c r="L3558" s="106"/>
      <c r="M3558" s="129"/>
    </row>
    <row r="3559" spans="1:13" s="146" customFormat="1">
      <c r="A3559" s="193" t="s">
        <v>503</v>
      </c>
      <c r="B3559" s="210">
        <v>15</v>
      </c>
      <c r="C3559" s="191" t="str">
        <f>IF('IWP05'!E$587=0,"",'IWP05'!E$587)</f>
        <v/>
      </c>
      <c r="D3559" s="211">
        <f>'IWP05'!G$587</f>
        <v>0</v>
      </c>
      <c r="E3559" s="211">
        <f>'IWP05'!H$587</f>
        <v>0</v>
      </c>
      <c r="F3559" s="211">
        <f>'IWP05'!I$587</f>
        <v>0</v>
      </c>
      <c r="G3559" s="191" t="str">
        <f>IF('IWP05'!J$587=0,"",'IWP05'!J$587)</f>
        <v/>
      </c>
      <c r="H3559" s="211">
        <f>'IWP05'!K$587</f>
        <v>0</v>
      </c>
      <c r="I3559" s="211">
        <f>'IWP05'!L$587</f>
        <v>0</v>
      </c>
      <c r="J3559" s="212">
        <f>'IWP05'!M$587</f>
        <v>0</v>
      </c>
      <c r="K3559" s="106"/>
      <c r="L3559" s="106"/>
      <c r="M3559" s="129"/>
    </row>
    <row r="3560" spans="1:13" s="146" customFormat="1">
      <c r="A3560" s="193" t="s">
        <v>503</v>
      </c>
      <c r="B3560" s="210">
        <v>15</v>
      </c>
      <c r="C3560" s="191" t="str">
        <f>IF('IWP05'!E$588=0,"",'IWP05'!E$588)</f>
        <v/>
      </c>
      <c r="D3560" s="211">
        <f>'IWP05'!G$588</f>
        <v>0</v>
      </c>
      <c r="E3560" s="211">
        <f>'IWP05'!H$588</f>
        <v>0</v>
      </c>
      <c r="F3560" s="211">
        <f>'IWP05'!I$588</f>
        <v>0</v>
      </c>
      <c r="G3560" s="191" t="str">
        <f>IF('IWP05'!J$588=0,"",'IWP05'!J$588)</f>
        <v/>
      </c>
      <c r="H3560" s="211">
        <f>'IWP05'!K$588</f>
        <v>0</v>
      </c>
      <c r="I3560" s="211">
        <f>'IWP05'!L$588</f>
        <v>0</v>
      </c>
      <c r="J3560" s="212">
        <f>'IWP05'!M$588</f>
        <v>0</v>
      </c>
      <c r="K3560" s="106"/>
      <c r="L3560" s="106"/>
      <c r="M3560" s="129"/>
    </row>
    <row r="3561" spans="1:13" s="146" customFormat="1">
      <c r="A3561" s="193" t="s">
        <v>503</v>
      </c>
      <c r="B3561" s="210">
        <v>16</v>
      </c>
      <c r="C3561" s="191" t="str">
        <f>IF('IWP05'!E$595=0,"",'IWP05'!E$595)</f>
        <v>Subtotal column D.</v>
      </c>
      <c r="D3561" s="211">
        <f>'IWP05'!G$595</f>
        <v>0</v>
      </c>
      <c r="E3561" s="211">
        <f>'IWP05'!H$595</f>
        <v>0</v>
      </c>
      <c r="F3561" s="211">
        <f>'IWP05'!I$595</f>
        <v>0</v>
      </c>
      <c r="G3561" s="191" t="str">
        <f>IF('IWP05'!J$595=0,"",'IWP05'!J$595)</f>
        <v/>
      </c>
      <c r="H3561" s="211">
        <f>'IWP05'!K$595</f>
        <v>0</v>
      </c>
      <c r="I3561" s="211">
        <f>'IWP05'!L$595</f>
        <v>0</v>
      </c>
      <c r="J3561" s="212">
        <f>'IWP05'!M$595</f>
        <v>0</v>
      </c>
      <c r="K3561" s="106"/>
      <c r="L3561" s="106"/>
      <c r="M3561" s="129"/>
    </row>
    <row r="3562" spans="1:13" s="146" customFormat="1">
      <c r="A3562" s="193" t="s">
        <v>503</v>
      </c>
      <c r="B3562" s="210">
        <v>16</v>
      </c>
      <c r="C3562" s="191" t="str">
        <f>IF('IWP05'!E$596=0,"",'IWP05'!E$596)</f>
        <v>Unverified/Undocumented (Subtotal D - C)</v>
      </c>
      <c r="D3562" s="211">
        <f>'IWP05'!G$596</f>
        <v>0</v>
      </c>
      <c r="E3562" s="211">
        <f>'IWP05'!H$596</f>
        <v>0</v>
      </c>
      <c r="F3562" s="211">
        <f>'IWP05'!I$596</f>
        <v>0</v>
      </c>
      <c r="G3562" s="191" t="str">
        <f>IF('IWP05'!J$596=0,"",'IWP05'!J$596)</f>
        <v/>
      </c>
      <c r="H3562" s="211">
        <f>'IWP05'!K$596</f>
        <v>0</v>
      </c>
      <c r="I3562" s="211">
        <f>'IWP05'!L$596</f>
        <v>0</v>
      </c>
      <c r="J3562" s="212">
        <f>'IWP05'!M$596</f>
        <v>0</v>
      </c>
      <c r="K3562" s="106"/>
      <c r="L3562" s="106"/>
      <c r="M3562" s="129"/>
    </row>
    <row r="3563" spans="1:13" s="146" customFormat="1">
      <c r="A3563" s="193" t="s">
        <v>503</v>
      </c>
      <c r="B3563" s="210">
        <v>16</v>
      </c>
      <c r="C3563" s="191" t="str">
        <f>IF('IWP05'!E$597=0,"",'IWP05'!E$597)</f>
        <v>J. Billing Period Total</v>
      </c>
      <c r="D3563" s="211">
        <f>'IWP05'!G$597</f>
        <v>0</v>
      </c>
      <c r="E3563" s="211">
        <f>'IWP05'!H$597</f>
        <v>0</v>
      </c>
      <c r="F3563" s="211">
        <f>'IWP05'!I$597</f>
        <v>0</v>
      </c>
      <c r="G3563" s="191" t="str">
        <f>IF('IWP05'!J$597=0,"",'IWP05'!J$597)</f>
        <v/>
      </c>
      <c r="H3563" s="211">
        <f>'IWP05'!K$597</f>
        <v>0</v>
      </c>
      <c r="I3563" s="211">
        <f>'IWP05'!L$597</f>
        <v>0</v>
      </c>
      <c r="J3563" s="212">
        <f>'IWP05'!M$597</f>
        <v>0</v>
      </c>
      <c r="K3563" s="106"/>
      <c r="L3563" s="106"/>
      <c r="M3563" s="129"/>
    </row>
    <row r="3564" spans="1:13" s="146" customFormat="1">
      <c r="A3564" s="193" t="s">
        <v>503</v>
      </c>
      <c r="B3564" s="210">
        <v>16</v>
      </c>
      <c r="C3564" s="191" t="str">
        <f>IF('IWP05'!E$598=0,"",'IWP05'!E$598)</f>
        <v>D.</v>
      </c>
      <c r="D3564" s="211">
        <f>'IWP05'!G$598</f>
        <v>0</v>
      </c>
      <c r="E3564" s="211" t="str">
        <f>'IWP05'!H$598</f>
        <v>E.</v>
      </c>
      <c r="F3564" s="211" t="str">
        <f>'IWP05'!I$598</f>
        <v>F.</v>
      </c>
      <c r="G3564" s="191" t="str">
        <f>IF('IWP05'!J$598=0,"",'IWP05'!J$598)</f>
        <v>G.</v>
      </c>
      <c r="H3564" s="211">
        <f>'IWP05'!K$598</f>
        <v>0</v>
      </c>
      <c r="I3564" s="211" t="str">
        <f>'IWP05'!L$598</f>
        <v>H.</v>
      </c>
      <c r="J3564" s="212" t="str">
        <f>'IWP05'!M$598</f>
        <v>I.</v>
      </c>
      <c r="K3564" s="106"/>
      <c r="L3564" s="106"/>
      <c r="M3564" s="129"/>
    </row>
    <row r="3565" spans="1:13" s="146" customFormat="1">
      <c r="A3565" s="193" t="s">
        <v>503</v>
      </c>
      <c r="B3565" s="210">
        <v>16</v>
      </c>
      <c r="C3565" s="191" t="str">
        <f>IF('IWP05'!E$599=0,"",'IWP05'!E$599)</f>
        <v xml:space="preserve">Items/Services Related to Billing Period </v>
      </c>
      <c r="D3565" s="211">
        <f>'IWP05'!G$599</f>
        <v>0</v>
      </c>
      <c r="E3565" s="211" t="str">
        <f>'IWP05'!H$599</f>
        <v xml:space="preserve">Item/
Service Verified Amounts
</v>
      </c>
      <c r="F3565" s="211" t="str">
        <f>'IWP05'!I$599</f>
        <v>Amount Due to DADS (E. - D.)</v>
      </c>
      <c r="G3565" s="191" t="str">
        <f>IF('IWP05'!J$599=0,"",'IWP05'!J$599)</f>
        <v>Amount Reimbursed to 
Employee(s)/Employer</v>
      </c>
      <c r="H3565" s="211">
        <f>'IWP05'!K$599</f>
        <v>0</v>
      </c>
      <c r="I3565" s="211" t="str">
        <f>'IWP05'!L$599</f>
        <v>Amount Due to Employee(s) (G. - E.)</v>
      </c>
      <c r="J3565" s="212" t="str">
        <f>'IWP05'!M$599</f>
        <v>Amount Due to Employer (G. - E.)</v>
      </c>
      <c r="K3565" s="106"/>
      <c r="L3565" s="106"/>
      <c r="M3565" s="129"/>
    </row>
    <row r="3566" spans="1:13" s="146" customFormat="1">
      <c r="A3566" s="193" t="s">
        <v>503</v>
      </c>
      <c r="B3566" s="210">
        <v>16</v>
      </c>
      <c r="C3566" s="191" t="str">
        <f>IF('IWP05'!E$600=0,"",'IWP05'!E$600)</f>
        <v>Item/Service</v>
      </c>
      <c r="D3566" s="211" t="str">
        <f>'IWP05'!G$600</f>
        <v>Itemized Amount Paid by DADS</v>
      </c>
      <c r="E3566" s="211">
        <f>'IWP05'!H$600</f>
        <v>0</v>
      </c>
      <c r="F3566" s="211">
        <f>'IWP05'!I$600</f>
        <v>0</v>
      </c>
      <c r="G3566" s="191" t="str">
        <f>IF('IWP05'!J$600=0,"",'IWP05'!J$600)</f>
        <v/>
      </c>
      <c r="H3566" s="211">
        <f>'IWP05'!K$600</f>
        <v>0</v>
      </c>
      <c r="I3566" s="211">
        <f>'IWP05'!L$600</f>
        <v>0</v>
      </c>
      <c r="J3566" s="212">
        <f>'IWP05'!M$600</f>
        <v>0</v>
      </c>
      <c r="K3566" s="106"/>
      <c r="L3566" s="106"/>
      <c r="M3566" s="129"/>
    </row>
    <row r="3567" spans="1:13" s="146" customFormat="1">
      <c r="A3567" s="193" t="s">
        <v>503</v>
      </c>
      <c r="B3567" s="210">
        <v>16</v>
      </c>
      <c r="C3567" s="191" t="str">
        <f>IF('IWP05'!E$601=0,"",'IWP05'!E$601)</f>
        <v/>
      </c>
      <c r="D3567" s="211">
        <f>'IWP05'!G$601</f>
        <v>0</v>
      </c>
      <c r="E3567" s="211">
        <f>'IWP05'!H$601</f>
        <v>0</v>
      </c>
      <c r="F3567" s="211">
        <f>'IWP05'!I$601</f>
        <v>0</v>
      </c>
      <c r="G3567" s="191" t="str">
        <f>IF('IWP05'!J$601=0,"",'IWP05'!J$601)</f>
        <v/>
      </c>
      <c r="H3567" s="211">
        <f>'IWP05'!K$601</f>
        <v>0</v>
      </c>
      <c r="I3567" s="211">
        <f>'IWP05'!L$601</f>
        <v>0</v>
      </c>
      <c r="J3567" s="212">
        <f>'IWP05'!M$601</f>
        <v>0</v>
      </c>
      <c r="K3567" s="106"/>
      <c r="L3567" s="106"/>
      <c r="M3567" s="129"/>
    </row>
    <row r="3568" spans="1:13" s="146" customFormat="1">
      <c r="A3568" s="193" t="s">
        <v>503</v>
      </c>
      <c r="B3568" s="210">
        <v>16</v>
      </c>
      <c r="C3568" s="191" t="str">
        <f>IF('IWP05'!E$602=0,"",'IWP05'!E$602)</f>
        <v/>
      </c>
      <c r="D3568" s="211">
        <f>'IWP05'!G$602</f>
        <v>0</v>
      </c>
      <c r="E3568" s="211">
        <f>'IWP05'!H$602</f>
        <v>0</v>
      </c>
      <c r="F3568" s="211">
        <f>'IWP05'!I$602</f>
        <v>0</v>
      </c>
      <c r="G3568" s="191" t="str">
        <f>IF('IWP05'!J$602=0,"",'IWP05'!J$602)</f>
        <v/>
      </c>
      <c r="H3568" s="211">
        <f>'IWP05'!K$602</f>
        <v>0</v>
      </c>
      <c r="I3568" s="211">
        <f>'IWP05'!L$602</f>
        <v>0</v>
      </c>
      <c r="J3568" s="212">
        <f>'IWP05'!M$602</f>
        <v>0</v>
      </c>
      <c r="K3568" s="106"/>
      <c r="L3568" s="106"/>
      <c r="M3568" s="129"/>
    </row>
    <row r="3569" spans="1:13" s="146" customFormat="1">
      <c r="A3569" s="193" t="s">
        <v>503</v>
      </c>
      <c r="B3569" s="210">
        <v>16</v>
      </c>
      <c r="C3569" s="191" t="str">
        <f>IF('IWP05'!E$603=0,"",'IWP05'!E$603)</f>
        <v/>
      </c>
      <c r="D3569" s="211">
        <f>'IWP05'!G$603</f>
        <v>0</v>
      </c>
      <c r="E3569" s="211">
        <f>'IWP05'!H$603</f>
        <v>0</v>
      </c>
      <c r="F3569" s="211">
        <f>'IWP05'!I$603</f>
        <v>0</v>
      </c>
      <c r="G3569" s="191" t="str">
        <f>IF('IWP05'!J$603=0,"",'IWP05'!J$603)</f>
        <v/>
      </c>
      <c r="H3569" s="211">
        <f>'IWP05'!K$603</f>
        <v>0</v>
      </c>
      <c r="I3569" s="211">
        <f>'IWP05'!L$603</f>
        <v>0</v>
      </c>
      <c r="J3569" s="212">
        <f>'IWP05'!M$603</f>
        <v>0</v>
      </c>
      <c r="K3569" s="106"/>
      <c r="L3569" s="106"/>
      <c r="M3569" s="129"/>
    </row>
    <row r="3570" spans="1:13" s="146" customFormat="1">
      <c r="A3570" s="193" t="s">
        <v>503</v>
      </c>
      <c r="B3570" s="210">
        <v>16</v>
      </c>
      <c r="C3570" s="191" t="str">
        <f>IF('IWP05'!E$604=0,"",'IWP05'!E$604)</f>
        <v/>
      </c>
      <c r="D3570" s="211">
        <f>'IWP05'!G$604</f>
        <v>0</v>
      </c>
      <c r="E3570" s="211">
        <f>'IWP05'!H$604</f>
        <v>0</v>
      </c>
      <c r="F3570" s="211">
        <f>'IWP05'!I$604</f>
        <v>0</v>
      </c>
      <c r="G3570" s="191" t="str">
        <f>IF('IWP05'!J$604=0,"",'IWP05'!J$604)</f>
        <v/>
      </c>
      <c r="H3570" s="211">
        <f>'IWP05'!K$604</f>
        <v>0</v>
      </c>
      <c r="I3570" s="211">
        <f>'IWP05'!L$604</f>
        <v>0</v>
      </c>
      <c r="J3570" s="212">
        <f>'IWP05'!M$604</f>
        <v>0</v>
      </c>
      <c r="K3570" s="106"/>
      <c r="L3570" s="106"/>
      <c r="M3570" s="129"/>
    </row>
    <row r="3571" spans="1:13" s="146" customFormat="1">
      <c r="A3571" s="193" t="s">
        <v>503</v>
      </c>
      <c r="B3571" s="210">
        <v>17</v>
      </c>
      <c r="C3571" s="191" t="str">
        <f>IF('IWP05'!E$611=0,"",'IWP05'!E$611)</f>
        <v>Subtotal column D.</v>
      </c>
      <c r="D3571" s="211">
        <f>'IWP05'!G$611</f>
        <v>0</v>
      </c>
      <c r="E3571" s="211">
        <f>'IWP05'!H$611</f>
        <v>0</v>
      </c>
      <c r="F3571" s="211">
        <f>'IWP05'!I$611</f>
        <v>0</v>
      </c>
      <c r="G3571" s="191" t="str">
        <f>IF('IWP05'!J$611=0,"",'IWP05'!J$611)</f>
        <v/>
      </c>
      <c r="H3571" s="211">
        <f>'IWP05'!K$611</f>
        <v>0</v>
      </c>
      <c r="I3571" s="211">
        <f>'IWP05'!L$611</f>
        <v>0</v>
      </c>
      <c r="J3571" s="212">
        <f>'IWP05'!M$611</f>
        <v>0</v>
      </c>
      <c r="K3571" s="106"/>
      <c r="L3571" s="106"/>
      <c r="M3571" s="129"/>
    </row>
    <row r="3572" spans="1:13" s="146" customFormat="1">
      <c r="A3572" s="193" t="s">
        <v>503</v>
      </c>
      <c r="B3572" s="210">
        <v>17</v>
      </c>
      <c r="C3572" s="191" t="str">
        <f>IF('IWP05'!E$612=0,"",'IWP05'!E$612)</f>
        <v>Unverified/Undocumented (Subtotal D - C)</v>
      </c>
      <c r="D3572" s="211">
        <f>'IWP05'!G$612</f>
        <v>0</v>
      </c>
      <c r="E3572" s="211">
        <f>'IWP05'!H$612</f>
        <v>0</v>
      </c>
      <c r="F3572" s="211">
        <f>'IWP05'!I$612</f>
        <v>0</v>
      </c>
      <c r="G3572" s="191" t="str">
        <f>IF('IWP05'!J$612=0,"",'IWP05'!J$612)</f>
        <v/>
      </c>
      <c r="H3572" s="211">
        <f>'IWP05'!K$612</f>
        <v>0</v>
      </c>
      <c r="I3572" s="211">
        <f>'IWP05'!L$612</f>
        <v>0</v>
      </c>
      <c r="J3572" s="212">
        <f>'IWP05'!M$612</f>
        <v>0</v>
      </c>
      <c r="K3572" s="106"/>
      <c r="L3572" s="106"/>
      <c r="M3572" s="129"/>
    </row>
    <row r="3573" spans="1:13" s="146" customFormat="1">
      <c r="A3573" s="193" t="s">
        <v>503</v>
      </c>
      <c r="B3573" s="210">
        <v>17</v>
      </c>
      <c r="C3573" s="191" t="str">
        <f>IF('IWP05'!E$613=0,"",'IWP05'!E$613)</f>
        <v>J. Billing Period Total</v>
      </c>
      <c r="D3573" s="211">
        <f>'IWP05'!G$613</f>
        <v>0</v>
      </c>
      <c r="E3573" s="211">
        <f>'IWP05'!H$613</f>
        <v>0</v>
      </c>
      <c r="F3573" s="211">
        <f>'IWP05'!I$613</f>
        <v>0</v>
      </c>
      <c r="G3573" s="191" t="str">
        <f>IF('IWP05'!J$613=0,"",'IWP05'!J$613)</f>
        <v/>
      </c>
      <c r="H3573" s="211">
        <f>'IWP05'!K$613</f>
        <v>0</v>
      </c>
      <c r="I3573" s="211">
        <f>'IWP05'!L$613</f>
        <v>0</v>
      </c>
      <c r="J3573" s="212">
        <f>'IWP05'!M$613</f>
        <v>0</v>
      </c>
      <c r="K3573" s="106"/>
      <c r="L3573" s="106"/>
      <c r="M3573" s="129"/>
    </row>
    <row r="3574" spans="1:13" s="146" customFormat="1">
      <c r="A3574" s="193" t="s">
        <v>503</v>
      </c>
      <c r="B3574" s="210">
        <v>17</v>
      </c>
      <c r="C3574" s="191" t="str">
        <f>IF('IWP05'!E$614=0,"",'IWP05'!E$614)</f>
        <v/>
      </c>
      <c r="D3574" s="211">
        <f>'IWP05'!G$614</f>
        <v>0</v>
      </c>
      <c r="E3574" s="211">
        <f>'IWP05'!H$614</f>
        <v>0</v>
      </c>
      <c r="F3574" s="211">
        <f>'IWP05'!I$614</f>
        <v>0</v>
      </c>
      <c r="G3574" s="191" t="str">
        <f>IF('IWP05'!J$614=0,"",'IWP05'!J$614)</f>
        <v/>
      </c>
      <c r="H3574" s="211">
        <f>'IWP05'!K$614</f>
        <v>0</v>
      </c>
      <c r="I3574" s="211">
        <f>'IWP05'!L$614</f>
        <v>0</v>
      </c>
      <c r="J3574" s="212">
        <f>'IWP05'!M$614</f>
        <v>0</v>
      </c>
      <c r="K3574" s="106"/>
      <c r="L3574" s="106"/>
      <c r="M3574" s="129"/>
    </row>
    <row r="3575" spans="1:13" s="146" customFormat="1">
      <c r="A3575" s="193" t="s">
        <v>503</v>
      </c>
      <c r="B3575" s="210">
        <v>17</v>
      </c>
      <c r="C3575" s="191" t="str">
        <f>IF('IWP05'!E$615=0,"",'IWP05'!E$615)</f>
        <v/>
      </c>
      <c r="D3575" s="211">
        <f>'IWP05'!G$615</f>
        <v>0</v>
      </c>
      <c r="E3575" s="211">
        <f>'IWP05'!H$615</f>
        <v>0</v>
      </c>
      <c r="F3575" s="211">
        <f>'IWP05'!I$615</f>
        <v>0</v>
      </c>
      <c r="G3575" s="191" t="str">
        <f>IF('IWP05'!J$615=0,"",'IWP05'!J$615)</f>
        <v/>
      </c>
      <c r="H3575" s="211">
        <f>'IWP05'!K$615</f>
        <v>0</v>
      </c>
      <c r="I3575" s="211">
        <f>'IWP05'!L$615</f>
        <v>0</v>
      </c>
      <c r="J3575" s="212">
        <f>'IWP05'!M$615</f>
        <v>0</v>
      </c>
      <c r="K3575" s="106"/>
      <c r="L3575" s="106"/>
      <c r="M3575" s="129"/>
    </row>
    <row r="3576" spans="1:13" s="146" customFormat="1">
      <c r="A3576" s="193" t="s">
        <v>503</v>
      </c>
      <c r="B3576" s="210">
        <v>17</v>
      </c>
      <c r="C3576" s="191" t="str">
        <f>IF('IWP05'!E$616=0,"",'IWP05'!E$616)</f>
        <v/>
      </c>
      <c r="D3576" s="211">
        <f>'IWP05'!G$616</f>
        <v>0</v>
      </c>
      <c r="E3576" s="211">
        <f>'IWP05'!H$616</f>
        <v>0</v>
      </c>
      <c r="F3576" s="211">
        <f>'IWP05'!I$616</f>
        <v>0</v>
      </c>
      <c r="G3576" s="191" t="str">
        <f>IF('IWP05'!J$616=0,"",'IWP05'!J$616)</f>
        <v/>
      </c>
      <c r="H3576" s="211">
        <f>'IWP05'!K$616</f>
        <v>0</v>
      </c>
      <c r="I3576" s="211">
        <f>'IWP05'!L$616</f>
        <v>0</v>
      </c>
      <c r="J3576" s="212">
        <f>'IWP05'!M$616</f>
        <v>0</v>
      </c>
      <c r="K3576" s="106"/>
      <c r="L3576" s="106"/>
      <c r="M3576" s="129"/>
    </row>
    <row r="3577" spans="1:13" s="146" customFormat="1">
      <c r="A3577" s="193" t="s">
        <v>503</v>
      </c>
      <c r="B3577" s="210">
        <v>17</v>
      </c>
      <c r="C3577" s="191" t="str">
        <f>IF('IWP05'!E$617=0,"",'IWP05'!E$617)</f>
        <v/>
      </c>
      <c r="D3577" s="211">
        <f>'IWP05'!G$617</f>
        <v>0</v>
      </c>
      <c r="E3577" s="211">
        <f>'IWP05'!H$617</f>
        <v>0</v>
      </c>
      <c r="F3577" s="211">
        <f>'IWP05'!I$617</f>
        <v>0</v>
      </c>
      <c r="G3577" s="191" t="str">
        <f>IF('IWP05'!J$617=0,"",'IWP05'!J$617)</f>
        <v/>
      </c>
      <c r="H3577" s="211">
        <f>'IWP05'!K$617</f>
        <v>0</v>
      </c>
      <c r="I3577" s="211">
        <f>'IWP05'!L$617</f>
        <v>0</v>
      </c>
      <c r="J3577" s="212">
        <f>'IWP05'!M$617</f>
        <v>0</v>
      </c>
      <c r="K3577" s="106"/>
      <c r="L3577" s="106"/>
      <c r="M3577" s="129"/>
    </row>
    <row r="3578" spans="1:13" s="146" customFormat="1">
      <c r="A3578" s="193" t="s">
        <v>503</v>
      </c>
      <c r="B3578" s="210">
        <v>17</v>
      </c>
      <c r="C3578" s="191" t="str">
        <f>IF('IWP05'!E$618=0,"",'IWP05'!E$618)</f>
        <v/>
      </c>
      <c r="D3578" s="211">
        <f>'IWP05'!G$618</f>
        <v>0</v>
      </c>
      <c r="E3578" s="211">
        <f>'IWP05'!H$618</f>
        <v>0</v>
      </c>
      <c r="F3578" s="211">
        <f>'IWP05'!I$618</f>
        <v>0</v>
      </c>
      <c r="G3578" s="191" t="str">
        <f>IF('IWP05'!J$618=0,"",'IWP05'!J$618)</f>
        <v/>
      </c>
      <c r="H3578" s="211">
        <f>'IWP05'!K$618</f>
        <v>0</v>
      </c>
      <c r="I3578" s="211">
        <f>'IWP05'!L$618</f>
        <v>0</v>
      </c>
      <c r="J3578" s="212">
        <f>'IWP05'!M$618</f>
        <v>0</v>
      </c>
      <c r="K3578" s="106"/>
      <c r="L3578" s="106"/>
      <c r="M3578" s="129"/>
    </row>
    <row r="3579" spans="1:13" s="146" customFormat="1">
      <c r="A3579" s="193" t="s">
        <v>503</v>
      </c>
      <c r="B3579" s="210">
        <v>17</v>
      </c>
      <c r="C3579" s="191" t="str">
        <f>IF('IWP05'!E$619=0,"",'IWP05'!E$619)</f>
        <v/>
      </c>
      <c r="D3579" s="211">
        <f>'IWP05'!G$619</f>
        <v>0</v>
      </c>
      <c r="E3579" s="211">
        <f>'IWP05'!H$619</f>
        <v>0</v>
      </c>
      <c r="F3579" s="211">
        <f>'IWP05'!I$619</f>
        <v>0</v>
      </c>
      <c r="G3579" s="191" t="str">
        <f>IF('IWP05'!J$619=0,"",'IWP05'!J$619)</f>
        <v/>
      </c>
      <c r="H3579" s="211">
        <f>'IWP05'!K$619</f>
        <v>0</v>
      </c>
      <c r="I3579" s="211">
        <f>'IWP05'!L$619</f>
        <v>0</v>
      </c>
      <c r="J3579" s="212">
        <f>'IWP05'!M$619</f>
        <v>0</v>
      </c>
      <c r="K3579" s="106"/>
      <c r="L3579" s="106"/>
      <c r="M3579" s="129"/>
    </row>
    <row r="3580" spans="1:13" s="146" customFormat="1">
      <c r="A3580" s="193" t="s">
        <v>503</v>
      </c>
      <c r="B3580" s="210">
        <v>17</v>
      </c>
      <c r="C3580" s="191" t="str">
        <f>IF('IWP05'!E$620=0,"",'IWP05'!E$620)</f>
        <v/>
      </c>
      <c r="D3580" s="211">
        <f>'IWP05'!G$620</f>
        <v>0</v>
      </c>
      <c r="E3580" s="211">
        <f>'IWP05'!H$620</f>
        <v>0</v>
      </c>
      <c r="F3580" s="211">
        <f>'IWP05'!I$620</f>
        <v>0</v>
      </c>
      <c r="G3580" s="191" t="str">
        <f>IF('IWP05'!J$620=0,"",'IWP05'!J$620)</f>
        <v/>
      </c>
      <c r="H3580" s="211">
        <f>'IWP05'!K$620</f>
        <v>0</v>
      </c>
      <c r="I3580" s="211">
        <f>'IWP05'!L$620</f>
        <v>0</v>
      </c>
      <c r="J3580" s="212">
        <f>'IWP05'!M$620</f>
        <v>0</v>
      </c>
      <c r="K3580" s="106"/>
      <c r="L3580" s="106"/>
      <c r="M3580" s="129"/>
    </row>
    <row r="3581" spans="1:13" s="146" customFormat="1">
      <c r="A3581" s="193" t="s">
        <v>503</v>
      </c>
      <c r="B3581" s="210">
        <v>18</v>
      </c>
      <c r="C3581" s="191" t="str">
        <f>IF('IWP05'!E$627=0,"",'IWP05'!E$627)</f>
        <v/>
      </c>
      <c r="D3581" s="211">
        <f>'IWP05'!G$627</f>
        <v>0</v>
      </c>
      <c r="E3581" s="211">
        <f>'IWP05'!H$627</f>
        <v>0</v>
      </c>
      <c r="F3581" s="211">
        <f>'IWP05'!I$627</f>
        <v>0</v>
      </c>
      <c r="G3581" s="191" t="str">
        <f>IF('IWP05'!J$627=0,"",'IWP05'!J$627)</f>
        <v/>
      </c>
      <c r="H3581" s="211">
        <f>'IWP05'!K$627</f>
        <v>0</v>
      </c>
      <c r="I3581" s="211">
        <f>'IWP05'!L$627</f>
        <v>0</v>
      </c>
      <c r="J3581" s="212">
        <f>'IWP05'!M$627</f>
        <v>0</v>
      </c>
      <c r="K3581" s="106"/>
      <c r="L3581" s="106"/>
      <c r="M3581" s="129"/>
    </row>
    <row r="3582" spans="1:13" s="146" customFormat="1">
      <c r="A3582" s="193" t="s">
        <v>503</v>
      </c>
      <c r="B3582" s="210">
        <v>18</v>
      </c>
      <c r="C3582" s="191" t="str">
        <f>IF('IWP05'!E$628=0,"",'IWP05'!E$628)</f>
        <v/>
      </c>
      <c r="D3582" s="211">
        <f>'IWP05'!G$628</f>
        <v>0</v>
      </c>
      <c r="E3582" s="211">
        <f>'IWP05'!H$628</f>
        <v>0</v>
      </c>
      <c r="F3582" s="211">
        <f>'IWP05'!I$628</f>
        <v>0</v>
      </c>
      <c r="G3582" s="191" t="str">
        <f>IF('IWP05'!J$628=0,"",'IWP05'!J$628)</f>
        <v/>
      </c>
      <c r="H3582" s="211">
        <f>'IWP05'!K$628</f>
        <v>0</v>
      </c>
      <c r="I3582" s="211">
        <f>'IWP05'!L$628</f>
        <v>0</v>
      </c>
      <c r="J3582" s="212">
        <f>'IWP05'!M$628</f>
        <v>0</v>
      </c>
      <c r="K3582" s="106"/>
      <c r="L3582" s="106"/>
      <c r="M3582" s="129"/>
    </row>
    <row r="3583" spans="1:13" s="146" customFormat="1">
      <c r="A3583" s="193" t="s">
        <v>503</v>
      </c>
      <c r="B3583" s="210">
        <v>18</v>
      </c>
      <c r="C3583" s="191" t="str">
        <f>IF('IWP05'!E$629=0,"",'IWP05'!E$629)</f>
        <v/>
      </c>
      <c r="D3583" s="211">
        <f>'IWP05'!G$629</f>
        <v>0</v>
      </c>
      <c r="E3583" s="211">
        <f>'IWP05'!H$629</f>
        <v>0</v>
      </c>
      <c r="F3583" s="211">
        <f>'IWP05'!I$629</f>
        <v>0</v>
      </c>
      <c r="G3583" s="191" t="str">
        <f>IF('IWP05'!J$629=0,"",'IWP05'!J$629)</f>
        <v/>
      </c>
      <c r="H3583" s="211">
        <f>'IWP05'!K$629</f>
        <v>0</v>
      </c>
      <c r="I3583" s="211">
        <f>'IWP05'!L$629</f>
        <v>0</v>
      </c>
      <c r="J3583" s="212">
        <f>'IWP05'!M$629</f>
        <v>0</v>
      </c>
      <c r="K3583" s="106"/>
      <c r="L3583" s="106"/>
      <c r="M3583" s="129"/>
    </row>
    <row r="3584" spans="1:13" s="146" customFormat="1">
      <c r="A3584" s="193" t="s">
        <v>503</v>
      </c>
      <c r="B3584" s="210">
        <v>18</v>
      </c>
      <c r="C3584" s="191" t="str">
        <f>IF('IWP05'!E$630=0,"",'IWP05'!E$630)</f>
        <v/>
      </c>
      <c r="D3584" s="211">
        <f>'IWP05'!G$630</f>
        <v>0</v>
      </c>
      <c r="E3584" s="211">
        <f>'IWP05'!H$630</f>
        <v>0</v>
      </c>
      <c r="F3584" s="211">
        <f>'IWP05'!I$630</f>
        <v>0</v>
      </c>
      <c r="G3584" s="191" t="str">
        <f>IF('IWP05'!J$630=0,"",'IWP05'!J$630)</f>
        <v/>
      </c>
      <c r="H3584" s="211">
        <f>'IWP05'!K$630</f>
        <v>0</v>
      </c>
      <c r="I3584" s="211">
        <f>'IWP05'!L$630</f>
        <v>0</v>
      </c>
      <c r="J3584" s="212">
        <f>'IWP05'!M$630</f>
        <v>0</v>
      </c>
      <c r="K3584" s="106"/>
      <c r="L3584" s="106"/>
      <c r="M3584" s="129"/>
    </row>
    <row r="3585" spans="1:13" s="146" customFormat="1">
      <c r="A3585" s="193" t="s">
        <v>503</v>
      </c>
      <c r="B3585" s="210">
        <v>18</v>
      </c>
      <c r="C3585" s="191" t="str">
        <f>IF('IWP05'!E$631=0,"",'IWP05'!E$631)</f>
        <v/>
      </c>
      <c r="D3585" s="211">
        <f>'IWP05'!G$631</f>
        <v>0</v>
      </c>
      <c r="E3585" s="211">
        <f>'IWP05'!H$631</f>
        <v>0</v>
      </c>
      <c r="F3585" s="211">
        <f>'IWP05'!I$631</f>
        <v>0</v>
      </c>
      <c r="G3585" s="191" t="str">
        <f>IF('IWP05'!J$631=0,"",'IWP05'!J$631)</f>
        <v/>
      </c>
      <c r="H3585" s="211">
        <f>'IWP05'!K$631</f>
        <v>0</v>
      </c>
      <c r="I3585" s="211">
        <f>'IWP05'!L$631</f>
        <v>0</v>
      </c>
      <c r="J3585" s="212">
        <f>'IWP05'!M$631</f>
        <v>0</v>
      </c>
      <c r="K3585" s="106"/>
      <c r="L3585" s="106"/>
      <c r="M3585" s="129"/>
    </row>
    <row r="3586" spans="1:13" s="146" customFormat="1">
      <c r="A3586" s="193" t="s">
        <v>503</v>
      </c>
      <c r="B3586" s="210">
        <v>18</v>
      </c>
      <c r="C3586" s="191" t="str">
        <f>IF('IWP05'!E$632=0,"",'IWP05'!E$632)</f>
        <v/>
      </c>
      <c r="D3586" s="211">
        <f>'IWP05'!G$632</f>
        <v>0</v>
      </c>
      <c r="E3586" s="211">
        <f>'IWP05'!H$632</f>
        <v>0</v>
      </c>
      <c r="F3586" s="211">
        <f>'IWP05'!I$632</f>
        <v>0</v>
      </c>
      <c r="G3586" s="191" t="str">
        <f>IF('IWP05'!J$632=0,"",'IWP05'!J$632)</f>
        <v/>
      </c>
      <c r="H3586" s="211">
        <f>'IWP05'!K$632</f>
        <v>0</v>
      </c>
      <c r="I3586" s="211">
        <f>'IWP05'!L$632</f>
        <v>0</v>
      </c>
      <c r="J3586" s="212">
        <f>'IWP05'!M$632</f>
        <v>0</v>
      </c>
      <c r="K3586" s="106"/>
      <c r="L3586" s="106"/>
      <c r="M3586" s="129"/>
    </row>
    <row r="3587" spans="1:13" s="146" customFormat="1">
      <c r="A3587" s="193" t="s">
        <v>503</v>
      </c>
      <c r="B3587" s="210">
        <v>18</v>
      </c>
      <c r="C3587" s="191" t="str">
        <f>IF('IWP05'!E$633=0,"",'IWP05'!E$633)</f>
        <v/>
      </c>
      <c r="D3587" s="211">
        <f>'IWP05'!G$633</f>
        <v>0</v>
      </c>
      <c r="E3587" s="211">
        <f>'IWP05'!H$633</f>
        <v>0</v>
      </c>
      <c r="F3587" s="211">
        <f>'IWP05'!I$633</f>
        <v>0</v>
      </c>
      <c r="G3587" s="191" t="str">
        <f>IF('IWP05'!J$633=0,"",'IWP05'!J$633)</f>
        <v/>
      </c>
      <c r="H3587" s="211">
        <f>'IWP05'!K$633</f>
        <v>0</v>
      </c>
      <c r="I3587" s="211">
        <f>'IWP05'!L$633</f>
        <v>0</v>
      </c>
      <c r="J3587" s="212">
        <f>'IWP05'!M$633</f>
        <v>0</v>
      </c>
      <c r="K3587" s="106"/>
      <c r="L3587" s="106"/>
      <c r="M3587" s="129"/>
    </row>
    <row r="3588" spans="1:13" s="146" customFormat="1">
      <c r="A3588" s="193" t="s">
        <v>503</v>
      </c>
      <c r="B3588" s="210">
        <v>18</v>
      </c>
      <c r="C3588" s="191" t="str">
        <f>IF('IWP05'!E$634=0,"",'IWP05'!E$634)</f>
        <v/>
      </c>
      <c r="D3588" s="211">
        <f>'IWP05'!G$634</f>
        <v>0</v>
      </c>
      <c r="E3588" s="211">
        <f>'IWP05'!H$634</f>
        <v>0</v>
      </c>
      <c r="F3588" s="211">
        <f>'IWP05'!I$634</f>
        <v>0</v>
      </c>
      <c r="G3588" s="191" t="str">
        <f>IF('IWP05'!J$634=0,"",'IWP05'!J$634)</f>
        <v/>
      </c>
      <c r="H3588" s="211">
        <f>'IWP05'!K$634</f>
        <v>0</v>
      </c>
      <c r="I3588" s="211">
        <f>'IWP05'!L$634</f>
        <v>0</v>
      </c>
      <c r="J3588" s="212">
        <f>'IWP05'!M$634</f>
        <v>0</v>
      </c>
      <c r="K3588" s="106"/>
      <c r="L3588" s="106"/>
      <c r="M3588" s="129"/>
    </row>
    <row r="3589" spans="1:13" s="146" customFormat="1">
      <c r="A3589" s="193" t="s">
        <v>503</v>
      </c>
      <c r="B3589" s="210">
        <v>18</v>
      </c>
      <c r="C3589" s="191" t="str">
        <f>IF('IWP05'!E$635=0,"",'IWP05'!E$635)</f>
        <v/>
      </c>
      <c r="D3589" s="211">
        <f>'IWP05'!G$635</f>
        <v>0</v>
      </c>
      <c r="E3589" s="211">
        <f>'IWP05'!H$635</f>
        <v>0</v>
      </c>
      <c r="F3589" s="211">
        <f>'IWP05'!I$635</f>
        <v>0</v>
      </c>
      <c r="G3589" s="191" t="str">
        <f>IF('IWP05'!J$635=0,"",'IWP05'!J$635)</f>
        <v/>
      </c>
      <c r="H3589" s="211">
        <f>'IWP05'!K$635</f>
        <v>0</v>
      </c>
      <c r="I3589" s="211">
        <f>'IWP05'!L$635</f>
        <v>0</v>
      </c>
      <c r="J3589" s="212">
        <f>'IWP05'!M$635</f>
        <v>0</v>
      </c>
      <c r="K3589" s="106"/>
      <c r="L3589" s="106"/>
      <c r="M3589" s="129"/>
    </row>
    <row r="3590" spans="1:13" s="146" customFormat="1">
      <c r="A3590" s="193" t="s">
        <v>503</v>
      </c>
      <c r="B3590" s="210">
        <v>18</v>
      </c>
      <c r="C3590" s="191" t="str">
        <f>IF('IWP05'!E$636=0,"",'IWP05'!E$636)</f>
        <v/>
      </c>
      <c r="D3590" s="211">
        <f>'IWP05'!G$636</f>
        <v>0</v>
      </c>
      <c r="E3590" s="211">
        <f>'IWP05'!H$636</f>
        <v>0</v>
      </c>
      <c r="F3590" s="211">
        <f>'IWP05'!I$636</f>
        <v>0</v>
      </c>
      <c r="G3590" s="191" t="str">
        <f>IF('IWP05'!J$636=0,"",'IWP05'!J$636)</f>
        <v/>
      </c>
      <c r="H3590" s="211">
        <f>'IWP05'!K$636</f>
        <v>0</v>
      </c>
      <c r="I3590" s="211">
        <f>'IWP05'!L$636</f>
        <v>0</v>
      </c>
      <c r="J3590" s="212">
        <f>'IWP05'!M$636</f>
        <v>0</v>
      </c>
      <c r="K3590" s="106"/>
      <c r="L3590" s="106"/>
      <c r="M3590" s="129"/>
    </row>
    <row r="3591" spans="1:13" s="146" customFormat="1">
      <c r="A3591" s="193" t="s">
        <v>504</v>
      </c>
      <c r="B3591" s="210">
        <v>1</v>
      </c>
      <c r="C3591" s="191" t="str">
        <f>IF('IWP06'!E$355=0,"",'IWP06'!E$355)</f>
        <v>Subtotal column D.</v>
      </c>
      <c r="D3591" s="211">
        <f>'IWP06'!G$355</f>
        <v>0</v>
      </c>
      <c r="E3591" s="211">
        <f>'IWP06'!H$355</f>
        <v>0</v>
      </c>
      <c r="F3591" s="211">
        <f>'IWP06'!I$355</f>
        <v>0</v>
      </c>
      <c r="G3591" s="191" t="str">
        <f>IF('IWP06'!J$355=0,"",'IWP06'!J$355)</f>
        <v/>
      </c>
      <c r="H3591" s="211">
        <f>'IWP06'!K$355</f>
        <v>0</v>
      </c>
      <c r="I3591" s="211">
        <f>'IWP06'!L$355</f>
        <v>0</v>
      </c>
      <c r="J3591" s="212">
        <f>'IWP06'!M$355</f>
        <v>0</v>
      </c>
      <c r="K3591" s="106"/>
      <c r="L3591" s="106"/>
      <c r="M3591" s="129"/>
    </row>
    <row r="3592" spans="1:13" s="146" customFormat="1">
      <c r="A3592" s="193" t="s">
        <v>504</v>
      </c>
      <c r="B3592" s="210">
        <v>1</v>
      </c>
      <c r="C3592" s="191" t="str">
        <f>IF('IWP06'!E$356=0,"",'IWP06'!E$356)</f>
        <v>Unverified/Undocumented (Subtotall D - C)</v>
      </c>
      <c r="D3592" s="211">
        <f>'IWP06'!G$356</f>
        <v>0</v>
      </c>
      <c r="E3592" s="211">
        <f>'IWP06'!H$356</f>
        <v>0</v>
      </c>
      <c r="F3592" s="211">
        <f>'IWP06'!I$356</f>
        <v>0</v>
      </c>
      <c r="G3592" s="191" t="str">
        <f>IF('IWP06'!J$356=0,"",'IWP06'!J$356)</f>
        <v/>
      </c>
      <c r="H3592" s="211">
        <f>'IWP06'!K$356</f>
        <v>0</v>
      </c>
      <c r="I3592" s="211">
        <f>'IWP06'!L$356</f>
        <v>0</v>
      </c>
      <c r="J3592" s="212">
        <f>'IWP06'!M$356</f>
        <v>0</v>
      </c>
      <c r="K3592" s="106"/>
      <c r="L3592" s="106"/>
      <c r="M3592" s="129"/>
    </row>
    <row r="3593" spans="1:13" s="146" customFormat="1">
      <c r="A3593" s="193" t="s">
        <v>504</v>
      </c>
      <c r="B3593" s="210">
        <v>1</v>
      </c>
      <c r="C3593" s="191" t="str">
        <f>IF('IWP06'!E$357=0,"",'IWP06'!E$357)</f>
        <v>J. Billing Period Total</v>
      </c>
      <c r="D3593" s="211">
        <f>'IWP06'!G$357</f>
        <v>0</v>
      </c>
      <c r="E3593" s="211">
        <f>'IWP06'!H$357</f>
        <v>0</v>
      </c>
      <c r="F3593" s="211">
        <f>'IWP06'!I$357</f>
        <v>0</v>
      </c>
      <c r="G3593" s="191" t="str">
        <f>IF('IWP06'!J$357=0,"",'IWP06'!J$357)</f>
        <v/>
      </c>
      <c r="H3593" s="211">
        <f>'IWP06'!K$357</f>
        <v>0</v>
      </c>
      <c r="I3593" s="211">
        <f>'IWP06'!L$357</f>
        <v>0</v>
      </c>
      <c r="J3593" s="212">
        <f>'IWP06'!M$357</f>
        <v>0</v>
      </c>
      <c r="K3593" s="106"/>
      <c r="L3593" s="106"/>
      <c r="M3593" s="129"/>
    </row>
    <row r="3594" spans="1:13" s="146" customFormat="1">
      <c r="A3594" s="193" t="s">
        <v>504</v>
      </c>
      <c r="B3594" s="210">
        <v>1</v>
      </c>
      <c r="C3594" s="191" t="str">
        <f>IF('IWP06'!E$358=0,"",'IWP06'!E$358)</f>
        <v>D.</v>
      </c>
      <c r="D3594" s="211">
        <f>'IWP06'!G$358</f>
        <v>0</v>
      </c>
      <c r="E3594" s="211" t="str">
        <f>'IWP06'!H$358</f>
        <v>E.</v>
      </c>
      <c r="F3594" s="211" t="str">
        <f>'IWP06'!I$358</f>
        <v>F.</v>
      </c>
      <c r="G3594" s="191" t="str">
        <f>IF('IWP06'!J$358=0,"",'IWP06'!J$358)</f>
        <v>G.</v>
      </c>
      <c r="H3594" s="211">
        <f>'IWP06'!K$358</f>
        <v>0</v>
      </c>
      <c r="I3594" s="211" t="str">
        <f>'IWP06'!L$358</f>
        <v>H.</v>
      </c>
      <c r="J3594" s="212" t="str">
        <f>'IWP06'!M$358</f>
        <v>I.</v>
      </c>
      <c r="K3594" s="106"/>
      <c r="L3594" s="106"/>
      <c r="M3594" s="129"/>
    </row>
    <row r="3595" spans="1:13" s="146" customFormat="1">
      <c r="A3595" s="193" t="s">
        <v>504</v>
      </c>
      <c r="B3595" s="210">
        <v>1</v>
      </c>
      <c r="C3595" s="191" t="str">
        <f>IF('IWP06'!E$359=0,"",'IWP06'!E$359)</f>
        <v xml:space="preserve">Items/Services Related to Billing Period </v>
      </c>
      <c r="D3595" s="211">
        <f>'IWP06'!G$359</f>
        <v>0</v>
      </c>
      <c r="E3595" s="211" t="str">
        <f>'IWP06'!H$359</f>
        <v xml:space="preserve">Item/
Service Verified Amounts
</v>
      </c>
      <c r="F3595" s="211" t="str">
        <f>'IWP06'!I$359</f>
        <v>Amount Due to DADS (E. - D.)</v>
      </c>
      <c r="G3595" s="191" t="str">
        <f>IF('IWP06'!J$359=0,"",'IWP06'!J$359)</f>
        <v>Amount Reimbursed to 
Employee(s)/Employer</v>
      </c>
      <c r="H3595" s="211">
        <f>'IWP06'!K$359</f>
        <v>0</v>
      </c>
      <c r="I3595" s="211" t="str">
        <f>'IWP06'!L$359</f>
        <v>Amount Due to Employee(s) (G. - E.)</v>
      </c>
      <c r="J3595" s="212" t="str">
        <f>'IWP06'!M$359</f>
        <v>Amount Due to Employer (G. - E.)</v>
      </c>
      <c r="K3595" s="106"/>
      <c r="L3595" s="106"/>
      <c r="M3595" s="129"/>
    </row>
    <row r="3596" spans="1:13" s="146" customFormat="1">
      <c r="A3596" s="193" t="s">
        <v>504</v>
      </c>
      <c r="B3596" s="210">
        <v>1</v>
      </c>
      <c r="C3596" s="191" t="str">
        <f>IF('IWP06'!E$360=0,"",'IWP06'!E$360)</f>
        <v>Item/Service</v>
      </c>
      <c r="D3596" s="211" t="str">
        <f>'IWP06'!G$360</f>
        <v>Itemized Amount Paid by DADS</v>
      </c>
      <c r="E3596" s="211">
        <f>'IWP06'!H$360</f>
        <v>0</v>
      </c>
      <c r="F3596" s="211">
        <f>'IWP06'!I$360</f>
        <v>0</v>
      </c>
      <c r="G3596" s="191" t="str">
        <f>IF('IWP06'!J$360=0,"",'IWP06'!J$360)</f>
        <v/>
      </c>
      <c r="H3596" s="211">
        <f>'IWP06'!K$360</f>
        <v>0</v>
      </c>
      <c r="I3596" s="211">
        <f>'IWP06'!L$360</f>
        <v>0</v>
      </c>
      <c r="J3596" s="212">
        <f>'IWP06'!M$360</f>
        <v>0</v>
      </c>
      <c r="K3596" s="106"/>
      <c r="L3596" s="106"/>
      <c r="M3596" s="129"/>
    </row>
    <row r="3597" spans="1:13" s="146" customFormat="1">
      <c r="A3597" s="193" t="s">
        <v>504</v>
      </c>
      <c r="B3597" s="210">
        <v>1</v>
      </c>
      <c r="C3597" s="191" t="str">
        <f>IF('IWP06'!E$361=0,"",'IWP06'!E$361)</f>
        <v/>
      </c>
      <c r="D3597" s="211">
        <f>'IWP06'!G$361</f>
        <v>0</v>
      </c>
      <c r="E3597" s="211">
        <f>'IWP06'!H$361</f>
        <v>0</v>
      </c>
      <c r="F3597" s="211">
        <f>'IWP06'!I$361</f>
        <v>0</v>
      </c>
      <c r="G3597" s="191" t="str">
        <f>IF('IWP06'!J$361=0,"",'IWP06'!J$361)</f>
        <v/>
      </c>
      <c r="H3597" s="211">
        <f>'IWP06'!K$361</f>
        <v>0</v>
      </c>
      <c r="I3597" s="211">
        <f>'IWP06'!L$361</f>
        <v>0</v>
      </c>
      <c r="J3597" s="212">
        <f>'IWP06'!M$361</f>
        <v>0</v>
      </c>
      <c r="K3597" s="106"/>
      <c r="L3597" s="106"/>
      <c r="M3597" s="129"/>
    </row>
    <row r="3598" spans="1:13" s="146" customFormat="1">
      <c r="A3598" s="193" t="s">
        <v>504</v>
      </c>
      <c r="B3598" s="210">
        <v>1</v>
      </c>
      <c r="C3598" s="191" t="str">
        <f>IF('IWP06'!E$362=0,"",'IWP06'!E$362)</f>
        <v/>
      </c>
      <c r="D3598" s="211">
        <f>'IWP06'!G$362</f>
        <v>0</v>
      </c>
      <c r="E3598" s="211">
        <f>'IWP06'!H$362</f>
        <v>0</v>
      </c>
      <c r="F3598" s="211">
        <f>'IWP06'!I$362</f>
        <v>0</v>
      </c>
      <c r="G3598" s="191" t="str">
        <f>IF('IWP06'!J$362=0,"",'IWP06'!J$362)</f>
        <v/>
      </c>
      <c r="H3598" s="211">
        <f>'IWP06'!K$362</f>
        <v>0</v>
      </c>
      <c r="I3598" s="211">
        <f>'IWP06'!L$362</f>
        <v>0</v>
      </c>
      <c r="J3598" s="212">
        <f>'IWP06'!M$362</f>
        <v>0</v>
      </c>
      <c r="K3598" s="106"/>
      <c r="L3598" s="106"/>
      <c r="M3598" s="129"/>
    </row>
    <row r="3599" spans="1:13" s="146" customFormat="1">
      <c r="A3599" s="193" t="s">
        <v>504</v>
      </c>
      <c r="B3599" s="210">
        <v>1</v>
      </c>
      <c r="C3599" s="191" t="str">
        <f>IF('IWP06'!E$363=0,"",'IWP06'!E$363)</f>
        <v/>
      </c>
      <c r="D3599" s="211">
        <f>'IWP06'!G$363</f>
        <v>0</v>
      </c>
      <c r="E3599" s="211">
        <f>'IWP06'!H$363</f>
        <v>0</v>
      </c>
      <c r="F3599" s="211">
        <f>'IWP06'!I$363</f>
        <v>0</v>
      </c>
      <c r="G3599" s="191" t="str">
        <f>IF('IWP06'!J$363=0,"",'IWP06'!J$363)</f>
        <v/>
      </c>
      <c r="H3599" s="211">
        <f>'IWP06'!K$363</f>
        <v>0</v>
      </c>
      <c r="I3599" s="211">
        <f>'IWP06'!L$363</f>
        <v>0</v>
      </c>
      <c r="J3599" s="212">
        <f>'IWP06'!M$363</f>
        <v>0</v>
      </c>
      <c r="K3599" s="106"/>
      <c r="L3599" s="106"/>
      <c r="M3599" s="129"/>
    </row>
    <row r="3600" spans="1:13" s="146" customFormat="1">
      <c r="A3600" s="193" t="s">
        <v>504</v>
      </c>
      <c r="B3600" s="210">
        <v>1</v>
      </c>
      <c r="C3600" s="191" t="str">
        <f>IF('IWP06'!E$364=0,"",'IWP06'!E$364)</f>
        <v/>
      </c>
      <c r="D3600" s="211">
        <f>'IWP06'!G$364</f>
        <v>0</v>
      </c>
      <c r="E3600" s="211">
        <f>'IWP06'!H$364</f>
        <v>0</v>
      </c>
      <c r="F3600" s="211">
        <f>'IWP06'!I$364</f>
        <v>0</v>
      </c>
      <c r="G3600" s="191" t="str">
        <f>IF('IWP06'!J$364=0,"",'IWP06'!J$364)</f>
        <v/>
      </c>
      <c r="H3600" s="211">
        <f>'IWP06'!K$364</f>
        <v>0</v>
      </c>
      <c r="I3600" s="211">
        <f>'IWP06'!L$364</f>
        <v>0</v>
      </c>
      <c r="J3600" s="212">
        <f>'IWP06'!M$364</f>
        <v>0</v>
      </c>
      <c r="K3600" s="106"/>
      <c r="L3600" s="106"/>
      <c r="M3600" s="129"/>
    </row>
    <row r="3601" spans="1:13" s="146" customFormat="1">
      <c r="A3601" s="193" t="s">
        <v>504</v>
      </c>
      <c r="B3601" s="210">
        <v>2</v>
      </c>
      <c r="C3601" s="191" t="str">
        <f>IF('IWP06'!E$371=0,"",'IWP06'!E$371)</f>
        <v>Subtotal column D.</v>
      </c>
      <c r="D3601" s="211">
        <f>'IWP06'!G$371</f>
        <v>0</v>
      </c>
      <c r="E3601" s="211">
        <f>'IWP06'!H$371</f>
        <v>0</v>
      </c>
      <c r="F3601" s="211">
        <f>'IWP06'!I$371</f>
        <v>0</v>
      </c>
      <c r="G3601" s="191" t="str">
        <f>IF('IWP06'!J$371=0,"",'IWP06'!J$371)</f>
        <v/>
      </c>
      <c r="H3601" s="211">
        <f>'IWP06'!K$371</f>
        <v>0</v>
      </c>
      <c r="I3601" s="211">
        <f>'IWP06'!L$371</f>
        <v>0</v>
      </c>
      <c r="J3601" s="212">
        <f>'IWP06'!M$371</f>
        <v>0</v>
      </c>
      <c r="K3601" s="106"/>
      <c r="L3601" s="106"/>
      <c r="M3601" s="129"/>
    </row>
    <row r="3602" spans="1:13" s="146" customFormat="1">
      <c r="A3602" s="193" t="s">
        <v>504</v>
      </c>
      <c r="B3602" s="210">
        <v>2</v>
      </c>
      <c r="C3602" s="191" t="str">
        <f>IF('IWP06'!E$372=0,"",'IWP06'!E$372)</f>
        <v>Unverified/Undocumented (Subtotal D - C)</v>
      </c>
      <c r="D3602" s="211">
        <f>'IWP06'!G$372</f>
        <v>0</v>
      </c>
      <c r="E3602" s="211">
        <f>'IWP06'!H$372</f>
        <v>0</v>
      </c>
      <c r="F3602" s="211">
        <f>'IWP06'!I$372</f>
        <v>0</v>
      </c>
      <c r="G3602" s="191" t="str">
        <f>IF('IWP06'!J$372=0,"",'IWP06'!J$372)</f>
        <v/>
      </c>
      <c r="H3602" s="211">
        <f>'IWP06'!K$372</f>
        <v>0</v>
      </c>
      <c r="I3602" s="211">
        <f>'IWP06'!L$372</f>
        <v>0</v>
      </c>
      <c r="J3602" s="212">
        <f>'IWP06'!M$372</f>
        <v>0</v>
      </c>
      <c r="K3602" s="106"/>
      <c r="L3602" s="106"/>
      <c r="M3602" s="129"/>
    </row>
    <row r="3603" spans="1:13" s="146" customFormat="1">
      <c r="A3603" s="193" t="s">
        <v>504</v>
      </c>
      <c r="B3603" s="210">
        <v>2</v>
      </c>
      <c r="C3603" s="191" t="str">
        <f>IF('IWP06'!E$373=0,"",'IWP06'!E$373)</f>
        <v>J. Billing Period Total</v>
      </c>
      <c r="D3603" s="211">
        <f>'IWP06'!G$373</f>
        <v>0</v>
      </c>
      <c r="E3603" s="211">
        <f>'IWP06'!H$373</f>
        <v>0</v>
      </c>
      <c r="F3603" s="211">
        <f>'IWP06'!I$373</f>
        <v>0</v>
      </c>
      <c r="G3603" s="191" t="str">
        <f>IF('IWP06'!J$373=0,"",'IWP06'!J$373)</f>
        <v/>
      </c>
      <c r="H3603" s="211">
        <f>'IWP06'!K$373</f>
        <v>0</v>
      </c>
      <c r="I3603" s="211">
        <f>'IWP06'!L$373</f>
        <v>0</v>
      </c>
      <c r="J3603" s="212">
        <f>'IWP06'!M$373</f>
        <v>0</v>
      </c>
      <c r="K3603" s="106"/>
      <c r="L3603" s="106"/>
      <c r="M3603" s="129"/>
    </row>
    <row r="3604" spans="1:13" s="146" customFormat="1">
      <c r="A3604" s="193" t="s">
        <v>504</v>
      </c>
      <c r="B3604" s="210">
        <v>2</v>
      </c>
      <c r="C3604" s="191" t="str">
        <f>IF('IWP06'!E$374=0,"",'IWP06'!E$374)</f>
        <v>D.</v>
      </c>
      <c r="D3604" s="211">
        <f>'IWP06'!G$374</f>
        <v>0</v>
      </c>
      <c r="E3604" s="211" t="str">
        <f>'IWP06'!H$374</f>
        <v>E.</v>
      </c>
      <c r="F3604" s="211" t="str">
        <f>'IWP06'!I$374</f>
        <v>F.</v>
      </c>
      <c r="G3604" s="191" t="str">
        <f>IF('IWP06'!J$374=0,"",'IWP06'!J$374)</f>
        <v>G.</v>
      </c>
      <c r="H3604" s="211">
        <f>'IWP06'!K$374</f>
        <v>0</v>
      </c>
      <c r="I3604" s="211" t="str">
        <f>'IWP06'!L$374</f>
        <v>H.</v>
      </c>
      <c r="J3604" s="212" t="str">
        <f>'IWP06'!M$374</f>
        <v>I.</v>
      </c>
      <c r="K3604" s="106"/>
      <c r="L3604" s="106"/>
      <c r="M3604" s="129"/>
    </row>
    <row r="3605" spans="1:13" s="146" customFormat="1">
      <c r="A3605" s="193" t="s">
        <v>504</v>
      </c>
      <c r="B3605" s="210">
        <v>2</v>
      </c>
      <c r="C3605" s="191" t="str">
        <f>IF('IWP06'!E$375=0,"",'IWP06'!E$375)</f>
        <v xml:space="preserve">Items/Services Related to Billing Period </v>
      </c>
      <c r="D3605" s="211">
        <f>'IWP06'!G$375</f>
        <v>0</v>
      </c>
      <c r="E3605" s="211" t="str">
        <f>'IWP06'!H$375</f>
        <v xml:space="preserve">Item/
Service Verified Amounts
</v>
      </c>
      <c r="F3605" s="211" t="str">
        <f>'IWP06'!I$375</f>
        <v>Amount Due to DADS (E. - D.)</v>
      </c>
      <c r="G3605" s="191" t="str">
        <f>IF('IWP06'!J$375=0,"",'IWP06'!J$375)</f>
        <v>Amount Reimbursed to 
Employee(s)/Employer</v>
      </c>
      <c r="H3605" s="211">
        <f>'IWP06'!K$375</f>
        <v>0</v>
      </c>
      <c r="I3605" s="211" t="str">
        <f>'IWP06'!L$375</f>
        <v>Amount Due to Employee(s) (G. - E.)</v>
      </c>
      <c r="J3605" s="212" t="str">
        <f>'IWP06'!M$375</f>
        <v>Amount Due to Employer (G. - E.)</v>
      </c>
      <c r="K3605" s="106"/>
      <c r="L3605" s="106"/>
      <c r="M3605" s="129"/>
    </row>
    <row r="3606" spans="1:13" s="146" customFormat="1">
      <c r="A3606" s="193" t="s">
        <v>504</v>
      </c>
      <c r="B3606" s="210">
        <v>2</v>
      </c>
      <c r="C3606" s="191" t="str">
        <f>IF('IWP06'!E$376=0,"",'IWP06'!E$376)</f>
        <v>Item/Service</v>
      </c>
      <c r="D3606" s="211" t="str">
        <f>'IWP06'!G$376</f>
        <v>Itemized Amount Paid by DADS</v>
      </c>
      <c r="E3606" s="211">
        <f>'IWP06'!H$376</f>
        <v>0</v>
      </c>
      <c r="F3606" s="211">
        <f>'IWP06'!I$376</f>
        <v>0</v>
      </c>
      <c r="G3606" s="191" t="str">
        <f>IF('IWP06'!J$376=0,"",'IWP06'!J$376)</f>
        <v/>
      </c>
      <c r="H3606" s="211">
        <f>'IWP06'!K$376</f>
        <v>0</v>
      </c>
      <c r="I3606" s="211">
        <f>'IWP06'!L$376</f>
        <v>0</v>
      </c>
      <c r="J3606" s="212">
        <f>'IWP06'!M$376</f>
        <v>0</v>
      </c>
      <c r="K3606" s="106"/>
      <c r="L3606" s="106"/>
      <c r="M3606" s="129"/>
    </row>
    <row r="3607" spans="1:13" s="146" customFormat="1">
      <c r="A3607" s="193" t="s">
        <v>504</v>
      </c>
      <c r="B3607" s="210">
        <v>2</v>
      </c>
      <c r="C3607" s="191" t="str">
        <f>IF('IWP06'!E$377=0,"",'IWP06'!E$377)</f>
        <v/>
      </c>
      <c r="D3607" s="211">
        <f>'IWP06'!G$377</f>
        <v>0</v>
      </c>
      <c r="E3607" s="211">
        <f>'IWP06'!H$377</f>
        <v>0</v>
      </c>
      <c r="F3607" s="211">
        <f>'IWP06'!I$377</f>
        <v>0</v>
      </c>
      <c r="G3607" s="191" t="str">
        <f>IF('IWP06'!J$377=0,"",'IWP06'!J$377)</f>
        <v/>
      </c>
      <c r="H3607" s="211">
        <f>'IWP06'!K$377</f>
        <v>0</v>
      </c>
      <c r="I3607" s="211">
        <f>'IWP06'!L$377</f>
        <v>0</v>
      </c>
      <c r="J3607" s="212">
        <f>'IWP06'!M$377</f>
        <v>0</v>
      </c>
      <c r="K3607" s="106"/>
      <c r="L3607" s="106"/>
      <c r="M3607" s="129"/>
    </row>
    <row r="3608" spans="1:13" s="146" customFormat="1">
      <c r="A3608" s="193" t="s">
        <v>504</v>
      </c>
      <c r="B3608" s="210">
        <v>2</v>
      </c>
      <c r="C3608" s="191" t="str">
        <f>IF('IWP06'!E$378=0,"",'IWP06'!E$378)</f>
        <v/>
      </c>
      <c r="D3608" s="211">
        <f>'IWP06'!G$378</f>
        <v>0</v>
      </c>
      <c r="E3608" s="211">
        <f>'IWP06'!H$378</f>
        <v>0</v>
      </c>
      <c r="F3608" s="211">
        <f>'IWP06'!I$378</f>
        <v>0</v>
      </c>
      <c r="G3608" s="191" t="str">
        <f>IF('IWP06'!J$378=0,"",'IWP06'!J$378)</f>
        <v/>
      </c>
      <c r="H3608" s="211">
        <f>'IWP06'!K$378</f>
        <v>0</v>
      </c>
      <c r="I3608" s="211">
        <f>'IWP06'!L$378</f>
        <v>0</v>
      </c>
      <c r="J3608" s="212">
        <f>'IWP06'!M$378</f>
        <v>0</v>
      </c>
      <c r="K3608" s="106"/>
      <c r="L3608" s="106"/>
      <c r="M3608" s="129"/>
    </row>
    <row r="3609" spans="1:13" s="146" customFormat="1">
      <c r="A3609" s="193" t="s">
        <v>504</v>
      </c>
      <c r="B3609" s="210">
        <v>2</v>
      </c>
      <c r="C3609" s="191" t="str">
        <f>IF('IWP06'!E$379=0,"",'IWP06'!E$379)</f>
        <v/>
      </c>
      <c r="D3609" s="211">
        <f>'IWP06'!G$379</f>
        <v>0</v>
      </c>
      <c r="E3609" s="211">
        <f>'IWP06'!H$379</f>
        <v>0</v>
      </c>
      <c r="F3609" s="211">
        <f>'IWP06'!I$379</f>
        <v>0</v>
      </c>
      <c r="G3609" s="191" t="str">
        <f>IF('IWP06'!J$379=0,"",'IWP06'!J$379)</f>
        <v/>
      </c>
      <c r="H3609" s="211">
        <f>'IWP06'!K$379</f>
        <v>0</v>
      </c>
      <c r="I3609" s="211">
        <f>'IWP06'!L$379</f>
        <v>0</v>
      </c>
      <c r="J3609" s="212">
        <f>'IWP06'!M$379</f>
        <v>0</v>
      </c>
      <c r="K3609" s="106"/>
      <c r="L3609" s="106"/>
      <c r="M3609" s="129"/>
    </row>
    <row r="3610" spans="1:13" s="146" customFormat="1">
      <c r="A3610" s="193" t="s">
        <v>504</v>
      </c>
      <c r="B3610" s="210">
        <v>2</v>
      </c>
      <c r="C3610" s="191" t="str">
        <f>IF('IWP06'!E$380=0,"",'IWP06'!E$380)</f>
        <v/>
      </c>
      <c r="D3610" s="211">
        <f>'IWP06'!G$380</f>
        <v>0</v>
      </c>
      <c r="E3610" s="211">
        <f>'IWP06'!H$380</f>
        <v>0</v>
      </c>
      <c r="F3610" s="211">
        <f>'IWP06'!I$380</f>
        <v>0</v>
      </c>
      <c r="G3610" s="191" t="str">
        <f>IF('IWP06'!J$380=0,"",'IWP06'!J$380)</f>
        <v/>
      </c>
      <c r="H3610" s="211">
        <f>'IWP06'!K$380</f>
        <v>0</v>
      </c>
      <c r="I3610" s="211">
        <f>'IWP06'!L$380</f>
        <v>0</v>
      </c>
      <c r="J3610" s="212">
        <f>'IWP06'!M$380</f>
        <v>0</v>
      </c>
      <c r="K3610" s="106"/>
      <c r="L3610" s="106"/>
      <c r="M3610" s="129"/>
    </row>
    <row r="3611" spans="1:13" s="146" customFormat="1">
      <c r="A3611" s="193" t="s">
        <v>504</v>
      </c>
      <c r="B3611" s="210">
        <v>3</v>
      </c>
      <c r="C3611" s="191" t="str">
        <f>IF('IWP06'!E$387=0,"",'IWP06'!E$387)</f>
        <v>Subtotal column D.</v>
      </c>
      <c r="D3611" s="211">
        <f>'IWP06'!G$387</f>
        <v>0</v>
      </c>
      <c r="E3611" s="211">
        <f>'IWP06'!H$387</f>
        <v>0</v>
      </c>
      <c r="F3611" s="211">
        <f>'IWP06'!I$387</f>
        <v>0</v>
      </c>
      <c r="G3611" s="191" t="str">
        <f>IF('IWP06'!J$387=0,"",'IWP06'!J$387)</f>
        <v/>
      </c>
      <c r="H3611" s="211">
        <f>'IWP06'!K$387</f>
        <v>0</v>
      </c>
      <c r="I3611" s="211">
        <f>'IWP06'!L$387</f>
        <v>0</v>
      </c>
      <c r="J3611" s="212">
        <f>'IWP06'!M$387</f>
        <v>0</v>
      </c>
      <c r="K3611" s="106"/>
      <c r="L3611" s="106"/>
      <c r="M3611" s="129"/>
    </row>
    <row r="3612" spans="1:13" s="146" customFormat="1">
      <c r="A3612" s="193" t="s">
        <v>504</v>
      </c>
      <c r="B3612" s="210">
        <v>3</v>
      </c>
      <c r="C3612" s="191" t="str">
        <f>IF('IWP06'!E$388=0,"",'IWP06'!E$388)</f>
        <v>Unverified/Undocumented (Subtotal D - C)</v>
      </c>
      <c r="D3612" s="211">
        <f>'IWP06'!G$388</f>
        <v>0</v>
      </c>
      <c r="E3612" s="211">
        <f>'IWP06'!H$388</f>
        <v>0</v>
      </c>
      <c r="F3612" s="211">
        <f>'IWP06'!I$388</f>
        <v>0</v>
      </c>
      <c r="G3612" s="191" t="str">
        <f>IF('IWP06'!J$388=0,"",'IWP06'!J$388)</f>
        <v/>
      </c>
      <c r="H3612" s="211">
        <f>'IWP06'!K$388</f>
        <v>0</v>
      </c>
      <c r="I3612" s="211">
        <f>'IWP06'!L$388</f>
        <v>0</v>
      </c>
      <c r="J3612" s="212">
        <f>'IWP06'!M$388</f>
        <v>0</v>
      </c>
      <c r="K3612" s="106"/>
      <c r="L3612" s="106"/>
      <c r="M3612" s="129"/>
    </row>
    <row r="3613" spans="1:13" s="146" customFormat="1">
      <c r="A3613" s="193" t="s">
        <v>504</v>
      </c>
      <c r="B3613" s="210">
        <v>3</v>
      </c>
      <c r="C3613" s="191" t="str">
        <f>IF('IWP06'!E$389=0,"",'IWP06'!E$389)</f>
        <v>J. Billing Period Total</v>
      </c>
      <c r="D3613" s="211">
        <f>'IWP06'!G$389</f>
        <v>0</v>
      </c>
      <c r="E3613" s="211">
        <f>'IWP06'!H$389</f>
        <v>0</v>
      </c>
      <c r="F3613" s="211">
        <f>'IWP06'!I$389</f>
        <v>0</v>
      </c>
      <c r="G3613" s="191" t="str">
        <f>IF('IWP06'!J$389=0,"",'IWP06'!J$389)</f>
        <v/>
      </c>
      <c r="H3613" s="211">
        <f>'IWP06'!K$389</f>
        <v>0</v>
      </c>
      <c r="I3613" s="211">
        <f>'IWP06'!L$389</f>
        <v>0</v>
      </c>
      <c r="J3613" s="212">
        <f>'IWP06'!M$389</f>
        <v>0</v>
      </c>
      <c r="K3613" s="106"/>
      <c r="L3613" s="106"/>
      <c r="M3613" s="129"/>
    </row>
    <row r="3614" spans="1:13" s="146" customFormat="1">
      <c r="A3614" s="193" t="s">
        <v>504</v>
      </c>
      <c r="B3614" s="210">
        <v>3</v>
      </c>
      <c r="C3614" s="191" t="str">
        <f>IF('IWP06'!E$390=0,"",'IWP06'!E$390)</f>
        <v>D.</v>
      </c>
      <c r="D3614" s="211">
        <f>'IWP06'!G$390</f>
        <v>0</v>
      </c>
      <c r="E3614" s="211" t="str">
        <f>'IWP06'!H$390</f>
        <v>E.</v>
      </c>
      <c r="F3614" s="211" t="str">
        <f>'IWP06'!I$390</f>
        <v>F.</v>
      </c>
      <c r="G3614" s="191" t="str">
        <f>IF('IWP06'!J$390=0,"",'IWP06'!J$390)</f>
        <v>G.</v>
      </c>
      <c r="H3614" s="211">
        <f>'IWP06'!K$390</f>
        <v>0</v>
      </c>
      <c r="I3614" s="211" t="str">
        <f>'IWP06'!L$390</f>
        <v>H.</v>
      </c>
      <c r="J3614" s="212" t="str">
        <f>'IWP06'!M$390</f>
        <v>I.</v>
      </c>
      <c r="K3614" s="106"/>
      <c r="L3614" s="106"/>
      <c r="M3614" s="129"/>
    </row>
    <row r="3615" spans="1:13" s="146" customFormat="1">
      <c r="A3615" s="193" t="s">
        <v>504</v>
      </c>
      <c r="B3615" s="210">
        <v>3</v>
      </c>
      <c r="C3615" s="191" t="str">
        <f>IF('IWP06'!E$391=0,"",'IWP06'!E$391)</f>
        <v xml:space="preserve">Items/Services Related to Billing Period </v>
      </c>
      <c r="D3615" s="211">
        <f>'IWP06'!G$391</f>
        <v>0</v>
      </c>
      <c r="E3615" s="211" t="str">
        <f>'IWP06'!H$391</f>
        <v xml:space="preserve">Item/
Service Verified Amounts
</v>
      </c>
      <c r="F3615" s="211" t="str">
        <f>'IWP06'!I$391</f>
        <v>Amount Due to DADS (E. - D.)</v>
      </c>
      <c r="G3615" s="191" t="str">
        <f>IF('IWP06'!J$391=0,"",'IWP06'!J$391)</f>
        <v>Amount Reimbursed to 
Employee(s)/Employer</v>
      </c>
      <c r="H3615" s="211">
        <f>'IWP06'!K$391</f>
        <v>0</v>
      </c>
      <c r="I3615" s="211" t="str">
        <f>'IWP06'!L$391</f>
        <v>Amount Due to Employee(s) (G. - E.)</v>
      </c>
      <c r="J3615" s="212" t="str">
        <f>'IWP06'!M$391</f>
        <v>Amount Due to Employer (G. - E.)</v>
      </c>
      <c r="K3615" s="106"/>
      <c r="L3615" s="106"/>
      <c r="M3615" s="129"/>
    </row>
    <row r="3616" spans="1:13" s="146" customFormat="1">
      <c r="A3616" s="193" t="s">
        <v>504</v>
      </c>
      <c r="B3616" s="210">
        <v>3</v>
      </c>
      <c r="C3616" s="191" t="str">
        <f>IF('IWP06'!E$392=0,"",'IWP06'!E$392)</f>
        <v>Item/Service</v>
      </c>
      <c r="D3616" s="211" t="str">
        <f>'IWP06'!G$392</f>
        <v>Itemized Amount Paid by DADS</v>
      </c>
      <c r="E3616" s="211">
        <f>'IWP06'!H$392</f>
        <v>0</v>
      </c>
      <c r="F3616" s="211">
        <f>'IWP06'!I$392</f>
        <v>0</v>
      </c>
      <c r="G3616" s="191" t="str">
        <f>IF('IWP06'!J$392=0,"",'IWP06'!J$392)</f>
        <v/>
      </c>
      <c r="H3616" s="211">
        <f>'IWP06'!K$392</f>
        <v>0</v>
      </c>
      <c r="I3616" s="211">
        <f>'IWP06'!L$392</f>
        <v>0</v>
      </c>
      <c r="J3616" s="212">
        <f>'IWP06'!M$392</f>
        <v>0</v>
      </c>
      <c r="K3616" s="106"/>
      <c r="L3616" s="106"/>
      <c r="M3616" s="129"/>
    </row>
    <row r="3617" spans="1:13" s="146" customFormat="1">
      <c r="A3617" s="193" t="s">
        <v>504</v>
      </c>
      <c r="B3617" s="210">
        <v>3</v>
      </c>
      <c r="C3617" s="191" t="str">
        <f>IF('IWP06'!E$393=0,"",'IWP06'!E$393)</f>
        <v/>
      </c>
      <c r="D3617" s="211">
        <f>'IWP06'!G$393</f>
        <v>0</v>
      </c>
      <c r="E3617" s="211">
        <f>'IWP06'!H$393</f>
        <v>0</v>
      </c>
      <c r="F3617" s="211">
        <f>'IWP06'!I$393</f>
        <v>0</v>
      </c>
      <c r="G3617" s="191" t="str">
        <f>IF('IWP06'!J$393=0,"",'IWP06'!J$393)</f>
        <v/>
      </c>
      <c r="H3617" s="211">
        <f>'IWP06'!K$393</f>
        <v>0</v>
      </c>
      <c r="I3617" s="211">
        <f>'IWP06'!L$393</f>
        <v>0</v>
      </c>
      <c r="J3617" s="212">
        <f>'IWP06'!M$393</f>
        <v>0</v>
      </c>
      <c r="K3617" s="106"/>
      <c r="L3617" s="106"/>
      <c r="M3617" s="129"/>
    </row>
    <row r="3618" spans="1:13" s="146" customFormat="1">
      <c r="A3618" s="193" t="s">
        <v>504</v>
      </c>
      <c r="B3618" s="210">
        <v>3</v>
      </c>
      <c r="C3618" s="191" t="str">
        <f>IF('IWP06'!E$394=0,"",'IWP06'!E$394)</f>
        <v/>
      </c>
      <c r="D3618" s="211">
        <f>'IWP06'!G$394</f>
        <v>0</v>
      </c>
      <c r="E3618" s="211">
        <f>'IWP06'!H$394</f>
        <v>0</v>
      </c>
      <c r="F3618" s="211">
        <f>'IWP06'!I$394</f>
        <v>0</v>
      </c>
      <c r="G3618" s="191" t="str">
        <f>IF('IWP06'!J$394=0,"",'IWP06'!J$394)</f>
        <v/>
      </c>
      <c r="H3618" s="211">
        <f>'IWP06'!K$394</f>
        <v>0</v>
      </c>
      <c r="I3618" s="211">
        <f>'IWP06'!L$394</f>
        <v>0</v>
      </c>
      <c r="J3618" s="212">
        <f>'IWP06'!M$394</f>
        <v>0</v>
      </c>
      <c r="K3618" s="106"/>
      <c r="L3618" s="106"/>
      <c r="M3618" s="129"/>
    </row>
    <row r="3619" spans="1:13" s="146" customFormat="1">
      <c r="A3619" s="193" t="s">
        <v>504</v>
      </c>
      <c r="B3619" s="210">
        <v>3</v>
      </c>
      <c r="C3619" s="191" t="str">
        <f>IF('IWP06'!E$395=0,"",'IWP06'!E$395)</f>
        <v/>
      </c>
      <c r="D3619" s="211">
        <f>'IWP06'!G$395</f>
        <v>0</v>
      </c>
      <c r="E3619" s="211">
        <f>'IWP06'!H$395</f>
        <v>0</v>
      </c>
      <c r="F3619" s="211">
        <f>'IWP06'!I$395</f>
        <v>0</v>
      </c>
      <c r="G3619" s="191" t="str">
        <f>IF('IWP06'!J$395=0,"",'IWP06'!J$395)</f>
        <v/>
      </c>
      <c r="H3619" s="211">
        <f>'IWP06'!K$395</f>
        <v>0</v>
      </c>
      <c r="I3619" s="211">
        <f>'IWP06'!L$395</f>
        <v>0</v>
      </c>
      <c r="J3619" s="212">
        <f>'IWP06'!M$395</f>
        <v>0</v>
      </c>
      <c r="K3619" s="106"/>
      <c r="L3619" s="106"/>
      <c r="M3619" s="129"/>
    </row>
    <row r="3620" spans="1:13" s="146" customFormat="1">
      <c r="A3620" s="193" t="s">
        <v>504</v>
      </c>
      <c r="B3620" s="210">
        <v>3</v>
      </c>
      <c r="C3620" s="191" t="str">
        <f>IF('IWP06'!E$396=0,"",'IWP06'!E$396)</f>
        <v/>
      </c>
      <c r="D3620" s="211">
        <f>'IWP06'!G$396</f>
        <v>0</v>
      </c>
      <c r="E3620" s="211">
        <f>'IWP06'!H$396</f>
        <v>0</v>
      </c>
      <c r="F3620" s="211">
        <f>'IWP06'!I$396</f>
        <v>0</v>
      </c>
      <c r="G3620" s="191" t="str">
        <f>IF('IWP06'!J$396=0,"",'IWP06'!J$396)</f>
        <v/>
      </c>
      <c r="H3620" s="211">
        <f>'IWP06'!K$396</f>
        <v>0</v>
      </c>
      <c r="I3620" s="211">
        <f>'IWP06'!L$396</f>
        <v>0</v>
      </c>
      <c r="J3620" s="212">
        <f>'IWP06'!M$396</f>
        <v>0</v>
      </c>
      <c r="K3620" s="106"/>
      <c r="L3620" s="106"/>
      <c r="M3620" s="129"/>
    </row>
    <row r="3621" spans="1:13" s="146" customFormat="1">
      <c r="A3621" s="193" t="s">
        <v>504</v>
      </c>
      <c r="B3621" s="210">
        <v>4</v>
      </c>
      <c r="C3621" s="191" t="str">
        <f>IF('IWP06'!E$403=0,"",'IWP06'!E$403)</f>
        <v>Subtotal column D.</v>
      </c>
      <c r="D3621" s="211">
        <f>'IWP06'!G$403</f>
        <v>0</v>
      </c>
      <c r="E3621" s="211">
        <f>'IWP06'!H$403</f>
        <v>0</v>
      </c>
      <c r="F3621" s="211">
        <f>'IWP06'!I$403</f>
        <v>0</v>
      </c>
      <c r="G3621" s="191" t="str">
        <f>IF('IWP06'!J$403=0,"",'IWP06'!J$403)</f>
        <v/>
      </c>
      <c r="H3621" s="211">
        <f>'IWP06'!K$403</f>
        <v>0</v>
      </c>
      <c r="I3621" s="211">
        <f>'IWP06'!L$403</f>
        <v>0</v>
      </c>
      <c r="J3621" s="212">
        <f>'IWP06'!M$403</f>
        <v>0</v>
      </c>
      <c r="K3621" s="106"/>
      <c r="L3621" s="106"/>
      <c r="M3621" s="129"/>
    </row>
    <row r="3622" spans="1:13" s="146" customFormat="1">
      <c r="A3622" s="193" t="s">
        <v>504</v>
      </c>
      <c r="B3622" s="210">
        <v>4</v>
      </c>
      <c r="C3622" s="191" t="str">
        <f>IF('IWP06'!E$404=0,"",'IWP06'!E$404)</f>
        <v>Unverified/Undocumented (Subtotal D - C)</v>
      </c>
      <c r="D3622" s="211">
        <f>'IWP06'!G$404</f>
        <v>0</v>
      </c>
      <c r="E3622" s="211">
        <f>'IWP06'!H$404</f>
        <v>0</v>
      </c>
      <c r="F3622" s="211">
        <f>'IWP06'!I$404</f>
        <v>0</v>
      </c>
      <c r="G3622" s="191" t="str">
        <f>IF('IWP06'!J$404=0,"",'IWP06'!J$404)</f>
        <v/>
      </c>
      <c r="H3622" s="211">
        <f>'IWP06'!K$404</f>
        <v>0</v>
      </c>
      <c r="I3622" s="211">
        <f>'IWP06'!L$404</f>
        <v>0</v>
      </c>
      <c r="J3622" s="212">
        <f>'IWP06'!M$404</f>
        <v>0</v>
      </c>
      <c r="K3622" s="106"/>
      <c r="L3622" s="106"/>
      <c r="M3622" s="129"/>
    </row>
    <row r="3623" spans="1:13" s="146" customFormat="1">
      <c r="A3623" s="193" t="s">
        <v>504</v>
      </c>
      <c r="B3623" s="210">
        <v>4</v>
      </c>
      <c r="C3623" s="191" t="str">
        <f>IF('IWP06'!E$405=0,"",'IWP06'!E$405)</f>
        <v>J. Billing Period Total</v>
      </c>
      <c r="D3623" s="211">
        <f>'IWP06'!G$405</f>
        <v>0</v>
      </c>
      <c r="E3623" s="211">
        <f>'IWP06'!H$405</f>
        <v>0</v>
      </c>
      <c r="F3623" s="211">
        <f>'IWP06'!I$405</f>
        <v>0</v>
      </c>
      <c r="G3623" s="191" t="str">
        <f>IF('IWP06'!J$405=0,"",'IWP06'!J$405)</f>
        <v/>
      </c>
      <c r="H3623" s="211">
        <f>'IWP06'!K$405</f>
        <v>0</v>
      </c>
      <c r="I3623" s="211">
        <f>'IWP06'!L$405</f>
        <v>0</v>
      </c>
      <c r="J3623" s="212">
        <f>'IWP06'!M$405</f>
        <v>0</v>
      </c>
      <c r="K3623" s="106"/>
      <c r="L3623" s="106"/>
      <c r="M3623" s="129"/>
    </row>
    <row r="3624" spans="1:13" s="146" customFormat="1">
      <c r="A3624" s="193" t="s">
        <v>504</v>
      </c>
      <c r="B3624" s="210">
        <v>4</v>
      </c>
      <c r="C3624" s="191" t="str">
        <f>IF('IWP06'!E$406=0,"",'IWP06'!E$406)</f>
        <v>D.</v>
      </c>
      <c r="D3624" s="211">
        <f>'IWP06'!G$406</f>
        <v>0</v>
      </c>
      <c r="E3624" s="211" t="str">
        <f>'IWP06'!H$406</f>
        <v>E.</v>
      </c>
      <c r="F3624" s="211" t="str">
        <f>'IWP06'!I$406</f>
        <v>F.</v>
      </c>
      <c r="G3624" s="191" t="str">
        <f>IF('IWP06'!J$406=0,"",'IWP06'!J$406)</f>
        <v>G.</v>
      </c>
      <c r="H3624" s="211">
        <f>'IWP06'!K$406</f>
        <v>0</v>
      </c>
      <c r="I3624" s="211" t="str">
        <f>'IWP06'!L$406</f>
        <v>H.</v>
      </c>
      <c r="J3624" s="212" t="str">
        <f>'IWP06'!M$406</f>
        <v>I.</v>
      </c>
      <c r="K3624" s="106"/>
      <c r="L3624" s="106"/>
      <c r="M3624" s="129"/>
    </row>
    <row r="3625" spans="1:13" s="146" customFormat="1">
      <c r="A3625" s="193" t="s">
        <v>504</v>
      </c>
      <c r="B3625" s="210">
        <v>4</v>
      </c>
      <c r="C3625" s="191" t="str">
        <f>IF('IWP06'!E$407=0,"",'IWP06'!E$407)</f>
        <v xml:space="preserve">Items/Services Related to Billing Period </v>
      </c>
      <c r="D3625" s="211">
        <f>'IWP06'!G$407</f>
        <v>0</v>
      </c>
      <c r="E3625" s="211" t="str">
        <f>'IWP06'!H$407</f>
        <v xml:space="preserve">Item/
Service Verified Amounts
</v>
      </c>
      <c r="F3625" s="211" t="str">
        <f>'IWP06'!I$407</f>
        <v>Amount Due to DADS (E. - D.)</v>
      </c>
      <c r="G3625" s="191" t="str">
        <f>IF('IWP06'!J$407=0,"",'IWP06'!J$407)</f>
        <v>Amount Reimbursed to 
Employee(s)/Employer</v>
      </c>
      <c r="H3625" s="211">
        <f>'IWP06'!K$407</f>
        <v>0</v>
      </c>
      <c r="I3625" s="211" t="str">
        <f>'IWP06'!L$407</f>
        <v>Amount Due to Employee(s) (G. - E.)</v>
      </c>
      <c r="J3625" s="212" t="str">
        <f>'IWP06'!M$407</f>
        <v>Amount Due to Employer (G. - E.)</v>
      </c>
      <c r="K3625" s="106"/>
      <c r="L3625" s="106"/>
      <c r="M3625" s="129"/>
    </row>
    <row r="3626" spans="1:13" s="146" customFormat="1">
      <c r="A3626" s="193" t="s">
        <v>504</v>
      </c>
      <c r="B3626" s="210">
        <v>4</v>
      </c>
      <c r="C3626" s="191" t="str">
        <f>IF('IWP06'!E$408=0,"",'IWP06'!E$408)</f>
        <v>Item/Service</v>
      </c>
      <c r="D3626" s="211" t="str">
        <f>'IWP06'!G$408</f>
        <v>Itemized Amount Paid by DADS</v>
      </c>
      <c r="E3626" s="211">
        <f>'IWP06'!H$408</f>
        <v>0</v>
      </c>
      <c r="F3626" s="211">
        <f>'IWP06'!I$408</f>
        <v>0</v>
      </c>
      <c r="G3626" s="191" t="str">
        <f>IF('IWP06'!J$408=0,"",'IWP06'!J$408)</f>
        <v/>
      </c>
      <c r="H3626" s="211">
        <f>'IWP06'!K$408</f>
        <v>0</v>
      </c>
      <c r="I3626" s="211">
        <f>'IWP06'!L$408</f>
        <v>0</v>
      </c>
      <c r="J3626" s="212">
        <f>'IWP06'!M$408</f>
        <v>0</v>
      </c>
      <c r="K3626" s="106"/>
      <c r="L3626" s="106"/>
      <c r="M3626" s="129"/>
    </row>
    <row r="3627" spans="1:13" s="146" customFormat="1">
      <c r="A3627" s="193" t="s">
        <v>504</v>
      </c>
      <c r="B3627" s="210">
        <v>4</v>
      </c>
      <c r="C3627" s="191" t="str">
        <f>IF('IWP06'!E$409=0,"",'IWP06'!E$409)</f>
        <v/>
      </c>
      <c r="D3627" s="211">
        <f>'IWP06'!G$409</f>
        <v>0</v>
      </c>
      <c r="E3627" s="211">
        <f>'IWP06'!H$409</f>
        <v>0</v>
      </c>
      <c r="F3627" s="211">
        <f>'IWP06'!I$409</f>
        <v>0</v>
      </c>
      <c r="G3627" s="191" t="str">
        <f>IF('IWP06'!J$409=0,"",'IWP06'!J$409)</f>
        <v/>
      </c>
      <c r="H3627" s="211">
        <f>'IWP06'!K$409</f>
        <v>0</v>
      </c>
      <c r="I3627" s="211">
        <f>'IWP06'!L$409</f>
        <v>0</v>
      </c>
      <c r="J3627" s="212">
        <f>'IWP06'!M$409</f>
        <v>0</v>
      </c>
      <c r="K3627" s="106"/>
      <c r="L3627" s="106"/>
      <c r="M3627" s="129"/>
    </row>
    <row r="3628" spans="1:13" s="146" customFormat="1">
      <c r="A3628" s="193" t="s">
        <v>504</v>
      </c>
      <c r="B3628" s="210">
        <v>4</v>
      </c>
      <c r="C3628" s="191" t="str">
        <f>IF('IWP06'!E$410=0,"",'IWP06'!E$410)</f>
        <v/>
      </c>
      <c r="D3628" s="211">
        <f>'IWP06'!G$410</f>
        <v>0</v>
      </c>
      <c r="E3628" s="211">
        <f>'IWP06'!H$410</f>
        <v>0</v>
      </c>
      <c r="F3628" s="211">
        <f>'IWP06'!I$410</f>
        <v>0</v>
      </c>
      <c r="G3628" s="191" t="str">
        <f>IF('IWP06'!J$410=0,"",'IWP06'!J$410)</f>
        <v/>
      </c>
      <c r="H3628" s="211">
        <f>'IWP06'!K$410</f>
        <v>0</v>
      </c>
      <c r="I3628" s="211">
        <f>'IWP06'!L$410</f>
        <v>0</v>
      </c>
      <c r="J3628" s="212">
        <f>'IWP06'!M$410</f>
        <v>0</v>
      </c>
      <c r="K3628" s="106"/>
      <c r="L3628" s="106"/>
      <c r="M3628" s="129"/>
    </row>
    <row r="3629" spans="1:13" s="146" customFormat="1">
      <c r="A3629" s="193" t="s">
        <v>504</v>
      </c>
      <c r="B3629" s="210">
        <v>4</v>
      </c>
      <c r="C3629" s="191" t="str">
        <f>IF('IWP06'!E$411=0,"",'IWP06'!E$411)</f>
        <v/>
      </c>
      <c r="D3629" s="211">
        <f>'IWP06'!G$411</f>
        <v>0</v>
      </c>
      <c r="E3629" s="211">
        <f>'IWP06'!H$411</f>
        <v>0</v>
      </c>
      <c r="F3629" s="211">
        <f>'IWP06'!I$411</f>
        <v>0</v>
      </c>
      <c r="G3629" s="191" t="str">
        <f>IF('IWP06'!J$411=0,"",'IWP06'!J$411)</f>
        <v/>
      </c>
      <c r="H3629" s="211">
        <f>'IWP06'!K$411</f>
        <v>0</v>
      </c>
      <c r="I3629" s="211">
        <f>'IWP06'!L$411</f>
        <v>0</v>
      </c>
      <c r="J3629" s="212">
        <f>'IWP06'!M$411</f>
        <v>0</v>
      </c>
      <c r="K3629" s="106"/>
      <c r="L3629" s="106"/>
      <c r="M3629" s="129"/>
    </row>
    <row r="3630" spans="1:13" s="146" customFormat="1">
      <c r="A3630" s="193" t="s">
        <v>504</v>
      </c>
      <c r="B3630" s="210">
        <v>4</v>
      </c>
      <c r="C3630" s="191" t="str">
        <f>IF('IWP06'!E$412=0,"",'IWP06'!E$412)</f>
        <v/>
      </c>
      <c r="D3630" s="211">
        <f>'IWP06'!G$412</f>
        <v>0</v>
      </c>
      <c r="E3630" s="211">
        <f>'IWP06'!H$412</f>
        <v>0</v>
      </c>
      <c r="F3630" s="211">
        <f>'IWP06'!I$412</f>
        <v>0</v>
      </c>
      <c r="G3630" s="191" t="str">
        <f>IF('IWP06'!J$412=0,"",'IWP06'!J$412)</f>
        <v/>
      </c>
      <c r="H3630" s="211">
        <f>'IWP06'!K$412</f>
        <v>0</v>
      </c>
      <c r="I3630" s="211">
        <f>'IWP06'!L$412</f>
        <v>0</v>
      </c>
      <c r="J3630" s="212">
        <f>'IWP06'!M$412</f>
        <v>0</v>
      </c>
      <c r="K3630" s="106"/>
      <c r="L3630" s="106"/>
      <c r="M3630" s="129"/>
    </row>
    <row r="3631" spans="1:13" s="146" customFormat="1">
      <c r="A3631" s="193" t="s">
        <v>504</v>
      </c>
      <c r="B3631" s="210">
        <v>5</v>
      </c>
      <c r="C3631" s="191" t="str">
        <f>IF('IWP06'!E$419=0,"",'IWP06'!E$419)</f>
        <v>Subtotal column D.</v>
      </c>
      <c r="D3631" s="211">
        <f>'IWP06'!G$419</f>
        <v>0</v>
      </c>
      <c r="E3631" s="211">
        <f>'IWP06'!H$419</f>
        <v>0</v>
      </c>
      <c r="F3631" s="211">
        <f>'IWP06'!I$419</f>
        <v>0</v>
      </c>
      <c r="G3631" s="191" t="str">
        <f>IF('IWP06'!J$419=0,"",'IWP06'!J$419)</f>
        <v/>
      </c>
      <c r="H3631" s="211">
        <f>'IWP06'!K$419</f>
        <v>0</v>
      </c>
      <c r="I3631" s="211">
        <f>'IWP06'!L$419</f>
        <v>0</v>
      </c>
      <c r="J3631" s="212">
        <f>'IWP06'!M$419</f>
        <v>0</v>
      </c>
      <c r="K3631" s="106"/>
      <c r="L3631" s="106"/>
      <c r="M3631" s="129"/>
    </row>
    <row r="3632" spans="1:13" s="146" customFormat="1">
      <c r="A3632" s="193" t="s">
        <v>504</v>
      </c>
      <c r="B3632" s="210">
        <v>5</v>
      </c>
      <c r="C3632" s="191" t="str">
        <f>IF('IWP06'!E$420=0,"",'IWP06'!E$420)</f>
        <v>Unverified/Undocumented (Subtotal D - C)</v>
      </c>
      <c r="D3632" s="211">
        <f>'IWP06'!G$420</f>
        <v>0</v>
      </c>
      <c r="E3632" s="211">
        <f>'IWP06'!H$420</f>
        <v>0</v>
      </c>
      <c r="F3632" s="211">
        <f>'IWP06'!I$420</f>
        <v>0</v>
      </c>
      <c r="G3632" s="191" t="str">
        <f>IF('IWP06'!J$420=0,"",'IWP06'!J$420)</f>
        <v/>
      </c>
      <c r="H3632" s="211">
        <f>'IWP06'!K$420</f>
        <v>0</v>
      </c>
      <c r="I3632" s="211">
        <f>'IWP06'!L$420</f>
        <v>0</v>
      </c>
      <c r="J3632" s="212">
        <f>'IWP06'!M$420</f>
        <v>0</v>
      </c>
      <c r="K3632" s="106"/>
      <c r="L3632" s="106"/>
      <c r="M3632" s="129"/>
    </row>
    <row r="3633" spans="1:13" s="146" customFormat="1">
      <c r="A3633" s="193" t="s">
        <v>504</v>
      </c>
      <c r="B3633" s="210">
        <v>5</v>
      </c>
      <c r="C3633" s="191" t="str">
        <f>IF('IWP06'!E$421=0,"",'IWP06'!E$421)</f>
        <v>J. Billing Period Total</v>
      </c>
      <c r="D3633" s="211">
        <f>'IWP06'!G$421</f>
        <v>0</v>
      </c>
      <c r="E3633" s="211">
        <f>'IWP06'!H$421</f>
        <v>0</v>
      </c>
      <c r="F3633" s="211">
        <f>'IWP06'!I$421</f>
        <v>0</v>
      </c>
      <c r="G3633" s="191" t="str">
        <f>IF('IWP06'!J$421=0,"",'IWP06'!J$421)</f>
        <v/>
      </c>
      <c r="H3633" s="211">
        <f>'IWP06'!K$421</f>
        <v>0</v>
      </c>
      <c r="I3633" s="211">
        <f>'IWP06'!L$421</f>
        <v>0</v>
      </c>
      <c r="J3633" s="212">
        <f>'IWP06'!M$421</f>
        <v>0</v>
      </c>
      <c r="K3633" s="106"/>
      <c r="L3633" s="106"/>
      <c r="M3633" s="129"/>
    </row>
    <row r="3634" spans="1:13" s="146" customFormat="1">
      <c r="A3634" s="193" t="s">
        <v>504</v>
      </c>
      <c r="B3634" s="210">
        <v>5</v>
      </c>
      <c r="C3634" s="191" t="str">
        <f>IF('IWP06'!E$422=0,"",'IWP06'!E$422)</f>
        <v>D.</v>
      </c>
      <c r="D3634" s="211">
        <f>'IWP06'!G$422</f>
        <v>0</v>
      </c>
      <c r="E3634" s="211" t="str">
        <f>'IWP06'!H$422</f>
        <v>E.</v>
      </c>
      <c r="F3634" s="211" t="str">
        <f>'IWP06'!I$422</f>
        <v>F.</v>
      </c>
      <c r="G3634" s="191" t="str">
        <f>IF('IWP06'!J$422=0,"",'IWP06'!J$422)</f>
        <v>G.</v>
      </c>
      <c r="H3634" s="211">
        <f>'IWP06'!K$422</f>
        <v>0</v>
      </c>
      <c r="I3634" s="211" t="str">
        <f>'IWP06'!L$422</f>
        <v>H.</v>
      </c>
      <c r="J3634" s="212" t="str">
        <f>'IWP06'!M$422</f>
        <v>I.</v>
      </c>
      <c r="K3634" s="106"/>
      <c r="L3634" s="106"/>
      <c r="M3634" s="129"/>
    </row>
    <row r="3635" spans="1:13" s="146" customFormat="1">
      <c r="A3635" s="193" t="s">
        <v>504</v>
      </c>
      <c r="B3635" s="210">
        <v>5</v>
      </c>
      <c r="C3635" s="191" t="str">
        <f>IF('IWP06'!E$423=0,"",'IWP06'!E$423)</f>
        <v xml:space="preserve">Items/Services Related to Billing Period </v>
      </c>
      <c r="D3635" s="211">
        <f>'IWP06'!G$423</f>
        <v>0</v>
      </c>
      <c r="E3635" s="211" t="str">
        <f>'IWP06'!H$423</f>
        <v xml:space="preserve">Item/
Service Verified Amounts
</v>
      </c>
      <c r="F3635" s="211" t="str">
        <f>'IWP06'!I$423</f>
        <v>Amount Due to DADS (E. - D.)</v>
      </c>
      <c r="G3635" s="191" t="str">
        <f>IF('IWP06'!J$423=0,"",'IWP06'!J$423)</f>
        <v>Amount Reimbursed to 
Employee(s)/Employer</v>
      </c>
      <c r="H3635" s="211">
        <f>'IWP06'!K$423</f>
        <v>0</v>
      </c>
      <c r="I3635" s="211" t="str">
        <f>'IWP06'!L$423</f>
        <v>Amount Due to Employee(s) (G. - E.)</v>
      </c>
      <c r="J3635" s="212" t="str">
        <f>'IWP06'!M$423</f>
        <v>Amount Due to Employer (G. - E.)</v>
      </c>
      <c r="K3635" s="106"/>
      <c r="L3635" s="106"/>
      <c r="M3635" s="129"/>
    </row>
    <row r="3636" spans="1:13" s="146" customFormat="1">
      <c r="A3636" s="193" t="s">
        <v>504</v>
      </c>
      <c r="B3636" s="210">
        <v>5</v>
      </c>
      <c r="C3636" s="191" t="str">
        <f>IF('IWP06'!E$424=0,"",'IWP06'!E$424)</f>
        <v>Item/Service</v>
      </c>
      <c r="D3636" s="211" t="str">
        <f>'IWP06'!G$424</f>
        <v>Itemized Amount Paid by DADS</v>
      </c>
      <c r="E3636" s="211">
        <f>'IWP06'!H$424</f>
        <v>0</v>
      </c>
      <c r="F3636" s="211">
        <f>'IWP06'!I$424</f>
        <v>0</v>
      </c>
      <c r="G3636" s="191" t="str">
        <f>IF('IWP06'!J$424=0,"",'IWP06'!J$424)</f>
        <v/>
      </c>
      <c r="H3636" s="211">
        <f>'IWP06'!K$424</f>
        <v>0</v>
      </c>
      <c r="I3636" s="211">
        <f>'IWP06'!L$424</f>
        <v>0</v>
      </c>
      <c r="J3636" s="212">
        <f>'IWP06'!M$424</f>
        <v>0</v>
      </c>
      <c r="K3636" s="106"/>
      <c r="L3636" s="106"/>
      <c r="M3636" s="129"/>
    </row>
    <row r="3637" spans="1:13" s="146" customFormat="1">
      <c r="A3637" s="193" t="s">
        <v>504</v>
      </c>
      <c r="B3637" s="210">
        <v>5</v>
      </c>
      <c r="C3637" s="191" t="str">
        <f>IF('IWP06'!E$425=0,"",'IWP06'!E$425)</f>
        <v/>
      </c>
      <c r="D3637" s="211">
        <f>'IWP06'!G$425</f>
        <v>0</v>
      </c>
      <c r="E3637" s="211">
        <f>'IWP06'!H$425</f>
        <v>0</v>
      </c>
      <c r="F3637" s="211">
        <f>'IWP06'!I$425</f>
        <v>0</v>
      </c>
      <c r="G3637" s="191" t="str">
        <f>IF('IWP06'!J$425=0,"",'IWP06'!J$425)</f>
        <v/>
      </c>
      <c r="H3637" s="211">
        <f>'IWP06'!K$425</f>
        <v>0</v>
      </c>
      <c r="I3637" s="211">
        <f>'IWP06'!L$425</f>
        <v>0</v>
      </c>
      <c r="J3637" s="212">
        <f>'IWP06'!M$425</f>
        <v>0</v>
      </c>
      <c r="K3637" s="106"/>
      <c r="L3637" s="106"/>
      <c r="M3637" s="129"/>
    </row>
    <row r="3638" spans="1:13" s="146" customFormat="1">
      <c r="A3638" s="193" t="s">
        <v>504</v>
      </c>
      <c r="B3638" s="210">
        <v>5</v>
      </c>
      <c r="C3638" s="191" t="str">
        <f>IF('IWP06'!E$426=0,"",'IWP06'!E$426)</f>
        <v/>
      </c>
      <c r="D3638" s="211">
        <f>'IWP06'!G$426</f>
        <v>0</v>
      </c>
      <c r="E3638" s="211">
        <f>'IWP06'!H$426</f>
        <v>0</v>
      </c>
      <c r="F3638" s="211">
        <f>'IWP06'!I$426</f>
        <v>0</v>
      </c>
      <c r="G3638" s="191" t="str">
        <f>IF('IWP06'!J$426=0,"",'IWP06'!J$426)</f>
        <v/>
      </c>
      <c r="H3638" s="211">
        <f>'IWP06'!K$426</f>
        <v>0</v>
      </c>
      <c r="I3638" s="211">
        <f>'IWP06'!L$426</f>
        <v>0</v>
      </c>
      <c r="J3638" s="212">
        <f>'IWP06'!M$426</f>
        <v>0</v>
      </c>
      <c r="K3638" s="106"/>
      <c r="L3638" s="106"/>
      <c r="M3638" s="129"/>
    </row>
    <row r="3639" spans="1:13" s="146" customFormat="1">
      <c r="A3639" s="193" t="s">
        <v>504</v>
      </c>
      <c r="B3639" s="210">
        <v>5</v>
      </c>
      <c r="C3639" s="191" t="str">
        <f>IF('IWP06'!E$427=0,"",'IWP06'!E$427)</f>
        <v/>
      </c>
      <c r="D3639" s="211">
        <f>'IWP06'!G$427</f>
        <v>0</v>
      </c>
      <c r="E3639" s="211">
        <f>'IWP06'!H$427</f>
        <v>0</v>
      </c>
      <c r="F3639" s="211">
        <f>'IWP06'!I$427</f>
        <v>0</v>
      </c>
      <c r="G3639" s="191" t="str">
        <f>IF('IWP06'!J$427=0,"",'IWP06'!J$427)</f>
        <v/>
      </c>
      <c r="H3639" s="211">
        <f>'IWP06'!K$427</f>
        <v>0</v>
      </c>
      <c r="I3639" s="211">
        <f>'IWP06'!L$427</f>
        <v>0</v>
      </c>
      <c r="J3639" s="212">
        <f>'IWP06'!M$427</f>
        <v>0</v>
      </c>
      <c r="K3639" s="106"/>
      <c r="L3639" s="106"/>
      <c r="M3639" s="129"/>
    </row>
    <row r="3640" spans="1:13" s="146" customFormat="1">
      <c r="A3640" s="193" t="s">
        <v>504</v>
      </c>
      <c r="B3640" s="210">
        <v>5</v>
      </c>
      <c r="C3640" s="191" t="str">
        <f>IF('IWP06'!E$428=0,"",'IWP06'!E$428)</f>
        <v/>
      </c>
      <c r="D3640" s="211">
        <f>'IWP06'!G$428</f>
        <v>0</v>
      </c>
      <c r="E3640" s="211">
        <f>'IWP06'!H$428</f>
        <v>0</v>
      </c>
      <c r="F3640" s="211">
        <f>'IWP06'!I$428</f>
        <v>0</v>
      </c>
      <c r="G3640" s="191" t="str">
        <f>IF('IWP06'!J$428=0,"",'IWP06'!J$428)</f>
        <v/>
      </c>
      <c r="H3640" s="211">
        <f>'IWP06'!K$428</f>
        <v>0</v>
      </c>
      <c r="I3640" s="211">
        <f>'IWP06'!L$428</f>
        <v>0</v>
      </c>
      <c r="J3640" s="212">
        <f>'IWP06'!M$428</f>
        <v>0</v>
      </c>
      <c r="K3640" s="106"/>
      <c r="L3640" s="106"/>
      <c r="M3640" s="129"/>
    </row>
    <row r="3641" spans="1:13" s="146" customFormat="1">
      <c r="A3641" s="193" t="s">
        <v>504</v>
      </c>
      <c r="B3641" s="210">
        <v>6</v>
      </c>
      <c r="C3641" s="191" t="str">
        <f>IF('IWP06'!E$435=0,"",'IWP06'!E$435)</f>
        <v>Subtotal column D.</v>
      </c>
      <c r="D3641" s="211">
        <f>'IWP06'!G$435</f>
        <v>0</v>
      </c>
      <c r="E3641" s="211">
        <f>'IWP06'!H$435</f>
        <v>0</v>
      </c>
      <c r="F3641" s="211">
        <f>'IWP06'!I$435</f>
        <v>0</v>
      </c>
      <c r="G3641" s="191" t="str">
        <f>IF('IWP06'!J$435=0,"",'IWP06'!J$435)</f>
        <v/>
      </c>
      <c r="H3641" s="211">
        <f>'IWP06'!K$435</f>
        <v>0</v>
      </c>
      <c r="I3641" s="211">
        <f>'IWP06'!L$435</f>
        <v>0</v>
      </c>
      <c r="J3641" s="212">
        <f>'IWP06'!M$435</f>
        <v>0</v>
      </c>
      <c r="K3641" s="106"/>
      <c r="L3641" s="106"/>
      <c r="M3641" s="129"/>
    </row>
    <row r="3642" spans="1:13" s="146" customFormat="1">
      <c r="A3642" s="193" t="s">
        <v>504</v>
      </c>
      <c r="B3642" s="210">
        <v>6</v>
      </c>
      <c r="C3642" s="191" t="str">
        <f>IF('IWP06'!E$436=0,"",'IWP06'!E$436)</f>
        <v>Unverified/Undocumented (Subtotal D - C)</v>
      </c>
      <c r="D3642" s="211">
        <f>'IWP06'!G$436</f>
        <v>0</v>
      </c>
      <c r="E3642" s="211">
        <f>'IWP06'!H$436</f>
        <v>0</v>
      </c>
      <c r="F3642" s="211">
        <f>'IWP06'!I$436</f>
        <v>0</v>
      </c>
      <c r="G3642" s="191" t="str">
        <f>IF('IWP06'!J$436=0,"",'IWP06'!J$436)</f>
        <v/>
      </c>
      <c r="H3642" s="211">
        <f>'IWP06'!K$436</f>
        <v>0</v>
      </c>
      <c r="I3642" s="211">
        <f>'IWP06'!L$436</f>
        <v>0</v>
      </c>
      <c r="J3642" s="212">
        <f>'IWP06'!M$436</f>
        <v>0</v>
      </c>
      <c r="K3642" s="106"/>
      <c r="L3642" s="106"/>
      <c r="M3642" s="129"/>
    </row>
    <row r="3643" spans="1:13" s="146" customFormat="1">
      <c r="A3643" s="193" t="s">
        <v>504</v>
      </c>
      <c r="B3643" s="210">
        <v>6</v>
      </c>
      <c r="C3643" s="191" t="str">
        <f>IF('IWP06'!E$437=0,"",'IWP06'!E$437)</f>
        <v>J. Billing Period Total</v>
      </c>
      <c r="D3643" s="211">
        <f>'IWP06'!G$437</f>
        <v>0</v>
      </c>
      <c r="E3643" s="211">
        <f>'IWP06'!H$437</f>
        <v>0</v>
      </c>
      <c r="F3643" s="211">
        <f>'IWP06'!I$437</f>
        <v>0</v>
      </c>
      <c r="G3643" s="191" t="str">
        <f>IF('IWP06'!J$437=0,"",'IWP06'!J$437)</f>
        <v/>
      </c>
      <c r="H3643" s="211">
        <f>'IWP06'!K$437</f>
        <v>0</v>
      </c>
      <c r="I3643" s="211">
        <f>'IWP06'!L$437</f>
        <v>0</v>
      </c>
      <c r="J3643" s="212">
        <f>'IWP06'!M$437</f>
        <v>0</v>
      </c>
      <c r="K3643" s="106"/>
      <c r="L3643" s="106"/>
      <c r="M3643" s="129"/>
    </row>
    <row r="3644" spans="1:13" s="146" customFormat="1">
      <c r="A3644" s="193" t="s">
        <v>504</v>
      </c>
      <c r="B3644" s="210">
        <v>6</v>
      </c>
      <c r="C3644" s="191" t="str">
        <f>IF('IWP06'!E$438=0,"",'IWP06'!E$438)</f>
        <v>D.</v>
      </c>
      <c r="D3644" s="211">
        <f>'IWP06'!G$438</f>
        <v>0</v>
      </c>
      <c r="E3644" s="211" t="str">
        <f>'IWP06'!H$438</f>
        <v>E.</v>
      </c>
      <c r="F3644" s="211" t="str">
        <f>'IWP06'!I$438</f>
        <v>F.</v>
      </c>
      <c r="G3644" s="191" t="str">
        <f>IF('IWP06'!J$438=0,"",'IWP06'!J$438)</f>
        <v>G.</v>
      </c>
      <c r="H3644" s="211">
        <f>'IWP06'!K$438</f>
        <v>0</v>
      </c>
      <c r="I3644" s="211" t="str">
        <f>'IWP06'!L$438</f>
        <v>H.</v>
      </c>
      <c r="J3644" s="212" t="str">
        <f>'IWP06'!M$438</f>
        <v>I.</v>
      </c>
      <c r="K3644" s="106"/>
      <c r="L3644" s="106"/>
      <c r="M3644" s="129"/>
    </row>
    <row r="3645" spans="1:13" s="146" customFormat="1">
      <c r="A3645" s="193" t="s">
        <v>504</v>
      </c>
      <c r="B3645" s="210">
        <v>6</v>
      </c>
      <c r="C3645" s="191" t="str">
        <f>IF('IWP06'!E$439=0,"",'IWP06'!E$439)</f>
        <v xml:space="preserve">Items/Services Related to Billing Period </v>
      </c>
      <c r="D3645" s="211">
        <f>'IWP06'!G$439</f>
        <v>0</v>
      </c>
      <c r="E3645" s="211" t="str">
        <f>'IWP06'!H$439</f>
        <v xml:space="preserve">Item/
Service Verified Amounts
</v>
      </c>
      <c r="F3645" s="211" t="str">
        <f>'IWP06'!I$439</f>
        <v>Amount Due to DADS (E. - D.)</v>
      </c>
      <c r="G3645" s="191" t="str">
        <f>IF('IWP06'!J$439=0,"",'IWP06'!J$439)</f>
        <v>Amount Reimbursed to 
Employee(s)/Employer</v>
      </c>
      <c r="H3645" s="211">
        <f>'IWP06'!K$439</f>
        <v>0</v>
      </c>
      <c r="I3645" s="211" t="str">
        <f>'IWP06'!L$439</f>
        <v>Amount Due to Employee(s) (G. - E.)</v>
      </c>
      <c r="J3645" s="212" t="str">
        <f>'IWP06'!M$439</f>
        <v>Amount Due to Employer (G. - E.)</v>
      </c>
      <c r="K3645" s="106"/>
      <c r="L3645" s="106"/>
      <c r="M3645" s="129"/>
    </row>
    <row r="3646" spans="1:13" s="146" customFormat="1">
      <c r="A3646" s="193" t="s">
        <v>504</v>
      </c>
      <c r="B3646" s="210">
        <v>6</v>
      </c>
      <c r="C3646" s="191" t="str">
        <f>IF('IWP06'!E$440=0,"",'IWP06'!E$440)</f>
        <v>Item/Service</v>
      </c>
      <c r="D3646" s="211" t="str">
        <f>'IWP06'!G$440</f>
        <v>Itemized Amount Paid by DADS</v>
      </c>
      <c r="E3646" s="211">
        <f>'IWP06'!H$440</f>
        <v>0</v>
      </c>
      <c r="F3646" s="211">
        <f>'IWP06'!I$440</f>
        <v>0</v>
      </c>
      <c r="G3646" s="191" t="str">
        <f>IF('IWP06'!J$440=0,"",'IWP06'!J$440)</f>
        <v/>
      </c>
      <c r="H3646" s="211">
        <f>'IWP06'!K$440</f>
        <v>0</v>
      </c>
      <c r="I3646" s="211">
        <f>'IWP06'!L$440</f>
        <v>0</v>
      </c>
      <c r="J3646" s="212">
        <f>'IWP06'!M$440</f>
        <v>0</v>
      </c>
      <c r="K3646" s="106"/>
      <c r="L3646" s="106"/>
      <c r="M3646" s="129"/>
    </row>
    <row r="3647" spans="1:13" s="146" customFormat="1">
      <c r="A3647" s="193" t="s">
        <v>504</v>
      </c>
      <c r="B3647" s="210">
        <v>6</v>
      </c>
      <c r="C3647" s="191" t="str">
        <f>IF('IWP06'!E$441=0,"",'IWP06'!E$441)</f>
        <v/>
      </c>
      <c r="D3647" s="211">
        <f>'IWP06'!G$441</f>
        <v>0</v>
      </c>
      <c r="E3647" s="211">
        <f>'IWP06'!H$441</f>
        <v>0</v>
      </c>
      <c r="F3647" s="211">
        <f>'IWP06'!I$441</f>
        <v>0</v>
      </c>
      <c r="G3647" s="191" t="str">
        <f>IF('IWP06'!J$441=0,"",'IWP06'!J$441)</f>
        <v/>
      </c>
      <c r="H3647" s="211">
        <f>'IWP06'!K$441</f>
        <v>0</v>
      </c>
      <c r="I3647" s="211">
        <f>'IWP06'!L$441</f>
        <v>0</v>
      </c>
      <c r="J3647" s="212">
        <f>'IWP06'!M$441</f>
        <v>0</v>
      </c>
      <c r="K3647" s="106"/>
      <c r="L3647" s="106"/>
      <c r="M3647" s="129"/>
    </row>
    <row r="3648" spans="1:13" s="146" customFormat="1">
      <c r="A3648" s="193" t="s">
        <v>504</v>
      </c>
      <c r="B3648" s="210">
        <v>6</v>
      </c>
      <c r="C3648" s="191" t="str">
        <f>IF('IWP06'!E$442=0,"",'IWP06'!E$442)</f>
        <v/>
      </c>
      <c r="D3648" s="211">
        <f>'IWP06'!G$442</f>
        <v>0</v>
      </c>
      <c r="E3648" s="211">
        <f>'IWP06'!H$442</f>
        <v>0</v>
      </c>
      <c r="F3648" s="211">
        <f>'IWP06'!I$442</f>
        <v>0</v>
      </c>
      <c r="G3648" s="191" t="str">
        <f>IF('IWP06'!J$442=0,"",'IWP06'!J$442)</f>
        <v/>
      </c>
      <c r="H3648" s="211">
        <f>'IWP06'!K$442</f>
        <v>0</v>
      </c>
      <c r="I3648" s="211">
        <f>'IWP06'!L$442</f>
        <v>0</v>
      </c>
      <c r="J3648" s="212">
        <f>'IWP06'!M$442</f>
        <v>0</v>
      </c>
      <c r="K3648" s="106"/>
      <c r="L3648" s="106"/>
      <c r="M3648" s="129"/>
    </row>
    <row r="3649" spans="1:13" s="146" customFormat="1">
      <c r="A3649" s="193" t="s">
        <v>504</v>
      </c>
      <c r="B3649" s="210">
        <v>6</v>
      </c>
      <c r="C3649" s="191" t="str">
        <f>IF('IWP06'!E$443=0,"",'IWP06'!E$443)</f>
        <v/>
      </c>
      <c r="D3649" s="211">
        <f>'IWP06'!G$443</f>
        <v>0</v>
      </c>
      <c r="E3649" s="211">
        <f>'IWP06'!H$443</f>
        <v>0</v>
      </c>
      <c r="F3649" s="211">
        <f>'IWP06'!I$443</f>
        <v>0</v>
      </c>
      <c r="G3649" s="191" t="str">
        <f>IF('IWP06'!J$443=0,"",'IWP06'!J$443)</f>
        <v/>
      </c>
      <c r="H3649" s="211">
        <f>'IWP06'!K$443</f>
        <v>0</v>
      </c>
      <c r="I3649" s="211">
        <f>'IWP06'!L$443</f>
        <v>0</v>
      </c>
      <c r="J3649" s="212">
        <f>'IWP06'!M$443</f>
        <v>0</v>
      </c>
      <c r="K3649" s="106"/>
      <c r="L3649" s="106"/>
      <c r="M3649" s="129"/>
    </row>
    <row r="3650" spans="1:13" s="146" customFormat="1">
      <c r="A3650" s="193" t="s">
        <v>504</v>
      </c>
      <c r="B3650" s="210">
        <v>6</v>
      </c>
      <c r="C3650" s="191" t="str">
        <f>IF('IWP06'!E$444=0,"",'IWP06'!E$444)</f>
        <v/>
      </c>
      <c r="D3650" s="211">
        <f>'IWP06'!G$444</f>
        <v>0</v>
      </c>
      <c r="E3650" s="211">
        <f>'IWP06'!H$444</f>
        <v>0</v>
      </c>
      <c r="F3650" s="211">
        <f>'IWP06'!I$444</f>
        <v>0</v>
      </c>
      <c r="G3650" s="191" t="str">
        <f>IF('IWP06'!J$444=0,"",'IWP06'!J$444)</f>
        <v/>
      </c>
      <c r="H3650" s="211">
        <f>'IWP06'!K$444</f>
        <v>0</v>
      </c>
      <c r="I3650" s="211">
        <f>'IWP06'!L$444</f>
        <v>0</v>
      </c>
      <c r="J3650" s="212">
        <f>'IWP06'!M$444</f>
        <v>0</v>
      </c>
      <c r="K3650" s="106"/>
      <c r="L3650" s="106"/>
      <c r="M3650" s="129"/>
    </row>
    <row r="3651" spans="1:13" s="146" customFormat="1">
      <c r="A3651" s="193" t="s">
        <v>504</v>
      </c>
      <c r="B3651" s="210">
        <v>7</v>
      </c>
      <c r="C3651" s="191" t="str">
        <f>IF('IWP06'!E$451=0,"",'IWP06'!E$451)</f>
        <v>Subtotal column D.</v>
      </c>
      <c r="D3651" s="211">
        <f>'IWP06'!G$451</f>
        <v>0</v>
      </c>
      <c r="E3651" s="211">
        <f>'IWP06'!H$451</f>
        <v>0</v>
      </c>
      <c r="F3651" s="211">
        <f>'IWP06'!I$451</f>
        <v>0</v>
      </c>
      <c r="G3651" s="191" t="str">
        <f>IF('IWP06'!J$451=0,"",'IWP06'!J$451)</f>
        <v/>
      </c>
      <c r="H3651" s="211">
        <f>'IWP06'!K$451</f>
        <v>0</v>
      </c>
      <c r="I3651" s="211">
        <f>'IWP06'!L$451</f>
        <v>0</v>
      </c>
      <c r="J3651" s="212">
        <f>'IWP06'!M$451</f>
        <v>0</v>
      </c>
      <c r="K3651" s="106"/>
      <c r="L3651" s="106"/>
      <c r="M3651" s="129"/>
    </row>
    <row r="3652" spans="1:13" s="146" customFormat="1">
      <c r="A3652" s="193" t="s">
        <v>504</v>
      </c>
      <c r="B3652" s="210">
        <v>7</v>
      </c>
      <c r="C3652" s="191" t="str">
        <f>IF('IWP06'!E$452=0,"",'IWP06'!E$452)</f>
        <v>Unverified/Undocumented (Subtotal D - C)</v>
      </c>
      <c r="D3652" s="211">
        <f>'IWP06'!G$452</f>
        <v>0</v>
      </c>
      <c r="E3652" s="211">
        <f>'IWP06'!H$452</f>
        <v>0</v>
      </c>
      <c r="F3652" s="211">
        <f>'IWP06'!I$452</f>
        <v>0</v>
      </c>
      <c r="G3652" s="191" t="str">
        <f>IF('IWP06'!J$452=0,"",'IWP06'!J$452)</f>
        <v/>
      </c>
      <c r="H3652" s="211">
        <f>'IWP06'!K$452</f>
        <v>0</v>
      </c>
      <c r="I3652" s="211">
        <f>'IWP06'!L$452</f>
        <v>0</v>
      </c>
      <c r="J3652" s="212">
        <f>'IWP06'!M$452</f>
        <v>0</v>
      </c>
      <c r="K3652" s="106"/>
      <c r="L3652" s="106"/>
      <c r="M3652" s="129"/>
    </row>
    <row r="3653" spans="1:13" s="146" customFormat="1">
      <c r="A3653" s="193" t="s">
        <v>504</v>
      </c>
      <c r="B3653" s="210">
        <v>7</v>
      </c>
      <c r="C3653" s="191" t="str">
        <f>IF('IWP06'!E$453=0,"",'IWP06'!E$453)</f>
        <v>J. Billing Period Total</v>
      </c>
      <c r="D3653" s="211">
        <f>'IWP06'!G$453</f>
        <v>0</v>
      </c>
      <c r="E3653" s="211">
        <f>'IWP06'!H$453</f>
        <v>0</v>
      </c>
      <c r="F3653" s="211">
        <f>'IWP06'!I$453</f>
        <v>0</v>
      </c>
      <c r="G3653" s="191" t="str">
        <f>IF('IWP06'!J$453=0,"",'IWP06'!J$453)</f>
        <v/>
      </c>
      <c r="H3653" s="211">
        <f>'IWP06'!K$453</f>
        <v>0</v>
      </c>
      <c r="I3653" s="211">
        <f>'IWP06'!L$453</f>
        <v>0</v>
      </c>
      <c r="J3653" s="212">
        <f>'IWP06'!M$453</f>
        <v>0</v>
      </c>
      <c r="K3653" s="106"/>
      <c r="L3653" s="106"/>
      <c r="M3653" s="129"/>
    </row>
    <row r="3654" spans="1:13" s="146" customFormat="1">
      <c r="A3654" s="193" t="s">
        <v>504</v>
      </c>
      <c r="B3654" s="210">
        <v>7</v>
      </c>
      <c r="C3654" s="191" t="str">
        <f>IF('IWP06'!E$454=0,"",'IWP06'!E$454)</f>
        <v>D.</v>
      </c>
      <c r="D3654" s="211">
        <f>'IWP06'!G$454</f>
        <v>0</v>
      </c>
      <c r="E3654" s="211" t="str">
        <f>'IWP06'!H$454</f>
        <v>E.</v>
      </c>
      <c r="F3654" s="211" t="str">
        <f>'IWP06'!I$454</f>
        <v>F.</v>
      </c>
      <c r="G3654" s="191" t="str">
        <f>IF('IWP06'!J$454=0,"",'IWP06'!J$454)</f>
        <v>G.</v>
      </c>
      <c r="H3654" s="211">
        <f>'IWP06'!K$454</f>
        <v>0</v>
      </c>
      <c r="I3654" s="211" t="str">
        <f>'IWP06'!L$454</f>
        <v>H.</v>
      </c>
      <c r="J3654" s="212" t="str">
        <f>'IWP06'!M$454</f>
        <v>I.</v>
      </c>
      <c r="K3654" s="106"/>
      <c r="L3654" s="106"/>
      <c r="M3654" s="129"/>
    </row>
    <row r="3655" spans="1:13" s="146" customFormat="1">
      <c r="A3655" s="193" t="s">
        <v>504</v>
      </c>
      <c r="B3655" s="210">
        <v>7</v>
      </c>
      <c r="C3655" s="191" t="str">
        <f>IF('IWP06'!E$455=0,"",'IWP06'!E$455)</f>
        <v xml:space="preserve">Items/Services Related to Billing Period </v>
      </c>
      <c r="D3655" s="211">
        <f>'IWP06'!G$455</f>
        <v>0</v>
      </c>
      <c r="E3655" s="211" t="str">
        <f>'IWP06'!H$455</f>
        <v xml:space="preserve">Item/
Service Verified Amounts
</v>
      </c>
      <c r="F3655" s="211" t="str">
        <f>'IWP06'!I$455</f>
        <v>Amount Due to DADS (E. - D.)</v>
      </c>
      <c r="G3655" s="191" t="str">
        <f>IF('IWP06'!J$455=0,"",'IWP06'!J$455)</f>
        <v>Amount Reimbursed to 
Employee(s)/Employer</v>
      </c>
      <c r="H3655" s="211">
        <f>'IWP06'!K$455</f>
        <v>0</v>
      </c>
      <c r="I3655" s="211" t="str">
        <f>'IWP06'!L$455</f>
        <v>Amount Due to Employee(s) (G. - E.)</v>
      </c>
      <c r="J3655" s="212" t="str">
        <f>'IWP06'!M$455</f>
        <v>Amount Due to Employer (G. - E.)</v>
      </c>
      <c r="K3655" s="106"/>
      <c r="L3655" s="106"/>
      <c r="M3655" s="129"/>
    </row>
    <row r="3656" spans="1:13" s="146" customFormat="1">
      <c r="A3656" s="193" t="s">
        <v>504</v>
      </c>
      <c r="B3656" s="210">
        <v>7</v>
      </c>
      <c r="C3656" s="191" t="str">
        <f>IF('IWP06'!E$456=0,"",'IWP06'!E$456)</f>
        <v>Item/Service</v>
      </c>
      <c r="D3656" s="211" t="str">
        <f>'IWP06'!G$456</f>
        <v>Itemized Amount Paid by DADS</v>
      </c>
      <c r="E3656" s="211">
        <f>'IWP06'!H$456</f>
        <v>0</v>
      </c>
      <c r="F3656" s="211">
        <f>'IWP06'!I$456</f>
        <v>0</v>
      </c>
      <c r="G3656" s="191" t="str">
        <f>IF('IWP06'!J$456=0,"",'IWP06'!J$456)</f>
        <v/>
      </c>
      <c r="H3656" s="211">
        <f>'IWP06'!K$456</f>
        <v>0</v>
      </c>
      <c r="I3656" s="211">
        <f>'IWP06'!L$456</f>
        <v>0</v>
      </c>
      <c r="J3656" s="212">
        <f>'IWP06'!M$456</f>
        <v>0</v>
      </c>
      <c r="K3656" s="106"/>
      <c r="L3656" s="106"/>
      <c r="M3656" s="129"/>
    </row>
    <row r="3657" spans="1:13" s="146" customFormat="1">
      <c r="A3657" s="193" t="s">
        <v>504</v>
      </c>
      <c r="B3657" s="210">
        <v>7</v>
      </c>
      <c r="C3657" s="191" t="str">
        <f>IF('IWP06'!E$457=0,"",'IWP06'!E$457)</f>
        <v/>
      </c>
      <c r="D3657" s="211">
        <f>'IWP06'!G$457</f>
        <v>0</v>
      </c>
      <c r="E3657" s="211">
        <f>'IWP06'!H$457</f>
        <v>0</v>
      </c>
      <c r="F3657" s="211">
        <f>'IWP06'!I$457</f>
        <v>0</v>
      </c>
      <c r="G3657" s="191" t="str">
        <f>IF('IWP06'!J$457=0,"",'IWP06'!J$457)</f>
        <v/>
      </c>
      <c r="H3657" s="211">
        <f>'IWP06'!K$457</f>
        <v>0</v>
      </c>
      <c r="I3657" s="211">
        <f>'IWP06'!L$457</f>
        <v>0</v>
      </c>
      <c r="J3657" s="212">
        <f>'IWP06'!M$457</f>
        <v>0</v>
      </c>
      <c r="K3657" s="106"/>
      <c r="L3657" s="106"/>
      <c r="M3657" s="129"/>
    </row>
    <row r="3658" spans="1:13" s="146" customFormat="1">
      <c r="A3658" s="193" t="s">
        <v>504</v>
      </c>
      <c r="B3658" s="210">
        <v>7</v>
      </c>
      <c r="C3658" s="191" t="str">
        <f>IF('IWP06'!E$458=0,"",'IWP06'!E$458)</f>
        <v/>
      </c>
      <c r="D3658" s="211">
        <f>'IWP06'!G$458</f>
        <v>0</v>
      </c>
      <c r="E3658" s="211">
        <f>'IWP06'!H$458</f>
        <v>0</v>
      </c>
      <c r="F3658" s="211">
        <f>'IWP06'!I$458</f>
        <v>0</v>
      </c>
      <c r="G3658" s="191" t="str">
        <f>IF('IWP06'!J$458=0,"",'IWP06'!J$458)</f>
        <v/>
      </c>
      <c r="H3658" s="211">
        <f>'IWP06'!K$458</f>
        <v>0</v>
      </c>
      <c r="I3658" s="211">
        <f>'IWP06'!L$458</f>
        <v>0</v>
      </c>
      <c r="J3658" s="212">
        <f>'IWP06'!M$458</f>
        <v>0</v>
      </c>
      <c r="K3658" s="106"/>
      <c r="L3658" s="106"/>
      <c r="M3658" s="129"/>
    </row>
    <row r="3659" spans="1:13" s="146" customFormat="1">
      <c r="A3659" s="193" t="s">
        <v>504</v>
      </c>
      <c r="B3659" s="210">
        <v>7</v>
      </c>
      <c r="C3659" s="191" t="str">
        <f>IF('IWP06'!E$459=0,"",'IWP06'!E$459)</f>
        <v/>
      </c>
      <c r="D3659" s="211">
        <f>'IWP06'!G$459</f>
        <v>0</v>
      </c>
      <c r="E3659" s="211">
        <f>'IWP06'!H$459</f>
        <v>0</v>
      </c>
      <c r="F3659" s="211">
        <f>'IWP06'!I$459</f>
        <v>0</v>
      </c>
      <c r="G3659" s="191" t="str">
        <f>IF('IWP06'!J$459=0,"",'IWP06'!J$459)</f>
        <v/>
      </c>
      <c r="H3659" s="211">
        <f>'IWP06'!K$459</f>
        <v>0</v>
      </c>
      <c r="I3659" s="211">
        <f>'IWP06'!L$459</f>
        <v>0</v>
      </c>
      <c r="J3659" s="212">
        <f>'IWP06'!M$459</f>
        <v>0</v>
      </c>
      <c r="K3659" s="106"/>
      <c r="L3659" s="106"/>
      <c r="M3659" s="129"/>
    </row>
    <row r="3660" spans="1:13" s="146" customFormat="1">
      <c r="A3660" s="193" t="s">
        <v>504</v>
      </c>
      <c r="B3660" s="210">
        <v>7</v>
      </c>
      <c r="C3660" s="191" t="str">
        <f>IF('IWP06'!E$460=0,"",'IWP06'!E$460)</f>
        <v/>
      </c>
      <c r="D3660" s="211">
        <f>'IWP06'!G$460</f>
        <v>0</v>
      </c>
      <c r="E3660" s="211">
        <f>'IWP06'!H$460</f>
        <v>0</v>
      </c>
      <c r="F3660" s="211">
        <f>'IWP06'!I$460</f>
        <v>0</v>
      </c>
      <c r="G3660" s="191" t="str">
        <f>IF('IWP06'!J$460=0,"",'IWP06'!J$460)</f>
        <v/>
      </c>
      <c r="H3660" s="211">
        <f>'IWP06'!K$460</f>
        <v>0</v>
      </c>
      <c r="I3660" s="211">
        <f>'IWP06'!L$460</f>
        <v>0</v>
      </c>
      <c r="J3660" s="212">
        <f>'IWP06'!M$460</f>
        <v>0</v>
      </c>
      <c r="K3660" s="106"/>
      <c r="L3660" s="106"/>
      <c r="M3660" s="129"/>
    </row>
    <row r="3661" spans="1:13" s="146" customFormat="1">
      <c r="A3661" s="193" t="s">
        <v>504</v>
      </c>
      <c r="B3661" s="210">
        <v>8</v>
      </c>
      <c r="C3661" s="191" t="str">
        <f>IF('IWP06'!E$467=0,"",'IWP06'!E$467)</f>
        <v>Subtotal column D.</v>
      </c>
      <c r="D3661" s="211">
        <f>'IWP06'!G$467</f>
        <v>0</v>
      </c>
      <c r="E3661" s="211">
        <f>'IWP06'!H$467</f>
        <v>0</v>
      </c>
      <c r="F3661" s="211">
        <f>'IWP06'!I$467</f>
        <v>0</v>
      </c>
      <c r="G3661" s="191" t="str">
        <f>IF('IWP06'!J$467=0,"",'IWP06'!J$467)</f>
        <v/>
      </c>
      <c r="H3661" s="211">
        <f>'IWP06'!K$467</f>
        <v>0</v>
      </c>
      <c r="I3661" s="211">
        <f>'IWP06'!L$467</f>
        <v>0</v>
      </c>
      <c r="J3661" s="212">
        <f>'IWP06'!M$467</f>
        <v>0</v>
      </c>
      <c r="K3661" s="106"/>
      <c r="L3661" s="106"/>
      <c r="M3661" s="129"/>
    </row>
    <row r="3662" spans="1:13" s="146" customFormat="1">
      <c r="A3662" s="193" t="s">
        <v>504</v>
      </c>
      <c r="B3662" s="210">
        <v>8</v>
      </c>
      <c r="C3662" s="191" t="str">
        <f>IF('IWP06'!E$468=0,"",'IWP06'!E$468)</f>
        <v>Unverified/Undocumented (Subtotal D - C)</v>
      </c>
      <c r="D3662" s="211">
        <f>'IWP06'!G$468</f>
        <v>0</v>
      </c>
      <c r="E3662" s="211">
        <f>'IWP06'!H$468</f>
        <v>0</v>
      </c>
      <c r="F3662" s="211">
        <f>'IWP06'!I$468</f>
        <v>0</v>
      </c>
      <c r="G3662" s="191" t="str">
        <f>IF('IWP06'!J$468=0,"",'IWP06'!J$468)</f>
        <v/>
      </c>
      <c r="H3662" s="211">
        <f>'IWP06'!K$468</f>
        <v>0</v>
      </c>
      <c r="I3662" s="211">
        <f>'IWP06'!L$468</f>
        <v>0</v>
      </c>
      <c r="J3662" s="212">
        <f>'IWP06'!M$468</f>
        <v>0</v>
      </c>
      <c r="K3662" s="106"/>
      <c r="L3662" s="106"/>
      <c r="M3662" s="129"/>
    </row>
    <row r="3663" spans="1:13" s="146" customFormat="1">
      <c r="A3663" s="193" t="s">
        <v>504</v>
      </c>
      <c r="B3663" s="210">
        <v>8</v>
      </c>
      <c r="C3663" s="191" t="str">
        <f>IF('IWP06'!E$469=0,"",'IWP06'!E$469)</f>
        <v>J. Billing Period Total</v>
      </c>
      <c r="D3663" s="211">
        <f>'IWP06'!G$469</f>
        <v>0</v>
      </c>
      <c r="E3663" s="211">
        <f>'IWP06'!H$469</f>
        <v>0</v>
      </c>
      <c r="F3663" s="211">
        <f>'IWP06'!I$469</f>
        <v>0</v>
      </c>
      <c r="G3663" s="191" t="str">
        <f>IF('IWP06'!J$469=0,"",'IWP06'!J$469)</f>
        <v/>
      </c>
      <c r="H3663" s="211">
        <f>'IWP06'!K$469</f>
        <v>0</v>
      </c>
      <c r="I3663" s="211">
        <f>'IWP06'!L$469</f>
        <v>0</v>
      </c>
      <c r="J3663" s="212">
        <f>'IWP06'!M$469</f>
        <v>0</v>
      </c>
      <c r="K3663" s="106"/>
      <c r="L3663" s="106"/>
      <c r="M3663" s="129"/>
    </row>
    <row r="3664" spans="1:13" s="146" customFormat="1">
      <c r="A3664" s="193" t="s">
        <v>504</v>
      </c>
      <c r="B3664" s="210">
        <v>8</v>
      </c>
      <c r="C3664" s="191" t="str">
        <f>IF('IWP06'!E$470=0,"",'IWP06'!E$470)</f>
        <v>D.</v>
      </c>
      <c r="D3664" s="211">
        <f>'IWP06'!G$470</f>
        <v>0</v>
      </c>
      <c r="E3664" s="211" t="str">
        <f>'IWP06'!H$470</f>
        <v>E.</v>
      </c>
      <c r="F3664" s="211" t="str">
        <f>'IWP06'!I$470</f>
        <v>F.</v>
      </c>
      <c r="G3664" s="191" t="str">
        <f>IF('IWP06'!J$470=0,"",'IWP06'!J$470)</f>
        <v>G.</v>
      </c>
      <c r="H3664" s="211">
        <f>'IWP06'!K$470</f>
        <v>0</v>
      </c>
      <c r="I3664" s="211" t="str">
        <f>'IWP06'!L$470</f>
        <v>H.</v>
      </c>
      <c r="J3664" s="212" t="str">
        <f>'IWP06'!M$470</f>
        <v>I.</v>
      </c>
      <c r="K3664" s="106"/>
      <c r="L3664" s="106"/>
      <c r="M3664" s="129"/>
    </row>
    <row r="3665" spans="1:13" s="146" customFormat="1">
      <c r="A3665" s="193" t="s">
        <v>504</v>
      </c>
      <c r="B3665" s="210">
        <v>8</v>
      </c>
      <c r="C3665" s="191" t="str">
        <f>IF('IWP06'!E$471=0,"",'IWP06'!E$471)</f>
        <v xml:space="preserve">Items/Services Related to Billing Period </v>
      </c>
      <c r="D3665" s="211">
        <f>'IWP06'!G$471</f>
        <v>0</v>
      </c>
      <c r="E3665" s="211" t="str">
        <f>'IWP06'!H$471</f>
        <v xml:space="preserve">Item/
Service Verified Amounts
</v>
      </c>
      <c r="F3665" s="211" t="str">
        <f>'IWP06'!I$471</f>
        <v>Amount Due to DADS (E. - D.)</v>
      </c>
      <c r="G3665" s="191" t="str">
        <f>IF('IWP06'!J$471=0,"",'IWP06'!J$471)</f>
        <v>Amount Reimbursed to 
Employee(s)/Employer</v>
      </c>
      <c r="H3665" s="211">
        <f>'IWP06'!K$471</f>
        <v>0</v>
      </c>
      <c r="I3665" s="211" t="str">
        <f>'IWP06'!L$471</f>
        <v>Amount Due to Employee(s) (G. - E.)</v>
      </c>
      <c r="J3665" s="212" t="str">
        <f>'IWP06'!M$471</f>
        <v>Amount Due to Employer (G. - E.)</v>
      </c>
      <c r="K3665" s="106"/>
      <c r="L3665" s="106"/>
      <c r="M3665" s="129"/>
    </row>
    <row r="3666" spans="1:13" s="146" customFormat="1">
      <c r="A3666" s="193" t="s">
        <v>504</v>
      </c>
      <c r="B3666" s="210">
        <v>8</v>
      </c>
      <c r="C3666" s="191" t="str">
        <f>IF('IWP06'!E$472=0,"",'IWP06'!E$472)</f>
        <v>Item/Service</v>
      </c>
      <c r="D3666" s="211" t="str">
        <f>'IWP06'!G$472</f>
        <v>Itemized Amount Paid by DADS</v>
      </c>
      <c r="E3666" s="211">
        <f>'IWP06'!H$472</f>
        <v>0</v>
      </c>
      <c r="F3666" s="211">
        <f>'IWP06'!I$472</f>
        <v>0</v>
      </c>
      <c r="G3666" s="191" t="str">
        <f>IF('IWP06'!J$472=0,"",'IWP06'!J$472)</f>
        <v/>
      </c>
      <c r="H3666" s="211">
        <f>'IWP06'!K$472</f>
        <v>0</v>
      </c>
      <c r="I3666" s="211">
        <f>'IWP06'!L$472</f>
        <v>0</v>
      </c>
      <c r="J3666" s="212">
        <f>'IWP06'!M$472</f>
        <v>0</v>
      </c>
      <c r="K3666" s="106"/>
      <c r="L3666" s="106"/>
      <c r="M3666" s="129"/>
    </row>
    <row r="3667" spans="1:13" s="146" customFormat="1">
      <c r="A3667" s="193" t="s">
        <v>504</v>
      </c>
      <c r="B3667" s="210">
        <v>8</v>
      </c>
      <c r="C3667" s="191" t="str">
        <f>IF('IWP06'!E$473=0,"",'IWP06'!E$473)</f>
        <v/>
      </c>
      <c r="D3667" s="211">
        <f>'IWP06'!G$473</f>
        <v>0</v>
      </c>
      <c r="E3667" s="211">
        <f>'IWP06'!H$473</f>
        <v>0</v>
      </c>
      <c r="F3667" s="211">
        <f>'IWP06'!I$473</f>
        <v>0</v>
      </c>
      <c r="G3667" s="191" t="str">
        <f>IF('IWP06'!J$473=0,"",'IWP06'!J$473)</f>
        <v/>
      </c>
      <c r="H3667" s="211">
        <f>'IWP06'!K$473</f>
        <v>0</v>
      </c>
      <c r="I3667" s="211">
        <f>'IWP06'!L$473</f>
        <v>0</v>
      </c>
      <c r="J3667" s="212">
        <f>'IWP06'!M$473</f>
        <v>0</v>
      </c>
      <c r="K3667" s="106"/>
      <c r="L3667" s="106"/>
      <c r="M3667" s="129"/>
    </row>
    <row r="3668" spans="1:13" s="146" customFormat="1">
      <c r="A3668" s="193" t="s">
        <v>504</v>
      </c>
      <c r="B3668" s="210">
        <v>8</v>
      </c>
      <c r="C3668" s="191" t="str">
        <f>IF('IWP06'!E$474=0,"",'IWP06'!E$474)</f>
        <v/>
      </c>
      <c r="D3668" s="211">
        <f>'IWP06'!G$474</f>
        <v>0</v>
      </c>
      <c r="E3668" s="211">
        <f>'IWP06'!H$474</f>
        <v>0</v>
      </c>
      <c r="F3668" s="211">
        <f>'IWP06'!I$474</f>
        <v>0</v>
      </c>
      <c r="G3668" s="191" t="str">
        <f>IF('IWP06'!J$474=0,"",'IWP06'!J$474)</f>
        <v/>
      </c>
      <c r="H3668" s="211">
        <f>'IWP06'!K$474</f>
        <v>0</v>
      </c>
      <c r="I3668" s="211">
        <f>'IWP06'!L$474</f>
        <v>0</v>
      </c>
      <c r="J3668" s="212">
        <f>'IWP06'!M$474</f>
        <v>0</v>
      </c>
      <c r="K3668" s="106"/>
      <c r="L3668" s="106"/>
      <c r="M3668" s="129"/>
    </row>
    <row r="3669" spans="1:13" s="146" customFormat="1">
      <c r="A3669" s="193" t="s">
        <v>504</v>
      </c>
      <c r="B3669" s="210">
        <v>8</v>
      </c>
      <c r="C3669" s="191" t="str">
        <f>IF('IWP06'!E$475=0,"",'IWP06'!E$475)</f>
        <v/>
      </c>
      <c r="D3669" s="211">
        <f>'IWP06'!G$475</f>
        <v>0</v>
      </c>
      <c r="E3669" s="211">
        <f>'IWP06'!H$475</f>
        <v>0</v>
      </c>
      <c r="F3669" s="211">
        <f>'IWP06'!I$475</f>
        <v>0</v>
      </c>
      <c r="G3669" s="191" t="str">
        <f>IF('IWP06'!J$475=0,"",'IWP06'!J$475)</f>
        <v/>
      </c>
      <c r="H3669" s="211">
        <f>'IWP06'!K$475</f>
        <v>0</v>
      </c>
      <c r="I3669" s="211">
        <f>'IWP06'!L$475</f>
        <v>0</v>
      </c>
      <c r="J3669" s="212">
        <f>'IWP06'!M$475</f>
        <v>0</v>
      </c>
      <c r="K3669" s="106"/>
      <c r="L3669" s="106"/>
      <c r="M3669" s="129"/>
    </row>
    <row r="3670" spans="1:13" s="146" customFormat="1">
      <c r="A3670" s="193" t="s">
        <v>504</v>
      </c>
      <c r="B3670" s="210">
        <v>8</v>
      </c>
      <c r="C3670" s="191" t="str">
        <f>IF('IWP06'!E$476=0,"",'IWP06'!E$476)</f>
        <v/>
      </c>
      <c r="D3670" s="211">
        <f>'IWP06'!G$476</f>
        <v>0</v>
      </c>
      <c r="E3670" s="211">
        <f>'IWP06'!H$476</f>
        <v>0</v>
      </c>
      <c r="F3670" s="211">
        <f>'IWP06'!I$476</f>
        <v>0</v>
      </c>
      <c r="G3670" s="191" t="str">
        <f>IF('IWP06'!J$476=0,"",'IWP06'!J$476)</f>
        <v/>
      </c>
      <c r="H3670" s="211">
        <f>'IWP06'!K$476</f>
        <v>0</v>
      </c>
      <c r="I3670" s="211">
        <f>'IWP06'!L$476</f>
        <v>0</v>
      </c>
      <c r="J3670" s="212">
        <f>'IWP06'!M$476</f>
        <v>0</v>
      </c>
      <c r="K3670" s="106"/>
      <c r="L3670" s="106"/>
      <c r="M3670" s="129"/>
    </row>
    <row r="3671" spans="1:13" s="146" customFormat="1">
      <c r="A3671" s="193" t="s">
        <v>504</v>
      </c>
      <c r="B3671" s="210">
        <v>9</v>
      </c>
      <c r="C3671" s="191" t="str">
        <f>IF('IWP06'!E$483=0,"",'IWP06'!E$483)</f>
        <v>Subtotal column D.</v>
      </c>
      <c r="D3671" s="211">
        <f>'IWP06'!G$483</f>
        <v>0</v>
      </c>
      <c r="E3671" s="211">
        <f>'IWP06'!H$483</f>
        <v>0</v>
      </c>
      <c r="F3671" s="211">
        <f>'IWP06'!I$483</f>
        <v>0</v>
      </c>
      <c r="G3671" s="191" t="str">
        <f>IF('IWP06'!J$483=0,"",'IWP06'!J$483)</f>
        <v/>
      </c>
      <c r="H3671" s="211">
        <f>'IWP06'!K$483</f>
        <v>0</v>
      </c>
      <c r="I3671" s="211">
        <f>'IWP06'!L$483</f>
        <v>0</v>
      </c>
      <c r="J3671" s="212">
        <f>'IWP06'!M$483</f>
        <v>0</v>
      </c>
      <c r="K3671" s="106"/>
      <c r="L3671" s="106"/>
      <c r="M3671" s="129"/>
    </row>
    <row r="3672" spans="1:13" s="146" customFormat="1">
      <c r="A3672" s="193" t="s">
        <v>504</v>
      </c>
      <c r="B3672" s="210">
        <v>9</v>
      </c>
      <c r="C3672" s="191" t="str">
        <f>IF('IWP06'!E$484=0,"",'IWP06'!E$484)</f>
        <v>Unverified/Undocumented (Subtotal D - C)</v>
      </c>
      <c r="D3672" s="211">
        <f>'IWP06'!G$484</f>
        <v>0</v>
      </c>
      <c r="E3672" s="211">
        <f>'IWP06'!H$484</f>
        <v>0</v>
      </c>
      <c r="F3672" s="211">
        <f>'IWP06'!I$484</f>
        <v>0</v>
      </c>
      <c r="G3672" s="191" t="str">
        <f>IF('IWP06'!J$484=0,"",'IWP06'!J$484)</f>
        <v/>
      </c>
      <c r="H3672" s="211">
        <f>'IWP06'!K$484</f>
        <v>0</v>
      </c>
      <c r="I3672" s="211">
        <f>'IWP06'!L$484</f>
        <v>0</v>
      </c>
      <c r="J3672" s="212">
        <f>'IWP06'!M$484</f>
        <v>0</v>
      </c>
      <c r="K3672" s="106"/>
      <c r="L3672" s="106"/>
      <c r="M3672" s="129"/>
    </row>
    <row r="3673" spans="1:13" s="146" customFormat="1">
      <c r="A3673" s="193" t="s">
        <v>504</v>
      </c>
      <c r="B3673" s="210">
        <v>9</v>
      </c>
      <c r="C3673" s="191" t="str">
        <f>IF('IWP06'!E$485=0,"",'IWP06'!E$485)</f>
        <v>J. Billing Period Total</v>
      </c>
      <c r="D3673" s="211">
        <f>'IWP06'!G$485</f>
        <v>0</v>
      </c>
      <c r="E3673" s="211">
        <f>'IWP06'!H$485</f>
        <v>0</v>
      </c>
      <c r="F3673" s="211">
        <f>'IWP06'!I$485</f>
        <v>0</v>
      </c>
      <c r="G3673" s="191" t="str">
        <f>IF('IWP06'!J$485=0,"",'IWP06'!J$485)</f>
        <v/>
      </c>
      <c r="H3673" s="211">
        <f>'IWP06'!K$485</f>
        <v>0</v>
      </c>
      <c r="I3673" s="211">
        <f>'IWP06'!L$485</f>
        <v>0</v>
      </c>
      <c r="J3673" s="212">
        <f>'IWP06'!M$485</f>
        <v>0</v>
      </c>
      <c r="K3673" s="106"/>
      <c r="L3673" s="106"/>
      <c r="M3673" s="129"/>
    </row>
    <row r="3674" spans="1:13" s="146" customFormat="1">
      <c r="A3674" s="193" t="s">
        <v>504</v>
      </c>
      <c r="B3674" s="210">
        <v>9</v>
      </c>
      <c r="C3674" s="191" t="str">
        <f>IF('IWP06'!E$486=0,"",'IWP06'!E$486)</f>
        <v>D.</v>
      </c>
      <c r="D3674" s="211">
        <f>'IWP06'!G$486</f>
        <v>0</v>
      </c>
      <c r="E3674" s="211" t="str">
        <f>'IWP06'!H$486</f>
        <v>E.</v>
      </c>
      <c r="F3674" s="211" t="str">
        <f>'IWP06'!I$486</f>
        <v>F.</v>
      </c>
      <c r="G3674" s="191" t="str">
        <f>IF('IWP06'!J$486=0,"",'IWP06'!J$486)</f>
        <v>G.</v>
      </c>
      <c r="H3674" s="211">
        <f>'IWP06'!K$486</f>
        <v>0</v>
      </c>
      <c r="I3674" s="211" t="str">
        <f>'IWP06'!L$486</f>
        <v>H.</v>
      </c>
      <c r="J3674" s="212" t="str">
        <f>'IWP06'!M$486</f>
        <v>I.</v>
      </c>
      <c r="K3674" s="106"/>
      <c r="L3674" s="106"/>
      <c r="M3674" s="129"/>
    </row>
    <row r="3675" spans="1:13" s="146" customFormat="1">
      <c r="A3675" s="193" t="s">
        <v>504</v>
      </c>
      <c r="B3675" s="210">
        <v>9</v>
      </c>
      <c r="C3675" s="191" t="str">
        <f>IF('IWP06'!E$487=0,"",'IWP06'!E$487)</f>
        <v xml:space="preserve">Items/Services Related to Billing Period </v>
      </c>
      <c r="D3675" s="211">
        <f>'IWP06'!G$487</f>
        <v>0</v>
      </c>
      <c r="E3675" s="211" t="str">
        <f>'IWP06'!H$487</f>
        <v xml:space="preserve">Item/
Service Verified Amounts
</v>
      </c>
      <c r="F3675" s="211" t="str">
        <f>'IWP06'!I$487</f>
        <v>Amount Due to DADS (E. - D.)</v>
      </c>
      <c r="G3675" s="191" t="str">
        <f>IF('IWP06'!J$487=0,"",'IWP06'!J$487)</f>
        <v>Amount Reimbursed to 
Employee(s)/Employer</v>
      </c>
      <c r="H3675" s="211">
        <f>'IWP06'!K$487</f>
        <v>0</v>
      </c>
      <c r="I3675" s="211" t="str">
        <f>'IWP06'!L$487</f>
        <v>Amount Due to Employee(s) (G. - E.)</v>
      </c>
      <c r="J3675" s="212" t="str">
        <f>'IWP06'!M$487</f>
        <v>Amount Due to Employer (G. - E.)</v>
      </c>
      <c r="K3675" s="106"/>
      <c r="L3675" s="106"/>
      <c r="M3675" s="129"/>
    </row>
    <row r="3676" spans="1:13" s="146" customFormat="1">
      <c r="A3676" s="193" t="s">
        <v>504</v>
      </c>
      <c r="B3676" s="210">
        <v>9</v>
      </c>
      <c r="C3676" s="191" t="str">
        <f>IF('IWP06'!E$488=0,"",'IWP06'!E$488)</f>
        <v>Item/Service</v>
      </c>
      <c r="D3676" s="211" t="str">
        <f>'IWP06'!G$488</f>
        <v>Itemized Amount Paid by DADS</v>
      </c>
      <c r="E3676" s="211">
        <f>'IWP06'!H$488</f>
        <v>0</v>
      </c>
      <c r="F3676" s="211">
        <f>'IWP06'!I$488</f>
        <v>0</v>
      </c>
      <c r="G3676" s="191" t="str">
        <f>IF('IWP06'!J$488=0,"",'IWP06'!J$488)</f>
        <v/>
      </c>
      <c r="H3676" s="211">
        <f>'IWP06'!K$488</f>
        <v>0</v>
      </c>
      <c r="I3676" s="211">
        <f>'IWP06'!L$488</f>
        <v>0</v>
      </c>
      <c r="J3676" s="212">
        <f>'IWP06'!M$488</f>
        <v>0</v>
      </c>
      <c r="K3676" s="106"/>
      <c r="L3676" s="106"/>
      <c r="M3676" s="129"/>
    </row>
    <row r="3677" spans="1:13" s="146" customFormat="1">
      <c r="A3677" s="193" t="s">
        <v>504</v>
      </c>
      <c r="B3677" s="210">
        <v>9</v>
      </c>
      <c r="C3677" s="191" t="str">
        <f>IF('IWP06'!E$489=0,"",'IWP06'!E$489)</f>
        <v/>
      </c>
      <c r="D3677" s="211">
        <f>'IWP06'!G$489</f>
        <v>0</v>
      </c>
      <c r="E3677" s="211">
        <f>'IWP06'!H$489</f>
        <v>0</v>
      </c>
      <c r="F3677" s="211">
        <f>'IWP06'!I$489</f>
        <v>0</v>
      </c>
      <c r="G3677" s="191" t="str">
        <f>IF('IWP06'!J$489=0,"",'IWP06'!J$489)</f>
        <v/>
      </c>
      <c r="H3677" s="211">
        <f>'IWP06'!K$489</f>
        <v>0</v>
      </c>
      <c r="I3677" s="211">
        <f>'IWP06'!L$489</f>
        <v>0</v>
      </c>
      <c r="J3677" s="212">
        <f>'IWP06'!M$489</f>
        <v>0</v>
      </c>
      <c r="K3677" s="106"/>
      <c r="L3677" s="106"/>
      <c r="M3677" s="129"/>
    </row>
    <row r="3678" spans="1:13" s="146" customFormat="1">
      <c r="A3678" s="193" t="s">
        <v>504</v>
      </c>
      <c r="B3678" s="210">
        <v>9</v>
      </c>
      <c r="C3678" s="191" t="str">
        <f>IF('IWP06'!E$490=0,"",'IWP06'!E$490)</f>
        <v/>
      </c>
      <c r="D3678" s="211">
        <f>'IWP06'!G$490</f>
        <v>0</v>
      </c>
      <c r="E3678" s="211">
        <f>'IWP06'!H$490</f>
        <v>0</v>
      </c>
      <c r="F3678" s="211">
        <f>'IWP06'!I$490</f>
        <v>0</v>
      </c>
      <c r="G3678" s="191" t="str">
        <f>IF('IWP06'!J$490=0,"",'IWP06'!J$490)</f>
        <v/>
      </c>
      <c r="H3678" s="211">
        <f>'IWP06'!K$490</f>
        <v>0</v>
      </c>
      <c r="I3678" s="211">
        <f>'IWP06'!L$490</f>
        <v>0</v>
      </c>
      <c r="J3678" s="212">
        <f>'IWP06'!M$490</f>
        <v>0</v>
      </c>
      <c r="K3678" s="106"/>
      <c r="L3678" s="106"/>
      <c r="M3678" s="129"/>
    </row>
    <row r="3679" spans="1:13" s="146" customFormat="1">
      <c r="A3679" s="193" t="s">
        <v>504</v>
      </c>
      <c r="B3679" s="210">
        <v>9</v>
      </c>
      <c r="C3679" s="191" t="str">
        <f>IF('IWP06'!E$491=0,"",'IWP06'!E$491)</f>
        <v/>
      </c>
      <c r="D3679" s="211">
        <f>'IWP06'!G$491</f>
        <v>0</v>
      </c>
      <c r="E3679" s="211">
        <f>'IWP06'!H$491</f>
        <v>0</v>
      </c>
      <c r="F3679" s="211">
        <f>'IWP06'!I$491</f>
        <v>0</v>
      </c>
      <c r="G3679" s="191" t="str">
        <f>IF('IWP06'!J$491=0,"",'IWP06'!J$491)</f>
        <v/>
      </c>
      <c r="H3679" s="211">
        <f>'IWP06'!K$491</f>
        <v>0</v>
      </c>
      <c r="I3679" s="211">
        <f>'IWP06'!L$491</f>
        <v>0</v>
      </c>
      <c r="J3679" s="212">
        <f>'IWP06'!M$491</f>
        <v>0</v>
      </c>
      <c r="K3679" s="106"/>
      <c r="L3679" s="106"/>
      <c r="M3679" s="129"/>
    </row>
    <row r="3680" spans="1:13" s="146" customFormat="1">
      <c r="A3680" s="193" t="s">
        <v>504</v>
      </c>
      <c r="B3680" s="210">
        <v>9</v>
      </c>
      <c r="C3680" s="191" t="str">
        <f>IF('IWP06'!E$492=0,"",'IWP06'!E$492)</f>
        <v/>
      </c>
      <c r="D3680" s="211">
        <f>'IWP06'!G$492</f>
        <v>0</v>
      </c>
      <c r="E3680" s="211">
        <f>'IWP06'!H$492</f>
        <v>0</v>
      </c>
      <c r="F3680" s="211">
        <f>'IWP06'!I$492</f>
        <v>0</v>
      </c>
      <c r="G3680" s="191" t="str">
        <f>IF('IWP06'!J$492=0,"",'IWP06'!J$492)</f>
        <v/>
      </c>
      <c r="H3680" s="211">
        <f>'IWP06'!K$492</f>
        <v>0</v>
      </c>
      <c r="I3680" s="211">
        <f>'IWP06'!L$492</f>
        <v>0</v>
      </c>
      <c r="J3680" s="212">
        <f>'IWP06'!M$492</f>
        <v>0</v>
      </c>
      <c r="K3680" s="106"/>
      <c r="L3680" s="106"/>
      <c r="M3680" s="129"/>
    </row>
    <row r="3681" spans="1:13" s="146" customFormat="1">
      <c r="A3681" s="193" t="s">
        <v>504</v>
      </c>
      <c r="B3681" s="210">
        <v>10</v>
      </c>
      <c r="C3681" s="191" t="str">
        <f>IF('IWP06'!E$499=0,"",'IWP06'!E$499)</f>
        <v>Subtotal column D.</v>
      </c>
      <c r="D3681" s="211">
        <f>'IWP06'!G$499</f>
        <v>0</v>
      </c>
      <c r="E3681" s="211">
        <f>'IWP06'!H$499</f>
        <v>0</v>
      </c>
      <c r="F3681" s="211">
        <f>'IWP06'!I$499</f>
        <v>0</v>
      </c>
      <c r="G3681" s="191" t="str">
        <f>IF('IWP06'!J$499=0,"",'IWP06'!J$499)</f>
        <v/>
      </c>
      <c r="H3681" s="211">
        <f>'IWP06'!K$499</f>
        <v>0</v>
      </c>
      <c r="I3681" s="211">
        <f>'IWP06'!L$499</f>
        <v>0</v>
      </c>
      <c r="J3681" s="212">
        <f>'IWP06'!M$499</f>
        <v>0</v>
      </c>
      <c r="K3681" s="106"/>
      <c r="L3681" s="106"/>
      <c r="M3681" s="129"/>
    </row>
    <row r="3682" spans="1:13" s="146" customFormat="1">
      <c r="A3682" s="193" t="s">
        <v>504</v>
      </c>
      <c r="B3682" s="210">
        <v>10</v>
      </c>
      <c r="C3682" s="191" t="str">
        <f>IF('IWP06'!E$500=0,"",'IWP06'!E$500)</f>
        <v>Unverified/Undocumented (Subtotal D - C)</v>
      </c>
      <c r="D3682" s="211">
        <f>'IWP06'!G$500</f>
        <v>0</v>
      </c>
      <c r="E3682" s="211">
        <f>'IWP06'!H$500</f>
        <v>0</v>
      </c>
      <c r="F3682" s="211">
        <f>'IWP06'!I$500</f>
        <v>0</v>
      </c>
      <c r="G3682" s="191" t="str">
        <f>IF('IWP06'!J$500=0,"",'IWP06'!J$500)</f>
        <v/>
      </c>
      <c r="H3682" s="211">
        <f>'IWP06'!K$500</f>
        <v>0</v>
      </c>
      <c r="I3682" s="211">
        <f>'IWP06'!L$500</f>
        <v>0</v>
      </c>
      <c r="J3682" s="212">
        <f>'IWP06'!M$500</f>
        <v>0</v>
      </c>
      <c r="K3682" s="106"/>
      <c r="L3682" s="106"/>
      <c r="M3682" s="129"/>
    </row>
    <row r="3683" spans="1:13" s="146" customFormat="1">
      <c r="A3683" s="193" t="s">
        <v>504</v>
      </c>
      <c r="B3683" s="210">
        <v>10</v>
      </c>
      <c r="C3683" s="191" t="str">
        <f>IF('IWP06'!E$501=0,"",'IWP06'!E$501)</f>
        <v>J. Billing Period Total</v>
      </c>
      <c r="D3683" s="211">
        <f>'IWP06'!G$501</f>
        <v>0</v>
      </c>
      <c r="E3683" s="211">
        <f>'IWP06'!H$501</f>
        <v>0</v>
      </c>
      <c r="F3683" s="211">
        <f>'IWP06'!I$501</f>
        <v>0</v>
      </c>
      <c r="G3683" s="191" t="str">
        <f>IF('IWP06'!J$501=0,"",'IWP06'!J$501)</f>
        <v/>
      </c>
      <c r="H3683" s="211">
        <f>'IWP06'!K$501</f>
        <v>0</v>
      </c>
      <c r="I3683" s="211">
        <f>'IWP06'!L$501</f>
        <v>0</v>
      </c>
      <c r="J3683" s="212">
        <f>'IWP06'!M$501</f>
        <v>0</v>
      </c>
      <c r="K3683" s="106"/>
      <c r="L3683" s="106"/>
      <c r="M3683" s="129"/>
    </row>
    <row r="3684" spans="1:13" s="146" customFormat="1">
      <c r="A3684" s="193" t="s">
        <v>504</v>
      </c>
      <c r="B3684" s="210">
        <v>10</v>
      </c>
      <c r="C3684" s="191" t="str">
        <f>IF('IWP06'!E$502=0,"",'IWP06'!E$502)</f>
        <v>D.</v>
      </c>
      <c r="D3684" s="211">
        <f>'IWP06'!G$502</f>
        <v>0</v>
      </c>
      <c r="E3684" s="211" t="str">
        <f>'IWP06'!H$502</f>
        <v>E.</v>
      </c>
      <c r="F3684" s="211" t="str">
        <f>'IWP06'!I$502</f>
        <v>F.</v>
      </c>
      <c r="G3684" s="191" t="str">
        <f>IF('IWP06'!J$502=0,"",'IWP06'!J$502)</f>
        <v>G.</v>
      </c>
      <c r="H3684" s="211">
        <f>'IWP06'!K$502</f>
        <v>0</v>
      </c>
      <c r="I3684" s="211" t="str">
        <f>'IWP06'!L$502</f>
        <v>H.</v>
      </c>
      <c r="J3684" s="212" t="str">
        <f>'IWP06'!M$502</f>
        <v>I.</v>
      </c>
      <c r="K3684" s="106"/>
      <c r="L3684" s="106"/>
      <c r="M3684" s="129"/>
    </row>
    <row r="3685" spans="1:13" s="146" customFormat="1">
      <c r="A3685" s="193" t="s">
        <v>504</v>
      </c>
      <c r="B3685" s="210">
        <v>10</v>
      </c>
      <c r="C3685" s="191" t="str">
        <f>IF('IWP06'!E$503=0,"",'IWP06'!E$503)</f>
        <v xml:space="preserve">Items/Services Related to Billing Period </v>
      </c>
      <c r="D3685" s="211">
        <f>'IWP06'!G$503</f>
        <v>0</v>
      </c>
      <c r="E3685" s="211" t="str">
        <f>'IWP06'!H$503</f>
        <v xml:space="preserve">Item/
Service Verified Amounts
</v>
      </c>
      <c r="F3685" s="211" t="str">
        <f>'IWP06'!I$503</f>
        <v>Amount Due to DADS (E. - D.)</v>
      </c>
      <c r="G3685" s="191" t="str">
        <f>IF('IWP06'!J$503=0,"",'IWP06'!J$503)</f>
        <v>Amount Reimbursed to 
Employee(s)/Employer</v>
      </c>
      <c r="H3685" s="211">
        <f>'IWP06'!K$503</f>
        <v>0</v>
      </c>
      <c r="I3685" s="211" t="str">
        <f>'IWP06'!L$503</f>
        <v>Amount Due to Employee(s) (G. - E.)</v>
      </c>
      <c r="J3685" s="212" t="str">
        <f>'IWP06'!M$503</f>
        <v>Amount Due to Employer (G. - E.)</v>
      </c>
      <c r="K3685" s="106"/>
      <c r="L3685" s="106"/>
      <c r="M3685" s="129"/>
    </row>
    <row r="3686" spans="1:13" s="146" customFormat="1">
      <c r="A3686" s="193" t="s">
        <v>504</v>
      </c>
      <c r="B3686" s="210">
        <v>10</v>
      </c>
      <c r="C3686" s="191" t="str">
        <f>IF('IWP06'!E$504=0,"",'IWP06'!E$504)</f>
        <v>Item/Service</v>
      </c>
      <c r="D3686" s="211" t="str">
        <f>'IWP06'!G$504</f>
        <v>Itemized Amount Paid by DADS</v>
      </c>
      <c r="E3686" s="211">
        <f>'IWP06'!H$504</f>
        <v>0</v>
      </c>
      <c r="F3686" s="211">
        <f>'IWP06'!I$504</f>
        <v>0</v>
      </c>
      <c r="G3686" s="191" t="str">
        <f>IF('IWP06'!J$504=0,"",'IWP06'!J$504)</f>
        <v/>
      </c>
      <c r="H3686" s="211">
        <f>'IWP06'!K$504</f>
        <v>0</v>
      </c>
      <c r="I3686" s="211">
        <f>'IWP06'!L$504</f>
        <v>0</v>
      </c>
      <c r="J3686" s="212">
        <f>'IWP06'!M$504</f>
        <v>0</v>
      </c>
      <c r="K3686" s="106"/>
      <c r="L3686" s="106"/>
      <c r="M3686" s="129"/>
    </row>
    <row r="3687" spans="1:13" s="146" customFormat="1">
      <c r="A3687" s="193" t="s">
        <v>504</v>
      </c>
      <c r="B3687" s="210">
        <v>10</v>
      </c>
      <c r="C3687" s="191" t="str">
        <f>IF('IWP06'!E$505=0,"",'IWP06'!E$505)</f>
        <v/>
      </c>
      <c r="D3687" s="211">
        <f>'IWP06'!G$505</f>
        <v>0</v>
      </c>
      <c r="E3687" s="211">
        <f>'IWP06'!H$505</f>
        <v>0</v>
      </c>
      <c r="F3687" s="211">
        <f>'IWP06'!I$505</f>
        <v>0</v>
      </c>
      <c r="G3687" s="191" t="str">
        <f>IF('IWP06'!J$505=0,"",'IWP06'!J$505)</f>
        <v/>
      </c>
      <c r="H3687" s="211">
        <f>'IWP06'!K$505</f>
        <v>0</v>
      </c>
      <c r="I3687" s="211">
        <f>'IWP06'!L$505</f>
        <v>0</v>
      </c>
      <c r="J3687" s="212">
        <f>'IWP06'!M$505</f>
        <v>0</v>
      </c>
      <c r="K3687" s="106"/>
      <c r="L3687" s="106"/>
      <c r="M3687" s="129"/>
    </row>
    <row r="3688" spans="1:13" s="146" customFormat="1">
      <c r="A3688" s="193" t="s">
        <v>504</v>
      </c>
      <c r="B3688" s="210">
        <v>10</v>
      </c>
      <c r="C3688" s="191" t="str">
        <f>IF('IWP06'!E$506=0,"",'IWP06'!E$506)</f>
        <v/>
      </c>
      <c r="D3688" s="211">
        <f>'IWP06'!G$506</f>
        <v>0</v>
      </c>
      <c r="E3688" s="211">
        <f>'IWP06'!H$506</f>
        <v>0</v>
      </c>
      <c r="F3688" s="211">
        <f>'IWP06'!I$506</f>
        <v>0</v>
      </c>
      <c r="G3688" s="191" t="str">
        <f>IF('IWP06'!J$506=0,"",'IWP06'!J$506)</f>
        <v/>
      </c>
      <c r="H3688" s="211">
        <f>'IWP06'!K$506</f>
        <v>0</v>
      </c>
      <c r="I3688" s="211">
        <f>'IWP06'!L$506</f>
        <v>0</v>
      </c>
      <c r="J3688" s="212">
        <f>'IWP06'!M$506</f>
        <v>0</v>
      </c>
      <c r="K3688" s="106"/>
      <c r="L3688" s="106"/>
      <c r="M3688" s="129"/>
    </row>
    <row r="3689" spans="1:13" s="146" customFormat="1">
      <c r="A3689" s="193" t="s">
        <v>504</v>
      </c>
      <c r="B3689" s="210">
        <v>10</v>
      </c>
      <c r="C3689" s="191" t="str">
        <f>IF('IWP06'!E$507=0,"",'IWP06'!E$507)</f>
        <v/>
      </c>
      <c r="D3689" s="211">
        <f>'IWP06'!G$507</f>
        <v>0</v>
      </c>
      <c r="E3689" s="211">
        <f>'IWP06'!H$507</f>
        <v>0</v>
      </c>
      <c r="F3689" s="211">
        <f>'IWP06'!I$507</f>
        <v>0</v>
      </c>
      <c r="G3689" s="191" t="str">
        <f>IF('IWP06'!J$507=0,"",'IWP06'!J$507)</f>
        <v/>
      </c>
      <c r="H3689" s="211">
        <f>'IWP06'!K$507</f>
        <v>0</v>
      </c>
      <c r="I3689" s="211">
        <f>'IWP06'!L$507</f>
        <v>0</v>
      </c>
      <c r="J3689" s="212">
        <f>'IWP06'!M$507</f>
        <v>0</v>
      </c>
      <c r="K3689" s="106"/>
      <c r="L3689" s="106"/>
      <c r="M3689" s="129"/>
    </row>
    <row r="3690" spans="1:13" s="146" customFormat="1">
      <c r="A3690" s="193" t="s">
        <v>504</v>
      </c>
      <c r="B3690" s="210">
        <v>10</v>
      </c>
      <c r="C3690" s="191" t="str">
        <f>IF('IWP06'!E$508=0,"",'IWP06'!E$508)</f>
        <v/>
      </c>
      <c r="D3690" s="211">
        <f>'IWP06'!G$508</f>
        <v>0</v>
      </c>
      <c r="E3690" s="211">
        <f>'IWP06'!H$508</f>
        <v>0</v>
      </c>
      <c r="F3690" s="211">
        <f>'IWP06'!I$508</f>
        <v>0</v>
      </c>
      <c r="G3690" s="191" t="str">
        <f>IF('IWP06'!J$508=0,"",'IWP06'!J$508)</f>
        <v/>
      </c>
      <c r="H3690" s="211">
        <f>'IWP06'!K$508</f>
        <v>0</v>
      </c>
      <c r="I3690" s="211">
        <f>'IWP06'!L$508</f>
        <v>0</v>
      </c>
      <c r="J3690" s="212">
        <f>'IWP06'!M$508</f>
        <v>0</v>
      </c>
      <c r="K3690" s="106"/>
      <c r="L3690" s="106"/>
      <c r="M3690" s="129"/>
    </row>
    <row r="3691" spans="1:13" s="146" customFormat="1">
      <c r="A3691" s="193" t="s">
        <v>504</v>
      </c>
      <c r="B3691" s="210">
        <v>11</v>
      </c>
      <c r="C3691" s="191" t="str">
        <f>IF('IWP06'!E$515=0,"",'IWP06'!E$515)</f>
        <v>Subtotal column D.</v>
      </c>
      <c r="D3691" s="211">
        <f>'IWP06'!G$515</f>
        <v>0</v>
      </c>
      <c r="E3691" s="211">
        <f>'IWP06'!H$515</f>
        <v>0</v>
      </c>
      <c r="F3691" s="211">
        <f>'IWP06'!I$515</f>
        <v>0</v>
      </c>
      <c r="G3691" s="191" t="str">
        <f>IF('IWP06'!J$515=0,"",'IWP06'!J$515)</f>
        <v/>
      </c>
      <c r="H3691" s="211">
        <f>'IWP06'!K$515</f>
        <v>0</v>
      </c>
      <c r="I3691" s="211">
        <f>'IWP06'!L$515</f>
        <v>0</v>
      </c>
      <c r="J3691" s="212">
        <f>'IWP06'!M$515</f>
        <v>0</v>
      </c>
      <c r="K3691" s="106"/>
      <c r="L3691" s="106"/>
      <c r="M3691" s="129"/>
    </row>
    <row r="3692" spans="1:13" s="146" customFormat="1">
      <c r="A3692" s="193" t="s">
        <v>504</v>
      </c>
      <c r="B3692" s="210">
        <v>11</v>
      </c>
      <c r="C3692" s="191" t="str">
        <f>IF('IWP06'!E$516=0,"",'IWP06'!E$516)</f>
        <v>Unverified/Undocumented (Subtotal D - C)</v>
      </c>
      <c r="D3692" s="211">
        <f>'IWP06'!G$516</f>
        <v>0</v>
      </c>
      <c r="E3692" s="211">
        <f>'IWP06'!H$516</f>
        <v>0</v>
      </c>
      <c r="F3692" s="211">
        <f>'IWP06'!I$516</f>
        <v>0</v>
      </c>
      <c r="G3692" s="191" t="str">
        <f>IF('IWP06'!J$516=0,"",'IWP06'!J$516)</f>
        <v/>
      </c>
      <c r="H3692" s="211">
        <f>'IWP06'!K$516</f>
        <v>0</v>
      </c>
      <c r="I3692" s="211">
        <f>'IWP06'!L$516</f>
        <v>0</v>
      </c>
      <c r="J3692" s="212">
        <f>'IWP06'!M$516</f>
        <v>0</v>
      </c>
      <c r="K3692" s="106"/>
      <c r="L3692" s="106"/>
      <c r="M3692" s="129"/>
    </row>
    <row r="3693" spans="1:13" s="146" customFormat="1">
      <c r="A3693" s="193" t="s">
        <v>504</v>
      </c>
      <c r="B3693" s="210">
        <v>11</v>
      </c>
      <c r="C3693" s="191" t="str">
        <f>IF('IWP06'!E$517=0,"",'IWP06'!E$517)</f>
        <v>J. Billing Period Total</v>
      </c>
      <c r="D3693" s="211">
        <f>'IWP06'!G$517</f>
        <v>0</v>
      </c>
      <c r="E3693" s="211">
        <f>'IWP06'!H$517</f>
        <v>0</v>
      </c>
      <c r="F3693" s="211">
        <f>'IWP06'!I$517</f>
        <v>0</v>
      </c>
      <c r="G3693" s="191" t="str">
        <f>IF('IWP06'!J$517=0,"",'IWP06'!J$517)</f>
        <v/>
      </c>
      <c r="H3693" s="211">
        <f>'IWP06'!K$517</f>
        <v>0</v>
      </c>
      <c r="I3693" s="211">
        <f>'IWP06'!L$517</f>
        <v>0</v>
      </c>
      <c r="J3693" s="212">
        <f>'IWP06'!M$517</f>
        <v>0</v>
      </c>
      <c r="K3693" s="106"/>
      <c r="L3693" s="106"/>
      <c r="M3693" s="129"/>
    </row>
    <row r="3694" spans="1:13" s="146" customFormat="1">
      <c r="A3694" s="193" t="s">
        <v>504</v>
      </c>
      <c r="B3694" s="210">
        <v>11</v>
      </c>
      <c r="C3694" s="191" t="str">
        <f>IF('IWP06'!E$518=0,"",'IWP06'!E$518)</f>
        <v>D.</v>
      </c>
      <c r="D3694" s="211">
        <f>'IWP06'!G$518</f>
        <v>0</v>
      </c>
      <c r="E3694" s="211" t="str">
        <f>'IWP06'!H$518</f>
        <v>E.</v>
      </c>
      <c r="F3694" s="211" t="str">
        <f>'IWP06'!I$518</f>
        <v>F.</v>
      </c>
      <c r="G3694" s="191" t="str">
        <f>IF('IWP06'!J$518=0,"",'IWP06'!J$518)</f>
        <v>G.</v>
      </c>
      <c r="H3694" s="211">
        <f>'IWP06'!K$518</f>
        <v>0</v>
      </c>
      <c r="I3694" s="211" t="str">
        <f>'IWP06'!L$518</f>
        <v>H.</v>
      </c>
      <c r="J3694" s="212" t="str">
        <f>'IWP06'!M$518</f>
        <v>I.</v>
      </c>
      <c r="K3694" s="106"/>
      <c r="L3694" s="106"/>
      <c r="M3694" s="129"/>
    </row>
    <row r="3695" spans="1:13" s="146" customFormat="1">
      <c r="A3695" s="193" t="s">
        <v>504</v>
      </c>
      <c r="B3695" s="210">
        <v>11</v>
      </c>
      <c r="C3695" s="191" t="str">
        <f>IF('IWP06'!E$519=0,"",'IWP06'!E$519)</f>
        <v xml:space="preserve">Items/Services Related to Billing Period </v>
      </c>
      <c r="D3695" s="211">
        <f>'IWP06'!G$519</f>
        <v>0</v>
      </c>
      <c r="E3695" s="211" t="str">
        <f>'IWP06'!H$519</f>
        <v xml:space="preserve">Item/
Service Verified Amounts
</v>
      </c>
      <c r="F3695" s="211" t="str">
        <f>'IWP06'!I$519</f>
        <v>Amount Due to DADS (E. - D.)</v>
      </c>
      <c r="G3695" s="191" t="str">
        <f>IF('IWP06'!J$519=0,"",'IWP06'!J$519)</f>
        <v>Amount Reimbursed to 
Employee(s)/Employer</v>
      </c>
      <c r="H3695" s="211">
        <f>'IWP06'!K$519</f>
        <v>0</v>
      </c>
      <c r="I3695" s="211" t="str">
        <f>'IWP06'!L$519</f>
        <v>Amount Due to Employee(s) (G. - E.)</v>
      </c>
      <c r="J3695" s="212" t="str">
        <f>'IWP06'!M$519</f>
        <v>Amount Due to Employer (G. - E.)</v>
      </c>
      <c r="K3695" s="106"/>
      <c r="L3695" s="106"/>
      <c r="M3695" s="129"/>
    </row>
    <row r="3696" spans="1:13" s="146" customFormat="1">
      <c r="A3696" s="193" t="s">
        <v>504</v>
      </c>
      <c r="B3696" s="210">
        <v>11</v>
      </c>
      <c r="C3696" s="191" t="str">
        <f>IF('IWP06'!E$520=0,"",'IWP06'!E$520)</f>
        <v>Item/Service</v>
      </c>
      <c r="D3696" s="211" t="str">
        <f>'IWP06'!G$520</f>
        <v>Itemized Amount Paid by DADS</v>
      </c>
      <c r="E3696" s="211">
        <f>'IWP06'!H$520</f>
        <v>0</v>
      </c>
      <c r="F3696" s="211">
        <f>'IWP06'!I$520</f>
        <v>0</v>
      </c>
      <c r="G3696" s="191" t="str">
        <f>IF('IWP06'!J$520=0,"",'IWP06'!J$520)</f>
        <v/>
      </c>
      <c r="H3696" s="211">
        <f>'IWP06'!K$520</f>
        <v>0</v>
      </c>
      <c r="I3696" s="211">
        <f>'IWP06'!L$520</f>
        <v>0</v>
      </c>
      <c r="J3696" s="212">
        <f>'IWP06'!M$520</f>
        <v>0</v>
      </c>
      <c r="K3696" s="106"/>
      <c r="L3696" s="106"/>
      <c r="M3696" s="129"/>
    </row>
    <row r="3697" spans="1:13" s="146" customFormat="1">
      <c r="A3697" s="193" t="s">
        <v>504</v>
      </c>
      <c r="B3697" s="210">
        <v>11</v>
      </c>
      <c r="C3697" s="191" t="str">
        <f>IF('IWP06'!E$521=0,"",'IWP06'!E$521)</f>
        <v/>
      </c>
      <c r="D3697" s="211">
        <f>'IWP06'!G$521</f>
        <v>0</v>
      </c>
      <c r="E3697" s="211">
        <f>'IWP06'!H$521</f>
        <v>0</v>
      </c>
      <c r="F3697" s="211">
        <f>'IWP06'!I$521</f>
        <v>0</v>
      </c>
      <c r="G3697" s="191" t="str">
        <f>IF('IWP06'!J$521=0,"",'IWP06'!J$521)</f>
        <v/>
      </c>
      <c r="H3697" s="211">
        <f>'IWP06'!K$521</f>
        <v>0</v>
      </c>
      <c r="I3697" s="211">
        <f>'IWP06'!L$521</f>
        <v>0</v>
      </c>
      <c r="J3697" s="212">
        <f>'IWP06'!M$521</f>
        <v>0</v>
      </c>
      <c r="K3697" s="106"/>
      <c r="L3697" s="106"/>
      <c r="M3697" s="129"/>
    </row>
    <row r="3698" spans="1:13" s="146" customFormat="1">
      <c r="A3698" s="193" t="s">
        <v>504</v>
      </c>
      <c r="B3698" s="210">
        <v>11</v>
      </c>
      <c r="C3698" s="191" t="str">
        <f>IF('IWP06'!E$522=0,"",'IWP06'!E$522)</f>
        <v/>
      </c>
      <c r="D3698" s="211">
        <f>'IWP06'!G$522</f>
        <v>0</v>
      </c>
      <c r="E3698" s="211">
        <f>'IWP06'!H$522</f>
        <v>0</v>
      </c>
      <c r="F3698" s="211">
        <f>'IWP06'!I$522</f>
        <v>0</v>
      </c>
      <c r="G3698" s="191" t="str">
        <f>IF('IWP06'!J$522=0,"",'IWP06'!J$522)</f>
        <v/>
      </c>
      <c r="H3698" s="211">
        <f>'IWP06'!K$522</f>
        <v>0</v>
      </c>
      <c r="I3698" s="211">
        <f>'IWP06'!L$522</f>
        <v>0</v>
      </c>
      <c r="J3698" s="212">
        <f>'IWP06'!M$522</f>
        <v>0</v>
      </c>
      <c r="K3698" s="106"/>
      <c r="L3698" s="106"/>
      <c r="M3698" s="129"/>
    </row>
    <row r="3699" spans="1:13" s="146" customFormat="1">
      <c r="A3699" s="193" t="s">
        <v>504</v>
      </c>
      <c r="B3699" s="210">
        <v>11</v>
      </c>
      <c r="C3699" s="191" t="str">
        <f>IF('IWP06'!E$523=0,"",'IWP06'!E$523)</f>
        <v/>
      </c>
      <c r="D3699" s="211">
        <f>'IWP06'!G$523</f>
        <v>0</v>
      </c>
      <c r="E3699" s="211">
        <f>'IWP06'!H$523</f>
        <v>0</v>
      </c>
      <c r="F3699" s="211">
        <f>'IWP06'!I$523</f>
        <v>0</v>
      </c>
      <c r="G3699" s="191" t="str">
        <f>IF('IWP06'!J$523=0,"",'IWP06'!J$523)</f>
        <v/>
      </c>
      <c r="H3699" s="211">
        <f>'IWP06'!K$523</f>
        <v>0</v>
      </c>
      <c r="I3699" s="211">
        <f>'IWP06'!L$523</f>
        <v>0</v>
      </c>
      <c r="J3699" s="212">
        <f>'IWP06'!M$523</f>
        <v>0</v>
      </c>
      <c r="K3699" s="106"/>
      <c r="L3699" s="106"/>
      <c r="M3699" s="129"/>
    </row>
    <row r="3700" spans="1:13" s="146" customFormat="1">
      <c r="A3700" s="193" t="s">
        <v>504</v>
      </c>
      <c r="B3700" s="210">
        <v>11</v>
      </c>
      <c r="C3700" s="191" t="str">
        <f>IF('IWP06'!E$524=0,"",'IWP06'!E$524)</f>
        <v/>
      </c>
      <c r="D3700" s="211">
        <f>'IWP06'!G$524</f>
        <v>0</v>
      </c>
      <c r="E3700" s="211">
        <f>'IWP06'!H$524</f>
        <v>0</v>
      </c>
      <c r="F3700" s="211">
        <f>'IWP06'!I$524</f>
        <v>0</v>
      </c>
      <c r="G3700" s="191" t="str">
        <f>IF('IWP06'!J$524=0,"",'IWP06'!J$524)</f>
        <v/>
      </c>
      <c r="H3700" s="211">
        <f>'IWP06'!K$524</f>
        <v>0</v>
      </c>
      <c r="I3700" s="211">
        <f>'IWP06'!L$524</f>
        <v>0</v>
      </c>
      <c r="J3700" s="212">
        <f>'IWP06'!M$524</f>
        <v>0</v>
      </c>
      <c r="K3700" s="106"/>
      <c r="L3700" s="106"/>
      <c r="M3700" s="129"/>
    </row>
    <row r="3701" spans="1:13" s="146" customFormat="1">
      <c r="A3701" s="193" t="s">
        <v>504</v>
      </c>
      <c r="B3701" s="210">
        <v>12</v>
      </c>
      <c r="C3701" s="191" t="str">
        <f>IF('IWP06'!E$531=0,"",'IWP06'!E$531)</f>
        <v>Subtotal column D.</v>
      </c>
      <c r="D3701" s="211">
        <f>'IWP06'!G$531</f>
        <v>0</v>
      </c>
      <c r="E3701" s="211">
        <f>'IWP06'!H$531</f>
        <v>0</v>
      </c>
      <c r="F3701" s="211">
        <f>'IWP06'!I$531</f>
        <v>0</v>
      </c>
      <c r="G3701" s="191" t="str">
        <f>IF('IWP06'!J$531=0,"",'IWP06'!J$531)</f>
        <v/>
      </c>
      <c r="H3701" s="211">
        <f>'IWP06'!K$531</f>
        <v>0</v>
      </c>
      <c r="I3701" s="211">
        <f>'IWP06'!L$531</f>
        <v>0</v>
      </c>
      <c r="J3701" s="212">
        <f>'IWP06'!M$531</f>
        <v>0</v>
      </c>
      <c r="K3701" s="106"/>
      <c r="L3701" s="106"/>
      <c r="M3701" s="129"/>
    </row>
    <row r="3702" spans="1:13" s="146" customFormat="1">
      <c r="A3702" s="193" t="s">
        <v>504</v>
      </c>
      <c r="B3702" s="210">
        <v>12</v>
      </c>
      <c r="C3702" s="191" t="str">
        <f>IF('IWP06'!E$532=0,"",'IWP06'!E$532)</f>
        <v>Unverified/Undocumented (Subtotal D - C)</v>
      </c>
      <c r="D3702" s="211">
        <f>'IWP06'!G$532</f>
        <v>0</v>
      </c>
      <c r="E3702" s="211">
        <f>'IWP06'!H$532</f>
        <v>0</v>
      </c>
      <c r="F3702" s="211">
        <f>'IWP06'!I$532</f>
        <v>0</v>
      </c>
      <c r="G3702" s="191" t="str">
        <f>IF('IWP06'!J$532=0,"",'IWP06'!J$532)</f>
        <v/>
      </c>
      <c r="H3702" s="211">
        <f>'IWP06'!K$532</f>
        <v>0</v>
      </c>
      <c r="I3702" s="211">
        <f>'IWP06'!L$532</f>
        <v>0</v>
      </c>
      <c r="J3702" s="212">
        <f>'IWP06'!M$532</f>
        <v>0</v>
      </c>
      <c r="K3702" s="106"/>
      <c r="L3702" s="106"/>
      <c r="M3702" s="129"/>
    </row>
    <row r="3703" spans="1:13" s="146" customFormat="1">
      <c r="A3703" s="193" t="s">
        <v>504</v>
      </c>
      <c r="B3703" s="210">
        <v>12</v>
      </c>
      <c r="C3703" s="191" t="str">
        <f>IF('IWP06'!E$533=0,"",'IWP06'!E$533)</f>
        <v>J. Billing Period Total</v>
      </c>
      <c r="D3703" s="211">
        <f>'IWP06'!G$533</f>
        <v>0</v>
      </c>
      <c r="E3703" s="211">
        <f>'IWP06'!H$533</f>
        <v>0</v>
      </c>
      <c r="F3703" s="211">
        <f>'IWP06'!I$533</f>
        <v>0</v>
      </c>
      <c r="G3703" s="191" t="str">
        <f>IF('IWP06'!J$533=0,"",'IWP06'!J$533)</f>
        <v/>
      </c>
      <c r="H3703" s="211">
        <f>'IWP06'!K$533</f>
        <v>0</v>
      </c>
      <c r="I3703" s="211">
        <f>'IWP06'!L$533</f>
        <v>0</v>
      </c>
      <c r="J3703" s="212">
        <f>'IWP06'!M$533</f>
        <v>0</v>
      </c>
      <c r="K3703" s="106"/>
      <c r="L3703" s="106"/>
      <c r="M3703" s="129"/>
    </row>
    <row r="3704" spans="1:13" s="146" customFormat="1">
      <c r="A3704" s="193" t="s">
        <v>504</v>
      </c>
      <c r="B3704" s="210">
        <v>12</v>
      </c>
      <c r="C3704" s="191" t="str">
        <f>IF('IWP06'!E$534=0,"",'IWP06'!E$534)</f>
        <v>D.</v>
      </c>
      <c r="D3704" s="211">
        <f>'IWP06'!G$534</f>
        <v>0</v>
      </c>
      <c r="E3704" s="211" t="str">
        <f>'IWP06'!H$534</f>
        <v>E.</v>
      </c>
      <c r="F3704" s="211" t="str">
        <f>'IWP06'!I$534</f>
        <v>F.</v>
      </c>
      <c r="G3704" s="191" t="str">
        <f>IF('IWP06'!J$534=0,"",'IWP06'!J$534)</f>
        <v>G.</v>
      </c>
      <c r="H3704" s="211">
        <f>'IWP06'!K$534</f>
        <v>0</v>
      </c>
      <c r="I3704" s="211" t="str">
        <f>'IWP06'!L$534</f>
        <v>H.</v>
      </c>
      <c r="J3704" s="212" t="str">
        <f>'IWP06'!M$534</f>
        <v>I.</v>
      </c>
      <c r="K3704" s="106"/>
      <c r="L3704" s="106"/>
      <c r="M3704" s="129"/>
    </row>
    <row r="3705" spans="1:13" s="146" customFormat="1">
      <c r="A3705" s="193" t="s">
        <v>504</v>
      </c>
      <c r="B3705" s="210">
        <v>12</v>
      </c>
      <c r="C3705" s="191" t="str">
        <f>IF('IWP06'!E$535=0,"",'IWP06'!E$535)</f>
        <v xml:space="preserve">Items/Services Related to Billing Period </v>
      </c>
      <c r="D3705" s="211">
        <f>'IWP06'!G$535</f>
        <v>0</v>
      </c>
      <c r="E3705" s="211" t="str">
        <f>'IWP06'!H$535</f>
        <v xml:space="preserve">Item/
Service Verified Amounts
</v>
      </c>
      <c r="F3705" s="211" t="str">
        <f>'IWP06'!I$535</f>
        <v>Amount Due to DADS (E. - D.)</v>
      </c>
      <c r="G3705" s="191" t="str">
        <f>IF('IWP06'!J$535=0,"",'IWP06'!J$535)</f>
        <v>Amount Reimbursed to 
Employee(s)/Employer</v>
      </c>
      <c r="H3705" s="211">
        <f>'IWP06'!K$535</f>
        <v>0</v>
      </c>
      <c r="I3705" s="211" t="str">
        <f>'IWP06'!L$535</f>
        <v>Amount Due to Employee(s) (G. - E.)</v>
      </c>
      <c r="J3705" s="212" t="str">
        <f>'IWP06'!M$535</f>
        <v>Amount Due to Employer (G. - E.)</v>
      </c>
      <c r="K3705" s="106"/>
      <c r="L3705" s="106"/>
      <c r="M3705" s="129"/>
    </row>
    <row r="3706" spans="1:13" s="146" customFormat="1">
      <c r="A3706" s="193" t="s">
        <v>504</v>
      </c>
      <c r="B3706" s="210">
        <v>12</v>
      </c>
      <c r="C3706" s="191" t="str">
        <f>IF('IWP06'!E$536=0,"",'IWP06'!E$536)</f>
        <v>Item/Service</v>
      </c>
      <c r="D3706" s="211" t="str">
        <f>'IWP06'!G$536</f>
        <v>Itemized Amount Paid by DADS</v>
      </c>
      <c r="E3706" s="211">
        <f>'IWP06'!H$536</f>
        <v>0</v>
      </c>
      <c r="F3706" s="211">
        <f>'IWP06'!I$536</f>
        <v>0</v>
      </c>
      <c r="G3706" s="191" t="str">
        <f>IF('IWP06'!J$536=0,"",'IWP06'!J$536)</f>
        <v/>
      </c>
      <c r="H3706" s="211">
        <f>'IWP06'!K$536</f>
        <v>0</v>
      </c>
      <c r="I3706" s="211">
        <f>'IWP06'!L$536</f>
        <v>0</v>
      </c>
      <c r="J3706" s="212">
        <f>'IWP06'!M$536</f>
        <v>0</v>
      </c>
      <c r="K3706" s="106"/>
      <c r="L3706" s="106"/>
      <c r="M3706" s="129"/>
    </row>
    <row r="3707" spans="1:13" s="146" customFormat="1">
      <c r="A3707" s="193" t="s">
        <v>504</v>
      </c>
      <c r="B3707" s="210">
        <v>12</v>
      </c>
      <c r="C3707" s="191" t="str">
        <f>IF('IWP06'!E$537=0,"",'IWP06'!E$537)</f>
        <v/>
      </c>
      <c r="D3707" s="211">
        <f>'IWP06'!G$537</f>
        <v>0</v>
      </c>
      <c r="E3707" s="211">
        <f>'IWP06'!H$537</f>
        <v>0</v>
      </c>
      <c r="F3707" s="211">
        <f>'IWP06'!I$537</f>
        <v>0</v>
      </c>
      <c r="G3707" s="191" t="str">
        <f>IF('IWP06'!J$537=0,"",'IWP06'!J$537)</f>
        <v/>
      </c>
      <c r="H3707" s="211">
        <f>'IWP06'!K$537</f>
        <v>0</v>
      </c>
      <c r="I3707" s="211">
        <f>'IWP06'!L$537</f>
        <v>0</v>
      </c>
      <c r="J3707" s="212">
        <f>'IWP06'!M$537</f>
        <v>0</v>
      </c>
      <c r="K3707" s="106"/>
      <c r="L3707" s="106"/>
      <c r="M3707" s="129"/>
    </row>
    <row r="3708" spans="1:13" s="146" customFormat="1">
      <c r="A3708" s="193" t="s">
        <v>504</v>
      </c>
      <c r="B3708" s="210">
        <v>12</v>
      </c>
      <c r="C3708" s="191" t="str">
        <f>IF('IWP06'!E$538=0,"",'IWP06'!E$538)</f>
        <v/>
      </c>
      <c r="D3708" s="211">
        <f>'IWP06'!G$538</f>
        <v>0</v>
      </c>
      <c r="E3708" s="211">
        <f>'IWP06'!H$538</f>
        <v>0</v>
      </c>
      <c r="F3708" s="211">
        <f>'IWP06'!I$538</f>
        <v>0</v>
      </c>
      <c r="G3708" s="191" t="str">
        <f>IF('IWP06'!J$538=0,"",'IWP06'!J$538)</f>
        <v/>
      </c>
      <c r="H3708" s="211">
        <f>'IWP06'!K$538</f>
        <v>0</v>
      </c>
      <c r="I3708" s="211">
        <f>'IWP06'!L$538</f>
        <v>0</v>
      </c>
      <c r="J3708" s="212">
        <f>'IWP06'!M$538</f>
        <v>0</v>
      </c>
      <c r="K3708" s="106"/>
      <c r="L3708" s="106"/>
      <c r="M3708" s="129"/>
    </row>
    <row r="3709" spans="1:13" s="146" customFormat="1">
      <c r="A3709" s="193" t="s">
        <v>504</v>
      </c>
      <c r="B3709" s="210">
        <v>12</v>
      </c>
      <c r="C3709" s="191" t="str">
        <f>IF('IWP06'!E$539=0,"",'IWP06'!E$539)</f>
        <v/>
      </c>
      <c r="D3709" s="211">
        <f>'IWP06'!G$539</f>
        <v>0</v>
      </c>
      <c r="E3709" s="211">
        <f>'IWP06'!H$539</f>
        <v>0</v>
      </c>
      <c r="F3709" s="211">
        <f>'IWP06'!I$539</f>
        <v>0</v>
      </c>
      <c r="G3709" s="191" t="str">
        <f>IF('IWP06'!J$539=0,"",'IWP06'!J$539)</f>
        <v/>
      </c>
      <c r="H3709" s="211">
        <f>'IWP06'!K$539</f>
        <v>0</v>
      </c>
      <c r="I3709" s="211">
        <f>'IWP06'!L$539</f>
        <v>0</v>
      </c>
      <c r="J3709" s="212">
        <f>'IWP06'!M$539</f>
        <v>0</v>
      </c>
      <c r="K3709" s="106"/>
      <c r="L3709" s="106"/>
      <c r="M3709" s="129"/>
    </row>
    <row r="3710" spans="1:13" s="146" customFormat="1">
      <c r="A3710" s="193" t="s">
        <v>504</v>
      </c>
      <c r="B3710" s="210">
        <v>12</v>
      </c>
      <c r="C3710" s="191" t="str">
        <f>IF('IWP06'!E$540=0,"",'IWP06'!E$540)</f>
        <v/>
      </c>
      <c r="D3710" s="211">
        <f>'IWP06'!G$540</f>
        <v>0</v>
      </c>
      <c r="E3710" s="211">
        <f>'IWP06'!H$540</f>
        <v>0</v>
      </c>
      <c r="F3710" s="211">
        <f>'IWP06'!I$540</f>
        <v>0</v>
      </c>
      <c r="G3710" s="191" t="str">
        <f>IF('IWP06'!J$540=0,"",'IWP06'!J$540)</f>
        <v/>
      </c>
      <c r="H3710" s="211">
        <f>'IWP06'!K$540</f>
        <v>0</v>
      </c>
      <c r="I3710" s="211">
        <f>'IWP06'!L$540</f>
        <v>0</v>
      </c>
      <c r="J3710" s="212">
        <f>'IWP06'!M$540</f>
        <v>0</v>
      </c>
      <c r="K3710" s="106"/>
      <c r="L3710" s="106"/>
      <c r="M3710" s="129"/>
    </row>
    <row r="3711" spans="1:13" s="146" customFormat="1">
      <c r="A3711" s="193" t="s">
        <v>504</v>
      </c>
      <c r="B3711" s="210">
        <v>13</v>
      </c>
      <c r="C3711" s="191" t="str">
        <f>IF('IWP06'!E$547=0,"",'IWP06'!E$547)</f>
        <v>Subtotal column D.</v>
      </c>
      <c r="D3711" s="211">
        <f>'IWP06'!G$547</f>
        <v>0</v>
      </c>
      <c r="E3711" s="211">
        <f>'IWP06'!H$547</f>
        <v>0</v>
      </c>
      <c r="F3711" s="211">
        <f>'IWP06'!I$547</f>
        <v>0</v>
      </c>
      <c r="G3711" s="191" t="str">
        <f>IF('IWP06'!J$547=0,"",'IWP06'!J$547)</f>
        <v/>
      </c>
      <c r="H3711" s="211">
        <f>'IWP06'!K$547</f>
        <v>0</v>
      </c>
      <c r="I3711" s="211">
        <f>'IWP06'!L$547</f>
        <v>0</v>
      </c>
      <c r="J3711" s="212">
        <f>'IWP06'!M$547</f>
        <v>0</v>
      </c>
      <c r="K3711" s="106"/>
      <c r="L3711" s="106"/>
      <c r="M3711" s="129"/>
    </row>
    <row r="3712" spans="1:13" s="146" customFormat="1">
      <c r="A3712" s="193" t="s">
        <v>504</v>
      </c>
      <c r="B3712" s="210">
        <v>13</v>
      </c>
      <c r="C3712" s="191" t="str">
        <f>IF('IWP06'!E$548=0,"",'IWP06'!E$548)</f>
        <v>Unverified/Undocumented (Subtotal D - C)</v>
      </c>
      <c r="D3712" s="211">
        <f>'IWP06'!G$548</f>
        <v>0</v>
      </c>
      <c r="E3712" s="211">
        <f>'IWP06'!H$548</f>
        <v>0</v>
      </c>
      <c r="F3712" s="211">
        <f>'IWP06'!I$548</f>
        <v>0</v>
      </c>
      <c r="G3712" s="191" t="str">
        <f>IF('IWP06'!J$548=0,"",'IWP06'!J$548)</f>
        <v/>
      </c>
      <c r="H3712" s="211">
        <f>'IWP06'!K$548</f>
        <v>0</v>
      </c>
      <c r="I3712" s="211">
        <f>'IWP06'!L$548</f>
        <v>0</v>
      </c>
      <c r="J3712" s="212">
        <f>'IWP06'!M$548</f>
        <v>0</v>
      </c>
      <c r="K3712" s="106"/>
      <c r="L3712" s="106"/>
      <c r="M3712" s="129"/>
    </row>
    <row r="3713" spans="1:13" s="146" customFormat="1">
      <c r="A3713" s="193" t="s">
        <v>504</v>
      </c>
      <c r="B3713" s="210">
        <v>13</v>
      </c>
      <c r="C3713" s="191" t="str">
        <f>IF('IWP06'!E$549=0,"",'IWP06'!E$549)</f>
        <v>J. Billing Period Total</v>
      </c>
      <c r="D3713" s="211">
        <f>'IWP06'!G$549</f>
        <v>0</v>
      </c>
      <c r="E3713" s="211">
        <f>'IWP06'!H$549</f>
        <v>0</v>
      </c>
      <c r="F3713" s="211">
        <f>'IWP06'!I$549</f>
        <v>0</v>
      </c>
      <c r="G3713" s="191" t="str">
        <f>IF('IWP06'!J$549=0,"",'IWP06'!J$549)</f>
        <v/>
      </c>
      <c r="H3713" s="211">
        <f>'IWP06'!K$549</f>
        <v>0</v>
      </c>
      <c r="I3713" s="211">
        <f>'IWP06'!L$549</f>
        <v>0</v>
      </c>
      <c r="J3713" s="212">
        <f>'IWP06'!M$549</f>
        <v>0</v>
      </c>
      <c r="K3713" s="106"/>
      <c r="L3713" s="106"/>
      <c r="M3713" s="129"/>
    </row>
    <row r="3714" spans="1:13" s="146" customFormat="1">
      <c r="A3714" s="193" t="s">
        <v>504</v>
      </c>
      <c r="B3714" s="210">
        <v>13</v>
      </c>
      <c r="C3714" s="191" t="str">
        <f>IF('IWP06'!E$550=0,"",'IWP06'!E$550)</f>
        <v>D.</v>
      </c>
      <c r="D3714" s="211">
        <f>'IWP06'!G$550</f>
        <v>0</v>
      </c>
      <c r="E3714" s="211" t="str">
        <f>'IWP06'!H$550</f>
        <v>E.</v>
      </c>
      <c r="F3714" s="211" t="str">
        <f>'IWP06'!I$550</f>
        <v>F.</v>
      </c>
      <c r="G3714" s="191" t="str">
        <f>IF('IWP06'!J$550=0,"",'IWP06'!J$550)</f>
        <v>G.</v>
      </c>
      <c r="H3714" s="211">
        <f>'IWP06'!K$550</f>
        <v>0</v>
      </c>
      <c r="I3714" s="211" t="str">
        <f>'IWP06'!L$550</f>
        <v>H.</v>
      </c>
      <c r="J3714" s="212" t="str">
        <f>'IWP06'!M$550</f>
        <v>I.</v>
      </c>
      <c r="K3714" s="106"/>
      <c r="L3714" s="106"/>
      <c r="M3714" s="129"/>
    </row>
    <row r="3715" spans="1:13" s="146" customFormat="1">
      <c r="A3715" s="193" t="s">
        <v>504</v>
      </c>
      <c r="B3715" s="210">
        <v>13</v>
      </c>
      <c r="C3715" s="191" t="str">
        <f>IF('IWP06'!E$551=0,"",'IWP06'!E$551)</f>
        <v xml:space="preserve">Items/Services Related to Billing Period </v>
      </c>
      <c r="D3715" s="211">
        <f>'IWP06'!G$551</f>
        <v>0</v>
      </c>
      <c r="E3715" s="211" t="str">
        <f>'IWP06'!H$551</f>
        <v xml:space="preserve">Item/
Service Verified Amounts
</v>
      </c>
      <c r="F3715" s="211" t="str">
        <f>'IWP06'!I$551</f>
        <v>Amount Due to DADS (E. - D.)</v>
      </c>
      <c r="G3715" s="191" t="str">
        <f>IF('IWP06'!J$551=0,"",'IWP06'!J$551)</f>
        <v>Amount Reimbursed to 
Employee(s)/Employer</v>
      </c>
      <c r="H3715" s="211">
        <f>'IWP06'!K$551</f>
        <v>0</v>
      </c>
      <c r="I3715" s="211" t="str">
        <f>'IWP06'!L$551</f>
        <v>Amount Due to Employee(s) (G. - E.)</v>
      </c>
      <c r="J3715" s="212" t="str">
        <f>'IWP06'!M$551</f>
        <v>Amount Due to Employer (G. - E.)</v>
      </c>
      <c r="K3715" s="106"/>
      <c r="L3715" s="106"/>
      <c r="M3715" s="129"/>
    </row>
    <row r="3716" spans="1:13" s="146" customFormat="1">
      <c r="A3716" s="193" t="s">
        <v>504</v>
      </c>
      <c r="B3716" s="210">
        <v>13</v>
      </c>
      <c r="C3716" s="191" t="str">
        <f>IF('IWP06'!E$552=0,"",'IWP06'!E$552)</f>
        <v>Item/Service</v>
      </c>
      <c r="D3716" s="211" t="str">
        <f>'IWP06'!G$552</f>
        <v>Itemized Amount Paid by DADS</v>
      </c>
      <c r="E3716" s="211">
        <f>'IWP06'!H$552</f>
        <v>0</v>
      </c>
      <c r="F3716" s="211">
        <f>'IWP06'!I$552</f>
        <v>0</v>
      </c>
      <c r="G3716" s="191" t="str">
        <f>IF('IWP06'!J$552=0,"",'IWP06'!J$552)</f>
        <v/>
      </c>
      <c r="H3716" s="211">
        <f>'IWP06'!K$552</f>
        <v>0</v>
      </c>
      <c r="I3716" s="211">
        <f>'IWP06'!L$552</f>
        <v>0</v>
      </c>
      <c r="J3716" s="212">
        <f>'IWP06'!M$552</f>
        <v>0</v>
      </c>
      <c r="K3716" s="106"/>
      <c r="L3716" s="106"/>
      <c r="M3716" s="129"/>
    </row>
    <row r="3717" spans="1:13" s="146" customFormat="1">
      <c r="A3717" s="193" t="s">
        <v>504</v>
      </c>
      <c r="B3717" s="210">
        <v>13</v>
      </c>
      <c r="C3717" s="191" t="str">
        <f>IF('IWP06'!E$553=0,"",'IWP06'!E$553)</f>
        <v/>
      </c>
      <c r="D3717" s="211">
        <f>'IWP06'!G$553</f>
        <v>0</v>
      </c>
      <c r="E3717" s="211">
        <f>'IWP06'!H$553</f>
        <v>0</v>
      </c>
      <c r="F3717" s="211">
        <f>'IWP06'!I$553</f>
        <v>0</v>
      </c>
      <c r="G3717" s="191" t="str">
        <f>IF('IWP06'!J$553=0,"",'IWP06'!J$553)</f>
        <v/>
      </c>
      <c r="H3717" s="211">
        <f>'IWP06'!K$553</f>
        <v>0</v>
      </c>
      <c r="I3717" s="211">
        <f>'IWP06'!L$553</f>
        <v>0</v>
      </c>
      <c r="J3717" s="212">
        <f>'IWP06'!M$553</f>
        <v>0</v>
      </c>
      <c r="K3717" s="106"/>
      <c r="L3717" s="106"/>
      <c r="M3717" s="129"/>
    </row>
    <row r="3718" spans="1:13" s="146" customFormat="1">
      <c r="A3718" s="193" t="s">
        <v>504</v>
      </c>
      <c r="B3718" s="210">
        <v>13</v>
      </c>
      <c r="C3718" s="191" t="str">
        <f>IF('IWP06'!E$554=0,"",'IWP06'!E$554)</f>
        <v/>
      </c>
      <c r="D3718" s="211">
        <f>'IWP06'!G$554</f>
        <v>0</v>
      </c>
      <c r="E3718" s="211">
        <f>'IWP06'!H$554</f>
        <v>0</v>
      </c>
      <c r="F3718" s="211">
        <f>'IWP06'!I$554</f>
        <v>0</v>
      </c>
      <c r="G3718" s="191" t="str">
        <f>IF('IWP06'!J$554=0,"",'IWP06'!J$554)</f>
        <v/>
      </c>
      <c r="H3718" s="211">
        <f>'IWP06'!K$554</f>
        <v>0</v>
      </c>
      <c r="I3718" s="211">
        <f>'IWP06'!L$554</f>
        <v>0</v>
      </c>
      <c r="J3718" s="212">
        <f>'IWP06'!M$554</f>
        <v>0</v>
      </c>
      <c r="K3718" s="106"/>
      <c r="L3718" s="106"/>
      <c r="M3718" s="129"/>
    </row>
    <row r="3719" spans="1:13" s="146" customFormat="1">
      <c r="A3719" s="193" t="s">
        <v>504</v>
      </c>
      <c r="B3719" s="210">
        <v>13</v>
      </c>
      <c r="C3719" s="191" t="str">
        <f>IF('IWP06'!E$555=0,"",'IWP06'!E$555)</f>
        <v/>
      </c>
      <c r="D3719" s="211">
        <f>'IWP06'!G$555</f>
        <v>0</v>
      </c>
      <c r="E3719" s="211">
        <f>'IWP06'!H$555</f>
        <v>0</v>
      </c>
      <c r="F3719" s="211">
        <f>'IWP06'!I$555</f>
        <v>0</v>
      </c>
      <c r="G3719" s="191" t="str">
        <f>IF('IWP06'!J$555=0,"",'IWP06'!J$555)</f>
        <v/>
      </c>
      <c r="H3719" s="211">
        <f>'IWP06'!K$555</f>
        <v>0</v>
      </c>
      <c r="I3719" s="211">
        <f>'IWP06'!L$555</f>
        <v>0</v>
      </c>
      <c r="J3719" s="212">
        <f>'IWP06'!M$555</f>
        <v>0</v>
      </c>
      <c r="K3719" s="106"/>
      <c r="L3719" s="106"/>
      <c r="M3719" s="129"/>
    </row>
    <row r="3720" spans="1:13" s="146" customFormat="1">
      <c r="A3720" s="193" t="s">
        <v>504</v>
      </c>
      <c r="B3720" s="210">
        <v>13</v>
      </c>
      <c r="C3720" s="191" t="str">
        <f>IF('IWP06'!E$556=0,"",'IWP06'!E$556)</f>
        <v/>
      </c>
      <c r="D3720" s="211">
        <f>'IWP06'!G$556</f>
        <v>0</v>
      </c>
      <c r="E3720" s="211">
        <f>'IWP06'!H$556</f>
        <v>0</v>
      </c>
      <c r="F3720" s="211">
        <f>'IWP06'!I$556</f>
        <v>0</v>
      </c>
      <c r="G3720" s="191" t="str">
        <f>IF('IWP06'!J$556=0,"",'IWP06'!J$556)</f>
        <v/>
      </c>
      <c r="H3720" s="211">
        <f>'IWP06'!K$556</f>
        <v>0</v>
      </c>
      <c r="I3720" s="211">
        <f>'IWP06'!L$556</f>
        <v>0</v>
      </c>
      <c r="J3720" s="212">
        <f>'IWP06'!M$556</f>
        <v>0</v>
      </c>
      <c r="K3720" s="106"/>
      <c r="L3720" s="106"/>
      <c r="M3720" s="129"/>
    </row>
    <row r="3721" spans="1:13" s="146" customFormat="1">
      <c r="A3721" s="193" t="s">
        <v>504</v>
      </c>
      <c r="B3721" s="210">
        <v>14</v>
      </c>
      <c r="C3721" s="191" t="str">
        <f>IF('IWP06'!E$563=0,"",'IWP06'!E$563)</f>
        <v>Subtotal column D.</v>
      </c>
      <c r="D3721" s="211">
        <f>'IWP06'!G$563</f>
        <v>0</v>
      </c>
      <c r="E3721" s="211">
        <f>'IWP06'!H$563</f>
        <v>0</v>
      </c>
      <c r="F3721" s="211">
        <f>'IWP06'!I$563</f>
        <v>0</v>
      </c>
      <c r="G3721" s="191" t="str">
        <f>IF('IWP06'!J$563=0,"",'IWP06'!J$563)</f>
        <v/>
      </c>
      <c r="H3721" s="211">
        <f>'IWP06'!K$563</f>
        <v>0</v>
      </c>
      <c r="I3721" s="211">
        <f>'IWP06'!L$563</f>
        <v>0</v>
      </c>
      <c r="J3721" s="212">
        <f>'IWP06'!M$563</f>
        <v>0</v>
      </c>
      <c r="K3721" s="106"/>
      <c r="L3721" s="106"/>
      <c r="M3721" s="129"/>
    </row>
    <row r="3722" spans="1:13" s="146" customFormat="1">
      <c r="A3722" s="193" t="s">
        <v>504</v>
      </c>
      <c r="B3722" s="210">
        <v>14</v>
      </c>
      <c r="C3722" s="191" t="str">
        <f>IF('IWP06'!E$564=0,"",'IWP06'!E$564)</f>
        <v>Unverified/Undocumented (Subtotal D - C)</v>
      </c>
      <c r="D3722" s="211">
        <f>'IWP06'!G$564</f>
        <v>0</v>
      </c>
      <c r="E3722" s="211">
        <f>'IWP06'!H$564</f>
        <v>0</v>
      </c>
      <c r="F3722" s="211">
        <f>'IWP06'!I$564</f>
        <v>0</v>
      </c>
      <c r="G3722" s="191" t="str">
        <f>IF('IWP06'!J$564=0,"",'IWP06'!J$564)</f>
        <v/>
      </c>
      <c r="H3722" s="211">
        <f>'IWP06'!K$564</f>
        <v>0</v>
      </c>
      <c r="I3722" s="211">
        <f>'IWP06'!L$564</f>
        <v>0</v>
      </c>
      <c r="J3722" s="212">
        <f>'IWP06'!M$564</f>
        <v>0</v>
      </c>
      <c r="K3722" s="106"/>
      <c r="L3722" s="106"/>
      <c r="M3722" s="129"/>
    </row>
    <row r="3723" spans="1:13" s="146" customFormat="1">
      <c r="A3723" s="193" t="s">
        <v>504</v>
      </c>
      <c r="B3723" s="210">
        <v>14</v>
      </c>
      <c r="C3723" s="191" t="str">
        <f>IF('IWP06'!E$565=0,"",'IWP06'!E$565)</f>
        <v>J. Billing Period Total</v>
      </c>
      <c r="D3723" s="211">
        <f>'IWP06'!G$565</f>
        <v>0</v>
      </c>
      <c r="E3723" s="211">
        <f>'IWP06'!H$565</f>
        <v>0</v>
      </c>
      <c r="F3723" s="211">
        <f>'IWP06'!I$565</f>
        <v>0</v>
      </c>
      <c r="G3723" s="191" t="str">
        <f>IF('IWP06'!J$565=0,"",'IWP06'!J$565)</f>
        <v/>
      </c>
      <c r="H3723" s="211">
        <f>'IWP06'!K$565</f>
        <v>0</v>
      </c>
      <c r="I3723" s="211">
        <f>'IWP06'!L$565</f>
        <v>0</v>
      </c>
      <c r="J3723" s="212">
        <f>'IWP06'!M$565</f>
        <v>0</v>
      </c>
      <c r="K3723" s="106"/>
      <c r="L3723" s="106"/>
      <c r="M3723" s="129"/>
    </row>
    <row r="3724" spans="1:13" s="146" customFormat="1">
      <c r="A3724" s="193" t="s">
        <v>504</v>
      </c>
      <c r="B3724" s="210">
        <v>14</v>
      </c>
      <c r="C3724" s="191" t="str">
        <f>IF('IWP06'!E$566=0,"",'IWP06'!E$566)</f>
        <v>D.</v>
      </c>
      <c r="D3724" s="211">
        <f>'IWP06'!G$566</f>
        <v>0</v>
      </c>
      <c r="E3724" s="211" t="str">
        <f>'IWP06'!H$566</f>
        <v>E.</v>
      </c>
      <c r="F3724" s="211" t="str">
        <f>'IWP06'!I$566</f>
        <v>F.</v>
      </c>
      <c r="G3724" s="191" t="str">
        <f>IF('IWP06'!J$566=0,"",'IWP06'!J$566)</f>
        <v>G.</v>
      </c>
      <c r="H3724" s="211">
        <f>'IWP06'!K$566</f>
        <v>0</v>
      </c>
      <c r="I3724" s="211" t="str">
        <f>'IWP06'!L$566</f>
        <v>H.</v>
      </c>
      <c r="J3724" s="212" t="str">
        <f>'IWP06'!M$566</f>
        <v>I.</v>
      </c>
      <c r="K3724" s="106"/>
      <c r="L3724" s="106"/>
      <c r="M3724" s="129"/>
    </row>
    <row r="3725" spans="1:13" s="146" customFormat="1">
      <c r="A3725" s="193" t="s">
        <v>504</v>
      </c>
      <c r="B3725" s="210">
        <v>14</v>
      </c>
      <c r="C3725" s="191" t="str">
        <f>IF('IWP06'!E$567=0,"",'IWP06'!E$567)</f>
        <v xml:space="preserve">Items/Services Related to Billing Period </v>
      </c>
      <c r="D3725" s="211">
        <f>'IWP06'!G$567</f>
        <v>0</v>
      </c>
      <c r="E3725" s="211" t="str">
        <f>'IWP06'!H$567</f>
        <v xml:space="preserve">Item/
Service Verified Amounts
</v>
      </c>
      <c r="F3725" s="211" t="str">
        <f>'IWP06'!I$567</f>
        <v>Amount Due to DADS (E. - D.)</v>
      </c>
      <c r="G3725" s="191" t="str">
        <f>IF('IWP06'!J$567=0,"",'IWP06'!J$567)</f>
        <v>Amount Reimbursed to 
Employee(s)/Employer</v>
      </c>
      <c r="H3725" s="211">
        <f>'IWP06'!K$567</f>
        <v>0</v>
      </c>
      <c r="I3725" s="211" t="str">
        <f>'IWP06'!L$567</f>
        <v>Amount Due to Employee(s) (G. - E.)</v>
      </c>
      <c r="J3725" s="212" t="str">
        <f>'IWP06'!M$567</f>
        <v>Amount Due to Employer (G. - E.)</v>
      </c>
      <c r="K3725" s="106"/>
      <c r="L3725" s="106"/>
      <c r="M3725" s="129"/>
    </row>
    <row r="3726" spans="1:13" s="146" customFormat="1">
      <c r="A3726" s="193" t="s">
        <v>504</v>
      </c>
      <c r="B3726" s="210">
        <v>14</v>
      </c>
      <c r="C3726" s="191" t="str">
        <f>IF('IWP06'!E$568=0,"",'IWP06'!E$568)</f>
        <v>Item/Service</v>
      </c>
      <c r="D3726" s="211" t="str">
        <f>'IWP06'!G$568</f>
        <v>Itemized Amount Paid by DADS</v>
      </c>
      <c r="E3726" s="211">
        <f>'IWP06'!H$568</f>
        <v>0</v>
      </c>
      <c r="F3726" s="211">
        <f>'IWP06'!I$568</f>
        <v>0</v>
      </c>
      <c r="G3726" s="191" t="str">
        <f>IF('IWP06'!J$568=0,"",'IWP06'!J$568)</f>
        <v/>
      </c>
      <c r="H3726" s="211">
        <f>'IWP06'!K$568</f>
        <v>0</v>
      </c>
      <c r="I3726" s="211">
        <f>'IWP06'!L$568</f>
        <v>0</v>
      </c>
      <c r="J3726" s="212">
        <f>'IWP06'!M$568</f>
        <v>0</v>
      </c>
      <c r="K3726" s="106"/>
      <c r="L3726" s="106"/>
      <c r="M3726" s="129"/>
    </row>
    <row r="3727" spans="1:13" s="146" customFormat="1">
      <c r="A3727" s="193" t="s">
        <v>504</v>
      </c>
      <c r="B3727" s="210">
        <v>14</v>
      </c>
      <c r="C3727" s="191" t="str">
        <f>IF('IWP06'!E$569=0,"",'IWP06'!E$569)</f>
        <v/>
      </c>
      <c r="D3727" s="211">
        <f>'IWP06'!G$569</f>
        <v>0</v>
      </c>
      <c r="E3727" s="211">
        <f>'IWP06'!H$569</f>
        <v>0</v>
      </c>
      <c r="F3727" s="211">
        <f>'IWP06'!I$569</f>
        <v>0</v>
      </c>
      <c r="G3727" s="191" t="str">
        <f>IF('IWP06'!J$569=0,"",'IWP06'!J$569)</f>
        <v/>
      </c>
      <c r="H3727" s="211">
        <f>'IWP06'!K$569</f>
        <v>0</v>
      </c>
      <c r="I3727" s="211">
        <f>'IWP06'!L$569</f>
        <v>0</v>
      </c>
      <c r="J3727" s="212">
        <f>'IWP06'!M$569</f>
        <v>0</v>
      </c>
      <c r="K3727" s="106"/>
      <c r="L3727" s="106"/>
      <c r="M3727" s="129"/>
    </row>
    <row r="3728" spans="1:13" s="146" customFormat="1">
      <c r="A3728" s="193" t="s">
        <v>504</v>
      </c>
      <c r="B3728" s="210">
        <v>14</v>
      </c>
      <c r="C3728" s="191" t="str">
        <f>IF('IWP06'!E$570=0,"",'IWP06'!E$570)</f>
        <v/>
      </c>
      <c r="D3728" s="211">
        <f>'IWP06'!G$570</f>
        <v>0</v>
      </c>
      <c r="E3728" s="211">
        <f>'IWP06'!H$570</f>
        <v>0</v>
      </c>
      <c r="F3728" s="211">
        <f>'IWP06'!I$570</f>
        <v>0</v>
      </c>
      <c r="G3728" s="191" t="str">
        <f>IF('IWP06'!J$570=0,"",'IWP06'!J$570)</f>
        <v/>
      </c>
      <c r="H3728" s="211">
        <f>'IWP06'!K$570</f>
        <v>0</v>
      </c>
      <c r="I3728" s="211">
        <f>'IWP06'!L$570</f>
        <v>0</v>
      </c>
      <c r="J3728" s="212">
        <f>'IWP06'!M$570</f>
        <v>0</v>
      </c>
      <c r="K3728" s="106"/>
      <c r="L3728" s="106"/>
      <c r="M3728" s="129"/>
    </row>
    <row r="3729" spans="1:13" s="146" customFormat="1">
      <c r="A3729" s="193" t="s">
        <v>504</v>
      </c>
      <c r="B3729" s="210">
        <v>14</v>
      </c>
      <c r="C3729" s="191" t="str">
        <f>IF('IWP06'!E$571=0,"",'IWP06'!E$571)</f>
        <v/>
      </c>
      <c r="D3729" s="211">
        <f>'IWP06'!G$571</f>
        <v>0</v>
      </c>
      <c r="E3729" s="211">
        <f>'IWP06'!H$571</f>
        <v>0</v>
      </c>
      <c r="F3729" s="211">
        <f>'IWP06'!I$571</f>
        <v>0</v>
      </c>
      <c r="G3729" s="191" t="str">
        <f>IF('IWP06'!J$571=0,"",'IWP06'!J$571)</f>
        <v/>
      </c>
      <c r="H3729" s="211">
        <f>'IWP06'!K$571</f>
        <v>0</v>
      </c>
      <c r="I3729" s="211">
        <f>'IWP06'!L$571</f>
        <v>0</v>
      </c>
      <c r="J3729" s="212">
        <f>'IWP06'!M$571</f>
        <v>0</v>
      </c>
      <c r="K3729" s="106"/>
      <c r="L3729" s="106"/>
      <c r="M3729" s="129"/>
    </row>
    <row r="3730" spans="1:13" s="146" customFormat="1">
      <c r="A3730" s="193" t="s">
        <v>504</v>
      </c>
      <c r="B3730" s="210">
        <v>14</v>
      </c>
      <c r="C3730" s="191" t="str">
        <f>IF('IWP06'!E$572=0,"",'IWP06'!E$572)</f>
        <v/>
      </c>
      <c r="D3730" s="211">
        <f>'IWP06'!G$572</f>
        <v>0</v>
      </c>
      <c r="E3730" s="211">
        <f>'IWP06'!H$572</f>
        <v>0</v>
      </c>
      <c r="F3730" s="211">
        <f>'IWP06'!I$572</f>
        <v>0</v>
      </c>
      <c r="G3730" s="191" t="str">
        <f>IF('IWP06'!J$572=0,"",'IWP06'!J$572)</f>
        <v/>
      </c>
      <c r="H3730" s="211">
        <f>'IWP06'!K$572</f>
        <v>0</v>
      </c>
      <c r="I3730" s="211">
        <f>'IWP06'!L$572</f>
        <v>0</v>
      </c>
      <c r="J3730" s="212">
        <f>'IWP06'!M$572</f>
        <v>0</v>
      </c>
      <c r="K3730" s="106"/>
      <c r="L3730" s="106"/>
      <c r="M3730" s="129"/>
    </row>
    <row r="3731" spans="1:13" s="146" customFormat="1">
      <c r="A3731" s="193" t="s">
        <v>504</v>
      </c>
      <c r="B3731" s="210">
        <v>15</v>
      </c>
      <c r="C3731" s="191" t="str">
        <f>IF('IWP06'!E$579=0,"",'IWP06'!E$579)</f>
        <v>Subtotal column D.</v>
      </c>
      <c r="D3731" s="211">
        <f>'IWP06'!G$579</f>
        <v>0</v>
      </c>
      <c r="E3731" s="211">
        <f>'IWP06'!H$579</f>
        <v>0</v>
      </c>
      <c r="F3731" s="211">
        <f>'IWP06'!I$579</f>
        <v>0</v>
      </c>
      <c r="G3731" s="191" t="str">
        <f>IF('IWP06'!J$579=0,"",'IWP06'!J$579)</f>
        <v/>
      </c>
      <c r="H3731" s="211">
        <f>'IWP06'!K$579</f>
        <v>0</v>
      </c>
      <c r="I3731" s="211">
        <f>'IWP06'!L$579</f>
        <v>0</v>
      </c>
      <c r="J3731" s="212">
        <f>'IWP06'!M$579</f>
        <v>0</v>
      </c>
      <c r="K3731" s="106"/>
      <c r="L3731" s="106"/>
      <c r="M3731" s="129"/>
    </row>
    <row r="3732" spans="1:13" s="146" customFormat="1">
      <c r="A3732" s="193" t="s">
        <v>504</v>
      </c>
      <c r="B3732" s="210">
        <v>15</v>
      </c>
      <c r="C3732" s="191" t="str">
        <f>IF('IWP06'!E$580=0,"",'IWP06'!E$580)</f>
        <v>Unverified/Undocumented (Subtotal D - C)</v>
      </c>
      <c r="D3732" s="211">
        <f>'IWP06'!G$580</f>
        <v>0</v>
      </c>
      <c r="E3732" s="211">
        <f>'IWP06'!H$580</f>
        <v>0</v>
      </c>
      <c r="F3732" s="211">
        <f>'IWP06'!I$580</f>
        <v>0</v>
      </c>
      <c r="G3732" s="191" t="str">
        <f>IF('IWP06'!J$580=0,"",'IWP06'!J$580)</f>
        <v/>
      </c>
      <c r="H3732" s="211">
        <f>'IWP06'!K$580</f>
        <v>0</v>
      </c>
      <c r="I3732" s="211">
        <f>'IWP06'!L$580</f>
        <v>0</v>
      </c>
      <c r="J3732" s="212">
        <f>'IWP06'!M$580</f>
        <v>0</v>
      </c>
      <c r="K3732" s="106"/>
      <c r="L3732" s="106"/>
      <c r="M3732" s="129"/>
    </row>
    <row r="3733" spans="1:13" s="146" customFormat="1">
      <c r="A3733" s="193" t="s">
        <v>504</v>
      </c>
      <c r="B3733" s="210">
        <v>15</v>
      </c>
      <c r="C3733" s="191" t="str">
        <f>IF('IWP06'!E$581=0,"",'IWP06'!E$581)</f>
        <v>J. Billing Period Total</v>
      </c>
      <c r="D3733" s="211">
        <f>'IWP06'!G$581</f>
        <v>0</v>
      </c>
      <c r="E3733" s="211">
        <f>'IWP06'!H$581</f>
        <v>0</v>
      </c>
      <c r="F3733" s="211">
        <f>'IWP06'!I$581</f>
        <v>0</v>
      </c>
      <c r="G3733" s="191" t="str">
        <f>IF('IWP06'!J$581=0,"",'IWP06'!J$581)</f>
        <v/>
      </c>
      <c r="H3733" s="211">
        <f>'IWP06'!K$581</f>
        <v>0</v>
      </c>
      <c r="I3733" s="211">
        <f>'IWP06'!L$581</f>
        <v>0</v>
      </c>
      <c r="J3733" s="212">
        <f>'IWP06'!M$581</f>
        <v>0</v>
      </c>
      <c r="K3733" s="106"/>
      <c r="L3733" s="106"/>
      <c r="M3733" s="129"/>
    </row>
    <row r="3734" spans="1:13" s="146" customFormat="1">
      <c r="A3734" s="193" t="s">
        <v>504</v>
      </c>
      <c r="B3734" s="210">
        <v>15</v>
      </c>
      <c r="C3734" s="191" t="str">
        <f>IF('IWP06'!E$582=0,"",'IWP06'!E$582)</f>
        <v>D.</v>
      </c>
      <c r="D3734" s="211">
        <f>'IWP06'!G$582</f>
        <v>0</v>
      </c>
      <c r="E3734" s="211" t="str">
        <f>'IWP06'!H$582</f>
        <v>E.</v>
      </c>
      <c r="F3734" s="211" t="str">
        <f>'IWP06'!I$582</f>
        <v>F.</v>
      </c>
      <c r="G3734" s="191" t="str">
        <f>IF('IWP06'!J$582=0,"",'IWP06'!J$582)</f>
        <v>G.</v>
      </c>
      <c r="H3734" s="211">
        <f>'IWP06'!K$582</f>
        <v>0</v>
      </c>
      <c r="I3734" s="211" t="str">
        <f>'IWP06'!L$582</f>
        <v>H.</v>
      </c>
      <c r="J3734" s="212" t="str">
        <f>'IWP06'!M$582</f>
        <v>I.</v>
      </c>
      <c r="K3734" s="106"/>
      <c r="L3734" s="106"/>
      <c r="M3734" s="129"/>
    </row>
    <row r="3735" spans="1:13" s="146" customFormat="1">
      <c r="A3735" s="193" t="s">
        <v>504</v>
      </c>
      <c r="B3735" s="210">
        <v>15</v>
      </c>
      <c r="C3735" s="191" t="str">
        <f>IF('IWP06'!E$583=0,"",'IWP06'!E$583)</f>
        <v xml:space="preserve">Items/Services Related to Billing Period </v>
      </c>
      <c r="D3735" s="211">
        <f>'IWP06'!G$583</f>
        <v>0</v>
      </c>
      <c r="E3735" s="211" t="str">
        <f>'IWP06'!H$583</f>
        <v xml:space="preserve">Item/
Service Verified Amounts
</v>
      </c>
      <c r="F3735" s="211" t="str">
        <f>'IWP06'!I$583</f>
        <v>Amount Due to DADS (E. - D.)</v>
      </c>
      <c r="G3735" s="191" t="str">
        <f>IF('IWP06'!J$583=0,"",'IWP06'!J$583)</f>
        <v>Amount Reimbursed to 
Employee(s)/Employer</v>
      </c>
      <c r="H3735" s="211">
        <f>'IWP06'!K$583</f>
        <v>0</v>
      </c>
      <c r="I3735" s="211" t="str">
        <f>'IWP06'!L$583</f>
        <v>Amount Due to Employee(s) (G. - E.)</v>
      </c>
      <c r="J3735" s="212" t="str">
        <f>'IWP06'!M$583</f>
        <v>Amount Due to Employer (G. - E.)</v>
      </c>
      <c r="K3735" s="106"/>
      <c r="L3735" s="106"/>
      <c r="M3735" s="129"/>
    </row>
    <row r="3736" spans="1:13" s="146" customFormat="1">
      <c r="A3736" s="193" t="s">
        <v>504</v>
      </c>
      <c r="B3736" s="210">
        <v>15</v>
      </c>
      <c r="C3736" s="191" t="str">
        <f>IF('IWP06'!E$584=0,"",'IWP06'!E$584)</f>
        <v>Item/Service</v>
      </c>
      <c r="D3736" s="211" t="str">
        <f>'IWP06'!G$584</f>
        <v>Itemized Amount Paid by DADS</v>
      </c>
      <c r="E3736" s="211">
        <f>'IWP06'!H$584</f>
        <v>0</v>
      </c>
      <c r="F3736" s="211">
        <f>'IWP06'!I$584</f>
        <v>0</v>
      </c>
      <c r="G3736" s="191" t="str">
        <f>IF('IWP06'!J$584=0,"",'IWP06'!J$584)</f>
        <v/>
      </c>
      <c r="H3736" s="211">
        <f>'IWP06'!K$584</f>
        <v>0</v>
      </c>
      <c r="I3736" s="211">
        <f>'IWP06'!L$584</f>
        <v>0</v>
      </c>
      <c r="J3736" s="212">
        <f>'IWP06'!M$584</f>
        <v>0</v>
      </c>
      <c r="K3736" s="106"/>
      <c r="L3736" s="106"/>
      <c r="M3736" s="129"/>
    </row>
    <row r="3737" spans="1:13" s="146" customFormat="1">
      <c r="A3737" s="193" t="s">
        <v>504</v>
      </c>
      <c r="B3737" s="210">
        <v>15</v>
      </c>
      <c r="C3737" s="191" t="str">
        <f>IF('IWP06'!E$585=0,"",'IWP06'!E$585)</f>
        <v/>
      </c>
      <c r="D3737" s="211">
        <f>'IWP06'!G$585</f>
        <v>0</v>
      </c>
      <c r="E3737" s="211">
        <f>'IWP06'!H$585</f>
        <v>0</v>
      </c>
      <c r="F3737" s="211">
        <f>'IWP06'!I$585</f>
        <v>0</v>
      </c>
      <c r="G3737" s="191" t="str">
        <f>IF('IWP06'!J$585=0,"",'IWP06'!J$585)</f>
        <v/>
      </c>
      <c r="H3737" s="211">
        <f>'IWP06'!K$585</f>
        <v>0</v>
      </c>
      <c r="I3737" s="211">
        <f>'IWP06'!L$585</f>
        <v>0</v>
      </c>
      <c r="J3737" s="212">
        <f>'IWP06'!M$585</f>
        <v>0</v>
      </c>
      <c r="K3737" s="106"/>
      <c r="L3737" s="106"/>
      <c r="M3737" s="129"/>
    </row>
    <row r="3738" spans="1:13" s="146" customFormat="1">
      <c r="A3738" s="193" t="s">
        <v>504</v>
      </c>
      <c r="B3738" s="210">
        <v>15</v>
      </c>
      <c r="C3738" s="191" t="str">
        <f>IF('IWP06'!E$586=0,"",'IWP06'!E$586)</f>
        <v/>
      </c>
      <c r="D3738" s="211">
        <f>'IWP06'!G$586</f>
        <v>0</v>
      </c>
      <c r="E3738" s="211">
        <f>'IWP06'!H$586</f>
        <v>0</v>
      </c>
      <c r="F3738" s="211">
        <f>'IWP06'!I$586</f>
        <v>0</v>
      </c>
      <c r="G3738" s="191" t="str">
        <f>IF('IWP06'!J$586=0,"",'IWP06'!J$586)</f>
        <v/>
      </c>
      <c r="H3738" s="211">
        <f>'IWP06'!K$586</f>
        <v>0</v>
      </c>
      <c r="I3738" s="211">
        <f>'IWP06'!L$586</f>
        <v>0</v>
      </c>
      <c r="J3738" s="212">
        <f>'IWP06'!M$586</f>
        <v>0</v>
      </c>
      <c r="K3738" s="106"/>
      <c r="L3738" s="106"/>
      <c r="M3738" s="129"/>
    </row>
    <row r="3739" spans="1:13" s="146" customFormat="1">
      <c r="A3739" s="193" t="s">
        <v>504</v>
      </c>
      <c r="B3739" s="210">
        <v>15</v>
      </c>
      <c r="C3739" s="191" t="str">
        <f>IF('IWP06'!E$587=0,"",'IWP06'!E$587)</f>
        <v/>
      </c>
      <c r="D3739" s="211">
        <f>'IWP06'!G$587</f>
        <v>0</v>
      </c>
      <c r="E3739" s="211">
        <f>'IWP06'!H$587</f>
        <v>0</v>
      </c>
      <c r="F3739" s="211">
        <f>'IWP06'!I$587</f>
        <v>0</v>
      </c>
      <c r="G3739" s="191" t="str">
        <f>IF('IWP06'!J$587=0,"",'IWP06'!J$587)</f>
        <v/>
      </c>
      <c r="H3739" s="211">
        <f>'IWP06'!K$587</f>
        <v>0</v>
      </c>
      <c r="I3739" s="211">
        <f>'IWP06'!L$587</f>
        <v>0</v>
      </c>
      <c r="J3739" s="212">
        <f>'IWP06'!M$587</f>
        <v>0</v>
      </c>
      <c r="K3739" s="106"/>
      <c r="L3739" s="106"/>
      <c r="M3739" s="129"/>
    </row>
    <row r="3740" spans="1:13" s="146" customFormat="1">
      <c r="A3740" s="193" t="s">
        <v>504</v>
      </c>
      <c r="B3740" s="210">
        <v>15</v>
      </c>
      <c r="C3740" s="191" t="str">
        <f>IF('IWP06'!E$588=0,"",'IWP06'!E$588)</f>
        <v/>
      </c>
      <c r="D3740" s="211">
        <f>'IWP06'!G$588</f>
        <v>0</v>
      </c>
      <c r="E3740" s="211">
        <f>'IWP06'!H$588</f>
        <v>0</v>
      </c>
      <c r="F3740" s="211">
        <f>'IWP06'!I$588</f>
        <v>0</v>
      </c>
      <c r="G3740" s="191" t="str">
        <f>IF('IWP06'!J$588=0,"",'IWP06'!J$588)</f>
        <v/>
      </c>
      <c r="H3740" s="211">
        <f>'IWP06'!K$588</f>
        <v>0</v>
      </c>
      <c r="I3740" s="211">
        <f>'IWP06'!L$588</f>
        <v>0</v>
      </c>
      <c r="J3740" s="212">
        <f>'IWP06'!M$588</f>
        <v>0</v>
      </c>
      <c r="K3740" s="106"/>
      <c r="L3740" s="106"/>
      <c r="M3740" s="129"/>
    </row>
    <row r="3741" spans="1:13" s="146" customFormat="1">
      <c r="A3741" s="193" t="s">
        <v>504</v>
      </c>
      <c r="B3741" s="210">
        <v>16</v>
      </c>
      <c r="C3741" s="191" t="str">
        <f>IF('IWP06'!E$595=0,"",'IWP06'!E$595)</f>
        <v>Subtotal column D.</v>
      </c>
      <c r="D3741" s="211">
        <f>'IWP06'!G$595</f>
        <v>0</v>
      </c>
      <c r="E3741" s="211">
        <f>'IWP06'!H$595</f>
        <v>0</v>
      </c>
      <c r="F3741" s="211">
        <f>'IWP06'!I$595</f>
        <v>0</v>
      </c>
      <c r="G3741" s="191" t="str">
        <f>IF('IWP06'!J$595=0,"",'IWP06'!J$595)</f>
        <v/>
      </c>
      <c r="H3741" s="211">
        <f>'IWP06'!K$595</f>
        <v>0</v>
      </c>
      <c r="I3741" s="211">
        <f>'IWP06'!L$595</f>
        <v>0</v>
      </c>
      <c r="J3741" s="212">
        <f>'IWP06'!M$595</f>
        <v>0</v>
      </c>
      <c r="K3741" s="106"/>
      <c r="L3741" s="106"/>
      <c r="M3741" s="129"/>
    </row>
    <row r="3742" spans="1:13" s="146" customFormat="1">
      <c r="A3742" s="193" t="s">
        <v>504</v>
      </c>
      <c r="B3742" s="210">
        <v>16</v>
      </c>
      <c r="C3742" s="191" t="str">
        <f>IF('IWP06'!E$596=0,"",'IWP06'!E$596)</f>
        <v>Unverified/Undocumented (Subtotal D - C)</v>
      </c>
      <c r="D3742" s="211">
        <f>'IWP06'!G$596</f>
        <v>0</v>
      </c>
      <c r="E3742" s="211">
        <f>'IWP06'!H$596</f>
        <v>0</v>
      </c>
      <c r="F3742" s="211">
        <f>'IWP06'!I$596</f>
        <v>0</v>
      </c>
      <c r="G3742" s="191" t="str">
        <f>IF('IWP06'!J$596=0,"",'IWP06'!J$596)</f>
        <v/>
      </c>
      <c r="H3742" s="211">
        <f>'IWP06'!K$596</f>
        <v>0</v>
      </c>
      <c r="I3742" s="211">
        <f>'IWP06'!L$596</f>
        <v>0</v>
      </c>
      <c r="J3742" s="212">
        <f>'IWP06'!M$596</f>
        <v>0</v>
      </c>
      <c r="K3742" s="106"/>
      <c r="L3742" s="106"/>
      <c r="M3742" s="129"/>
    </row>
    <row r="3743" spans="1:13" s="146" customFormat="1">
      <c r="A3743" s="193" t="s">
        <v>504</v>
      </c>
      <c r="B3743" s="210">
        <v>16</v>
      </c>
      <c r="C3743" s="191" t="str">
        <f>IF('IWP06'!E$597=0,"",'IWP06'!E$597)</f>
        <v>J. Billing Period Total</v>
      </c>
      <c r="D3743" s="211">
        <f>'IWP06'!G$597</f>
        <v>0</v>
      </c>
      <c r="E3743" s="211">
        <f>'IWP06'!H$597</f>
        <v>0</v>
      </c>
      <c r="F3743" s="211">
        <f>'IWP06'!I$597</f>
        <v>0</v>
      </c>
      <c r="G3743" s="191" t="str">
        <f>IF('IWP06'!J$597=0,"",'IWP06'!J$597)</f>
        <v/>
      </c>
      <c r="H3743" s="211">
        <f>'IWP06'!K$597</f>
        <v>0</v>
      </c>
      <c r="I3743" s="211">
        <f>'IWP06'!L$597</f>
        <v>0</v>
      </c>
      <c r="J3743" s="212">
        <f>'IWP06'!M$597</f>
        <v>0</v>
      </c>
      <c r="K3743" s="106"/>
      <c r="L3743" s="106"/>
      <c r="M3743" s="129"/>
    </row>
    <row r="3744" spans="1:13" s="146" customFormat="1">
      <c r="A3744" s="193" t="s">
        <v>504</v>
      </c>
      <c r="B3744" s="210">
        <v>16</v>
      </c>
      <c r="C3744" s="191" t="str">
        <f>IF('IWP06'!E$598=0,"",'IWP06'!E$598)</f>
        <v>D.</v>
      </c>
      <c r="D3744" s="211">
        <f>'IWP06'!G$598</f>
        <v>0</v>
      </c>
      <c r="E3744" s="211" t="str">
        <f>'IWP06'!H$598</f>
        <v>E.</v>
      </c>
      <c r="F3744" s="211" t="str">
        <f>'IWP06'!I$598</f>
        <v>F.</v>
      </c>
      <c r="G3744" s="191" t="str">
        <f>IF('IWP06'!J$598=0,"",'IWP06'!J$598)</f>
        <v>G.</v>
      </c>
      <c r="H3744" s="211">
        <f>'IWP06'!K$598</f>
        <v>0</v>
      </c>
      <c r="I3744" s="211" t="str">
        <f>'IWP06'!L$598</f>
        <v>H.</v>
      </c>
      <c r="J3744" s="212" t="str">
        <f>'IWP06'!M$598</f>
        <v>I.</v>
      </c>
      <c r="K3744" s="106"/>
      <c r="L3744" s="106"/>
      <c r="M3744" s="129"/>
    </row>
    <row r="3745" spans="1:13" s="146" customFormat="1">
      <c r="A3745" s="193" t="s">
        <v>504</v>
      </c>
      <c r="B3745" s="210">
        <v>16</v>
      </c>
      <c r="C3745" s="191" t="str">
        <f>IF('IWP06'!E$599=0,"",'IWP06'!E$599)</f>
        <v xml:space="preserve">Items/Services Related to Billing Period </v>
      </c>
      <c r="D3745" s="211">
        <f>'IWP06'!G$599</f>
        <v>0</v>
      </c>
      <c r="E3745" s="211" t="str">
        <f>'IWP06'!H$599</f>
        <v xml:space="preserve">Item/
Service Verified Amounts
</v>
      </c>
      <c r="F3745" s="211" t="str">
        <f>'IWP06'!I$599</f>
        <v>Amount Due to DADS (E. - D.)</v>
      </c>
      <c r="G3745" s="191" t="str">
        <f>IF('IWP06'!J$599=0,"",'IWP06'!J$599)</f>
        <v>Amount Reimbursed to 
Employee(s)/Employer</v>
      </c>
      <c r="H3745" s="211">
        <f>'IWP06'!K$599</f>
        <v>0</v>
      </c>
      <c r="I3745" s="211" t="str">
        <f>'IWP06'!L$599</f>
        <v>Amount Due to Employee(s) (G. - E.)</v>
      </c>
      <c r="J3745" s="212" t="str">
        <f>'IWP06'!M$599</f>
        <v>Amount Due to Employer (G. - E.)</v>
      </c>
      <c r="K3745" s="106"/>
      <c r="L3745" s="106"/>
      <c r="M3745" s="129"/>
    </row>
    <row r="3746" spans="1:13" s="146" customFormat="1">
      <c r="A3746" s="193" t="s">
        <v>504</v>
      </c>
      <c r="B3746" s="210">
        <v>16</v>
      </c>
      <c r="C3746" s="191" t="str">
        <f>IF('IWP06'!E$600=0,"",'IWP06'!E$600)</f>
        <v>Item/Service</v>
      </c>
      <c r="D3746" s="211" t="str">
        <f>'IWP06'!G$600</f>
        <v>Itemized Amount Paid by DADS</v>
      </c>
      <c r="E3746" s="211">
        <f>'IWP06'!H$600</f>
        <v>0</v>
      </c>
      <c r="F3746" s="211">
        <f>'IWP06'!I$600</f>
        <v>0</v>
      </c>
      <c r="G3746" s="191" t="str">
        <f>IF('IWP06'!J$600=0,"",'IWP06'!J$600)</f>
        <v/>
      </c>
      <c r="H3746" s="211">
        <f>'IWP06'!K$600</f>
        <v>0</v>
      </c>
      <c r="I3746" s="211">
        <f>'IWP06'!L$600</f>
        <v>0</v>
      </c>
      <c r="J3746" s="212">
        <f>'IWP06'!M$600</f>
        <v>0</v>
      </c>
      <c r="K3746" s="106"/>
      <c r="L3746" s="106"/>
      <c r="M3746" s="129"/>
    </row>
    <row r="3747" spans="1:13" s="146" customFormat="1">
      <c r="A3747" s="193" t="s">
        <v>504</v>
      </c>
      <c r="B3747" s="210">
        <v>16</v>
      </c>
      <c r="C3747" s="191" t="str">
        <f>IF('IWP06'!E$601=0,"",'IWP06'!E$601)</f>
        <v/>
      </c>
      <c r="D3747" s="211">
        <f>'IWP06'!G$601</f>
        <v>0</v>
      </c>
      <c r="E3747" s="211">
        <f>'IWP06'!H$601</f>
        <v>0</v>
      </c>
      <c r="F3747" s="211">
        <f>'IWP06'!I$601</f>
        <v>0</v>
      </c>
      <c r="G3747" s="191" t="str">
        <f>IF('IWP06'!J$601=0,"",'IWP06'!J$601)</f>
        <v/>
      </c>
      <c r="H3747" s="211">
        <f>'IWP06'!K$601</f>
        <v>0</v>
      </c>
      <c r="I3747" s="211">
        <f>'IWP06'!L$601</f>
        <v>0</v>
      </c>
      <c r="J3747" s="212">
        <f>'IWP06'!M$601</f>
        <v>0</v>
      </c>
      <c r="K3747" s="106"/>
      <c r="L3747" s="106"/>
      <c r="M3747" s="129"/>
    </row>
    <row r="3748" spans="1:13" s="146" customFormat="1">
      <c r="A3748" s="193" t="s">
        <v>504</v>
      </c>
      <c r="B3748" s="210">
        <v>16</v>
      </c>
      <c r="C3748" s="191" t="str">
        <f>IF('IWP06'!E$602=0,"",'IWP06'!E$602)</f>
        <v/>
      </c>
      <c r="D3748" s="211">
        <f>'IWP06'!G$602</f>
        <v>0</v>
      </c>
      <c r="E3748" s="211">
        <f>'IWP06'!H$602</f>
        <v>0</v>
      </c>
      <c r="F3748" s="211">
        <f>'IWP06'!I$602</f>
        <v>0</v>
      </c>
      <c r="G3748" s="191" t="str">
        <f>IF('IWP06'!J$602=0,"",'IWP06'!J$602)</f>
        <v/>
      </c>
      <c r="H3748" s="211">
        <f>'IWP06'!K$602</f>
        <v>0</v>
      </c>
      <c r="I3748" s="211">
        <f>'IWP06'!L$602</f>
        <v>0</v>
      </c>
      <c r="J3748" s="212">
        <f>'IWP06'!M$602</f>
        <v>0</v>
      </c>
      <c r="K3748" s="106"/>
      <c r="L3748" s="106"/>
      <c r="M3748" s="129"/>
    </row>
    <row r="3749" spans="1:13" s="146" customFormat="1">
      <c r="A3749" s="193" t="s">
        <v>504</v>
      </c>
      <c r="B3749" s="210">
        <v>16</v>
      </c>
      <c r="C3749" s="191" t="str">
        <f>IF('IWP06'!E$603=0,"",'IWP06'!E$603)</f>
        <v/>
      </c>
      <c r="D3749" s="211">
        <f>'IWP06'!G$603</f>
        <v>0</v>
      </c>
      <c r="E3749" s="211">
        <f>'IWP06'!H$603</f>
        <v>0</v>
      </c>
      <c r="F3749" s="211">
        <f>'IWP06'!I$603</f>
        <v>0</v>
      </c>
      <c r="G3749" s="191" t="str">
        <f>IF('IWP06'!J$603=0,"",'IWP06'!J$603)</f>
        <v/>
      </c>
      <c r="H3749" s="211">
        <f>'IWP06'!K$603</f>
        <v>0</v>
      </c>
      <c r="I3749" s="211">
        <f>'IWP06'!L$603</f>
        <v>0</v>
      </c>
      <c r="J3749" s="212">
        <f>'IWP06'!M$603</f>
        <v>0</v>
      </c>
      <c r="K3749" s="106"/>
      <c r="L3749" s="106"/>
      <c r="M3749" s="129"/>
    </row>
    <row r="3750" spans="1:13" s="146" customFormat="1">
      <c r="A3750" s="193" t="s">
        <v>504</v>
      </c>
      <c r="B3750" s="210">
        <v>16</v>
      </c>
      <c r="C3750" s="191" t="str">
        <f>IF('IWP06'!E$604=0,"",'IWP06'!E$604)</f>
        <v/>
      </c>
      <c r="D3750" s="211">
        <f>'IWP06'!G$604</f>
        <v>0</v>
      </c>
      <c r="E3750" s="211">
        <f>'IWP06'!H$604</f>
        <v>0</v>
      </c>
      <c r="F3750" s="211">
        <f>'IWP06'!I$604</f>
        <v>0</v>
      </c>
      <c r="G3750" s="191" t="str">
        <f>IF('IWP06'!J$604=0,"",'IWP06'!J$604)</f>
        <v/>
      </c>
      <c r="H3750" s="211">
        <f>'IWP06'!K$604</f>
        <v>0</v>
      </c>
      <c r="I3750" s="211">
        <f>'IWP06'!L$604</f>
        <v>0</v>
      </c>
      <c r="J3750" s="212">
        <f>'IWP06'!M$604</f>
        <v>0</v>
      </c>
      <c r="K3750" s="106"/>
      <c r="L3750" s="106"/>
      <c r="M3750" s="129"/>
    </row>
    <row r="3751" spans="1:13" s="146" customFormat="1">
      <c r="A3751" s="193" t="s">
        <v>504</v>
      </c>
      <c r="B3751" s="210">
        <v>17</v>
      </c>
      <c r="C3751" s="191" t="str">
        <f>IF('IWP06'!E$611=0,"",'IWP06'!E$611)</f>
        <v>Subtotal column D.</v>
      </c>
      <c r="D3751" s="211">
        <f>'IWP06'!G$611</f>
        <v>0</v>
      </c>
      <c r="E3751" s="211">
        <f>'IWP06'!H$611</f>
        <v>0</v>
      </c>
      <c r="F3751" s="211">
        <f>'IWP06'!I$611</f>
        <v>0</v>
      </c>
      <c r="G3751" s="191" t="str">
        <f>IF('IWP06'!J$611=0,"",'IWP06'!J$611)</f>
        <v/>
      </c>
      <c r="H3751" s="211">
        <f>'IWP06'!K$611</f>
        <v>0</v>
      </c>
      <c r="I3751" s="211">
        <f>'IWP06'!L$611</f>
        <v>0</v>
      </c>
      <c r="J3751" s="212">
        <f>'IWP06'!M$611</f>
        <v>0</v>
      </c>
      <c r="K3751" s="106"/>
      <c r="L3751" s="106"/>
      <c r="M3751" s="129"/>
    </row>
    <row r="3752" spans="1:13" s="146" customFormat="1">
      <c r="A3752" s="193" t="s">
        <v>504</v>
      </c>
      <c r="B3752" s="210">
        <v>17</v>
      </c>
      <c r="C3752" s="191" t="str">
        <f>IF('IWP06'!E$612=0,"",'IWP06'!E$612)</f>
        <v>Unverified/Undocumented (Subtotal D - C)</v>
      </c>
      <c r="D3752" s="211">
        <f>'IWP06'!G$612</f>
        <v>0</v>
      </c>
      <c r="E3752" s="211">
        <f>'IWP06'!H$612</f>
        <v>0</v>
      </c>
      <c r="F3752" s="211">
        <f>'IWP06'!I$612</f>
        <v>0</v>
      </c>
      <c r="G3752" s="191" t="str">
        <f>IF('IWP06'!J$612=0,"",'IWP06'!J$612)</f>
        <v/>
      </c>
      <c r="H3752" s="211">
        <f>'IWP06'!K$612</f>
        <v>0</v>
      </c>
      <c r="I3752" s="211">
        <f>'IWP06'!L$612</f>
        <v>0</v>
      </c>
      <c r="J3752" s="212">
        <f>'IWP06'!M$612</f>
        <v>0</v>
      </c>
      <c r="K3752" s="106"/>
      <c r="L3752" s="106"/>
      <c r="M3752" s="129"/>
    </row>
    <row r="3753" spans="1:13" s="146" customFormat="1">
      <c r="A3753" s="193" t="s">
        <v>504</v>
      </c>
      <c r="B3753" s="210">
        <v>17</v>
      </c>
      <c r="C3753" s="191" t="str">
        <f>IF('IWP06'!E$613=0,"",'IWP06'!E$613)</f>
        <v>J. Billing Period Total</v>
      </c>
      <c r="D3753" s="211">
        <f>'IWP06'!G$613</f>
        <v>0</v>
      </c>
      <c r="E3753" s="211">
        <f>'IWP06'!H$613</f>
        <v>0</v>
      </c>
      <c r="F3753" s="211">
        <f>'IWP06'!I$613</f>
        <v>0</v>
      </c>
      <c r="G3753" s="191" t="str">
        <f>IF('IWP06'!J$613=0,"",'IWP06'!J$613)</f>
        <v/>
      </c>
      <c r="H3753" s="211">
        <f>'IWP06'!K$613</f>
        <v>0</v>
      </c>
      <c r="I3753" s="211">
        <f>'IWP06'!L$613</f>
        <v>0</v>
      </c>
      <c r="J3753" s="212">
        <f>'IWP06'!M$613</f>
        <v>0</v>
      </c>
      <c r="K3753" s="106"/>
      <c r="L3753" s="106"/>
      <c r="M3753" s="129"/>
    </row>
    <row r="3754" spans="1:13" s="146" customFormat="1">
      <c r="A3754" s="193" t="s">
        <v>504</v>
      </c>
      <c r="B3754" s="210">
        <v>17</v>
      </c>
      <c r="C3754" s="191" t="str">
        <f>IF('IWP06'!E$614=0,"",'IWP06'!E$614)</f>
        <v/>
      </c>
      <c r="D3754" s="211">
        <f>'IWP06'!G$614</f>
        <v>0</v>
      </c>
      <c r="E3754" s="211">
        <f>'IWP06'!H$614</f>
        <v>0</v>
      </c>
      <c r="F3754" s="211">
        <f>'IWP06'!I$614</f>
        <v>0</v>
      </c>
      <c r="G3754" s="191" t="str">
        <f>IF('IWP06'!J$614=0,"",'IWP06'!J$614)</f>
        <v/>
      </c>
      <c r="H3754" s="211">
        <f>'IWP06'!K$614</f>
        <v>0</v>
      </c>
      <c r="I3754" s="211">
        <f>'IWP06'!L$614</f>
        <v>0</v>
      </c>
      <c r="J3754" s="212">
        <f>'IWP06'!M$614</f>
        <v>0</v>
      </c>
      <c r="K3754" s="106"/>
      <c r="L3754" s="106"/>
      <c r="M3754" s="129"/>
    </row>
    <row r="3755" spans="1:13" s="146" customFormat="1">
      <c r="A3755" s="193" t="s">
        <v>504</v>
      </c>
      <c r="B3755" s="210">
        <v>17</v>
      </c>
      <c r="C3755" s="191" t="str">
        <f>IF('IWP06'!E$615=0,"",'IWP06'!E$615)</f>
        <v/>
      </c>
      <c r="D3755" s="211">
        <f>'IWP06'!G$615</f>
        <v>0</v>
      </c>
      <c r="E3755" s="211">
        <f>'IWP06'!H$615</f>
        <v>0</v>
      </c>
      <c r="F3755" s="211">
        <f>'IWP06'!I$615</f>
        <v>0</v>
      </c>
      <c r="G3755" s="191" t="str">
        <f>IF('IWP06'!J$615=0,"",'IWP06'!J$615)</f>
        <v/>
      </c>
      <c r="H3755" s="211">
        <f>'IWP06'!K$615</f>
        <v>0</v>
      </c>
      <c r="I3755" s="211">
        <f>'IWP06'!L$615</f>
        <v>0</v>
      </c>
      <c r="J3755" s="212">
        <f>'IWP06'!M$615</f>
        <v>0</v>
      </c>
      <c r="K3755" s="106"/>
      <c r="L3755" s="106"/>
      <c r="M3755" s="129"/>
    </row>
    <row r="3756" spans="1:13" s="146" customFormat="1">
      <c r="A3756" s="193" t="s">
        <v>504</v>
      </c>
      <c r="B3756" s="210">
        <v>17</v>
      </c>
      <c r="C3756" s="191" t="str">
        <f>IF('IWP06'!E$616=0,"",'IWP06'!E$616)</f>
        <v/>
      </c>
      <c r="D3756" s="211">
        <f>'IWP06'!G$616</f>
        <v>0</v>
      </c>
      <c r="E3756" s="211">
        <f>'IWP06'!H$616</f>
        <v>0</v>
      </c>
      <c r="F3756" s="211">
        <f>'IWP06'!I$616</f>
        <v>0</v>
      </c>
      <c r="G3756" s="191" t="str">
        <f>IF('IWP06'!J$616=0,"",'IWP06'!J$616)</f>
        <v/>
      </c>
      <c r="H3756" s="211">
        <f>'IWP06'!K$616</f>
        <v>0</v>
      </c>
      <c r="I3756" s="211">
        <f>'IWP06'!L$616</f>
        <v>0</v>
      </c>
      <c r="J3756" s="212">
        <f>'IWP06'!M$616</f>
        <v>0</v>
      </c>
      <c r="K3756" s="106"/>
      <c r="L3756" s="106"/>
      <c r="M3756" s="129"/>
    </row>
    <row r="3757" spans="1:13" s="146" customFormat="1">
      <c r="A3757" s="193" t="s">
        <v>504</v>
      </c>
      <c r="B3757" s="210">
        <v>17</v>
      </c>
      <c r="C3757" s="191" t="str">
        <f>IF('IWP06'!E$617=0,"",'IWP06'!E$617)</f>
        <v/>
      </c>
      <c r="D3757" s="211">
        <f>'IWP06'!G$617</f>
        <v>0</v>
      </c>
      <c r="E3757" s="211">
        <f>'IWP06'!H$617</f>
        <v>0</v>
      </c>
      <c r="F3757" s="211">
        <f>'IWP06'!I$617</f>
        <v>0</v>
      </c>
      <c r="G3757" s="191" t="str">
        <f>IF('IWP06'!J$617=0,"",'IWP06'!J$617)</f>
        <v/>
      </c>
      <c r="H3757" s="211">
        <f>'IWP06'!K$617</f>
        <v>0</v>
      </c>
      <c r="I3757" s="211">
        <f>'IWP06'!L$617</f>
        <v>0</v>
      </c>
      <c r="J3757" s="212">
        <f>'IWP06'!M$617</f>
        <v>0</v>
      </c>
      <c r="K3757" s="106"/>
      <c r="L3757" s="106"/>
      <c r="M3757" s="129"/>
    </row>
    <row r="3758" spans="1:13" s="146" customFormat="1">
      <c r="A3758" s="193" t="s">
        <v>504</v>
      </c>
      <c r="B3758" s="210">
        <v>17</v>
      </c>
      <c r="C3758" s="191" t="str">
        <f>IF('IWP06'!E$618=0,"",'IWP06'!E$618)</f>
        <v/>
      </c>
      <c r="D3758" s="211">
        <f>'IWP06'!G$618</f>
        <v>0</v>
      </c>
      <c r="E3758" s="211">
        <f>'IWP06'!H$618</f>
        <v>0</v>
      </c>
      <c r="F3758" s="211">
        <f>'IWP06'!I$618</f>
        <v>0</v>
      </c>
      <c r="G3758" s="191" t="str">
        <f>IF('IWP06'!J$618=0,"",'IWP06'!J$618)</f>
        <v/>
      </c>
      <c r="H3758" s="211">
        <f>'IWP06'!K$618</f>
        <v>0</v>
      </c>
      <c r="I3758" s="211">
        <f>'IWP06'!L$618</f>
        <v>0</v>
      </c>
      <c r="J3758" s="212">
        <f>'IWP06'!M$618</f>
        <v>0</v>
      </c>
      <c r="K3758" s="106"/>
      <c r="L3758" s="106"/>
      <c r="M3758" s="129"/>
    </row>
    <row r="3759" spans="1:13" s="146" customFormat="1">
      <c r="A3759" s="193" t="s">
        <v>504</v>
      </c>
      <c r="B3759" s="210">
        <v>17</v>
      </c>
      <c r="C3759" s="191" t="str">
        <f>IF('IWP06'!E$619=0,"",'IWP06'!E$619)</f>
        <v/>
      </c>
      <c r="D3759" s="211">
        <f>'IWP06'!G$619</f>
        <v>0</v>
      </c>
      <c r="E3759" s="211">
        <f>'IWP06'!H$619</f>
        <v>0</v>
      </c>
      <c r="F3759" s="211">
        <f>'IWP06'!I$619</f>
        <v>0</v>
      </c>
      <c r="G3759" s="191" t="str">
        <f>IF('IWP06'!J$619=0,"",'IWP06'!J$619)</f>
        <v/>
      </c>
      <c r="H3759" s="211">
        <f>'IWP06'!K$619</f>
        <v>0</v>
      </c>
      <c r="I3759" s="211">
        <f>'IWP06'!L$619</f>
        <v>0</v>
      </c>
      <c r="J3759" s="212">
        <f>'IWP06'!M$619</f>
        <v>0</v>
      </c>
      <c r="K3759" s="106"/>
      <c r="L3759" s="106"/>
      <c r="M3759" s="129"/>
    </row>
    <row r="3760" spans="1:13" s="146" customFormat="1">
      <c r="A3760" s="193" t="s">
        <v>504</v>
      </c>
      <c r="B3760" s="210">
        <v>17</v>
      </c>
      <c r="C3760" s="191" t="str">
        <f>IF('IWP06'!E$620=0,"",'IWP06'!E$620)</f>
        <v/>
      </c>
      <c r="D3760" s="211">
        <f>'IWP06'!G$620</f>
        <v>0</v>
      </c>
      <c r="E3760" s="211">
        <f>'IWP06'!H$620</f>
        <v>0</v>
      </c>
      <c r="F3760" s="211">
        <f>'IWP06'!I$620</f>
        <v>0</v>
      </c>
      <c r="G3760" s="191" t="str">
        <f>IF('IWP06'!J$620=0,"",'IWP06'!J$620)</f>
        <v/>
      </c>
      <c r="H3760" s="211">
        <f>'IWP06'!K$620</f>
        <v>0</v>
      </c>
      <c r="I3760" s="211">
        <f>'IWP06'!L$620</f>
        <v>0</v>
      </c>
      <c r="J3760" s="212">
        <f>'IWP06'!M$620</f>
        <v>0</v>
      </c>
      <c r="K3760" s="106"/>
      <c r="L3760" s="106"/>
      <c r="M3760" s="129"/>
    </row>
    <row r="3761" spans="1:13" s="146" customFormat="1">
      <c r="A3761" s="193" t="s">
        <v>504</v>
      </c>
      <c r="B3761" s="210">
        <v>18</v>
      </c>
      <c r="C3761" s="191" t="str">
        <f>IF('IWP06'!E$627=0,"",'IWP06'!E$627)</f>
        <v/>
      </c>
      <c r="D3761" s="211">
        <f>'IWP06'!G$627</f>
        <v>0</v>
      </c>
      <c r="E3761" s="211">
        <f>'IWP06'!H$627</f>
        <v>0</v>
      </c>
      <c r="F3761" s="211">
        <f>'IWP06'!I$627</f>
        <v>0</v>
      </c>
      <c r="G3761" s="191" t="str">
        <f>IF('IWP06'!J$627=0,"",'IWP06'!J$627)</f>
        <v/>
      </c>
      <c r="H3761" s="211">
        <f>'IWP06'!K$627</f>
        <v>0</v>
      </c>
      <c r="I3761" s="211">
        <f>'IWP06'!L$627</f>
        <v>0</v>
      </c>
      <c r="J3761" s="212">
        <f>'IWP06'!M$627</f>
        <v>0</v>
      </c>
      <c r="K3761" s="106"/>
      <c r="L3761" s="106"/>
      <c r="M3761" s="129"/>
    </row>
    <row r="3762" spans="1:13" s="146" customFormat="1">
      <c r="A3762" s="193" t="s">
        <v>504</v>
      </c>
      <c r="B3762" s="210">
        <v>18</v>
      </c>
      <c r="C3762" s="191" t="str">
        <f>IF('IWP06'!E$628=0,"",'IWP06'!E$628)</f>
        <v/>
      </c>
      <c r="D3762" s="211">
        <f>'IWP06'!G$628</f>
        <v>0</v>
      </c>
      <c r="E3762" s="211">
        <f>'IWP06'!H$628</f>
        <v>0</v>
      </c>
      <c r="F3762" s="211">
        <f>'IWP06'!I$628</f>
        <v>0</v>
      </c>
      <c r="G3762" s="191" t="str">
        <f>IF('IWP06'!J$628=0,"",'IWP06'!J$628)</f>
        <v/>
      </c>
      <c r="H3762" s="211">
        <f>'IWP06'!K$628</f>
        <v>0</v>
      </c>
      <c r="I3762" s="211">
        <f>'IWP06'!L$628</f>
        <v>0</v>
      </c>
      <c r="J3762" s="212">
        <f>'IWP06'!M$628</f>
        <v>0</v>
      </c>
      <c r="K3762" s="106"/>
      <c r="L3762" s="106"/>
      <c r="M3762" s="129"/>
    </row>
    <row r="3763" spans="1:13" s="146" customFormat="1">
      <c r="A3763" s="193" t="s">
        <v>504</v>
      </c>
      <c r="B3763" s="210">
        <v>18</v>
      </c>
      <c r="C3763" s="191" t="str">
        <f>IF('IWP06'!E$629=0,"",'IWP06'!E$629)</f>
        <v/>
      </c>
      <c r="D3763" s="211">
        <f>'IWP06'!G$629</f>
        <v>0</v>
      </c>
      <c r="E3763" s="211">
        <f>'IWP06'!H$629</f>
        <v>0</v>
      </c>
      <c r="F3763" s="211">
        <f>'IWP06'!I$629</f>
        <v>0</v>
      </c>
      <c r="G3763" s="191" t="str">
        <f>IF('IWP06'!J$629=0,"",'IWP06'!J$629)</f>
        <v/>
      </c>
      <c r="H3763" s="211">
        <f>'IWP06'!K$629</f>
        <v>0</v>
      </c>
      <c r="I3763" s="211">
        <f>'IWP06'!L$629</f>
        <v>0</v>
      </c>
      <c r="J3763" s="212">
        <f>'IWP06'!M$629</f>
        <v>0</v>
      </c>
      <c r="K3763" s="106"/>
      <c r="L3763" s="106"/>
      <c r="M3763" s="129"/>
    </row>
    <row r="3764" spans="1:13" s="146" customFormat="1">
      <c r="A3764" s="193" t="s">
        <v>504</v>
      </c>
      <c r="B3764" s="210">
        <v>18</v>
      </c>
      <c r="C3764" s="191" t="str">
        <f>IF('IWP06'!E$630=0,"",'IWP06'!E$630)</f>
        <v/>
      </c>
      <c r="D3764" s="211">
        <f>'IWP06'!G$630</f>
        <v>0</v>
      </c>
      <c r="E3764" s="211">
        <f>'IWP06'!H$630</f>
        <v>0</v>
      </c>
      <c r="F3764" s="211">
        <f>'IWP06'!I$630</f>
        <v>0</v>
      </c>
      <c r="G3764" s="191" t="str">
        <f>IF('IWP06'!J$630=0,"",'IWP06'!J$630)</f>
        <v/>
      </c>
      <c r="H3764" s="211">
        <f>'IWP06'!K$630</f>
        <v>0</v>
      </c>
      <c r="I3764" s="211">
        <f>'IWP06'!L$630</f>
        <v>0</v>
      </c>
      <c r="J3764" s="212">
        <f>'IWP06'!M$630</f>
        <v>0</v>
      </c>
      <c r="K3764" s="106"/>
      <c r="L3764" s="106"/>
      <c r="M3764" s="129"/>
    </row>
    <row r="3765" spans="1:13" s="146" customFormat="1">
      <c r="A3765" s="193" t="s">
        <v>504</v>
      </c>
      <c r="B3765" s="210">
        <v>18</v>
      </c>
      <c r="C3765" s="191" t="str">
        <f>IF('IWP06'!E$631=0,"",'IWP06'!E$631)</f>
        <v/>
      </c>
      <c r="D3765" s="211">
        <f>'IWP06'!G$631</f>
        <v>0</v>
      </c>
      <c r="E3765" s="211">
        <f>'IWP06'!H$631</f>
        <v>0</v>
      </c>
      <c r="F3765" s="211">
        <f>'IWP06'!I$631</f>
        <v>0</v>
      </c>
      <c r="G3765" s="191" t="str">
        <f>IF('IWP06'!J$631=0,"",'IWP06'!J$631)</f>
        <v/>
      </c>
      <c r="H3765" s="211">
        <f>'IWP06'!K$631</f>
        <v>0</v>
      </c>
      <c r="I3765" s="211">
        <f>'IWP06'!L$631</f>
        <v>0</v>
      </c>
      <c r="J3765" s="212">
        <f>'IWP06'!M$631</f>
        <v>0</v>
      </c>
      <c r="K3765" s="106"/>
      <c r="L3765" s="106"/>
      <c r="M3765" s="129"/>
    </row>
    <row r="3766" spans="1:13" s="146" customFormat="1">
      <c r="A3766" s="193" t="s">
        <v>504</v>
      </c>
      <c r="B3766" s="210">
        <v>18</v>
      </c>
      <c r="C3766" s="191" t="str">
        <f>IF('IWP06'!E$632=0,"",'IWP06'!E$632)</f>
        <v/>
      </c>
      <c r="D3766" s="211">
        <f>'IWP06'!G$632</f>
        <v>0</v>
      </c>
      <c r="E3766" s="211">
        <f>'IWP06'!H$632</f>
        <v>0</v>
      </c>
      <c r="F3766" s="211">
        <f>'IWP06'!I$632</f>
        <v>0</v>
      </c>
      <c r="G3766" s="191" t="str">
        <f>IF('IWP06'!J$632=0,"",'IWP06'!J$632)</f>
        <v/>
      </c>
      <c r="H3766" s="211">
        <f>'IWP06'!K$632</f>
        <v>0</v>
      </c>
      <c r="I3766" s="211">
        <f>'IWP06'!L$632</f>
        <v>0</v>
      </c>
      <c r="J3766" s="212">
        <f>'IWP06'!M$632</f>
        <v>0</v>
      </c>
      <c r="K3766" s="106"/>
      <c r="L3766" s="106"/>
      <c r="M3766" s="129"/>
    </row>
    <row r="3767" spans="1:13" s="146" customFormat="1">
      <c r="A3767" s="193" t="s">
        <v>504</v>
      </c>
      <c r="B3767" s="210">
        <v>18</v>
      </c>
      <c r="C3767" s="191" t="str">
        <f>IF('IWP06'!E$633=0,"",'IWP06'!E$633)</f>
        <v/>
      </c>
      <c r="D3767" s="211">
        <f>'IWP06'!G$633</f>
        <v>0</v>
      </c>
      <c r="E3767" s="211">
        <f>'IWP06'!H$633</f>
        <v>0</v>
      </c>
      <c r="F3767" s="211">
        <f>'IWP06'!I$633</f>
        <v>0</v>
      </c>
      <c r="G3767" s="191" t="str">
        <f>IF('IWP06'!J$633=0,"",'IWP06'!J$633)</f>
        <v/>
      </c>
      <c r="H3767" s="211">
        <f>'IWP06'!K$633</f>
        <v>0</v>
      </c>
      <c r="I3767" s="211">
        <f>'IWP06'!L$633</f>
        <v>0</v>
      </c>
      <c r="J3767" s="212">
        <f>'IWP06'!M$633</f>
        <v>0</v>
      </c>
      <c r="K3767" s="106"/>
      <c r="L3767" s="106"/>
      <c r="M3767" s="129"/>
    </row>
    <row r="3768" spans="1:13" s="146" customFormat="1">
      <c r="A3768" s="193" t="s">
        <v>504</v>
      </c>
      <c r="B3768" s="210">
        <v>18</v>
      </c>
      <c r="C3768" s="191" t="str">
        <f>IF('IWP06'!E$634=0,"",'IWP06'!E$634)</f>
        <v/>
      </c>
      <c r="D3768" s="211">
        <f>'IWP06'!G$634</f>
        <v>0</v>
      </c>
      <c r="E3768" s="211">
        <f>'IWP06'!H$634</f>
        <v>0</v>
      </c>
      <c r="F3768" s="211">
        <f>'IWP06'!I$634</f>
        <v>0</v>
      </c>
      <c r="G3768" s="191" t="str">
        <f>IF('IWP06'!J$634=0,"",'IWP06'!J$634)</f>
        <v/>
      </c>
      <c r="H3768" s="211">
        <f>'IWP06'!K$634</f>
        <v>0</v>
      </c>
      <c r="I3768" s="211">
        <f>'IWP06'!L$634</f>
        <v>0</v>
      </c>
      <c r="J3768" s="212">
        <f>'IWP06'!M$634</f>
        <v>0</v>
      </c>
      <c r="K3768" s="106"/>
      <c r="L3768" s="106"/>
      <c r="M3768" s="129"/>
    </row>
    <row r="3769" spans="1:13" s="146" customFormat="1">
      <c r="A3769" s="193" t="s">
        <v>504</v>
      </c>
      <c r="B3769" s="210">
        <v>18</v>
      </c>
      <c r="C3769" s="191" t="str">
        <f>IF('IWP06'!E$635=0,"",'IWP06'!E$635)</f>
        <v/>
      </c>
      <c r="D3769" s="211">
        <f>'IWP06'!G$635</f>
        <v>0</v>
      </c>
      <c r="E3769" s="211">
        <f>'IWP06'!H$635</f>
        <v>0</v>
      </c>
      <c r="F3769" s="211">
        <f>'IWP06'!I$635</f>
        <v>0</v>
      </c>
      <c r="G3769" s="191" t="str">
        <f>IF('IWP06'!J$635=0,"",'IWP06'!J$635)</f>
        <v/>
      </c>
      <c r="H3769" s="211">
        <f>'IWP06'!K$635</f>
        <v>0</v>
      </c>
      <c r="I3769" s="211">
        <f>'IWP06'!L$635</f>
        <v>0</v>
      </c>
      <c r="J3769" s="212">
        <f>'IWP06'!M$635</f>
        <v>0</v>
      </c>
      <c r="K3769" s="106"/>
      <c r="L3769" s="106"/>
      <c r="M3769" s="129"/>
    </row>
    <row r="3770" spans="1:13" s="146" customFormat="1">
      <c r="A3770" s="193" t="s">
        <v>504</v>
      </c>
      <c r="B3770" s="210">
        <v>18</v>
      </c>
      <c r="C3770" s="191" t="str">
        <f>IF('IWP06'!E$636=0,"",'IWP06'!E$636)</f>
        <v/>
      </c>
      <c r="D3770" s="211">
        <f>'IWP06'!G$636</f>
        <v>0</v>
      </c>
      <c r="E3770" s="211">
        <f>'IWP06'!H$636</f>
        <v>0</v>
      </c>
      <c r="F3770" s="211">
        <f>'IWP06'!I$636</f>
        <v>0</v>
      </c>
      <c r="G3770" s="191" t="str">
        <f>IF('IWP06'!J$636=0,"",'IWP06'!J$636)</f>
        <v/>
      </c>
      <c r="H3770" s="211">
        <f>'IWP06'!K$636</f>
        <v>0</v>
      </c>
      <c r="I3770" s="211">
        <f>'IWP06'!L$636</f>
        <v>0</v>
      </c>
      <c r="J3770" s="212">
        <f>'IWP06'!M$636</f>
        <v>0</v>
      </c>
      <c r="K3770" s="106"/>
      <c r="L3770" s="106"/>
      <c r="M3770" s="129"/>
    </row>
    <row r="3771" spans="1:13" s="146" customFormat="1">
      <c r="A3771" s="193" t="s">
        <v>505</v>
      </c>
      <c r="B3771" s="210">
        <v>1</v>
      </c>
      <c r="C3771" s="191" t="str">
        <f>IF('IWP07'!E$355=0,"",'IWP07'!E$355)</f>
        <v>Subtotal column D.</v>
      </c>
      <c r="D3771" s="211">
        <f>'IWP07'!G$355</f>
        <v>0</v>
      </c>
      <c r="E3771" s="211">
        <f>'IWP07'!H$355</f>
        <v>0</v>
      </c>
      <c r="F3771" s="211">
        <f>'IWP07'!I$355</f>
        <v>0</v>
      </c>
      <c r="G3771" s="191" t="str">
        <f>IF('IWP07'!J$355=0,"",'IWP07'!J$355)</f>
        <v/>
      </c>
      <c r="H3771" s="211">
        <f>'IWP07'!K$355</f>
        <v>0</v>
      </c>
      <c r="I3771" s="211">
        <f>'IWP07'!L$355</f>
        <v>0</v>
      </c>
      <c r="J3771" s="212">
        <f>'IWP07'!M$355</f>
        <v>0</v>
      </c>
      <c r="K3771" s="106"/>
      <c r="L3771" s="106"/>
      <c r="M3771" s="129"/>
    </row>
    <row r="3772" spans="1:13" s="146" customFormat="1">
      <c r="A3772" s="193" t="s">
        <v>505</v>
      </c>
      <c r="B3772" s="210">
        <v>1</v>
      </c>
      <c r="C3772" s="191" t="str">
        <f>IF('IWP07'!E$356=0,"",'IWP07'!E$356)</f>
        <v>Unverified/Undocumented (Subtotall D - C)</v>
      </c>
      <c r="D3772" s="211">
        <f>'IWP07'!G$356</f>
        <v>0</v>
      </c>
      <c r="E3772" s="211">
        <f>'IWP07'!H$356</f>
        <v>0</v>
      </c>
      <c r="F3772" s="211">
        <f>'IWP07'!I$356</f>
        <v>0</v>
      </c>
      <c r="G3772" s="191" t="str">
        <f>IF('IWP07'!J$356=0,"",'IWP07'!J$356)</f>
        <v/>
      </c>
      <c r="H3772" s="211">
        <f>'IWP07'!K$356</f>
        <v>0</v>
      </c>
      <c r="I3772" s="211">
        <f>'IWP07'!L$356</f>
        <v>0</v>
      </c>
      <c r="J3772" s="212">
        <f>'IWP07'!M$356</f>
        <v>0</v>
      </c>
      <c r="K3772" s="106"/>
      <c r="L3772" s="106"/>
      <c r="M3772" s="129"/>
    </row>
    <row r="3773" spans="1:13" s="146" customFormat="1">
      <c r="A3773" s="193" t="s">
        <v>505</v>
      </c>
      <c r="B3773" s="210">
        <v>1</v>
      </c>
      <c r="C3773" s="191" t="str">
        <f>IF('IWP07'!E$357=0,"",'IWP07'!E$357)</f>
        <v>J. Billing Period Total</v>
      </c>
      <c r="D3773" s="211">
        <f>'IWP07'!G$357</f>
        <v>0</v>
      </c>
      <c r="E3773" s="211">
        <f>'IWP07'!H$357</f>
        <v>0</v>
      </c>
      <c r="F3773" s="211">
        <f>'IWP07'!I$357</f>
        <v>0</v>
      </c>
      <c r="G3773" s="191" t="str">
        <f>IF('IWP07'!J$357=0,"",'IWP07'!J$357)</f>
        <v/>
      </c>
      <c r="H3773" s="211">
        <f>'IWP07'!K$357</f>
        <v>0</v>
      </c>
      <c r="I3773" s="211">
        <f>'IWP07'!L$357</f>
        <v>0</v>
      </c>
      <c r="J3773" s="212">
        <f>'IWP07'!M$357</f>
        <v>0</v>
      </c>
      <c r="K3773" s="106"/>
      <c r="L3773" s="106"/>
      <c r="M3773" s="129"/>
    </row>
    <row r="3774" spans="1:13" s="146" customFormat="1">
      <c r="A3774" s="193" t="s">
        <v>505</v>
      </c>
      <c r="B3774" s="210">
        <v>1</v>
      </c>
      <c r="C3774" s="191" t="str">
        <f>IF('IWP07'!E$358=0,"",'IWP07'!E$358)</f>
        <v>D.</v>
      </c>
      <c r="D3774" s="211">
        <f>'IWP07'!G$358</f>
        <v>0</v>
      </c>
      <c r="E3774" s="211" t="str">
        <f>'IWP07'!H$358</f>
        <v>E.</v>
      </c>
      <c r="F3774" s="211" t="str">
        <f>'IWP07'!I$358</f>
        <v>F.</v>
      </c>
      <c r="G3774" s="191" t="str">
        <f>IF('IWP07'!J$358=0,"",'IWP07'!J$358)</f>
        <v>G.</v>
      </c>
      <c r="H3774" s="211">
        <f>'IWP07'!K$358</f>
        <v>0</v>
      </c>
      <c r="I3774" s="211" t="str">
        <f>'IWP07'!L$358</f>
        <v>H.</v>
      </c>
      <c r="J3774" s="212" t="str">
        <f>'IWP07'!M$358</f>
        <v>I.</v>
      </c>
      <c r="K3774" s="106"/>
      <c r="L3774" s="106"/>
      <c r="M3774" s="129"/>
    </row>
    <row r="3775" spans="1:13" s="146" customFormat="1">
      <c r="A3775" s="193" t="s">
        <v>505</v>
      </c>
      <c r="B3775" s="210">
        <v>1</v>
      </c>
      <c r="C3775" s="191" t="str">
        <f>IF('IWP07'!E$359=0,"",'IWP07'!E$359)</f>
        <v xml:space="preserve">Items/Services Related to Billing Period </v>
      </c>
      <c r="D3775" s="211">
        <f>'IWP07'!G$359</f>
        <v>0</v>
      </c>
      <c r="E3775" s="211" t="str">
        <f>'IWP07'!H$359</f>
        <v xml:space="preserve">Item/
Service Verified Amounts
</v>
      </c>
      <c r="F3775" s="211" t="str">
        <f>'IWP07'!I$359</f>
        <v>Amount Due to DADS (E. - D.)</v>
      </c>
      <c r="G3775" s="191" t="str">
        <f>IF('IWP07'!J$359=0,"",'IWP07'!J$359)</f>
        <v>Amount Reimbursed to 
Employee(s)/Employer</v>
      </c>
      <c r="H3775" s="211">
        <f>'IWP07'!K$359</f>
        <v>0</v>
      </c>
      <c r="I3775" s="211" t="str">
        <f>'IWP07'!L$359</f>
        <v>Amount Due to Employee(s) (G. - E.)</v>
      </c>
      <c r="J3775" s="212" t="str">
        <f>'IWP07'!M$359</f>
        <v>Amount Due to Employer (G. - E.)</v>
      </c>
      <c r="K3775" s="106"/>
      <c r="L3775" s="106"/>
      <c r="M3775" s="129"/>
    </row>
    <row r="3776" spans="1:13" s="146" customFormat="1">
      <c r="A3776" s="193" t="s">
        <v>505</v>
      </c>
      <c r="B3776" s="210">
        <v>1</v>
      </c>
      <c r="C3776" s="191" t="str">
        <f>IF('IWP07'!E$360=0,"",'IWP07'!E$360)</f>
        <v>Item/Service</v>
      </c>
      <c r="D3776" s="211" t="str">
        <f>'IWP07'!G$360</f>
        <v>Itemized Amount Paid by DADS</v>
      </c>
      <c r="E3776" s="211">
        <f>'IWP07'!H$360</f>
        <v>0</v>
      </c>
      <c r="F3776" s="211">
        <f>'IWP07'!I$360</f>
        <v>0</v>
      </c>
      <c r="G3776" s="191" t="str">
        <f>IF('IWP07'!J$360=0,"",'IWP07'!J$360)</f>
        <v/>
      </c>
      <c r="H3776" s="211">
        <f>'IWP07'!K$360</f>
        <v>0</v>
      </c>
      <c r="I3776" s="211">
        <f>'IWP07'!L$360</f>
        <v>0</v>
      </c>
      <c r="J3776" s="212">
        <f>'IWP07'!M$360</f>
        <v>0</v>
      </c>
      <c r="K3776" s="106"/>
      <c r="L3776" s="106"/>
      <c r="M3776" s="129"/>
    </row>
    <row r="3777" spans="1:13" s="146" customFormat="1">
      <c r="A3777" s="193" t="s">
        <v>505</v>
      </c>
      <c r="B3777" s="210">
        <v>1</v>
      </c>
      <c r="C3777" s="191" t="str">
        <f>IF('IWP07'!E$361=0,"",'IWP07'!E$361)</f>
        <v/>
      </c>
      <c r="D3777" s="211">
        <f>'IWP07'!G$361</f>
        <v>0</v>
      </c>
      <c r="E3777" s="211">
        <f>'IWP07'!H$361</f>
        <v>0</v>
      </c>
      <c r="F3777" s="211">
        <f>'IWP07'!I$361</f>
        <v>0</v>
      </c>
      <c r="G3777" s="191" t="str">
        <f>IF('IWP07'!J$361=0,"",'IWP07'!J$361)</f>
        <v/>
      </c>
      <c r="H3777" s="211">
        <f>'IWP07'!K$361</f>
        <v>0</v>
      </c>
      <c r="I3777" s="211">
        <f>'IWP07'!L$361</f>
        <v>0</v>
      </c>
      <c r="J3777" s="212">
        <f>'IWP07'!M$361</f>
        <v>0</v>
      </c>
      <c r="K3777" s="106"/>
      <c r="L3777" s="106"/>
      <c r="M3777" s="129"/>
    </row>
    <row r="3778" spans="1:13" s="146" customFormat="1">
      <c r="A3778" s="193" t="s">
        <v>505</v>
      </c>
      <c r="B3778" s="210">
        <v>1</v>
      </c>
      <c r="C3778" s="191" t="str">
        <f>IF('IWP07'!E$362=0,"",'IWP07'!E$362)</f>
        <v/>
      </c>
      <c r="D3778" s="211">
        <f>'IWP07'!G$362</f>
        <v>0</v>
      </c>
      <c r="E3778" s="211">
        <f>'IWP07'!H$362</f>
        <v>0</v>
      </c>
      <c r="F3778" s="211">
        <f>'IWP07'!I$362</f>
        <v>0</v>
      </c>
      <c r="G3778" s="191" t="str">
        <f>IF('IWP07'!J$362=0,"",'IWP07'!J$362)</f>
        <v/>
      </c>
      <c r="H3778" s="211">
        <f>'IWP07'!K$362</f>
        <v>0</v>
      </c>
      <c r="I3778" s="211">
        <f>'IWP07'!L$362</f>
        <v>0</v>
      </c>
      <c r="J3778" s="212">
        <f>'IWP07'!M$362</f>
        <v>0</v>
      </c>
      <c r="K3778" s="106"/>
      <c r="L3778" s="106"/>
      <c r="M3778" s="129"/>
    </row>
    <row r="3779" spans="1:13" s="146" customFormat="1">
      <c r="A3779" s="193" t="s">
        <v>505</v>
      </c>
      <c r="B3779" s="210">
        <v>1</v>
      </c>
      <c r="C3779" s="191" t="str">
        <f>IF('IWP07'!E$363=0,"",'IWP07'!E$363)</f>
        <v/>
      </c>
      <c r="D3779" s="211">
        <f>'IWP07'!G$363</f>
        <v>0</v>
      </c>
      <c r="E3779" s="211">
        <f>'IWP07'!H$363</f>
        <v>0</v>
      </c>
      <c r="F3779" s="211">
        <f>'IWP07'!I$363</f>
        <v>0</v>
      </c>
      <c r="G3779" s="191" t="str">
        <f>IF('IWP07'!J$363=0,"",'IWP07'!J$363)</f>
        <v/>
      </c>
      <c r="H3779" s="211">
        <f>'IWP07'!K$363</f>
        <v>0</v>
      </c>
      <c r="I3779" s="211">
        <f>'IWP07'!L$363</f>
        <v>0</v>
      </c>
      <c r="J3779" s="212">
        <f>'IWP07'!M$363</f>
        <v>0</v>
      </c>
      <c r="K3779" s="106"/>
      <c r="L3779" s="106"/>
      <c r="M3779" s="129"/>
    </row>
    <row r="3780" spans="1:13" s="146" customFormat="1">
      <c r="A3780" s="193" t="s">
        <v>505</v>
      </c>
      <c r="B3780" s="210">
        <v>1</v>
      </c>
      <c r="C3780" s="191" t="str">
        <f>IF('IWP07'!E$364=0,"",'IWP07'!E$364)</f>
        <v/>
      </c>
      <c r="D3780" s="211">
        <f>'IWP07'!G$364</f>
        <v>0</v>
      </c>
      <c r="E3780" s="211">
        <f>'IWP07'!H$364</f>
        <v>0</v>
      </c>
      <c r="F3780" s="211">
        <f>'IWP07'!I$364</f>
        <v>0</v>
      </c>
      <c r="G3780" s="191" t="str">
        <f>IF('IWP07'!J$364=0,"",'IWP07'!J$364)</f>
        <v/>
      </c>
      <c r="H3780" s="211">
        <f>'IWP07'!K$364</f>
        <v>0</v>
      </c>
      <c r="I3780" s="211">
        <f>'IWP07'!L$364</f>
        <v>0</v>
      </c>
      <c r="J3780" s="212">
        <f>'IWP07'!M$364</f>
        <v>0</v>
      </c>
      <c r="K3780" s="106"/>
      <c r="L3780" s="106"/>
      <c r="M3780" s="129"/>
    </row>
    <row r="3781" spans="1:13" s="146" customFormat="1">
      <c r="A3781" s="193" t="s">
        <v>505</v>
      </c>
      <c r="B3781" s="210">
        <v>2</v>
      </c>
      <c r="C3781" s="191" t="str">
        <f>IF('IWP07'!E$371=0,"",'IWP07'!E$371)</f>
        <v>Subtotal column D.</v>
      </c>
      <c r="D3781" s="211">
        <f>'IWP07'!G$371</f>
        <v>0</v>
      </c>
      <c r="E3781" s="211">
        <f>'IWP07'!H$371</f>
        <v>0</v>
      </c>
      <c r="F3781" s="211">
        <f>'IWP07'!I$371</f>
        <v>0</v>
      </c>
      <c r="G3781" s="191" t="str">
        <f>IF('IWP07'!J$371=0,"",'IWP07'!J$371)</f>
        <v/>
      </c>
      <c r="H3781" s="211">
        <f>'IWP07'!K$371</f>
        <v>0</v>
      </c>
      <c r="I3781" s="211">
        <f>'IWP07'!L$371</f>
        <v>0</v>
      </c>
      <c r="J3781" s="212">
        <f>'IWP07'!M$371</f>
        <v>0</v>
      </c>
      <c r="K3781" s="106"/>
      <c r="L3781" s="106"/>
      <c r="M3781" s="129"/>
    </row>
    <row r="3782" spans="1:13" s="146" customFormat="1">
      <c r="A3782" s="193" t="s">
        <v>505</v>
      </c>
      <c r="B3782" s="210">
        <v>2</v>
      </c>
      <c r="C3782" s="191" t="str">
        <f>IF('IWP07'!E$372=0,"",'IWP07'!E$372)</f>
        <v>Unverified/Undocumented (Subtotal D - C)</v>
      </c>
      <c r="D3782" s="211">
        <f>'IWP07'!G$372</f>
        <v>0</v>
      </c>
      <c r="E3782" s="211">
        <f>'IWP07'!H$372</f>
        <v>0</v>
      </c>
      <c r="F3782" s="211">
        <f>'IWP07'!I$372</f>
        <v>0</v>
      </c>
      <c r="G3782" s="191" t="str">
        <f>IF('IWP07'!J$372=0,"",'IWP07'!J$372)</f>
        <v/>
      </c>
      <c r="H3782" s="211">
        <f>'IWP07'!K$372</f>
        <v>0</v>
      </c>
      <c r="I3782" s="211">
        <f>'IWP07'!L$372</f>
        <v>0</v>
      </c>
      <c r="J3782" s="212">
        <f>'IWP07'!M$372</f>
        <v>0</v>
      </c>
      <c r="K3782" s="106"/>
      <c r="L3782" s="106"/>
      <c r="M3782" s="129"/>
    </row>
    <row r="3783" spans="1:13" s="146" customFormat="1">
      <c r="A3783" s="193" t="s">
        <v>505</v>
      </c>
      <c r="B3783" s="210">
        <v>2</v>
      </c>
      <c r="C3783" s="191" t="str">
        <f>IF('IWP07'!E$373=0,"",'IWP07'!E$373)</f>
        <v>J. Billing Period Total</v>
      </c>
      <c r="D3783" s="211">
        <f>'IWP07'!G$373</f>
        <v>0</v>
      </c>
      <c r="E3783" s="211">
        <f>'IWP07'!H$373</f>
        <v>0</v>
      </c>
      <c r="F3783" s="211">
        <f>'IWP07'!I$373</f>
        <v>0</v>
      </c>
      <c r="G3783" s="191" t="str">
        <f>IF('IWP07'!J$373=0,"",'IWP07'!J$373)</f>
        <v/>
      </c>
      <c r="H3783" s="211">
        <f>'IWP07'!K$373</f>
        <v>0</v>
      </c>
      <c r="I3783" s="211">
        <f>'IWP07'!L$373</f>
        <v>0</v>
      </c>
      <c r="J3783" s="212">
        <f>'IWP07'!M$373</f>
        <v>0</v>
      </c>
      <c r="K3783" s="106"/>
      <c r="L3783" s="106"/>
      <c r="M3783" s="129"/>
    </row>
    <row r="3784" spans="1:13" s="146" customFormat="1">
      <c r="A3784" s="193" t="s">
        <v>505</v>
      </c>
      <c r="B3784" s="210">
        <v>2</v>
      </c>
      <c r="C3784" s="191" t="str">
        <f>IF('IWP07'!E$374=0,"",'IWP07'!E$374)</f>
        <v>D.</v>
      </c>
      <c r="D3784" s="211">
        <f>'IWP07'!G$374</f>
        <v>0</v>
      </c>
      <c r="E3784" s="211" t="str">
        <f>'IWP07'!H$374</f>
        <v>E.</v>
      </c>
      <c r="F3784" s="211" t="str">
        <f>'IWP07'!I$374</f>
        <v>F.</v>
      </c>
      <c r="G3784" s="191" t="str">
        <f>IF('IWP07'!J$374=0,"",'IWP07'!J$374)</f>
        <v>G.</v>
      </c>
      <c r="H3784" s="211">
        <f>'IWP07'!K$374</f>
        <v>0</v>
      </c>
      <c r="I3784" s="211" t="str">
        <f>'IWP07'!L$374</f>
        <v>H.</v>
      </c>
      <c r="J3784" s="212" t="str">
        <f>'IWP07'!M$374</f>
        <v>I.</v>
      </c>
      <c r="K3784" s="106"/>
      <c r="L3784" s="106"/>
      <c r="M3784" s="129"/>
    </row>
    <row r="3785" spans="1:13" s="146" customFormat="1">
      <c r="A3785" s="193" t="s">
        <v>505</v>
      </c>
      <c r="B3785" s="210">
        <v>2</v>
      </c>
      <c r="C3785" s="191" t="str">
        <f>IF('IWP07'!E$375=0,"",'IWP07'!E$375)</f>
        <v xml:space="preserve">Items/Services Related to Billing Period </v>
      </c>
      <c r="D3785" s="211">
        <f>'IWP07'!G$375</f>
        <v>0</v>
      </c>
      <c r="E3785" s="211" t="str">
        <f>'IWP07'!H$375</f>
        <v xml:space="preserve">Item/
Service Verified Amounts
</v>
      </c>
      <c r="F3785" s="211" t="str">
        <f>'IWP07'!I$375</f>
        <v>Amount Due to DADS (E. - D.)</v>
      </c>
      <c r="G3785" s="191" t="str">
        <f>IF('IWP07'!J$375=0,"",'IWP07'!J$375)</f>
        <v>Amount Reimbursed to 
Employee(s)/Employer</v>
      </c>
      <c r="H3785" s="211">
        <f>'IWP07'!K$375</f>
        <v>0</v>
      </c>
      <c r="I3785" s="211" t="str">
        <f>'IWP07'!L$375</f>
        <v>Amount Due to Employee(s) (G. - E.)</v>
      </c>
      <c r="J3785" s="212" t="str">
        <f>'IWP07'!M$375</f>
        <v>Amount Due to Employer (G. - E.)</v>
      </c>
      <c r="K3785" s="106"/>
      <c r="L3785" s="106"/>
      <c r="M3785" s="129"/>
    </row>
    <row r="3786" spans="1:13" s="146" customFormat="1">
      <c r="A3786" s="193" t="s">
        <v>505</v>
      </c>
      <c r="B3786" s="210">
        <v>2</v>
      </c>
      <c r="C3786" s="191" t="str">
        <f>IF('IWP07'!E$376=0,"",'IWP07'!E$376)</f>
        <v>Item/Service</v>
      </c>
      <c r="D3786" s="211" t="str">
        <f>'IWP07'!G$376</f>
        <v>Itemized Amount Paid by DADS</v>
      </c>
      <c r="E3786" s="211">
        <f>'IWP07'!H$376</f>
        <v>0</v>
      </c>
      <c r="F3786" s="211">
        <f>'IWP07'!I$376</f>
        <v>0</v>
      </c>
      <c r="G3786" s="191" t="str">
        <f>IF('IWP07'!J$376=0,"",'IWP07'!J$376)</f>
        <v/>
      </c>
      <c r="H3786" s="211">
        <f>'IWP07'!K$376</f>
        <v>0</v>
      </c>
      <c r="I3786" s="211">
        <f>'IWP07'!L$376</f>
        <v>0</v>
      </c>
      <c r="J3786" s="212">
        <f>'IWP07'!M$376</f>
        <v>0</v>
      </c>
      <c r="K3786" s="106"/>
      <c r="L3786" s="106"/>
      <c r="M3786" s="129"/>
    </row>
    <row r="3787" spans="1:13" s="146" customFormat="1">
      <c r="A3787" s="193" t="s">
        <v>505</v>
      </c>
      <c r="B3787" s="210">
        <v>2</v>
      </c>
      <c r="C3787" s="191" t="str">
        <f>IF('IWP07'!E$377=0,"",'IWP07'!E$377)</f>
        <v/>
      </c>
      <c r="D3787" s="211">
        <f>'IWP07'!G$377</f>
        <v>0</v>
      </c>
      <c r="E3787" s="211">
        <f>'IWP07'!H$377</f>
        <v>0</v>
      </c>
      <c r="F3787" s="211">
        <f>'IWP07'!I$377</f>
        <v>0</v>
      </c>
      <c r="G3787" s="191" t="str">
        <f>IF('IWP07'!J$377=0,"",'IWP07'!J$377)</f>
        <v/>
      </c>
      <c r="H3787" s="211">
        <f>'IWP07'!K$377</f>
        <v>0</v>
      </c>
      <c r="I3787" s="211">
        <f>'IWP07'!L$377</f>
        <v>0</v>
      </c>
      <c r="J3787" s="212">
        <f>'IWP07'!M$377</f>
        <v>0</v>
      </c>
      <c r="K3787" s="106"/>
      <c r="L3787" s="106"/>
      <c r="M3787" s="129"/>
    </row>
    <row r="3788" spans="1:13" s="146" customFormat="1">
      <c r="A3788" s="193" t="s">
        <v>505</v>
      </c>
      <c r="B3788" s="210">
        <v>2</v>
      </c>
      <c r="C3788" s="191" t="str">
        <f>IF('IWP07'!E$378=0,"",'IWP07'!E$378)</f>
        <v/>
      </c>
      <c r="D3788" s="211">
        <f>'IWP07'!G$378</f>
        <v>0</v>
      </c>
      <c r="E3788" s="211">
        <f>'IWP07'!H$378</f>
        <v>0</v>
      </c>
      <c r="F3788" s="211">
        <f>'IWP07'!I$378</f>
        <v>0</v>
      </c>
      <c r="G3788" s="191" t="str">
        <f>IF('IWP07'!J$378=0,"",'IWP07'!J$378)</f>
        <v/>
      </c>
      <c r="H3788" s="211">
        <f>'IWP07'!K$378</f>
        <v>0</v>
      </c>
      <c r="I3788" s="211">
        <f>'IWP07'!L$378</f>
        <v>0</v>
      </c>
      <c r="J3788" s="212">
        <f>'IWP07'!M$378</f>
        <v>0</v>
      </c>
      <c r="K3788" s="106"/>
      <c r="L3788" s="106"/>
      <c r="M3788" s="129"/>
    </row>
    <row r="3789" spans="1:13" s="146" customFormat="1">
      <c r="A3789" s="193" t="s">
        <v>505</v>
      </c>
      <c r="B3789" s="210">
        <v>2</v>
      </c>
      <c r="C3789" s="191" t="str">
        <f>IF('IWP07'!E$379=0,"",'IWP07'!E$379)</f>
        <v/>
      </c>
      <c r="D3789" s="211">
        <f>'IWP07'!G$379</f>
        <v>0</v>
      </c>
      <c r="E3789" s="211">
        <f>'IWP07'!H$379</f>
        <v>0</v>
      </c>
      <c r="F3789" s="211">
        <f>'IWP07'!I$379</f>
        <v>0</v>
      </c>
      <c r="G3789" s="191" t="str">
        <f>IF('IWP07'!J$379=0,"",'IWP07'!J$379)</f>
        <v/>
      </c>
      <c r="H3789" s="211">
        <f>'IWP07'!K$379</f>
        <v>0</v>
      </c>
      <c r="I3789" s="211">
        <f>'IWP07'!L$379</f>
        <v>0</v>
      </c>
      <c r="J3789" s="212">
        <f>'IWP07'!M$379</f>
        <v>0</v>
      </c>
      <c r="K3789" s="106"/>
      <c r="L3789" s="106"/>
      <c r="M3789" s="129"/>
    </row>
    <row r="3790" spans="1:13" s="146" customFormat="1">
      <c r="A3790" s="193" t="s">
        <v>505</v>
      </c>
      <c r="B3790" s="210">
        <v>2</v>
      </c>
      <c r="C3790" s="191" t="str">
        <f>IF('IWP07'!E$380=0,"",'IWP07'!E$380)</f>
        <v/>
      </c>
      <c r="D3790" s="211">
        <f>'IWP07'!G$380</f>
        <v>0</v>
      </c>
      <c r="E3790" s="211">
        <f>'IWP07'!H$380</f>
        <v>0</v>
      </c>
      <c r="F3790" s="211">
        <f>'IWP07'!I$380</f>
        <v>0</v>
      </c>
      <c r="G3790" s="191" t="str">
        <f>IF('IWP07'!J$380=0,"",'IWP07'!J$380)</f>
        <v/>
      </c>
      <c r="H3790" s="211">
        <f>'IWP07'!K$380</f>
        <v>0</v>
      </c>
      <c r="I3790" s="211">
        <f>'IWP07'!L$380</f>
        <v>0</v>
      </c>
      <c r="J3790" s="212">
        <f>'IWP07'!M$380</f>
        <v>0</v>
      </c>
      <c r="K3790" s="106"/>
      <c r="L3790" s="106"/>
      <c r="M3790" s="129"/>
    </row>
    <row r="3791" spans="1:13" s="146" customFormat="1">
      <c r="A3791" s="193" t="s">
        <v>505</v>
      </c>
      <c r="B3791" s="210">
        <v>3</v>
      </c>
      <c r="C3791" s="191" t="str">
        <f>IF('IWP07'!E$387=0,"",'IWP07'!E$387)</f>
        <v>Subtotal column D.</v>
      </c>
      <c r="D3791" s="211">
        <f>'IWP07'!G$387</f>
        <v>0</v>
      </c>
      <c r="E3791" s="211">
        <f>'IWP07'!H$387</f>
        <v>0</v>
      </c>
      <c r="F3791" s="211">
        <f>'IWP07'!I$387</f>
        <v>0</v>
      </c>
      <c r="G3791" s="191" t="str">
        <f>IF('IWP07'!J$387=0,"",'IWP07'!J$387)</f>
        <v/>
      </c>
      <c r="H3791" s="211">
        <f>'IWP07'!K$387</f>
        <v>0</v>
      </c>
      <c r="I3791" s="211">
        <f>'IWP07'!L$387</f>
        <v>0</v>
      </c>
      <c r="J3791" s="212">
        <f>'IWP07'!M$387</f>
        <v>0</v>
      </c>
      <c r="K3791" s="106"/>
      <c r="L3791" s="106"/>
      <c r="M3791" s="129"/>
    </row>
    <row r="3792" spans="1:13" s="146" customFormat="1">
      <c r="A3792" s="193" t="s">
        <v>505</v>
      </c>
      <c r="B3792" s="210">
        <v>3</v>
      </c>
      <c r="C3792" s="191" t="str">
        <f>IF('IWP07'!E$388=0,"",'IWP07'!E$388)</f>
        <v>Unverified/Undocumented (Subtotal D - C)</v>
      </c>
      <c r="D3792" s="211">
        <f>'IWP07'!G$388</f>
        <v>0</v>
      </c>
      <c r="E3792" s="211">
        <f>'IWP07'!H$388</f>
        <v>0</v>
      </c>
      <c r="F3792" s="211">
        <f>'IWP07'!I$388</f>
        <v>0</v>
      </c>
      <c r="G3792" s="191" t="str">
        <f>IF('IWP07'!J$388=0,"",'IWP07'!J$388)</f>
        <v/>
      </c>
      <c r="H3792" s="211">
        <f>'IWP07'!K$388</f>
        <v>0</v>
      </c>
      <c r="I3792" s="211">
        <f>'IWP07'!L$388</f>
        <v>0</v>
      </c>
      <c r="J3792" s="212">
        <f>'IWP07'!M$388</f>
        <v>0</v>
      </c>
      <c r="K3792" s="106"/>
      <c r="L3792" s="106"/>
      <c r="M3792" s="129"/>
    </row>
    <row r="3793" spans="1:13" s="146" customFormat="1">
      <c r="A3793" s="193" t="s">
        <v>505</v>
      </c>
      <c r="B3793" s="210">
        <v>3</v>
      </c>
      <c r="C3793" s="191" t="str">
        <f>IF('IWP07'!E$389=0,"",'IWP07'!E$389)</f>
        <v>J. Billing Period Total</v>
      </c>
      <c r="D3793" s="211">
        <f>'IWP07'!G$389</f>
        <v>0</v>
      </c>
      <c r="E3793" s="211">
        <f>'IWP07'!H$389</f>
        <v>0</v>
      </c>
      <c r="F3793" s="211">
        <f>'IWP07'!I$389</f>
        <v>0</v>
      </c>
      <c r="G3793" s="191" t="str">
        <f>IF('IWP07'!J$389=0,"",'IWP07'!J$389)</f>
        <v/>
      </c>
      <c r="H3793" s="211">
        <f>'IWP07'!K$389</f>
        <v>0</v>
      </c>
      <c r="I3793" s="211">
        <f>'IWP07'!L$389</f>
        <v>0</v>
      </c>
      <c r="J3793" s="212">
        <f>'IWP07'!M$389</f>
        <v>0</v>
      </c>
      <c r="K3793" s="106"/>
      <c r="L3793" s="106"/>
      <c r="M3793" s="129"/>
    </row>
    <row r="3794" spans="1:13" s="146" customFormat="1">
      <c r="A3794" s="193" t="s">
        <v>505</v>
      </c>
      <c r="B3794" s="210">
        <v>3</v>
      </c>
      <c r="C3794" s="191" t="str">
        <f>IF('IWP07'!E$390=0,"",'IWP07'!E$390)</f>
        <v>D.</v>
      </c>
      <c r="D3794" s="211">
        <f>'IWP07'!G$390</f>
        <v>0</v>
      </c>
      <c r="E3794" s="211" t="str">
        <f>'IWP07'!H$390</f>
        <v>E.</v>
      </c>
      <c r="F3794" s="211" t="str">
        <f>'IWP07'!I$390</f>
        <v>F.</v>
      </c>
      <c r="G3794" s="191" t="str">
        <f>IF('IWP07'!J$390=0,"",'IWP07'!J$390)</f>
        <v>G.</v>
      </c>
      <c r="H3794" s="211">
        <f>'IWP07'!K$390</f>
        <v>0</v>
      </c>
      <c r="I3794" s="211" t="str">
        <f>'IWP07'!L$390</f>
        <v>H.</v>
      </c>
      <c r="J3794" s="212" t="str">
        <f>'IWP07'!M$390</f>
        <v>I.</v>
      </c>
      <c r="K3794" s="106"/>
      <c r="L3794" s="106"/>
      <c r="M3794" s="129"/>
    </row>
    <row r="3795" spans="1:13" s="146" customFormat="1">
      <c r="A3795" s="193" t="s">
        <v>505</v>
      </c>
      <c r="B3795" s="210">
        <v>3</v>
      </c>
      <c r="C3795" s="191" t="str">
        <f>IF('IWP07'!E$391=0,"",'IWP07'!E$391)</f>
        <v xml:space="preserve">Items/Services Related to Billing Period </v>
      </c>
      <c r="D3795" s="211">
        <f>'IWP07'!G$391</f>
        <v>0</v>
      </c>
      <c r="E3795" s="211" t="str">
        <f>'IWP07'!H$391</f>
        <v xml:space="preserve">Item/
Service Verified Amounts
</v>
      </c>
      <c r="F3795" s="211" t="str">
        <f>'IWP07'!I$391</f>
        <v>Amount Due to DADS (E. - D.)</v>
      </c>
      <c r="G3795" s="191" t="str">
        <f>IF('IWP07'!J$391=0,"",'IWP07'!J$391)</f>
        <v>Amount Reimbursed to 
Employee(s)/Employer</v>
      </c>
      <c r="H3795" s="211">
        <f>'IWP07'!K$391</f>
        <v>0</v>
      </c>
      <c r="I3795" s="211" t="str">
        <f>'IWP07'!L$391</f>
        <v>Amount Due to Employee(s) (G. - E.)</v>
      </c>
      <c r="J3795" s="212" t="str">
        <f>'IWP07'!M$391</f>
        <v>Amount Due to Employer (G. - E.)</v>
      </c>
      <c r="K3795" s="106"/>
      <c r="L3795" s="106"/>
      <c r="M3795" s="129"/>
    </row>
    <row r="3796" spans="1:13" s="146" customFormat="1">
      <c r="A3796" s="193" t="s">
        <v>505</v>
      </c>
      <c r="B3796" s="210">
        <v>3</v>
      </c>
      <c r="C3796" s="191" t="str">
        <f>IF('IWP07'!E$392=0,"",'IWP07'!E$392)</f>
        <v>Item/Service</v>
      </c>
      <c r="D3796" s="211" t="str">
        <f>'IWP07'!G$392</f>
        <v>Itemized Amount Paid by DADS</v>
      </c>
      <c r="E3796" s="211">
        <f>'IWP07'!H$392</f>
        <v>0</v>
      </c>
      <c r="F3796" s="211">
        <f>'IWP07'!I$392</f>
        <v>0</v>
      </c>
      <c r="G3796" s="191" t="str">
        <f>IF('IWP07'!J$392=0,"",'IWP07'!J$392)</f>
        <v/>
      </c>
      <c r="H3796" s="211">
        <f>'IWP07'!K$392</f>
        <v>0</v>
      </c>
      <c r="I3796" s="211">
        <f>'IWP07'!L$392</f>
        <v>0</v>
      </c>
      <c r="J3796" s="212">
        <f>'IWP07'!M$392</f>
        <v>0</v>
      </c>
      <c r="K3796" s="106"/>
      <c r="L3796" s="106"/>
      <c r="M3796" s="129"/>
    </row>
    <row r="3797" spans="1:13" s="146" customFormat="1">
      <c r="A3797" s="193" t="s">
        <v>505</v>
      </c>
      <c r="B3797" s="210">
        <v>3</v>
      </c>
      <c r="C3797" s="191" t="str">
        <f>IF('IWP07'!E$393=0,"",'IWP07'!E$393)</f>
        <v/>
      </c>
      <c r="D3797" s="211">
        <f>'IWP07'!G$393</f>
        <v>0</v>
      </c>
      <c r="E3797" s="211">
        <f>'IWP07'!H$393</f>
        <v>0</v>
      </c>
      <c r="F3797" s="211">
        <f>'IWP07'!I$393</f>
        <v>0</v>
      </c>
      <c r="G3797" s="191" t="str">
        <f>IF('IWP07'!J$393=0,"",'IWP07'!J$393)</f>
        <v/>
      </c>
      <c r="H3797" s="211">
        <f>'IWP07'!K$393</f>
        <v>0</v>
      </c>
      <c r="I3797" s="211">
        <f>'IWP07'!L$393</f>
        <v>0</v>
      </c>
      <c r="J3797" s="212">
        <f>'IWP07'!M$393</f>
        <v>0</v>
      </c>
      <c r="K3797" s="106"/>
      <c r="L3797" s="106"/>
      <c r="M3797" s="129"/>
    </row>
    <row r="3798" spans="1:13" s="146" customFormat="1">
      <c r="A3798" s="193" t="s">
        <v>505</v>
      </c>
      <c r="B3798" s="210">
        <v>3</v>
      </c>
      <c r="C3798" s="191" t="str">
        <f>IF('IWP07'!E$394=0,"",'IWP07'!E$394)</f>
        <v/>
      </c>
      <c r="D3798" s="211">
        <f>'IWP07'!G$394</f>
        <v>0</v>
      </c>
      <c r="E3798" s="211">
        <f>'IWP07'!H$394</f>
        <v>0</v>
      </c>
      <c r="F3798" s="211">
        <f>'IWP07'!I$394</f>
        <v>0</v>
      </c>
      <c r="G3798" s="191" t="str">
        <f>IF('IWP07'!J$394=0,"",'IWP07'!J$394)</f>
        <v/>
      </c>
      <c r="H3798" s="211">
        <f>'IWP07'!K$394</f>
        <v>0</v>
      </c>
      <c r="I3798" s="211">
        <f>'IWP07'!L$394</f>
        <v>0</v>
      </c>
      <c r="J3798" s="212">
        <f>'IWP07'!M$394</f>
        <v>0</v>
      </c>
      <c r="K3798" s="106"/>
      <c r="L3798" s="106"/>
      <c r="M3798" s="129"/>
    </row>
    <row r="3799" spans="1:13" s="146" customFormat="1">
      <c r="A3799" s="193" t="s">
        <v>505</v>
      </c>
      <c r="B3799" s="210">
        <v>3</v>
      </c>
      <c r="C3799" s="191" t="str">
        <f>IF('IWP07'!E$395=0,"",'IWP07'!E$395)</f>
        <v/>
      </c>
      <c r="D3799" s="211">
        <f>'IWP07'!G$395</f>
        <v>0</v>
      </c>
      <c r="E3799" s="211">
        <f>'IWP07'!H$395</f>
        <v>0</v>
      </c>
      <c r="F3799" s="211">
        <f>'IWP07'!I$395</f>
        <v>0</v>
      </c>
      <c r="G3799" s="191" t="str">
        <f>IF('IWP07'!J$395=0,"",'IWP07'!J$395)</f>
        <v/>
      </c>
      <c r="H3799" s="211">
        <f>'IWP07'!K$395</f>
        <v>0</v>
      </c>
      <c r="I3799" s="211">
        <f>'IWP07'!L$395</f>
        <v>0</v>
      </c>
      <c r="J3799" s="212">
        <f>'IWP07'!M$395</f>
        <v>0</v>
      </c>
      <c r="K3799" s="106"/>
      <c r="L3799" s="106"/>
      <c r="M3799" s="129"/>
    </row>
    <row r="3800" spans="1:13" s="146" customFormat="1">
      <c r="A3800" s="193" t="s">
        <v>505</v>
      </c>
      <c r="B3800" s="210">
        <v>3</v>
      </c>
      <c r="C3800" s="191" t="str">
        <f>IF('IWP07'!E$396=0,"",'IWP07'!E$396)</f>
        <v/>
      </c>
      <c r="D3800" s="211">
        <f>'IWP07'!G$396</f>
        <v>0</v>
      </c>
      <c r="E3800" s="211">
        <f>'IWP07'!H$396</f>
        <v>0</v>
      </c>
      <c r="F3800" s="211">
        <f>'IWP07'!I$396</f>
        <v>0</v>
      </c>
      <c r="G3800" s="191" t="str">
        <f>IF('IWP07'!J$396=0,"",'IWP07'!J$396)</f>
        <v/>
      </c>
      <c r="H3800" s="211">
        <f>'IWP07'!K$396</f>
        <v>0</v>
      </c>
      <c r="I3800" s="211">
        <f>'IWP07'!L$396</f>
        <v>0</v>
      </c>
      <c r="J3800" s="212">
        <f>'IWP07'!M$396</f>
        <v>0</v>
      </c>
      <c r="K3800" s="106"/>
      <c r="L3800" s="106"/>
      <c r="M3800" s="129"/>
    </row>
    <row r="3801" spans="1:13" s="146" customFormat="1">
      <c r="A3801" s="193" t="s">
        <v>505</v>
      </c>
      <c r="B3801" s="210">
        <v>4</v>
      </c>
      <c r="C3801" s="191" t="str">
        <f>IF('IWP07'!E$403=0,"",'IWP07'!E$403)</f>
        <v>Subtotal column D.</v>
      </c>
      <c r="D3801" s="211">
        <f>'IWP07'!G$403</f>
        <v>0</v>
      </c>
      <c r="E3801" s="211">
        <f>'IWP07'!H$403</f>
        <v>0</v>
      </c>
      <c r="F3801" s="211">
        <f>'IWP07'!I$403</f>
        <v>0</v>
      </c>
      <c r="G3801" s="191" t="str">
        <f>IF('IWP07'!J$403=0,"",'IWP07'!J$403)</f>
        <v/>
      </c>
      <c r="H3801" s="211">
        <f>'IWP07'!K$403</f>
        <v>0</v>
      </c>
      <c r="I3801" s="211">
        <f>'IWP07'!L$403</f>
        <v>0</v>
      </c>
      <c r="J3801" s="212">
        <f>'IWP07'!M$403</f>
        <v>0</v>
      </c>
      <c r="K3801" s="106"/>
      <c r="L3801" s="106"/>
      <c r="M3801" s="129"/>
    </row>
    <row r="3802" spans="1:13" s="146" customFormat="1">
      <c r="A3802" s="193" t="s">
        <v>505</v>
      </c>
      <c r="B3802" s="210">
        <v>4</v>
      </c>
      <c r="C3802" s="191" t="str">
        <f>IF('IWP07'!E$404=0,"",'IWP07'!E$404)</f>
        <v>Unverified/Undocumented (Subtotal D - C)</v>
      </c>
      <c r="D3802" s="211">
        <f>'IWP07'!G$404</f>
        <v>0</v>
      </c>
      <c r="E3802" s="211">
        <f>'IWP07'!H$404</f>
        <v>0</v>
      </c>
      <c r="F3802" s="211">
        <f>'IWP07'!I$404</f>
        <v>0</v>
      </c>
      <c r="G3802" s="191" t="str">
        <f>IF('IWP07'!J$404=0,"",'IWP07'!J$404)</f>
        <v/>
      </c>
      <c r="H3802" s="211">
        <f>'IWP07'!K$404</f>
        <v>0</v>
      </c>
      <c r="I3802" s="211">
        <f>'IWP07'!L$404</f>
        <v>0</v>
      </c>
      <c r="J3802" s="212">
        <f>'IWP07'!M$404</f>
        <v>0</v>
      </c>
      <c r="K3802" s="106"/>
      <c r="L3802" s="106"/>
      <c r="M3802" s="129"/>
    </row>
    <row r="3803" spans="1:13" s="146" customFormat="1">
      <c r="A3803" s="193" t="s">
        <v>505</v>
      </c>
      <c r="B3803" s="210">
        <v>4</v>
      </c>
      <c r="C3803" s="191" t="str">
        <f>IF('IWP07'!E$405=0,"",'IWP07'!E$405)</f>
        <v>J. Billing Period Total</v>
      </c>
      <c r="D3803" s="211">
        <f>'IWP07'!G$405</f>
        <v>0</v>
      </c>
      <c r="E3803" s="211">
        <f>'IWP07'!H$405</f>
        <v>0</v>
      </c>
      <c r="F3803" s="211">
        <f>'IWP07'!I$405</f>
        <v>0</v>
      </c>
      <c r="G3803" s="191" t="str">
        <f>IF('IWP07'!J$405=0,"",'IWP07'!J$405)</f>
        <v/>
      </c>
      <c r="H3803" s="211">
        <f>'IWP07'!K$405</f>
        <v>0</v>
      </c>
      <c r="I3803" s="211">
        <f>'IWP07'!L$405</f>
        <v>0</v>
      </c>
      <c r="J3803" s="212">
        <f>'IWP07'!M$405</f>
        <v>0</v>
      </c>
      <c r="K3803" s="106"/>
      <c r="L3803" s="106"/>
      <c r="M3803" s="129"/>
    </row>
    <row r="3804" spans="1:13" s="146" customFormat="1">
      <c r="A3804" s="193" t="s">
        <v>505</v>
      </c>
      <c r="B3804" s="210">
        <v>4</v>
      </c>
      <c r="C3804" s="191" t="str">
        <f>IF('IWP07'!E$406=0,"",'IWP07'!E$406)</f>
        <v>D.</v>
      </c>
      <c r="D3804" s="211">
        <f>'IWP07'!G$406</f>
        <v>0</v>
      </c>
      <c r="E3804" s="211" t="str">
        <f>'IWP07'!H$406</f>
        <v>E.</v>
      </c>
      <c r="F3804" s="211" t="str">
        <f>'IWP07'!I$406</f>
        <v>F.</v>
      </c>
      <c r="G3804" s="191" t="str">
        <f>IF('IWP07'!J$406=0,"",'IWP07'!J$406)</f>
        <v>G.</v>
      </c>
      <c r="H3804" s="211">
        <f>'IWP07'!K$406</f>
        <v>0</v>
      </c>
      <c r="I3804" s="211" t="str">
        <f>'IWP07'!L$406</f>
        <v>H.</v>
      </c>
      <c r="J3804" s="212" t="str">
        <f>'IWP07'!M$406</f>
        <v>I.</v>
      </c>
      <c r="K3804" s="106"/>
      <c r="L3804" s="106"/>
      <c r="M3804" s="129"/>
    </row>
    <row r="3805" spans="1:13" s="146" customFormat="1">
      <c r="A3805" s="193" t="s">
        <v>505</v>
      </c>
      <c r="B3805" s="210">
        <v>4</v>
      </c>
      <c r="C3805" s="191" t="str">
        <f>IF('IWP07'!E$407=0,"",'IWP07'!E$407)</f>
        <v xml:space="preserve">Items/Services Related to Billing Period </v>
      </c>
      <c r="D3805" s="211">
        <f>'IWP07'!G$407</f>
        <v>0</v>
      </c>
      <c r="E3805" s="211" t="str">
        <f>'IWP07'!H$407</f>
        <v xml:space="preserve">Item/
Service Verified Amounts
</v>
      </c>
      <c r="F3805" s="211" t="str">
        <f>'IWP07'!I$407</f>
        <v>Amount Due to DADS (E. - D.)</v>
      </c>
      <c r="G3805" s="191" t="str">
        <f>IF('IWP07'!J$407=0,"",'IWP07'!J$407)</f>
        <v>Amount Reimbursed to 
Employee(s)/Employer</v>
      </c>
      <c r="H3805" s="211">
        <f>'IWP07'!K$407</f>
        <v>0</v>
      </c>
      <c r="I3805" s="211" t="str">
        <f>'IWP07'!L$407</f>
        <v>Amount Due to Employee(s) (G. - E.)</v>
      </c>
      <c r="J3805" s="212" t="str">
        <f>'IWP07'!M$407</f>
        <v>Amount Due to Employer (G. - E.)</v>
      </c>
      <c r="K3805" s="106"/>
      <c r="L3805" s="106"/>
      <c r="M3805" s="129"/>
    </row>
    <row r="3806" spans="1:13" s="146" customFormat="1">
      <c r="A3806" s="193" t="s">
        <v>505</v>
      </c>
      <c r="B3806" s="210">
        <v>4</v>
      </c>
      <c r="C3806" s="191" t="str">
        <f>IF('IWP07'!E$408=0,"",'IWP07'!E$408)</f>
        <v>Item/Service</v>
      </c>
      <c r="D3806" s="211" t="str">
        <f>'IWP07'!G$408</f>
        <v>Itemized Amount Paid by DADS</v>
      </c>
      <c r="E3806" s="211">
        <f>'IWP07'!H$408</f>
        <v>0</v>
      </c>
      <c r="F3806" s="211">
        <f>'IWP07'!I$408</f>
        <v>0</v>
      </c>
      <c r="G3806" s="191" t="str">
        <f>IF('IWP07'!J$408=0,"",'IWP07'!J$408)</f>
        <v/>
      </c>
      <c r="H3806" s="211">
        <f>'IWP07'!K$408</f>
        <v>0</v>
      </c>
      <c r="I3806" s="211">
        <f>'IWP07'!L$408</f>
        <v>0</v>
      </c>
      <c r="J3806" s="212">
        <f>'IWP07'!M$408</f>
        <v>0</v>
      </c>
      <c r="K3806" s="106"/>
      <c r="L3806" s="106"/>
      <c r="M3806" s="129"/>
    </row>
    <row r="3807" spans="1:13" s="146" customFormat="1">
      <c r="A3807" s="193" t="s">
        <v>505</v>
      </c>
      <c r="B3807" s="210">
        <v>4</v>
      </c>
      <c r="C3807" s="191" t="str">
        <f>IF('IWP07'!E$409=0,"",'IWP07'!E$409)</f>
        <v/>
      </c>
      <c r="D3807" s="211">
        <f>'IWP07'!G$409</f>
        <v>0</v>
      </c>
      <c r="E3807" s="211">
        <f>'IWP07'!H$409</f>
        <v>0</v>
      </c>
      <c r="F3807" s="211">
        <f>'IWP07'!I$409</f>
        <v>0</v>
      </c>
      <c r="G3807" s="191" t="str">
        <f>IF('IWP07'!J$409=0,"",'IWP07'!J$409)</f>
        <v/>
      </c>
      <c r="H3807" s="211">
        <f>'IWP07'!K$409</f>
        <v>0</v>
      </c>
      <c r="I3807" s="211">
        <f>'IWP07'!L$409</f>
        <v>0</v>
      </c>
      <c r="J3807" s="212">
        <f>'IWP07'!M$409</f>
        <v>0</v>
      </c>
      <c r="K3807" s="106"/>
      <c r="L3807" s="106"/>
      <c r="M3807" s="129"/>
    </row>
    <row r="3808" spans="1:13" s="146" customFormat="1">
      <c r="A3808" s="193" t="s">
        <v>505</v>
      </c>
      <c r="B3808" s="210">
        <v>4</v>
      </c>
      <c r="C3808" s="191" t="str">
        <f>IF('IWP07'!E$410=0,"",'IWP07'!E$410)</f>
        <v/>
      </c>
      <c r="D3808" s="211">
        <f>'IWP07'!G$410</f>
        <v>0</v>
      </c>
      <c r="E3808" s="211">
        <f>'IWP07'!H$410</f>
        <v>0</v>
      </c>
      <c r="F3808" s="211">
        <f>'IWP07'!I$410</f>
        <v>0</v>
      </c>
      <c r="G3808" s="191" t="str">
        <f>IF('IWP07'!J$410=0,"",'IWP07'!J$410)</f>
        <v/>
      </c>
      <c r="H3808" s="211">
        <f>'IWP07'!K$410</f>
        <v>0</v>
      </c>
      <c r="I3808" s="211">
        <f>'IWP07'!L$410</f>
        <v>0</v>
      </c>
      <c r="J3808" s="212">
        <f>'IWP07'!M$410</f>
        <v>0</v>
      </c>
      <c r="K3808" s="106"/>
      <c r="L3808" s="106"/>
      <c r="M3808" s="129"/>
    </row>
    <row r="3809" spans="1:13" s="146" customFormat="1">
      <c r="A3809" s="193" t="s">
        <v>505</v>
      </c>
      <c r="B3809" s="210">
        <v>4</v>
      </c>
      <c r="C3809" s="191" t="str">
        <f>IF('IWP07'!E$411=0,"",'IWP07'!E$411)</f>
        <v/>
      </c>
      <c r="D3809" s="211">
        <f>'IWP07'!G$411</f>
        <v>0</v>
      </c>
      <c r="E3809" s="211">
        <f>'IWP07'!H$411</f>
        <v>0</v>
      </c>
      <c r="F3809" s="211">
        <f>'IWP07'!I$411</f>
        <v>0</v>
      </c>
      <c r="G3809" s="191" t="str">
        <f>IF('IWP07'!J$411=0,"",'IWP07'!J$411)</f>
        <v/>
      </c>
      <c r="H3809" s="211">
        <f>'IWP07'!K$411</f>
        <v>0</v>
      </c>
      <c r="I3809" s="211">
        <f>'IWP07'!L$411</f>
        <v>0</v>
      </c>
      <c r="J3809" s="212">
        <f>'IWP07'!M$411</f>
        <v>0</v>
      </c>
      <c r="K3809" s="106"/>
      <c r="L3809" s="106"/>
      <c r="M3809" s="129"/>
    </row>
    <row r="3810" spans="1:13" s="146" customFormat="1">
      <c r="A3810" s="193" t="s">
        <v>505</v>
      </c>
      <c r="B3810" s="210">
        <v>4</v>
      </c>
      <c r="C3810" s="191" t="str">
        <f>IF('IWP07'!E$412=0,"",'IWP07'!E$412)</f>
        <v/>
      </c>
      <c r="D3810" s="211">
        <f>'IWP07'!G$412</f>
        <v>0</v>
      </c>
      <c r="E3810" s="211">
        <f>'IWP07'!H$412</f>
        <v>0</v>
      </c>
      <c r="F3810" s="211">
        <f>'IWP07'!I$412</f>
        <v>0</v>
      </c>
      <c r="G3810" s="191" t="str">
        <f>IF('IWP07'!J$412=0,"",'IWP07'!J$412)</f>
        <v/>
      </c>
      <c r="H3810" s="211">
        <f>'IWP07'!K$412</f>
        <v>0</v>
      </c>
      <c r="I3810" s="211">
        <f>'IWP07'!L$412</f>
        <v>0</v>
      </c>
      <c r="J3810" s="212">
        <f>'IWP07'!M$412</f>
        <v>0</v>
      </c>
      <c r="K3810" s="106"/>
      <c r="L3810" s="106"/>
      <c r="M3810" s="129"/>
    </row>
    <row r="3811" spans="1:13" s="146" customFormat="1">
      <c r="A3811" s="193" t="s">
        <v>505</v>
      </c>
      <c r="B3811" s="210">
        <v>5</v>
      </c>
      <c r="C3811" s="191" t="str">
        <f>IF('IWP07'!E$419=0,"",'IWP07'!E$419)</f>
        <v>Subtotal column D.</v>
      </c>
      <c r="D3811" s="211">
        <f>'IWP07'!G$419</f>
        <v>0</v>
      </c>
      <c r="E3811" s="211">
        <f>'IWP07'!H$419</f>
        <v>0</v>
      </c>
      <c r="F3811" s="211">
        <f>'IWP07'!I$419</f>
        <v>0</v>
      </c>
      <c r="G3811" s="191" t="str">
        <f>IF('IWP07'!J$419=0,"",'IWP07'!J$419)</f>
        <v/>
      </c>
      <c r="H3811" s="211">
        <f>'IWP07'!K$419</f>
        <v>0</v>
      </c>
      <c r="I3811" s="211">
        <f>'IWP07'!L$419</f>
        <v>0</v>
      </c>
      <c r="J3811" s="212">
        <f>'IWP07'!M$419</f>
        <v>0</v>
      </c>
      <c r="K3811" s="106"/>
      <c r="L3811" s="106"/>
      <c r="M3811" s="129"/>
    </row>
    <row r="3812" spans="1:13" s="146" customFormat="1">
      <c r="A3812" s="193" t="s">
        <v>505</v>
      </c>
      <c r="B3812" s="210">
        <v>5</v>
      </c>
      <c r="C3812" s="191" t="str">
        <f>IF('IWP07'!E$420=0,"",'IWP07'!E$420)</f>
        <v>Unverified/Undocumented (Subtotal D - C)</v>
      </c>
      <c r="D3812" s="211">
        <f>'IWP07'!G$420</f>
        <v>0</v>
      </c>
      <c r="E3812" s="211">
        <f>'IWP07'!H$420</f>
        <v>0</v>
      </c>
      <c r="F3812" s="211">
        <f>'IWP07'!I$420</f>
        <v>0</v>
      </c>
      <c r="G3812" s="191" t="str">
        <f>IF('IWP07'!J$420=0,"",'IWP07'!J$420)</f>
        <v/>
      </c>
      <c r="H3812" s="211">
        <f>'IWP07'!K$420</f>
        <v>0</v>
      </c>
      <c r="I3812" s="211">
        <f>'IWP07'!L$420</f>
        <v>0</v>
      </c>
      <c r="J3812" s="212">
        <f>'IWP07'!M$420</f>
        <v>0</v>
      </c>
      <c r="K3812" s="106"/>
      <c r="L3812" s="106"/>
      <c r="M3812" s="129"/>
    </row>
    <row r="3813" spans="1:13" s="146" customFormat="1">
      <c r="A3813" s="193" t="s">
        <v>505</v>
      </c>
      <c r="B3813" s="210">
        <v>5</v>
      </c>
      <c r="C3813" s="191" t="str">
        <f>IF('IWP07'!E$421=0,"",'IWP07'!E$421)</f>
        <v>J. Billing Period Total</v>
      </c>
      <c r="D3813" s="211">
        <f>'IWP07'!G$421</f>
        <v>0</v>
      </c>
      <c r="E3813" s="211">
        <f>'IWP07'!H$421</f>
        <v>0</v>
      </c>
      <c r="F3813" s="211">
        <f>'IWP07'!I$421</f>
        <v>0</v>
      </c>
      <c r="G3813" s="191" t="str">
        <f>IF('IWP07'!J$421=0,"",'IWP07'!J$421)</f>
        <v/>
      </c>
      <c r="H3813" s="211">
        <f>'IWP07'!K$421</f>
        <v>0</v>
      </c>
      <c r="I3813" s="211">
        <f>'IWP07'!L$421</f>
        <v>0</v>
      </c>
      <c r="J3813" s="212">
        <f>'IWP07'!M$421</f>
        <v>0</v>
      </c>
      <c r="K3813" s="106"/>
      <c r="L3813" s="106"/>
      <c r="M3813" s="129"/>
    </row>
    <row r="3814" spans="1:13" s="146" customFormat="1">
      <c r="A3814" s="193" t="s">
        <v>505</v>
      </c>
      <c r="B3814" s="210">
        <v>5</v>
      </c>
      <c r="C3814" s="191" t="str">
        <f>IF('IWP07'!E$422=0,"",'IWP07'!E$422)</f>
        <v>D.</v>
      </c>
      <c r="D3814" s="211">
        <f>'IWP07'!G$422</f>
        <v>0</v>
      </c>
      <c r="E3814" s="211" t="str">
        <f>'IWP07'!H$422</f>
        <v>E.</v>
      </c>
      <c r="F3814" s="211" t="str">
        <f>'IWP07'!I$422</f>
        <v>F.</v>
      </c>
      <c r="G3814" s="191" t="str">
        <f>IF('IWP07'!J$422=0,"",'IWP07'!J$422)</f>
        <v>G.</v>
      </c>
      <c r="H3814" s="211">
        <f>'IWP07'!K$422</f>
        <v>0</v>
      </c>
      <c r="I3814" s="211" t="str">
        <f>'IWP07'!L$422</f>
        <v>H.</v>
      </c>
      <c r="J3814" s="212" t="str">
        <f>'IWP07'!M$422</f>
        <v>I.</v>
      </c>
      <c r="K3814" s="106"/>
      <c r="L3814" s="106"/>
      <c r="M3814" s="129"/>
    </row>
    <row r="3815" spans="1:13" s="146" customFormat="1">
      <c r="A3815" s="193" t="s">
        <v>505</v>
      </c>
      <c r="B3815" s="210">
        <v>5</v>
      </c>
      <c r="C3815" s="191" t="str">
        <f>IF('IWP07'!E$423=0,"",'IWP07'!E$423)</f>
        <v xml:space="preserve">Items/Services Related to Billing Period </v>
      </c>
      <c r="D3815" s="211">
        <f>'IWP07'!G$423</f>
        <v>0</v>
      </c>
      <c r="E3815" s="211" t="str">
        <f>'IWP07'!H$423</f>
        <v xml:space="preserve">Item/
Service Verified Amounts
</v>
      </c>
      <c r="F3815" s="211" t="str">
        <f>'IWP07'!I$423</f>
        <v>Amount Due to DADS (E. - D.)</v>
      </c>
      <c r="G3815" s="191" t="str">
        <f>IF('IWP07'!J$423=0,"",'IWP07'!J$423)</f>
        <v>Amount Reimbursed to 
Employee(s)/Employer</v>
      </c>
      <c r="H3815" s="211">
        <f>'IWP07'!K$423</f>
        <v>0</v>
      </c>
      <c r="I3815" s="211" t="str">
        <f>'IWP07'!L$423</f>
        <v>Amount Due to Employee(s) (G. - E.)</v>
      </c>
      <c r="J3815" s="212" t="str">
        <f>'IWP07'!M$423</f>
        <v>Amount Due to Employer (G. - E.)</v>
      </c>
      <c r="K3815" s="106"/>
      <c r="L3815" s="106"/>
      <c r="M3815" s="129"/>
    </row>
    <row r="3816" spans="1:13" s="146" customFormat="1">
      <c r="A3816" s="193" t="s">
        <v>505</v>
      </c>
      <c r="B3816" s="210">
        <v>5</v>
      </c>
      <c r="C3816" s="191" t="str">
        <f>IF('IWP07'!E$424=0,"",'IWP07'!E$424)</f>
        <v>Item/Service</v>
      </c>
      <c r="D3816" s="211" t="str">
        <f>'IWP07'!G$424</f>
        <v>Itemized Amount Paid by DADS</v>
      </c>
      <c r="E3816" s="211">
        <f>'IWP07'!H$424</f>
        <v>0</v>
      </c>
      <c r="F3816" s="211">
        <f>'IWP07'!I$424</f>
        <v>0</v>
      </c>
      <c r="G3816" s="191" t="str">
        <f>IF('IWP07'!J$424=0,"",'IWP07'!J$424)</f>
        <v/>
      </c>
      <c r="H3816" s="211">
        <f>'IWP07'!K$424</f>
        <v>0</v>
      </c>
      <c r="I3816" s="211">
        <f>'IWP07'!L$424</f>
        <v>0</v>
      </c>
      <c r="J3816" s="212">
        <f>'IWP07'!M$424</f>
        <v>0</v>
      </c>
      <c r="K3816" s="106"/>
      <c r="L3816" s="106"/>
      <c r="M3816" s="129"/>
    </row>
    <row r="3817" spans="1:13" s="146" customFormat="1">
      <c r="A3817" s="193" t="s">
        <v>505</v>
      </c>
      <c r="B3817" s="210">
        <v>5</v>
      </c>
      <c r="C3817" s="191" t="str">
        <f>IF('IWP07'!E$425=0,"",'IWP07'!E$425)</f>
        <v/>
      </c>
      <c r="D3817" s="211">
        <f>'IWP07'!G$425</f>
        <v>0</v>
      </c>
      <c r="E3817" s="211">
        <f>'IWP07'!H$425</f>
        <v>0</v>
      </c>
      <c r="F3817" s="211">
        <f>'IWP07'!I$425</f>
        <v>0</v>
      </c>
      <c r="G3817" s="191" t="str">
        <f>IF('IWP07'!J$425=0,"",'IWP07'!J$425)</f>
        <v/>
      </c>
      <c r="H3817" s="211">
        <f>'IWP07'!K$425</f>
        <v>0</v>
      </c>
      <c r="I3817" s="211">
        <f>'IWP07'!L$425</f>
        <v>0</v>
      </c>
      <c r="J3817" s="212">
        <f>'IWP07'!M$425</f>
        <v>0</v>
      </c>
      <c r="K3817" s="106"/>
      <c r="L3817" s="106"/>
      <c r="M3817" s="129"/>
    </row>
    <row r="3818" spans="1:13" s="146" customFormat="1">
      <c r="A3818" s="193" t="s">
        <v>505</v>
      </c>
      <c r="B3818" s="210">
        <v>5</v>
      </c>
      <c r="C3818" s="191" t="str">
        <f>IF('IWP07'!E$426=0,"",'IWP07'!E$426)</f>
        <v/>
      </c>
      <c r="D3818" s="211">
        <f>'IWP07'!G$426</f>
        <v>0</v>
      </c>
      <c r="E3818" s="211">
        <f>'IWP07'!H$426</f>
        <v>0</v>
      </c>
      <c r="F3818" s="211">
        <f>'IWP07'!I$426</f>
        <v>0</v>
      </c>
      <c r="G3818" s="191" t="str">
        <f>IF('IWP07'!J$426=0,"",'IWP07'!J$426)</f>
        <v/>
      </c>
      <c r="H3818" s="211">
        <f>'IWP07'!K$426</f>
        <v>0</v>
      </c>
      <c r="I3818" s="211">
        <f>'IWP07'!L$426</f>
        <v>0</v>
      </c>
      <c r="J3818" s="212">
        <f>'IWP07'!M$426</f>
        <v>0</v>
      </c>
      <c r="K3818" s="106"/>
      <c r="L3818" s="106"/>
      <c r="M3818" s="129"/>
    </row>
    <row r="3819" spans="1:13" s="146" customFormat="1">
      <c r="A3819" s="193" t="s">
        <v>505</v>
      </c>
      <c r="B3819" s="210">
        <v>5</v>
      </c>
      <c r="C3819" s="191" t="str">
        <f>IF('IWP07'!E$427=0,"",'IWP07'!E$427)</f>
        <v/>
      </c>
      <c r="D3819" s="211">
        <f>'IWP07'!G$427</f>
        <v>0</v>
      </c>
      <c r="E3819" s="211">
        <f>'IWP07'!H$427</f>
        <v>0</v>
      </c>
      <c r="F3819" s="211">
        <f>'IWP07'!I$427</f>
        <v>0</v>
      </c>
      <c r="G3819" s="191" t="str">
        <f>IF('IWP07'!J$427=0,"",'IWP07'!J$427)</f>
        <v/>
      </c>
      <c r="H3819" s="211">
        <f>'IWP07'!K$427</f>
        <v>0</v>
      </c>
      <c r="I3819" s="211">
        <f>'IWP07'!L$427</f>
        <v>0</v>
      </c>
      <c r="J3819" s="212">
        <f>'IWP07'!M$427</f>
        <v>0</v>
      </c>
      <c r="K3819" s="106"/>
      <c r="L3819" s="106"/>
      <c r="M3819" s="129"/>
    </row>
    <row r="3820" spans="1:13" s="146" customFormat="1">
      <c r="A3820" s="193" t="s">
        <v>505</v>
      </c>
      <c r="B3820" s="210">
        <v>5</v>
      </c>
      <c r="C3820" s="191" t="str">
        <f>IF('IWP07'!E$428=0,"",'IWP07'!E$428)</f>
        <v/>
      </c>
      <c r="D3820" s="211">
        <f>'IWP07'!G$428</f>
        <v>0</v>
      </c>
      <c r="E3820" s="211">
        <f>'IWP07'!H$428</f>
        <v>0</v>
      </c>
      <c r="F3820" s="211">
        <f>'IWP07'!I$428</f>
        <v>0</v>
      </c>
      <c r="G3820" s="191" t="str">
        <f>IF('IWP07'!J$428=0,"",'IWP07'!J$428)</f>
        <v/>
      </c>
      <c r="H3820" s="211">
        <f>'IWP07'!K$428</f>
        <v>0</v>
      </c>
      <c r="I3820" s="211">
        <f>'IWP07'!L$428</f>
        <v>0</v>
      </c>
      <c r="J3820" s="212">
        <f>'IWP07'!M$428</f>
        <v>0</v>
      </c>
      <c r="K3820" s="106"/>
      <c r="L3820" s="106"/>
      <c r="M3820" s="129"/>
    </row>
    <row r="3821" spans="1:13" s="146" customFormat="1">
      <c r="A3821" s="193" t="s">
        <v>505</v>
      </c>
      <c r="B3821" s="210">
        <v>6</v>
      </c>
      <c r="C3821" s="191" t="str">
        <f>IF('IWP07'!E$435=0,"",'IWP07'!E$435)</f>
        <v>Subtotal column D.</v>
      </c>
      <c r="D3821" s="211">
        <f>'IWP07'!G$435</f>
        <v>0</v>
      </c>
      <c r="E3821" s="211">
        <f>'IWP07'!H$435</f>
        <v>0</v>
      </c>
      <c r="F3821" s="211">
        <f>'IWP07'!I$435</f>
        <v>0</v>
      </c>
      <c r="G3821" s="191" t="str">
        <f>IF('IWP07'!J$435=0,"",'IWP07'!J$435)</f>
        <v/>
      </c>
      <c r="H3821" s="211">
        <f>'IWP07'!K$435</f>
        <v>0</v>
      </c>
      <c r="I3821" s="211">
        <f>'IWP07'!L$435</f>
        <v>0</v>
      </c>
      <c r="J3821" s="212">
        <f>'IWP07'!M$435</f>
        <v>0</v>
      </c>
      <c r="K3821" s="106"/>
      <c r="L3821" s="106"/>
      <c r="M3821" s="129"/>
    </row>
    <row r="3822" spans="1:13" s="146" customFormat="1">
      <c r="A3822" s="193" t="s">
        <v>505</v>
      </c>
      <c r="B3822" s="210">
        <v>6</v>
      </c>
      <c r="C3822" s="191" t="str">
        <f>IF('IWP07'!E$436=0,"",'IWP07'!E$436)</f>
        <v>Unverified/Undocumented (Subtotal D - C)</v>
      </c>
      <c r="D3822" s="211">
        <f>'IWP07'!G$436</f>
        <v>0</v>
      </c>
      <c r="E3822" s="211">
        <f>'IWP07'!H$436</f>
        <v>0</v>
      </c>
      <c r="F3822" s="211">
        <f>'IWP07'!I$436</f>
        <v>0</v>
      </c>
      <c r="G3822" s="191" t="str">
        <f>IF('IWP07'!J$436=0,"",'IWP07'!J$436)</f>
        <v/>
      </c>
      <c r="H3822" s="211">
        <f>'IWP07'!K$436</f>
        <v>0</v>
      </c>
      <c r="I3822" s="211">
        <f>'IWP07'!L$436</f>
        <v>0</v>
      </c>
      <c r="J3822" s="212">
        <f>'IWP07'!M$436</f>
        <v>0</v>
      </c>
      <c r="K3822" s="106"/>
      <c r="L3822" s="106"/>
      <c r="M3822" s="129"/>
    </row>
    <row r="3823" spans="1:13" s="146" customFormat="1">
      <c r="A3823" s="193" t="s">
        <v>505</v>
      </c>
      <c r="B3823" s="210">
        <v>6</v>
      </c>
      <c r="C3823" s="191" t="str">
        <f>IF('IWP07'!E$437=0,"",'IWP07'!E$437)</f>
        <v>J. Billing Period Total</v>
      </c>
      <c r="D3823" s="211">
        <f>'IWP07'!G$437</f>
        <v>0</v>
      </c>
      <c r="E3823" s="211">
        <f>'IWP07'!H$437</f>
        <v>0</v>
      </c>
      <c r="F3823" s="211">
        <f>'IWP07'!I$437</f>
        <v>0</v>
      </c>
      <c r="G3823" s="191" t="str">
        <f>IF('IWP07'!J$437=0,"",'IWP07'!J$437)</f>
        <v/>
      </c>
      <c r="H3823" s="211">
        <f>'IWP07'!K$437</f>
        <v>0</v>
      </c>
      <c r="I3823" s="211">
        <f>'IWP07'!L$437</f>
        <v>0</v>
      </c>
      <c r="J3823" s="212">
        <f>'IWP07'!M$437</f>
        <v>0</v>
      </c>
      <c r="K3823" s="106"/>
      <c r="L3823" s="106"/>
      <c r="M3823" s="129"/>
    </row>
    <row r="3824" spans="1:13" s="146" customFormat="1">
      <c r="A3824" s="193" t="s">
        <v>505</v>
      </c>
      <c r="B3824" s="210">
        <v>6</v>
      </c>
      <c r="C3824" s="191" t="str">
        <f>IF('IWP07'!E$438=0,"",'IWP07'!E$438)</f>
        <v>D.</v>
      </c>
      <c r="D3824" s="211">
        <f>'IWP07'!G$438</f>
        <v>0</v>
      </c>
      <c r="E3824" s="211" t="str">
        <f>'IWP07'!H$438</f>
        <v>E.</v>
      </c>
      <c r="F3824" s="211" t="str">
        <f>'IWP07'!I$438</f>
        <v>F.</v>
      </c>
      <c r="G3824" s="191" t="str">
        <f>IF('IWP07'!J$438=0,"",'IWP07'!J$438)</f>
        <v>G.</v>
      </c>
      <c r="H3824" s="211">
        <f>'IWP07'!K$438</f>
        <v>0</v>
      </c>
      <c r="I3824" s="211" t="str">
        <f>'IWP07'!L$438</f>
        <v>H.</v>
      </c>
      <c r="J3824" s="212" t="str">
        <f>'IWP07'!M$438</f>
        <v>I.</v>
      </c>
      <c r="K3824" s="106"/>
      <c r="L3824" s="106"/>
      <c r="M3824" s="129"/>
    </row>
    <row r="3825" spans="1:13" s="146" customFormat="1">
      <c r="A3825" s="193" t="s">
        <v>505</v>
      </c>
      <c r="B3825" s="210">
        <v>6</v>
      </c>
      <c r="C3825" s="191" t="str">
        <f>IF('IWP07'!E$439=0,"",'IWP07'!E$439)</f>
        <v xml:space="preserve">Items/Services Related to Billing Period </v>
      </c>
      <c r="D3825" s="211">
        <f>'IWP07'!G$439</f>
        <v>0</v>
      </c>
      <c r="E3825" s="211" t="str">
        <f>'IWP07'!H$439</f>
        <v xml:space="preserve">Item/
Service Verified Amounts
</v>
      </c>
      <c r="F3825" s="211" t="str">
        <f>'IWP07'!I$439</f>
        <v>Amount Due to DADS (E. - D.)</v>
      </c>
      <c r="G3825" s="191" t="str">
        <f>IF('IWP07'!J$439=0,"",'IWP07'!J$439)</f>
        <v>Amount Reimbursed to 
Employee(s)/Employer</v>
      </c>
      <c r="H3825" s="211">
        <f>'IWP07'!K$439</f>
        <v>0</v>
      </c>
      <c r="I3825" s="211" t="str">
        <f>'IWP07'!L$439</f>
        <v>Amount Due to Employee(s) (G. - E.)</v>
      </c>
      <c r="J3825" s="212" t="str">
        <f>'IWP07'!M$439</f>
        <v>Amount Due to Employer (G. - E.)</v>
      </c>
      <c r="K3825" s="106"/>
      <c r="L3825" s="106"/>
      <c r="M3825" s="129"/>
    </row>
    <row r="3826" spans="1:13" s="146" customFormat="1">
      <c r="A3826" s="193" t="s">
        <v>505</v>
      </c>
      <c r="B3826" s="210">
        <v>6</v>
      </c>
      <c r="C3826" s="191" t="str">
        <f>IF('IWP07'!E$440=0,"",'IWP07'!E$440)</f>
        <v>Item/Service</v>
      </c>
      <c r="D3826" s="211" t="str">
        <f>'IWP07'!G$440</f>
        <v>Itemized Amount Paid by DADS</v>
      </c>
      <c r="E3826" s="211">
        <f>'IWP07'!H$440</f>
        <v>0</v>
      </c>
      <c r="F3826" s="211">
        <f>'IWP07'!I$440</f>
        <v>0</v>
      </c>
      <c r="G3826" s="191" t="str">
        <f>IF('IWP07'!J$440=0,"",'IWP07'!J$440)</f>
        <v/>
      </c>
      <c r="H3826" s="211">
        <f>'IWP07'!K$440</f>
        <v>0</v>
      </c>
      <c r="I3826" s="211">
        <f>'IWP07'!L$440</f>
        <v>0</v>
      </c>
      <c r="J3826" s="212">
        <f>'IWP07'!M$440</f>
        <v>0</v>
      </c>
      <c r="K3826" s="106"/>
      <c r="L3826" s="106"/>
      <c r="M3826" s="129"/>
    </row>
    <row r="3827" spans="1:13" s="146" customFormat="1">
      <c r="A3827" s="193" t="s">
        <v>505</v>
      </c>
      <c r="B3827" s="210">
        <v>6</v>
      </c>
      <c r="C3827" s="191" t="str">
        <f>IF('IWP07'!E$441=0,"",'IWP07'!E$441)</f>
        <v/>
      </c>
      <c r="D3827" s="211">
        <f>'IWP07'!G$441</f>
        <v>0</v>
      </c>
      <c r="E3827" s="211">
        <f>'IWP07'!H$441</f>
        <v>0</v>
      </c>
      <c r="F3827" s="211">
        <f>'IWP07'!I$441</f>
        <v>0</v>
      </c>
      <c r="G3827" s="191" t="str">
        <f>IF('IWP07'!J$441=0,"",'IWP07'!J$441)</f>
        <v/>
      </c>
      <c r="H3827" s="211">
        <f>'IWP07'!K$441</f>
        <v>0</v>
      </c>
      <c r="I3827" s="211">
        <f>'IWP07'!L$441</f>
        <v>0</v>
      </c>
      <c r="J3827" s="212">
        <f>'IWP07'!M$441</f>
        <v>0</v>
      </c>
      <c r="K3827" s="106"/>
      <c r="L3827" s="106"/>
      <c r="M3827" s="129"/>
    </row>
    <row r="3828" spans="1:13" s="146" customFormat="1">
      <c r="A3828" s="193" t="s">
        <v>505</v>
      </c>
      <c r="B3828" s="210">
        <v>6</v>
      </c>
      <c r="C3828" s="191" t="str">
        <f>IF('IWP07'!E$442=0,"",'IWP07'!E$442)</f>
        <v/>
      </c>
      <c r="D3828" s="211">
        <f>'IWP07'!G$442</f>
        <v>0</v>
      </c>
      <c r="E3828" s="211">
        <f>'IWP07'!H$442</f>
        <v>0</v>
      </c>
      <c r="F3828" s="211">
        <f>'IWP07'!I$442</f>
        <v>0</v>
      </c>
      <c r="G3828" s="191" t="str">
        <f>IF('IWP07'!J$442=0,"",'IWP07'!J$442)</f>
        <v/>
      </c>
      <c r="H3828" s="211">
        <f>'IWP07'!K$442</f>
        <v>0</v>
      </c>
      <c r="I3828" s="211">
        <f>'IWP07'!L$442</f>
        <v>0</v>
      </c>
      <c r="J3828" s="212">
        <f>'IWP07'!M$442</f>
        <v>0</v>
      </c>
      <c r="K3828" s="106"/>
      <c r="L3828" s="106"/>
      <c r="M3828" s="129"/>
    </row>
    <row r="3829" spans="1:13" s="146" customFormat="1">
      <c r="A3829" s="193" t="s">
        <v>505</v>
      </c>
      <c r="B3829" s="210">
        <v>6</v>
      </c>
      <c r="C3829" s="191" t="str">
        <f>IF('IWP07'!E$443=0,"",'IWP07'!E$443)</f>
        <v/>
      </c>
      <c r="D3829" s="211">
        <f>'IWP07'!G$443</f>
        <v>0</v>
      </c>
      <c r="E3829" s="211">
        <f>'IWP07'!H$443</f>
        <v>0</v>
      </c>
      <c r="F3829" s="211">
        <f>'IWP07'!I$443</f>
        <v>0</v>
      </c>
      <c r="G3829" s="191" t="str">
        <f>IF('IWP07'!J$443=0,"",'IWP07'!J$443)</f>
        <v/>
      </c>
      <c r="H3829" s="211">
        <f>'IWP07'!K$443</f>
        <v>0</v>
      </c>
      <c r="I3829" s="211">
        <f>'IWP07'!L$443</f>
        <v>0</v>
      </c>
      <c r="J3829" s="212">
        <f>'IWP07'!M$443</f>
        <v>0</v>
      </c>
      <c r="K3829" s="106"/>
      <c r="L3829" s="106"/>
      <c r="M3829" s="129"/>
    </row>
    <row r="3830" spans="1:13" s="146" customFormat="1">
      <c r="A3830" s="193" t="s">
        <v>505</v>
      </c>
      <c r="B3830" s="210">
        <v>6</v>
      </c>
      <c r="C3830" s="191" t="str">
        <f>IF('IWP07'!E$444=0,"",'IWP07'!E$444)</f>
        <v/>
      </c>
      <c r="D3830" s="211">
        <f>'IWP07'!G$444</f>
        <v>0</v>
      </c>
      <c r="E3830" s="211">
        <f>'IWP07'!H$444</f>
        <v>0</v>
      </c>
      <c r="F3830" s="211">
        <f>'IWP07'!I$444</f>
        <v>0</v>
      </c>
      <c r="G3830" s="191" t="str">
        <f>IF('IWP07'!J$444=0,"",'IWP07'!J$444)</f>
        <v/>
      </c>
      <c r="H3830" s="211">
        <f>'IWP07'!K$444</f>
        <v>0</v>
      </c>
      <c r="I3830" s="211">
        <f>'IWP07'!L$444</f>
        <v>0</v>
      </c>
      <c r="J3830" s="212">
        <f>'IWP07'!M$444</f>
        <v>0</v>
      </c>
      <c r="K3830" s="106"/>
      <c r="L3830" s="106"/>
      <c r="M3830" s="129"/>
    </row>
    <row r="3831" spans="1:13" s="146" customFormat="1">
      <c r="A3831" s="193" t="s">
        <v>505</v>
      </c>
      <c r="B3831" s="210">
        <v>7</v>
      </c>
      <c r="C3831" s="191" t="str">
        <f>IF('IWP07'!E$451=0,"",'IWP07'!E$451)</f>
        <v>Subtotal column D.</v>
      </c>
      <c r="D3831" s="211">
        <f>'IWP07'!G$451</f>
        <v>0</v>
      </c>
      <c r="E3831" s="211">
        <f>'IWP07'!H$451</f>
        <v>0</v>
      </c>
      <c r="F3831" s="211">
        <f>'IWP07'!I$451</f>
        <v>0</v>
      </c>
      <c r="G3831" s="191" t="str">
        <f>IF('IWP07'!J$451=0,"",'IWP07'!J$451)</f>
        <v/>
      </c>
      <c r="H3831" s="211">
        <f>'IWP07'!K$451</f>
        <v>0</v>
      </c>
      <c r="I3831" s="211">
        <f>'IWP07'!L$451</f>
        <v>0</v>
      </c>
      <c r="J3831" s="212">
        <f>'IWP07'!M$451</f>
        <v>0</v>
      </c>
      <c r="K3831" s="106"/>
      <c r="L3831" s="106"/>
      <c r="M3831" s="129"/>
    </row>
    <row r="3832" spans="1:13" s="146" customFormat="1">
      <c r="A3832" s="193" t="s">
        <v>505</v>
      </c>
      <c r="B3832" s="210">
        <v>7</v>
      </c>
      <c r="C3832" s="191" t="str">
        <f>IF('IWP07'!E$452=0,"",'IWP07'!E$452)</f>
        <v>Unverified/Undocumented (Subtotal D - C)</v>
      </c>
      <c r="D3832" s="211">
        <f>'IWP07'!G$452</f>
        <v>0</v>
      </c>
      <c r="E3832" s="211">
        <f>'IWP07'!H$452</f>
        <v>0</v>
      </c>
      <c r="F3832" s="211">
        <f>'IWP07'!I$452</f>
        <v>0</v>
      </c>
      <c r="G3832" s="191" t="str">
        <f>IF('IWP07'!J$452=0,"",'IWP07'!J$452)</f>
        <v/>
      </c>
      <c r="H3832" s="211">
        <f>'IWP07'!K$452</f>
        <v>0</v>
      </c>
      <c r="I3832" s="211">
        <f>'IWP07'!L$452</f>
        <v>0</v>
      </c>
      <c r="J3832" s="212">
        <f>'IWP07'!M$452</f>
        <v>0</v>
      </c>
      <c r="K3832" s="106"/>
      <c r="L3832" s="106"/>
      <c r="M3832" s="129"/>
    </row>
    <row r="3833" spans="1:13" s="146" customFormat="1">
      <c r="A3833" s="193" t="s">
        <v>505</v>
      </c>
      <c r="B3833" s="210">
        <v>7</v>
      </c>
      <c r="C3833" s="191" t="str">
        <f>IF('IWP07'!E$453=0,"",'IWP07'!E$453)</f>
        <v>J. Billing Period Total</v>
      </c>
      <c r="D3833" s="211">
        <f>'IWP07'!G$453</f>
        <v>0</v>
      </c>
      <c r="E3833" s="211">
        <f>'IWP07'!H$453</f>
        <v>0</v>
      </c>
      <c r="F3833" s="211">
        <f>'IWP07'!I$453</f>
        <v>0</v>
      </c>
      <c r="G3833" s="191" t="str">
        <f>IF('IWP07'!J$453=0,"",'IWP07'!J$453)</f>
        <v/>
      </c>
      <c r="H3833" s="211">
        <f>'IWP07'!K$453</f>
        <v>0</v>
      </c>
      <c r="I3833" s="211">
        <f>'IWP07'!L$453</f>
        <v>0</v>
      </c>
      <c r="J3833" s="212">
        <f>'IWP07'!M$453</f>
        <v>0</v>
      </c>
      <c r="K3833" s="106"/>
      <c r="L3833" s="106"/>
      <c r="M3833" s="129"/>
    </row>
    <row r="3834" spans="1:13" s="146" customFormat="1">
      <c r="A3834" s="193" t="s">
        <v>505</v>
      </c>
      <c r="B3834" s="210">
        <v>7</v>
      </c>
      <c r="C3834" s="191" t="str">
        <f>IF('IWP07'!E$454=0,"",'IWP07'!E$454)</f>
        <v>D.</v>
      </c>
      <c r="D3834" s="211">
        <f>'IWP07'!G$454</f>
        <v>0</v>
      </c>
      <c r="E3834" s="211" t="str">
        <f>'IWP07'!H$454</f>
        <v>E.</v>
      </c>
      <c r="F3834" s="211" t="str">
        <f>'IWP07'!I$454</f>
        <v>F.</v>
      </c>
      <c r="G3834" s="191" t="str">
        <f>IF('IWP07'!J$454=0,"",'IWP07'!J$454)</f>
        <v>G.</v>
      </c>
      <c r="H3834" s="211">
        <f>'IWP07'!K$454</f>
        <v>0</v>
      </c>
      <c r="I3834" s="211" t="str">
        <f>'IWP07'!L$454</f>
        <v>H.</v>
      </c>
      <c r="J3834" s="212" t="str">
        <f>'IWP07'!M$454</f>
        <v>I.</v>
      </c>
      <c r="K3834" s="106"/>
      <c r="L3834" s="106"/>
      <c r="M3834" s="129"/>
    </row>
    <row r="3835" spans="1:13" s="146" customFormat="1">
      <c r="A3835" s="193" t="s">
        <v>505</v>
      </c>
      <c r="B3835" s="210">
        <v>7</v>
      </c>
      <c r="C3835" s="191" t="str">
        <f>IF('IWP07'!E$455=0,"",'IWP07'!E$455)</f>
        <v xml:space="preserve">Items/Services Related to Billing Period </v>
      </c>
      <c r="D3835" s="211">
        <f>'IWP07'!G$455</f>
        <v>0</v>
      </c>
      <c r="E3835" s="211" t="str">
        <f>'IWP07'!H$455</f>
        <v xml:space="preserve">Item/
Service Verified Amounts
</v>
      </c>
      <c r="F3835" s="211" t="str">
        <f>'IWP07'!I$455</f>
        <v>Amount Due to DADS (E. - D.)</v>
      </c>
      <c r="G3835" s="191" t="str">
        <f>IF('IWP07'!J$455=0,"",'IWP07'!J$455)</f>
        <v>Amount Reimbursed to 
Employee(s)/Employer</v>
      </c>
      <c r="H3835" s="211">
        <f>'IWP07'!K$455</f>
        <v>0</v>
      </c>
      <c r="I3835" s="211" t="str">
        <f>'IWP07'!L$455</f>
        <v>Amount Due to Employee(s) (G. - E.)</v>
      </c>
      <c r="J3835" s="212" t="str">
        <f>'IWP07'!M$455</f>
        <v>Amount Due to Employer (G. - E.)</v>
      </c>
      <c r="K3835" s="106"/>
      <c r="L3835" s="106"/>
      <c r="M3835" s="129"/>
    </row>
    <row r="3836" spans="1:13" s="146" customFormat="1">
      <c r="A3836" s="193" t="s">
        <v>505</v>
      </c>
      <c r="B3836" s="210">
        <v>7</v>
      </c>
      <c r="C3836" s="191" t="str">
        <f>IF('IWP07'!E$456=0,"",'IWP07'!E$456)</f>
        <v>Item/Service</v>
      </c>
      <c r="D3836" s="211" t="str">
        <f>'IWP07'!G$456</f>
        <v>Itemized Amount Paid by DADS</v>
      </c>
      <c r="E3836" s="211">
        <f>'IWP07'!H$456</f>
        <v>0</v>
      </c>
      <c r="F3836" s="211">
        <f>'IWP07'!I$456</f>
        <v>0</v>
      </c>
      <c r="G3836" s="191" t="str">
        <f>IF('IWP07'!J$456=0,"",'IWP07'!J$456)</f>
        <v/>
      </c>
      <c r="H3836" s="211">
        <f>'IWP07'!K$456</f>
        <v>0</v>
      </c>
      <c r="I3836" s="211">
        <f>'IWP07'!L$456</f>
        <v>0</v>
      </c>
      <c r="J3836" s="212">
        <f>'IWP07'!M$456</f>
        <v>0</v>
      </c>
      <c r="K3836" s="106"/>
      <c r="L3836" s="106"/>
      <c r="M3836" s="129"/>
    </row>
    <row r="3837" spans="1:13" s="146" customFormat="1">
      <c r="A3837" s="193" t="s">
        <v>505</v>
      </c>
      <c r="B3837" s="210">
        <v>7</v>
      </c>
      <c r="C3837" s="191" t="str">
        <f>IF('IWP07'!E$457=0,"",'IWP07'!E$457)</f>
        <v/>
      </c>
      <c r="D3837" s="211">
        <f>'IWP07'!G$457</f>
        <v>0</v>
      </c>
      <c r="E3837" s="211">
        <f>'IWP07'!H$457</f>
        <v>0</v>
      </c>
      <c r="F3837" s="211">
        <f>'IWP07'!I$457</f>
        <v>0</v>
      </c>
      <c r="G3837" s="191" t="str">
        <f>IF('IWP07'!J$457=0,"",'IWP07'!J$457)</f>
        <v/>
      </c>
      <c r="H3837" s="211">
        <f>'IWP07'!K$457</f>
        <v>0</v>
      </c>
      <c r="I3837" s="211">
        <f>'IWP07'!L$457</f>
        <v>0</v>
      </c>
      <c r="J3837" s="212">
        <f>'IWP07'!M$457</f>
        <v>0</v>
      </c>
      <c r="K3837" s="106"/>
      <c r="L3837" s="106"/>
      <c r="M3837" s="129"/>
    </row>
    <row r="3838" spans="1:13" s="146" customFormat="1">
      <c r="A3838" s="193" t="s">
        <v>505</v>
      </c>
      <c r="B3838" s="210">
        <v>7</v>
      </c>
      <c r="C3838" s="191" t="str">
        <f>IF('IWP07'!E$458=0,"",'IWP07'!E$458)</f>
        <v/>
      </c>
      <c r="D3838" s="211">
        <f>'IWP07'!G$458</f>
        <v>0</v>
      </c>
      <c r="E3838" s="211">
        <f>'IWP07'!H$458</f>
        <v>0</v>
      </c>
      <c r="F3838" s="211">
        <f>'IWP07'!I$458</f>
        <v>0</v>
      </c>
      <c r="G3838" s="191" t="str">
        <f>IF('IWP07'!J$458=0,"",'IWP07'!J$458)</f>
        <v/>
      </c>
      <c r="H3838" s="211">
        <f>'IWP07'!K$458</f>
        <v>0</v>
      </c>
      <c r="I3838" s="211">
        <f>'IWP07'!L$458</f>
        <v>0</v>
      </c>
      <c r="J3838" s="212">
        <f>'IWP07'!M$458</f>
        <v>0</v>
      </c>
      <c r="K3838" s="106"/>
      <c r="L3838" s="106"/>
      <c r="M3838" s="129"/>
    </row>
    <row r="3839" spans="1:13" s="146" customFormat="1">
      <c r="A3839" s="193" t="s">
        <v>505</v>
      </c>
      <c r="B3839" s="210">
        <v>7</v>
      </c>
      <c r="C3839" s="191" t="str">
        <f>IF('IWP07'!E$459=0,"",'IWP07'!E$459)</f>
        <v/>
      </c>
      <c r="D3839" s="211">
        <f>'IWP07'!G$459</f>
        <v>0</v>
      </c>
      <c r="E3839" s="211">
        <f>'IWP07'!H$459</f>
        <v>0</v>
      </c>
      <c r="F3839" s="211">
        <f>'IWP07'!I$459</f>
        <v>0</v>
      </c>
      <c r="G3839" s="191" t="str">
        <f>IF('IWP07'!J$459=0,"",'IWP07'!J$459)</f>
        <v/>
      </c>
      <c r="H3839" s="211">
        <f>'IWP07'!K$459</f>
        <v>0</v>
      </c>
      <c r="I3839" s="211">
        <f>'IWP07'!L$459</f>
        <v>0</v>
      </c>
      <c r="J3839" s="212">
        <f>'IWP07'!M$459</f>
        <v>0</v>
      </c>
      <c r="K3839" s="106"/>
      <c r="L3839" s="106"/>
      <c r="M3839" s="129"/>
    </row>
    <row r="3840" spans="1:13" s="146" customFormat="1">
      <c r="A3840" s="193" t="s">
        <v>505</v>
      </c>
      <c r="B3840" s="210">
        <v>7</v>
      </c>
      <c r="C3840" s="191" t="str">
        <f>IF('IWP07'!E$460=0,"",'IWP07'!E$460)</f>
        <v/>
      </c>
      <c r="D3840" s="211">
        <f>'IWP07'!G$460</f>
        <v>0</v>
      </c>
      <c r="E3840" s="211">
        <f>'IWP07'!H$460</f>
        <v>0</v>
      </c>
      <c r="F3840" s="211">
        <f>'IWP07'!I$460</f>
        <v>0</v>
      </c>
      <c r="G3840" s="191" t="str">
        <f>IF('IWP07'!J$460=0,"",'IWP07'!J$460)</f>
        <v/>
      </c>
      <c r="H3840" s="211">
        <f>'IWP07'!K$460</f>
        <v>0</v>
      </c>
      <c r="I3840" s="211">
        <f>'IWP07'!L$460</f>
        <v>0</v>
      </c>
      <c r="J3840" s="212">
        <f>'IWP07'!M$460</f>
        <v>0</v>
      </c>
      <c r="K3840" s="106"/>
      <c r="L3840" s="106"/>
      <c r="M3840" s="129"/>
    </row>
    <row r="3841" spans="1:13" s="146" customFormat="1">
      <c r="A3841" s="193" t="s">
        <v>505</v>
      </c>
      <c r="B3841" s="210">
        <v>8</v>
      </c>
      <c r="C3841" s="191" t="str">
        <f>IF('IWP07'!E$467=0,"",'IWP07'!E$467)</f>
        <v>Subtotal column D.</v>
      </c>
      <c r="D3841" s="211">
        <f>'IWP07'!G$467</f>
        <v>0</v>
      </c>
      <c r="E3841" s="211">
        <f>'IWP07'!H$467</f>
        <v>0</v>
      </c>
      <c r="F3841" s="211">
        <f>'IWP07'!I$467</f>
        <v>0</v>
      </c>
      <c r="G3841" s="191" t="str">
        <f>IF('IWP07'!J$467=0,"",'IWP07'!J$467)</f>
        <v/>
      </c>
      <c r="H3841" s="211">
        <f>'IWP07'!K$467</f>
        <v>0</v>
      </c>
      <c r="I3841" s="211">
        <f>'IWP07'!L$467</f>
        <v>0</v>
      </c>
      <c r="J3841" s="212">
        <f>'IWP07'!M$467</f>
        <v>0</v>
      </c>
      <c r="K3841" s="106"/>
      <c r="L3841" s="106"/>
      <c r="M3841" s="129"/>
    </row>
    <row r="3842" spans="1:13" s="146" customFormat="1">
      <c r="A3842" s="193" t="s">
        <v>505</v>
      </c>
      <c r="B3842" s="210">
        <v>8</v>
      </c>
      <c r="C3842" s="191" t="str">
        <f>IF('IWP07'!E$468=0,"",'IWP07'!E$468)</f>
        <v>Unverified/Undocumented (Subtotal D - C)</v>
      </c>
      <c r="D3842" s="211">
        <f>'IWP07'!G$468</f>
        <v>0</v>
      </c>
      <c r="E3842" s="211">
        <f>'IWP07'!H$468</f>
        <v>0</v>
      </c>
      <c r="F3842" s="211">
        <f>'IWP07'!I$468</f>
        <v>0</v>
      </c>
      <c r="G3842" s="191" t="str">
        <f>IF('IWP07'!J$468=0,"",'IWP07'!J$468)</f>
        <v/>
      </c>
      <c r="H3842" s="211">
        <f>'IWP07'!K$468</f>
        <v>0</v>
      </c>
      <c r="I3842" s="211">
        <f>'IWP07'!L$468</f>
        <v>0</v>
      </c>
      <c r="J3842" s="212">
        <f>'IWP07'!M$468</f>
        <v>0</v>
      </c>
      <c r="K3842" s="106"/>
      <c r="L3842" s="106"/>
      <c r="M3842" s="129"/>
    </row>
    <row r="3843" spans="1:13" s="146" customFormat="1">
      <c r="A3843" s="193" t="s">
        <v>505</v>
      </c>
      <c r="B3843" s="210">
        <v>8</v>
      </c>
      <c r="C3843" s="191" t="str">
        <f>IF('IWP07'!E$469=0,"",'IWP07'!E$469)</f>
        <v>J. Billing Period Total</v>
      </c>
      <c r="D3843" s="211">
        <f>'IWP07'!G$469</f>
        <v>0</v>
      </c>
      <c r="E3843" s="211">
        <f>'IWP07'!H$469</f>
        <v>0</v>
      </c>
      <c r="F3843" s="211">
        <f>'IWP07'!I$469</f>
        <v>0</v>
      </c>
      <c r="G3843" s="191" t="str">
        <f>IF('IWP07'!J$469=0,"",'IWP07'!J$469)</f>
        <v/>
      </c>
      <c r="H3843" s="211">
        <f>'IWP07'!K$469</f>
        <v>0</v>
      </c>
      <c r="I3843" s="211">
        <f>'IWP07'!L$469</f>
        <v>0</v>
      </c>
      <c r="J3843" s="212">
        <f>'IWP07'!M$469</f>
        <v>0</v>
      </c>
      <c r="K3843" s="106"/>
      <c r="L3843" s="106"/>
      <c r="M3843" s="129"/>
    </row>
    <row r="3844" spans="1:13" s="146" customFormat="1">
      <c r="A3844" s="193" t="s">
        <v>505</v>
      </c>
      <c r="B3844" s="210">
        <v>8</v>
      </c>
      <c r="C3844" s="191" t="str">
        <f>IF('IWP07'!E$470=0,"",'IWP07'!E$470)</f>
        <v>D.</v>
      </c>
      <c r="D3844" s="211">
        <f>'IWP07'!G$470</f>
        <v>0</v>
      </c>
      <c r="E3844" s="211" t="str">
        <f>'IWP07'!H$470</f>
        <v>E.</v>
      </c>
      <c r="F3844" s="211" t="str">
        <f>'IWP07'!I$470</f>
        <v>F.</v>
      </c>
      <c r="G3844" s="191" t="str">
        <f>IF('IWP07'!J$470=0,"",'IWP07'!J$470)</f>
        <v>G.</v>
      </c>
      <c r="H3844" s="211">
        <f>'IWP07'!K$470</f>
        <v>0</v>
      </c>
      <c r="I3844" s="211" t="str">
        <f>'IWP07'!L$470</f>
        <v>H.</v>
      </c>
      <c r="J3844" s="212" t="str">
        <f>'IWP07'!M$470</f>
        <v>I.</v>
      </c>
      <c r="K3844" s="106"/>
      <c r="L3844" s="106"/>
      <c r="M3844" s="129"/>
    </row>
    <row r="3845" spans="1:13" s="146" customFormat="1">
      <c r="A3845" s="193" t="s">
        <v>505</v>
      </c>
      <c r="B3845" s="210">
        <v>8</v>
      </c>
      <c r="C3845" s="191" t="str">
        <f>IF('IWP07'!E$471=0,"",'IWP07'!E$471)</f>
        <v xml:space="preserve">Items/Services Related to Billing Period </v>
      </c>
      <c r="D3845" s="211">
        <f>'IWP07'!G$471</f>
        <v>0</v>
      </c>
      <c r="E3845" s="211" t="str">
        <f>'IWP07'!H$471</f>
        <v xml:space="preserve">Item/
Service Verified Amounts
</v>
      </c>
      <c r="F3845" s="211" t="str">
        <f>'IWP07'!I$471</f>
        <v>Amount Due to DADS (E. - D.)</v>
      </c>
      <c r="G3845" s="191" t="str">
        <f>IF('IWP07'!J$471=0,"",'IWP07'!J$471)</f>
        <v>Amount Reimbursed to 
Employee(s)/Employer</v>
      </c>
      <c r="H3845" s="211">
        <f>'IWP07'!K$471</f>
        <v>0</v>
      </c>
      <c r="I3845" s="211" t="str">
        <f>'IWP07'!L$471</f>
        <v>Amount Due to Employee(s) (G. - E.)</v>
      </c>
      <c r="J3845" s="212" t="str">
        <f>'IWP07'!M$471</f>
        <v>Amount Due to Employer (G. - E.)</v>
      </c>
      <c r="K3845" s="106"/>
      <c r="L3845" s="106"/>
      <c r="M3845" s="129"/>
    </row>
    <row r="3846" spans="1:13" s="146" customFormat="1">
      <c r="A3846" s="193" t="s">
        <v>505</v>
      </c>
      <c r="B3846" s="210">
        <v>8</v>
      </c>
      <c r="C3846" s="191" t="str">
        <f>IF('IWP07'!E$472=0,"",'IWP07'!E$472)</f>
        <v>Item/Service</v>
      </c>
      <c r="D3846" s="211" t="str">
        <f>'IWP07'!G$472</f>
        <v>Itemized Amount Paid by DADS</v>
      </c>
      <c r="E3846" s="211">
        <f>'IWP07'!H$472</f>
        <v>0</v>
      </c>
      <c r="F3846" s="211">
        <f>'IWP07'!I$472</f>
        <v>0</v>
      </c>
      <c r="G3846" s="191" t="str">
        <f>IF('IWP07'!J$472=0,"",'IWP07'!J$472)</f>
        <v/>
      </c>
      <c r="H3846" s="211">
        <f>'IWP07'!K$472</f>
        <v>0</v>
      </c>
      <c r="I3846" s="211">
        <f>'IWP07'!L$472</f>
        <v>0</v>
      </c>
      <c r="J3846" s="212">
        <f>'IWP07'!M$472</f>
        <v>0</v>
      </c>
      <c r="K3846" s="106"/>
      <c r="L3846" s="106"/>
      <c r="M3846" s="129"/>
    </row>
    <row r="3847" spans="1:13" s="146" customFormat="1">
      <c r="A3847" s="193" t="s">
        <v>505</v>
      </c>
      <c r="B3847" s="210">
        <v>8</v>
      </c>
      <c r="C3847" s="191" t="str">
        <f>IF('IWP07'!E$473=0,"",'IWP07'!E$473)</f>
        <v/>
      </c>
      <c r="D3847" s="211">
        <f>'IWP07'!G$473</f>
        <v>0</v>
      </c>
      <c r="E3847" s="211">
        <f>'IWP07'!H$473</f>
        <v>0</v>
      </c>
      <c r="F3847" s="211">
        <f>'IWP07'!I$473</f>
        <v>0</v>
      </c>
      <c r="G3847" s="191" t="str">
        <f>IF('IWP07'!J$473=0,"",'IWP07'!J$473)</f>
        <v/>
      </c>
      <c r="H3847" s="211">
        <f>'IWP07'!K$473</f>
        <v>0</v>
      </c>
      <c r="I3847" s="211">
        <f>'IWP07'!L$473</f>
        <v>0</v>
      </c>
      <c r="J3847" s="212">
        <f>'IWP07'!M$473</f>
        <v>0</v>
      </c>
      <c r="K3847" s="106"/>
      <c r="L3847" s="106"/>
      <c r="M3847" s="129"/>
    </row>
    <row r="3848" spans="1:13" s="146" customFormat="1">
      <c r="A3848" s="193" t="s">
        <v>505</v>
      </c>
      <c r="B3848" s="210">
        <v>8</v>
      </c>
      <c r="C3848" s="191" t="str">
        <f>IF('IWP07'!E$474=0,"",'IWP07'!E$474)</f>
        <v/>
      </c>
      <c r="D3848" s="211">
        <f>'IWP07'!G$474</f>
        <v>0</v>
      </c>
      <c r="E3848" s="211">
        <f>'IWP07'!H$474</f>
        <v>0</v>
      </c>
      <c r="F3848" s="211">
        <f>'IWP07'!I$474</f>
        <v>0</v>
      </c>
      <c r="G3848" s="191" t="str">
        <f>IF('IWP07'!J$474=0,"",'IWP07'!J$474)</f>
        <v/>
      </c>
      <c r="H3848" s="211">
        <f>'IWP07'!K$474</f>
        <v>0</v>
      </c>
      <c r="I3848" s="211">
        <f>'IWP07'!L$474</f>
        <v>0</v>
      </c>
      <c r="J3848" s="212">
        <f>'IWP07'!M$474</f>
        <v>0</v>
      </c>
      <c r="K3848" s="106"/>
      <c r="L3848" s="106"/>
      <c r="M3848" s="129"/>
    </row>
    <row r="3849" spans="1:13" s="146" customFormat="1">
      <c r="A3849" s="193" t="s">
        <v>505</v>
      </c>
      <c r="B3849" s="210">
        <v>8</v>
      </c>
      <c r="C3849" s="191" t="str">
        <f>IF('IWP07'!E$475=0,"",'IWP07'!E$475)</f>
        <v/>
      </c>
      <c r="D3849" s="211">
        <f>'IWP07'!G$475</f>
        <v>0</v>
      </c>
      <c r="E3849" s="211">
        <f>'IWP07'!H$475</f>
        <v>0</v>
      </c>
      <c r="F3849" s="211">
        <f>'IWP07'!I$475</f>
        <v>0</v>
      </c>
      <c r="G3849" s="191" t="str">
        <f>IF('IWP07'!J$475=0,"",'IWP07'!J$475)</f>
        <v/>
      </c>
      <c r="H3849" s="211">
        <f>'IWP07'!K$475</f>
        <v>0</v>
      </c>
      <c r="I3849" s="211">
        <f>'IWP07'!L$475</f>
        <v>0</v>
      </c>
      <c r="J3849" s="212">
        <f>'IWP07'!M$475</f>
        <v>0</v>
      </c>
      <c r="K3849" s="106"/>
      <c r="L3849" s="106"/>
      <c r="M3849" s="129"/>
    </row>
    <row r="3850" spans="1:13" s="146" customFormat="1">
      <c r="A3850" s="193" t="s">
        <v>505</v>
      </c>
      <c r="B3850" s="210">
        <v>8</v>
      </c>
      <c r="C3850" s="191" t="str">
        <f>IF('IWP07'!E$476=0,"",'IWP07'!E$476)</f>
        <v/>
      </c>
      <c r="D3850" s="211">
        <f>'IWP07'!G$476</f>
        <v>0</v>
      </c>
      <c r="E3850" s="211">
        <f>'IWP07'!H$476</f>
        <v>0</v>
      </c>
      <c r="F3850" s="211">
        <f>'IWP07'!I$476</f>
        <v>0</v>
      </c>
      <c r="G3850" s="191" t="str">
        <f>IF('IWP07'!J$476=0,"",'IWP07'!J$476)</f>
        <v/>
      </c>
      <c r="H3850" s="211">
        <f>'IWP07'!K$476</f>
        <v>0</v>
      </c>
      <c r="I3850" s="211">
        <f>'IWP07'!L$476</f>
        <v>0</v>
      </c>
      <c r="J3850" s="212">
        <f>'IWP07'!M$476</f>
        <v>0</v>
      </c>
      <c r="K3850" s="106"/>
      <c r="L3850" s="106"/>
      <c r="M3850" s="129"/>
    </row>
    <row r="3851" spans="1:13" s="146" customFormat="1">
      <c r="A3851" s="193" t="s">
        <v>505</v>
      </c>
      <c r="B3851" s="210">
        <v>9</v>
      </c>
      <c r="C3851" s="191" t="str">
        <f>IF('IWP07'!E$483=0,"",'IWP07'!E$483)</f>
        <v>Subtotal column D.</v>
      </c>
      <c r="D3851" s="211">
        <f>'IWP07'!G$483</f>
        <v>0</v>
      </c>
      <c r="E3851" s="211">
        <f>'IWP07'!H$483</f>
        <v>0</v>
      </c>
      <c r="F3851" s="211">
        <f>'IWP07'!I$483</f>
        <v>0</v>
      </c>
      <c r="G3851" s="191" t="str">
        <f>IF('IWP07'!J$483=0,"",'IWP07'!J$483)</f>
        <v/>
      </c>
      <c r="H3851" s="211">
        <f>'IWP07'!K$483</f>
        <v>0</v>
      </c>
      <c r="I3851" s="211">
        <f>'IWP07'!L$483</f>
        <v>0</v>
      </c>
      <c r="J3851" s="212">
        <f>'IWP07'!M$483</f>
        <v>0</v>
      </c>
      <c r="K3851" s="106"/>
      <c r="L3851" s="106"/>
      <c r="M3851" s="129"/>
    </row>
    <row r="3852" spans="1:13" s="146" customFormat="1">
      <c r="A3852" s="193" t="s">
        <v>505</v>
      </c>
      <c r="B3852" s="210">
        <v>9</v>
      </c>
      <c r="C3852" s="191" t="str">
        <f>IF('IWP07'!E$484=0,"",'IWP07'!E$484)</f>
        <v>Unverified/Undocumented (Subtotal D - C)</v>
      </c>
      <c r="D3852" s="211">
        <f>'IWP07'!G$484</f>
        <v>0</v>
      </c>
      <c r="E3852" s="211">
        <f>'IWP07'!H$484</f>
        <v>0</v>
      </c>
      <c r="F3852" s="211">
        <f>'IWP07'!I$484</f>
        <v>0</v>
      </c>
      <c r="G3852" s="191" t="str">
        <f>IF('IWP07'!J$484=0,"",'IWP07'!J$484)</f>
        <v/>
      </c>
      <c r="H3852" s="211">
        <f>'IWP07'!K$484</f>
        <v>0</v>
      </c>
      <c r="I3852" s="211">
        <f>'IWP07'!L$484</f>
        <v>0</v>
      </c>
      <c r="J3852" s="212">
        <f>'IWP07'!M$484</f>
        <v>0</v>
      </c>
      <c r="K3852" s="106"/>
      <c r="L3852" s="106"/>
      <c r="M3852" s="129"/>
    </row>
    <row r="3853" spans="1:13" s="146" customFormat="1">
      <c r="A3853" s="193" t="s">
        <v>505</v>
      </c>
      <c r="B3853" s="210">
        <v>9</v>
      </c>
      <c r="C3853" s="191" t="str">
        <f>IF('IWP07'!E$485=0,"",'IWP07'!E$485)</f>
        <v>J. Billing Period Total</v>
      </c>
      <c r="D3853" s="211">
        <f>'IWP07'!G$485</f>
        <v>0</v>
      </c>
      <c r="E3853" s="211">
        <f>'IWP07'!H$485</f>
        <v>0</v>
      </c>
      <c r="F3853" s="211">
        <f>'IWP07'!I$485</f>
        <v>0</v>
      </c>
      <c r="G3853" s="191" t="str">
        <f>IF('IWP07'!J$485=0,"",'IWP07'!J$485)</f>
        <v/>
      </c>
      <c r="H3853" s="211">
        <f>'IWP07'!K$485</f>
        <v>0</v>
      </c>
      <c r="I3853" s="211">
        <f>'IWP07'!L$485</f>
        <v>0</v>
      </c>
      <c r="J3853" s="212">
        <f>'IWP07'!M$485</f>
        <v>0</v>
      </c>
      <c r="K3853" s="106"/>
      <c r="L3853" s="106"/>
      <c r="M3853" s="129"/>
    </row>
    <row r="3854" spans="1:13" s="146" customFormat="1">
      <c r="A3854" s="193" t="s">
        <v>505</v>
      </c>
      <c r="B3854" s="210">
        <v>9</v>
      </c>
      <c r="C3854" s="191" t="str">
        <f>IF('IWP07'!E$486=0,"",'IWP07'!E$486)</f>
        <v>D.</v>
      </c>
      <c r="D3854" s="211">
        <f>'IWP07'!G$486</f>
        <v>0</v>
      </c>
      <c r="E3854" s="211" t="str">
        <f>'IWP07'!H$486</f>
        <v>E.</v>
      </c>
      <c r="F3854" s="211" t="str">
        <f>'IWP07'!I$486</f>
        <v>F.</v>
      </c>
      <c r="G3854" s="191" t="str">
        <f>IF('IWP07'!J$486=0,"",'IWP07'!J$486)</f>
        <v>G.</v>
      </c>
      <c r="H3854" s="211">
        <f>'IWP07'!K$486</f>
        <v>0</v>
      </c>
      <c r="I3854" s="211" t="str">
        <f>'IWP07'!L$486</f>
        <v>H.</v>
      </c>
      <c r="J3854" s="212" t="str">
        <f>'IWP07'!M$486</f>
        <v>I.</v>
      </c>
      <c r="K3854" s="106"/>
      <c r="L3854" s="106"/>
      <c r="M3854" s="129"/>
    </row>
    <row r="3855" spans="1:13" s="146" customFormat="1">
      <c r="A3855" s="193" t="s">
        <v>505</v>
      </c>
      <c r="B3855" s="210">
        <v>9</v>
      </c>
      <c r="C3855" s="191" t="str">
        <f>IF('IWP07'!E$487=0,"",'IWP07'!E$487)</f>
        <v xml:space="preserve">Items/Services Related to Billing Period </v>
      </c>
      <c r="D3855" s="211">
        <f>'IWP07'!G$487</f>
        <v>0</v>
      </c>
      <c r="E3855" s="211" t="str">
        <f>'IWP07'!H$487</f>
        <v xml:space="preserve">Item/
Service Verified Amounts
</v>
      </c>
      <c r="F3855" s="211" t="str">
        <f>'IWP07'!I$487</f>
        <v>Amount Due to DADS (E. - D.)</v>
      </c>
      <c r="G3855" s="191" t="str">
        <f>IF('IWP07'!J$487=0,"",'IWP07'!J$487)</f>
        <v>Amount Reimbursed to 
Employee(s)/Employer</v>
      </c>
      <c r="H3855" s="211">
        <f>'IWP07'!K$487</f>
        <v>0</v>
      </c>
      <c r="I3855" s="211" t="str">
        <f>'IWP07'!L$487</f>
        <v>Amount Due to Employee(s) (G. - E.)</v>
      </c>
      <c r="J3855" s="212" t="str">
        <f>'IWP07'!M$487</f>
        <v>Amount Due to Employer (G. - E.)</v>
      </c>
      <c r="K3855" s="106"/>
      <c r="L3855" s="106"/>
      <c r="M3855" s="129"/>
    </row>
    <row r="3856" spans="1:13" s="146" customFormat="1">
      <c r="A3856" s="193" t="s">
        <v>505</v>
      </c>
      <c r="B3856" s="210">
        <v>9</v>
      </c>
      <c r="C3856" s="191" t="str">
        <f>IF('IWP07'!E$488=0,"",'IWP07'!E$488)</f>
        <v>Item/Service</v>
      </c>
      <c r="D3856" s="211" t="str">
        <f>'IWP07'!G$488</f>
        <v>Itemized Amount Paid by DADS</v>
      </c>
      <c r="E3856" s="211">
        <f>'IWP07'!H$488</f>
        <v>0</v>
      </c>
      <c r="F3856" s="211">
        <f>'IWP07'!I$488</f>
        <v>0</v>
      </c>
      <c r="G3856" s="191" t="str">
        <f>IF('IWP07'!J$488=0,"",'IWP07'!J$488)</f>
        <v/>
      </c>
      <c r="H3856" s="211">
        <f>'IWP07'!K$488</f>
        <v>0</v>
      </c>
      <c r="I3856" s="211">
        <f>'IWP07'!L$488</f>
        <v>0</v>
      </c>
      <c r="J3856" s="212">
        <f>'IWP07'!M$488</f>
        <v>0</v>
      </c>
      <c r="K3856" s="106"/>
      <c r="L3856" s="106"/>
      <c r="M3856" s="129"/>
    </row>
    <row r="3857" spans="1:13" s="146" customFormat="1">
      <c r="A3857" s="193" t="s">
        <v>505</v>
      </c>
      <c r="B3857" s="210">
        <v>9</v>
      </c>
      <c r="C3857" s="191" t="str">
        <f>IF('IWP07'!E$489=0,"",'IWP07'!E$489)</f>
        <v/>
      </c>
      <c r="D3857" s="211">
        <f>'IWP07'!G$489</f>
        <v>0</v>
      </c>
      <c r="E3857" s="211">
        <f>'IWP07'!H$489</f>
        <v>0</v>
      </c>
      <c r="F3857" s="211">
        <f>'IWP07'!I$489</f>
        <v>0</v>
      </c>
      <c r="G3857" s="191" t="str">
        <f>IF('IWP07'!J$489=0,"",'IWP07'!J$489)</f>
        <v/>
      </c>
      <c r="H3857" s="211">
        <f>'IWP07'!K$489</f>
        <v>0</v>
      </c>
      <c r="I3857" s="211">
        <f>'IWP07'!L$489</f>
        <v>0</v>
      </c>
      <c r="J3857" s="212">
        <f>'IWP07'!M$489</f>
        <v>0</v>
      </c>
      <c r="K3857" s="106"/>
      <c r="L3857" s="106"/>
      <c r="M3857" s="129"/>
    </row>
    <row r="3858" spans="1:13" s="146" customFormat="1">
      <c r="A3858" s="193" t="s">
        <v>505</v>
      </c>
      <c r="B3858" s="210">
        <v>9</v>
      </c>
      <c r="C3858" s="191" t="str">
        <f>IF('IWP07'!E$490=0,"",'IWP07'!E$490)</f>
        <v/>
      </c>
      <c r="D3858" s="211">
        <f>'IWP07'!G$490</f>
        <v>0</v>
      </c>
      <c r="E3858" s="211">
        <f>'IWP07'!H$490</f>
        <v>0</v>
      </c>
      <c r="F3858" s="211">
        <f>'IWP07'!I$490</f>
        <v>0</v>
      </c>
      <c r="G3858" s="191" t="str">
        <f>IF('IWP07'!J$490=0,"",'IWP07'!J$490)</f>
        <v/>
      </c>
      <c r="H3858" s="211">
        <f>'IWP07'!K$490</f>
        <v>0</v>
      </c>
      <c r="I3858" s="211">
        <f>'IWP07'!L$490</f>
        <v>0</v>
      </c>
      <c r="J3858" s="212">
        <f>'IWP07'!M$490</f>
        <v>0</v>
      </c>
      <c r="K3858" s="106"/>
      <c r="L3858" s="106"/>
      <c r="M3858" s="129"/>
    </row>
    <row r="3859" spans="1:13" s="146" customFormat="1">
      <c r="A3859" s="193" t="s">
        <v>505</v>
      </c>
      <c r="B3859" s="210">
        <v>9</v>
      </c>
      <c r="C3859" s="191" t="str">
        <f>IF('IWP07'!E$491=0,"",'IWP07'!E$491)</f>
        <v/>
      </c>
      <c r="D3859" s="211">
        <f>'IWP07'!G$491</f>
        <v>0</v>
      </c>
      <c r="E3859" s="211">
        <f>'IWP07'!H$491</f>
        <v>0</v>
      </c>
      <c r="F3859" s="211">
        <f>'IWP07'!I$491</f>
        <v>0</v>
      </c>
      <c r="G3859" s="191" t="str">
        <f>IF('IWP07'!J$491=0,"",'IWP07'!J$491)</f>
        <v/>
      </c>
      <c r="H3859" s="211">
        <f>'IWP07'!K$491</f>
        <v>0</v>
      </c>
      <c r="I3859" s="211">
        <f>'IWP07'!L$491</f>
        <v>0</v>
      </c>
      <c r="J3859" s="212">
        <f>'IWP07'!M$491</f>
        <v>0</v>
      </c>
      <c r="K3859" s="106"/>
      <c r="L3859" s="106"/>
      <c r="M3859" s="129"/>
    </row>
    <row r="3860" spans="1:13" s="146" customFormat="1">
      <c r="A3860" s="193" t="s">
        <v>505</v>
      </c>
      <c r="B3860" s="210">
        <v>9</v>
      </c>
      <c r="C3860" s="191" t="str">
        <f>IF('IWP07'!E$492=0,"",'IWP07'!E$492)</f>
        <v/>
      </c>
      <c r="D3860" s="211">
        <f>'IWP07'!G$492</f>
        <v>0</v>
      </c>
      <c r="E3860" s="211">
        <f>'IWP07'!H$492</f>
        <v>0</v>
      </c>
      <c r="F3860" s="211">
        <f>'IWP07'!I$492</f>
        <v>0</v>
      </c>
      <c r="G3860" s="191" t="str">
        <f>IF('IWP07'!J$492=0,"",'IWP07'!J$492)</f>
        <v/>
      </c>
      <c r="H3860" s="211">
        <f>'IWP07'!K$492</f>
        <v>0</v>
      </c>
      <c r="I3860" s="211">
        <f>'IWP07'!L$492</f>
        <v>0</v>
      </c>
      <c r="J3860" s="212">
        <f>'IWP07'!M$492</f>
        <v>0</v>
      </c>
      <c r="K3860" s="106"/>
      <c r="L3860" s="106"/>
      <c r="M3860" s="129"/>
    </row>
    <row r="3861" spans="1:13" s="146" customFormat="1">
      <c r="A3861" s="193" t="s">
        <v>505</v>
      </c>
      <c r="B3861" s="210">
        <v>10</v>
      </c>
      <c r="C3861" s="191" t="str">
        <f>IF('IWP07'!E$499=0,"",'IWP07'!E$499)</f>
        <v>Subtotal column D.</v>
      </c>
      <c r="D3861" s="211">
        <f>'IWP07'!G$499</f>
        <v>0</v>
      </c>
      <c r="E3861" s="211">
        <f>'IWP07'!H$499</f>
        <v>0</v>
      </c>
      <c r="F3861" s="211">
        <f>'IWP07'!I$499</f>
        <v>0</v>
      </c>
      <c r="G3861" s="191" t="str">
        <f>IF('IWP07'!J$499=0,"",'IWP07'!J$499)</f>
        <v/>
      </c>
      <c r="H3861" s="211">
        <f>'IWP07'!K$499</f>
        <v>0</v>
      </c>
      <c r="I3861" s="211">
        <f>'IWP07'!L$499</f>
        <v>0</v>
      </c>
      <c r="J3861" s="212">
        <f>'IWP07'!M$499</f>
        <v>0</v>
      </c>
      <c r="K3861" s="106"/>
      <c r="L3861" s="106"/>
      <c r="M3861" s="129"/>
    </row>
    <row r="3862" spans="1:13" s="146" customFormat="1">
      <c r="A3862" s="193" t="s">
        <v>505</v>
      </c>
      <c r="B3862" s="210">
        <v>10</v>
      </c>
      <c r="C3862" s="191" t="str">
        <f>IF('IWP07'!E$500=0,"",'IWP07'!E$500)</f>
        <v>Unverified/Undocumented (Subtotal D - C)</v>
      </c>
      <c r="D3862" s="211">
        <f>'IWP07'!G$500</f>
        <v>0</v>
      </c>
      <c r="E3862" s="211">
        <f>'IWP07'!H$500</f>
        <v>0</v>
      </c>
      <c r="F3862" s="211">
        <f>'IWP07'!I$500</f>
        <v>0</v>
      </c>
      <c r="G3862" s="191" t="str">
        <f>IF('IWP07'!J$500=0,"",'IWP07'!J$500)</f>
        <v/>
      </c>
      <c r="H3862" s="211">
        <f>'IWP07'!K$500</f>
        <v>0</v>
      </c>
      <c r="I3862" s="211">
        <f>'IWP07'!L$500</f>
        <v>0</v>
      </c>
      <c r="J3862" s="212">
        <f>'IWP07'!M$500</f>
        <v>0</v>
      </c>
      <c r="K3862" s="106"/>
      <c r="L3862" s="106"/>
      <c r="M3862" s="129"/>
    </row>
    <row r="3863" spans="1:13" s="146" customFormat="1">
      <c r="A3863" s="193" t="s">
        <v>505</v>
      </c>
      <c r="B3863" s="210">
        <v>10</v>
      </c>
      <c r="C3863" s="191" t="str">
        <f>IF('IWP07'!E$501=0,"",'IWP07'!E$501)</f>
        <v>J. Billing Period Total</v>
      </c>
      <c r="D3863" s="211">
        <f>'IWP07'!G$501</f>
        <v>0</v>
      </c>
      <c r="E3863" s="211">
        <f>'IWP07'!H$501</f>
        <v>0</v>
      </c>
      <c r="F3863" s="211">
        <f>'IWP07'!I$501</f>
        <v>0</v>
      </c>
      <c r="G3863" s="191" t="str">
        <f>IF('IWP07'!J$501=0,"",'IWP07'!J$501)</f>
        <v/>
      </c>
      <c r="H3863" s="211">
        <f>'IWP07'!K$501</f>
        <v>0</v>
      </c>
      <c r="I3863" s="211">
        <f>'IWP07'!L$501</f>
        <v>0</v>
      </c>
      <c r="J3863" s="212">
        <f>'IWP07'!M$501</f>
        <v>0</v>
      </c>
      <c r="K3863" s="106"/>
      <c r="L3863" s="106"/>
      <c r="M3863" s="129"/>
    </row>
    <row r="3864" spans="1:13" s="146" customFormat="1">
      <c r="A3864" s="193" t="s">
        <v>505</v>
      </c>
      <c r="B3864" s="210">
        <v>10</v>
      </c>
      <c r="C3864" s="191" t="str">
        <f>IF('IWP07'!E$502=0,"",'IWP07'!E$502)</f>
        <v>D.</v>
      </c>
      <c r="D3864" s="211">
        <f>'IWP07'!G$502</f>
        <v>0</v>
      </c>
      <c r="E3864" s="211" t="str">
        <f>'IWP07'!H$502</f>
        <v>E.</v>
      </c>
      <c r="F3864" s="211" t="str">
        <f>'IWP07'!I$502</f>
        <v>F.</v>
      </c>
      <c r="G3864" s="191" t="str">
        <f>IF('IWP07'!J$502=0,"",'IWP07'!J$502)</f>
        <v>G.</v>
      </c>
      <c r="H3864" s="211">
        <f>'IWP07'!K$502</f>
        <v>0</v>
      </c>
      <c r="I3864" s="211" t="str">
        <f>'IWP07'!L$502</f>
        <v>H.</v>
      </c>
      <c r="J3864" s="212" t="str">
        <f>'IWP07'!M$502</f>
        <v>I.</v>
      </c>
      <c r="K3864" s="106"/>
      <c r="L3864" s="106"/>
      <c r="M3864" s="129"/>
    </row>
    <row r="3865" spans="1:13" s="146" customFormat="1">
      <c r="A3865" s="193" t="s">
        <v>505</v>
      </c>
      <c r="B3865" s="210">
        <v>10</v>
      </c>
      <c r="C3865" s="191" t="str">
        <f>IF('IWP07'!E$503=0,"",'IWP07'!E$503)</f>
        <v xml:space="preserve">Items/Services Related to Billing Period </v>
      </c>
      <c r="D3865" s="211">
        <f>'IWP07'!G$503</f>
        <v>0</v>
      </c>
      <c r="E3865" s="211" t="str">
        <f>'IWP07'!H$503</f>
        <v xml:space="preserve">Item/
Service Verified Amounts
</v>
      </c>
      <c r="F3865" s="211" t="str">
        <f>'IWP07'!I$503</f>
        <v>Amount Due to DADS (E. - D.)</v>
      </c>
      <c r="G3865" s="191" t="str">
        <f>IF('IWP07'!J$503=0,"",'IWP07'!J$503)</f>
        <v>Amount Reimbursed to 
Employee(s)/Employer</v>
      </c>
      <c r="H3865" s="211">
        <f>'IWP07'!K$503</f>
        <v>0</v>
      </c>
      <c r="I3865" s="211" t="str">
        <f>'IWP07'!L$503</f>
        <v>Amount Due to Employee(s) (G. - E.)</v>
      </c>
      <c r="J3865" s="212" t="str">
        <f>'IWP07'!M$503</f>
        <v>Amount Due to Employer (G. - E.)</v>
      </c>
      <c r="K3865" s="106"/>
      <c r="L3865" s="106"/>
      <c r="M3865" s="129"/>
    </row>
    <row r="3866" spans="1:13" s="146" customFormat="1">
      <c r="A3866" s="193" t="s">
        <v>505</v>
      </c>
      <c r="B3866" s="210">
        <v>10</v>
      </c>
      <c r="C3866" s="191" t="str">
        <f>IF('IWP07'!E$504=0,"",'IWP07'!E$504)</f>
        <v>Item/Service</v>
      </c>
      <c r="D3866" s="211" t="str">
        <f>'IWP07'!G$504</f>
        <v>Itemized Amount Paid by DADS</v>
      </c>
      <c r="E3866" s="211">
        <f>'IWP07'!H$504</f>
        <v>0</v>
      </c>
      <c r="F3866" s="211">
        <f>'IWP07'!I$504</f>
        <v>0</v>
      </c>
      <c r="G3866" s="191" t="str">
        <f>IF('IWP07'!J$504=0,"",'IWP07'!J$504)</f>
        <v/>
      </c>
      <c r="H3866" s="211">
        <f>'IWP07'!K$504</f>
        <v>0</v>
      </c>
      <c r="I3866" s="211">
        <f>'IWP07'!L$504</f>
        <v>0</v>
      </c>
      <c r="J3866" s="212">
        <f>'IWP07'!M$504</f>
        <v>0</v>
      </c>
      <c r="K3866" s="106"/>
      <c r="L3866" s="106"/>
      <c r="M3866" s="129"/>
    </row>
    <row r="3867" spans="1:13" s="146" customFormat="1">
      <c r="A3867" s="193" t="s">
        <v>505</v>
      </c>
      <c r="B3867" s="210">
        <v>10</v>
      </c>
      <c r="C3867" s="191" t="str">
        <f>IF('IWP07'!E$505=0,"",'IWP07'!E$505)</f>
        <v/>
      </c>
      <c r="D3867" s="211">
        <f>'IWP07'!G$505</f>
        <v>0</v>
      </c>
      <c r="E3867" s="211">
        <f>'IWP07'!H$505</f>
        <v>0</v>
      </c>
      <c r="F3867" s="211">
        <f>'IWP07'!I$505</f>
        <v>0</v>
      </c>
      <c r="G3867" s="191" t="str">
        <f>IF('IWP07'!J$505=0,"",'IWP07'!J$505)</f>
        <v/>
      </c>
      <c r="H3867" s="211">
        <f>'IWP07'!K$505</f>
        <v>0</v>
      </c>
      <c r="I3867" s="211">
        <f>'IWP07'!L$505</f>
        <v>0</v>
      </c>
      <c r="J3867" s="212">
        <f>'IWP07'!M$505</f>
        <v>0</v>
      </c>
      <c r="K3867" s="106"/>
      <c r="L3867" s="106"/>
      <c r="M3867" s="129"/>
    </row>
    <row r="3868" spans="1:13" s="146" customFormat="1">
      <c r="A3868" s="193" t="s">
        <v>505</v>
      </c>
      <c r="B3868" s="210">
        <v>10</v>
      </c>
      <c r="C3868" s="191" t="str">
        <f>IF('IWP07'!E$506=0,"",'IWP07'!E$506)</f>
        <v/>
      </c>
      <c r="D3868" s="211">
        <f>'IWP07'!G$506</f>
        <v>0</v>
      </c>
      <c r="E3868" s="211">
        <f>'IWP07'!H$506</f>
        <v>0</v>
      </c>
      <c r="F3868" s="211">
        <f>'IWP07'!I$506</f>
        <v>0</v>
      </c>
      <c r="G3868" s="191" t="str">
        <f>IF('IWP07'!J$506=0,"",'IWP07'!J$506)</f>
        <v/>
      </c>
      <c r="H3868" s="211">
        <f>'IWP07'!K$506</f>
        <v>0</v>
      </c>
      <c r="I3868" s="211">
        <f>'IWP07'!L$506</f>
        <v>0</v>
      </c>
      <c r="J3868" s="212">
        <f>'IWP07'!M$506</f>
        <v>0</v>
      </c>
      <c r="K3868" s="106"/>
      <c r="L3868" s="106"/>
      <c r="M3868" s="129"/>
    </row>
    <row r="3869" spans="1:13" s="146" customFormat="1">
      <c r="A3869" s="193" t="s">
        <v>505</v>
      </c>
      <c r="B3869" s="210">
        <v>10</v>
      </c>
      <c r="C3869" s="191" t="str">
        <f>IF('IWP07'!E$507=0,"",'IWP07'!E$507)</f>
        <v/>
      </c>
      <c r="D3869" s="211">
        <f>'IWP07'!G$507</f>
        <v>0</v>
      </c>
      <c r="E3869" s="211">
        <f>'IWP07'!H$507</f>
        <v>0</v>
      </c>
      <c r="F3869" s="211">
        <f>'IWP07'!I$507</f>
        <v>0</v>
      </c>
      <c r="G3869" s="191" t="str">
        <f>IF('IWP07'!J$507=0,"",'IWP07'!J$507)</f>
        <v/>
      </c>
      <c r="H3869" s="211">
        <f>'IWP07'!K$507</f>
        <v>0</v>
      </c>
      <c r="I3869" s="211">
        <f>'IWP07'!L$507</f>
        <v>0</v>
      </c>
      <c r="J3869" s="212">
        <f>'IWP07'!M$507</f>
        <v>0</v>
      </c>
      <c r="K3869" s="106"/>
      <c r="L3869" s="106"/>
      <c r="M3869" s="129"/>
    </row>
    <row r="3870" spans="1:13" s="146" customFormat="1">
      <c r="A3870" s="193" t="s">
        <v>505</v>
      </c>
      <c r="B3870" s="210">
        <v>10</v>
      </c>
      <c r="C3870" s="191" t="str">
        <f>IF('IWP07'!E$508=0,"",'IWP07'!E$508)</f>
        <v/>
      </c>
      <c r="D3870" s="211">
        <f>'IWP07'!G$508</f>
        <v>0</v>
      </c>
      <c r="E3870" s="211">
        <f>'IWP07'!H$508</f>
        <v>0</v>
      </c>
      <c r="F3870" s="211">
        <f>'IWP07'!I$508</f>
        <v>0</v>
      </c>
      <c r="G3870" s="191" t="str">
        <f>IF('IWP07'!J$508=0,"",'IWP07'!J$508)</f>
        <v/>
      </c>
      <c r="H3870" s="211">
        <f>'IWP07'!K$508</f>
        <v>0</v>
      </c>
      <c r="I3870" s="211">
        <f>'IWP07'!L$508</f>
        <v>0</v>
      </c>
      <c r="J3870" s="212">
        <f>'IWP07'!M$508</f>
        <v>0</v>
      </c>
      <c r="K3870" s="106"/>
      <c r="L3870" s="106"/>
      <c r="M3870" s="129"/>
    </row>
    <row r="3871" spans="1:13" s="146" customFormat="1">
      <c r="A3871" s="193" t="s">
        <v>505</v>
      </c>
      <c r="B3871" s="210">
        <v>11</v>
      </c>
      <c r="C3871" s="191" t="str">
        <f>IF('IWP07'!E$515=0,"",'IWP07'!E$515)</f>
        <v>Subtotal column D.</v>
      </c>
      <c r="D3871" s="211">
        <f>'IWP07'!G$515</f>
        <v>0</v>
      </c>
      <c r="E3871" s="211">
        <f>'IWP07'!H$515</f>
        <v>0</v>
      </c>
      <c r="F3871" s="211">
        <f>'IWP07'!I$515</f>
        <v>0</v>
      </c>
      <c r="G3871" s="191" t="str">
        <f>IF('IWP07'!J$515=0,"",'IWP07'!J$515)</f>
        <v/>
      </c>
      <c r="H3871" s="211">
        <f>'IWP07'!K$515</f>
        <v>0</v>
      </c>
      <c r="I3871" s="211">
        <f>'IWP07'!L$515</f>
        <v>0</v>
      </c>
      <c r="J3871" s="212">
        <f>'IWP07'!M$515</f>
        <v>0</v>
      </c>
      <c r="K3871" s="106"/>
      <c r="L3871" s="106"/>
      <c r="M3871" s="129"/>
    </row>
    <row r="3872" spans="1:13" s="146" customFormat="1">
      <c r="A3872" s="193" t="s">
        <v>505</v>
      </c>
      <c r="B3872" s="210">
        <v>11</v>
      </c>
      <c r="C3872" s="191" t="str">
        <f>IF('IWP07'!E$516=0,"",'IWP07'!E$516)</f>
        <v>Unverified/Undocumented (Subtotal D - C)</v>
      </c>
      <c r="D3872" s="211">
        <f>'IWP07'!G$516</f>
        <v>0</v>
      </c>
      <c r="E3872" s="211">
        <f>'IWP07'!H$516</f>
        <v>0</v>
      </c>
      <c r="F3872" s="211">
        <f>'IWP07'!I$516</f>
        <v>0</v>
      </c>
      <c r="G3872" s="191" t="str">
        <f>IF('IWP07'!J$516=0,"",'IWP07'!J$516)</f>
        <v/>
      </c>
      <c r="H3872" s="211">
        <f>'IWP07'!K$516</f>
        <v>0</v>
      </c>
      <c r="I3872" s="211">
        <f>'IWP07'!L$516</f>
        <v>0</v>
      </c>
      <c r="J3872" s="212">
        <f>'IWP07'!M$516</f>
        <v>0</v>
      </c>
      <c r="K3872" s="106"/>
      <c r="L3872" s="106"/>
      <c r="M3872" s="129"/>
    </row>
    <row r="3873" spans="1:13" s="146" customFormat="1">
      <c r="A3873" s="193" t="s">
        <v>505</v>
      </c>
      <c r="B3873" s="210">
        <v>11</v>
      </c>
      <c r="C3873" s="191" t="str">
        <f>IF('IWP07'!E$517=0,"",'IWP07'!E$517)</f>
        <v>J. Billing Period Total</v>
      </c>
      <c r="D3873" s="211">
        <f>'IWP07'!G$517</f>
        <v>0</v>
      </c>
      <c r="E3873" s="211">
        <f>'IWP07'!H$517</f>
        <v>0</v>
      </c>
      <c r="F3873" s="211">
        <f>'IWP07'!I$517</f>
        <v>0</v>
      </c>
      <c r="G3873" s="191" t="str">
        <f>IF('IWP07'!J$517=0,"",'IWP07'!J$517)</f>
        <v/>
      </c>
      <c r="H3873" s="211">
        <f>'IWP07'!K$517</f>
        <v>0</v>
      </c>
      <c r="I3873" s="211">
        <f>'IWP07'!L$517</f>
        <v>0</v>
      </c>
      <c r="J3873" s="212">
        <f>'IWP07'!M$517</f>
        <v>0</v>
      </c>
      <c r="K3873" s="106"/>
      <c r="L3873" s="106"/>
      <c r="M3873" s="129"/>
    </row>
    <row r="3874" spans="1:13" s="146" customFormat="1">
      <c r="A3874" s="193" t="s">
        <v>505</v>
      </c>
      <c r="B3874" s="210">
        <v>11</v>
      </c>
      <c r="C3874" s="191" t="str">
        <f>IF('IWP07'!E$518=0,"",'IWP07'!E$518)</f>
        <v>D.</v>
      </c>
      <c r="D3874" s="211">
        <f>'IWP07'!G$518</f>
        <v>0</v>
      </c>
      <c r="E3874" s="211" t="str">
        <f>'IWP07'!H$518</f>
        <v>E.</v>
      </c>
      <c r="F3874" s="211" t="str">
        <f>'IWP07'!I$518</f>
        <v>F.</v>
      </c>
      <c r="G3874" s="191" t="str">
        <f>IF('IWP07'!J$518=0,"",'IWP07'!J$518)</f>
        <v>G.</v>
      </c>
      <c r="H3874" s="211">
        <f>'IWP07'!K$518</f>
        <v>0</v>
      </c>
      <c r="I3874" s="211" t="str">
        <f>'IWP07'!L$518</f>
        <v>H.</v>
      </c>
      <c r="J3874" s="212" t="str">
        <f>'IWP07'!M$518</f>
        <v>I.</v>
      </c>
      <c r="K3874" s="106"/>
      <c r="L3874" s="106"/>
      <c r="M3874" s="129"/>
    </row>
    <row r="3875" spans="1:13" s="146" customFormat="1">
      <c r="A3875" s="193" t="s">
        <v>505</v>
      </c>
      <c r="B3875" s="210">
        <v>11</v>
      </c>
      <c r="C3875" s="191" t="str">
        <f>IF('IWP07'!E$519=0,"",'IWP07'!E$519)</f>
        <v xml:space="preserve">Items/Services Related to Billing Period </v>
      </c>
      <c r="D3875" s="211">
        <f>'IWP07'!G$519</f>
        <v>0</v>
      </c>
      <c r="E3875" s="211" t="str">
        <f>'IWP07'!H$519</f>
        <v xml:space="preserve">Item/
Service Verified Amounts
</v>
      </c>
      <c r="F3875" s="211" t="str">
        <f>'IWP07'!I$519</f>
        <v>Amount Due to DADS (E. - D.)</v>
      </c>
      <c r="G3875" s="191" t="str">
        <f>IF('IWP07'!J$519=0,"",'IWP07'!J$519)</f>
        <v>Amount Reimbursed to 
Employee(s)/Employer</v>
      </c>
      <c r="H3875" s="211">
        <f>'IWP07'!K$519</f>
        <v>0</v>
      </c>
      <c r="I3875" s="211" t="str">
        <f>'IWP07'!L$519</f>
        <v>Amount Due to Employee(s) (G. - E.)</v>
      </c>
      <c r="J3875" s="212" t="str">
        <f>'IWP07'!M$519</f>
        <v>Amount Due to Employer (G. - E.)</v>
      </c>
      <c r="K3875" s="106"/>
      <c r="L3875" s="106"/>
      <c r="M3875" s="129"/>
    </row>
    <row r="3876" spans="1:13" s="146" customFormat="1">
      <c r="A3876" s="193" t="s">
        <v>505</v>
      </c>
      <c r="B3876" s="210">
        <v>11</v>
      </c>
      <c r="C3876" s="191" t="str">
        <f>IF('IWP07'!E$520=0,"",'IWP07'!E$520)</f>
        <v>Item/Service</v>
      </c>
      <c r="D3876" s="211" t="str">
        <f>'IWP07'!G$520</f>
        <v>Itemized Amount Paid by DADS</v>
      </c>
      <c r="E3876" s="211">
        <f>'IWP07'!H$520</f>
        <v>0</v>
      </c>
      <c r="F3876" s="211">
        <f>'IWP07'!I$520</f>
        <v>0</v>
      </c>
      <c r="G3876" s="191" t="str">
        <f>IF('IWP07'!J$520=0,"",'IWP07'!J$520)</f>
        <v/>
      </c>
      <c r="H3876" s="211">
        <f>'IWP07'!K$520</f>
        <v>0</v>
      </c>
      <c r="I3876" s="211">
        <f>'IWP07'!L$520</f>
        <v>0</v>
      </c>
      <c r="J3876" s="212">
        <f>'IWP07'!M$520</f>
        <v>0</v>
      </c>
      <c r="K3876" s="106"/>
      <c r="L3876" s="106"/>
      <c r="M3876" s="129"/>
    </row>
    <row r="3877" spans="1:13" s="146" customFormat="1">
      <c r="A3877" s="193" t="s">
        <v>505</v>
      </c>
      <c r="B3877" s="210">
        <v>11</v>
      </c>
      <c r="C3877" s="191" t="str">
        <f>IF('IWP07'!E$521=0,"",'IWP07'!E$521)</f>
        <v/>
      </c>
      <c r="D3877" s="211">
        <f>'IWP07'!G$521</f>
        <v>0</v>
      </c>
      <c r="E3877" s="211">
        <f>'IWP07'!H$521</f>
        <v>0</v>
      </c>
      <c r="F3877" s="211">
        <f>'IWP07'!I$521</f>
        <v>0</v>
      </c>
      <c r="G3877" s="191" t="str">
        <f>IF('IWP07'!J$521=0,"",'IWP07'!J$521)</f>
        <v/>
      </c>
      <c r="H3877" s="211">
        <f>'IWP07'!K$521</f>
        <v>0</v>
      </c>
      <c r="I3877" s="211">
        <f>'IWP07'!L$521</f>
        <v>0</v>
      </c>
      <c r="J3877" s="212">
        <f>'IWP07'!M$521</f>
        <v>0</v>
      </c>
      <c r="K3877" s="106"/>
      <c r="L3877" s="106"/>
      <c r="M3877" s="129"/>
    </row>
    <row r="3878" spans="1:13" s="146" customFormat="1">
      <c r="A3878" s="193" t="s">
        <v>505</v>
      </c>
      <c r="B3878" s="210">
        <v>11</v>
      </c>
      <c r="C3878" s="191" t="str">
        <f>IF('IWP07'!E$522=0,"",'IWP07'!E$522)</f>
        <v/>
      </c>
      <c r="D3878" s="211">
        <f>'IWP07'!G$522</f>
        <v>0</v>
      </c>
      <c r="E3878" s="211">
        <f>'IWP07'!H$522</f>
        <v>0</v>
      </c>
      <c r="F3878" s="211">
        <f>'IWP07'!I$522</f>
        <v>0</v>
      </c>
      <c r="G3878" s="191" t="str">
        <f>IF('IWP07'!J$522=0,"",'IWP07'!J$522)</f>
        <v/>
      </c>
      <c r="H3878" s="211">
        <f>'IWP07'!K$522</f>
        <v>0</v>
      </c>
      <c r="I3878" s="211">
        <f>'IWP07'!L$522</f>
        <v>0</v>
      </c>
      <c r="J3878" s="212">
        <f>'IWP07'!M$522</f>
        <v>0</v>
      </c>
      <c r="K3878" s="106"/>
      <c r="L3878" s="106"/>
      <c r="M3878" s="129"/>
    </row>
    <row r="3879" spans="1:13" s="146" customFormat="1">
      <c r="A3879" s="193" t="s">
        <v>505</v>
      </c>
      <c r="B3879" s="210">
        <v>11</v>
      </c>
      <c r="C3879" s="191" t="str">
        <f>IF('IWP07'!E$523=0,"",'IWP07'!E$523)</f>
        <v/>
      </c>
      <c r="D3879" s="211">
        <f>'IWP07'!G$523</f>
        <v>0</v>
      </c>
      <c r="E3879" s="211">
        <f>'IWP07'!H$523</f>
        <v>0</v>
      </c>
      <c r="F3879" s="211">
        <f>'IWP07'!I$523</f>
        <v>0</v>
      </c>
      <c r="G3879" s="191" t="str">
        <f>IF('IWP07'!J$523=0,"",'IWP07'!J$523)</f>
        <v/>
      </c>
      <c r="H3879" s="211">
        <f>'IWP07'!K$523</f>
        <v>0</v>
      </c>
      <c r="I3879" s="211">
        <f>'IWP07'!L$523</f>
        <v>0</v>
      </c>
      <c r="J3879" s="212">
        <f>'IWP07'!M$523</f>
        <v>0</v>
      </c>
      <c r="K3879" s="106"/>
      <c r="L3879" s="106"/>
      <c r="M3879" s="129"/>
    </row>
    <row r="3880" spans="1:13" s="146" customFormat="1">
      <c r="A3880" s="193" t="s">
        <v>505</v>
      </c>
      <c r="B3880" s="210">
        <v>11</v>
      </c>
      <c r="C3880" s="191" t="str">
        <f>IF('IWP07'!E$524=0,"",'IWP07'!E$524)</f>
        <v/>
      </c>
      <c r="D3880" s="211">
        <f>'IWP07'!G$524</f>
        <v>0</v>
      </c>
      <c r="E3880" s="211">
        <f>'IWP07'!H$524</f>
        <v>0</v>
      </c>
      <c r="F3880" s="211">
        <f>'IWP07'!I$524</f>
        <v>0</v>
      </c>
      <c r="G3880" s="191" t="str">
        <f>IF('IWP07'!J$524=0,"",'IWP07'!J$524)</f>
        <v/>
      </c>
      <c r="H3880" s="211">
        <f>'IWP07'!K$524</f>
        <v>0</v>
      </c>
      <c r="I3880" s="211">
        <f>'IWP07'!L$524</f>
        <v>0</v>
      </c>
      <c r="J3880" s="212">
        <f>'IWP07'!M$524</f>
        <v>0</v>
      </c>
      <c r="K3880" s="106"/>
      <c r="L3880" s="106"/>
      <c r="M3880" s="129"/>
    </row>
    <row r="3881" spans="1:13" s="146" customFormat="1">
      <c r="A3881" s="193" t="s">
        <v>505</v>
      </c>
      <c r="B3881" s="210">
        <v>12</v>
      </c>
      <c r="C3881" s="191" t="str">
        <f>IF('IWP07'!E$531=0,"",'IWP07'!E$531)</f>
        <v>Subtotal column D.</v>
      </c>
      <c r="D3881" s="211">
        <f>'IWP07'!G$531</f>
        <v>0</v>
      </c>
      <c r="E3881" s="211">
        <f>'IWP07'!H$531</f>
        <v>0</v>
      </c>
      <c r="F3881" s="211">
        <f>'IWP07'!I$531</f>
        <v>0</v>
      </c>
      <c r="G3881" s="191" t="str">
        <f>IF('IWP07'!J$531=0,"",'IWP07'!J$531)</f>
        <v/>
      </c>
      <c r="H3881" s="211">
        <f>'IWP07'!K$531</f>
        <v>0</v>
      </c>
      <c r="I3881" s="211">
        <f>'IWP07'!L$531</f>
        <v>0</v>
      </c>
      <c r="J3881" s="212">
        <f>'IWP07'!M$531</f>
        <v>0</v>
      </c>
      <c r="K3881" s="106"/>
      <c r="L3881" s="106"/>
      <c r="M3881" s="129"/>
    </row>
    <row r="3882" spans="1:13" s="146" customFormat="1">
      <c r="A3882" s="193" t="s">
        <v>505</v>
      </c>
      <c r="B3882" s="210">
        <v>12</v>
      </c>
      <c r="C3882" s="191" t="str">
        <f>IF('IWP07'!E$532=0,"",'IWP07'!E$532)</f>
        <v>Unverified/Undocumented (Subtotal D - C)</v>
      </c>
      <c r="D3882" s="211">
        <f>'IWP07'!G$532</f>
        <v>0</v>
      </c>
      <c r="E3882" s="211">
        <f>'IWP07'!H$532</f>
        <v>0</v>
      </c>
      <c r="F3882" s="211">
        <f>'IWP07'!I$532</f>
        <v>0</v>
      </c>
      <c r="G3882" s="191" t="str">
        <f>IF('IWP07'!J$532=0,"",'IWP07'!J$532)</f>
        <v/>
      </c>
      <c r="H3882" s="211">
        <f>'IWP07'!K$532</f>
        <v>0</v>
      </c>
      <c r="I3882" s="211">
        <f>'IWP07'!L$532</f>
        <v>0</v>
      </c>
      <c r="J3882" s="212">
        <f>'IWP07'!M$532</f>
        <v>0</v>
      </c>
      <c r="K3882" s="106"/>
      <c r="L3882" s="106"/>
      <c r="M3882" s="129"/>
    </row>
    <row r="3883" spans="1:13" s="146" customFormat="1">
      <c r="A3883" s="193" t="s">
        <v>505</v>
      </c>
      <c r="B3883" s="210">
        <v>12</v>
      </c>
      <c r="C3883" s="191" t="str">
        <f>IF('IWP07'!E$533=0,"",'IWP07'!E$533)</f>
        <v>J. Billing Period Total</v>
      </c>
      <c r="D3883" s="211">
        <f>'IWP07'!G$533</f>
        <v>0</v>
      </c>
      <c r="E3883" s="211">
        <f>'IWP07'!H$533</f>
        <v>0</v>
      </c>
      <c r="F3883" s="211">
        <f>'IWP07'!I$533</f>
        <v>0</v>
      </c>
      <c r="G3883" s="191" t="str">
        <f>IF('IWP07'!J$533=0,"",'IWP07'!J$533)</f>
        <v/>
      </c>
      <c r="H3883" s="211">
        <f>'IWP07'!K$533</f>
        <v>0</v>
      </c>
      <c r="I3883" s="211">
        <f>'IWP07'!L$533</f>
        <v>0</v>
      </c>
      <c r="J3883" s="212">
        <f>'IWP07'!M$533</f>
        <v>0</v>
      </c>
      <c r="K3883" s="106"/>
      <c r="L3883" s="106"/>
      <c r="M3883" s="129"/>
    </row>
    <row r="3884" spans="1:13" s="146" customFormat="1">
      <c r="A3884" s="193" t="s">
        <v>505</v>
      </c>
      <c r="B3884" s="210">
        <v>12</v>
      </c>
      <c r="C3884" s="191" t="str">
        <f>IF('IWP07'!E$534=0,"",'IWP07'!E$534)</f>
        <v>D.</v>
      </c>
      <c r="D3884" s="211">
        <f>'IWP07'!G$534</f>
        <v>0</v>
      </c>
      <c r="E3884" s="211" t="str">
        <f>'IWP07'!H$534</f>
        <v>E.</v>
      </c>
      <c r="F3884" s="211" t="str">
        <f>'IWP07'!I$534</f>
        <v>F.</v>
      </c>
      <c r="G3884" s="191" t="str">
        <f>IF('IWP07'!J$534=0,"",'IWP07'!J$534)</f>
        <v>G.</v>
      </c>
      <c r="H3884" s="211">
        <f>'IWP07'!K$534</f>
        <v>0</v>
      </c>
      <c r="I3884" s="211" t="str">
        <f>'IWP07'!L$534</f>
        <v>H.</v>
      </c>
      <c r="J3884" s="212" t="str">
        <f>'IWP07'!M$534</f>
        <v>I.</v>
      </c>
      <c r="K3884" s="106"/>
      <c r="L3884" s="106"/>
      <c r="M3884" s="129"/>
    </row>
    <row r="3885" spans="1:13" s="146" customFormat="1">
      <c r="A3885" s="193" t="s">
        <v>505</v>
      </c>
      <c r="B3885" s="210">
        <v>12</v>
      </c>
      <c r="C3885" s="191" t="str">
        <f>IF('IWP07'!E$535=0,"",'IWP07'!E$535)</f>
        <v xml:space="preserve">Items/Services Related to Billing Period </v>
      </c>
      <c r="D3885" s="211">
        <f>'IWP07'!G$535</f>
        <v>0</v>
      </c>
      <c r="E3885" s="211" t="str">
        <f>'IWP07'!H$535</f>
        <v xml:space="preserve">Item/
Service Verified Amounts
</v>
      </c>
      <c r="F3885" s="211" t="str">
        <f>'IWP07'!I$535</f>
        <v>Amount Due to DADS (E. - D.)</v>
      </c>
      <c r="G3885" s="191" t="str">
        <f>IF('IWP07'!J$535=0,"",'IWP07'!J$535)</f>
        <v>Amount Reimbursed to 
Employee(s)/Employer</v>
      </c>
      <c r="H3885" s="211">
        <f>'IWP07'!K$535</f>
        <v>0</v>
      </c>
      <c r="I3885" s="211" t="str">
        <f>'IWP07'!L$535</f>
        <v>Amount Due to Employee(s) (G. - E.)</v>
      </c>
      <c r="J3885" s="212" t="str">
        <f>'IWP07'!M$535</f>
        <v>Amount Due to Employer (G. - E.)</v>
      </c>
      <c r="K3885" s="106"/>
      <c r="L3885" s="106"/>
      <c r="M3885" s="129"/>
    </row>
    <row r="3886" spans="1:13" s="146" customFormat="1">
      <c r="A3886" s="193" t="s">
        <v>505</v>
      </c>
      <c r="B3886" s="210">
        <v>12</v>
      </c>
      <c r="C3886" s="191" t="str">
        <f>IF('IWP07'!E$536=0,"",'IWP07'!E$536)</f>
        <v>Item/Service</v>
      </c>
      <c r="D3886" s="211" t="str">
        <f>'IWP07'!G$536</f>
        <v>Itemized Amount Paid by DADS</v>
      </c>
      <c r="E3886" s="211">
        <f>'IWP07'!H$536</f>
        <v>0</v>
      </c>
      <c r="F3886" s="211">
        <f>'IWP07'!I$536</f>
        <v>0</v>
      </c>
      <c r="G3886" s="191" t="str">
        <f>IF('IWP07'!J$536=0,"",'IWP07'!J$536)</f>
        <v/>
      </c>
      <c r="H3886" s="211">
        <f>'IWP07'!K$536</f>
        <v>0</v>
      </c>
      <c r="I3886" s="211">
        <f>'IWP07'!L$536</f>
        <v>0</v>
      </c>
      <c r="J3886" s="212">
        <f>'IWP07'!M$536</f>
        <v>0</v>
      </c>
      <c r="K3886" s="106"/>
      <c r="L3886" s="106"/>
      <c r="M3886" s="129"/>
    </row>
    <row r="3887" spans="1:13" s="146" customFormat="1">
      <c r="A3887" s="193" t="s">
        <v>505</v>
      </c>
      <c r="B3887" s="210">
        <v>12</v>
      </c>
      <c r="C3887" s="191" t="str">
        <f>IF('IWP07'!E$537=0,"",'IWP07'!E$537)</f>
        <v/>
      </c>
      <c r="D3887" s="211">
        <f>'IWP07'!G$537</f>
        <v>0</v>
      </c>
      <c r="E3887" s="211">
        <f>'IWP07'!H$537</f>
        <v>0</v>
      </c>
      <c r="F3887" s="211">
        <f>'IWP07'!I$537</f>
        <v>0</v>
      </c>
      <c r="G3887" s="191" t="str">
        <f>IF('IWP07'!J$537=0,"",'IWP07'!J$537)</f>
        <v/>
      </c>
      <c r="H3887" s="211">
        <f>'IWP07'!K$537</f>
        <v>0</v>
      </c>
      <c r="I3887" s="211">
        <f>'IWP07'!L$537</f>
        <v>0</v>
      </c>
      <c r="J3887" s="212">
        <f>'IWP07'!M$537</f>
        <v>0</v>
      </c>
      <c r="K3887" s="106"/>
      <c r="L3887" s="106"/>
      <c r="M3887" s="129"/>
    </row>
    <row r="3888" spans="1:13" s="146" customFormat="1">
      <c r="A3888" s="193" t="s">
        <v>505</v>
      </c>
      <c r="B3888" s="210">
        <v>12</v>
      </c>
      <c r="C3888" s="191" t="str">
        <f>IF('IWP07'!E$538=0,"",'IWP07'!E$538)</f>
        <v/>
      </c>
      <c r="D3888" s="211">
        <f>'IWP07'!G$538</f>
        <v>0</v>
      </c>
      <c r="E3888" s="211">
        <f>'IWP07'!H$538</f>
        <v>0</v>
      </c>
      <c r="F3888" s="211">
        <f>'IWP07'!I$538</f>
        <v>0</v>
      </c>
      <c r="G3888" s="191" t="str">
        <f>IF('IWP07'!J$538=0,"",'IWP07'!J$538)</f>
        <v/>
      </c>
      <c r="H3888" s="211">
        <f>'IWP07'!K$538</f>
        <v>0</v>
      </c>
      <c r="I3888" s="211">
        <f>'IWP07'!L$538</f>
        <v>0</v>
      </c>
      <c r="J3888" s="212">
        <f>'IWP07'!M$538</f>
        <v>0</v>
      </c>
      <c r="K3888" s="106"/>
      <c r="L3888" s="106"/>
      <c r="M3888" s="129"/>
    </row>
    <row r="3889" spans="1:13" s="146" customFormat="1">
      <c r="A3889" s="193" t="s">
        <v>505</v>
      </c>
      <c r="B3889" s="210">
        <v>12</v>
      </c>
      <c r="C3889" s="191" t="str">
        <f>IF('IWP07'!E$539=0,"",'IWP07'!E$539)</f>
        <v/>
      </c>
      <c r="D3889" s="211">
        <f>'IWP07'!G$539</f>
        <v>0</v>
      </c>
      <c r="E3889" s="211">
        <f>'IWP07'!H$539</f>
        <v>0</v>
      </c>
      <c r="F3889" s="211">
        <f>'IWP07'!I$539</f>
        <v>0</v>
      </c>
      <c r="G3889" s="191" t="str">
        <f>IF('IWP07'!J$539=0,"",'IWP07'!J$539)</f>
        <v/>
      </c>
      <c r="H3889" s="211">
        <f>'IWP07'!K$539</f>
        <v>0</v>
      </c>
      <c r="I3889" s="211">
        <f>'IWP07'!L$539</f>
        <v>0</v>
      </c>
      <c r="J3889" s="212">
        <f>'IWP07'!M$539</f>
        <v>0</v>
      </c>
      <c r="K3889" s="106"/>
      <c r="L3889" s="106"/>
      <c r="M3889" s="129"/>
    </row>
    <row r="3890" spans="1:13" s="146" customFormat="1">
      <c r="A3890" s="193" t="s">
        <v>505</v>
      </c>
      <c r="B3890" s="210">
        <v>12</v>
      </c>
      <c r="C3890" s="191" t="str">
        <f>IF('IWP07'!E$540=0,"",'IWP07'!E$540)</f>
        <v/>
      </c>
      <c r="D3890" s="211">
        <f>'IWP07'!G$540</f>
        <v>0</v>
      </c>
      <c r="E3890" s="211">
        <f>'IWP07'!H$540</f>
        <v>0</v>
      </c>
      <c r="F3890" s="211">
        <f>'IWP07'!I$540</f>
        <v>0</v>
      </c>
      <c r="G3890" s="191" t="str">
        <f>IF('IWP07'!J$540=0,"",'IWP07'!J$540)</f>
        <v/>
      </c>
      <c r="H3890" s="211">
        <f>'IWP07'!K$540</f>
        <v>0</v>
      </c>
      <c r="I3890" s="211">
        <f>'IWP07'!L$540</f>
        <v>0</v>
      </c>
      <c r="J3890" s="212">
        <f>'IWP07'!M$540</f>
        <v>0</v>
      </c>
      <c r="K3890" s="106"/>
      <c r="L3890" s="106"/>
      <c r="M3890" s="129"/>
    </row>
    <row r="3891" spans="1:13" s="146" customFormat="1">
      <c r="A3891" s="193" t="s">
        <v>505</v>
      </c>
      <c r="B3891" s="210">
        <v>13</v>
      </c>
      <c r="C3891" s="191" t="str">
        <f>IF('IWP07'!E$547=0,"",'IWP07'!E$547)</f>
        <v>Subtotal column D.</v>
      </c>
      <c r="D3891" s="211">
        <f>'IWP07'!G$547</f>
        <v>0</v>
      </c>
      <c r="E3891" s="211">
        <f>'IWP07'!H$547</f>
        <v>0</v>
      </c>
      <c r="F3891" s="211">
        <f>'IWP07'!I$547</f>
        <v>0</v>
      </c>
      <c r="G3891" s="191" t="str">
        <f>IF('IWP07'!J$547=0,"",'IWP07'!J$547)</f>
        <v/>
      </c>
      <c r="H3891" s="211">
        <f>'IWP07'!K$547</f>
        <v>0</v>
      </c>
      <c r="I3891" s="211">
        <f>'IWP07'!L$547</f>
        <v>0</v>
      </c>
      <c r="J3891" s="212">
        <f>'IWP07'!M$547</f>
        <v>0</v>
      </c>
      <c r="K3891" s="106"/>
      <c r="L3891" s="106"/>
      <c r="M3891" s="129"/>
    </row>
    <row r="3892" spans="1:13" s="146" customFormat="1">
      <c r="A3892" s="193" t="s">
        <v>505</v>
      </c>
      <c r="B3892" s="210">
        <v>13</v>
      </c>
      <c r="C3892" s="191" t="str">
        <f>IF('IWP07'!E$548=0,"",'IWP07'!E$548)</f>
        <v>Unverified/Undocumented (Subtotal D - C)</v>
      </c>
      <c r="D3892" s="211">
        <f>'IWP07'!G$548</f>
        <v>0</v>
      </c>
      <c r="E3892" s="211">
        <f>'IWP07'!H$548</f>
        <v>0</v>
      </c>
      <c r="F3892" s="211">
        <f>'IWP07'!I$548</f>
        <v>0</v>
      </c>
      <c r="G3892" s="191" t="str">
        <f>IF('IWP07'!J$548=0,"",'IWP07'!J$548)</f>
        <v/>
      </c>
      <c r="H3892" s="211">
        <f>'IWP07'!K$548</f>
        <v>0</v>
      </c>
      <c r="I3892" s="211">
        <f>'IWP07'!L$548</f>
        <v>0</v>
      </c>
      <c r="J3892" s="212">
        <f>'IWP07'!M$548</f>
        <v>0</v>
      </c>
      <c r="K3892" s="106"/>
      <c r="L3892" s="106"/>
      <c r="M3892" s="129"/>
    </row>
    <row r="3893" spans="1:13" s="146" customFormat="1">
      <c r="A3893" s="193" t="s">
        <v>505</v>
      </c>
      <c r="B3893" s="210">
        <v>13</v>
      </c>
      <c r="C3893" s="191" t="str">
        <f>IF('IWP07'!E$549=0,"",'IWP07'!E$549)</f>
        <v>J. Billing Period Total</v>
      </c>
      <c r="D3893" s="211">
        <f>'IWP07'!G$549</f>
        <v>0</v>
      </c>
      <c r="E3893" s="211">
        <f>'IWP07'!H$549</f>
        <v>0</v>
      </c>
      <c r="F3893" s="211">
        <f>'IWP07'!I$549</f>
        <v>0</v>
      </c>
      <c r="G3893" s="191" t="str">
        <f>IF('IWP07'!J$549=0,"",'IWP07'!J$549)</f>
        <v/>
      </c>
      <c r="H3893" s="211">
        <f>'IWP07'!K$549</f>
        <v>0</v>
      </c>
      <c r="I3893" s="211">
        <f>'IWP07'!L$549</f>
        <v>0</v>
      </c>
      <c r="J3893" s="212">
        <f>'IWP07'!M$549</f>
        <v>0</v>
      </c>
      <c r="K3893" s="106"/>
      <c r="L3893" s="106"/>
      <c r="M3893" s="129"/>
    </row>
    <row r="3894" spans="1:13" s="146" customFormat="1">
      <c r="A3894" s="193" t="s">
        <v>505</v>
      </c>
      <c r="B3894" s="210">
        <v>13</v>
      </c>
      <c r="C3894" s="191" t="str">
        <f>IF('IWP07'!E$550=0,"",'IWP07'!E$550)</f>
        <v>D.</v>
      </c>
      <c r="D3894" s="211">
        <f>'IWP07'!G$550</f>
        <v>0</v>
      </c>
      <c r="E3894" s="211" t="str">
        <f>'IWP07'!H$550</f>
        <v>E.</v>
      </c>
      <c r="F3894" s="211" t="str">
        <f>'IWP07'!I$550</f>
        <v>F.</v>
      </c>
      <c r="G3894" s="191" t="str">
        <f>IF('IWP07'!J$550=0,"",'IWP07'!J$550)</f>
        <v>G.</v>
      </c>
      <c r="H3894" s="211">
        <f>'IWP07'!K$550</f>
        <v>0</v>
      </c>
      <c r="I3894" s="211" t="str">
        <f>'IWP07'!L$550</f>
        <v>H.</v>
      </c>
      <c r="J3894" s="212" t="str">
        <f>'IWP07'!M$550</f>
        <v>I.</v>
      </c>
      <c r="K3894" s="106"/>
      <c r="L3894" s="106"/>
      <c r="M3894" s="129"/>
    </row>
    <row r="3895" spans="1:13" s="146" customFormat="1">
      <c r="A3895" s="193" t="s">
        <v>505</v>
      </c>
      <c r="B3895" s="210">
        <v>13</v>
      </c>
      <c r="C3895" s="191" t="str">
        <f>IF('IWP07'!E$551=0,"",'IWP07'!E$551)</f>
        <v xml:space="preserve">Items/Services Related to Billing Period </v>
      </c>
      <c r="D3895" s="211">
        <f>'IWP07'!G$551</f>
        <v>0</v>
      </c>
      <c r="E3895" s="211" t="str">
        <f>'IWP07'!H$551</f>
        <v xml:space="preserve">Item/
Service Verified Amounts
</v>
      </c>
      <c r="F3895" s="211" t="str">
        <f>'IWP07'!I$551</f>
        <v>Amount Due to DADS (E. - D.)</v>
      </c>
      <c r="G3895" s="191" t="str">
        <f>IF('IWP07'!J$551=0,"",'IWP07'!J$551)</f>
        <v>Amount Reimbursed to 
Employee(s)/Employer</v>
      </c>
      <c r="H3895" s="211">
        <f>'IWP07'!K$551</f>
        <v>0</v>
      </c>
      <c r="I3895" s="211" t="str">
        <f>'IWP07'!L$551</f>
        <v>Amount Due to Employee(s) (G. - E.)</v>
      </c>
      <c r="J3895" s="212" t="str">
        <f>'IWP07'!M$551</f>
        <v>Amount Due to Employer (G. - E.)</v>
      </c>
      <c r="K3895" s="106"/>
      <c r="L3895" s="106"/>
      <c r="M3895" s="129"/>
    </row>
    <row r="3896" spans="1:13" s="146" customFormat="1">
      <c r="A3896" s="193" t="s">
        <v>505</v>
      </c>
      <c r="B3896" s="210">
        <v>13</v>
      </c>
      <c r="C3896" s="191" t="str">
        <f>IF('IWP07'!E$552=0,"",'IWP07'!E$552)</f>
        <v>Item/Service</v>
      </c>
      <c r="D3896" s="211" t="str">
        <f>'IWP07'!G$552</f>
        <v>Itemized Amount Paid by DADS</v>
      </c>
      <c r="E3896" s="211">
        <f>'IWP07'!H$552</f>
        <v>0</v>
      </c>
      <c r="F3896" s="211">
        <f>'IWP07'!I$552</f>
        <v>0</v>
      </c>
      <c r="G3896" s="191" t="str">
        <f>IF('IWP07'!J$552=0,"",'IWP07'!J$552)</f>
        <v/>
      </c>
      <c r="H3896" s="211">
        <f>'IWP07'!K$552</f>
        <v>0</v>
      </c>
      <c r="I3896" s="211">
        <f>'IWP07'!L$552</f>
        <v>0</v>
      </c>
      <c r="J3896" s="212">
        <f>'IWP07'!M$552</f>
        <v>0</v>
      </c>
      <c r="K3896" s="106"/>
      <c r="L3896" s="106"/>
      <c r="M3896" s="129"/>
    </row>
    <row r="3897" spans="1:13" s="146" customFormat="1">
      <c r="A3897" s="193" t="s">
        <v>505</v>
      </c>
      <c r="B3897" s="210">
        <v>13</v>
      </c>
      <c r="C3897" s="191" t="str">
        <f>IF('IWP07'!E$553=0,"",'IWP07'!E$553)</f>
        <v/>
      </c>
      <c r="D3897" s="211">
        <f>'IWP07'!G$553</f>
        <v>0</v>
      </c>
      <c r="E3897" s="211">
        <f>'IWP07'!H$553</f>
        <v>0</v>
      </c>
      <c r="F3897" s="211">
        <f>'IWP07'!I$553</f>
        <v>0</v>
      </c>
      <c r="G3897" s="191" t="str">
        <f>IF('IWP07'!J$553=0,"",'IWP07'!J$553)</f>
        <v/>
      </c>
      <c r="H3897" s="211">
        <f>'IWP07'!K$553</f>
        <v>0</v>
      </c>
      <c r="I3897" s="211">
        <f>'IWP07'!L$553</f>
        <v>0</v>
      </c>
      <c r="J3897" s="212">
        <f>'IWP07'!M$553</f>
        <v>0</v>
      </c>
      <c r="K3897" s="106"/>
      <c r="L3897" s="106"/>
      <c r="M3897" s="129"/>
    </row>
    <row r="3898" spans="1:13" s="146" customFormat="1">
      <c r="A3898" s="193" t="s">
        <v>505</v>
      </c>
      <c r="B3898" s="210">
        <v>13</v>
      </c>
      <c r="C3898" s="191" t="str">
        <f>IF('IWP07'!E$554=0,"",'IWP07'!E$554)</f>
        <v/>
      </c>
      <c r="D3898" s="211">
        <f>'IWP07'!G$554</f>
        <v>0</v>
      </c>
      <c r="E3898" s="211">
        <f>'IWP07'!H$554</f>
        <v>0</v>
      </c>
      <c r="F3898" s="211">
        <f>'IWP07'!I$554</f>
        <v>0</v>
      </c>
      <c r="G3898" s="191" t="str">
        <f>IF('IWP07'!J$554=0,"",'IWP07'!J$554)</f>
        <v/>
      </c>
      <c r="H3898" s="211">
        <f>'IWP07'!K$554</f>
        <v>0</v>
      </c>
      <c r="I3898" s="211">
        <f>'IWP07'!L$554</f>
        <v>0</v>
      </c>
      <c r="J3898" s="212">
        <f>'IWP07'!M$554</f>
        <v>0</v>
      </c>
      <c r="K3898" s="106"/>
      <c r="L3898" s="106"/>
      <c r="M3898" s="129"/>
    </row>
    <row r="3899" spans="1:13" s="146" customFormat="1">
      <c r="A3899" s="193" t="s">
        <v>505</v>
      </c>
      <c r="B3899" s="210">
        <v>13</v>
      </c>
      <c r="C3899" s="191" t="str">
        <f>IF('IWP07'!E$555=0,"",'IWP07'!E$555)</f>
        <v/>
      </c>
      <c r="D3899" s="211">
        <f>'IWP07'!G$555</f>
        <v>0</v>
      </c>
      <c r="E3899" s="211">
        <f>'IWP07'!H$555</f>
        <v>0</v>
      </c>
      <c r="F3899" s="211">
        <f>'IWP07'!I$555</f>
        <v>0</v>
      </c>
      <c r="G3899" s="191" t="str">
        <f>IF('IWP07'!J$555=0,"",'IWP07'!J$555)</f>
        <v/>
      </c>
      <c r="H3899" s="211">
        <f>'IWP07'!K$555</f>
        <v>0</v>
      </c>
      <c r="I3899" s="211">
        <f>'IWP07'!L$555</f>
        <v>0</v>
      </c>
      <c r="J3899" s="212">
        <f>'IWP07'!M$555</f>
        <v>0</v>
      </c>
      <c r="K3899" s="106"/>
      <c r="L3899" s="106"/>
      <c r="M3899" s="129"/>
    </row>
    <row r="3900" spans="1:13" s="146" customFormat="1">
      <c r="A3900" s="193" t="s">
        <v>505</v>
      </c>
      <c r="B3900" s="210">
        <v>13</v>
      </c>
      <c r="C3900" s="191" t="str">
        <f>IF('IWP07'!E$556=0,"",'IWP07'!E$556)</f>
        <v/>
      </c>
      <c r="D3900" s="211">
        <f>'IWP07'!G$556</f>
        <v>0</v>
      </c>
      <c r="E3900" s="211">
        <f>'IWP07'!H$556</f>
        <v>0</v>
      </c>
      <c r="F3900" s="211">
        <f>'IWP07'!I$556</f>
        <v>0</v>
      </c>
      <c r="G3900" s="191" t="str">
        <f>IF('IWP07'!J$556=0,"",'IWP07'!J$556)</f>
        <v/>
      </c>
      <c r="H3900" s="211">
        <f>'IWP07'!K$556</f>
        <v>0</v>
      </c>
      <c r="I3900" s="211">
        <f>'IWP07'!L$556</f>
        <v>0</v>
      </c>
      <c r="J3900" s="212">
        <f>'IWP07'!M$556</f>
        <v>0</v>
      </c>
      <c r="K3900" s="106"/>
      <c r="L3900" s="106"/>
      <c r="M3900" s="129"/>
    </row>
    <row r="3901" spans="1:13" s="146" customFormat="1">
      <c r="A3901" s="193" t="s">
        <v>505</v>
      </c>
      <c r="B3901" s="210">
        <v>14</v>
      </c>
      <c r="C3901" s="191" t="str">
        <f>IF('IWP07'!E$563=0,"",'IWP07'!E$563)</f>
        <v>Subtotal column D.</v>
      </c>
      <c r="D3901" s="211">
        <f>'IWP07'!G$563</f>
        <v>0</v>
      </c>
      <c r="E3901" s="211">
        <f>'IWP07'!H$563</f>
        <v>0</v>
      </c>
      <c r="F3901" s="211">
        <f>'IWP07'!I$563</f>
        <v>0</v>
      </c>
      <c r="G3901" s="191" t="str">
        <f>IF('IWP07'!J$563=0,"",'IWP07'!J$563)</f>
        <v/>
      </c>
      <c r="H3901" s="211">
        <f>'IWP07'!K$563</f>
        <v>0</v>
      </c>
      <c r="I3901" s="211">
        <f>'IWP07'!L$563</f>
        <v>0</v>
      </c>
      <c r="J3901" s="212">
        <f>'IWP07'!M$563</f>
        <v>0</v>
      </c>
      <c r="K3901" s="106"/>
      <c r="L3901" s="106"/>
      <c r="M3901" s="129"/>
    </row>
    <row r="3902" spans="1:13" s="146" customFormat="1">
      <c r="A3902" s="193" t="s">
        <v>505</v>
      </c>
      <c r="B3902" s="210">
        <v>14</v>
      </c>
      <c r="C3902" s="191" t="str">
        <f>IF('IWP07'!E$564=0,"",'IWP07'!E$564)</f>
        <v>Unverified/Undocumented (Subtotal D - C)</v>
      </c>
      <c r="D3902" s="211">
        <f>'IWP07'!G$564</f>
        <v>0</v>
      </c>
      <c r="E3902" s="211">
        <f>'IWP07'!H$564</f>
        <v>0</v>
      </c>
      <c r="F3902" s="211">
        <f>'IWP07'!I$564</f>
        <v>0</v>
      </c>
      <c r="G3902" s="191" t="str">
        <f>IF('IWP07'!J$564=0,"",'IWP07'!J$564)</f>
        <v/>
      </c>
      <c r="H3902" s="211">
        <f>'IWP07'!K$564</f>
        <v>0</v>
      </c>
      <c r="I3902" s="211">
        <f>'IWP07'!L$564</f>
        <v>0</v>
      </c>
      <c r="J3902" s="212">
        <f>'IWP07'!M$564</f>
        <v>0</v>
      </c>
      <c r="K3902" s="106"/>
      <c r="L3902" s="106"/>
      <c r="M3902" s="129"/>
    </row>
    <row r="3903" spans="1:13" s="146" customFormat="1">
      <c r="A3903" s="193" t="s">
        <v>505</v>
      </c>
      <c r="B3903" s="210">
        <v>14</v>
      </c>
      <c r="C3903" s="191" t="str">
        <f>IF('IWP07'!E$565=0,"",'IWP07'!E$565)</f>
        <v>J. Billing Period Total</v>
      </c>
      <c r="D3903" s="211">
        <f>'IWP07'!G$565</f>
        <v>0</v>
      </c>
      <c r="E3903" s="211">
        <f>'IWP07'!H$565</f>
        <v>0</v>
      </c>
      <c r="F3903" s="211">
        <f>'IWP07'!I$565</f>
        <v>0</v>
      </c>
      <c r="G3903" s="191" t="str">
        <f>IF('IWP07'!J$565=0,"",'IWP07'!J$565)</f>
        <v/>
      </c>
      <c r="H3903" s="211">
        <f>'IWP07'!K$565</f>
        <v>0</v>
      </c>
      <c r="I3903" s="211">
        <f>'IWP07'!L$565</f>
        <v>0</v>
      </c>
      <c r="J3903" s="212">
        <f>'IWP07'!M$565</f>
        <v>0</v>
      </c>
      <c r="K3903" s="106"/>
      <c r="L3903" s="106"/>
      <c r="M3903" s="129"/>
    </row>
    <row r="3904" spans="1:13" s="146" customFormat="1">
      <c r="A3904" s="193" t="s">
        <v>505</v>
      </c>
      <c r="B3904" s="210">
        <v>14</v>
      </c>
      <c r="C3904" s="191" t="str">
        <f>IF('IWP07'!E$566=0,"",'IWP07'!E$566)</f>
        <v>D.</v>
      </c>
      <c r="D3904" s="211">
        <f>'IWP07'!G$566</f>
        <v>0</v>
      </c>
      <c r="E3904" s="211" t="str">
        <f>'IWP07'!H$566</f>
        <v>E.</v>
      </c>
      <c r="F3904" s="211" t="str">
        <f>'IWP07'!I$566</f>
        <v>F.</v>
      </c>
      <c r="G3904" s="191" t="str">
        <f>IF('IWP07'!J$566=0,"",'IWP07'!J$566)</f>
        <v>G.</v>
      </c>
      <c r="H3904" s="211">
        <f>'IWP07'!K$566</f>
        <v>0</v>
      </c>
      <c r="I3904" s="211" t="str">
        <f>'IWP07'!L$566</f>
        <v>H.</v>
      </c>
      <c r="J3904" s="212" t="str">
        <f>'IWP07'!M$566</f>
        <v>I.</v>
      </c>
      <c r="K3904" s="106"/>
      <c r="L3904" s="106"/>
      <c r="M3904" s="129"/>
    </row>
    <row r="3905" spans="1:13" s="146" customFormat="1">
      <c r="A3905" s="193" t="s">
        <v>505</v>
      </c>
      <c r="B3905" s="210">
        <v>14</v>
      </c>
      <c r="C3905" s="191" t="str">
        <f>IF('IWP07'!E$567=0,"",'IWP07'!E$567)</f>
        <v xml:space="preserve">Items/Services Related to Billing Period </v>
      </c>
      <c r="D3905" s="211">
        <f>'IWP07'!G$567</f>
        <v>0</v>
      </c>
      <c r="E3905" s="211" t="str">
        <f>'IWP07'!H$567</f>
        <v xml:space="preserve">Item/
Service Verified Amounts
</v>
      </c>
      <c r="F3905" s="211" t="str">
        <f>'IWP07'!I$567</f>
        <v>Amount Due to DADS (E. - D.)</v>
      </c>
      <c r="G3905" s="191" t="str">
        <f>IF('IWP07'!J$567=0,"",'IWP07'!J$567)</f>
        <v>Amount Reimbursed to 
Employee(s)/Employer</v>
      </c>
      <c r="H3905" s="211">
        <f>'IWP07'!K$567</f>
        <v>0</v>
      </c>
      <c r="I3905" s="211" t="str">
        <f>'IWP07'!L$567</f>
        <v>Amount Due to Employee(s) (G. - E.)</v>
      </c>
      <c r="J3905" s="212" t="str">
        <f>'IWP07'!M$567</f>
        <v>Amount Due to Employer (G. - E.)</v>
      </c>
      <c r="K3905" s="106"/>
      <c r="L3905" s="106"/>
      <c r="M3905" s="129"/>
    </row>
    <row r="3906" spans="1:13" s="146" customFormat="1">
      <c r="A3906" s="193" t="s">
        <v>505</v>
      </c>
      <c r="B3906" s="210">
        <v>14</v>
      </c>
      <c r="C3906" s="191" t="str">
        <f>IF('IWP07'!E$568=0,"",'IWP07'!E$568)</f>
        <v>Item/Service</v>
      </c>
      <c r="D3906" s="211" t="str">
        <f>'IWP07'!G$568</f>
        <v>Itemized Amount Paid by DADS</v>
      </c>
      <c r="E3906" s="211">
        <f>'IWP07'!H$568</f>
        <v>0</v>
      </c>
      <c r="F3906" s="211">
        <f>'IWP07'!I$568</f>
        <v>0</v>
      </c>
      <c r="G3906" s="191" t="str">
        <f>IF('IWP07'!J$568=0,"",'IWP07'!J$568)</f>
        <v/>
      </c>
      <c r="H3906" s="211">
        <f>'IWP07'!K$568</f>
        <v>0</v>
      </c>
      <c r="I3906" s="211">
        <f>'IWP07'!L$568</f>
        <v>0</v>
      </c>
      <c r="J3906" s="212">
        <f>'IWP07'!M$568</f>
        <v>0</v>
      </c>
      <c r="K3906" s="106"/>
      <c r="L3906" s="106"/>
      <c r="M3906" s="129"/>
    </row>
    <row r="3907" spans="1:13" s="146" customFormat="1">
      <c r="A3907" s="193" t="s">
        <v>505</v>
      </c>
      <c r="B3907" s="210">
        <v>14</v>
      </c>
      <c r="C3907" s="191" t="str">
        <f>IF('IWP07'!E$569=0,"",'IWP07'!E$569)</f>
        <v/>
      </c>
      <c r="D3907" s="211">
        <f>'IWP07'!G$569</f>
        <v>0</v>
      </c>
      <c r="E3907" s="211">
        <f>'IWP07'!H$569</f>
        <v>0</v>
      </c>
      <c r="F3907" s="211">
        <f>'IWP07'!I$569</f>
        <v>0</v>
      </c>
      <c r="G3907" s="191" t="str">
        <f>IF('IWP07'!J$569=0,"",'IWP07'!J$569)</f>
        <v/>
      </c>
      <c r="H3907" s="211">
        <f>'IWP07'!K$569</f>
        <v>0</v>
      </c>
      <c r="I3907" s="211">
        <f>'IWP07'!L$569</f>
        <v>0</v>
      </c>
      <c r="J3907" s="212">
        <f>'IWP07'!M$569</f>
        <v>0</v>
      </c>
      <c r="K3907" s="106"/>
      <c r="L3907" s="106"/>
      <c r="M3907" s="129"/>
    </row>
    <row r="3908" spans="1:13" s="146" customFormat="1">
      <c r="A3908" s="193" t="s">
        <v>505</v>
      </c>
      <c r="B3908" s="210">
        <v>14</v>
      </c>
      <c r="C3908" s="191" t="str">
        <f>IF('IWP07'!E$570=0,"",'IWP07'!E$570)</f>
        <v/>
      </c>
      <c r="D3908" s="211">
        <f>'IWP07'!G$570</f>
        <v>0</v>
      </c>
      <c r="E3908" s="211">
        <f>'IWP07'!H$570</f>
        <v>0</v>
      </c>
      <c r="F3908" s="211">
        <f>'IWP07'!I$570</f>
        <v>0</v>
      </c>
      <c r="G3908" s="191" t="str">
        <f>IF('IWP07'!J$570=0,"",'IWP07'!J$570)</f>
        <v/>
      </c>
      <c r="H3908" s="211">
        <f>'IWP07'!K$570</f>
        <v>0</v>
      </c>
      <c r="I3908" s="211">
        <f>'IWP07'!L$570</f>
        <v>0</v>
      </c>
      <c r="J3908" s="212">
        <f>'IWP07'!M$570</f>
        <v>0</v>
      </c>
      <c r="K3908" s="106"/>
      <c r="L3908" s="106"/>
      <c r="M3908" s="129"/>
    </row>
    <row r="3909" spans="1:13" s="146" customFormat="1">
      <c r="A3909" s="193" t="s">
        <v>505</v>
      </c>
      <c r="B3909" s="210">
        <v>14</v>
      </c>
      <c r="C3909" s="191" t="str">
        <f>IF('IWP07'!E$571=0,"",'IWP07'!E$571)</f>
        <v/>
      </c>
      <c r="D3909" s="211">
        <f>'IWP07'!G$571</f>
        <v>0</v>
      </c>
      <c r="E3909" s="211">
        <f>'IWP07'!H$571</f>
        <v>0</v>
      </c>
      <c r="F3909" s="211">
        <f>'IWP07'!I$571</f>
        <v>0</v>
      </c>
      <c r="G3909" s="191" t="str">
        <f>IF('IWP07'!J$571=0,"",'IWP07'!J$571)</f>
        <v/>
      </c>
      <c r="H3909" s="211">
        <f>'IWP07'!K$571</f>
        <v>0</v>
      </c>
      <c r="I3909" s="211">
        <f>'IWP07'!L$571</f>
        <v>0</v>
      </c>
      <c r="J3909" s="212">
        <f>'IWP07'!M$571</f>
        <v>0</v>
      </c>
      <c r="K3909" s="106"/>
      <c r="L3909" s="106"/>
      <c r="M3909" s="129"/>
    </row>
    <row r="3910" spans="1:13" s="146" customFormat="1">
      <c r="A3910" s="193" t="s">
        <v>505</v>
      </c>
      <c r="B3910" s="210">
        <v>14</v>
      </c>
      <c r="C3910" s="191" t="str">
        <f>IF('IWP07'!E$572=0,"",'IWP07'!E$572)</f>
        <v/>
      </c>
      <c r="D3910" s="211">
        <f>'IWP07'!G$572</f>
        <v>0</v>
      </c>
      <c r="E3910" s="211">
        <f>'IWP07'!H$572</f>
        <v>0</v>
      </c>
      <c r="F3910" s="211">
        <f>'IWP07'!I$572</f>
        <v>0</v>
      </c>
      <c r="G3910" s="191" t="str">
        <f>IF('IWP07'!J$572=0,"",'IWP07'!J$572)</f>
        <v/>
      </c>
      <c r="H3910" s="211">
        <f>'IWP07'!K$572</f>
        <v>0</v>
      </c>
      <c r="I3910" s="211">
        <f>'IWP07'!L$572</f>
        <v>0</v>
      </c>
      <c r="J3910" s="212">
        <f>'IWP07'!M$572</f>
        <v>0</v>
      </c>
      <c r="K3910" s="106"/>
      <c r="L3910" s="106"/>
      <c r="M3910" s="129"/>
    </row>
    <row r="3911" spans="1:13" s="146" customFormat="1">
      <c r="A3911" s="193" t="s">
        <v>505</v>
      </c>
      <c r="B3911" s="210">
        <v>15</v>
      </c>
      <c r="C3911" s="191" t="str">
        <f>IF('IWP07'!E$579=0,"",'IWP07'!E$579)</f>
        <v>Subtotal column D.</v>
      </c>
      <c r="D3911" s="211">
        <f>'IWP07'!G$579</f>
        <v>0</v>
      </c>
      <c r="E3911" s="211">
        <f>'IWP07'!H$579</f>
        <v>0</v>
      </c>
      <c r="F3911" s="211">
        <f>'IWP07'!I$579</f>
        <v>0</v>
      </c>
      <c r="G3911" s="191" t="str">
        <f>IF('IWP07'!J$579=0,"",'IWP07'!J$579)</f>
        <v/>
      </c>
      <c r="H3911" s="211">
        <f>'IWP07'!K$579</f>
        <v>0</v>
      </c>
      <c r="I3911" s="211">
        <f>'IWP07'!L$579</f>
        <v>0</v>
      </c>
      <c r="J3911" s="212">
        <f>'IWP07'!M$579</f>
        <v>0</v>
      </c>
      <c r="K3911" s="106"/>
      <c r="L3911" s="106"/>
      <c r="M3911" s="129"/>
    </row>
    <row r="3912" spans="1:13" s="146" customFormat="1">
      <c r="A3912" s="193" t="s">
        <v>505</v>
      </c>
      <c r="B3912" s="210">
        <v>15</v>
      </c>
      <c r="C3912" s="191" t="str">
        <f>IF('IWP07'!E$580=0,"",'IWP07'!E$580)</f>
        <v>Unverified/Undocumented (Subtotal D - C)</v>
      </c>
      <c r="D3912" s="211">
        <f>'IWP07'!G$580</f>
        <v>0</v>
      </c>
      <c r="E3912" s="211">
        <f>'IWP07'!H$580</f>
        <v>0</v>
      </c>
      <c r="F3912" s="211">
        <f>'IWP07'!I$580</f>
        <v>0</v>
      </c>
      <c r="G3912" s="191" t="str">
        <f>IF('IWP07'!J$580=0,"",'IWP07'!J$580)</f>
        <v/>
      </c>
      <c r="H3912" s="211">
        <f>'IWP07'!K$580</f>
        <v>0</v>
      </c>
      <c r="I3912" s="211">
        <f>'IWP07'!L$580</f>
        <v>0</v>
      </c>
      <c r="J3912" s="212">
        <f>'IWP07'!M$580</f>
        <v>0</v>
      </c>
      <c r="K3912" s="106"/>
      <c r="L3912" s="106"/>
      <c r="M3912" s="129"/>
    </row>
    <row r="3913" spans="1:13" s="146" customFormat="1">
      <c r="A3913" s="193" t="s">
        <v>505</v>
      </c>
      <c r="B3913" s="210">
        <v>15</v>
      </c>
      <c r="C3913" s="191" t="str">
        <f>IF('IWP07'!E$581=0,"",'IWP07'!E$581)</f>
        <v>J. Billing Period Total</v>
      </c>
      <c r="D3913" s="211">
        <f>'IWP07'!G$581</f>
        <v>0</v>
      </c>
      <c r="E3913" s="211">
        <f>'IWP07'!H$581</f>
        <v>0</v>
      </c>
      <c r="F3913" s="211">
        <f>'IWP07'!I$581</f>
        <v>0</v>
      </c>
      <c r="G3913" s="191" t="str">
        <f>IF('IWP07'!J$581=0,"",'IWP07'!J$581)</f>
        <v/>
      </c>
      <c r="H3913" s="211">
        <f>'IWP07'!K$581</f>
        <v>0</v>
      </c>
      <c r="I3913" s="211">
        <f>'IWP07'!L$581</f>
        <v>0</v>
      </c>
      <c r="J3913" s="212">
        <f>'IWP07'!M$581</f>
        <v>0</v>
      </c>
      <c r="K3913" s="106"/>
      <c r="L3913" s="106"/>
      <c r="M3913" s="129"/>
    </row>
    <row r="3914" spans="1:13" s="146" customFormat="1">
      <c r="A3914" s="193" t="s">
        <v>505</v>
      </c>
      <c r="B3914" s="210">
        <v>15</v>
      </c>
      <c r="C3914" s="191" t="str">
        <f>IF('IWP07'!E$582=0,"",'IWP07'!E$582)</f>
        <v>D.</v>
      </c>
      <c r="D3914" s="211">
        <f>'IWP07'!G$582</f>
        <v>0</v>
      </c>
      <c r="E3914" s="211" t="str">
        <f>'IWP07'!H$582</f>
        <v>E.</v>
      </c>
      <c r="F3914" s="211" t="str">
        <f>'IWP07'!I$582</f>
        <v>F.</v>
      </c>
      <c r="G3914" s="191" t="str">
        <f>IF('IWP07'!J$582=0,"",'IWP07'!J$582)</f>
        <v>G.</v>
      </c>
      <c r="H3914" s="211">
        <f>'IWP07'!K$582</f>
        <v>0</v>
      </c>
      <c r="I3914" s="211" t="str">
        <f>'IWP07'!L$582</f>
        <v>H.</v>
      </c>
      <c r="J3914" s="212" t="str">
        <f>'IWP07'!M$582</f>
        <v>I.</v>
      </c>
      <c r="K3914" s="106"/>
      <c r="L3914" s="106"/>
      <c r="M3914" s="129"/>
    </row>
    <row r="3915" spans="1:13" s="146" customFormat="1">
      <c r="A3915" s="193" t="s">
        <v>505</v>
      </c>
      <c r="B3915" s="210">
        <v>15</v>
      </c>
      <c r="C3915" s="191" t="str">
        <f>IF('IWP07'!E$583=0,"",'IWP07'!E$583)</f>
        <v xml:space="preserve">Items/Services Related to Billing Period </v>
      </c>
      <c r="D3915" s="211">
        <f>'IWP07'!G$583</f>
        <v>0</v>
      </c>
      <c r="E3915" s="211" t="str">
        <f>'IWP07'!H$583</f>
        <v xml:space="preserve">Item/
Service Verified Amounts
</v>
      </c>
      <c r="F3915" s="211" t="str">
        <f>'IWP07'!I$583</f>
        <v>Amount Due to DADS (E. - D.)</v>
      </c>
      <c r="G3915" s="191" t="str">
        <f>IF('IWP07'!J$583=0,"",'IWP07'!J$583)</f>
        <v>Amount Reimbursed to 
Employee(s)/Employer</v>
      </c>
      <c r="H3915" s="211">
        <f>'IWP07'!K$583</f>
        <v>0</v>
      </c>
      <c r="I3915" s="211" t="str">
        <f>'IWP07'!L$583</f>
        <v>Amount Due to Employee(s) (G. - E.)</v>
      </c>
      <c r="J3915" s="212" t="str">
        <f>'IWP07'!M$583</f>
        <v>Amount Due to Employer (G. - E.)</v>
      </c>
      <c r="K3915" s="106"/>
      <c r="L3915" s="106"/>
      <c r="M3915" s="129"/>
    </row>
    <row r="3916" spans="1:13" s="146" customFormat="1">
      <c r="A3916" s="193" t="s">
        <v>505</v>
      </c>
      <c r="B3916" s="210">
        <v>15</v>
      </c>
      <c r="C3916" s="191" t="str">
        <f>IF('IWP07'!E$584=0,"",'IWP07'!E$584)</f>
        <v>Item/Service</v>
      </c>
      <c r="D3916" s="211" t="str">
        <f>'IWP07'!G$584</f>
        <v>Itemized Amount Paid by DADS</v>
      </c>
      <c r="E3916" s="211">
        <f>'IWP07'!H$584</f>
        <v>0</v>
      </c>
      <c r="F3916" s="211">
        <f>'IWP07'!I$584</f>
        <v>0</v>
      </c>
      <c r="G3916" s="191" t="str">
        <f>IF('IWP07'!J$584=0,"",'IWP07'!J$584)</f>
        <v/>
      </c>
      <c r="H3916" s="211">
        <f>'IWP07'!K$584</f>
        <v>0</v>
      </c>
      <c r="I3916" s="211">
        <f>'IWP07'!L$584</f>
        <v>0</v>
      </c>
      <c r="J3916" s="212">
        <f>'IWP07'!M$584</f>
        <v>0</v>
      </c>
      <c r="K3916" s="106"/>
      <c r="L3916" s="106"/>
      <c r="M3916" s="129"/>
    </row>
    <row r="3917" spans="1:13" s="146" customFormat="1">
      <c r="A3917" s="193" t="s">
        <v>505</v>
      </c>
      <c r="B3917" s="210">
        <v>15</v>
      </c>
      <c r="C3917" s="191" t="str">
        <f>IF('IWP07'!E$585=0,"",'IWP07'!E$585)</f>
        <v/>
      </c>
      <c r="D3917" s="211">
        <f>'IWP07'!G$585</f>
        <v>0</v>
      </c>
      <c r="E3917" s="211">
        <f>'IWP07'!H$585</f>
        <v>0</v>
      </c>
      <c r="F3917" s="211">
        <f>'IWP07'!I$585</f>
        <v>0</v>
      </c>
      <c r="G3917" s="191" t="str">
        <f>IF('IWP07'!J$585=0,"",'IWP07'!J$585)</f>
        <v/>
      </c>
      <c r="H3917" s="211">
        <f>'IWP07'!K$585</f>
        <v>0</v>
      </c>
      <c r="I3917" s="211">
        <f>'IWP07'!L$585</f>
        <v>0</v>
      </c>
      <c r="J3917" s="212">
        <f>'IWP07'!M$585</f>
        <v>0</v>
      </c>
      <c r="K3917" s="106"/>
      <c r="L3917" s="106"/>
      <c r="M3917" s="129"/>
    </row>
    <row r="3918" spans="1:13" s="146" customFormat="1">
      <c r="A3918" s="193" t="s">
        <v>505</v>
      </c>
      <c r="B3918" s="210">
        <v>15</v>
      </c>
      <c r="C3918" s="191" t="str">
        <f>IF('IWP07'!E$586=0,"",'IWP07'!E$586)</f>
        <v/>
      </c>
      <c r="D3918" s="211">
        <f>'IWP07'!G$586</f>
        <v>0</v>
      </c>
      <c r="E3918" s="211">
        <f>'IWP07'!H$586</f>
        <v>0</v>
      </c>
      <c r="F3918" s="211">
        <f>'IWP07'!I$586</f>
        <v>0</v>
      </c>
      <c r="G3918" s="191" t="str">
        <f>IF('IWP07'!J$586=0,"",'IWP07'!J$586)</f>
        <v/>
      </c>
      <c r="H3918" s="211">
        <f>'IWP07'!K$586</f>
        <v>0</v>
      </c>
      <c r="I3918" s="211">
        <f>'IWP07'!L$586</f>
        <v>0</v>
      </c>
      <c r="J3918" s="212">
        <f>'IWP07'!M$586</f>
        <v>0</v>
      </c>
      <c r="K3918" s="106"/>
      <c r="L3918" s="106"/>
      <c r="M3918" s="129"/>
    </row>
    <row r="3919" spans="1:13" s="146" customFormat="1">
      <c r="A3919" s="193" t="s">
        <v>505</v>
      </c>
      <c r="B3919" s="210">
        <v>15</v>
      </c>
      <c r="C3919" s="191" t="str">
        <f>IF('IWP07'!E$587=0,"",'IWP07'!E$587)</f>
        <v/>
      </c>
      <c r="D3919" s="211">
        <f>'IWP07'!G$587</f>
        <v>0</v>
      </c>
      <c r="E3919" s="211">
        <f>'IWP07'!H$587</f>
        <v>0</v>
      </c>
      <c r="F3919" s="211">
        <f>'IWP07'!I$587</f>
        <v>0</v>
      </c>
      <c r="G3919" s="191" t="str">
        <f>IF('IWP07'!J$587=0,"",'IWP07'!J$587)</f>
        <v/>
      </c>
      <c r="H3919" s="211">
        <f>'IWP07'!K$587</f>
        <v>0</v>
      </c>
      <c r="I3919" s="211">
        <f>'IWP07'!L$587</f>
        <v>0</v>
      </c>
      <c r="J3919" s="212">
        <f>'IWP07'!M$587</f>
        <v>0</v>
      </c>
      <c r="K3919" s="106"/>
      <c r="L3919" s="106"/>
      <c r="M3919" s="129"/>
    </row>
    <row r="3920" spans="1:13" s="146" customFormat="1">
      <c r="A3920" s="193" t="s">
        <v>505</v>
      </c>
      <c r="B3920" s="210">
        <v>15</v>
      </c>
      <c r="C3920" s="191" t="str">
        <f>IF('IWP07'!E$588=0,"",'IWP07'!E$588)</f>
        <v/>
      </c>
      <c r="D3920" s="211">
        <f>'IWP07'!G$588</f>
        <v>0</v>
      </c>
      <c r="E3920" s="211">
        <f>'IWP07'!H$588</f>
        <v>0</v>
      </c>
      <c r="F3920" s="211">
        <f>'IWP07'!I$588</f>
        <v>0</v>
      </c>
      <c r="G3920" s="191" t="str">
        <f>IF('IWP07'!J$588=0,"",'IWP07'!J$588)</f>
        <v/>
      </c>
      <c r="H3920" s="211">
        <f>'IWP07'!K$588</f>
        <v>0</v>
      </c>
      <c r="I3920" s="211">
        <f>'IWP07'!L$588</f>
        <v>0</v>
      </c>
      <c r="J3920" s="212">
        <f>'IWP07'!M$588</f>
        <v>0</v>
      </c>
      <c r="K3920" s="106"/>
      <c r="L3920" s="106"/>
      <c r="M3920" s="129"/>
    </row>
    <row r="3921" spans="1:13" s="146" customFormat="1">
      <c r="A3921" s="193" t="s">
        <v>505</v>
      </c>
      <c r="B3921" s="210">
        <v>16</v>
      </c>
      <c r="C3921" s="191" t="str">
        <f>IF('IWP07'!E$595=0,"",'IWP07'!E$595)</f>
        <v>Subtotal column D.</v>
      </c>
      <c r="D3921" s="211">
        <f>'IWP07'!G$595</f>
        <v>0</v>
      </c>
      <c r="E3921" s="211">
        <f>'IWP07'!H$595</f>
        <v>0</v>
      </c>
      <c r="F3921" s="211">
        <f>'IWP07'!I$595</f>
        <v>0</v>
      </c>
      <c r="G3921" s="191" t="str">
        <f>IF('IWP07'!J$595=0,"",'IWP07'!J$595)</f>
        <v/>
      </c>
      <c r="H3921" s="211">
        <f>'IWP07'!K$595</f>
        <v>0</v>
      </c>
      <c r="I3921" s="211">
        <f>'IWP07'!L$595</f>
        <v>0</v>
      </c>
      <c r="J3921" s="212">
        <f>'IWP07'!M$595</f>
        <v>0</v>
      </c>
      <c r="K3921" s="106"/>
      <c r="L3921" s="106"/>
      <c r="M3921" s="129"/>
    </row>
    <row r="3922" spans="1:13" s="146" customFormat="1">
      <c r="A3922" s="193" t="s">
        <v>505</v>
      </c>
      <c r="B3922" s="210">
        <v>16</v>
      </c>
      <c r="C3922" s="191" t="str">
        <f>IF('IWP07'!E$596=0,"",'IWP07'!E$596)</f>
        <v>Unverified/Undocumented (Subtotal D - C)</v>
      </c>
      <c r="D3922" s="211">
        <f>'IWP07'!G$596</f>
        <v>0</v>
      </c>
      <c r="E3922" s="211">
        <f>'IWP07'!H$596</f>
        <v>0</v>
      </c>
      <c r="F3922" s="211">
        <f>'IWP07'!I$596</f>
        <v>0</v>
      </c>
      <c r="G3922" s="191" t="str">
        <f>IF('IWP07'!J$596=0,"",'IWP07'!J$596)</f>
        <v/>
      </c>
      <c r="H3922" s="211">
        <f>'IWP07'!K$596</f>
        <v>0</v>
      </c>
      <c r="I3922" s="211">
        <f>'IWP07'!L$596</f>
        <v>0</v>
      </c>
      <c r="J3922" s="212">
        <f>'IWP07'!M$596</f>
        <v>0</v>
      </c>
      <c r="K3922" s="106"/>
      <c r="L3922" s="106"/>
      <c r="M3922" s="129"/>
    </row>
    <row r="3923" spans="1:13" s="146" customFormat="1">
      <c r="A3923" s="193" t="s">
        <v>505</v>
      </c>
      <c r="B3923" s="210">
        <v>16</v>
      </c>
      <c r="C3923" s="191" t="str">
        <f>IF('IWP07'!E$597=0,"",'IWP07'!E$597)</f>
        <v>J. Billing Period Total</v>
      </c>
      <c r="D3923" s="211">
        <f>'IWP07'!G$597</f>
        <v>0</v>
      </c>
      <c r="E3923" s="211">
        <f>'IWP07'!H$597</f>
        <v>0</v>
      </c>
      <c r="F3923" s="211">
        <f>'IWP07'!I$597</f>
        <v>0</v>
      </c>
      <c r="G3923" s="191" t="str">
        <f>IF('IWP07'!J$597=0,"",'IWP07'!J$597)</f>
        <v/>
      </c>
      <c r="H3923" s="211">
        <f>'IWP07'!K$597</f>
        <v>0</v>
      </c>
      <c r="I3923" s="211">
        <f>'IWP07'!L$597</f>
        <v>0</v>
      </c>
      <c r="J3923" s="212">
        <f>'IWP07'!M$597</f>
        <v>0</v>
      </c>
      <c r="K3923" s="106"/>
      <c r="L3923" s="106"/>
      <c r="M3923" s="129"/>
    </row>
    <row r="3924" spans="1:13" s="146" customFormat="1">
      <c r="A3924" s="193" t="s">
        <v>505</v>
      </c>
      <c r="B3924" s="210">
        <v>16</v>
      </c>
      <c r="C3924" s="191" t="str">
        <f>IF('IWP07'!E$598=0,"",'IWP07'!E$598)</f>
        <v>D.</v>
      </c>
      <c r="D3924" s="211">
        <f>'IWP07'!G$598</f>
        <v>0</v>
      </c>
      <c r="E3924" s="211" t="str">
        <f>'IWP07'!H$598</f>
        <v>E.</v>
      </c>
      <c r="F3924" s="211" t="str">
        <f>'IWP07'!I$598</f>
        <v>F.</v>
      </c>
      <c r="G3924" s="191" t="str">
        <f>IF('IWP07'!J$598=0,"",'IWP07'!J$598)</f>
        <v>G.</v>
      </c>
      <c r="H3924" s="211">
        <f>'IWP07'!K$598</f>
        <v>0</v>
      </c>
      <c r="I3924" s="211" t="str">
        <f>'IWP07'!L$598</f>
        <v>H.</v>
      </c>
      <c r="J3924" s="212" t="str">
        <f>'IWP07'!M$598</f>
        <v>I.</v>
      </c>
      <c r="K3924" s="106"/>
      <c r="L3924" s="106"/>
      <c r="M3924" s="129"/>
    </row>
    <row r="3925" spans="1:13" s="146" customFormat="1">
      <c r="A3925" s="193" t="s">
        <v>505</v>
      </c>
      <c r="B3925" s="210">
        <v>16</v>
      </c>
      <c r="C3925" s="191" t="str">
        <f>IF('IWP07'!E$599=0,"",'IWP07'!E$599)</f>
        <v xml:space="preserve">Items/Services Related to Billing Period </v>
      </c>
      <c r="D3925" s="211">
        <f>'IWP07'!G$599</f>
        <v>0</v>
      </c>
      <c r="E3925" s="211" t="str">
        <f>'IWP07'!H$599</f>
        <v xml:space="preserve">Item/
Service Verified Amounts
</v>
      </c>
      <c r="F3925" s="211" t="str">
        <f>'IWP07'!I$599</f>
        <v>Amount Due to DADS (E. - D.)</v>
      </c>
      <c r="G3925" s="191" t="str">
        <f>IF('IWP07'!J$599=0,"",'IWP07'!J$599)</f>
        <v>Amount Reimbursed to 
Employee(s)/Employer</v>
      </c>
      <c r="H3925" s="211">
        <f>'IWP07'!K$599</f>
        <v>0</v>
      </c>
      <c r="I3925" s="211" t="str">
        <f>'IWP07'!L$599</f>
        <v>Amount Due to Employee(s) (G. - E.)</v>
      </c>
      <c r="J3925" s="212" t="str">
        <f>'IWP07'!M$599</f>
        <v>Amount Due to Employer (G. - E.)</v>
      </c>
      <c r="K3925" s="106"/>
      <c r="L3925" s="106"/>
      <c r="M3925" s="129"/>
    </row>
    <row r="3926" spans="1:13" s="146" customFormat="1">
      <c r="A3926" s="193" t="s">
        <v>505</v>
      </c>
      <c r="B3926" s="210">
        <v>16</v>
      </c>
      <c r="C3926" s="191" t="str">
        <f>IF('IWP07'!E$600=0,"",'IWP07'!E$600)</f>
        <v>Item/Service</v>
      </c>
      <c r="D3926" s="211" t="str">
        <f>'IWP07'!G$600</f>
        <v>Itemized Amount Paid by DADS</v>
      </c>
      <c r="E3926" s="211">
        <f>'IWP07'!H$600</f>
        <v>0</v>
      </c>
      <c r="F3926" s="211">
        <f>'IWP07'!I$600</f>
        <v>0</v>
      </c>
      <c r="G3926" s="191" t="str">
        <f>IF('IWP07'!J$600=0,"",'IWP07'!J$600)</f>
        <v/>
      </c>
      <c r="H3926" s="211">
        <f>'IWP07'!K$600</f>
        <v>0</v>
      </c>
      <c r="I3926" s="211">
        <f>'IWP07'!L$600</f>
        <v>0</v>
      </c>
      <c r="J3926" s="212">
        <f>'IWP07'!M$600</f>
        <v>0</v>
      </c>
      <c r="K3926" s="106"/>
      <c r="L3926" s="106"/>
      <c r="M3926" s="129"/>
    </row>
    <row r="3927" spans="1:13" s="146" customFormat="1">
      <c r="A3927" s="193" t="s">
        <v>505</v>
      </c>
      <c r="B3927" s="210">
        <v>16</v>
      </c>
      <c r="C3927" s="191" t="str">
        <f>IF('IWP07'!E$601=0,"",'IWP07'!E$601)</f>
        <v/>
      </c>
      <c r="D3927" s="211">
        <f>'IWP07'!G$601</f>
        <v>0</v>
      </c>
      <c r="E3927" s="211">
        <f>'IWP07'!H$601</f>
        <v>0</v>
      </c>
      <c r="F3927" s="211">
        <f>'IWP07'!I$601</f>
        <v>0</v>
      </c>
      <c r="G3927" s="191" t="str">
        <f>IF('IWP07'!J$601=0,"",'IWP07'!J$601)</f>
        <v/>
      </c>
      <c r="H3927" s="211">
        <f>'IWP07'!K$601</f>
        <v>0</v>
      </c>
      <c r="I3927" s="211">
        <f>'IWP07'!L$601</f>
        <v>0</v>
      </c>
      <c r="J3927" s="212">
        <f>'IWP07'!M$601</f>
        <v>0</v>
      </c>
      <c r="K3927" s="106"/>
      <c r="L3927" s="106"/>
      <c r="M3927" s="129"/>
    </row>
    <row r="3928" spans="1:13" s="146" customFormat="1">
      <c r="A3928" s="193" t="s">
        <v>505</v>
      </c>
      <c r="B3928" s="210">
        <v>16</v>
      </c>
      <c r="C3928" s="191" t="str">
        <f>IF('IWP07'!E$602=0,"",'IWP07'!E$602)</f>
        <v/>
      </c>
      <c r="D3928" s="211">
        <f>'IWP07'!G$602</f>
        <v>0</v>
      </c>
      <c r="E3928" s="211">
        <f>'IWP07'!H$602</f>
        <v>0</v>
      </c>
      <c r="F3928" s="211">
        <f>'IWP07'!I$602</f>
        <v>0</v>
      </c>
      <c r="G3928" s="191" t="str">
        <f>IF('IWP07'!J$602=0,"",'IWP07'!J$602)</f>
        <v/>
      </c>
      <c r="H3928" s="211">
        <f>'IWP07'!K$602</f>
        <v>0</v>
      </c>
      <c r="I3928" s="211">
        <f>'IWP07'!L$602</f>
        <v>0</v>
      </c>
      <c r="J3928" s="212">
        <f>'IWP07'!M$602</f>
        <v>0</v>
      </c>
      <c r="K3928" s="106"/>
      <c r="L3928" s="106"/>
      <c r="M3928" s="129"/>
    </row>
    <row r="3929" spans="1:13" s="146" customFormat="1">
      <c r="A3929" s="193" t="s">
        <v>505</v>
      </c>
      <c r="B3929" s="210">
        <v>16</v>
      </c>
      <c r="C3929" s="191" t="str">
        <f>IF('IWP07'!E$603=0,"",'IWP07'!E$603)</f>
        <v/>
      </c>
      <c r="D3929" s="211">
        <f>'IWP07'!G$603</f>
        <v>0</v>
      </c>
      <c r="E3929" s="211">
        <f>'IWP07'!H$603</f>
        <v>0</v>
      </c>
      <c r="F3929" s="211">
        <f>'IWP07'!I$603</f>
        <v>0</v>
      </c>
      <c r="G3929" s="191" t="str">
        <f>IF('IWP07'!J$603=0,"",'IWP07'!J$603)</f>
        <v/>
      </c>
      <c r="H3929" s="211">
        <f>'IWP07'!K$603</f>
        <v>0</v>
      </c>
      <c r="I3929" s="211">
        <f>'IWP07'!L$603</f>
        <v>0</v>
      </c>
      <c r="J3929" s="212">
        <f>'IWP07'!M$603</f>
        <v>0</v>
      </c>
      <c r="K3929" s="106"/>
      <c r="L3929" s="106"/>
      <c r="M3929" s="129"/>
    </row>
    <row r="3930" spans="1:13" s="146" customFormat="1">
      <c r="A3930" s="193" t="s">
        <v>505</v>
      </c>
      <c r="B3930" s="210">
        <v>16</v>
      </c>
      <c r="C3930" s="191" t="str">
        <f>IF('IWP07'!E$604=0,"",'IWP07'!E$604)</f>
        <v/>
      </c>
      <c r="D3930" s="211">
        <f>'IWP07'!G$604</f>
        <v>0</v>
      </c>
      <c r="E3930" s="211">
        <f>'IWP07'!H$604</f>
        <v>0</v>
      </c>
      <c r="F3930" s="211">
        <f>'IWP07'!I$604</f>
        <v>0</v>
      </c>
      <c r="G3930" s="191" t="str">
        <f>IF('IWP07'!J$604=0,"",'IWP07'!J$604)</f>
        <v/>
      </c>
      <c r="H3930" s="211">
        <f>'IWP07'!K$604</f>
        <v>0</v>
      </c>
      <c r="I3930" s="211">
        <f>'IWP07'!L$604</f>
        <v>0</v>
      </c>
      <c r="J3930" s="212">
        <f>'IWP07'!M$604</f>
        <v>0</v>
      </c>
      <c r="K3930" s="106"/>
      <c r="L3930" s="106"/>
      <c r="M3930" s="129"/>
    </row>
    <row r="3931" spans="1:13" s="146" customFormat="1">
      <c r="A3931" s="193" t="s">
        <v>505</v>
      </c>
      <c r="B3931" s="210">
        <v>17</v>
      </c>
      <c r="C3931" s="191" t="str">
        <f>IF('IWP07'!E$611=0,"",'IWP07'!E$611)</f>
        <v>Subtotal column D.</v>
      </c>
      <c r="D3931" s="211">
        <f>'IWP07'!G$611</f>
        <v>0</v>
      </c>
      <c r="E3931" s="211">
        <f>'IWP07'!H$611</f>
        <v>0</v>
      </c>
      <c r="F3931" s="211">
        <f>'IWP07'!I$611</f>
        <v>0</v>
      </c>
      <c r="G3931" s="191" t="str">
        <f>IF('IWP07'!J$611=0,"",'IWP07'!J$611)</f>
        <v/>
      </c>
      <c r="H3931" s="211">
        <f>'IWP07'!K$611</f>
        <v>0</v>
      </c>
      <c r="I3931" s="211">
        <f>'IWP07'!L$611</f>
        <v>0</v>
      </c>
      <c r="J3931" s="212">
        <f>'IWP07'!M$611</f>
        <v>0</v>
      </c>
      <c r="K3931" s="106"/>
      <c r="L3931" s="106"/>
      <c r="M3931" s="129"/>
    </row>
    <row r="3932" spans="1:13" s="146" customFormat="1">
      <c r="A3932" s="193" t="s">
        <v>505</v>
      </c>
      <c r="B3932" s="210">
        <v>17</v>
      </c>
      <c r="C3932" s="191" t="str">
        <f>IF('IWP07'!E$612=0,"",'IWP07'!E$612)</f>
        <v>Unverified/Undocumented (Subtotal D - C)</v>
      </c>
      <c r="D3932" s="211">
        <f>'IWP07'!G$612</f>
        <v>0</v>
      </c>
      <c r="E3932" s="211">
        <f>'IWP07'!H$612</f>
        <v>0</v>
      </c>
      <c r="F3932" s="211">
        <f>'IWP07'!I$612</f>
        <v>0</v>
      </c>
      <c r="G3932" s="191" t="str">
        <f>IF('IWP07'!J$612=0,"",'IWP07'!J$612)</f>
        <v/>
      </c>
      <c r="H3932" s="211">
        <f>'IWP07'!K$612</f>
        <v>0</v>
      </c>
      <c r="I3932" s="211">
        <f>'IWP07'!L$612</f>
        <v>0</v>
      </c>
      <c r="J3932" s="212">
        <f>'IWP07'!M$612</f>
        <v>0</v>
      </c>
      <c r="K3932" s="106"/>
      <c r="L3932" s="106"/>
      <c r="M3932" s="129"/>
    </row>
    <row r="3933" spans="1:13" s="146" customFormat="1">
      <c r="A3933" s="193" t="s">
        <v>505</v>
      </c>
      <c r="B3933" s="210">
        <v>17</v>
      </c>
      <c r="C3933" s="191" t="str">
        <f>IF('IWP07'!E$613=0,"",'IWP07'!E$613)</f>
        <v>J. Billing Period Total</v>
      </c>
      <c r="D3933" s="211">
        <f>'IWP07'!G$613</f>
        <v>0</v>
      </c>
      <c r="E3933" s="211">
        <f>'IWP07'!H$613</f>
        <v>0</v>
      </c>
      <c r="F3933" s="211">
        <f>'IWP07'!I$613</f>
        <v>0</v>
      </c>
      <c r="G3933" s="191" t="str">
        <f>IF('IWP07'!J$613=0,"",'IWP07'!J$613)</f>
        <v/>
      </c>
      <c r="H3933" s="211">
        <f>'IWP07'!K$613</f>
        <v>0</v>
      </c>
      <c r="I3933" s="211">
        <f>'IWP07'!L$613</f>
        <v>0</v>
      </c>
      <c r="J3933" s="212">
        <f>'IWP07'!M$613</f>
        <v>0</v>
      </c>
      <c r="K3933" s="106"/>
      <c r="L3933" s="106"/>
      <c r="M3933" s="129"/>
    </row>
    <row r="3934" spans="1:13" s="146" customFormat="1">
      <c r="A3934" s="193" t="s">
        <v>505</v>
      </c>
      <c r="B3934" s="210">
        <v>17</v>
      </c>
      <c r="C3934" s="191" t="str">
        <f>IF('IWP07'!E$614=0,"",'IWP07'!E$614)</f>
        <v/>
      </c>
      <c r="D3934" s="211">
        <f>'IWP07'!G$614</f>
        <v>0</v>
      </c>
      <c r="E3934" s="211">
        <f>'IWP07'!H$614</f>
        <v>0</v>
      </c>
      <c r="F3934" s="211">
        <f>'IWP07'!I$614</f>
        <v>0</v>
      </c>
      <c r="G3934" s="191" t="str">
        <f>IF('IWP07'!J$614=0,"",'IWP07'!J$614)</f>
        <v/>
      </c>
      <c r="H3934" s="211">
        <f>'IWP07'!K$614</f>
        <v>0</v>
      </c>
      <c r="I3934" s="211">
        <f>'IWP07'!L$614</f>
        <v>0</v>
      </c>
      <c r="J3934" s="212">
        <f>'IWP07'!M$614</f>
        <v>0</v>
      </c>
      <c r="K3934" s="106"/>
      <c r="L3934" s="106"/>
      <c r="M3934" s="129"/>
    </row>
    <row r="3935" spans="1:13" s="146" customFormat="1">
      <c r="A3935" s="193" t="s">
        <v>505</v>
      </c>
      <c r="B3935" s="210">
        <v>17</v>
      </c>
      <c r="C3935" s="191" t="str">
        <f>IF('IWP07'!E$615=0,"",'IWP07'!E$615)</f>
        <v/>
      </c>
      <c r="D3935" s="211">
        <f>'IWP07'!G$615</f>
        <v>0</v>
      </c>
      <c r="E3935" s="211">
        <f>'IWP07'!H$615</f>
        <v>0</v>
      </c>
      <c r="F3935" s="211">
        <f>'IWP07'!I$615</f>
        <v>0</v>
      </c>
      <c r="G3935" s="191" t="str">
        <f>IF('IWP07'!J$615=0,"",'IWP07'!J$615)</f>
        <v/>
      </c>
      <c r="H3935" s="211">
        <f>'IWP07'!K$615</f>
        <v>0</v>
      </c>
      <c r="I3935" s="211">
        <f>'IWP07'!L$615</f>
        <v>0</v>
      </c>
      <c r="J3935" s="212">
        <f>'IWP07'!M$615</f>
        <v>0</v>
      </c>
      <c r="K3935" s="106"/>
      <c r="L3935" s="106"/>
      <c r="M3935" s="129"/>
    </row>
    <row r="3936" spans="1:13" s="146" customFormat="1">
      <c r="A3936" s="193" t="s">
        <v>505</v>
      </c>
      <c r="B3936" s="210">
        <v>17</v>
      </c>
      <c r="C3936" s="191" t="str">
        <f>IF('IWP07'!E$616=0,"",'IWP07'!E$616)</f>
        <v/>
      </c>
      <c r="D3936" s="211">
        <f>'IWP07'!G$616</f>
        <v>0</v>
      </c>
      <c r="E3936" s="211">
        <f>'IWP07'!H$616</f>
        <v>0</v>
      </c>
      <c r="F3936" s="211">
        <f>'IWP07'!I$616</f>
        <v>0</v>
      </c>
      <c r="G3936" s="191" t="str">
        <f>IF('IWP07'!J$616=0,"",'IWP07'!J$616)</f>
        <v/>
      </c>
      <c r="H3936" s="211">
        <f>'IWP07'!K$616</f>
        <v>0</v>
      </c>
      <c r="I3936" s="211">
        <f>'IWP07'!L$616</f>
        <v>0</v>
      </c>
      <c r="J3936" s="212">
        <f>'IWP07'!M$616</f>
        <v>0</v>
      </c>
      <c r="K3936" s="106"/>
      <c r="L3936" s="106"/>
      <c r="M3936" s="129"/>
    </row>
    <row r="3937" spans="1:13" s="146" customFormat="1">
      <c r="A3937" s="193" t="s">
        <v>505</v>
      </c>
      <c r="B3937" s="210">
        <v>17</v>
      </c>
      <c r="C3937" s="191" t="str">
        <f>IF('IWP07'!E$617=0,"",'IWP07'!E$617)</f>
        <v/>
      </c>
      <c r="D3937" s="211">
        <f>'IWP07'!G$617</f>
        <v>0</v>
      </c>
      <c r="E3937" s="211">
        <f>'IWP07'!H$617</f>
        <v>0</v>
      </c>
      <c r="F3937" s="211">
        <f>'IWP07'!I$617</f>
        <v>0</v>
      </c>
      <c r="G3937" s="191" t="str">
        <f>IF('IWP07'!J$617=0,"",'IWP07'!J$617)</f>
        <v/>
      </c>
      <c r="H3937" s="211">
        <f>'IWP07'!K$617</f>
        <v>0</v>
      </c>
      <c r="I3937" s="211">
        <f>'IWP07'!L$617</f>
        <v>0</v>
      </c>
      <c r="J3937" s="212">
        <f>'IWP07'!M$617</f>
        <v>0</v>
      </c>
      <c r="K3937" s="106"/>
      <c r="L3937" s="106"/>
      <c r="M3937" s="129"/>
    </row>
    <row r="3938" spans="1:13" s="146" customFormat="1">
      <c r="A3938" s="193" t="s">
        <v>505</v>
      </c>
      <c r="B3938" s="210">
        <v>17</v>
      </c>
      <c r="C3938" s="191" t="str">
        <f>IF('IWP07'!E$618=0,"",'IWP07'!E$618)</f>
        <v/>
      </c>
      <c r="D3938" s="211">
        <f>'IWP07'!G$618</f>
        <v>0</v>
      </c>
      <c r="E3938" s="211">
        <f>'IWP07'!H$618</f>
        <v>0</v>
      </c>
      <c r="F3938" s="211">
        <f>'IWP07'!I$618</f>
        <v>0</v>
      </c>
      <c r="G3938" s="191" t="str">
        <f>IF('IWP07'!J$618=0,"",'IWP07'!J$618)</f>
        <v/>
      </c>
      <c r="H3938" s="211">
        <f>'IWP07'!K$618</f>
        <v>0</v>
      </c>
      <c r="I3938" s="211">
        <f>'IWP07'!L$618</f>
        <v>0</v>
      </c>
      <c r="J3938" s="212">
        <f>'IWP07'!M$618</f>
        <v>0</v>
      </c>
      <c r="K3938" s="106"/>
      <c r="L3938" s="106"/>
      <c r="M3938" s="129"/>
    </row>
    <row r="3939" spans="1:13" s="146" customFormat="1">
      <c r="A3939" s="193" t="s">
        <v>505</v>
      </c>
      <c r="B3939" s="210">
        <v>17</v>
      </c>
      <c r="C3939" s="191" t="str">
        <f>IF('IWP07'!E$619=0,"",'IWP07'!E$619)</f>
        <v/>
      </c>
      <c r="D3939" s="211">
        <f>'IWP07'!G$619</f>
        <v>0</v>
      </c>
      <c r="E3939" s="211">
        <f>'IWP07'!H$619</f>
        <v>0</v>
      </c>
      <c r="F3939" s="211">
        <f>'IWP07'!I$619</f>
        <v>0</v>
      </c>
      <c r="G3939" s="191" t="str">
        <f>IF('IWP07'!J$619=0,"",'IWP07'!J$619)</f>
        <v/>
      </c>
      <c r="H3939" s="211">
        <f>'IWP07'!K$619</f>
        <v>0</v>
      </c>
      <c r="I3939" s="211">
        <f>'IWP07'!L$619</f>
        <v>0</v>
      </c>
      <c r="J3939" s="212">
        <f>'IWP07'!M$619</f>
        <v>0</v>
      </c>
      <c r="K3939" s="106"/>
      <c r="L3939" s="106"/>
      <c r="M3939" s="129"/>
    </row>
    <row r="3940" spans="1:13" s="146" customFormat="1">
      <c r="A3940" s="193" t="s">
        <v>505</v>
      </c>
      <c r="B3940" s="210">
        <v>17</v>
      </c>
      <c r="C3940" s="191" t="str">
        <f>IF('IWP07'!E$620=0,"",'IWP07'!E$620)</f>
        <v/>
      </c>
      <c r="D3940" s="211">
        <f>'IWP07'!G$620</f>
        <v>0</v>
      </c>
      <c r="E3940" s="211">
        <f>'IWP07'!H$620</f>
        <v>0</v>
      </c>
      <c r="F3940" s="211">
        <f>'IWP07'!I$620</f>
        <v>0</v>
      </c>
      <c r="G3940" s="191" t="str">
        <f>IF('IWP07'!J$620=0,"",'IWP07'!J$620)</f>
        <v/>
      </c>
      <c r="H3940" s="211">
        <f>'IWP07'!K$620</f>
        <v>0</v>
      </c>
      <c r="I3940" s="211">
        <f>'IWP07'!L$620</f>
        <v>0</v>
      </c>
      <c r="J3940" s="212">
        <f>'IWP07'!M$620</f>
        <v>0</v>
      </c>
      <c r="K3940" s="106"/>
      <c r="L3940" s="106"/>
      <c r="M3940" s="129"/>
    </row>
    <row r="3941" spans="1:13" s="146" customFormat="1">
      <c r="A3941" s="193" t="s">
        <v>505</v>
      </c>
      <c r="B3941" s="210">
        <v>18</v>
      </c>
      <c r="C3941" s="191" t="str">
        <f>IF('IWP07'!E$627=0,"",'IWP07'!E$627)</f>
        <v/>
      </c>
      <c r="D3941" s="211">
        <f>'IWP07'!G$627</f>
        <v>0</v>
      </c>
      <c r="E3941" s="211">
        <f>'IWP07'!H$627</f>
        <v>0</v>
      </c>
      <c r="F3941" s="211">
        <f>'IWP07'!I$627</f>
        <v>0</v>
      </c>
      <c r="G3941" s="191" t="str">
        <f>IF('IWP07'!J$627=0,"",'IWP07'!J$627)</f>
        <v/>
      </c>
      <c r="H3941" s="211">
        <f>'IWP07'!K$627</f>
        <v>0</v>
      </c>
      <c r="I3941" s="211">
        <f>'IWP07'!L$627</f>
        <v>0</v>
      </c>
      <c r="J3941" s="212">
        <f>'IWP07'!M$627</f>
        <v>0</v>
      </c>
      <c r="K3941" s="106"/>
      <c r="L3941" s="106"/>
      <c r="M3941" s="129"/>
    </row>
    <row r="3942" spans="1:13" s="146" customFormat="1">
      <c r="A3942" s="193" t="s">
        <v>505</v>
      </c>
      <c r="B3942" s="210">
        <v>18</v>
      </c>
      <c r="C3942" s="191" t="str">
        <f>IF('IWP07'!E$628=0,"",'IWP07'!E$628)</f>
        <v/>
      </c>
      <c r="D3942" s="211">
        <f>'IWP07'!G$628</f>
        <v>0</v>
      </c>
      <c r="E3942" s="211">
        <f>'IWP07'!H$628</f>
        <v>0</v>
      </c>
      <c r="F3942" s="211">
        <f>'IWP07'!I$628</f>
        <v>0</v>
      </c>
      <c r="G3942" s="191" t="str">
        <f>IF('IWP07'!J$628=0,"",'IWP07'!J$628)</f>
        <v/>
      </c>
      <c r="H3942" s="211">
        <f>'IWP07'!K$628</f>
        <v>0</v>
      </c>
      <c r="I3942" s="211">
        <f>'IWP07'!L$628</f>
        <v>0</v>
      </c>
      <c r="J3942" s="212">
        <f>'IWP07'!M$628</f>
        <v>0</v>
      </c>
      <c r="K3942" s="106"/>
      <c r="L3942" s="106"/>
      <c r="M3942" s="129"/>
    </row>
    <row r="3943" spans="1:13" s="146" customFormat="1">
      <c r="A3943" s="193" t="s">
        <v>505</v>
      </c>
      <c r="B3943" s="210">
        <v>18</v>
      </c>
      <c r="C3943" s="191" t="str">
        <f>IF('IWP07'!E$629=0,"",'IWP07'!E$629)</f>
        <v/>
      </c>
      <c r="D3943" s="211">
        <f>'IWP07'!G$629</f>
        <v>0</v>
      </c>
      <c r="E3943" s="211">
        <f>'IWP07'!H$629</f>
        <v>0</v>
      </c>
      <c r="F3943" s="211">
        <f>'IWP07'!I$629</f>
        <v>0</v>
      </c>
      <c r="G3943" s="191" t="str">
        <f>IF('IWP07'!J$629=0,"",'IWP07'!J$629)</f>
        <v/>
      </c>
      <c r="H3943" s="211">
        <f>'IWP07'!K$629</f>
        <v>0</v>
      </c>
      <c r="I3943" s="211">
        <f>'IWP07'!L$629</f>
        <v>0</v>
      </c>
      <c r="J3943" s="212">
        <f>'IWP07'!M$629</f>
        <v>0</v>
      </c>
      <c r="K3943" s="106"/>
      <c r="L3943" s="106"/>
      <c r="M3943" s="129"/>
    </row>
    <row r="3944" spans="1:13" s="146" customFormat="1">
      <c r="A3944" s="193" t="s">
        <v>505</v>
      </c>
      <c r="B3944" s="210">
        <v>18</v>
      </c>
      <c r="C3944" s="191" t="str">
        <f>IF('IWP07'!E$630=0,"",'IWP07'!E$630)</f>
        <v/>
      </c>
      <c r="D3944" s="211">
        <f>'IWP07'!G$630</f>
        <v>0</v>
      </c>
      <c r="E3944" s="211">
        <f>'IWP07'!H$630</f>
        <v>0</v>
      </c>
      <c r="F3944" s="211">
        <f>'IWP07'!I$630</f>
        <v>0</v>
      </c>
      <c r="G3944" s="191" t="str">
        <f>IF('IWP07'!J$630=0,"",'IWP07'!J$630)</f>
        <v/>
      </c>
      <c r="H3944" s="211">
        <f>'IWP07'!K$630</f>
        <v>0</v>
      </c>
      <c r="I3944" s="211">
        <f>'IWP07'!L$630</f>
        <v>0</v>
      </c>
      <c r="J3944" s="212">
        <f>'IWP07'!M$630</f>
        <v>0</v>
      </c>
      <c r="K3944" s="106"/>
      <c r="L3944" s="106"/>
      <c r="M3944" s="129"/>
    </row>
    <row r="3945" spans="1:13" s="146" customFormat="1">
      <c r="A3945" s="193" t="s">
        <v>505</v>
      </c>
      <c r="B3945" s="210">
        <v>18</v>
      </c>
      <c r="C3945" s="191" t="str">
        <f>IF('IWP07'!E$631=0,"",'IWP07'!E$631)</f>
        <v/>
      </c>
      <c r="D3945" s="211">
        <f>'IWP07'!G$631</f>
        <v>0</v>
      </c>
      <c r="E3945" s="211">
        <f>'IWP07'!H$631</f>
        <v>0</v>
      </c>
      <c r="F3945" s="211">
        <f>'IWP07'!I$631</f>
        <v>0</v>
      </c>
      <c r="G3945" s="191" t="str">
        <f>IF('IWP07'!J$631=0,"",'IWP07'!J$631)</f>
        <v/>
      </c>
      <c r="H3945" s="211">
        <f>'IWP07'!K$631</f>
        <v>0</v>
      </c>
      <c r="I3945" s="211">
        <f>'IWP07'!L$631</f>
        <v>0</v>
      </c>
      <c r="J3945" s="212">
        <f>'IWP07'!M$631</f>
        <v>0</v>
      </c>
      <c r="K3945" s="106"/>
      <c r="L3945" s="106"/>
      <c r="M3945" s="129"/>
    </row>
    <row r="3946" spans="1:13" s="146" customFormat="1">
      <c r="A3946" s="193" t="s">
        <v>505</v>
      </c>
      <c r="B3946" s="210">
        <v>18</v>
      </c>
      <c r="C3946" s="191" t="str">
        <f>IF('IWP07'!E$632=0,"",'IWP07'!E$632)</f>
        <v/>
      </c>
      <c r="D3946" s="211">
        <f>'IWP07'!G$632</f>
        <v>0</v>
      </c>
      <c r="E3946" s="211">
        <f>'IWP07'!H$632</f>
        <v>0</v>
      </c>
      <c r="F3946" s="211">
        <f>'IWP07'!I$632</f>
        <v>0</v>
      </c>
      <c r="G3946" s="191" t="str">
        <f>IF('IWP07'!J$632=0,"",'IWP07'!J$632)</f>
        <v/>
      </c>
      <c r="H3946" s="211">
        <f>'IWP07'!K$632</f>
        <v>0</v>
      </c>
      <c r="I3946" s="211">
        <f>'IWP07'!L$632</f>
        <v>0</v>
      </c>
      <c r="J3946" s="212">
        <f>'IWP07'!M$632</f>
        <v>0</v>
      </c>
      <c r="K3946" s="106"/>
      <c r="L3946" s="106"/>
      <c r="M3946" s="129"/>
    </row>
    <row r="3947" spans="1:13" s="146" customFormat="1">
      <c r="A3947" s="193" t="s">
        <v>505</v>
      </c>
      <c r="B3947" s="210">
        <v>18</v>
      </c>
      <c r="C3947" s="191" t="str">
        <f>IF('IWP07'!E$633=0,"",'IWP07'!E$633)</f>
        <v/>
      </c>
      <c r="D3947" s="211">
        <f>'IWP07'!G$633</f>
        <v>0</v>
      </c>
      <c r="E3947" s="211">
        <f>'IWP07'!H$633</f>
        <v>0</v>
      </c>
      <c r="F3947" s="211">
        <f>'IWP07'!I$633</f>
        <v>0</v>
      </c>
      <c r="G3947" s="191" t="str">
        <f>IF('IWP07'!J$633=0,"",'IWP07'!J$633)</f>
        <v/>
      </c>
      <c r="H3947" s="211">
        <f>'IWP07'!K$633</f>
        <v>0</v>
      </c>
      <c r="I3947" s="211">
        <f>'IWP07'!L$633</f>
        <v>0</v>
      </c>
      <c r="J3947" s="212">
        <f>'IWP07'!M$633</f>
        <v>0</v>
      </c>
      <c r="K3947" s="106"/>
      <c r="L3947" s="106"/>
      <c r="M3947" s="129"/>
    </row>
    <row r="3948" spans="1:13" s="146" customFormat="1">
      <c r="A3948" s="193" t="s">
        <v>505</v>
      </c>
      <c r="B3948" s="210">
        <v>18</v>
      </c>
      <c r="C3948" s="191" t="str">
        <f>IF('IWP07'!E$634=0,"",'IWP07'!E$634)</f>
        <v/>
      </c>
      <c r="D3948" s="211">
        <f>'IWP07'!G$634</f>
        <v>0</v>
      </c>
      <c r="E3948" s="211">
        <f>'IWP07'!H$634</f>
        <v>0</v>
      </c>
      <c r="F3948" s="211">
        <f>'IWP07'!I$634</f>
        <v>0</v>
      </c>
      <c r="G3948" s="191" t="str">
        <f>IF('IWP07'!J$634=0,"",'IWP07'!J$634)</f>
        <v/>
      </c>
      <c r="H3948" s="211">
        <f>'IWP07'!K$634</f>
        <v>0</v>
      </c>
      <c r="I3948" s="211">
        <f>'IWP07'!L$634</f>
        <v>0</v>
      </c>
      <c r="J3948" s="212">
        <f>'IWP07'!M$634</f>
        <v>0</v>
      </c>
      <c r="K3948" s="106"/>
      <c r="L3948" s="106"/>
      <c r="M3948" s="129"/>
    </row>
    <row r="3949" spans="1:13" s="146" customFormat="1">
      <c r="A3949" s="193" t="s">
        <v>505</v>
      </c>
      <c r="B3949" s="210">
        <v>18</v>
      </c>
      <c r="C3949" s="191" t="str">
        <f>IF('IWP07'!E$635=0,"",'IWP07'!E$635)</f>
        <v/>
      </c>
      <c r="D3949" s="211">
        <f>'IWP07'!G$635</f>
        <v>0</v>
      </c>
      <c r="E3949" s="211">
        <f>'IWP07'!H$635</f>
        <v>0</v>
      </c>
      <c r="F3949" s="211">
        <f>'IWP07'!I$635</f>
        <v>0</v>
      </c>
      <c r="G3949" s="191" t="str">
        <f>IF('IWP07'!J$635=0,"",'IWP07'!J$635)</f>
        <v/>
      </c>
      <c r="H3949" s="211">
        <f>'IWP07'!K$635</f>
        <v>0</v>
      </c>
      <c r="I3949" s="211">
        <f>'IWP07'!L$635</f>
        <v>0</v>
      </c>
      <c r="J3949" s="212">
        <f>'IWP07'!M$635</f>
        <v>0</v>
      </c>
      <c r="K3949" s="106"/>
      <c r="L3949" s="106"/>
      <c r="M3949" s="129"/>
    </row>
    <row r="3950" spans="1:13" s="146" customFormat="1">
      <c r="A3950" s="193" t="s">
        <v>505</v>
      </c>
      <c r="B3950" s="210">
        <v>18</v>
      </c>
      <c r="C3950" s="191" t="str">
        <f>IF('IWP07'!E$636=0,"",'IWP07'!E$636)</f>
        <v/>
      </c>
      <c r="D3950" s="211">
        <f>'IWP07'!G$636</f>
        <v>0</v>
      </c>
      <c r="E3950" s="211">
        <f>'IWP07'!H$636</f>
        <v>0</v>
      </c>
      <c r="F3950" s="211">
        <f>'IWP07'!I$636</f>
        <v>0</v>
      </c>
      <c r="G3950" s="191" t="str">
        <f>IF('IWP07'!J$636=0,"",'IWP07'!J$636)</f>
        <v/>
      </c>
      <c r="H3950" s="211">
        <f>'IWP07'!K$636</f>
        <v>0</v>
      </c>
      <c r="I3950" s="211">
        <f>'IWP07'!L$636</f>
        <v>0</v>
      </c>
      <c r="J3950" s="212">
        <f>'IWP07'!M$636</f>
        <v>0</v>
      </c>
      <c r="K3950" s="106"/>
      <c r="L3950" s="106"/>
      <c r="M3950" s="129"/>
    </row>
    <row r="3951" spans="1:13" s="146" customFormat="1">
      <c r="A3951" s="193" t="s">
        <v>506</v>
      </c>
      <c r="B3951" s="210">
        <v>1</v>
      </c>
      <c r="C3951" s="191" t="str">
        <f>IF('IWP08'!E$355=0,"",'IWP08'!E$355)</f>
        <v>Subtotal column D.</v>
      </c>
      <c r="D3951" s="211">
        <f>'IWP08'!G$355</f>
        <v>0</v>
      </c>
      <c r="E3951" s="211">
        <f>'IWP08'!H$355</f>
        <v>0</v>
      </c>
      <c r="F3951" s="211">
        <f>'IWP08'!I$355</f>
        <v>0</v>
      </c>
      <c r="G3951" s="191" t="str">
        <f>IF('IWP08'!J$355=0,"",'IWP08'!J$355)</f>
        <v/>
      </c>
      <c r="H3951" s="211">
        <f>'IWP08'!K$355</f>
        <v>0</v>
      </c>
      <c r="I3951" s="211">
        <f>'IWP08'!L$355</f>
        <v>0</v>
      </c>
      <c r="J3951" s="212">
        <f>'IWP08'!M$355</f>
        <v>0</v>
      </c>
      <c r="K3951" s="106"/>
      <c r="L3951" s="106"/>
      <c r="M3951" s="129"/>
    </row>
    <row r="3952" spans="1:13" s="146" customFormat="1">
      <c r="A3952" s="193" t="s">
        <v>506</v>
      </c>
      <c r="B3952" s="210">
        <v>1</v>
      </c>
      <c r="C3952" s="191" t="str">
        <f>IF('IWP08'!E$356=0,"",'IWP08'!E$356)</f>
        <v>Unverified/Undocumented (Subtotall D - C)</v>
      </c>
      <c r="D3952" s="211">
        <f>'IWP08'!G$356</f>
        <v>0</v>
      </c>
      <c r="E3952" s="211">
        <f>'IWP08'!H$356</f>
        <v>0</v>
      </c>
      <c r="F3952" s="211">
        <f>'IWP08'!I$356</f>
        <v>0</v>
      </c>
      <c r="G3952" s="191" t="str">
        <f>IF('IWP08'!J$356=0,"",'IWP08'!J$356)</f>
        <v/>
      </c>
      <c r="H3952" s="211">
        <f>'IWP08'!K$356</f>
        <v>0</v>
      </c>
      <c r="I3952" s="211">
        <f>'IWP08'!L$356</f>
        <v>0</v>
      </c>
      <c r="J3952" s="212">
        <f>'IWP08'!M$356</f>
        <v>0</v>
      </c>
      <c r="K3952" s="106"/>
      <c r="L3952" s="106"/>
      <c r="M3952" s="129"/>
    </row>
    <row r="3953" spans="1:13" s="146" customFormat="1">
      <c r="A3953" s="193" t="s">
        <v>506</v>
      </c>
      <c r="B3953" s="210">
        <v>1</v>
      </c>
      <c r="C3953" s="191" t="str">
        <f>IF('IWP08'!E$357=0,"",'IWP08'!E$357)</f>
        <v>J. Billing Period Total</v>
      </c>
      <c r="D3953" s="211">
        <f>'IWP08'!G$357</f>
        <v>0</v>
      </c>
      <c r="E3953" s="211">
        <f>'IWP08'!H$357</f>
        <v>0</v>
      </c>
      <c r="F3953" s="211">
        <f>'IWP08'!I$357</f>
        <v>0</v>
      </c>
      <c r="G3953" s="191" t="str">
        <f>IF('IWP08'!J$357=0,"",'IWP08'!J$357)</f>
        <v/>
      </c>
      <c r="H3953" s="211">
        <f>'IWP08'!K$357</f>
        <v>0</v>
      </c>
      <c r="I3953" s="211">
        <f>'IWP08'!L$357</f>
        <v>0</v>
      </c>
      <c r="J3953" s="212">
        <f>'IWP08'!M$357</f>
        <v>0</v>
      </c>
      <c r="K3953" s="106"/>
      <c r="L3953" s="106"/>
      <c r="M3953" s="129"/>
    </row>
    <row r="3954" spans="1:13" s="146" customFormat="1">
      <c r="A3954" s="193" t="s">
        <v>506</v>
      </c>
      <c r="B3954" s="210">
        <v>1</v>
      </c>
      <c r="C3954" s="191" t="str">
        <f>IF('IWP08'!E$358=0,"",'IWP08'!E$358)</f>
        <v>D.</v>
      </c>
      <c r="D3954" s="211">
        <f>'IWP08'!G$358</f>
        <v>0</v>
      </c>
      <c r="E3954" s="211" t="str">
        <f>'IWP08'!H$358</f>
        <v>E.</v>
      </c>
      <c r="F3954" s="211" t="str">
        <f>'IWP08'!I$358</f>
        <v>F.</v>
      </c>
      <c r="G3954" s="191" t="str">
        <f>IF('IWP08'!J$358=0,"",'IWP08'!J$358)</f>
        <v>G.</v>
      </c>
      <c r="H3954" s="211">
        <f>'IWP08'!K$358</f>
        <v>0</v>
      </c>
      <c r="I3954" s="211" t="str">
        <f>'IWP08'!L$358</f>
        <v>H.</v>
      </c>
      <c r="J3954" s="212" t="str">
        <f>'IWP08'!M$358</f>
        <v>I.</v>
      </c>
      <c r="K3954" s="106"/>
      <c r="L3954" s="106"/>
      <c r="M3954" s="129"/>
    </row>
    <row r="3955" spans="1:13" s="146" customFormat="1">
      <c r="A3955" s="193" t="s">
        <v>506</v>
      </c>
      <c r="B3955" s="210">
        <v>1</v>
      </c>
      <c r="C3955" s="191" t="str">
        <f>IF('IWP08'!E$359=0,"",'IWP08'!E$359)</f>
        <v xml:space="preserve">Items/Services Related to Billing Period </v>
      </c>
      <c r="D3955" s="211">
        <f>'IWP08'!G$359</f>
        <v>0</v>
      </c>
      <c r="E3955" s="211" t="str">
        <f>'IWP08'!H$359</f>
        <v xml:space="preserve">Item/
Service Verified Amounts
</v>
      </c>
      <c r="F3955" s="211" t="str">
        <f>'IWP08'!I$359</f>
        <v>Amount Due to DADS (E. - D.)</v>
      </c>
      <c r="G3955" s="191" t="str">
        <f>IF('IWP08'!J$359=0,"",'IWP08'!J$359)</f>
        <v>Amount Reimbursed to 
Employee(s)/Employer</v>
      </c>
      <c r="H3955" s="211">
        <f>'IWP08'!K$359</f>
        <v>0</v>
      </c>
      <c r="I3955" s="211" t="str">
        <f>'IWP08'!L$359</f>
        <v>Amount Due to Employee(s) (G. - E.)</v>
      </c>
      <c r="J3955" s="212" t="str">
        <f>'IWP08'!M$359</f>
        <v>Amount Due to Employer (G. - E.)</v>
      </c>
      <c r="K3955" s="106"/>
      <c r="L3955" s="106"/>
      <c r="M3955" s="129"/>
    </row>
    <row r="3956" spans="1:13" s="146" customFormat="1">
      <c r="A3956" s="193" t="s">
        <v>506</v>
      </c>
      <c r="B3956" s="210">
        <v>1</v>
      </c>
      <c r="C3956" s="191" t="str">
        <f>IF('IWP08'!E$360=0,"",'IWP08'!E$360)</f>
        <v>Item/Service</v>
      </c>
      <c r="D3956" s="211" t="str">
        <f>'IWP08'!G$360</f>
        <v>Itemized Amount Paid by DADS</v>
      </c>
      <c r="E3956" s="211">
        <f>'IWP08'!H$360</f>
        <v>0</v>
      </c>
      <c r="F3956" s="211">
        <f>'IWP08'!I$360</f>
        <v>0</v>
      </c>
      <c r="G3956" s="191" t="str">
        <f>IF('IWP08'!J$360=0,"",'IWP08'!J$360)</f>
        <v/>
      </c>
      <c r="H3956" s="211">
        <f>'IWP08'!K$360</f>
        <v>0</v>
      </c>
      <c r="I3956" s="211">
        <f>'IWP08'!L$360</f>
        <v>0</v>
      </c>
      <c r="J3956" s="212">
        <f>'IWP08'!M$360</f>
        <v>0</v>
      </c>
      <c r="K3956" s="106"/>
      <c r="L3956" s="106"/>
      <c r="M3956" s="129"/>
    </row>
    <row r="3957" spans="1:13" s="146" customFormat="1">
      <c r="A3957" s="193" t="s">
        <v>506</v>
      </c>
      <c r="B3957" s="210">
        <v>1</v>
      </c>
      <c r="C3957" s="191" t="str">
        <f>IF('IWP08'!E$361=0,"",'IWP08'!E$361)</f>
        <v/>
      </c>
      <c r="D3957" s="211">
        <f>'IWP08'!G$361</f>
        <v>0</v>
      </c>
      <c r="E3957" s="211">
        <f>'IWP08'!H$361</f>
        <v>0</v>
      </c>
      <c r="F3957" s="211">
        <f>'IWP08'!I$361</f>
        <v>0</v>
      </c>
      <c r="G3957" s="191" t="str">
        <f>IF('IWP08'!J$361=0,"",'IWP08'!J$361)</f>
        <v/>
      </c>
      <c r="H3957" s="211">
        <f>'IWP08'!K$361</f>
        <v>0</v>
      </c>
      <c r="I3957" s="211">
        <f>'IWP08'!L$361</f>
        <v>0</v>
      </c>
      <c r="J3957" s="212">
        <f>'IWP08'!M$361</f>
        <v>0</v>
      </c>
      <c r="K3957" s="106"/>
      <c r="L3957" s="106"/>
      <c r="M3957" s="129"/>
    </row>
    <row r="3958" spans="1:13" s="146" customFormat="1">
      <c r="A3958" s="193" t="s">
        <v>506</v>
      </c>
      <c r="B3958" s="210">
        <v>1</v>
      </c>
      <c r="C3958" s="191" t="str">
        <f>IF('IWP08'!E$362=0,"",'IWP08'!E$362)</f>
        <v/>
      </c>
      <c r="D3958" s="211">
        <f>'IWP08'!G$362</f>
        <v>0</v>
      </c>
      <c r="E3958" s="211">
        <f>'IWP08'!H$362</f>
        <v>0</v>
      </c>
      <c r="F3958" s="211">
        <f>'IWP08'!I$362</f>
        <v>0</v>
      </c>
      <c r="G3958" s="191" t="str">
        <f>IF('IWP08'!J$362=0,"",'IWP08'!J$362)</f>
        <v/>
      </c>
      <c r="H3958" s="211">
        <f>'IWP08'!K$362</f>
        <v>0</v>
      </c>
      <c r="I3958" s="211">
        <f>'IWP08'!L$362</f>
        <v>0</v>
      </c>
      <c r="J3958" s="212">
        <f>'IWP08'!M$362</f>
        <v>0</v>
      </c>
      <c r="K3958" s="106"/>
      <c r="L3958" s="106"/>
      <c r="M3958" s="129"/>
    </row>
    <row r="3959" spans="1:13" s="146" customFormat="1">
      <c r="A3959" s="193" t="s">
        <v>506</v>
      </c>
      <c r="B3959" s="210">
        <v>1</v>
      </c>
      <c r="C3959" s="191" t="str">
        <f>IF('IWP08'!E$363=0,"",'IWP08'!E$363)</f>
        <v/>
      </c>
      <c r="D3959" s="211">
        <f>'IWP08'!G$363</f>
        <v>0</v>
      </c>
      <c r="E3959" s="211">
        <f>'IWP08'!H$363</f>
        <v>0</v>
      </c>
      <c r="F3959" s="211">
        <f>'IWP08'!I$363</f>
        <v>0</v>
      </c>
      <c r="G3959" s="191" t="str">
        <f>IF('IWP08'!J$363=0,"",'IWP08'!J$363)</f>
        <v/>
      </c>
      <c r="H3959" s="211">
        <f>'IWP08'!K$363</f>
        <v>0</v>
      </c>
      <c r="I3959" s="211">
        <f>'IWP08'!L$363</f>
        <v>0</v>
      </c>
      <c r="J3959" s="212">
        <f>'IWP08'!M$363</f>
        <v>0</v>
      </c>
      <c r="K3959" s="106"/>
      <c r="L3959" s="106"/>
      <c r="M3959" s="129"/>
    </row>
    <row r="3960" spans="1:13" s="146" customFormat="1">
      <c r="A3960" s="193" t="s">
        <v>506</v>
      </c>
      <c r="B3960" s="210">
        <v>1</v>
      </c>
      <c r="C3960" s="191" t="str">
        <f>IF('IWP08'!E$364=0,"",'IWP08'!E$364)</f>
        <v/>
      </c>
      <c r="D3960" s="211">
        <f>'IWP08'!G$364</f>
        <v>0</v>
      </c>
      <c r="E3960" s="211">
        <f>'IWP08'!H$364</f>
        <v>0</v>
      </c>
      <c r="F3960" s="211">
        <f>'IWP08'!I$364</f>
        <v>0</v>
      </c>
      <c r="G3960" s="191" t="str">
        <f>IF('IWP08'!J$364=0,"",'IWP08'!J$364)</f>
        <v/>
      </c>
      <c r="H3960" s="211">
        <f>'IWP08'!K$364</f>
        <v>0</v>
      </c>
      <c r="I3960" s="211">
        <f>'IWP08'!L$364</f>
        <v>0</v>
      </c>
      <c r="J3960" s="212">
        <f>'IWP08'!M$364</f>
        <v>0</v>
      </c>
      <c r="K3960" s="106"/>
      <c r="L3960" s="106"/>
      <c r="M3960" s="129"/>
    </row>
    <row r="3961" spans="1:13" s="146" customFormat="1">
      <c r="A3961" s="193" t="s">
        <v>506</v>
      </c>
      <c r="B3961" s="210">
        <v>2</v>
      </c>
      <c r="C3961" s="191" t="str">
        <f>IF('IWP08'!E$371=0,"",'IWP08'!E$371)</f>
        <v>Subtotal column D.</v>
      </c>
      <c r="D3961" s="211">
        <f>'IWP08'!G$371</f>
        <v>0</v>
      </c>
      <c r="E3961" s="211">
        <f>'IWP08'!H$371</f>
        <v>0</v>
      </c>
      <c r="F3961" s="211">
        <f>'IWP08'!I$371</f>
        <v>0</v>
      </c>
      <c r="G3961" s="191" t="str">
        <f>IF('IWP08'!J$371=0,"",'IWP08'!J$371)</f>
        <v/>
      </c>
      <c r="H3961" s="211">
        <f>'IWP08'!K$371</f>
        <v>0</v>
      </c>
      <c r="I3961" s="211">
        <f>'IWP08'!L$371</f>
        <v>0</v>
      </c>
      <c r="J3961" s="212">
        <f>'IWP08'!M$371</f>
        <v>0</v>
      </c>
      <c r="K3961" s="106"/>
      <c r="L3961" s="106"/>
      <c r="M3961" s="129"/>
    </row>
    <row r="3962" spans="1:13" s="146" customFormat="1">
      <c r="A3962" s="193" t="s">
        <v>506</v>
      </c>
      <c r="B3962" s="210">
        <v>2</v>
      </c>
      <c r="C3962" s="191" t="str">
        <f>IF('IWP08'!E$372=0,"",'IWP08'!E$372)</f>
        <v>Unverified/Undocumented (Subtotal D - C)</v>
      </c>
      <c r="D3962" s="211">
        <f>'IWP08'!G$372</f>
        <v>0</v>
      </c>
      <c r="E3962" s="211">
        <f>'IWP08'!H$372</f>
        <v>0</v>
      </c>
      <c r="F3962" s="211">
        <f>'IWP08'!I$372</f>
        <v>0</v>
      </c>
      <c r="G3962" s="191" t="str">
        <f>IF('IWP08'!J$372=0,"",'IWP08'!J$372)</f>
        <v/>
      </c>
      <c r="H3962" s="211">
        <f>'IWP08'!K$372</f>
        <v>0</v>
      </c>
      <c r="I3962" s="211">
        <f>'IWP08'!L$372</f>
        <v>0</v>
      </c>
      <c r="J3962" s="212">
        <f>'IWP08'!M$372</f>
        <v>0</v>
      </c>
      <c r="K3962" s="106"/>
      <c r="L3962" s="106"/>
      <c r="M3962" s="129"/>
    </row>
    <row r="3963" spans="1:13" s="146" customFormat="1">
      <c r="A3963" s="193" t="s">
        <v>506</v>
      </c>
      <c r="B3963" s="210">
        <v>2</v>
      </c>
      <c r="C3963" s="191" t="str">
        <f>IF('IWP08'!E$373=0,"",'IWP08'!E$373)</f>
        <v>J. Billing Period Total</v>
      </c>
      <c r="D3963" s="211">
        <f>'IWP08'!G$373</f>
        <v>0</v>
      </c>
      <c r="E3963" s="211">
        <f>'IWP08'!H$373</f>
        <v>0</v>
      </c>
      <c r="F3963" s="211">
        <f>'IWP08'!I$373</f>
        <v>0</v>
      </c>
      <c r="G3963" s="191" t="str">
        <f>IF('IWP08'!J$373=0,"",'IWP08'!J$373)</f>
        <v/>
      </c>
      <c r="H3963" s="211">
        <f>'IWP08'!K$373</f>
        <v>0</v>
      </c>
      <c r="I3963" s="211">
        <f>'IWP08'!L$373</f>
        <v>0</v>
      </c>
      <c r="J3963" s="212">
        <f>'IWP08'!M$373</f>
        <v>0</v>
      </c>
      <c r="K3963" s="106"/>
      <c r="L3963" s="106"/>
      <c r="M3963" s="129"/>
    </row>
    <row r="3964" spans="1:13" s="146" customFormat="1">
      <c r="A3964" s="193" t="s">
        <v>506</v>
      </c>
      <c r="B3964" s="210">
        <v>2</v>
      </c>
      <c r="C3964" s="191" t="str">
        <f>IF('IWP08'!E$374=0,"",'IWP08'!E$374)</f>
        <v>D.</v>
      </c>
      <c r="D3964" s="211">
        <f>'IWP08'!G$374</f>
        <v>0</v>
      </c>
      <c r="E3964" s="211" t="str">
        <f>'IWP08'!H$374</f>
        <v>E.</v>
      </c>
      <c r="F3964" s="211" t="str">
        <f>'IWP08'!I$374</f>
        <v>F.</v>
      </c>
      <c r="G3964" s="191" t="str">
        <f>IF('IWP08'!J$374=0,"",'IWP08'!J$374)</f>
        <v>G.</v>
      </c>
      <c r="H3964" s="211">
        <f>'IWP08'!K$374</f>
        <v>0</v>
      </c>
      <c r="I3964" s="211" t="str">
        <f>'IWP08'!L$374</f>
        <v>H.</v>
      </c>
      <c r="J3964" s="212" t="str">
        <f>'IWP08'!M$374</f>
        <v>I.</v>
      </c>
      <c r="K3964" s="106"/>
      <c r="L3964" s="106"/>
      <c r="M3964" s="129"/>
    </row>
    <row r="3965" spans="1:13" s="146" customFormat="1">
      <c r="A3965" s="193" t="s">
        <v>506</v>
      </c>
      <c r="B3965" s="210">
        <v>2</v>
      </c>
      <c r="C3965" s="191" t="str">
        <f>IF('IWP08'!E$375=0,"",'IWP08'!E$375)</f>
        <v xml:space="preserve">Items/Services Related to Billing Period </v>
      </c>
      <c r="D3965" s="211">
        <f>'IWP08'!G$375</f>
        <v>0</v>
      </c>
      <c r="E3965" s="211" t="str">
        <f>'IWP08'!H$375</f>
        <v xml:space="preserve">Item/
Service Verified Amounts
</v>
      </c>
      <c r="F3965" s="211" t="str">
        <f>'IWP08'!I$375</f>
        <v>Amount Due to DADS (E. - D.)</v>
      </c>
      <c r="G3965" s="191" t="str">
        <f>IF('IWP08'!J$375=0,"",'IWP08'!J$375)</f>
        <v>Amount Reimbursed to 
Employee(s)/Employer</v>
      </c>
      <c r="H3965" s="211">
        <f>'IWP08'!K$375</f>
        <v>0</v>
      </c>
      <c r="I3965" s="211" t="str">
        <f>'IWP08'!L$375</f>
        <v>Amount Due to Employee(s) (G. - E.)</v>
      </c>
      <c r="J3965" s="212" t="str">
        <f>'IWP08'!M$375</f>
        <v>Amount Due to Employer (G. - E.)</v>
      </c>
      <c r="K3965" s="106"/>
      <c r="L3965" s="106"/>
      <c r="M3965" s="129"/>
    </row>
    <row r="3966" spans="1:13" s="146" customFormat="1">
      <c r="A3966" s="193" t="s">
        <v>506</v>
      </c>
      <c r="B3966" s="210">
        <v>2</v>
      </c>
      <c r="C3966" s="191" t="str">
        <f>IF('IWP08'!E$376=0,"",'IWP08'!E$376)</f>
        <v>Item/Service</v>
      </c>
      <c r="D3966" s="211" t="str">
        <f>'IWP08'!G$376</f>
        <v>Itemized Amount Paid by DADS</v>
      </c>
      <c r="E3966" s="211">
        <f>'IWP08'!H$376</f>
        <v>0</v>
      </c>
      <c r="F3966" s="211">
        <f>'IWP08'!I$376</f>
        <v>0</v>
      </c>
      <c r="G3966" s="191" t="str">
        <f>IF('IWP08'!J$376=0,"",'IWP08'!J$376)</f>
        <v/>
      </c>
      <c r="H3966" s="211">
        <f>'IWP08'!K$376</f>
        <v>0</v>
      </c>
      <c r="I3966" s="211">
        <f>'IWP08'!L$376</f>
        <v>0</v>
      </c>
      <c r="J3966" s="212">
        <f>'IWP08'!M$376</f>
        <v>0</v>
      </c>
      <c r="K3966" s="106"/>
      <c r="L3966" s="106"/>
      <c r="M3966" s="129"/>
    </row>
    <row r="3967" spans="1:13" s="146" customFormat="1">
      <c r="A3967" s="193" t="s">
        <v>506</v>
      </c>
      <c r="B3967" s="210">
        <v>2</v>
      </c>
      <c r="C3967" s="191" t="str">
        <f>IF('IWP08'!E$377=0,"",'IWP08'!E$377)</f>
        <v/>
      </c>
      <c r="D3967" s="211">
        <f>'IWP08'!G$377</f>
        <v>0</v>
      </c>
      <c r="E3967" s="211">
        <f>'IWP08'!H$377</f>
        <v>0</v>
      </c>
      <c r="F3967" s="211">
        <f>'IWP08'!I$377</f>
        <v>0</v>
      </c>
      <c r="G3967" s="191" t="str">
        <f>IF('IWP08'!J$377=0,"",'IWP08'!J$377)</f>
        <v/>
      </c>
      <c r="H3967" s="211">
        <f>'IWP08'!K$377</f>
        <v>0</v>
      </c>
      <c r="I3967" s="211">
        <f>'IWP08'!L$377</f>
        <v>0</v>
      </c>
      <c r="J3967" s="212">
        <f>'IWP08'!M$377</f>
        <v>0</v>
      </c>
      <c r="K3967" s="106"/>
      <c r="L3967" s="106"/>
      <c r="M3967" s="129"/>
    </row>
    <row r="3968" spans="1:13" s="146" customFormat="1">
      <c r="A3968" s="193" t="s">
        <v>506</v>
      </c>
      <c r="B3968" s="210">
        <v>2</v>
      </c>
      <c r="C3968" s="191" t="str">
        <f>IF('IWP08'!E$378=0,"",'IWP08'!E$378)</f>
        <v/>
      </c>
      <c r="D3968" s="211">
        <f>'IWP08'!G$378</f>
        <v>0</v>
      </c>
      <c r="E3968" s="211">
        <f>'IWP08'!H$378</f>
        <v>0</v>
      </c>
      <c r="F3968" s="211">
        <f>'IWP08'!I$378</f>
        <v>0</v>
      </c>
      <c r="G3968" s="191" t="str">
        <f>IF('IWP08'!J$378=0,"",'IWP08'!J$378)</f>
        <v/>
      </c>
      <c r="H3968" s="211">
        <f>'IWP08'!K$378</f>
        <v>0</v>
      </c>
      <c r="I3968" s="211">
        <f>'IWP08'!L$378</f>
        <v>0</v>
      </c>
      <c r="J3968" s="212">
        <f>'IWP08'!M$378</f>
        <v>0</v>
      </c>
      <c r="K3968" s="106"/>
      <c r="L3968" s="106"/>
      <c r="M3968" s="129"/>
    </row>
    <row r="3969" spans="1:13" s="146" customFormat="1">
      <c r="A3969" s="193" t="s">
        <v>506</v>
      </c>
      <c r="B3969" s="210">
        <v>2</v>
      </c>
      <c r="C3969" s="191" t="str">
        <f>IF('IWP08'!E$379=0,"",'IWP08'!E$379)</f>
        <v/>
      </c>
      <c r="D3969" s="211">
        <f>'IWP08'!G$379</f>
        <v>0</v>
      </c>
      <c r="E3969" s="211">
        <f>'IWP08'!H$379</f>
        <v>0</v>
      </c>
      <c r="F3969" s="211">
        <f>'IWP08'!I$379</f>
        <v>0</v>
      </c>
      <c r="G3969" s="191" t="str">
        <f>IF('IWP08'!J$379=0,"",'IWP08'!J$379)</f>
        <v/>
      </c>
      <c r="H3969" s="211">
        <f>'IWP08'!K$379</f>
        <v>0</v>
      </c>
      <c r="I3969" s="211">
        <f>'IWP08'!L$379</f>
        <v>0</v>
      </c>
      <c r="J3969" s="212">
        <f>'IWP08'!M$379</f>
        <v>0</v>
      </c>
      <c r="K3969" s="106"/>
      <c r="L3969" s="106"/>
      <c r="M3969" s="129"/>
    </row>
    <row r="3970" spans="1:13" s="146" customFormat="1">
      <c r="A3970" s="193" t="s">
        <v>506</v>
      </c>
      <c r="B3970" s="210">
        <v>2</v>
      </c>
      <c r="C3970" s="191" t="str">
        <f>IF('IWP08'!E$380=0,"",'IWP08'!E$380)</f>
        <v/>
      </c>
      <c r="D3970" s="211">
        <f>'IWP08'!G$380</f>
        <v>0</v>
      </c>
      <c r="E3970" s="211">
        <f>'IWP08'!H$380</f>
        <v>0</v>
      </c>
      <c r="F3970" s="211">
        <f>'IWP08'!I$380</f>
        <v>0</v>
      </c>
      <c r="G3970" s="191" t="str">
        <f>IF('IWP08'!J$380=0,"",'IWP08'!J$380)</f>
        <v/>
      </c>
      <c r="H3970" s="211">
        <f>'IWP08'!K$380</f>
        <v>0</v>
      </c>
      <c r="I3970" s="211">
        <f>'IWP08'!L$380</f>
        <v>0</v>
      </c>
      <c r="J3970" s="212">
        <f>'IWP08'!M$380</f>
        <v>0</v>
      </c>
      <c r="K3970" s="106"/>
      <c r="L3970" s="106"/>
      <c r="M3970" s="129"/>
    </row>
    <row r="3971" spans="1:13" s="146" customFormat="1">
      <c r="A3971" s="193" t="s">
        <v>506</v>
      </c>
      <c r="B3971" s="210">
        <v>3</v>
      </c>
      <c r="C3971" s="191" t="str">
        <f>IF('IWP08'!E$387=0,"",'IWP08'!E$387)</f>
        <v>Subtotal column D.</v>
      </c>
      <c r="D3971" s="211">
        <f>'IWP08'!G$387</f>
        <v>0</v>
      </c>
      <c r="E3971" s="211">
        <f>'IWP08'!H$387</f>
        <v>0</v>
      </c>
      <c r="F3971" s="211">
        <f>'IWP08'!I$387</f>
        <v>0</v>
      </c>
      <c r="G3971" s="191" t="str">
        <f>IF('IWP08'!J$387=0,"",'IWP08'!J$387)</f>
        <v/>
      </c>
      <c r="H3971" s="211">
        <f>'IWP08'!K$387</f>
        <v>0</v>
      </c>
      <c r="I3971" s="211">
        <f>'IWP08'!L$387</f>
        <v>0</v>
      </c>
      <c r="J3971" s="212">
        <f>'IWP08'!M$387</f>
        <v>0</v>
      </c>
      <c r="K3971" s="106"/>
      <c r="L3971" s="106"/>
      <c r="M3971" s="129"/>
    </row>
    <row r="3972" spans="1:13" s="146" customFormat="1">
      <c r="A3972" s="193" t="s">
        <v>506</v>
      </c>
      <c r="B3972" s="210">
        <v>3</v>
      </c>
      <c r="C3972" s="191" t="str">
        <f>IF('IWP08'!E$388=0,"",'IWP08'!E$388)</f>
        <v>Unverified/Undocumented (Subtotal D - C)</v>
      </c>
      <c r="D3972" s="211">
        <f>'IWP08'!G$388</f>
        <v>0</v>
      </c>
      <c r="E3972" s="211">
        <f>'IWP08'!H$388</f>
        <v>0</v>
      </c>
      <c r="F3972" s="211">
        <f>'IWP08'!I$388</f>
        <v>0</v>
      </c>
      <c r="G3972" s="191" t="str">
        <f>IF('IWP08'!J$388=0,"",'IWP08'!J$388)</f>
        <v/>
      </c>
      <c r="H3972" s="211">
        <f>'IWP08'!K$388</f>
        <v>0</v>
      </c>
      <c r="I3972" s="211">
        <f>'IWP08'!L$388</f>
        <v>0</v>
      </c>
      <c r="J3972" s="212">
        <f>'IWP08'!M$388</f>
        <v>0</v>
      </c>
      <c r="K3972" s="106"/>
      <c r="L3972" s="106"/>
      <c r="M3972" s="129"/>
    </row>
    <row r="3973" spans="1:13" s="146" customFormat="1">
      <c r="A3973" s="193" t="s">
        <v>506</v>
      </c>
      <c r="B3973" s="210">
        <v>3</v>
      </c>
      <c r="C3973" s="191" t="str">
        <f>IF('IWP08'!E$389=0,"",'IWP08'!E$389)</f>
        <v>J. Billing Period Total</v>
      </c>
      <c r="D3973" s="211">
        <f>'IWP08'!G$389</f>
        <v>0</v>
      </c>
      <c r="E3973" s="211">
        <f>'IWP08'!H$389</f>
        <v>0</v>
      </c>
      <c r="F3973" s="211">
        <f>'IWP08'!I$389</f>
        <v>0</v>
      </c>
      <c r="G3973" s="191" t="str">
        <f>IF('IWP08'!J$389=0,"",'IWP08'!J$389)</f>
        <v/>
      </c>
      <c r="H3973" s="211">
        <f>'IWP08'!K$389</f>
        <v>0</v>
      </c>
      <c r="I3973" s="211">
        <f>'IWP08'!L$389</f>
        <v>0</v>
      </c>
      <c r="J3973" s="212">
        <f>'IWP08'!M$389</f>
        <v>0</v>
      </c>
      <c r="K3973" s="106"/>
      <c r="L3973" s="106"/>
      <c r="M3973" s="129"/>
    </row>
    <row r="3974" spans="1:13" s="146" customFormat="1">
      <c r="A3974" s="193" t="s">
        <v>506</v>
      </c>
      <c r="B3974" s="210">
        <v>3</v>
      </c>
      <c r="C3974" s="191" t="str">
        <f>IF('IWP08'!E$390=0,"",'IWP08'!E$390)</f>
        <v>D.</v>
      </c>
      <c r="D3974" s="211">
        <f>'IWP08'!G$390</f>
        <v>0</v>
      </c>
      <c r="E3974" s="211" t="str">
        <f>'IWP08'!H$390</f>
        <v>E.</v>
      </c>
      <c r="F3974" s="211" t="str">
        <f>'IWP08'!I$390</f>
        <v>F.</v>
      </c>
      <c r="G3974" s="191" t="str">
        <f>IF('IWP08'!J$390=0,"",'IWP08'!J$390)</f>
        <v>G.</v>
      </c>
      <c r="H3974" s="211">
        <f>'IWP08'!K$390</f>
        <v>0</v>
      </c>
      <c r="I3974" s="211" t="str">
        <f>'IWP08'!L$390</f>
        <v>H.</v>
      </c>
      <c r="J3974" s="212" t="str">
        <f>'IWP08'!M$390</f>
        <v>I.</v>
      </c>
      <c r="K3974" s="106"/>
      <c r="L3974" s="106"/>
      <c r="M3974" s="129"/>
    </row>
    <row r="3975" spans="1:13" s="146" customFormat="1">
      <c r="A3975" s="193" t="s">
        <v>506</v>
      </c>
      <c r="B3975" s="210">
        <v>3</v>
      </c>
      <c r="C3975" s="191" t="str">
        <f>IF('IWP08'!E$391=0,"",'IWP08'!E$391)</f>
        <v xml:space="preserve">Items/Services Related to Billing Period </v>
      </c>
      <c r="D3975" s="211">
        <f>'IWP08'!G$391</f>
        <v>0</v>
      </c>
      <c r="E3975" s="211" t="str">
        <f>'IWP08'!H$391</f>
        <v xml:space="preserve">Item/
Service Verified Amounts
</v>
      </c>
      <c r="F3975" s="211" t="str">
        <f>'IWP08'!I$391</f>
        <v>Amount Due to DADS (E. - D.)</v>
      </c>
      <c r="G3975" s="191" t="str">
        <f>IF('IWP08'!J$391=0,"",'IWP08'!J$391)</f>
        <v>Amount Reimbursed to 
Employee(s)/Employer</v>
      </c>
      <c r="H3975" s="211">
        <f>'IWP08'!K$391</f>
        <v>0</v>
      </c>
      <c r="I3975" s="211" t="str">
        <f>'IWP08'!L$391</f>
        <v>Amount Due to Employee(s) (G. - E.)</v>
      </c>
      <c r="J3975" s="212" t="str">
        <f>'IWP08'!M$391</f>
        <v>Amount Due to Employer (G. - E.)</v>
      </c>
      <c r="K3975" s="106"/>
      <c r="L3975" s="106"/>
      <c r="M3975" s="129"/>
    </row>
    <row r="3976" spans="1:13" s="146" customFormat="1">
      <c r="A3976" s="193" t="s">
        <v>506</v>
      </c>
      <c r="B3976" s="210">
        <v>3</v>
      </c>
      <c r="C3976" s="191" t="str">
        <f>IF('IWP08'!E$392=0,"",'IWP08'!E$392)</f>
        <v>Item/Service</v>
      </c>
      <c r="D3976" s="211" t="str">
        <f>'IWP08'!G$392</f>
        <v>Itemized Amount Paid by DADS</v>
      </c>
      <c r="E3976" s="211">
        <f>'IWP08'!H$392</f>
        <v>0</v>
      </c>
      <c r="F3976" s="211">
        <f>'IWP08'!I$392</f>
        <v>0</v>
      </c>
      <c r="G3976" s="191" t="str">
        <f>IF('IWP08'!J$392=0,"",'IWP08'!J$392)</f>
        <v/>
      </c>
      <c r="H3976" s="211">
        <f>'IWP08'!K$392</f>
        <v>0</v>
      </c>
      <c r="I3976" s="211">
        <f>'IWP08'!L$392</f>
        <v>0</v>
      </c>
      <c r="J3976" s="212">
        <f>'IWP08'!M$392</f>
        <v>0</v>
      </c>
      <c r="K3976" s="106"/>
      <c r="L3976" s="106"/>
      <c r="M3976" s="129"/>
    </row>
    <row r="3977" spans="1:13" s="146" customFormat="1">
      <c r="A3977" s="193" t="s">
        <v>506</v>
      </c>
      <c r="B3977" s="210">
        <v>3</v>
      </c>
      <c r="C3977" s="191" t="str">
        <f>IF('IWP08'!E$393=0,"",'IWP08'!E$393)</f>
        <v/>
      </c>
      <c r="D3977" s="211">
        <f>'IWP08'!G$393</f>
        <v>0</v>
      </c>
      <c r="E3977" s="211">
        <f>'IWP08'!H$393</f>
        <v>0</v>
      </c>
      <c r="F3977" s="211">
        <f>'IWP08'!I$393</f>
        <v>0</v>
      </c>
      <c r="G3977" s="191" t="str">
        <f>IF('IWP08'!J$393=0,"",'IWP08'!J$393)</f>
        <v/>
      </c>
      <c r="H3977" s="211">
        <f>'IWP08'!K$393</f>
        <v>0</v>
      </c>
      <c r="I3977" s="211">
        <f>'IWP08'!L$393</f>
        <v>0</v>
      </c>
      <c r="J3977" s="212">
        <f>'IWP08'!M$393</f>
        <v>0</v>
      </c>
      <c r="K3977" s="106"/>
      <c r="L3977" s="106"/>
      <c r="M3977" s="129"/>
    </row>
    <row r="3978" spans="1:13" s="146" customFormat="1">
      <c r="A3978" s="193" t="s">
        <v>506</v>
      </c>
      <c r="B3978" s="210">
        <v>3</v>
      </c>
      <c r="C3978" s="191" t="str">
        <f>IF('IWP08'!E$394=0,"",'IWP08'!E$394)</f>
        <v/>
      </c>
      <c r="D3978" s="211">
        <f>'IWP08'!G$394</f>
        <v>0</v>
      </c>
      <c r="E3978" s="211">
        <f>'IWP08'!H$394</f>
        <v>0</v>
      </c>
      <c r="F3978" s="211">
        <f>'IWP08'!I$394</f>
        <v>0</v>
      </c>
      <c r="G3978" s="191" t="str">
        <f>IF('IWP08'!J$394=0,"",'IWP08'!J$394)</f>
        <v/>
      </c>
      <c r="H3978" s="211">
        <f>'IWP08'!K$394</f>
        <v>0</v>
      </c>
      <c r="I3978" s="211">
        <f>'IWP08'!L$394</f>
        <v>0</v>
      </c>
      <c r="J3978" s="212">
        <f>'IWP08'!M$394</f>
        <v>0</v>
      </c>
      <c r="K3978" s="106"/>
      <c r="L3978" s="106"/>
      <c r="M3978" s="129"/>
    </row>
    <row r="3979" spans="1:13" s="146" customFormat="1">
      <c r="A3979" s="193" t="s">
        <v>506</v>
      </c>
      <c r="B3979" s="210">
        <v>3</v>
      </c>
      <c r="C3979" s="191" t="str">
        <f>IF('IWP08'!E$395=0,"",'IWP08'!E$395)</f>
        <v/>
      </c>
      <c r="D3979" s="211">
        <f>'IWP08'!G$395</f>
        <v>0</v>
      </c>
      <c r="E3979" s="211">
        <f>'IWP08'!H$395</f>
        <v>0</v>
      </c>
      <c r="F3979" s="211">
        <f>'IWP08'!I$395</f>
        <v>0</v>
      </c>
      <c r="G3979" s="191" t="str">
        <f>IF('IWP08'!J$395=0,"",'IWP08'!J$395)</f>
        <v/>
      </c>
      <c r="H3979" s="211">
        <f>'IWP08'!K$395</f>
        <v>0</v>
      </c>
      <c r="I3979" s="211">
        <f>'IWP08'!L$395</f>
        <v>0</v>
      </c>
      <c r="J3979" s="212">
        <f>'IWP08'!M$395</f>
        <v>0</v>
      </c>
      <c r="K3979" s="106"/>
      <c r="L3979" s="106"/>
      <c r="M3979" s="129"/>
    </row>
    <row r="3980" spans="1:13" s="146" customFormat="1">
      <c r="A3980" s="193" t="s">
        <v>506</v>
      </c>
      <c r="B3980" s="210">
        <v>3</v>
      </c>
      <c r="C3980" s="191" t="str">
        <f>IF('IWP08'!E$396=0,"",'IWP08'!E$396)</f>
        <v/>
      </c>
      <c r="D3980" s="211">
        <f>'IWP08'!G$396</f>
        <v>0</v>
      </c>
      <c r="E3980" s="211">
        <f>'IWP08'!H$396</f>
        <v>0</v>
      </c>
      <c r="F3980" s="211">
        <f>'IWP08'!I$396</f>
        <v>0</v>
      </c>
      <c r="G3980" s="191" t="str">
        <f>IF('IWP08'!J$396=0,"",'IWP08'!J$396)</f>
        <v/>
      </c>
      <c r="H3980" s="211">
        <f>'IWP08'!K$396</f>
        <v>0</v>
      </c>
      <c r="I3980" s="211">
        <f>'IWP08'!L$396</f>
        <v>0</v>
      </c>
      <c r="J3980" s="212">
        <f>'IWP08'!M$396</f>
        <v>0</v>
      </c>
      <c r="K3980" s="106"/>
      <c r="L3980" s="106"/>
      <c r="M3980" s="129"/>
    </row>
    <row r="3981" spans="1:13" s="146" customFormat="1">
      <c r="A3981" s="193" t="s">
        <v>506</v>
      </c>
      <c r="B3981" s="210">
        <v>4</v>
      </c>
      <c r="C3981" s="191" t="str">
        <f>IF('IWP08'!E$403=0,"",'IWP08'!E$403)</f>
        <v>Subtotal column D.</v>
      </c>
      <c r="D3981" s="211">
        <f>'IWP08'!G$403</f>
        <v>0</v>
      </c>
      <c r="E3981" s="211">
        <f>'IWP08'!H$403</f>
        <v>0</v>
      </c>
      <c r="F3981" s="211">
        <f>'IWP08'!I$403</f>
        <v>0</v>
      </c>
      <c r="G3981" s="191" t="str">
        <f>IF('IWP08'!J$403=0,"",'IWP08'!J$403)</f>
        <v/>
      </c>
      <c r="H3981" s="211">
        <f>'IWP08'!K$403</f>
        <v>0</v>
      </c>
      <c r="I3981" s="211">
        <f>'IWP08'!L$403</f>
        <v>0</v>
      </c>
      <c r="J3981" s="212">
        <f>'IWP08'!M$403</f>
        <v>0</v>
      </c>
      <c r="K3981" s="106"/>
      <c r="L3981" s="106"/>
      <c r="M3981" s="129"/>
    </row>
    <row r="3982" spans="1:13" s="146" customFormat="1">
      <c r="A3982" s="193" t="s">
        <v>506</v>
      </c>
      <c r="B3982" s="210">
        <v>4</v>
      </c>
      <c r="C3982" s="191" t="str">
        <f>IF('IWP08'!E$404=0,"",'IWP08'!E$404)</f>
        <v>Unverified/Undocumented (Subtotal D - C)</v>
      </c>
      <c r="D3982" s="211">
        <f>'IWP08'!G$404</f>
        <v>0</v>
      </c>
      <c r="E3982" s="211">
        <f>'IWP08'!H$404</f>
        <v>0</v>
      </c>
      <c r="F3982" s="211">
        <f>'IWP08'!I$404</f>
        <v>0</v>
      </c>
      <c r="G3982" s="191" t="str">
        <f>IF('IWP08'!J$404=0,"",'IWP08'!J$404)</f>
        <v/>
      </c>
      <c r="H3982" s="211">
        <f>'IWP08'!K$404</f>
        <v>0</v>
      </c>
      <c r="I3982" s="211">
        <f>'IWP08'!L$404</f>
        <v>0</v>
      </c>
      <c r="J3982" s="212">
        <f>'IWP08'!M$404</f>
        <v>0</v>
      </c>
      <c r="K3982" s="106"/>
      <c r="L3982" s="106"/>
      <c r="M3982" s="129"/>
    </row>
    <row r="3983" spans="1:13" s="146" customFormat="1">
      <c r="A3983" s="193" t="s">
        <v>506</v>
      </c>
      <c r="B3983" s="210">
        <v>4</v>
      </c>
      <c r="C3983" s="191" t="str">
        <f>IF('IWP08'!E$405=0,"",'IWP08'!E$405)</f>
        <v>J. Billing Period Total</v>
      </c>
      <c r="D3983" s="211">
        <f>'IWP08'!G$405</f>
        <v>0</v>
      </c>
      <c r="E3983" s="211">
        <f>'IWP08'!H$405</f>
        <v>0</v>
      </c>
      <c r="F3983" s="211">
        <f>'IWP08'!I$405</f>
        <v>0</v>
      </c>
      <c r="G3983" s="191" t="str">
        <f>IF('IWP08'!J$405=0,"",'IWP08'!J$405)</f>
        <v/>
      </c>
      <c r="H3983" s="211">
        <f>'IWP08'!K$405</f>
        <v>0</v>
      </c>
      <c r="I3983" s="211">
        <f>'IWP08'!L$405</f>
        <v>0</v>
      </c>
      <c r="J3983" s="212">
        <f>'IWP08'!M$405</f>
        <v>0</v>
      </c>
      <c r="K3983" s="106"/>
      <c r="L3983" s="106"/>
      <c r="M3983" s="129"/>
    </row>
    <row r="3984" spans="1:13" s="146" customFormat="1">
      <c r="A3984" s="193" t="s">
        <v>506</v>
      </c>
      <c r="B3984" s="210">
        <v>4</v>
      </c>
      <c r="C3984" s="191" t="str">
        <f>IF('IWP08'!E$406=0,"",'IWP08'!E$406)</f>
        <v>D.</v>
      </c>
      <c r="D3984" s="211">
        <f>'IWP08'!G$406</f>
        <v>0</v>
      </c>
      <c r="E3984" s="211" t="str">
        <f>'IWP08'!H$406</f>
        <v>E.</v>
      </c>
      <c r="F3984" s="211" t="str">
        <f>'IWP08'!I$406</f>
        <v>F.</v>
      </c>
      <c r="G3984" s="191" t="str">
        <f>IF('IWP08'!J$406=0,"",'IWP08'!J$406)</f>
        <v>G.</v>
      </c>
      <c r="H3984" s="211">
        <f>'IWP08'!K$406</f>
        <v>0</v>
      </c>
      <c r="I3984" s="211" t="str">
        <f>'IWP08'!L$406</f>
        <v>H.</v>
      </c>
      <c r="J3984" s="212" t="str">
        <f>'IWP08'!M$406</f>
        <v>I.</v>
      </c>
      <c r="K3984" s="106"/>
      <c r="L3984" s="106"/>
      <c r="M3984" s="129"/>
    </row>
    <row r="3985" spans="1:13" s="146" customFormat="1">
      <c r="A3985" s="193" t="s">
        <v>506</v>
      </c>
      <c r="B3985" s="210">
        <v>4</v>
      </c>
      <c r="C3985" s="191" t="str">
        <f>IF('IWP08'!E$407=0,"",'IWP08'!E$407)</f>
        <v xml:space="preserve">Items/Services Related to Billing Period </v>
      </c>
      <c r="D3985" s="211">
        <f>'IWP08'!G$407</f>
        <v>0</v>
      </c>
      <c r="E3985" s="211" t="str">
        <f>'IWP08'!H$407</f>
        <v xml:space="preserve">Item/
Service Verified Amounts
</v>
      </c>
      <c r="F3985" s="211" t="str">
        <f>'IWP08'!I$407</f>
        <v>Amount Due to DADS (E. - D.)</v>
      </c>
      <c r="G3985" s="191" t="str">
        <f>IF('IWP08'!J$407=0,"",'IWP08'!J$407)</f>
        <v>Amount Reimbursed to 
Employee(s)/Employer</v>
      </c>
      <c r="H3985" s="211">
        <f>'IWP08'!K$407</f>
        <v>0</v>
      </c>
      <c r="I3985" s="211" t="str">
        <f>'IWP08'!L$407</f>
        <v>Amount Due to Employee(s) (G. - E.)</v>
      </c>
      <c r="J3985" s="212" t="str">
        <f>'IWP08'!M$407</f>
        <v>Amount Due to Employer (G. - E.)</v>
      </c>
      <c r="K3985" s="106"/>
      <c r="L3985" s="106"/>
      <c r="M3985" s="129"/>
    </row>
    <row r="3986" spans="1:13" s="146" customFormat="1">
      <c r="A3986" s="193" t="s">
        <v>506</v>
      </c>
      <c r="B3986" s="210">
        <v>4</v>
      </c>
      <c r="C3986" s="191" t="str">
        <f>IF('IWP08'!E$408=0,"",'IWP08'!E$408)</f>
        <v>Item/Service</v>
      </c>
      <c r="D3986" s="211" t="str">
        <f>'IWP08'!G$408</f>
        <v>Itemized Amount Paid by DADS</v>
      </c>
      <c r="E3986" s="211">
        <f>'IWP08'!H$408</f>
        <v>0</v>
      </c>
      <c r="F3986" s="211">
        <f>'IWP08'!I$408</f>
        <v>0</v>
      </c>
      <c r="G3986" s="191" t="str">
        <f>IF('IWP08'!J$408=0,"",'IWP08'!J$408)</f>
        <v/>
      </c>
      <c r="H3986" s="211">
        <f>'IWP08'!K$408</f>
        <v>0</v>
      </c>
      <c r="I3986" s="211">
        <f>'IWP08'!L$408</f>
        <v>0</v>
      </c>
      <c r="J3986" s="212">
        <f>'IWP08'!M$408</f>
        <v>0</v>
      </c>
      <c r="K3986" s="106"/>
      <c r="L3986" s="106"/>
      <c r="M3986" s="129"/>
    </row>
    <row r="3987" spans="1:13" s="146" customFormat="1">
      <c r="A3987" s="193" t="s">
        <v>506</v>
      </c>
      <c r="B3987" s="210">
        <v>4</v>
      </c>
      <c r="C3987" s="191" t="str">
        <f>IF('IWP08'!E$409=0,"",'IWP08'!E$409)</f>
        <v/>
      </c>
      <c r="D3987" s="211">
        <f>'IWP08'!G$409</f>
        <v>0</v>
      </c>
      <c r="E3987" s="211">
        <f>'IWP08'!H$409</f>
        <v>0</v>
      </c>
      <c r="F3987" s="211">
        <f>'IWP08'!I$409</f>
        <v>0</v>
      </c>
      <c r="G3987" s="191" t="str">
        <f>IF('IWP08'!J$409=0,"",'IWP08'!J$409)</f>
        <v/>
      </c>
      <c r="H3987" s="211">
        <f>'IWP08'!K$409</f>
        <v>0</v>
      </c>
      <c r="I3987" s="211">
        <f>'IWP08'!L$409</f>
        <v>0</v>
      </c>
      <c r="J3987" s="212">
        <f>'IWP08'!M$409</f>
        <v>0</v>
      </c>
      <c r="K3987" s="106"/>
      <c r="L3987" s="106"/>
      <c r="M3987" s="129"/>
    </row>
    <row r="3988" spans="1:13" s="146" customFormat="1">
      <c r="A3988" s="193" t="s">
        <v>506</v>
      </c>
      <c r="B3988" s="210">
        <v>4</v>
      </c>
      <c r="C3988" s="191" t="str">
        <f>IF('IWP08'!E$410=0,"",'IWP08'!E$410)</f>
        <v/>
      </c>
      <c r="D3988" s="211">
        <f>'IWP08'!G$410</f>
        <v>0</v>
      </c>
      <c r="E3988" s="211">
        <f>'IWP08'!H$410</f>
        <v>0</v>
      </c>
      <c r="F3988" s="211">
        <f>'IWP08'!I$410</f>
        <v>0</v>
      </c>
      <c r="G3988" s="191" t="str">
        <f>IF('IWP08'!J$410=0,"",'IWP08'!J$410)</f>
        <v/>
      </c>
      <c r="H3988" s="211">
        <f>'IWP08'!K$410</f>
        <v>0</v>
      </c>
      <c r="I3988" s="211">
        <f>'IWP08'!L$410</f>
        <v>0</v>
      </c>
      <c r="J3988" s="212">
        <f>'IWP08'!M$410</f>
        <v>0</v>
      </c>
      <c r="K3988" s="106"/>
      <c r="L3988" s="106"/>
      <c r="M3988" s="129"/>
    </row>
    <row r="3989" spans="1:13" s="146" customFormat="1">
      <c r="A3989" s="193" t="s">
        <v>506</v>
      </c>
      <c r="B3989" s="210">
        <v>4</v>
      </c>
      <c r="C3989" s="191" t="str">
        <f>IF('IWP08'!E$411=0,"",'IWP08'!E$411)</f>
        <v/>
      </c>
      <c r="D3989" s="211">
        <f>'IWP08'!G$411</f>
        <v>0</v>
      </c>
      <c r="E3989" s="211">
        <f>'IWP08'!H$411</f>
        <v>0</v>
      </c>
      <c r="F3989" s="211">
        <f>'IWP08'!I$411</f>
        <v>0</v>
      </c>
      <c r="G3989" s="191" t="str">
        <f>IF('IWP08'!J$411=0,"",'IWP08'!J$411)</f>
        <v/>
      </c>
      <c r="H3989" s="211">
        <f>'IWP08'!K$411</f>
        <v>0</v>
      </c>
      <c r="I3989" s="211">
        <f>'IWP08'!L$411</f>
        <v>0</v>
      </c>
      <c r="J3989" s="212">
        <f>'IWP08'!M$411</f>
        <v>0</v>
      </c>
      <c r="K3989" s="106"/>
      <c r="L3989" s="106"/>
      <c r="M3989" s="129"/>
    </row>
    <row r="3990" spans="1:13" s="146" customFormat="1">
      <c r="A3990" s="193" t="s">
        <v>506</v>
      </c>
      <c r="B3990" s="210">
        <v>4</v>
      </c>
      <c r="C3990" s="191" t="str">
        <f>IF('IWP08'!E$412=0,"",'IWP08'!E$412)</f>
        <v/>
      </c>
      <c r="D3990" s="211">
        <f>'IWP08'!G$412</f>
        <v>0</v>
      </c>
      <c r="E3990" s="211">
        <f>'IWP08'!H$412</f>
        <v>0</v>
      </c>
      <c r="F3990" s="211">
        <f>'IWP08'!I$412</f>
        <v>0</v>
      </c>
      <c r="G3990" s="191" t="str">
        <f>IF('IWP08'!J$412=0,"",'IWP08'!J$412)</f>
        <v/>
      </c>
      <c r="H3990" s="211">
        <f>'IWP08'!K$412</f>
        <v>0</v>
      </c>
      <c r="I3990" s="211">
        <f>'IWP08'!L$412</f>
        <v>0</v>
      </c>
      <c r="J3990" s="212">
        <f>'IWP08'!M$412</f>
        <v>0</v>
      </c>
      <c r="K3990" s="106"/>
      <c r="L3990" s="106"/>
      <c r="M3990" s="129"/>
    </row>
    <row r="3991" spans="1:13" s="146" customFormat="1">
      <c r="A3991" s="193" t="s">
        <v>506</v>
      </c>
      <c r="B3991" s="210">
        <v>5</v>
      </c>
      <c r="C3991" s="191" t="str">
        <f>IF('IWP08'!E$419=0,"",'IWP08'!E$419)</f>
        <v>Subtotal column D.</v>
      </c>
      <c r="D3991" s="211">
        <f>'IWP08'!G$419</f>
        <v>0</v>
      </c>
      <c r="E3991" s="211">
        <f>'IWP08'!H$419</f>
        <v>0</v>
      </c>
      <c r="F3991" s="211">
        <f>'IWP08'!I$419</f>
        <v>0</v>
      </c>
      <c r="G3991" s="191" t="str">
        <f>IF('IWP08'!J$419=0,"",'IWP08'!J$419)</f>
        <v/>
      </c>
      <c r="H3991" s="211">
        <f>'IWP08'!K$419</f>
        <v>0</v>
      </c>
      <c r="I3991" s="211">
        <f>'IWP08'!L$419</f>
        <v>0</v>
      </c>
      <c r="J3991" s="212">
        <f>'IWP08'!M$419</f>
        <v>0</v>
      </c>
      <c r="K3991" s="106"/>
      <c r="L3991" s="106"/>
      <c r="M3991" s="129"/>
    </row>
    <row r="3992" spans="1:13" s="146" customFormat="1">
      <c r="A3992" s="193" t="s">
        <v>506</v>
      </c>
      <c r="B3992" s="210">
        <v>5</v>
      </c>
      <c r="C3992" s="191" t="str">
        <f>IF('IWP08'!E$420=0,"",'IWP08'!E$420)</f>
        <v>Unverified/Undocumented (Subtotal D - C)</v>
      </c>
      <c r="D3992" s="211">
        <f>'IWP08'!G$420</f>
        <v>0</v>
      </c>
      <c r="E3992" s="211">
        <f>'IWP08'!H$420</f>
        <v>0</v>
      </c>
      <c r="F3992" s="211">
        <f>'IWP08'!I$420</f>
        <v>0</v>
      </c>
      <c r="G3992" s="191" t="str">
        <f>IF('IWP08'!J$420=0,"",'IWP08'!J$420)</f>
        <v/>
      </c>
      <c r="H3992" s="211">
        <f>'IWP08'!K$420</f>
        <v>0</v>
      </c>
      <c r="I3992" s="211">
        <f>'IWP08'!L$420</f>
        <v>0</v>
      </c>
      <c r="J3992" s="212">
        <f>'IWP08'!M$420</f>
        <v>0</v>
      </c>
      <c r="K3992" s="106"/>
      <c r="L3992" s="106"/>
      <c r="M3992" s="129"/>
    </row>
    <row r="3993" spans="1:13" s="146" customFormat="1">
      <c r="A3993" s="193" t="s">
        <v>506</v>
      </c>
      <c r="B3993" s="210">
        <v>5</v>
      </c>
      <c r="C3993" s="191" t="str">
        <f>IF('IWP08'!E$421=0,"",'IWP08'!E$421)</f>
        <v>J. Billing Period Total</v>
      </c>
      <c r="D3993" s="211">
        <f>'IWP08'!G$421</f>
        <v>0</v>
      </c>
      <c r="E3993" s="211">
        <f>'IWP08'!H$421</f>
        <v>0</v>
      </c>
      <c r="F3993" s="211">
        <f>'IWP08'!I$421</f>
        <v>0</v>
      </c>
      <c r="G3993" s="191" t="str">
        <f>IF('IWP08'!J$421=0,"",'IWP08'!J$421)</f>
        <v/>
      </c>
      <c r="H3993" s="211">
        <f>'IWP08'!K$421</f>
        <v>0</v>
      </c>
      <c r="I3993" s="211">
        <f>'IWP08'!L$421</f>
        <v>0</v>
      </c>
      <c r="J3993" s="212">
        <f>'IWP08'!M$421</f>
        <v>0</v>
      </c>
      <c r="K3993" s="106"/>
      <c r="L3993" s="106"/>
      <c r="M3993" s="129"/>
    </row>
    <row r="3994" spans="1:13" s="146" customFormat="1">
      <c r="A3994" s="193" t="s">
        <v>506</v>
      </c>
      <c r="B3994" s="210">
        <v>5</v>
      </c>
      <c r="C3994" s="191" t="str">
        <f>IF('IWP08'!E$422=0,"",'IWP08'!E$422)</f>
        <v>D.</v>
      </c>
      <c r="D3994" s="211">
        <f>'IWP08'!G$422</f>
        <v>0</v>
      </c>
      <c r="E3994" s="211" t="str">
        <f>'IWP08'!H$422</f>
        <v>E.</v>
      </c>
      <c r="F3994" s="211" t="str">
        <f>'IWP08'!I$422</f>
        <v>F.</v>
      </c>
      <c r="G3994" s="191" t="str">
        <f>IF('IWP08'!J$422=0,"",'IWP08'!J$422)</f>
        <v>G.</v>
      </c>
      <c r="H3994" s="211">
        <f>'IWP08'!K$422</f>
        <v>0</v>
      </c>
      <c r="I3994" s="211" t="str">
        <f>'IWP08'!L$422</f>
        <v>H.</v>
      </c>
      <c r="J3994" s="212" t="str">
        <f>'IWP08'!M$422</f>
        <v>I.</v>
      </c>
      <c r="K3994" s="106"/>
      <c r="L3994" s="106"/>
      <c r="M3994" s="129"/>
    </row>
    <row r="3995" spans="1:13" s="146" customFormat="1">
      <c r="A3995" s="193" t="s">
        <v>506</v>
      </c>
      <c r="B3995" s="210">
        <v>5</v>
      </c>
      <c r="C3995" s="191" t="str">
        <f>IF('IWP08'!E$423=0,"",'IWP08'!E$423)</f>
        <v xml:space="preserve">Items/Services Related to Billing Period </v>
      </c>
      <c r="D3995" s="211">
        <f>'IWP08'!G$423</f>
        <v>0</v>
      </c>
      <c r="E3995" s="211" t="str">
        <f>'IWP08'!H$423</f>
        <v xml:space="preserve">Item/
Service Verified Amounts
</v>
      </c>
      <c r="F3995" s="211" t="str">
        <f>'IWP08'!I$423</f>
        <v>Amount Due to DADS (E. - D.)</v>
      </c>
      <c r="G3995" s="191" t="str">
        <f>IF('IWP08'!J$423=0,"",'IWP08'!J$423)</f>
        <v>Amount Reimbursed to 
Employee(s)/Employer</v>
      </c>
      <c r="H3995" s="211">
        <f>'IWP08'!K$423</f>
        <v>0</v>
      </c>
      <c r="I3995" s="211" t="str">
        <f>'IWP08'!L$423</f>
        <v>Amount Due to Employee(s) (G. - E.)</v>
      </c>
      <c r="J3995" s="212" t="str">
        <f>'IWP08'!M$423</f>
        <v>Amount Due to Employer (G. - E.)</v>
      </c>
      <c r="K3995" s="106"/>
      <c r="L3995" s="106"/>
      <c r="M3995" s="129"/>
    </row>
    <row r="3996" spans="1:13" s="146" customFormat="1">
      <c r="A3996" s="193" t="s">
        <v>506</v>
      </c>
      <c r="B3996" s="210">
        <v>5</v>
      </c>
      <c r="C3996" s="191" t="str">
        <f>IF('IWP08'!E$424=0,"",'IWP08'!E$424)</f>
        <v>Item/Service</v>
      </c>
      <c r="D3996" s="211" t="str">
        <f>'IWP08'!G$424</f>
        <v>Itemized Amount Paid by DADS</v>
      </c>
      <c r="E3996" s="211">
        <f>'IWP08'!H$424</f>
        <v>0</v>
      </c>
      <c r="F3996" s="211">
        <f>'IWP08'!I$424</f>
        <v>0</v>
      </c>
      <c r="G3996" s="191" t="str">
        <f>IF('IWP08'!J$424=0,"",'IWP08'!J$424)</f>
        <v/>
      </c>
      <c r="H3996" s="211">
        <f>'IWP08'!K$424</f>
        <v>0</v>
      </c>
      <c r="I3996" s="211">
        <f>'IWP08'!L$424</f>
        <v>0</v>
      </c>
      <c r="J3996" s="212">
        <f>'IWP08'!M$424</f>
        <v>0</v>
      </c>
      <c r="K3996" s="106"/>
      <c r="L3996" s="106"/>
      <c r="M3996" s="129"/>
    </row>
    <row r="3997" spans="1:13" s="146" customFormat="1">
      <c r="A3997" s="193" t="s">
        <v>506</v>
      </c>
      <c r="B3997" s="210">
        <v>5</v>
      </c>
      <c r="C3997" s="191" t="str">
        <f>IF('IWP08'!E$425=0,"",'IWP08'!E$425)</f>
        <v/>
      </c>
      <c r="D3997" s="211">
        <f>'IWP08'!G$425</f>
        <v>0</v>
      </c>
      <c r="E3997" s="211">
        <f>'IWP08'!H$425</f>
        <v>0</v>
      </c>
      <c r="F3997" s="211">
        <f>'IWP08'!I$425</f>
        <v>0</v>
      </c>
      <c r="G3997" s="191" t="str">
        <f>IF('IWP08'!J$425=0,"",'IWP08'!J$425)</f>
        <v/>
      </c>
      <c r="H3997" s="211">
        <f>'IWP08'!K$425</f>
        <v>0</v>
      </c>
      <c r="I3997" s="211">
        <f>'IWP08'!L$425</f>
        <v>0</v>
      </c>
      <c r="J3997" s="212">
        <f>'IWP08'!M$425</f>
        <v>0</v>
      </c>
      <c r="K3997" s="106"/>
      <c r="L3997" s="106"/>
      <c r="M3997" s="129"/>
    </row>
    <row r="3998" spans="1:13" s="146" customFormat="1">
      <c r="A3998" s="193" t="s">
        <v>506</v>
      </c>
      <c r="B3998" s="210">
        <v>5</v>
      </c>
      <c r="C3998" s="191" t="str">
        <f>IF('IWP08'!E$426=0,"",'IWP08'!E$426)</f>
        <v/>
      </c>
      <c r="D3998" s="211">
        <f>'IWP08'!G$426</f>
        <v>0</v>
      </c>
      <c r="E3998" s="211">
        <f>'IWP08'!H$426</f>
        <v>0</v>
      </c>
      <c r="F3998" s="211">
        <f>'IWP08'!I$426</f>
        <v>0</v>
      </c>
      <c r="G3998" s="191" t="str">
        <f>IF('IWP08'!J$426=0,"",'IWP08'!J$426)</f>
        <v/>
      </c>
      <c r="H3998" s="211">
        <f>'IWP08'!K$426</f>
        <v>0</v>
      </c>
      <c r="I3998" s="211">
        <f>'IWP08'!L$426</f>
        <v>0</v>
      </c>
      <c r="J3998" s="212">
        <f>'IWP08'!M$426</f>
        <v>0</v>
      </c>
      <c r="K3998" s="106"/>
      <c r="L3998" s="106"/>
      <c r="M3998" s="129"/>
    </row>
    <row r="3999" spans="1:13" s="146" customFormat="1">
      <c r="A3999" s="193" t="s">
        <v>506</v>
      </c>
      <c r="B3999" s="210">
        <v>5</v>
      </c>
      <c r="C3999" s="191" t="str">
        <f>IF('IWP08'!E$427=0,"",'IWP08'!E$427)</f>
        <v/>
      </c>
      <c r="D3999" s="211">
        <f>'IWP08'!G$427</f>
        <v>0</v>
      </c>
      <c r="E3999" s="211">
        <f>'IWP08'!H$427</f>
        <v>0</v>
      </c>
      <c r="F3999" s="211">
        <f>'IWP08'!I$427</f>
        <v>0</v>
      </c>
      <c r="G3999" s="191" t="str">
        <f>IF('IWP08'!J$427=0,"",'IWP08'!J$427)</f>
        <v/>
      </c>
      <c r="H3999" s="211">
        <f>'IWP08'!K$427</f>
        <v>0</v>
      </c>
      <c r="I3999" s="211">
        <f>'IWP08'!L$427</f>
        <v>0</v>
      </c>
      <c r="J3999" s="212">
        <f>'IWP08'!M$427</f>
        <v>0</v>
      </c>
      <c r="K3999" s="106"/>
      <c r="L3999" s="106"/>
      <c r="M3999" s="129"/>
    </row>
    <row r="4000" spans="1:13" s="146" customFormat="1">
      <c r="A4000" s="193" t="s">
        <v>506</v>
      </c>
      <c r="B4000" s="210">
        <v>5</v>
      </c>
      <c r="C4000" s="191" t="str">
        <f>IF('IWP08'!E$428=0,"",'IWP08'!E$428)</f>
        <v/>
      </c>
      <c r="D4000" s="211">
        <f>'IWP08'!G$428</f>
        <v>0</v>
      </c>
      <c r="E4000" s="211">
        <f>'IWP08'!H$428</f>
        <v>0</v>
      </c>
      <c r="F4000" s="211">
        <f>'IWP08'!I$428</f>
        <v>0</v>
      </c>
      <c r="G4000" s="191" t="str">
        <f>IF('IWP08'!J$428=0,"",'IWP08'!J$428)</f>
        <v/>
      </c>
      <c r="H4000" s="211">
        <f>'IWP08'!K$428</f>
        <v>0</v>
      </c>
      <c r="I4000" s="211">
        <f>'IWP08'!L$428</f>
        <v>0</v>
      </c>
      <c r="J4000" s="212">
        <f>'IWP08'!M$428</f>
        <v>0</v>
      </c>
      <c r="K4000" s="106"/>
      <c r="L4000" s="106"/>
      <c r="M4000" s="129"/>
    </row>
    <row r="4001" spans="1:13" s="146" customFormat="1">
      <c r="A4001" s="193" t="s">
        <v>506</v>
      </c>
      <c r="B4001" s="210">
        <v>6</v>
      </c>
      <c r="C4001" s="191" t="str">
        <f>IF('IWP08'!E$435=0,"",'IWP08'!E$435)</f>
        <v>Subtotal column D.</v>
      </c>
      <c r="D4001" s="211">
        <f>'IWP08'!G$435</f>
        <v>0</v>
      </c>
      <c r="E4001" s="211">
        <f>'IWP08'!H$435</f>
        <v>0</v>
      </c>
      <c r="F4001" s="211">
        <f>'IWP08'!I$435</f>
        <v>0</v>
      </c>
      <c r="G4001" s="191" t="str">
        <f>IF('IWP08'!J$435=0,"",'IWP08'!J$435)</f>
        <v/>
      </c>
      <c r="H4001" s="211">
        <f>'IWP08'!K$435</f>
        <v>0</v>
      </c>
      <c r="I4001" s="211">
        <f>'IWP08'!L$435</f>
        <v>0</v>
      </c>
      <c r="J4001" s="212">
        <f>'IWP08'!M$435</f>
        <v>0</v>
      </c>
      <c r="K4001" s="106"/>
      <c r="L4001" s="106"/>
      <c r="M4001" s="129"/>
    </row>
    <row r="4002" spans="1:13" s="146" customFormat="1">
      <c r="A4002" s="193" t="s">
        <v>506</v>
      </c>
      <c r="B4002" s="210">
        <v>6</v>
      </c>
      <c r="C4002" s="191" t="str">
        <f>IF('IWP08'!E$436=0,"",'IWP08'!E$436)</f>
        <v>Unverified/Undocumented (Subtotal D - C)</v>
      </c>
      <c r="D4002" s="211">
        <f>'IWP08'!G$436</f>
        <v>0</v>
      </c>
      <c r="E4002" s="211">
        <f>'IWP08'!H$436</f>
        <v>0</v>
      </c>
      <c r="F4002" s="211">
        <f>'IWP08'!I$436</f>
        <v>0</v>
      </c>
      <c r="G4002" s="191" t="str">
        <f>IF('IWP08'!J$436=0,"",'IWP08'!J$436)</f>
        <v/>
      </c>
      <c r="H4002" s="211">
        <f>'IWP08'!K$436</f>
        <v>0</v>
      </c>
      <c r="I4002" s="211">
        <f>'IWP08'!L$436</f>
        <v>0</v>
      </c>
      <c r="J4002" s="212">
        <f>'IWP08'!M$436</f>
        <v>0</v>
      </c>
      <c r="K4002" s="106"/>
      <c r="L4002" s="106"/>
      <c r="M4002" s="129"/>
    </row>
    <row r="4003" spans="1:13" s="146" customFormat="1">
      <c r="A4003" s="193" t="s">
        <v>506</v>
      </c>
      <c r="B4003" s="210">
        <v>6</v>
      </c>
      <c r="C4003" s="191" t="str">
        <f>IF('IWP08'!E$437=0,"",'IWP08'!E$437)</f>
        <v>J. Billing Period Total</v>
      </c>
      <c r="D4003" s="211">
        <f>'IWP08'!G$437</f>
        <v>0</v>
      </c>
      <c r="E4003" s="211">
        <f>'IWP08'!H$437</f>
        <v>0</v>
      </c>
      <c r="F4003" s="211">
        <f>'IWP08'!I$437</f>
        <v>0</v>
      </c>
      <c r="G4003" s="191" t="str">
        <f>IF('IWP08'!J$437=0,"",'IWP08'!J$437)</f>
        <v/>
      </c>
      <c r="H4003" s="211">
        <f>'IWP08'!K$437</f>
        <v>0</v>
      </c>
      <c r="I4003" s="211">
        <f>'IWP08'!L$437</f>
        <v>0</v>
      </c>
      <c r="J4003" s="212">
        <f>'IWP08'!M$437</f>
        <v>0</v>
      </c>
      <c r="K4003" s="106"/>
      <c r="L4003" s="106"/>
      <c r="M4003" s="129"/>
    </row>
    <row r="4004" spans="1:13" s="146" customFormat="1">
      <c r="A4004" s="193" t="s">
        <v>506</v>
      </c>
      <c r="B4004" s="210">
        <v>6</v>
      </c>
      <c r="C4004" s="191" t="str">
        <f>IF('IWP08'!E$438=0,"",'IWP08'!E$438)</f>
        <v>D.</v>
      </c>
      <c r="D4004" s="211">
        <f>'IWP08'!G$438</f>
        <v>0</v>
      </c>
      <c r="E4004" s="211" t="str">
        <f>'IWP08'!H$438</f>
        <v>E.</v>
      </c>
      <c r="F4004" s="211" t="str">
        <f>'IWP08'!I$438</f>
        <v>F.</v>
      </c>
      <c r="G4004" s="191" t="str">
        <f>IF('IWP08'!J$438=0,"",'IWP08'!J$438)</f>
        <v>G.</v>
      </c>
      <c r="H4004" s="211">
        <f>'IWP08'!K$438</f>
        <v>0</v>
      </c>
      <c r="I4004" s="211" t="str">
        <f>'IWP08'!L$438</f>
        <v>H.</v>
      </c>
      <c r="J4004" s="212" t="str">
        <f>'IWP08'!M$438</f>
        <v>I.</v>
      </c>
      <c r="K4004" s="106"/>
      <c r="L4004" s="106"/>
      <c r="M4004" s="129"/>
    </row>
    <row r="4005" spans="1:13" s="146" customFormat="1">
      <c r="A4005" s="193" t="s">
        <v>506</v>
      </c>
      <c r="B4005" s="210">
        <v>6</v>
      </c>
      <c r="C4005" s="191" t="str">
        <f>IF('IWP08'!E$439=0,"",'IWP08'!E$439)</f>
        <v xml:space="preserve">Items/Services Related to Billing Period </v>
      </c>
      <c r="D4005" s="211">
        <f>'IWP08'!G$439</f>
        <v>0</v>
      </c>
      <c r="E4005" s="211" t="str">
        <f>'IWP08'!H$439</f>
        <v xml:space="preserve">Item/
Service Verified Amounts
</v>
      </c>
      <c r="F4005" s="211" t="str">
        <f>'IWP08'!I$439</f>
        <v>Amount Due to DADS (E. - D.)</v>
      </c>
      <c r="G4005" s="191" t="str">
        <f>IF('IWP08'!J$439=0,"",'IWP08'!J$439)</f>
        <v>Amount Reimbursed to 
Employee(s)/Employer</v>
      </c>
      <c r="H4005" s="211">
        <f>'IWP08'!K$439</f>
        <v>0</v>
      </c>
      <c r="I4005" s="211" t="str">
        <f>'IWP08'!L$439</f>
        <v>Amount Due to Employee(s) (G. - E.)</v>
      </c>
      <c r="J4005" s="212" t="str">
        <f>'IWP08'!M$439</f>
        <v>Amount Due to Employer (G. - E.)</v>
      </c>
      <c r="K4005" s="106"/>
      <c r="L4005" s="106"/>
      <c r="M4005" s="129"/>
    </row>
    <row r="4006" spans="1:13" s="146" customFormat="1">
      <c r="A4006" s="193" t="s">
        <v>506</v>
      </c>
      <c r="B4006" s="210">
        <v>6</v>
      </c>
      <c r="C4006" s="191" t="str">
        <f>IF('IWP08'!E$440=0,"",'IWP08'!E$440)</f>
        <v>Item/Service</v>
      </c>
      <c r="D4006" s="211" t="str">
        <f>'IWP08'!G$440</f>
        <v>Itemized Amount Paid by DADS</v>
      </c>
      <c r="E4006" s="211">
        <f>'IWP08'!H$440</f>
        <v>0</v>
      </c>
      <c r="F4006" s="211">
        <f>'IWP08'!I$440</f>
        <v>0</v>
      </c>
      <c r="G4006" s="191" t="str">
        <f>IF('IWP08'!J$440=0,"",'IWP08'!J$440)</f>
        <v/>
      </c>
      <c r="H4006" s="211">
        <f>'IWP08'!K$440</f>
        <v>0</v>
      </c>
      <c r="I4006" s="211">
        <f>'IWP08'!L$440</f>
        <v>0</v>
      </c>
      <c r="J4006" s="212">
        <f>'IWP08'!M$440</f>
        <v>0</v>
      </c>
      <c r="K4006" s="106"/>
      <c r="L4006" s="106"/>
      <c r="M4006" s="129"/>
    </row>
    <row r="4007" spans="1:13" s="146" customFormat="1">
      <c r="A4007" s="193" t="s">
        <v>506</v>
      </c>
      <c r="B4007" s="210">
        <v>6</v>
      </c>
      <c r="C4007" s="191" t="str">
        <f>IF('IWP08'!E$441=0,"",'IWP08'!E$441)</f>
        <v/>
      </c>
      <c r="D4007" s="211">
        <f>'IWP08'!G$441</f>
        <v>0</v>
      </c>
      <c r="E4007" s="211">
        <f>'IWP08'!H$441</f>
        <v>0</v>
      </c>
      <c r="F4007" s="211">
        <f>'IWP08'!I$441</f>
        <v>0</v>
      </c>
      <c r="G4007" s="191" t="str">
        <f>IF('IWP08'!J$441=0,"",'IWP08'!J$441)</f>
        <v/>
      </c>
      <c r="H4007" s="211">
        <f>'IWP08'!K$441</f>
        <v>0</v>
      </c>
      <c r="I4007" s="211">
        <f>'IWP08'!L$441</f>
        <v>0</v>
      </c>
      <c r="J4007" s="212">
        <f>'IWP08'!M$441</f>
        <v>0</v>
      </c>
      <c r="K4007" s="106"/>
      <c r="L4007" s="106"/>
      <c r="M4007" s="129"/>
    </row>
    <row r="4008" spans="1:13" s="146" customFormat="1">
      <c r="A4008" s="193" t="s">
        <v>506</v>
      </c>
      <c r="B4008" s="210">
        <v>6</v>
      </c>
      <c r="C4008" s="191" t="str">
        <f>IF('IWP08'!E$442=0,"",'IWP08'!E$442)</f>
        <v/>
      </c>
      <c r="D4008" s="211">
        <f>'IWP08'!G$442</f>
        <v>0</v>
      </c>
      <c r="E4008" s="211">
        <f>'IWP08'!H$442</f>
        <v>0</v>
      </c>
      <c r="F4008" s="211">
        <f>'IWP08'!I$442</f>
        <v>0</v>
      </c>
      <c r="G4008" s="191" t="str">
        <f>IF('IWP08'!J$442=0,"",'IWP08'!J$442)</f>
        <v/>
      </c>
      <c r="H4008" s="211">
        <f>'IWP08'!K$442</f>
        <v>0</v>
      </c>
      <c r="I4008" s="211">
        <f>'IWP08'!L$442</f>
        <v>0</v>
      </c>
      <c r="J4008" s="212">
        <f>'IWP08'!M$442</f>
        <v>0</v>
      </c>
      <c r="K4008" s="106"/>
      <c r="L4008" s="106"/>
      <c r="M4008" s="129"/>
    </row>
    <row r="4009" spans="1:13" s="146" customFormat="1">
      <c r="A4009" s="193" t="s">
        <v>506</v>
      </c>
      <c r="B4009" s="210">
        <v>6</v>
      </c>
      <c r="C4009" s="191" t="str">
        <f>IF('IWP08'!E$443=0,"",'IWP08'!E$443)</f>
        <v/>
      </c>
      <c r="D4009" s="211">
        <f>'IWP08'!G$443</f>
        <v>0</v>
      </c>
      <c r="E4009" s="211">
        <f>'IWP08'!H$443</f>
        <v>0</v>
      </c>
      <c r="F4009" s="211">
        <f>'IWP08'!I$443</f>
        <v>0</v>
      </c>
      <c r="G4009" s="191" t="str">
        <f>IF('IWP08'!J$443=0,"",'IWP08'!J$443)</f>
        <v/>
      </c>
      <c r="H4009" s="211">
        <f>'IWP08'!K$443</f>
        <v>0</v>
      </c>
      <c r="I4009" s="211">
        <f>'IWP08'!L$443</f>
        <v>0</v>
      </c>
      <c r="J4009" s="212">
        <f>'IWP08'!M$443</f>
        <v>0</v>
      </c>
      <c r="K4009" s="106"/>
      <c r="L4009" s="106"/>
      <c r="M4009" s="129"/>
    </row>
    <row r="4010" spans="1:13" s="146" customFormat="1">
      <c r="A4010" s="193" t="s">
        <v>506</v>
      </c>
      <c r="B4010" s="210">
        <v>6</v>
      </c>
      <c r="C4010" s="191" t="str">
        <f>IF('IWP08'!E$444=0,"",'IWP08'!E$444)</f>
        <v/>
      </c>
      <c r="D4010" s="211">
        <f>'IWP08'!G$444</f>
        <v>0</v>
      </c>
      <c r="E4010" s="211">
        <f>'IWP08'!H$444</f>
        <v>0</v>
      </c>
      <c r="F4010" s="211">
        <f>'IWP08'!I$444</f>
        <v>0</v>
      </c>
      <c r="G4010" s="191" t="str">
        <f>IF('IWP08'!J$444=0,"",'IWP08'!J$444)</f>
        <v/>
      </c>
      <c r="H4010" s="211">
        <f>'IWP08'!K$444</f>
        <v>0</v>
      </c>
      <c r="I4010" s="211">
        <f>'IWP08'!L$444</f>
        <v>0</v>
      </c>
      <c r="J4010" s="212">
        <f>'IWP08'!M$444</f>
        <v>0</v>
      </c>
      <c r="K4010" s="106"/>
      <c r="L4010" s="106"/>
      <c r="M4010" s="129"/>
    </row>
    <row r="4011" spans="1:13" s="146" customFormat="1">
      <c r="A4011" s="193" t="s">
        <v>506</v>
      </c>
      <c r="B4011" s="210">
        <v>7</v>
      </c>
      <c r="C4011" s="191" t="str">
        <f>IF('IWP08'!E$451=0,"",'IWP08'!E$451)</f>
        <v>Subtotal column D.</v>
      </c>
      <c r="D4011" s="211">
        <f>'IWP08'!G$451</f>
        <v>0</v>
      </c>
      <c r="E4011" s="211">
        <f>'IWP08'!H$451</f>
        <v>0</v>
      </c>
      <c r="F4011" s="211">
        <f>'IWP08'!I$451</f>
        <v>0</v>
      </c>
      <c r="G4011" s="191" t="str">
        <f>IF('IWP08'!J$451=0,"",'IWP08'!J$451)</f>
        <v/>
      </c>
      <c r="H4011" s="211">
        <f>'IWP08'!K$451</f>
        <v>0</v>
      </c>
      <c r="I4011" s="211">
        <f>'IWP08'!L$451</f>
        <v>0</v>
      </c>
      <c r="J4011" s="212">
        <f>'IWP08'!M$451</f>
        <v>0</v>
      </c>
      <c r="K4011" s="106"/>
      <c r="L4011" s="106"/>
      <c r="M4011" s="129"/>
    </row>
    <row r="4012" spans="1:13" s="146" customFormat="1">
      <c r="A4012" s="193" t="s">
        <v>506</v>
      </c>
      <c r="B4012" s="210">
        <v>7</v>
      </c>
      <c r="C4012" s="191" t="str">
        <f>IF('IWP08'!E$452=0,"",'IWP08'!E$452)</f>
        <v>Unverified/Undocumented (Subtotal D - C)</v>
      </c>
      <c r="D4012" s="211">
        <f>'IWP08'!G$452</f>
        <v>0</v>
      </c>
      <c r="E4012" s="211">
        <f>'IWP08'!H$452</f>
        <v>0</v>
      </c>
      <c r="F4012" s="211">
        <f>'IWP08'!I$452</f>
        <v>0</v>
      </c>
      <c r="G4012" s="191" t="str">
        <f>IF('IWP08'!J$452=0,"",'IWP08'!J$452)</f>
        <v/>
      </c>
      <c r="H4012" s="211">
        <f>'IWP08'!K$452</f>
        <v>0</v>
      </c>
      <c r="I4012" s="211">
        <f>'IWP08'!L$452</f>
        <v>0</v>
      </c>
      <c r="J4012" s="212">
        <f>'IWP08'!M$452</f>
        <v>0</v>
      </c>
      <c r="K4012" s="106"/>
      <c r="L4012" s="106"/>
      <c r="M4012" s="129"/>
    </row>
    <row r="4013" spans="1:13" s="146" customFormat="1">
      <c r="A4013" s="193" t="s">
        <v>506</v>
      </c>
      <c r="B4013" s="210">
        <v>7</v>
      </c>
      <c r="C4013" s="191" t="str">
        <f>IF('IWP08'!E$453=0,"",'IWP08'!E$453)</f>
        <v>J. Billing Period Total</v>
      </c>
      <c r="D4013" s="211">
        <f>'IWP08'!G$453</f>
        <v>0</v>
      </c>
      <c r="E4013" s="211">
        <f>'IWP08'!H$453</f>
        <v>0</v>
      </c>
      <c r="F4013" s="211">
        <f>'IWP08'!I$453</f>
        <v>0</v>
      </c>
      <c r="G4013" s="191" t="str">
        <f>IF('IWP08'!J$453=0,"",'IWP08'!J$453)</f>
        <v/>
      </c>
      <c r="H4013" s="211">
        <f>'IWP08'!K$453</f>
        <v>0</v>
      </c>
      <c r="I4013" s="211">
        <f>'IWP08'!L$453</f>
        <v>0</v>
      </c>
      <c r="J4013" s="212">
        <f>'IWP08'!M$453</f>
        <v>0</v>
      </c>
      <c r="K4013" s="106"/>
      <c r="L4013" s="106"/>
      <c r="M4013" s="129"/>
    </row>
    <row r="4014" spans="1:13" s="146" customFormat="1">
      <c r="A4014" s="193" t="s">
        <v>506</v>
      </c>
      <c r="B4014" s="210">
        <v>7</v>
      </c>
      <c r="C4014" s="191" t="str">
        <f>IF('IWP08'!E$454=0,"",'IWP08'!E$454)</f>
        <v>D.</v>
      </c>
      <c r="D4014" s="211">
        <f>'IWP08'!G$454</f>
        <v>0</v>
      </c>
      <c r="E4014" s="211" t="str">
        <f>'IWP08'!H$454</f>
        <v>E.</v>
      </c>
      <c r="F4014" s="211" t="str">
        <f>'IWP08'!I$454</f>
        <v>F.</v>
      </c>
      <c r="G4014" s="191" t="str">
        <f>IF('IWP08'!J$454=0,"",'IWP08'!J$454)</f>
        <v>G.</v>
      </c>
      <c r="H4014" s="211">
        <f>'IWP08'!K$454</f>
        <v>0</v>
      </c>
      <c r="I4014" s="211" t="str">
        <f>'IWP08'!L$454</f>
        <v>H.</v>
      </c>
      <c r="J4014" s="212" t="str">
        <f>'IWP08'!M$454</f>
        <v>I.</v>
      </c>
      <c r="K4014" s="106"/>
      <c r="L4014" s="106"/>
      <c r="M4014" s="129"/>
    </row>
    <row r="4015" spans="1:13" s="146" customFormat="1">
      <c r="A4015" s="193" t="s">
        <v>506</v>
      </c>
      <c r="B4015" s="210">
        <v>7</v>
      </c>
      <c r="C4015" s="191" t="str">
        <f>IF('IWP08'!E$455=0,"",'IWP08'!E$455)</f>
        <v xml:space="preserve">Items/Services Related to Billing Period </v>
      </c>
      <c r="D4015" s="211">
        <f>'IWP08'!G$455</f>
        <v>0</v>
      </c>
      <c r="E4015" s="211" t="str">
        <f>'IWP08'!H$455</f>
        <v xml:space="preserve">Item/
Service Verified Amounts
</v>
      </c>
      <c r="F4015" s="211" t="str">
        <f>'IWP08'!I$455</f>
        <v>Amount Due to DADS (E. - D.)</v>
      </c>
      <c r="G4015" s="191" t="str">
        <f>IF('IWP08'!J$455=0,"",'IWP08'!J$455)</f>
        <v>Amount Reimbursed to 
Employee(s)/Employer</v>
      </c>
      <c r="H4015" s="211">
        <f>'IWP08'!K$455</f>
        <v>0</v>
      </c>
      <c r="I4015" s="211" t="str">
        <f>'IWP08'!L$455</f>
        <v>Amount Due to Employee(s) (G. - E.)</v>
      </c>
      <c r="J4015" s="212" t="str">
        <f>'IWP08'!M$455</f>
        <v>Amount Due to Employer (G. - E.)</v>
      </c>
      <c r="K4015" s="106"/>
      <c r="L4015" s="106"/>
      <c r="M4015" s="129"/>
    </row>
    <row r="4016" spans="1:13" s="146" customFormat="1">
      <c r="A4016" s="193" t="s">
        <v>506</v>
      </c>
      <c r="B4016" s="210">
        <v>7</v>
      </c>
      <c r="C4016" s="191" t="str">
        <f>IF('IWP08'!E$456=0,"",'IWP08'!E$456)</f>
        <v>Item/Service</v>
      </c>
      <c r="D4016" s="211" t="str">
        <f>'IWP08'!G$456</f>
        <v>Itemized Amount Paid by DADS</v>
      </c>
      <c r="E4016" s="211">
        <f>'IWP08'!H$456</f>
        <v>0</v>
      </c>
      <c r="F4016" s="211">
        <f>'IWP08'!I$456</f>
        <v>0</v>
      </c>
      <c r="G4016" s="191" t="str">
        <f>IF('IWP08'!J$456=0,"",'IWP08'!J$456)</f>
        <v/>
      </c>
      <c r="H4016" s="211">
        <f>'IWP08'!K$456</f>
        <v>0</v>
      </c>
      <c r="I4016" s="211">
        <f>'IWP08'!L$456</f>
        <v>0</v>
      </c>
      <c r="J4016" s="212">
        <f>'IWP08'!M$456</f>
        <v>0</v>
      </c>
      <c r="K4016" s="106"/>
      <c r="L4016" s="106"/>
      <c r="M4016" s="129"/>
    </row>
    <row r="4017" spans="1:13" s="146" customFormat="1">
      <c r="A4017" s="193" t="s">
        <v>506</v>
      </c>
      <c r="B4017" s="210">
        <v>7</v>
      </c>
      <c r="C4017" s="191" t="str">
        <f>IF('IWP08'!E$457=0,"",'IWP08'!E$457)</f>
        <v/>
      </c>
      <c r="D4017" s="211">
        <f>'IWP08'!G$457</f>
        <v>0</v>
      </c>
      <c r="E4017" s="211">
        <f>'IWP08'!H$457</f>
        <v>0</v>
      </c>
      <c r="F4017" s="211">
        <f>'IWP08'!I$457</f>
        <v>0</v>
      </c>
      <c r="G4017" s="191" t="str">
        <f>IF('IWP08'!J$457=0,"",'IWP08'!J$457)</f>
        <v/>
      </c>
      <c r="H4017" s="211">
        <f>'IWP08'!K$457</f>
        <v>0</v>
      </c>
      <c r="I4017" s="211">
        <f>'IWP08'!L$457</f>
        <v>0</v>
      </c>
      <c r="J4017" s="212">
        <f>'IWP08'!M$457</f>
        <v>0</v>
      </c>
      <c r="K4017" s="106"/>
      <c r="L4017" s="106"/>
      <c r="M4017" s="129"/>
    </row>
    <row r="4018" spans="1:13" s="146" customFormat="1">
      <c r="A4018" s="193" t="s">
        <v>506</v>
      </c>
      <c r="B4018" s="210">
        <v>7</v>
      </c>
      <c r="C4018" s="191" t="str">
        <f>IF('IWP08'!E$458=0,"",'IWP08'!E$458)</f>
        <v/>
      </c>
      <c r="D4018" s="211">
        <f>'IWP08'!G$458</f>
        <v>0</v>
      </c>
      <c r="E4018" s="211">
        <f>'IWP08'!H$458</f>
        <v>0</v>
      </c>
      <c r="F4018" s="211">
        <f>'IWP08'!I$458</f>
        <v>0</v>
      </c>
      <c r="G4018" s="191" t="str">
        <f>IF('IWP08'!J$458=0,"",'IWP08'!J$458)</f>
        <v/>
      </c>
      <c r="H4018" s="211">
        <f>'IWP08'!K$458</f>
        <v>0</v>
      </c>
      <c r="I4018" s="211">
        <f>'IWP08'!L$458</f>
        <v>0</v>
      </c>
      <c r="J4018" s="212">
        <f>'IWP08'!M$458</f>
        <v>0</v>
      </c>
      <c r="K4018" s="106"/>
      <c r="L4018" s="106"/>
      <c r="M4018" s="129"/>
    </row>
    <row r="4019" spans="1:13" s="146" customFormat="1">
      <c r="A4019" s="193" t="s">
        <v>506</v>
      </c>
      <c r="B4019" s="210">
        <v>7</v>
      </c>
      <c r="C4019" s="191" t="str">
        <f>IF('IWP08'!E$459=0,"",'IWP08'!E$459)</f>
        <v/>
      </c>
      <c r="D4019" s="211">
        <f>'IWP08'!G$459</f>
        <v>0</v>
      </c>
      <c r="E4019" s="211">
        <f>'IWP08'!H$459</f>
        <v>0</v>
      </c>
      <c r="F4019" s="211">
        <f>'IWP08'!I$459</f>
        <v>0</v>
      </c>
      <c r="G4019" s="191" t="str">
        <f>IF('IWP08'!J$459=0,"",'IWP08'!J$459)</f>
        <v/>
      </c>
      <c r="H4019" s="211">
        <f>'IWP08'!K$459</f>
        <v>0</v>
      </c>
      <c r="I4019" s="211">
        <f>'IWP08'!L$459</f>
        <v>0</v>
      </c>
      <c r="J4019" s="212">
        <f>'IWP08'!M$459</f>
        <v>0</v>
      </c>
      <c r="K4019" s="106"/>
      <c r="L4019" s="106"/>
      <c r="M4019" s="129"/>
    </row>
    <row r="4020" spans="1:13" s="146" customFormat="1">
      <c r="A4020" s="193" t="s">
        <v>506</v>
      </c>
      <c r="B4020" s="210">
        <v>7</v>
      </c>
      <c r="C4020" s="191" t="str">
        <f>IF('IWP08'!E$460=0,"",'IWP08'!E$460)</f>
        <v/>
      </c>
      <c r="D4020" s="211">
        <f>'IWP08'!G$460</f>
        <v>0</v>
      </c>
      <c r="E4020" s="211">
        <f>'IWP08'!H$460</f>
        <v>0</v>
      </c>
      <c r="F4020" s="211">
        <f>'IWP08'!I$460</f>
        <v>0</v>
      </c>
      <c r="G4020" s="191" t="str">
        <f>IF('IWP08'!J$460=0,"",'IWP08'!J$460)</f>
        <v/>
      </c>
      <c r="H4020" s="211">
        <f>'IWP08'!K$460</f>
        <v>0</v>
      </c>
      <c r="I4020" s="211">
        <f>'IWP08'!L$460</f>
        <v>0</v>
      </c>
      <c r="J4020" s="212">
        <f>'IWP08'!M$460</f>
        <v>0</v>
      </c>
      <c r="K4020" s="106"/>
      <c r="L4020" s="106"/>
      <c r="M4020" s="129"/>
    </row>
    <row r="4021" spans="1:13" s="146" customFormat="1">
      <c r="A4021" s="193" t="s">
        <v>506</v>
      </c>
      <c r="B4021" s="210">
        <v>8</v>
      </c>
      <c r="C4021" s="191" t="str">
        <f>IF('IWP08'!E$467=0,"",'IWP08'!E$467)</f>
        <v>Subtotal column D.</v>
      </c>
      <c r="D4021" s="211">
        <f>'IWP08'!G$467</f>
        <v>0</v>
      </c>
      <c r="E4021" s="211">
        <f>'IWP08'!H$467</f>
        <v>0</v>
      </c>
      <c r="F4021" s="211">
        <f>'IWP08'!I$467</f>
        <v>0</v>
      </c>
      <c r="G4021" s="191" t="str">
        <f>IF('IWP08'!J$467=0,"",'IWP08'!J$467)</f>
        <v/>
      </c>
      <c r="H4021" s="211">
        <f>'IWP08'!K$467</f>
        <v>0</v>
      </c>
      <c r="I4021" s="211">
        <f>'IWP08'!L$467</f>
        <v>0</v>
      </c>
      <c r="J4021" s="212">
        <f>'IWP08'!M$467</f>
        <v>0</v>
      </c>
      <c r="K4021" s="106"/>
      <c r="L4021" s="106"/>
      <c r="M4021" s="129"/>
    </row>
    <row r="4022" spans="1:13" s="146" customFormat="1">
      <c r="A4022" s="193" t="s">
        <v>506</v>
      </c>
      <c r="B4022" s="210">
        <v>8</v>
      </c>
      <c r="C4022" s="191" t="str">
        <f>IF('IWP08'!E$468=0,"",'IWP08'!E$468)</f>
        <v>Unverified/Undocumented (Subtotal D - C)</v>
      </c>
      <c r="D4022" s="211">
        <f>'IWP08'!G$468</f>
        <v>0</v>
      </c>
      <c r="E4022" s="211">
        <f>'IWP08'!H$468</f>
        <v>0</v>
      </c>
      <c r="F4022" s="211">
        <f>'IWP08'!I$468</f>
        <v>0</v>
      </c>
      <c r="G4022" s="191" t="str">
        <f>IF('IWP08'!J$468=0,"",'IWP08'!J$468)</f>
        <v/>
      </c>
      <c r="H4022" s="211">
        <f>'IWP08'!K$468</f>
        <v>0</v>
      </c>
      <c r="I4022" s="211">
        <f>'IWP08'!L$468</f>
        <v>0</v>
      </c>
      <c r="J4022" s="212">
        <f>'IWP08'!M$468</f>
        <v>0</v>
      </c>
      <c r="K4022" s="106"/>
      <c r="L4022" s="106"/>
      <c r="M4022" s="129"/>
    </row>
    <row r="4023" spans="1:13" s="146" customFormat="1">
      <c r="A4023" s="193" t="s">
        <v>506</v>
      </c>
      <c r="B4023" s="210">
        <v>8</v>
      </c>
      <c r="C4023" s="191" t="str">
        <f>IF('IWP08'!E$469=0,"",'IWP08'!E$469)</f>
        <v>J. Billing Period Total</v>
      </c>
      <c r="D4023" s="211">
        <f>'IWP08'!G$469</f>
        <v>0</v>
      </c>
      <c r="E4023" s="211">
        <f>'IWP08'!H$469</f>
        <v>0</v>
      </c>
      <c r="F4023" s="211">
        <f>'IWP08'!I$469</f>
        <v>0</v>
      </c>
      <c r="G4023" s="191" t="str">
        <f>IF('IWP08'!J$469=0,"",'IWP08'!J$469)</f>
        <v/>
      </c>
      <c r="H4023" s="211">
        <f>'IWP08'!K$469</f>
        <v>0</v>
      </c>
      <c r="I4023" s="211">
        <f>'IWP08'!L$469</f>
        <v>0</v>
      </c>
      <c r="J4023" s="212">
        <f>'IWP08'!M$469</f>
        <v>0</v>
      </c>
      <c r="K4023" s="106"/>
      <c r="L4023" s="106"/>
      <c r="M4023" s="129"/>
    </row>
    <row r="4024" spans="1:13" s="146" customFormat="1">
      <c r="A4024" s="193" t="s">
        <v>506</v>
      </c>
      <c r="B4024" s="210">
        <v>8</v>
      </c>
      <c r="C4024" s="191" t="str">
        <f>IF('IWP08'!E$470=0,"",'IWP08'!E$470)</f>
        <v>D.</v>
      </c>
      <c r="D4024" s="211">
        <f>'IWP08'!G$470</f>
        <v>0</v>
      </c>
      <c r="E4024" s="211" t="str">
        <f>'IWP08'!H$470</f>
        <v>E.</v>
      </c>
      <c r="F4024" s="211" t="str">
        <f>'IWP08'!I$470</f>
        <v>F.</v>
      </c>
      <c r="G4024" s="191" t="str">
        <f>IF('IWP08'!J$470=0,"",'IWP08'!J$470)</f>
        <v>G.</v>
      </c>
      <c r="H4024" s="211">
        <f>'IWP08'!K$470</f>
        <v>0</v>
      </c>
      <c r="I4024" s="211" t="str">
        <f>'IWP08'!L$470</f>
        <v>H.</v>
      </c>
      <c r="J4024" s="212" t="str">
        <f>'IWP08'!M$470</f>
        <v>I.</v>
      </c>
      <c r="K4024" s="106"/>
      <c r="L4024" s="106"/>
      <c r="M4024" s="129"/>
    </row>
    <row r="4025" spans="1:13" s="146" customFormat="1">
      <c r="A4025" s="193" t="s">
        <v>506</v>
      </c>
      <c r="B4025" s="210">
        <v>8</v>
      </c>
      <c r="C4025" s="191" t="str">
        <f>IF('IWP08'!E$471=0,"",'IWP08'!E$471)</f>
        <v xml:space="preserve">Items/Services Related to Billing Period </v>
      </c>
      <c r="D4025" s="211">
        <f>'IWP08'!G$471</f>
        <v>0</v>
      </c>
      <c r="E4025" s="211" t="str">
        <f>'IWP08'!H$471</f>
        <v xml:space="preserve">Item/
Service Verified Amounts
</v>
      </c>
      <c r="F4025" s="211" t="str">
        <f>'IWP08'!I$471</f>
        <v>Amount Due to DADS (E. - D.)</v>
      </c>
      <c r="G4025" s="191" t="str">
        <f>IF('IWP08'!J$471=0,"",'IWP08'!J$471)</f>
        <v>Amount Reimbursed to 
Employee(s)/Employer</v>
      </c>
      <c r="H4025" s="211">
        <f>'IWP08'!K$471</f>
        <v>0</v>
      </c>
      <c r="I4025" s="211" t="str">
        <f>'IWP08'!L$471</f>
        <v>Amount Due to Employee(s) (G. - E.)</v>
      </c>
      <c r="J4025" s="212" t="str">
        <f>'IWP08'!M$471</f>
        <v>Amount Due to Employer (G. - E.)</v>
      </c>
      <c r="K4025" s="106"/>
      <c r="L4025" s="106"/>
      <c r="M4025" s="129"/>
    </row>
    <row r="4026" spans="1:13" s="146" customFormat="1">
      <c r="A4026" s="193" t="s">
        <v>506</v>
      </c>
      <c r="B4026" s="210">
        <v>8</v>
      </c>
      <c r="C4026" s="191" t="str">
        <f>IF('IWP08'!E$472=0,"",'IWP08'!E$472)</f>
        <v>Item/Service</v>
      </c>
      <c r="D4026" s="211" t="str">
        <f>'IWP08'!G$472</f>
        <v>Itemized Amount Paid by DADS</v>
      </c>
      <c r="E4026" s="211">
        <f>'IWP08'!H$472</f>
        <v>0</v>
      </c>
      <c r="F4026" s="211">
        <f>'IWP08'!I$472</f>
        <v>0</v>
      </c>
      <c r="G4026" s="191" t="str">
        <f>IF('IWP08'!J$472=0,"",'IWP08'!J$472)</f>
        <v/>
      </c>
      <c r="H4026" s="211">
        <f>'IWP08'!K$472</f>
        <v>0</v>
      </c>
      <c r="I4026" s="211">
        <f>'IWP08'!L$472</f>
        <v>0</v>
      </c>
      <c r="J4026" s="212">
        <f>'IWP08'!M$472</f>
        <v>0</v>
      </c>
      <c r="K4026" s="106"/>
      <c r="L4026" s="106"/>
      <c r="M4026" s="129"/>
    </row>
    <row r="4027" spans="1:13" s="146" customFormat="1">
      <c r="A4027" s="193" t="s">
        <v>506</v>
      </c>
      <c r="B4027" s="210">
        <v>8</v>
      </c>
      <c r="C4027" s="191" t="str">
        <f>IF('IWP08'!E$473=0,"",'IWP08'!E$473)</f>
        <v/>
      </c>
      <c r="D4027" s="211">
        <f>'IWP08'!G$473</f>
        <v>0</v>
      </c>
      <c r="E4027" s="211">
        <f>'IWP08'!H$473</f>
        <v>0</v>
      </c>
      <c r="F4027" s="211">
        <f>'IWP08'!I$473</f>
        <v>0</v>
      </c>
      <c r="G4027" s="191" t="str">
        <f>IF('IWP08'!J$473=0,"",'IWP08'!J$473)</f>
        <v/>
      </c>
      <c r="H4027" s="211">
        <f>'IWP08'!K$473</f>
        <v>0</v>
      </c>
      <c r="I4027" s="211">
        <f>'IWP08'!L$473</f>
        <v>0</v>
      </c>
      <c r="J4027" s="212">
        <f>'IWP08'!M$473</f>
        <v>0</v>
      </c>
      <c r="K4027" s="106"/>
      <c r="L4027" s="106"/>
      <c r="M4027" s="129"/>
    </row>
    <row r="4028" spans="1:13" s="146" customFormat="1">
      <c r="A4028" s="193" t="s">
        <v>506</v>
      </c>
      <c r="B4028" s="210">
        <v>8</v>
      </c>
      <c r="C4028" s="191" t="str">
        <f>IF('IWP08'!E$474=0,"",'IWP08'!E$474)</f>
        <v/>
      </c>
      <c r="D4028" s="211">
        <f>'IWP08'!G$474</f>
        <v>0</v>
      </c>
      <c r="E4028" s="211">
        <f>'IWP08'!H$474</f>
        <v>0</v>
      </c>
      <c r="F4028" s="211">
        <f>'IWP08'!I$474</f>
        <v>0</v>
      </c>
      <c r="G4028" s="191" t="str">
        <f>IF('IWP08'!J$474=0,"",'IWP08'!J$474)</f>
        <v/>
      </c>
      <c r="H4028" s="211">
        <f>'IWP08'!K$474</f>
        <v>0</v>
      </c>
      <c r="I4028" s="211">
        <f>'IWP08'!L$474</f>
        <v>0</v>
      </c>
      <c r="J4028" s="212">
        <f>'IWP08'!M$474</f>
        <v>0</v>
      </c>
      <c r="K4028" s="106"/>
      <c r="L4028" s="106"/>
      <c r="M4028" s="129"/>
    </row>
    <row r="4029" spans="1:13" s="146" customFormat="1">
      <c r="A4029" s="193" t="s">
        <v>506</v>
      </c>
      <c r="B4029" s="210">
        <v>8</v>
      </c>
      <c r="C4029" s="191" t="str">
        <f>IF('IWP08'!E$475=0,"",'IWP08'!E$475)</f>
        <v/>
      </c>
      <c r="D4029" s="211">
        <f>'IWP08'!G$475</f>
        <v>0</v>
      </c>
      <c r="E4029" s="211">
        <f>'IWP08'!H$475</f>
        <v>0</v>
      </c>
      <c r="F4029" s="211">
        <f>'IWP08'!I$475</f>
        <v>0</v>
      </c>
      <c r="G4029" s="191" t="str">
        <f>IF('IWP08'!J$475=0,"",'IWP08'!J$475)</f>
        <v/>
      </c>
      <c r="H4029" s="211">
        <f>'IWP08'!K$475</f>
        <v>0</v>
      </c>
      <c r="I4029" s="211">
        <f>'IWP08'!L$475</f>
        <v>0</v>
      </c>
      <c r="J4029" s="212">
        <f>'IWP08'!M$475</f>
        <v>0</v>
      </c>
      <c r="K4029" s="106"/>
      <c r="L4029" s="106"/>
      <c r="M4029" s="129"/>
    </row>
    <row r="4030" spans="1:13" s="146" customFormat="1">
      <c r="A4030" s="193" t="s">
        <v>506</v>
      </c>
      <c r="B4030" s="210">
        <v>8</v>
      </c>
      <c r="C4030" s="191" t="str">
        <f>IF('IWP08'!E$476=0,"",'IWP08'!E$476)</f>
        <v/>
      </c>
      <c r="D4030" s="211">
        <f>'IWP08'!G$476</f>
        <v>0</v>
      </c>
      <c r="E4030" s="211">
        <f>'IWP08'!H$476</f>
        <v>0</v>
      </c>
      <c r="F4030" s="211">
        <f>'IWP08'!I$476</f>
        <v>0</v>
      </c>
      <c r="G4030" s="191" t="str">
        <f>IF('IWP08'!J$476=0,"",'IWP08'!J$476)</f>
        <v/>
      </c>
      <c r="H4030" s="211">
        <f>'IWP08'!K$476</f>
        <v>0</v>
      </c>
      <c r="I4030" s="211">
        <f>'IWP08'!L$476</f>
        <v>0</v>
      </c>
      <c r="J4030" s="212">
        <f>'IWP08'!M$476</f>
        <v>0</v>
      </c>
      <c r="K4030" s="106"/>
      <c r="L4030" s="106"/>
      <c r="M4030" s="129"/>
    </row>
    <row r="4031" spans="1:13" s="146" customFormat="1">
      <c r="A4031" s="193" t="s">
        <v>506</v>
      </c>
      <c r="B4031" s="210">
        <v>9</v>
      </c>
      <c r="C4031" s="191" t="str">
        <f>IF('IWP08'!E$483=0,"",'IWP08'!E$483)</f>
        <v>Subtotal column D.</v>
      </c>
      <c r="D4031" s="211">
        <f>'IWP08'!G$483</f>
        <v>0</v>
      </c>
      <c r="E4031" s="211">
        <f>'IWP08'!H$483</f>
        <v>0</v>
      </c>
      <c r="F4031" s="211">
        <f>'IWP08'!I$483</f>
        <v>0</v>
      </c>
      <c r="G4031" s="191" t="str">
        <f>IF('IWP08'!J$483=0,"",'IWP08'!J$483)</f>
        <v/>
      </c>
      <c r="H4031" s="211">
        <f>'IWP08'!K$483</f>
        <v>0</v>
      </c>
      <c r="I4031" s="211">
        <f>'IWP08'!L$483</f>
        <v>0</v>
      </c>
      <c r="J4031" s="212">
        <f>'IWP08'!M$483</f>
        <v>0</v>
      </c>
      <c r="K4031" s="106"/>
      <c r="L4031" s="106"/>
      <c r="M4031" s="129"/>
    </row>
    <row r="4032" spans="1:13" s="146" customFormat="1">
      <c r="A4032" s="193" t="s">
        <v>506</v>
      </c>
      <c r="B4032" s="210">
        <v>9</v>
      </c>
      <c r="C4032" s="191" t="str">
        <f>IF('IWP08'!E$484=0,"",'IWP08'!E$484)</f>
        <v>Unverified/Undocumented (Subtotal D - C)</v>
      </c>
      <c r="D4032" s="211">
        <f>'IWP08'!G$484</f>
        <v>0</v>
      </c>
      <c r="E4032" s="211">
        <f>'IWP08'!H$484</f>
        <v>0</v>
      </c>
      <c r="F4032" s="211">
        <f>'IWP08'!I$484</f>
        <v>0</v>
      </c>
      <c r="G4032" s="191" t="str">
        <f>IF('IWP08'!J$484=0,"",'IWP08'!J$484)</f>
        <v/>
      </c>
      <c r="H4032" s="211">
        <f>'IWP08'!K$484</f>
        <v>0</v>
      </c>
      <c r="I4032" s="211">
        <f>'IWP08'!L$484</f>
        <v>0</v>
      </c>
      <c r="J4032" s="212">
        <f>'IWP08'!M$484</f>
        <v>0</v>
      </c>
      <c r="K4032" s="106"/>
      <c r="L4032" s="106"/>
      <c r="M4032" s="129"/>
    </row>
    <row r="4033" spans="1:13" s="146" customFormat="1">
      <c r="A4033" s="193" t="s">
        <v>506</v>
      </c>
      <c r="B4033" s="210">
        <v>9</v>
      </c>
      <c r="C4033" s="191" t="str">
        <f>IF('IWP08'!E$485=0,"",'IWP08'!E$485)</f>
        <v>J. Billing Period Total</v>
      </c>
      <c r="D4033" s="211">
        <f>'IWP08'!G$485</f>
        <v>0</v>
      </c>
      <c r="E4033" s="211">
        <f>'IWP08'!H$485</f>
        <v>0</v>
      </c>
      <c r="F4033" s="211">
        <f>'IWP08'!I$485</f>
        <v>0</v>
      </c>
      <c r="G4033" s="191" t="str">
        <f>IF('IWP08'!J$485=0,"",'IWP08'!J$485)</f>
        <v/>
      </c>
      <c r="H4033" s="211">
        <f>'IWP08'!K$485</f>
        <v>0</v>
      </c>
      <c r="I4033" s="211">
        <f>'IWP08'!L$485</f>
        <v>0</v>
      </c>
      <c r="J4033" s="212">
        <f>'IWP08'!M$485</f>
        <v>0</v>
      </c>
      <c r="K4033" s="106"/>
      <c r="L4033" s="106"/>
      <c r="M4033" s="129"/>
    </row>
    <row r="4034" spans="1:13" s="146" customFormat="1">
      <c r="A4034" s="193" t="s">
        <v>506</v>
      </c>
      <c r="B4034" s="210">
        <v>9</v>
      </c>
      <c r="C4034" s="191" t="str">
        <f>IF('IWP08'!E$486=0,"",'IWP08'!E$486)</f>
        <v>D.</v>
      </c>
      <c r="D4034" s="211">
        <f>'IWP08'!G$486</f>
        <v>0</v>
      </c>
      <c r="E4034" s="211" t="str">
        <f>'IWP08'!H$486</f>
        <v>E.</v>
      </c>
      <c r="F4034" s="211" t="str">
        <f>'IWP08'!I$486</f>
        <v>F.</v>
      </c>
      <c r="G4034" s="191" t="str">
        <f>IF('IWP08'!J$486=0,"",'IWP08'!J$486)</f>
        <v>G.</v>
      </c>
      <c r="H4034" s="211">
        <f>'IWP08'!K$486</f>
        <v>0</v>
      </c>
      <c r="I4034" s="211" t="str">
        <f>'IWP08'!L$486</f>
        <v>H.</v>
      </c>
      <c r="J4034" s="212" t="str">
        <f>'IWP08'!M$486</f>
        <v>I.</v>
      </c>
      <c r="K4034" s="106"/>
      <c r="L4034" s="106"/>
      <c r="M4034" s="129"/>
    </row>
    <row r="4035" spans="1:13" s="146" customFormat="1">
      <c r="A4035" s="193" t="s">
        <v>506</v>
      </c>
      <c r="B4035" s="210">
        <v>9</v>
      </c>
      <c r="C4035" s="191" t="str">
        <f>IF('IWP08'!E$487=0,"",'IWP08'!E$487)</f>
        <v xml:space="preserve">Items/Services Related to Billing Period </v>
      </c>
      <c r="D4035" s="211">
        <f>'IWP08'!G$487</f>
        <v>0</v>
      </c>
      <c r="E4035" s="211" t="str">
        <f>'IWP08'!H$487</f>
        <v xml:space="preserve">Item/
Service Verified Amounts
</v>
      </c>
      <c r="F4035" s="211" t="str">
        <f>'IWP08'!I$487</f>
        <v>Amount Due to DADS (E. - D.)</v>
      </c>
      <c r="G4035" s="191" t="str">
        <f>IF('IWP08'!J$487=0,"",'IWP08'!J$487)</f>
        <v>Amount Reimbursed to 
Employee(s)/Employer</v>
      </c>
      <c r="H4035" s="211">
        <f>'IWP08'!K$487</f>
        <v>0</v>
      </c>
      <c r="I4035" s="211" t="str">
        <f>'IWP08'!L$487</f>
        <v>Amount Due to Employee(s) (G. - E.)</v>
      </c>
      <c r="J4035" s="212" t="str">
        <f>'IWP08'!M$487</f>
        <v>Amount Due to Employer (G. - E.)</v>
      </c>
      <c r="K4035" s="106"/>
      <c r="L4035" s="106"/>
      <c r="M4035" s="129"/>
    </row>
    <row r="4036" spans="1:13" s="146" customFormat="1">
      <c r="A4036" s="193" t="s">
        <v>506</v>
      </c>
      <c r="B4036" s="210">
        <v>9</v>
      </c>
      <c r="C4036" s="191" t="str">
        <f>IF('IWP08'!E$488=0,"",'IWP08'!E$488)</f>
        <v>Item/Service</v>
      </c>
      <c r="D4036" s="211" t="str">
        <f>'IWP08'!G$488</f>
        <v>Itemized Amount Paid by DADS</v>
      </c>
      <c r="E4036" s="211">
        <f>'IWP08'!H$488</f>
        <v>0</v>
      </c>
      <c r="F4036" s="211">
        <f>'IWP08'!I$488</f>
        <v>0</v>
      </c>
      <c r="G4036" s="191" t="str">
        <f>IF('IWP08'!J$488=0,"",'IWP08'!J$488)</f>
        <v/>
      </c>
      <c r="H4036" s="211">
        <f>'IWP08'!K$488</f>
        <v>0</v>
      </c>
      <c r="I4036" s="211">
        <f>'IWP08'!L$488</f>
        <v>0</v>
      </c>
      <c r="J4036" s="212">
        <f>'IWP08'!M$488</f>
        <v>0</v>
      </c>
      <c r="K4036" s="106"/>
      <c r="L4036" s="106"/>
      <c r="M4036" s="129"/>
    </row>
    <row r="4037" spans="1:13" s="146" customFormat="1">
      <c r="A4037" s="193" t="s">
        <v>506</v>
      </c>
      <c r="B4037" s="210">
        <v>9</v>
      </c>
      <c r="C4037" s="191" t="str">
        <f>IF('IWP08'!E$489=0,"",'IWP08'!E$489)</f>
        <v/>
      </c>
      <c r="D4037" s="211">
        <f>'IWP08'!G$489</f>
        <v>0</v>
      </c>
      <c r="E4037" s="211">
        <f>'IWP08'!H$489</f>
        <v>0</v>
      </c>
      <c r="F4037" s="211">
        <f>'IWP08'!I$489</f>
        <v>0</v>
      </c>
      <c r="G4037" s="191" t="str">
        <f>IF('IWP08'!J$489=0,"",'IWP08'!J$489)</f>
        <v/>
      </c>
      <c r="H4037" s="211">
        <f>'IWP08'!K$489</f>
        <v>0</v>
      </c>
      <c r="I4037" s="211">
        <f>'IWP08'!L$489</f>
        <v>0</v>
      </c>
      <c r="J4037" s="212">
        <f>'IWP08'!M$489</f>
        <v>0</v>
      </c>
      <c r="K4037" s="106"/>
      <c r="L4037" s="106"/>
      <c r="M4037" s="129"/>
    </row>
    <row r="4038" spans="1:13" s="146" customFormat="1">
      <c r="A4038" s="193" t="s">
        <v>506</v>
      </c>
      <c r="B4038" s="210">
        <v>9</v>
      </c>
      <c r="C4038" s="191" t="str">
        <f>IF('IWP08'!E$490=0,"",'IWP08'!E$490)</f>
        <v/>
      </c>
      <c r="D4038" s="211">
        <f>'IWP08'!G$490</f>
        <v>0</v>
      </c>
      <c r="E4038" s="211">
        <f>'IWP08'!H$490</f>
        <v>0</v>
      </c>
      <c r="F4038" s="211">
        <f>'IWP08'!I$490</f>
        <v>0</v>
      </c>
      <c r="G4038" s="191" t="str">
        <f>IF('IWP08'!J$490=0,"",'IWP08'!J$490)</f>
        <v/>
      </c>
      <c r="H4038" s="211">
        <f>'IWP08'!K$490</f>
        <v>0</v>
      </c>
      <c r="I4038" s="211">
        <f>'IWP08'!L$490</f>
        <v>0</v>
      </c>
      <c r="J4038" s="212">
        <f>'IWP08'!M$490</f>
        <v>0</v>
      </c>
      <c r="K4038" s="106"/>
      <c r="L4038" s="106"/>
      <c r="M4038" s="129"/>
    </row>
    <row r="4039" spans="1:13" s="146" customFormat="1">
      <c r="A4039" s="193" t="s">
        <v>506</v>
      </c>
      <c r="B4039" s="210">
        <v>9</v>
      </c>
      <c r="C4039" s="191" t="str">
        <f>IF('IWP08'!E$491=0,"",'IWP08'!E$491)</f>
        <v/>
      </c>
      <c r="D4039" s="211">
        <f>'IWP08'!G$491</f>
        <v>0</v>
      </c>
      <c r="E4039" s="211">
        <f>'IWP08'!H$491</f>
        <v>0</v>
      </c>
      <c r="F4039" s="211">
        <f>'IWP08'!I$491</f>
        <v>0</v>
      </c>
      <c r="G4039" s="191" t="str">
        <f>IF('IWP08'!J$491=0,"",'IWP08'!J$491)</f>
        <v/>
      </c>
      <c r="H4039" s="211">
        <f>'IWP08'!K$491</f>
        <v>0</v>
      </c>
      <c r="I4039" s="211">
        <f>'IWP08'!L$491</f>
        <v>0</v>
      </c>
      <c r="J4039" s="212">
        <f>'IWP08'!M$491</f>
        <v>0</v>
      </c>
      <c r="K4039" s="106"/>
      <c r="L4039" s="106"/>
      <c r="M4039" s="129"/>
    </row>
    <row r="4040" spans="1:13" s="146" customFormat="1">
      <c r="A4040" s="193" t="s">
        <v>506</v>
      </c>
      <c r="B4040" s="210">
        <v>9</v>
      </c>
      <c r="C4040" s="191" t="str">
        <f>IF('IWP08'!E$492=0,"",'IWP08'!E$492)</f>
        <v/>
      </c>
      <c r="D4040" s="211">
        <f>'IWP08'!G$492</f>
        <v>0</v>
      </c>
      <c r="E4040" s="211">
        <f>'IWP08'!H$492</f>
        <v>0</v>
      </c>
      <c r="F4040" s="211">
        <f>'IWP08'!I$492</f>
        <v>0</v>
      </c>
      <c r="G4040" s="191" t="str">
        <f>IF('IWP08'!J$492=0,"",'IWP08'!J$492)</f>
        <v/>
      </c>
      <c r="H4040" s="211">
        <f>'IWP08'!K$492</f>
        <v>0</v>
      </c>
      <c r="I4040" s="211">
        <f>'IWP08'!L$492</f>
        <v>0</v>
      </c>
      <c r="J4040" s="212">
        <f>'IWP08'!M$492</f>
        <v>0</v>
      </c>
      <c r="K4040" s="106"/>
      <c r="L4040" s="106"/>
      <c r="M4040" s="129"/>
    </row>
    <row r="4041" spans="1:13" s="146" customFormat="1">
      <c r="A4041" s="193" t="s">
        <v>506</v>
      </c>
      <c r="B4041" s="210">
        <v>10</v>
      </c>
      <c r="C4041" s="191" t="str">
        <f>IF('IWP08'!E$499=0,"",'IWP08'!E$499)</f>
        <v>Subtotal column D.</v>
      </c>
      <c r="D4041" s="211">
        <f>'IWP08'!G$499</f>
        <v>0</v>
      </c>
      <c r="E4041" s="211">
        <f>'IWP08'!H$499</f>
        <v>0</v>
      </c>
      <c r="F4041" s="211">
        <f>'IWP08'!I$499</f>
        <v>0</v>
      </c>
      <c r="G4041" s="191" t="str">
        <f>IF('IWP08'!J$499=0,"",'IWP08'!J$499)</f>
        <v/>
      </c>
      <c r="H4041" s="211">
        <f>'IWP08'!K$499</f>
        <v>0</v>
      </c>
      <c r="I4041" s="211">
        <f>'IWP08'!L$499</f>
        <v>0</v>
      </c>
      <c r="J4041" s="212">
        <f>'IWP08'!M$499</f>
        <v>0</v>
      </c>
      <c r="K4041" s="106"/>
      <c r="L4041" s="106"/>
      <c r="M4041" s="129"/>
    </row>
    <row r="4042" spans="1:13" s="146" customFormat="1">
      <c r="A4042" s="193" t="s">
        <v>506</v>
      </c>
      <c r="B4042" s="210">
        <v>10</v>
      </c>
      <c r="C4042" s="191" t="str">
        <f>IF('IWP08'!E$500=0,"",'IWP08'!E$500)</f>
        <v>Unverified/Undocumented (Subtotal D - C)</v>
      </c>
      <c r="D4042" s="211">
        <f>'IWP08'!G$500</f>
        <v>0</v>
      </c>
      <c r="E4042" s="211">
        <f>'IWP08'!H$500</f>
        <v>0</v>
      </c>
      <c r="F4042" s="211">
        <f>'IWP08'!I$500</f>
        <v>0</v>
      </c>
      <c r="G4042" s="191" t="str">
        <f>IF('IWP08'!J$500=0,"",'IWP08'!J$500)</f>
        <v/>
      </c>
      <c r="H4042" s="211">
        <f>'IWP08'!K$500</f>
        <v>0</v>
      </c>
      <c r="I4042" s="211">
        <f>'IWP08'!L$500</f>
        <v>0</v>
      </c>
      <c r="J4042" s="212">
        <f>'IWP08'!M$500</f>
        <v>0</v>
      </c>
      <c r="K4042" s="106"/>
      <c r="L4042" s="106"/>
      <c r="M4042" s="129"/>
    </row>
    <row r="4043" spans="1:13" s="146" customFormat="1">
      <c r="A4043" s="193" t="s">
        <v>506</v>
      </c>
      <c r="B4043" s="210">
        <v>10</v>
      </c>
      <c r="C4043" s="191" t="str">
        <f>IF('IWP08'!E$501=0,"",'IWP08'!E$501)</f>
        <v>J. Billing Period Total</v>
      </c>
      <c r="D4043" s="211">
        <f>'IWP08'!G$501</f>
        <v>0</v>
      </c>
      <c r="E4043" s="211">
        <f>'IWP08'!H$501</f>
        <v>0</v>
      </c>
      <c r="F4043" s="211">
        <f>'IWP08'!I$501</f>
        <v>0</v>
      </c>
      <c r="G4043" s="191" t="str">
        <f>IF('IWP08'!J$501=0,"",'IWP08'!J$501)</f>
        <v/>
      </c>
      <c r="H4043" s="211">
        <f>'IWP08'!K$501</f>
        <v>0</v>
      </c>
      <c r="I4043" s="211">
        <f>'IWP08'!L$501</f>
        <v>0</v>
      </c>
      <c r="J4043" s="212">
        <f>'IWP08'!M$501</f>
        <v>0</v>
      </c>
      <c r="K4043" s="106"/>
      <c r="L4043" s="106"/>
      <c r="M4043" s="129"/>
    </row>
    <row r="4044" spans="1:13" s="146" customFormat="1">
      <c r="A4044" s="193" t="s">
        <v>506</v>
      </c>
      <c r="B4044" s="210">
        <v>10</v>
      </c>
      <c r="C4044" s="191" t="str">
        <f>IF('IWP08'!E$502=0,"",'IWP08'!E$502)</f>
        <v>D.</v>
      </c>
      <c r="D4044" s="211">
        <f>'IWP08'!G$502</f>
        <v>0</v>
      </c>
      <c r="E4044" s="211" t="str">
        <f>'IWP08'!H$502</f>
        <v>E.</v>
      </c>
      <c r="F4044" s="211" t="str">
        <f>'IWP08'!I$502</f>
        <v>F.</v>
      </c>
      <c r="G4044" s="191" t="str">
        <f>IF('IWP08'!J$502=0,"",'IWP08'!J$502)</f>
        <v>G.</v>
      </c>
      <c r="H4044" s="211">
        <f>'IWP08'!K$502</f>
        <v>0</v>
      </c>
      <c r="I4044" s="211" t="str">
        <f>'IWP08'!L$502</f>
        <v>H.</v>
      </c>
      <c r="J4044" s="212" t="str">
        <f>'IWP08'!M$502</f>
        <v>I.</v>
      </c>
      <c r="K4044" s="106"/>
      <c r="L4044" s="106"/>
      <c r="M4044" s="129"/>
    </row>
    <row r="4045" spans="1:13" s="146" customFormat="1">
      <c r="A4045" s="193" t="s">
        <v>506</v>
      </c>
      <c r="B4045" s="210">
        <v>10</v>
      </c>
      <c r="C4045" s="191" t="str">
        <f>IF('IWP08'!E$503=0,"",'IWP08'!E$503)</f>
        <v xml:space="preserve">Items/Services Related to Billing Period </v>
      </c>
      <c r="D4045" s="211">
        <f>'IWP08'!G$503</f>
        <v>0</v>
      </c>
      <c r="E4045" s="211" t="str">
        <f>'IWP08'!H$503</f>
        <v xml:space="preserve">Item/
Service Verified Amounts
</v>
      </c>
      <c r="F4045" s="211" t="str">
        <f>'IWP08'!I$503</f>
        <v>Amount Due to DADS (E. - D.)</v>
      </c>
      <c r="G4045" s="191" t="str">
        <f>IF('IWP08'!J$503=0,"",'IWP08'!J$503)</f>
        <v>Amount Reimbursed to 
Employee(s)/Employer</v>
      </c>
      <c r="H4045" s="211">
        <f>'IWP08'!K$503</f>
        <v>0</v>
      </c>
      <c r="I4045" s="211" t="str">
        <f>'IWP08'!L$503</f>
        <v>Amount Due to Employee(s) (G. - E.)</v>
      </c>
      <c r="J4045" s="212" t="str">
        <f>'IWP08'!M$503</f>
        <v>Amount Due to Employer (G. - E.)</v>
      </c>
      <c r="K4045" s="106"/>
      <c r="L4045" s="106"/>
      <c r="M4045" s="129"/>
    </row>
    <row r="4046" spans="1:13" s="146" customFormat="1">
      <c r="A4046" s="193" t="s">
        <v>506</v>
      </c>
      <c r="B4046" s="210">
        <v>10</v>
      </c>
      <c r="C4046" s="191" t="str">
        <f>IF('IWP08'!E$504=0,"",'IWP08'!E$504)</f>
        <v>Item/Service</v>
      </c>
      <c r="D4046" s="211" t="str">
        <f>'IWP08'!G$504</f>
        <v>Itemized Amount Paid by DADS</v>
      </c>
      <c r="E4046" s="211">
        <f>'IWP08'!H$504</f>
        <v>0</v>
      </c>
      <c r="F4046" s="211">
        <f>'IWP08'!I$504</f>
        <v>0</v>
      </c>
      <c r="G4046" s="191" t="str">
        <f>IF('IWP08'!J$504=0,"",'IWP08'!J$504)</f>
        <v/>
      </c>
      <c r="H4046" s="211">
        <f>'IWP08'!K$504</f>
        <v>0</v>
      </c>
      <c r="I4046" s="211">
        <f>'IWP08'!L$504</f>
        <v>0</v>
      </c>
      <c r="J4046" s="212">
        <f>'IWP08'!M$504</f>
        <v>0</v>
      </c>
      <c r="K4046" s="106"/>
      <c r="L4046" s="106"/>
      <c r="M4046" s="129"/>
    </row>
    <row r="4047" spans="1:13" s="146" customFormat="1">
      <c r="A4047" s="193" t="s">
        <v>506</v>
      </c>
      <c r="B4047" s="210">
        <v>10</v>
      </c>
      <c r="C4047" s="191" t="str">
        <f>IF('IWP08'!E$505=0,"",'IWP08'!E$505)</f>
        <v/>
      </c>
      <c r="D4047" s="211">
        <f>'IWP08'!G$505</f>
        <v>0</v>
      </c>
      <c r="E4047" s="211">
        <f>'IWP08'!H$505</f>
        <v>0</v>
      </c>
      <c r="F4047" s="211">
        <f>'IWP08'!I$505</f>
        <v>0</v>
      </c>
      <c r="G4047" s="191" t="str">
        <f>IF('IWP08'!J$505=0,"",'IWP08'!J$505)</f>
        <v/>
      </c>
      <c r="H4047" s="211">
        <f>'IWP08'!K$505</f>
        <v>0</v>
      </c>
      <c r="I4047" s="211">
        <f>'IWP08'!L$505</f>
        <v>0</v>
      </c>
      <c r="J4047" s="212">
        <f>'IWP08'!M$505</f>
        <v>0</v>
      </c>
      <c r="K4047" s="106"/>
      <c r="L4047" s="106"/>
      <c r="M4047" s="129"/>
    </row>
    <row r="4048" spans="1:13" s="146" customFormat="1">
      <c r="A4048" s="193" t="s">
        <v>506</v>
      </c>
      <c r="B4048" s="210">
        <v>10</v>
      </c>
      <c r="C4048" s="191" t="str">
        <f>IF('IWP08'!E$506=0,"",'IWP08'!E$506)</f>
        <v/>
      </c>
      <c r="D4048" s="211">
        <f>'IWP08'!G$506</f>
        <v>0</v>
      </c>
      <c r="E4048" s="211">
        <f>'IWP08'!H$506</f>
        <v>0</v>
      </c>
      <c r="F4048" s="211">
        <f>'IWP08'!I$506</f>
        <v>0</v>
      </c>
      <c r="G4048" s="191" t="str">
        <f>IF('IWP08'!J$506=0,"",'IWP08'!J$506)</f>
        <v/>
      </c>
      <c r="H4048" s="211">
        <f>'IWP08'!K$506</f>
        <v>0</v>
      </c>
      <c r="I4048" s="211">
        <f>'IWP08'!L$506</f>
        <v>0</v>
      </c>
      <c r="J4048" s="212">
        <f>'IWP08'!M$506</f>
        <v>0</v>
      </c>
      <c r="K4048" s="106"/>
      <c r="L4048" s="106"/>
      <c r="M4048" s="129"/>
    </row>
    <row r="4049" spans="1:13" s="146" customFormat="1">
      <c r="A4049" s="193" t="s">
        <v>506</v>
      </c>
      <c r="B4049" s="210">
        <v>10</v>
      </c>
      <c r="C4049" s="191" t="str">
        <f>IF('IWP08'!E$507=0,"",'IWP08'!E$507)</f>
        <v/>
      </c>
      <c r="D4049" s="211">
        <f>'IWP08'!G$507</f>
        <v>0</v>
      </c>
      <c r="E4049" s="211">
        <f>'IWP08'!H$507</f>
        <v>0</v>
      </c>
      <c r="F4049" s="211">
        <f>'IWP08'!I$507</f>
        <v>0</v>
      </c>
      <c r="G4049" s="191" t="str">
        <f>IF('IWP08'!J$507=0,"",'IWP08'!J$507)</f>
        <v/>
      </c>
      <c r="H4049" s="211">
        <f>'IWP08'!K$507</f>
        <v>0</v>
      </c>
      <c r="I4049" s="211">
        <f>'IWP08'!L$507</f>
        <v>0</v>
      </c>
      <c r="J4049" s="212">
        <f>'IWP08'!M$507</f>
        <v>0</v>
      </c>
      <c r="K4049" s="106"/>
      <c r="L4049" s="106"/>
      <c r="M4049" s="129"/>
    </row>
    <row r="4050" spans="1:13" s="146" customFormat="1">
      <c r="A4050" s="193" t="s">
        <v>506</v>
      </c>
      <c r="B4050" s="210">
        <v>10</v>
      </c>
      <c r="C4050" s="191" t="str">
        <f>IF('IWP08'!E$508=0,"",'IWP08'!E$508)</f>
        <v/>
      </c>
      <c r="D4050" s="211">
        <f>'IWP08'!G$508</f>
        <v>0</v>
      </c>
      <c r="E4050" s="211">
        <f>'IWP08'!H$508</f>
        <v>0</v>
      </c>
      <c r="F4050" s="211">
        <f>'IWP08'!I$508</f>
        <v>0</v>
      </c>
      <c r="G4050" s="191" t="str">
        <f>IF('IWP08'!J$508=0,"",'IWP08'!J$508)</f>
        <v/>
      </c>
      <c r="H4050" s="211">
        <f>'IWP08'!K$508</f>
        <v>0</v>
      </c>
      <c r="I4050" s="211">
        <f>'IWP08'!L$508</f>
        <v>0</v>
      </c>
      <c r="J4050" s="212">
        <f>'IWP08'!M$508</f>
        <v>0</v>
      </c>
      <c r="K4050" s="106"/>
      <c r="L4050" s="106"/>
      <c r="M4050" s="129"/>
    </row>
    <row r="4051" spans="1:13" s="146" customFormat="1">
      <c r="A4051" s="193" t="s">
        <v>506</v>
      </c>
      <c r="B4051" s="210">
        <v>11</v>
      </c>
      <c r="C4051" s="191" t="str">
        <f>IF('IWP08'!E$515=0,"",'IWP08'!E$515)</f>
        <v>Subtotal column D.</v>
      </c>
      <c r="D4051" s="211">
        <f>'IWP08'!G$515</f>
        <v>0</v>
      </c>
      <c r="E4051" s="211">
        <f>'IWP08'!H$515</f>
        <v>0</v>
      </c>
      <c r="F4051" s="211">
        <f>'IWP08'!I$515</f>
        <v>0</v>
      </c>
      <c r="G4051" s="191" t="str">
        <f>IF('IWP08'!J$515=0,"",'IWP08'!J$515)</f>
        <v/>
      </c>
      <c r="H4051" s="211">
        <f>'IWP08'!K$515</f>
        <v>0</v>
      </c>
      <c r="I4051" s="211">
        <f>'IWP08'!L$515</f>
        <v>0</v>
      </c>
      <c r="J4051" s="212">
        <f>'IWP08'!M$515</f>
        <v>0</v>
      </c>
      <c r="K4051" s="106"/>
      <c r="L4051" s="106"/>
      <c r="M4051" s="129"/>
    </row>
    <row r="4052" spans="1:13" s="146" customFormat="1">
      <c r="A4052" s="193" t="s">
        <v>506</v>
      </c>
      <c r="B4052" s="210">
        <v>11</v>
      </c>
      <c r="C4052" s="191" t="str">
        <f>IF('IWP08'!E$516=0,"",'IWP08'!E$516)</f>
        <v>Unverified/Undocumented (Subtotal D - C)</v>
      </c>
      <c r="D4052" s="211">
        <f>'IWP08'!G$516</f>
        <v>0</v>
      </c>
      <c r="E4052" s="211">
        <f>'IWP08'!H$516</f>
        <v>0</v>
      </c>
      <c r="F4052" s="211">
        <f>'IWP08'!I$516</f>
        <v>0</v>
      </c>
      <c r="G4052" s="191" t="str">
        <f>IF('IWP08'!J$516=0,"",'IWP08'!J$516)</f>
        <v/>
      </c>
      <c r="H4052" s="211">
        <f>'IWP08'!K$516</f>
        <v>0</v>
      </c>
      <c r="I4052" s="211">
        <f>'IWP08'!L$516</f>
        <v>0</v>
      </c>
      <c r="J4052" s="212">
        <f>'IWP08'!M$516</f>
        <v>0</v>
      </c>
      <c r="K4052" s="106"/>
      <c r="L4052" s="106"/>
      <c r="M4052" s="129"/>
    </row>
    <row r="4053" spans="1:13" s="146" customFormat="1">
      <c r="A4053" s="193" t="s">
        <v>506</v>
      </c>
      <c r="B4053" s="210">
        <v>11</v>
      </c>
      <c r="C4053" s="191" t="str">
        <f>IF('IWP08'!E$517=0,"",'IWP08'!E$517)</f>
        <v>J. Billing Period Total</v>
      </c>
      <c r="D4053" s="211">
        <f>'IWP08'!G$517</f>
        <v>0</v>
      </c>
      <c r="E4053" s="211">
        <f>'IWP08'!H$517</f>
        <v>0</v>
      </c>
      <c r="F4053" s="211">
        <f>'IWP08'!I$517</f>
        <v>0</v>
      </c>
      <c r="G4053" s="191" t="str">
        <f>IF('IWP08'!J$517=0,"",'IWP08'!J$517)</f>
        <v/>
      </c>
      <c r="H4053" s="211">
        <f>'IWP08'!K$517</f>
        <v>0</v>
      </c>
      <c r="I4053" s="211">
        <f>'IWP08'!L$517</f>
        <v>0</v>
      </c>
      <c r="J4053" s="212">
        <f>'IWP08'!M$517</f>
        <v>0</v>
      </c>
      <c r="K4053" s="106"/>
      <c r="L4053" s="106"/>
      <c r="M4053" s="129"/>
    </row>
    <row r="4054" spans="1:13" s="146" customFormat="1">
      <c r="A4054" s="193" t="s">
        <v>506</v>
      </c>
      <c r="B4054" s="210">
        <v>11</v>
      </c>
      <c r="C4054" s="191" t="str">
        <f>IF('IWP08'!E$518=0,"",'IWP08'!E$518)</f>
        <v>D.</v>
      </c>
      <c r="D4054" s="211">
        <f>'IWP08'!G$518</f>
        <v>0</v>
      </c>
      <c r="E4054" s="211" t="str">
        <f>'IWP08'!H$518</f>
        <v>E.</v>
      </c>
      <c r="F4054" s="211" t="str">
        <f>'IWP08'!I$518</f>
        <v>F.</v>
      </c>
      <c r="G4054" s="191" t="str">
        <f>IF('IWP08'!J$518=0,"",'IWP08'!J$518)</f>
        <v>G.</v>
      </c>
      <c r="H4054" s="211">
        <f>'IWP08'!K$518</f>
        <v>0</v>
      </c>
      <c r="I4054" s="211" t="str">
        <f>'IWP08'!L$518</f>
        <v>H.</v>
      </c>
      <c r="J4054" s="212" t="str">
        <f>'IWP08'!M$518</f>
        <v>I.</v>
      </c>
      <c r="K4054" s="106"/>
      <c r="L4054" s="106"/>
      <c r="M4054" s="129"/>
    </row>
    <row r="4055" spans="1:13" s="146" customFormat="1">
      <c r="A4055" s="193" t="s">
        <v>506</v>
      </c>
      <c r="B4055" s="210">
        <v>11</v>
      </c>
      <c r="C4055" s="191" t="str">
        <f>IF('IWP08'!E$519=0,"",'IWP08'!E$519)</f>
        <v xml:space="preserve">Items/Services Related to Billing Period </v>
      </c>
      <c r="D4055" s="211">
        <f>'IWP08'!G$519</f>
        <v>0</v>
      </c>
      <c r="E4055" s="211" t="str">
        <f>'IWP08'!H$519</f>
        <v xml:space="preserve">Item/
Service Verified Amounts
</v>
      </c>
      <c r="F4055" s="211" t="str">
        <f>'IWP08'!I$519</f>
        <v>Amount Due to DADS (E. - D.)</v>
      </c>
      <c r="G4055" s="191" t="str">
        <f>IF('IWP08'!J$519=0,"",'IWP08'!J$519)</f>
        <v>Amount Reimbursed to 
Employee(s)/Employer</v>
      </c>
      <c r="H4055" s="211">
        <f>'IWP08'!K$519</f>
        <v>0</v>
      </c>
      <c r="I4055" s="211" t="str">
        <f>'IWP08'!L$519</f>
        <v>Amount Due to Employee(s) (G. - E.)</v>
      </c>
      <c r="J4055" s="212" t="str">
        <f>'IWP08'!M$519</f>
        <v>Amount Due to Employer (G. - E.)</v>
      </c>
      <c r="K4055" s="106"/>
      <c r="L4055" s="106"/>
      <c r="M4055" s="129"/>
    </row>
    <row r="4056" spans="1:13" s="146" customFormat="1">
      <c r="A4056" s="193" t="s">
        <v>506</v>
      </c>
      <c r="B4056" s="210">
        <v>11</v>
      </c>
      <c r="C4056" s="191" t="str">
        <f>IF('IWP08'!E$520=0,"",'IWP08'!E$520)</f>
        <v>Item/Service</v>
      </c>
      <c r="D4056" s="211" t="str">
        <f>'IWP08'!G$520</f>
        <v>Itemized Amount Paid by DADS</v>
      </c>
      <c r="E4056" s="211">
        <f>'IWP08'!H$520</f>
        <v>0</v>
      </c>
      <c r="F4056" s="211">
        <f>'IWP08'!I$520</f>
        <v>0</v>
      </c>
      <c r="G4056" s="191" t="str">
        <f>IF('IWP08'!J$520=0,"",'IWP08'!J$520)</f>
        <v/>
      </c>
      <c r="H4056" s="211">
        <f>'IWP08'!K$520</f>
        <v>0</v>
      </c>
      <c r="I4056" s="211">
        <f>'IWP08'!L$520</f>
        <v>0</v>
      </c>
      <c r="J4056" s="212">
        <f>'IWP08'!M$520</f>
        <v>0</v>
      </c>
      <c r="K4056" s="106"/>
      <c r="L4056" s="106"/>
      <c r="M4056" s="129"/>
    </row>
    <row r="4057" spans="1:13" s="146" customFormat="1">
      <c r="A4057" s="193" t="s">
        <v>506</v>
      </c>
      <c r="B4057" s="210">
        <v>11</v>
      </c>
      <c r="C4057" s="191" t="str">
        <f>IF('IWP08'!E$521=0,"",'IWP08'!E$521)</f>
        <v/>
      </c>
      <c r="D4057" s="211">
        <f>'IWP08'!G$521</f>
        <v>0</v>
      </c>
      <c r="E4057" s="211">
        <f>'IWP08'!H$521</f>
        <v>0</v>
      </c>
      <c r="F4057" s="211">
        <f>'IWP08'!I$521</f>
        <v>0</v>
      </c>
      <c r="G4057" s="191" t="str">
        <f>IF('IWP08'!J$521=0,"",'IWP08'!J$521)</f>
        <v/>
      </c>
      <c r="H4057" s="211">
        <f>'IWP08'!K$521</f>
        <v>0</v>
      </c>
      <c r="I4057" s="211">
        <f>'IWP08'!L$521</f>
        <v>0</v>
      </c>
      <c r="J4057" s="212">
        <f>'IWP08'!M$521</f>
        <v>0</v>
      </c>
      <c r="K4057" s="106"/>
      <c r="L4057" s="106"/>
      <c r="M4057" s="129"/>
    </row>
    <row r="4058" spans="1:13" s="146" customFormat="1">
      <c r="A4058" s="193" t="s">
        <v>506</v>
      </c>
      <c r="B4058" s="210">
        <v>11</v>
      </c>
      <c r="C4058" s="191" t="str">
        <f>IF('IWP08'!E$522=0,"",'IWP08'!E$522)</f>
        <v/>
      </c>
      <c r="D4058" s="211">
        <f>'IWP08'!G$522</f>
        <v>0</v>
      </c>
      <c r="E4058" s="211">
        <f>'IWP08'!H$522</f>
        <v>0</v>
      </c>
      <c r="F4058" s="211">
        <f>'IWP08'!I$522</f>
        <v>0</v>
      </c>
      <c r="G4058" s="191" t="str">
        <f>IF('IWP08'!J$522=0,"",'IWP08'!J$522)</f>
        <v/>
      </c>
      <c r="H4058" s="211">
        <f>'IWP08'!K$522</f>
        <v>0</v>
      </c>
      <c r="I4058" s="211">
        <f>'IWP08'!L$522</f>
        <v>0</v>
      </c>
      <c r="J4058" s="212">
        <f>'IWP08'!M$522</f>
        <v>0</v>
      </c>
      <c r="K4058" s="106"/>
      <c r="L4058" s="106"/>
      <c r="M4058" s="129"/>
    </row>
    <row r="4059" spans="1:13" s="146" customFormat="1">
      <c r="A4059" s="193" t="s">
        <v>506</v>
      </c>
      <c r="B4059" s="210">
        <v>11</v>
      </c>
      <c r="C4059" s="191" t="str">
        <f>IF('IWP08'!E$523=0,"",'IWP08'!E$523)</f>
        <v/>
      </c>
      <c r="D4059" s="211">
        <f>'IWP08'!G$523</f>
        <v>0</v>
      </c>
      <c r="E4059" s="211">
        <f>'IWP08'!H$523</f>
        <v>0</v>
      </c>
      <c r="F4059" s="211">
        <f>'IWP08'!I$523</f>
        <v>0</v>
      </c>
      <c r="G4059" s="191" t="str">
        <f>IF('IWP08'!J$523=0,"",'IWP08'!J$523)</f>
        <v/>
      </c>
      <c r="H4059" s="211">
        <f>'IWP08'!K$523</f>
        <v>0</v>
      </c>
      <c r="I4059" s="211">
        <f>'IWP08'!L$523</f>
        <v>0</v>
      </c>
      <c r="J4059" s="212">
        <f>'IWP08'!M$523</f>
        <v>0</v>
      </c>
      <c r="K4059" s="106"/>
      <c r="L4059" s="106"/>
      <c r="M4059" s="129"/>
    </row>
    <row r="4060" spans="1:13" s="146" customFormat="1">
      <c r="A4060" s="193" t="s">
        <v>506</v>
      </c>
      <c r="B4060" s="210">
        <v>11</v>
      </c>
      <c r="C4060" s="191" t="str">
        <f>IF('IWP08'!E$524=0,"",'IWP08'!E$524)</f>
        <v/>
      </c>
      <c r="D4060" s="211">
        <f>'IWP08'!G$524</f>
        <v>0</v>
      </c>
      <c r="E4060" s="211">
        <f>'IWP08'!H$524</f>
        <v>0</v>
      </c>
      <c r="F4060" s="211">
        <f>'IWP08'!I$524</f>
        <v>0</v>
      </c>
      <c r="G4060" s="191" t="str">
        <f>IF('IWP08'!J$524=0,"",'IWP08'!J$524)</f>
        <v/>
      </c>
      <c r="H4060" s="211">
        <f>'IWP08'!K$524</f>
        <v>0</v>
      </c>
      <c r="I4060" s="211">
        <f>'IWP08'!L$524</f>
        <v>0</v>
      </c>
      <c r="J4060" s="212">
        <f>'IWP08'!M$524</f>
        <v>0</v>
      </c>
      <c r="K4060" s="106"/>
      <c r="L4060" s="106"/>
      <c r="M4060" s="129"/>
    </row>
    <row r="4061" spans="1:13" s="146" customFormat="1">
      <c r="A4061" s="193" t="s">
        <v>506</v>
      </c>
      <c r="B4061" s="210">
        <v>12</v>
      </c>
      <c r="C4061" s="191" t="str">
        <f>IF('IWP08'!E$531=0,"",'IWP08'!E$531)</f>
        <v>Subtotal column D.</v>
      </c>
      <c r="D4061" s="211">
        <f>'IWP08'!G$531</f>
        <v>0</v>
      </c>
      <c r="E4061" s="211">
        <f>'IWP08'!H$531</f>
        <v>0</v>
      </c>
      <c r="F4061" s="211">
        <f>'IWP08'!I$531</f>
        <v>0</v>
      </c>
      <c r="G4061" s="191" t="str">
        <f>IF('IWP08'!J$531=0,"",'IWP08'!J$531)</f>
        <v/>
      </c>
      <c r="H4061" s="211">
        <f>'IWP08'!K$531</f>
        <v>0</v>
      </c>
      <c r="I4061" s="211">
        <f>'IWP08'!L$531</f>
        <v>0</v>
      </c>
      <c r="J4061" s="212">
        <f>'IWP08'!M$531</f>
        <v>0</v>
      </c>
      <c r="K4061" s="106"/>
      <c r="L4061" s="106"/>
      <c r="M4061" s="129"/>
    </row>
    <row r="4062" spans="1:13" s="146" customFormat="1">
      <c r="A4062" s="193" t="s">
        <v>506</v>
      </c>
      <c r="B4062" s="210">
        <v>12</v>
      </c>
      <c r="C4062" s="191" t="str">
        <f>IF('IWP08'!E$532=0,"",'IWP08'!E$532)</f>
        <v>Unverified/Undocumented (Subtotal D - C)</v>
      </c>
      <c r="D4062" s="211">
        <f>'IWP08'!G$532</f>
        <v>0</v>
      </c>
      <c r="E4062" s="211">
        <f>'IWP08'!H$532</f>
        <v>0</v>
      </c>
      <c r="F4062" s="211">
        <f>'IWP08'!I$532</f>
        <v>0</v>
      </c>
      <c r="G4062" s="191" t="str">
        <f>IF('IWP08'!J$532=0,"",'IWP08'!J$532)</f>
        <v/>
      </c>
      <c r="H4062" s="211">
        <f>'IWP08'!K$532</f>
        <v>0</v>
      </c>
      <c r="I4062" s="211">
        <f>'IWP08'!L$532</f>
        <v>0</v>
      </c>
      <c r="J4062" s="212">
        <f>'IWP08'!M$532</f>
        <v>0</v>
      </c>
      <c r="K4062" s="106"/>
      <c r="L4062" s="106"/>
      <c r="M4062" s="129"/>
    </row>
    <row r="4063" spans="1:13" s="146" customFormat="1">
      <c r="A4063" s="193" t="s">
        <v>506</v>
      </c>
      <c r="B4063" s="210">
        <v>12</v>
      </c>
      <c r="C4063" s="191" t="str">
        <f>IF('IWP08'!E$533=0,"",'IWP08'!E$533)</f>
        <v>J. Billing Period Total</v>
      </c>
      <c r="D4063" s="211">
        <f>'IWP08'!G$533</f>
        <v>0</v>
      </c>
      <c r="E4063" s="211">
        <f>'IWP08'!H$533</f>
        <v>0</v>
      </c>
      <c r="F4063" s="211">
        <f>'IWP08'!I$533</f>
        <v>0</v>
      </c>
      <c r="G4063" s="191" t="str">
        <f>IF('IWP08'!J$533=0,"",'IWP08'!J$533)</f>
        <v/>
      </c>
      <c r="H4063" s="211">
        <f>'IWP08'!K$533</f>
        <v>0</v>
      </c>
      <c r="I4063" s="211">
        <f>'IWP08'!L$533</f>
        <v>0</v>
      </c>
      <c r="J4063" s="212">
        <f>'IWP08'!M$533</f>
        <v>0</v>
      </c>
      <c r="K4063" s="106"/>
      <c r="L4063" s="106"/>
      <c r="M4063" s="129"/>
    </row>
    <row r="4064" spans="1:13" s="146" customFormat="1">
      <c r="A4064" s="193" t="s">
        <v>506</v>
      </c>
      <c r="B4064" s="210">
        <v>12</v>
      </c>
      <c r="C4064" s="191" t="str">
        <f>IF('IWP08'!E$534=0,"",'IWP08'!E$534)</f>
        <v>D.</v>
      </c>
      <c r="D4064" s="211">
        <f>'IWP08'!G$534</f>
        <v>0</v>
      </c>
      <c r="E4064" s="211" t="str">
        <f>'IWP08'!H$534</f>
        <v>E.</v>
      </c>
      <c r="F4064" s="211" t="str">
        <f>'IWP08'!I$534</f>
        <v>F.</v>
      </c>
      <c r="G4064" s="191" t="str">
        <f>IF('IWP08'!J$534=0,"",'IWP08'!J$534)</f>
        <v>G.</v>
      </c>
      <c r="H4064" s="211">
        <f>'IWP08'!K$534</f>
        <v>0</v>
      </c>
      <c r="I4064" s="211" t="str">
        <f>'IWP08'!L$534</f>
        <v>H.</v>
      </c>
      <c r="J4064" s="212" t="str">
        <f>'IWP08'!M$534</f>
        <v>I.</v>
      </c>
      <c r="K4064" s="106"/>
      <c r="L4064" s="106"/>
      <c r="M4064" s="129"/>
    </row>
    <row r="4065" spans="1:13" s="146" customFormat="1">
      <c r="A4065" s="193" t="s">
        <v>506</v>
      </c>
      <c r="B4065" s="210">
        <v>12</v>
      </c>
      <c r="C4065" s="191" t="str">
        <f>IF('IWP08'!E$535=0,"",'IWP08'!E$535)</f>
        <v xml:space="preserve">Items/Services Related to Billing Period </v>
      </c>
      <c r="D4065" s="211">
        <f>'IWP08'!G$535</f>
        <v>0</v>
      </c>
      <c r="E4065" s="211" t="str">
        <f>'IWP08'!H$535</f>
        <v xml:space="preserve">Item/
Service Verified Amounts
</v>
      </c>
      <c r="F4065" s="211" t="str">
        <f>'IWP08'!I$535</f>
        <v>Amount Due to DADS (E. - D.)</v>
      </c>
      <c r="G4065" s="191" t="str">
        <f>IF('IWP08'!J$535=0,"",'IWP08'!J$535)</f>
        <v>Amount Reimbursed to 
Employee(s)/Employer</v>
      </c>
      <c r="H4065" s="211">
        <f>'IWP08'!K$535</f>
        <v>0</v>
      </c>
      <c r="I4065" s="211" t="str">
        <f>'IWP08'!L$535</f>
        <v>Amount Due to Employee(s) (G. - E.)</v>
      </c>
      <c r="J4065" s="212" t="str">
        <f>'IWP08'!M$535</f>
        <v>Amount Due to Employer (G. - E.)</v>
      </c>
      <c r="K4065" s="106"/>
      <c r="L4065" s="106"/>
      <c r="M4065" s="129"/>
    </row>
    <row r="4066" spans="1:13" s="146" customFormat="1">
      <c r="A4066" s="193" t="s">
        <v>506</v>
      </c>
      <c r="B4066" s="210">
        <v>12</v>
      </c>
      <c r="C4066" s="191" t="str">
        <f>IF('IWP08'!E$536=0,"",'IWP08'!E$536)</f>
        <v>Item/Service</v>
      </c>
      <c r="D4066" s="211" t="str">
        <f>'IWP08'!G$536</f>
        <v>Itemized Amount Paid by DADS</v>
      </c>
      <c r="E4066" s="211">
        <f>'IWP08'!H$536</f>
        <v>0</v>
      </c>
      <c r="F4066" s="211">
        <f>'IWP08'!I$536</f>
        <v>0</v>
      </c>
      <c r="G4066" s="191" t="str">
        <f>IF('IWP08'!J$536=0,"",'IWP08'!J$536)</f>
        <v/>
      </c>
      <c r="H4066" s="211">
        <f>'IWP08'!K$536</f>
        <v>0</v>
      </c>
      <c r="I4066" s="211">
        <f>'IWP08'!L$536</f>
        <v>0</v>
      </c>
      <c r="J4066" s="212">
        <f>'IWP08'!M$536</f>
        <v>0</v>
      </c>
      <c r="K4066" s="106"/>
      <c r="L4066" s="106"/>
      <c r="M4066" s="129"/>
    </row>
    <row r="4067" spans="1:13" s="146" customFormat="1">
      <c r="A4067" s="193" t="s">
        <v>506</v>
      </c>
      <c r="B4067" s="210">
        <v>12</v>
      </c>
      <c r="C4067" s="191" t="str">
        <f>IF('IWP08'!E$537=0,"",'IWP08'!E$537)</f>
        <v/>
      </c>
      <c r="D4067" s="211">
        <f>'IWP08'!G$537</f>
        <v>0</v>
      </c>
      <c r="E4067" s="211">
        <f>'IWP08'!H$537</f>
        <v>0</v>
      </c>
      <c r="F4067" s="211">
        <f>'IWP08'!I$537</f>
        <v>0</v>
      </c>
      <c r="G4067" s="191" t="str">
        <f>IF('IWP08'!J$537=0,"",'IWP08'!J$537)</f>
        <v/>
      </c>
      <c r="H4067" s="211">
        <f>'IWP08'!K$537</f>
        <v>0</v>
      </c>
      <c r="I4067" s="211">
        <f>'IWP08'!L$537</f>
        <v>0</v>
      </c>
      <c r="J4067" s="212">
        <f>'IWP08'!M$537</f>
        <v>0</v>
      </c>
      <c r="K4067" s="106"/>
      <c r="L4067" s="106"/>
      <c r="M4067" s="129"/>
    </row>
    <row r="4068" spans="1:13" s="146" customFormat="1">
      <c r="A4068" s="193" t="s">
        <v>506</v>
      </c>
      <c r="B4068" s="210">
        <v>12</v>
      </c>
      <c r="C4068" s="191" t="str">
        <f>IF('IWP08'!E$538=0,"",'IWP08'!E$538)</f>
        <v/>
      </c>
      <c r="D4068" s="211">
        <f>'IWP08'!G$538</f>
        <v>0</v>
      </c>
      <c r="E4068" s="211">
        <f>'IWP08'!H$538</f>
        <v>0</v>
      </c>
      <c r="F4068" s="211">
        <f>'IWP08'!I$538</f>
        <v>0</v>
      </c>
      <c r="G4068" s="191" t="str">
        <f>IF('IWP08'!J$538=0,"",'IWP08'!J$538)</f>
        <v/>
      </c>
      <c r="H4068" s="211">
        <f>'IWP08'!K$538</f>
        <v>0</v>
      </c>
      <c r="I4068" s="211">
        <f>'IWP08'!L$538</f>
        <v>0</v>
      </c>
      <c r="J4068" s="212">
        <f>'IWP08'!M$538</f>
        <v>0</v>
      </c>
      <c r="K4068" s="106"/>
      <c r="L4068" s="106"/>
      <c r="M4068" s="129"/>
    </row>
    <row r="4069" spans="1:13" s="146" customFormat="1">
      <c r="A4069" s="193" t="s">
        <v>506</v>
      </c>
      <c r="B4069" s="210">
        <v>12</v>
      </c>
      <c r="C4069" s="191" t="str">
        <f>IF('IWP08'!E$539=0,"",'IWP08'!E$539)</f>
        <v/>
      </c>
      <c r="D4069" s="211">
        <f>'IWP08'!G$539</f>
        <v>0</v>
      </c>
      <c r="E4069" s="211">
        <f>'IWP08'!H$539</f>
        <v>0</v>
      </c>
      <c r="F4069" s="211">
        <f>'IWP08'!I$539</f>
        <v>0</v>
      </c>
      <c r="G4069" s="191" t="str">
        <f>IF('IWP08'!J$539=0,"",'IWP08'!J$539)</f>
        <v/>
      </c>
      <c r="H4069" s="211">
        <f>'IWP08'!K$539</f>
        <v>0</v>
      </c>
      <c r="I4069" s="211">
        <f>'IWP08'!L$539</f>
        <v>0</v>
      </c>
      <c r="J4069" s="212">
        <f>'IWP08'!M$539</f>
        <v>0</v>
      </c>
      <c r="K4069" s="106"/>
      <c r="L4069" s="106"/>
      <c r="M4069" s="129"/>
    </row>
    <row r="4070" spans="1:13" s="146" customFormat="1">
      <c r="A4070" s="193" t="s">
        <v>506</v>
      </c>
      <c r="B4070" s="210">
        <v>12</v>
      </c>
      <c r="C4070" s="191" t="str">
        <f>IF('IWP08'!E$540=0,"",'IWP08'!E$540)</f>
        <v/>
      </c>
      <c r="D4070" s="211">
        <f>'IWP08'!G$540</f>
        <v>0</v>
      </c>
      <c r="E4070" s="211">
        <f>'IWP08'!H$540</f>
        <v>0</v>
      </c>
      <c r="F4070" s="211">
        <f>'IWP08'!I$540</f>
        <v>0</v>
      </c>
      <c r="G4070" s="191" t="str">
        <f>IF('IWP08'!J$540=0,"",'IWP08'!J$540)</f>
        <v/>
      </c>
      <c r="H4070" s="211">
        <f>'IWP08'!K$540</f>
        <v>0</v>
      </c>
      <c r="I4070" s="211">
        <f>'IWP08'!L$540</f>
        <v>0</v>
      </c>
      <c r="J4070" s="212">
        <f>'IWP08'!M$540</f>
        <v>0</v>
      </c>
      <c r="K4070" s="106"/>
      <c r="L4070" s="106"/>
      <c r="M4070" s="129"/>
    </row>
    <row r="4071" spans="1:13" s="146" customFormat="1">
      <c r="A4071" s="193" t="s">
        <v>506</v>
      </c>
      <c r="B4071" s="210">
        <v>13</v>
      </c>
      <c r="C4071" s="191" t="str">
        <f>IF('IWP08'!E$547=0,"",'IWP08'!E$547)</f>
        <v>Subtotal column D.</v>
      </c>
      <c r="D4071" s="211">
        <f>'IWP08'!G$547</f>
        <v>0</v>
      </c>
      <c r="E4071" s="211">
        <f>'IWP08'!H$547</f>
        <v>0</v>
      </c>
      <c r="F4071" s="211">
        <f>'IWP08'!I$547</f>
        <v>0</v>
      </c>
      <c r="G4071" s="191" t="str">
        <f>IF('IWP08'!J$547=0,"",'IWP08'!J$547)</f>
        <v/>
      </c>
      <c r="H4071" s="211">
        <f>'IWP08'!K$547</f>
        <v>0</v>
      </c>
      <c r="I4071" s="211">
        <f>'IWP08'!L$547</f>
        <v>0</v>
      </c>
      <c r="J4071" s="212">
        <f>'IWP08'!M$547</f>
        <v>0</v>
      </c>
      <c r="K4071" s="106"/>
      <c r="L4071" s="106"/>
      <c r="M4071" s="129"/>
    </row>
    <row r="4072" spans="1:13" s="146" customFormat="1">
      <c r="A4072" s="193" t="s">
        <v>506</v>
      </c>
      <c r="B4072" s="210">
        <v>13</v>
      </c>
      <c r="C4072" s="191" t="str">
        <f>IF('IWP08'!E$548=0,"",'IWP08'!E$548)</f>
        <v>Unverified/Undocumented (Subtotal D - C)</v>
      </c>
      <c r="D4072" s="211">
        <f>'IWP08'!G$548</f>
        <v>0</v>
      </c>
      <c r="E4072" s="211">
        <f>'IWP08'!H$548</f>
        <v>0</v>
      </c>
      <c r="F4072" s="211">
        <f>'IWP08'!I$548</f>
        <v>0</v>
      </c>
      <c r="G4072" s="191" t="str">
        <f>IF('IWP08'!J$548=0,"",'IWP08'!J$548)</f>
        <v/>
      </c>
      <c r="H4072" s="211">
        <f>'IWP08'!K$548</f>
        <v>0</v>
      </c>
      <c r="I4072" s="211">
        <f>'IWP08'!L$548</f>
        <v>0</v>
      </c>
      <c r="J4072" s="212">
        <f>'IWP08'!M$548</f>
        <v>0</v>
      </c>
      <c r="K4072" s="106"/>
      <c r="L4072" s="106"/>
      <c r="M4072" s="129"/>
    </row>
    <row r="4073" spans="1:13" s="146" customFormat="1">
      <c r="A4073" s="193" t="s">
        <v>506</v>
      </c>
      <c r="B4073" s="210">
        <v>13</v>
      </c>
      <c r="C4073" s="191" t="str">
        <f>IF('IWP08'!E$549=0,"",'IWP08'!E$549)</f>
        <v>J. Billing Period Total</v>
      </c>
      <c r="D4073" s="211">
        <f>'IWP08'!G$549</f>
        <v>0</v>
      </c>
      <c r="E4073" s="211">
        <f>'IWP08'!H$549</f>
        <v>0</v>
      </c>
      <c r="F4073" s="211">
        <f>'IWP08'!I$549</f>
        <v>0</v>
      </c>
      <c r="G4073" s="191" t="str">
        <f>IF('IWP08'!J$549=0,"",'IWP08'!J$549)</f>
        <v/>
      </c>
      <c r="H4073" s="211">
        <f>'IWP08'!K$549</f>
        <v>0</v>
      </c>
      <c r="I4073" s="211">
        <f>'IWP08'!L$549</f>
        <v>0</v>
      </c>
      <c r="J4073" s="212">
        <f>'IWP08'!M$549</f>
        <v>0</v>
      </c>
      <c r="K4073" s="106"/>
      <c r="L4073" s="106"/>
      <c r="M4073" s="129"/>
    </row>
    <row r="4074" spans="1:13" s="146" customFormat="1">
      <c r="A4074" s="193" t="s">
        <v>506</v>
      </c>
      <c r="B4074" s="210">
        <v>13</v>
      </c>
      <c r="C4074" s="191" t="str">
        <f>IF('IWP08'!E$550=0,"",'IWP08'!E$550)</f>
        <v>D.</v>
      </c>
      <c r="D4074" s="211">
        <f>'IWP08'!G$550</f>
        <v>0</v>
      </c>
      <c r="E4074" s="211" t="str">
        <f>'IWP08'!H$550</f>
        <v>E.</v>
      </c>
      <c r="F4074" s="211" t="str">
        <f>'IWP08'!I$550</f>
        <v>F.</v>
      </c>
      <c r="G4074" s="191" t="str">
        <f>IF('IWP08'!J$550=0,"",'IWP08'!J$550)</f>
        <v>G.</v>
      </c>
      <c r="H4074" s="211">
        <f>'IWP08'!K$550</f>
        <v>0</v>
      </c>
      <c r="I4074" s="211" t="str">
        <f>'IWP08'!L$550</f>
        <v>H.</v>
      </c>
      <c r="J4074" s="212" t="str">
        <f>'IWP08'!M$550</f>
        <v>I.</v>
      </c>
      <c r="K4074" s="106"/>
      <c r="L4074" s="106"/>
      <c r="M4074" s="129"/>
    </row>
    <row r="4075" spans="1:13" s="146" customFormat="1">
      <c r="A4075" s="193" t="s">
        <v>506</v>
      </c>
      <c r="B4075" s="210">
        <v>13</v>
      </c>
      <c r="C4075" s="191" t="str">
        <f>IF('IWP08'!E$551=0,"",'IWP08'!E$551)</f>
        <v xml:space="preserve">Items/Services Related to Billing Period </v>
      </c>
      <c r="D4075" s="211">
        <f>'IWP08'!G$551</f>
        <v>0</v>
      </c>
      <c r="E4075" s="211" t="str">
        <f>'IWP08'!H$551</f>
        <v xml:space="preserve">Item/
Service Verified Amounts
</v>
      </c>
      <c r="F4075" s="211" t="str">
        <f>'IWP08'!I$551</f>
        <v>Amount Due to DADS (E. - D.)</v>
      </c>
      <c r="G4075" s="191" t="str">
        <f>IF('IWP08'!J$551=0,"",'IWP08'!J$551)</f>
        <v>Amount Reimbursed to 
Employee(s)/Employer</v>
      </c>
      <c r="H4075" s="211">
        <f>'IWP08'!K$551</f>
        <v>0</v>
      </c>
      <c r="I4075" s="211" t="str">
        <f>'IWP08'!L$551</f>
        <v>Amount Due to Employee(s) (G. - E.)</v>
      </c>
      <c r="J4075" s="212" t="str">
        <f>'IWP08'!M$551</f>
        <v>Amount Due to Employer (G. - E.)</v>
      </c>
      <c r="K4075" s="106"/>
      <c r="L4075" s="106"/>
      <c r="M4075" s="129"/>
    </row>
    <row r="4076" spans="1:13" s="146" customFormat="1">
      <c r="A4076" s="193" t="s">
        <v>506</v>
      </c>
      <c r="B4076" s="210">
        <v>13</v>
      </c>
      <c r="C4076" s="191" t="str">
        <f>IF('IWP08'!E$552=0,"",'IWP08'!E$552)</f>
        <v>Item/Service</v>
      </c>
      <c r="D4076" s="211" t="str">
        <f>'IWP08'!G$552</f>
        <v>Itemized Amount Paid by DADS</v>
      </c>
      <c r="E4076" s="211">
        <f>'IWP08'!H$552</f>
        <v>0</v>
      </c>
      <c r="F4076" s="211">
        <f>'IWP08'!I$552</f>
        <v>0</v>
      </c>
      <c r="G4076" s="191" t="str">
        <f>IF('IWP08'!J$552=0,"",'IWP08'!J$552)</f>
        <v/>
      </c>
      <c r="H4076" s="211">
        <f>'IWP08'!K$552</f>
        <v>0</v>
      </c>
      <c r="I4076" s="211">
        <f>'IWP08'!L$552</f>
        <v>0</v>
      </c>
      <c r="J4076" s="212">
        <f>'IWP08'!M$552</f>
        <v>0</v>
      </c>
      <c r="K4076" s="106"/>
      <c r="L4076" s="106"/>
      <c r="M4076" s="129"/>
    </row>
    <row r="4077" spans="1:13" s="146" customFormat="1">
      <c r="A4077" s="193" t="s">
        <v>506</v>
      </c>
      <c r="B4077" s="210">
        <v>13</v>
      </c>
      <c r="C4077" s="191" t="str">
        <f>IF('IWP08'!E$553=0,"",'IWP08'!E$553)</f>
        <v/>
      </c>
      <c r="D4077" s="211">
        <f>'IWP08'!G$553</f>
        <v>0</v>
      </c>
      <c r="E4077" s="211">
        <f>'IWP08'!H$553</f>
        <v>0</v>
      </c>
      <c r="F4077" s="211">
        <f>'IWP08'!I$553</f>
        <v>0</v>
      </c>
      <c r="G4077" s="191" t="str">
        <f>IF('IWP08'!J$553=0,"",'IWP08'!J$553)</f>
        <v/>
      </c>
      <c r="H4077" s="211">
        <f>'IWP08'!K$553</f>
        <v>0</v>
      </c>
      <c r="I4077" s="211">
        <f>'IWP08'!L$553</f>
        <v>0</v>
      </c>
      <c r="J4077" s="212">
        <f>'IWP08'!M$553</f>
        <v>0</v>
      </c>
      <c r="K4077" s="106"/>
      <c r="L4077" s="106"/>
      <c r="M4077" s="129"/>
    </row>
    <row r="4078" spans="1:13" s="146" customFormat="1">
      <c r="A4078" s="193" t="s">
        <v>506</v>
      </c>
      <c r="B4078" s="210">
        <v>13</v>
      </c>
      <c r="C4078" s="191" t="str">
        <f>IF('IWP08'!E$554=0,"",'IWP08'!E$554)</f>
        <v/>
      </c>
      <c r="D4078" s="211">
        <f>'IWP08'!G$554</f>
        <v>0</v>
      </c>
      <c r="E4078" s="211">
        <f>'IWP08'!H$554</f>
        <v>0</v>
      </c>
      <c r="F4078" s="211">
        <f>'IWP08'!I$554</f>
        <v>0</v>
      </c>
      <c r="G4078" s="191" t="str">
        <f>IF('IWP08'!J$554=0,"",'IWP08'!J$554)</f>
        <v/>
      </c>
      <c r="H4078" s="211">
        <f>'IWP08'!K$554</f>
        <v>0</v>
      </c>
      <c r="I4078" s="211">
        <f>'IWP08'!L$554</f>
        <v>0</v>
      </c>
      <c r="J4078" s="212">
        <f>'IWP08'!M$554</f>
        <v>0</v>
      </c>
      <c r="K4078" s="106"/>
      <c r="L4078" s="106"/>
      <c r="M4078" s="129"/>
    </row>
    <row r="4079" spans="1:13" s="146" customFormat="1">
      <c r="A4079" s="193" t="s">
        <v>506</v>
      </c>
      <c r="B4079" s="210">
        <v>13</v>
      </c>
      <c r="C4079" s="191" t="str">
        <f>IF('IWP08'!E$555=0,"",'IWP08'!E$555)</f>
        <v/>
      </c>
      <c r="D4079" s="211">
        <f>'IWP08'!G$555</f>
        <v>0</v>
      </c>
      <c r="E4079" s="211">
        <f>'IWP08'!H$555</f>
        <v>0</v>
      </c>
      <c r="F4079" s="211">
        <f>'IWP08'!I$555</f>
        <v>0</v>
      </c>
      <c r="G4079" s="191" t="str">
        <f>IF('IWP08'!J$555=0,"",'IWP08'!J$555)</f>
        <v/>
      </c>
      <c r="H4079" s="211">
        <f>'IWP08'!K$555</f>
        <v>0</v>
      </c>
      <c r="I4079" s="211">
        <f>'IWP08'!L$555</f>
        <v>0</v>
      </c>
      <c r="J4079" s="212">
        <f>'IWP08'!M$555</f>
        <v>0</v>
      </c>
      <c r="K4079" s="106"/>
      <c r="L4079" s="106"/>
      <c r="M4079" s="129"/>
    </row>
    <row r="4080" spans="1:13" s="146" customFormat="1">
      <c r="A4080" s="193" t="s">
        <v>506</v>
      </c>
      <c r="B4080" s="210">
        <v>13</v>
      </c>
      <c r="C4080" s="191" t="str">
        <f>IF('IWP08'!E$556=0,"",'IWP08'!E$556)</f>
        <v/>
      </c>
      <c r="D4080" s="211">
        <f>'IWP08'!G$556</f>
        <v>0</v>
      </c>
      <c r="E4080" s="211">
        <f>'IWP08'!H$556</f>
        <v>0</v>
      </c>
      <c r="F4080" s="211">
        <f>'IWP08'!I$556</f>
        <v>0</v>
      </c>
      <c r="G4080" s="191" t="str">
        <f>IF('IWP08'!J$556=0,"",'IWP08'!J$556)</f>
        <v/>
      </c>
      <c r="H4080" s="211">
        <f>'IWP08'!K$556</f>
        <v>0</v>
      </c>
      <c r="I4080" s="211">
        <f>'IWP08'!L$556</f>
        <v>0</v>
      </c>
      <c r="J4080" s="212">
        <f>'IWP08'!M$556</f>
        <v>0</v>
      </c>
      <c r="K4080" s="106"/>
      <c r="L4080" s="106"/>
      <c r="M4080" s="129"/>
    </row>
    <row r="4081" spans="1:13" s="146" customFormat="1">
      <c r="A4081" s="193" t="s">
        <v>506</v>
      </c>
      <c r="B4081" s="210">
        <v>14</v>
      </c>
      <c r="C4081" s="191" t="str">
        <f>IF('IWP08'!E$563=0,"",'IWP08'!E$563)</f>
        <v>Subtotal column D.</v>
      </c>
      <c r="D4081" s="211">
        <f>'IWP08'!G$563</f>
        <v>0</v>
      </c>
      <c r="E4081" s="211">
        <f>'IWP08'!H$563</f>
        <v>0</v>
      </c>
      <c r="F4081" s="211">
        <f>'IWP08'!I$563</f>
        <v>0</v>
      </c>
      <c r="G4081" s="191" t="str">
        <f>IF('IWP08'!J$563=0,"",'IWP08'!J$563)</f>
        <v/>
      </c>
      <c r="H4081" s="211">
        <f>'IWP08'!K$563</f>
        <v>0</v>
      </c>
      <c r="I4081" s="211">
        <f>'IWP08'!L$563</f>
        <v>0</v>
      </c>
      <c r="J4081" s="212">
        <f>'IWP08'!M$563</f>
        <v>0</v>
      </c>
      <c r="K4081" s="106"/>
      <c r="L4081" s="106"/>
      <c r="M4081" s="129"/>
    </row>
    <row r="4082" spans="1:13" s="146" customFormat="1">
      <c r="A4082" s="193" t="s">
        <v>506</v>
      </c>
      <c r="B4082" s="210">
        <v>14</v>
      </c>
      <c r="C4082" s="191" t="str">
        <f>IF('IWP08'!E$564=0,"",'IWP08'!E$564)</f>
        <v>Unverified/Undocumented (Subtotal D - C)</v>
      </c>
      <c r="D4082" s="211">
        <f>'IWP08'!G$564</f>
        <v>0</v>
      </c>
      <c r="E4082" s="211">
        <f>'IWP08'!H$564</f>
        <v>0</v>
      </c>
      <c r="F4082" s="211">
        <f>'IWP08'!I$564</f>
        <v>0</v>
      </c>
      <c r="G4082" s="191" t="str">
        <f>IF('IWP08'!J$564=0,"",'IWP08'!J$564)</f>
        <v/>
      </c>
      <c r="H4082" s="211">
        <f>'IWP08'!K$564</f>
        <v>0</v>
      </c>
      <c r="I4082" s="211">
        <f>'IWP08'!L$564</f>
        <v>0</v>
      </c>
      <c r="J4082" s="212">
        <f>'IWP08'!M$564</f>
        <v>0</v>
      </c>
      <c r="K4082" s="106"/>
      <c r="L4082" s="106"/>
      <c r="M4082" s="129"/>
    </row>
    <row r="4083" spans="1:13" s="146" customFormat="1">
      <c r="A4083" s="193" t="s">
        <v>506</v>
      </c>
      <c r="B4083" s="210">
        <v>14</v>
      </c>
      <c r="C4083" s="191" t="str">
        <f>IF('IWP08'!E$565=0,"",'IWP08'!E$565)</f>
        <v>J. Billing Period Total</v>
      </c>
      <c r="D4083" s="211">
        <f>'IWP08'!G$565</f>
        <v>0</v>
      </c>
      <c r="E4083" s="211">
        <f>'IWP08'!H$565</f>
        <v>0</v>
      </c>
      <c r="F4083" s="211">
        <f>'IWP08'!I$565</f>
        <v>0</v>
      </c>
      <c r="G4083" s="191" t="str">
        <f>IF('IWP08'!J$565=0,"",'IWP08'!J$565)</f>
        <v/>
      </c>
      <c r="H4083" s="211">
        <f>'IWP08'!K$565</f>
        <v>0</v>
      </c>
      <c r="I4083" s="211">
        <f>'IWP08'!L$565</f>
        <v>0</v>
      </c>
      <c r="J4083" s="212">
        <f>'IWP08'!M$565</f>
        <v>0</v>
      </c>
      <c r="K4083" s="106"/>
      <c r="L4083" s="106"/>
      <c r="M4083" s="129"/>
    </row>
    <row r="4084" spans="1:13" s="146" customFormat="1">
      <c r="A4084" s="193" t="s">
        <v>506</v>
      </c>
      <c r="B4084" s="210">
        <v>14</v>
      </c>
      <c r="C4084" s="191" t="str">
        <f>IF('IWP08'!E$566=0,"",'IWP08'!E$566)</f>
        <v>D.</v>
      </c>
      <c r="D4084" s="211">
        <f>'IWP08'!G$566</f>
        <v>0</v>
      </c>
      <c r="E4084" s="211" t="str">
        <f>'IWP08'!H$566</f>
        <v>E.</v>
      </c>
      <c r="F4084" s="211" t="str">
        <f>'IWP08'!I$566</f>
        <v>F.</v>
      </c>
      <c r="G4084" s="191" t="str">
        <f>IF('IWP08'!J$566=0,"",'IWP08'!J$566)</f>
        <v>G.</v>
      </c>
      <c r="H4084" s="211">
        <f>'IWP08'!K$566</f>
        <v>0</v>
      </c>
      <c r="I4084" s="211" t="str">
        <f>'IWP08'!L$566</f>
        <v>H.</v>
      </c>
      <c r="J4084" s="212" t="str">
        <f>'IWP08'!M$566</f>
        <v>I.</v>
      </c>
      <c r="K4084" s="106"/>
      <c r="L4084" s="106"/>
      <c r="M4084" s="129"/>
    </row>
    <row r="4085" spans="1:13" s="146" customFormat="1">
      <c r="A4085" s="193" t="s">
        <v>506</v>
      </c>
      <c r="B4085" s="210">
        <v>14</v>
      </c>
      <c r="C4085" s="191" t="str">
        <f>IF('IWP08'!E$567=0,"",'IWP08'!E$567)</f>
        <v xml:space="preserve">Items/Services Related to Billing Period </v>
      </c>
      <c r="D4085" s="211">
        <f>'IWP08'!G$567</f>
        <v>0</v>
      </c>
      <c r="E4085" s="211" t="str">
        <f>'IWP08'!H$567</f>
        <v xml:space="preserve">Item/
Service Verified Amounts
</v>
      </c>
      <c r="F4085" s="211" t="str">
        <f>'IWP08'!I$567</f>
        <v>Amount Due to DADS (E. - D.)</v>
      </c>
      <c r="G4085" s="191" t="str">
        <f>IF('IWP08'!J$567=0,"",'IWP08'!J$567)</f>
        <v>Amount Reimbursed to 
Employee(s)/Employer</v>
      </c>
      <c r="H4085" s="211">
        <f>'IWP08'!K$567</f>
        <v>0</v>
      </c>
      <c r="I4085" s="211" t="str">
        <f>'IWP08'!L$567</f>
        <v>Amount Due to Employee(s) (G. - E.)</v>
      </c>
      <c r="J4085" s="212" t="str">
        <f>'IWP08'!M$567</f>
        <v>Amount Due to Employer (G. - E.)</v>
      </c>
      <c r="K4085" s="106"/>
      <c r="L4085" s="106"/>
      <c r="M4085" s="129"/>
    </row>
    <row r="4086" spans="1:13" s="146" customFormat="1">
      <c r="A4086" s="193" t="s">
        <v>506</v>
      </c>
      <c r="B4086" s="210">
        <v>14</v>
      </c>
      <c r="C4086" s="191" t="str">
        <f>IF('IWP08'!E$568=0,"",'IWP08'!E$568)</f>
        <v>Item/Service</v>
      </c>
      <c r="D4086" s="211" t="str">
        <f>'IWP08'!G$568</f>
        <v>Itemized Amount Paid by DADS</v>
      </c>
      <c r="E4086" s="211">
        <f>'IWP08'!H$568</f>
        <v>0</v>
      </c>
      <c r="F4086" s="211">
        <f>'IWP08'!I$568</f>
        <v>0</v>
      </c>
      <c r="G4086" s="191" t="str">
        <f>IF('IWP08'!J$568=0,"",'IWP08'!J$568)</f>
        <v/>
      </c>
      <c r="H4086" s="211">
        <f>'IWP08'!K$568</f>
        <v>0</v>
      </c>
      <c r="I4086" s="211">
        <f>'IWP08'!L$568</f>
        <v>0</v>
      </c>
      <c r="J4086" s="212">
        <f>'IWP08'!M$568</f>
        <v>0</v>
      </c>
      <c r="K4086" s="106"/>
      <c r="L4086" s="106"/>
      <c r="M4086" s="129"/>
    </row>
    <row r="4087" spans="1:13" s="146" customFormat="1">
      <c r="A4087" s="193" t="s">
        <v>506</v>
      </c>
      <c r="B4087" s="210">
        <v>14</v>
      </c>
      <c r="C4087" s="191" t="str">
        <f>IF('IWP08'!E$569=0,"",'IWP08'!E$569)</f>
        <v/>
      </c>
      <c r="D4087" s="211">
        <f>'IWP08'!G$569</f>
        <v>0</v>
      </c>
      <c r="E4087" s="211">
        <f>'IWP08'!H$569</f>
        <v>0</v>
      </c>
      <c r="F4087" s="211">
        <f>'IWP08'!I$569</f>
        <v>0</v>
      </c>
      <c r="G4087" s="191" t="str">
        <f>IF('IWP08'!J$569=0,"",'IWP08'!J$569)</f>
        <v/>
      </c>
      <c r="H4087" s="211">
        <f>'IWP08'!K$569</f>
        <v>0</v>
      </c>
      <c r="I4087" s="211">
        <f>'IWP08'!L$569</f>
        <v>0</v>
      </c>
      <c r="J4087" s="212">
        <f>'IWP08'!M$569</f>
        <v>0</v>
      </c>
      <c r="K4087" s="106"/>
      <c r="L4087" s="106"/>
      <c r="M4087" s="129"/>
    </row>
    <row r="4088" spans="1:13" s="146" customFormat="1">
      <c r="A4088" s="193" t="s">
        <v>506</v>
      </c>
      <c r="B4088" s="210">
        <v>14</v>
      </c>
      <c r="C4088" s="191" t="str">
        <f>IF('IWP08'!E$570=0,"",'IWP08'!E$570)</f>
        <v/>
      </c>
      <c r="D4088" s="211">
        <f>'IWP08'!G$570</f>
        <v>0</v>
      </c>
      <c r="E4088" s="211">
        <f>'IWP08'!H$570</f>
        <v>0</v>
      </c>
      <c r="F4088" s="211">
        <f>'IWP08'!I$570</f>
        <v>0</v>
      </c>
      <c r="G4088" s="191" t="str">
        <f>IF('IWP08'!J$570=0,"",'IWP08'!J$570)</f>
        <v/>
      </c>
      <c r="H4088" s="211">
        <f>'IWP08'!K$570</f>
        <v>0</v>
      </c>
      <c r="I4088" s="211">
        <f>'IWP08'!L$570</f>
        <v>0</v>
      </c>
      <c r="J4088" s="212">
        <f>'IWP08'!M$570</f>
        <v>0</v>
      </c>
      <c r="K4088" s="106"/>
      <c r="L4088" s="106"/>
      <c r="M4088" s="129"/>
    </row>
    <row r="4089" spans="1:13" s="146" customFormat="1">
      <c r="A4089" s="193" t="s">
        <v>506</v>
      </c>
      <c r="B4089" s="210">
        <v>14</v>
      </c>
      <c r="C4089" s="191" t="str">
        <f>IF('IWP08'!E$571=0,"",'IWP08'!E$571)</f>
        <v/>
      </c>
      <c r="D4089" s="211">
        <f>'IWP08'!G$571</f>
        <v>0</v>
      </c>
      <c r="E4089" s="211">
        <f>'IWP08'!H$571</f>
        <v>0</v>
      </c>
      <c r="F4089" s="211">
        <f>'IWP08'!I$571</f>
        <v>0</v>
      </c>
      <c r="G4089" s="191" t="str">
        <f>IF('IWP08'!J$571=0,"",'IWP08'!J$571)</f>
        <v/>
      </c>
      <c r="H4089" s="211">
        <f>'IWP08'!K$571</f>
        <v>0</v>
      </c>
      <c r="I4089" s="211">
        <f>'IWP08'!L$571</f>
        <v>0</v>
      </c>
      <c r="J4089" s="212">
        <f>'IWP08'!M$571</f>
        <v>0</v>
      </c>
      <c r="K4089" s="106"/>
      <c r="L4089" s="106"/>
      <c r="M4089" s="129"/>
    </row>
    <row r="4090" spans="1:13" s="146" customFormat="1">
      <c r="A4090" s="193" t="s">
        <v>506</v>
      </c>
      <c r="B4090" s="210">
        <v>14</v>
      </c>
      <c r="C4090" s="191" t="str">
        <f>IF('IWP08'!E$572=0,"",'IWP08'!E$572)</f>
        <v/>
      </c>
      <c r="D4090" s="211">
        <f>'IWP08'!G$572</f>
        <v>0</v>
      </c>
      <c r="E4090" s="211">
        <f>'IWP08'!H$572</f>
        <v>0</v>
      </c>
      <c r="F4090" s="211">
        <f>'IWP08'!I$572</f>
        <v>0</v>
      </c>
      <c r="G4090" s="191" t="str">
        <f>IF('IWP08'!J$572=0,"",'IWP08'!J$572)</f>
        <v/>
      </c>
      <c r="H4090" s="211">
        <f>'IWP08'!K$572</f>
        <v>0</v>
      </c>
      <c r="I4090" s="211">
        <f>'IWP08'!L$572</f>
        <v>0</v>
      </c>
      <c r="J4090" s="212">
        <f>'IWP08'!M$572</f>
        <v>0</v>
      </c>
      <c r="K4090" s="106"/>
      <c r="L4090" s="106"/>
      <c r="M4090" s="129"/>
    </row>
    <row r="4091" spans="1:13" s="146" customFormat="1">
      <c r="A4091" s="193" t="s">
        <v>506</v>
      </c>
      <c r="B4091" s="210">
        <v>15</v>
      </c>
      <c r="C4091" s="191" t="str">
        <f>IF('IWP08'!E$579=0,"",'IWP08'!E$579)</f>
        <v>Subtotal column D.</v>
      </c>
      <c r="D4091" s="211">
        <f>'IWP08'!G$579</f>
        <v>0</v>
      </c>
      <c r="E4091" s="211">
        <f>'IWP08'!H$579</f>
        <v>0</v>
      </c>
      <c r="F4091" s="211">
        <f>'IWP08'!I$579</f>
        <v>0</v>
      </c>
      <c r="G4091" s="191" t="str">
        <f>IF('IWP08'!J$579=0,"",'IWP08'!J$579)</f>
        <v/>
      </c>
      <c r="H4091" s="211">
        <f>'IWP08'!K$579</f>
        <v>0</v>
      </c>
      <c r="I4091" s="211">
        <f>'IWP08'!L$579</f>
        <v>0</v>
      </c>
      <c r="J4091" s="212">
        <f>'IWP08'!M$579</f>
        <v>0</v>
      </c>
      <c r="K4091" s="106"/>
      <c r="L4091" s="106"/>
      <c r="M4091" s="129"/>
    </row>
    <row r="4092" spans="1:13" s="146" customFormat="1">
      <c r="A4092" s="193" t="s">
        <v>506</v>
      </c>
      <c r="B4092" s="210">
        <v>15</v>
      </c>
      <c r="C4092" s="191" t="str">
        <f>IF('IWP08'!E$580=0,"",'IWP08'!E$580)</f>
        <v>Unverified/Undocumented (Subtotal D - C)</v>
      </c>
      <c r="D4092" s="211">
        <f>'IWP08'!G$580</f>
        <v>0</v>
      </c>
      <c r="E4092" s="211">
        <f>'IWP08'!H$580</f>
        <v>0</v>
      </c>
      <c r="F4092" s="211">
        <f>'IWP08'!I$580</f>
        <v>0</v>
      </c>
      <c r="G4092" s="191" t="str">
        <f>IF('IWP08'!J$580=0,"",'IWP08'!J$580)</f>
        <v/>
      </c>
      <c r="H4092" s="211">
        <f>'IWP08'!K$580</f>
        <v>0</v>
      </c>
      <c r="I4092" s="211">
        <f>'IWP08'!L$580</f>
        <v>0</v>
      </c>
      <c r="J4092" s="212">
        <f>'IWP08'!M$580</f>
        <v>0</v>
      </c>
      <c r="K4092" s="106"/>
      <c r="L4092" s="106"/>
      <c r="M4092" s="129"/>
    </row>
    <row r="4093" spans="1:13" s="146" customFormat="1">
      <c r="A4093" s="193" t="s">
        <v>506</v>
      </c>
      <c r="B4093" s="210">
        <v>15</v>
      </c>
      <c r="C4093" s="191" t="str">
        <f>IF('IWP08'!E$581=0,"",'IWP08'!E$581)</f>
        <v>J. Billing Period Total</v>
      </c>
      <c r="D4093" s="211">
        <f>'IWP08'!G$581</f>
        <v>0</v>
      </c>
      <c r="E4093" s="211">
        <f>'IWP08'!H$581</f>
        <v>0</v>
      </c>
      <c r="F4093" s="211">
        <f>'IWP08'!I$581</f>
        <v>0</v>
      </c>
      <c r="G4093" s="191" t="str">
        <f>IF('IWP08'!J$581=0,"",'IWP08'!J$581)</f>
        <v/>
      </c>
      <c r="H4093" s="211">
        <f>'IWP08'!K$581</f>
        <v>0</v>
      </c>
      <c r="I4093" s="211">
        <f>'IWP08'!L$581</f>
        <v>0</v>
      </c>
      <c r="J4093" s="212">
        <f>'IWP08'!M$581</f>
        <v>0</v>
      </c>
      <c r="K4093" s="106"/>
      <c r="L4093" s="106"/>
      <c r="M4093" s="129"/>
    </row>
    <row r="4094" spans="1:13" s="146" customFormat="1">
      <c r="A4094" s="193" t="s">
        <v>506</v>
      </c>
      <c r="B4094" s="210">
        <v>15</v>
      </c>
      <c r="C4094" s="191" t="str">
        <f>IF('IWP08'!E$582=0,"",'IWP08'!E$582)</f>
        <v>D.</v>
      </c>
      <c r="D4094" s="211">
        <f>'IWP08'!G$582</f>
        <v>0</v>
      </c>
      <c r="E4094" s="211" t="str">
        <f>'IWP08'!H$582</f>
        <v>E.</v>
      </c>
      <c r="F4094" s="211" t="str">
        <f>'IWP08'!I$582</f>
        <v>F.</v>
      </c>
      <c r="G4094" s="191" t="str">
        <f>IF('IWP08'!J$582=0,"",'IWP08'!J$582)</f>
        <v>G.</v>
      </c>
      <c r="H4094" s="211">
        <f>'IWP08'!K$582</f>
        <v>0</v>
      </c>
      <c r="I4094" s="211" t="str">
        <f>'IWP08'!L$582</f>
        <v>H.</v>
      </c>
      <c r="J4094" s="212" t="str">
        <f>'IWP08'!M$582</f>
        <v>I.</v>
      </c>
      <c r="K4094" s="106"/>
      <c r="L4094" s="106"/>
      <c r="M4094" s="129"/>
    </row>
    <row r="4095" spans="1:13" s="146" customFormat="1">
      <c r="A4095" s="193" t="s">
        <v>506</v>
      </c>
      <c r="B4095" s="210">
        <v>15</v>
      </c>
      <c r="C4095" s="191" t="str">
        <f>IF('IWP08'!E$583=0,"",'IWP08'!E$583)</f>
        <v xml:space="preserve">Items/Services Related to Billing Period </v>
      </c>
      <c r="D4095" s="211">
        <f>'IWP08'!G$583</f>
        <v>0</v>
      </c>
      <c r="E4095" s="211" t="str">
        <f>'IWP08'!H$583</f>
        <v xml:space="preserve">Item/
Service Verified Amounts
</v>
      </c>
      <c r="F4095" s="211" t="str">
        <f>'IWP08'!I$583</f>
        <v>Amount Due to DADS (E. - D.)</v>
      </c>
      <c r="G4095" s="191" t="str">
        <f>IF('IWP08'!J$583=0,"",'IWP08'!J$583)</f>
        <v>Amount Reimbursed to 
Employee(s)/Employer</v>
      </c>
      <c r="H4095" s="211">
        <f>'IWP08'!K$583</f>
        <v>0</v>
      </c>
      <c r="I4095" s="211" t="str">
        <f>'IWP08'!L$583</f>
        <v>Amount Due to Employee(s) (G. - E.)</v>
      </c>
      <c r="J4095" s="212" t="str">
        <f>'IWP08'!M$583</f>
        <v>Amount Due to Employer (G. - E.)</v>
      </c>
      <c r="K4095" s="106"/>
      <c r="L4095" s="106"/>
      <c r="M4095" s="129"/>
    </row>
    <row r="4096" spans="1:13" s="146" customFormat="1">
      <c r="A4096" s="193" t="s">
        <v>506</v>
      </c>
      <c r="B4096" s="210">
        <v>15</v>
      </c>
      <c r="C4096" s="191" t="str">
        <f>IF('IWP08'!E$584=0,"",'IWP08'!E$584)</f>
        <v>Item/Service</v>
      </c>
      <c r="D4096" s="211" t="str">
        <f>'IWP08'!G$584</f>
        <v>Itemized Amount Paid by DADS</v>
      </c>
      <c r="E4096" s="211">
        <f>'IWP08'!H$584</f>
        <v>0</v>
      </c>
      <c r="F4096" s="211">
        <f>'IWP08'!I$584</f>
        <v>0</v>
      </c>
      <c r="G4096" s="191" t="str">
        <f>IF('IWP08'!J$584=0,"",'IWP08'!J$584)</f>
        <v/>
      </c>
      <c r="H4096" s="211">
        <f>'IWP08'!K$584</f>
        <v>0</v>
      </c>
      <c r="I4096" s="211">
        <f>'IWP08'!L$584</f>
        <v>0</v>
      </c>
      <c r="J4096" s="212">
        <f>'IWP08'!M$584</f>
        <v>0</v>
      </c>
      <c r="K4096" s="106"/>
      <c r="L4096" s="106"/>
      <c r="M4096" s="129"/>
    </row>
    <row r="4097" spans="1:13" s="146" customFormat="1">
      <c r="A4097" s="193" t="s">
        <v>506</v>
      </c>
      <c r="B4097" s="210">
        <v>15</v>
      </c>
      <c r="C4097" s="191" t="str">
        <f>IF('IWP08'!E$585=0,"",'IWP08'!E$585)</f>
        <v/>
      </c>
      <c r="D4097" s="211">
        <f>'IWP08'!G$585</f>
        <v>0</v>
      </c>
      <c r="E4097" s="211">
        <f>'IWP08'!H$585</f>
        <v>0</v>
      </c>
      <c r="F4097" s="211">
        <f>'IWP08'!I$585</f>
        <v>0</v>
      </c>
      <c r="G4097" s="191" t="str">
        <f>IF('IWP08'!J$585=0,"",'IWP08'!J$585)</f>
        <v/>
      </c>
      <c r="H4097" s="211">
        <f>'IWP08'!K$585</f>
        <v>0</v>
      </c>
      <c r="I4097" s="211">
        <f>'IWP08'!L$585</f>
        <v>0</v>
      </c>
      <c r="J4097" s="212">
        <f>'IWP08'!M$585</f>
        <v>0</v>
      </c>
      <c r="K4097" s="106"/>
      <c r="L4097" s="106"/>
      <c r="M4097" s="129"/>
    </row>
    <row r="4098" spans="1:13" s="146" customFormat="1">
      <c r="A4098" s="193" t="s">
        <v>506</v>
      </c>
      <c r="B4098" s="210">
        <v>15</v>
      </c>
      <c r="C4098" s="191" t="str">
        <f>IF('IWP08'!E$586=0,"",'IWP08'!E$586)</f>
        <v/>
      </c>
      <c r="D4098" s="211">
        <f>'IWP08'!G$586</f>
        <v>0</v>
      </c>
      <c r="E4098" s="211">
        <f>'IWP08'!H$586</f>
        <v>0</v>
      </c>
      <c r="F4098" s="211">
        <f>'IWP08'!I$586</f>
        <v>0</v>
      </c>
      <c r="G4098" s="191" t="str">
        <f>IF('IWP08'!J$586=0,"",'IWP08'!J$586)</f>
        <v/>
      </c>
      <c r="H4098" s="211">
        <f>'IWP08'!K$586</f>
        <v>0</v>
      </c>
      <c r="I4098" s="211">
        <f>'IWP08'!L$586</f>
        <v>0</v>
      </c>
      <c r="J4098" s="212">
        <f>'IWP08'!M$586</f>
        <v>0</v>
      </c>
      <c r="K4098" s="106"/>
      <c r="L4098" s="106"/>
      <c r="M4098" s="129"/>
    </row>
    <row r="4099" spans="1:13" s="146" customFormat="1">
      <c r="A4099" s="193" t="s">
        <v>506</v>
      </c>
      <c r="B4099" s="210">
        <v>15</v>
      </c>
      <c r="C4099" s="191" t="str">
        <f>IF('IWP08'!E$587=0,"",'IWP08'!E$587)</f>
        <v/>
      </c>
      <c r="D4099" s="211">
        <f>'IWP08'!G$587</f>
        <v>0</v>
      </c>
      <c r="E4099" s="211">
        <f>'IWP08'!H$587</f>
        <v>0</v>
      </c>
      <c r="F4099" s="211">
        <f>'IWP08'!I$587</f>
        <v>0</v>
      </c>
      <c r="G4099" s="191" t="str">
        <f>IF('IWP08'!J$587=0,"",'IWP08'!J$587)</f>
        <v/>
      </c>
      <c r="H4099" s="211">
        <f>'IWP08'!K$587</f>
        <v>0</v>
      </c>
      <c r="I4099" s="211">
        <f>'IWP08'!L$587</f>
        <v>0</v>
      </c>
      <c r="J4099" s="212">
        <f>'IWP08'!M$587</f>
        <v>0</v>
      </c>
      <c r="K4099" s="106"/>
      <c r="L4099" s="106"/>
      <c r="M4099" s="129"/>
    </row>
    <row r="4100" spans="1:13" s="146" customFormat="1">
      <c r="A4100" s="193" t="s">
        <v>506</v>
      </c>
      <c r="B4100" s="210">
        <v>15</v>
      </c>
      <c r="C4100" s="191" t="str">
        <f>IF('IWP08'!E$588=0,"",'IWP08'!E$588)</f>
        <v/>
      </c>
      <c r="D4100" s="211">
        <f>'IWP08'!G$588</f>
        <v>0</v>
      </c>
      <c r="E4100" s="211">
        <f>'IWP08'!H$588</f>
        <v>0</v>
      </c>
      <c r="F4100" s="211">
        <f>'IWP08'!I$588</f>
        <v>0</v>
      </c>
      <c r="G4100" s="191" t="str">
        <f>IF('IWP08'!J$588=0,"",'IWP08'!J$588)</f>
        <v/>
      </c>
      <c r="H4100" s="211">
        <f>'IWP08'!K$588</f>
        <v>0</v>
      </c>
      <c r="I4100" s="211">
        <f>'IWP08'!L$588</f>
        <v>0</v>
      </c>
      <c r="J4100" s="212">
        <f>'IWP08'!M$588</f>
        <v>0</v>
      </c>
      <c r="K4100" s="106"/>
      <c r="L4100" s="106"/>
      <c r="M4100" s="129"/>
    </row>
    <row r="4101" spans="1:13" s="146" customFormat="1">
      <c r="A4101" s="193" t="s">
        <v>506</v>
      </c>
      <c r="B4101" s="210">
        <v>16</v>
      </c>
      <c r="C4101" s="191" t="str">
        <f>IF('IWP08'!E$595=0,"",'IWP08'!E$595)</f>
        <v>Subtotal column D.</v>
      </c>
      <c r="D4101" s="211">
        <f>'IWP08'!G$595</f>
        <v>0</v>
      </c>
      <c r="E4101" s="211">
        <f>'IWP08'!H$595</f>
        <v>0</v>
      </c>
      <c r="F4101" s="211">
        <f>'IWP08'!I$595</f>
        <v>0</v>
      </c>
      <c r="G4101" s="191" t="str">
        <f>IF('IWP08'!J$595=0,"",'IWP08'!J$595)</f>
        <v/>
      </c>
      <c r="H4101" s="211">
        <f>'IWP08'!K$595</f>
        <v>0</v>
      </c>
      <c r="I4101" s="211">
        <f>'IWP08'!L$595</f>
        <v>0</v>
      </c>
      <c r="J4101" s="212">
        <f>'IWP08'!M$595</f>
        <v>0</v>
      </c>
      <c r="K4101" s="106"/>
      <c r="L4101" s="106"/>
      <c r="M4101" s="129"/>
    </row>
    <row r="4102" spans="1:13" s="146" customFormat="1">
      <c r="A4102" s="193" t="s">
        <v>506</v>
      </c>
      <c r="B4102" s="210">
        <v>16</v>
      </c>
      <c r="C4102" s="191" t="str">
        <f>IF('IWP08'!E$596=0,"",'IWP08'!E$596)</f>
        <v>Unverified/Undocumented (Subtotal D - C)</v>
      </c>
      <c r="D4102" s="211">
        <f>'IWP08'!G$596</f>
        <v>0</v>
      </c>
      <c r="E4102" s="211">
        <f>'IWP08'!H$596</f>
        <v>0</v>
      </c>
      <c r="F4102" s="211">
        <f>'IWP08'!I$596</f>
        <v>0</v>
      </c>
      <c r="G4102" s="191" t="str">
        <f>IF('IWP08'!J$596=0,"",'IWP08'!J$596)</f>
        <v/>
      </c>
      <c r="H4102" s="211">
        <f>'IWP08'!K$596</f>
        <v>0</v>
      </c>
      <c r="I4102" s="211">
        <f>'IWP08'!L$596</f>
        <v>0</v>
      </c>
      <c r="J4102" s="212">
        <f>'IWP08'!M$596</f>
        <v>0</v>
      </c>
      <c r="K4102" s="106"/>
      <c r="L4102" s="106"/>
      <c r="M4102" s="129"/>
    </row>
    <row r="4103" spans="1:13" s="146" customFormat="1">
      <c r="A4103" s="193" t="s">
        <v>506</v>
      </c>
      <c r="B4103" s="210">
        <v>16</v>
      </c>
      <c r="C4103" s="191" t="str">
        <f>IF('IWP08'!E$597=0,"",'IWP08'!E$597)</f>
        <v>J. Billing Period Total</v>
      </c>
      <c r="D4103" s="211">
        <f>'IWP08'!G$597</f>
        <v>0</v>
      </c>
      <c r="E4103" s="211">
        <f>'IWP08'!H$597</f>
        <v>0</v>
      </c>
      <c r="F4103" s="211">
        <f>'IWP08'!I$597</f>
        <v>0</v>
      </c>
      <c r="G4103" s="191" t="str">
        <f>IF('IWP08'!J$597=0,"",'IWP08'!J$597)</f>
        <v/>
      </c>
      <c r="H4103" s="211">
        <f>'IWP08'!K$597</f>
        <v>0</v>
      </c>
      <c r="I4103" s="211">
        <f>'IWP08'!L$597</f>
        <v>0</v>
      </c>
      <c r="J4103" s="212">
        <f>'IWP08'!M$597</f>
        <v>0</v>
      </c>
      <c r="K4103" s="106"/>
      <c r="L4103" s="106"/>
      <c r="M4103" s="129"/>
    </row>
    <row r="4104" spans="1:13" s="146" customFormat="1">
      <c r="A4104" s="193" t="s">
        <v>506</v>
      </c>
      <c r="B4104" s="210">
        <v>16</v>
      </c>
      <c r="C4104" s="191" t="str">
        <f>IF('IWP08'!E$598=0,"",'IWP08'!E$598)</f>
        <v>D.</v>
      </c>
      <c r="D4104" s="211">
        <f>'IWP08'!G$598</f>
        <v>0</v>
      </c>
      <c r="E4104" s="211" t="str">
        <f>'IWP08'!H$598</f>
        <v>E.</v>
      </c>
      <c r="F4104" s="211" t="str">
        <f>'IWP08'!I$598</f>
        <v>F.</v>
      </c>
      <c r="G4104" s="191" t="str">
        <f>IF('IWP08'!J$598=0,"",'IWP08'!J$598)</f>
        <v>G.</v>
      </c>
      <c r="H4104" s="211">
        <f>'IWP08'!K$598</f>
        <v>0</v>
      </c>
      <c r="I4104" s="211" t="str">
        <f>'IWP08'!L$598</f>
        <v>H.</v>
      </c>
      <c r="J4104" s="212" t="str">
        <f>'IWP08'!M$598</f>
        <v>I.</v>
      </c>
      <c r="K4104" s="106"/>
      <c r="L4104" s="106"/>
      <c r="M4104" s="129"/>
    </row>
    <row r="4105" spans="1:13" s="146" customFormat="1">
      <c r="A4105" s="193" t="s">
        <v>506</v>
      </c>
      <c r="B4105" s="210">
        <v>16</v>
      </c>
      <c r="C4105" s="191" t="str">
        <f>IF('IWP08'!E$599=0,"",'IWP08'!E$599)</f>
        <v xml:space="preserve">Items/Services Related to Billing Period </v>
      </c>
      <c r="D4105" s="211">
        <f>'IWP08'!G$599</f>
        <v>0</v>
      </c>
      <c r="E4105" s="211" t="str">
        <f>'IWP08'!H$599</f>
        <v xml:space="preserve">Item/
Service Verified Amounts
</v>
      </c>
      <c r="F4105" s="211" t="str">
        <f>'IWP08'!I$599</f>
        <v>Amount Due to DADS (E. - D.)</v>
      </c>
      <c r="G4105" s="191" t="str">
        <f>IF('IWP08'!J$599=0,"",'IWP08'!J$599)</f>
        <v>Amount Reimbursed to 
Employee(s)/Employer</v>
      </c>
      <c r="H4105" s="211">
        <f>'IWP08'!K$599</f>
        <v>0</v>
      </c>
      <c r="I4105" s="211" t="str">
        <f>'IWP08'!L$599</f>
        <v>Amount Due to Employee(s) (G. - E.)</v>
      </c>
      <c r="J4105" s="212" t="str">
        <f>'IWP08'!M$599</f>
        <v>Amount Due to Employer (G. - E.)</v>
      </c>
      <c r="K4105" s="106"/>
      <c r="L4105" s="106"/>
      <c r="M4105" s="129"/>
    </row>
    <row r="4106" spans="1:13" s="146" customFormat="1">
      <c r="A4106" s="193" t="s">
        <v>506</v>
      </c>
      <c r="B4106" s="210">
        <v>16</v>
      </c>
      <c r="C4106" s="191" t="str">
        <f>IF('IWP08'!E$600=0,"",'IWP08'!E$600)</f>
        <v>Item/Service</v>
      </c>
      <c r="D4106" s="211" t="str">
        <f>'IWP08'!G$600</f>
        <v>Itemized Amount Paid by DADS</v>
      </c>
      <c r="E4106" s="211">
        <f>'IWP08'!H$600</f>
        <v>0</v>
      </c>
      <c r="F4106" s="211">
        <f>'IWP08'!I$600</f>
        <v>0</v>
      </c>
      <c r="G4106" s="191" t="str">
        <f>IF('IWP08'!J$600=0,"",'IWP08'!J$600)</f>
        <v/>
      </c>
      <c r="H4106" s="211">
        <f>'IWP08'!K$600</f>
        <v>0</v>
      </c>
      <c r="I4106" s="211">
        <f>'IWP08'!L$600</f>
        <v>0</v>
      </c>
      <c r="J4106" s="212">
        <f>'IWP08'!M$600</f>
        <v>0</v>
      </c>
      <c r="K4106" s="106"/>
      <c r="L4106" s="106"/>
      <c r="M4106" s="129"/>
    </row>
    <row r="4107" spans="1:13" s="146" customFormat="1">
      <c r="A4107" s="193" t="s">
        <v>506</v>
      </c>
      <c r="B4107" s="210">
        <v>16</v>
      </c>
      <c r="C4107" s="191" t="str">
        <f>IF('IWP08'!E$601=0,"",'IWP08'!E$601)</f>
        <v/>
      </c>
      <c r="D4107" s="211">
        <f>'IWP08'!G$601</f>
        <v>0</v>
      </c>
      <c r="E4107" s="211">
        <f>'IWP08'!H$601</f>
        <v>0</v>
      </c>
      <c r="F4107" s="211">
        <f>'IWP08'!I$601</f>
        <v>0</v>
      </c>
      <c r="G4107" s="191" t="str">
        <f>IF('IWP08'!J$601=0,"",'IWP08'!J$601)</f>
        <v/>
      </c>
      <c r="H4107" s="211">
        <f>'IWP08'!K$601</f>
        <v>0</v>
      </c>
      <c r="I4107" s="211">
        <f>'IWP08'!L$601</f>
        <v>0</v>
      </c>
      <c r="J4107" s="212">
        <f>'IWP08'!M$601</f>
        <v>0</v>
      </c>
      <c r="K4107" s="106"/>
      <c r="L4107" s="106"/>
      <c r="M4107" s="129"/>
    </row>
    <row r="4108" spans="1:13" s="146" customFormat="1">
      <c r="A4108" s="193" t="s">
        <v>506</v>
      </c>
      <c r="B4108" s="210">
        <v>16</v>
      </c>
      <c r="C4108" s="191" t="str">
        <f>IF('IWP08'!E$602=0,"",'IWP08'!E$602)</f>
        <v/>
      </c>
      <c r="D4108" s="211">
        <f>'IWP08'!G$602</f>
        <v>0</v>
      </c>
      <c r="E4108" s="211">
        <f>'IWP08'!H$602</f>
        <v>0</v>
      </c>
      <c r="F4108" s="211">
        <f>'IWP08'!I$602</f>
        <v>0</v>
      </c>
      <c r="G4108" s="191" t="str">
        <f>IF('IWP08'!J$602=0,"",'IWP08'!J$602)</f>
        <v/>
      </c>
      <c r="H4108" s="211">
        <f>'IWP08'!K$602</f>
        <v>0</v>
      </c>
      <c r="I4108" s="211">
        <f>'IWP08'!L$602</f>
        <v>0</v>
      </c>
      <c r="J4108" s="212">
        <f>'IWP08'!M$602</f>
        <v>0</v>
      </c>
      <c r="K4108" s="106"/>
      <c r="L4108" s="106"/>
      <c r="M4108" s="129"/>
    </row>
    <row r="4109" spans="1:13" s="146" customFormat="1">
      <c r="A4109" s="193" t="s">
        <v>506</v>
      </c>
      <c r="B4109" s="210">
        <v>16</v>
      </c>
      <c r="C4109" s="191" t="str">
        <f>IF('IWP08'!E$603=0,"",'IWP08'!E$603)</f>
        <v/>
      </c>
      <c r="D4109" s="211">
        <f>'IWP08'!G$603</f>
        <v>0</v>
      </c>
      <c r="E4109" s="211">
        <f>'IWP08'!H$603</f>
        <v>0</v>
      </c>
      <c r="F4109" s="211">
        <f>'IWP08'!I$603</f>
        <v>0</v>
      </c>
      <c r="G4109" s="191" t="str">
        <f>IF('IWP08'!J$603=0,"",'IWP08'!J$603)</f>
        <v/>
      </c>
      <c r="H4109" s="211">
        <f>'IWP08'!K$603</f>
        <v>0</v>
      </c>
      <c r="I4109" s="211">
        <f>'IWP08'!L$603</f>
        <v>0</v>
      </c>
      <c r="J4109" s="212">
        <f>'IWP08'!M$603</f>
        <v>0</v>
      </c>
      <c r="K4109" s="106"/>
      <c r="L4109" s="106"/>
      <c r="M4109" s="129"/>
    </row>
    <row r="4110" spans="1:13" s="146" customFormat="1">
      <c r="A4110" s="193" t="s">
        <v>506</v>
      </c>
      <c r="B4110" s="210">
        <v>16</v>
      </c>
      <c r="C4110" s="191" t="str">
        <f>IF('IWP08'!E$604=0,"",'IWP08'!E$604)</f>
        <v/>
      </c>
      <c r="D4110" s="211">
        <f>'IWP08'!G$604</f>
        <v>0</v>
      </c>
      <c r="E4110" s="211">
        <f>'IWP08'!H$604</f>
        <v>0</v>
      </c>
      <c r="F4110" s="211">
        <f>'IWP08'!I$604</f>
        <v>0</v>
      </c>
      <c r="G4110" s="191" t="str">
        <f>IF('IWP08'!J$604=0,"",'IWP08'!J$604)</f>
        <v/>
      </c>
      <c r="H4110" s="211">
        <f>'IWP08'!K$604</f>
        <v>0</v>
      </c>
      <c r="I4110" s="211">
        <f>'IWP08'!L$604</f>
        <v>0</v>
      </c>
      <c r="J4110" s="212">
        <f>'IWP08'!M$604</f>
        <v>0</v>
      </c>
      <c r="K4110" s="106"/>
      <c r="L4110" s="106"/>
      <c r="M4110" s="129"/>
    </row>
    <row r="4111" spans="1:13" s="146" customFormat="1">
      <c r="A4111" s="193" t="s">
        <v>506</v>
      </c>
      <c r="B4111" s="210">
        <v>17</v>
      </c>
      <c r="C4111" s="191" t="str">
        <f>IF('IWP08'!E$611=0,"",'IWP08'!E$611)</f>
        <v>Subtotal column D.</v>
      </c>
      <c r="D4111" s="211">
        <f>'IWP08'!G$611</f>
        <v>0</v>
      </c>
      <c r="E4111" s="211">
        <f>'IWP08'!H$611</f>
        <v>0</v>
      </c>
      <c r="F4111" s="211">
        <f>'IWP08'!I$611</f>
        <v>0</v>
      </c>
      <c r="G4111" s="191" t="str">
        <f>IF('IWP08'!J$611=0,"",'IWP08'!J$611)</f>
        <v/>
      </c>
      <c r="H4111" s="211">
        <f>'IWP08'!K$611</f>
        <v>0</v>
      </c>
      <c r="I4111" s="211">
        <f>'IWP08'!L$611</f>
        <v>0</v>
      </c>
      <c r="J4111" s="212">
        <f>'IWP08'!M$611</f>
        <v>0</v>
      </c>
      <c r="K4111" s="106"/>
      <c r="L4111" s="106"/>
      <c r="M4111" s="129"/>
    </row>
    <row r="4112" spans="1:13" s="146" customFormat="1">
      <c r="A4112" s="193" t="s">
        <v>506</v>
      </c>
      <c r="B4112" s="210">
        <v>17</v>
      </c>
      <c r="C4112" s="191" t="str">
        <f>IF('IWP08'!E$612=0,"",'IWP08'!E$612)</f>
        <v>Unverified/Undocumented (Subtotal D - C)</v>
      </c>
      <c r="D4112" s="211">
        <f>'IWP08'!G$612</f>
        <v>0</v>
      </c>
      <c r="E4112" s="211">
        <f>'IWP08'!H$612</f>
        <v>0</v>
      </c>
      <c r="F4112" s="211">
        <f>'IWP08'!I$612</f>
        <v>0</v>
      </c>
      <c r="G4112" s="191" t="str">
        <f>IF('IWP08'!J$612=0,"",'IWP08'!J$612)</f>
        <v/>
      </c>
      <c r="H4112" s="211">
        <f>'IWP08'!K$612</f>
        <v>0</v>
      </c>
      <c r="I4112" s="211">
        <f>'IWP08'!L$612</f>
        <v>0</v>
      </c>
      <c r="J4112" s="212">
        <f>'IWP08'!M$612</f>
        <v>0</v>
      </c>
      <c r="K4112" s="106"/>
      <c r="L4112" s="106"/>
      <c r="M4112" s="129"/>
    </row>
    <row r="4113" spans="1:13" s="146" customFormat="1">
      <c r="A4113" s="193" t="s">
        <v>506</v>
      </c>
      <c r="B4113" s="210">
        <v>17</v>
      </c>
      <c r="C4113" s="191" t="str">
        <f>IF('IWP08'!E$613=0,"",'IWP08'!E$613)</f>
        <v>J. Billing Period Total</v>
      </c>
      <c r="D4113" s="211">
        <f>'IWP08'!G$613</f>
        <v>0</v>
      </c>
      <c r="E4113" s="211">
        <f>'IWP08'!H$613</f>
        <v>0</v>
      </c>
      <c r="F4113" s="211">
        <f>'IWP08'!I$613</f>
        <v>0</v>
      </c>
      <c r="G4113" s="191" t="str">
        <f>IF('IWP08'!J$613=0,"",'IWP08'!J$613)</f>
        <v/>
      </c>
      <c r="H4113" s="211">
        <f>'IWP08'!K$613</f>
        <v>0</v>
      </c>
      <c r="I4113" s="211">
        <f>'IWP08'!L$613</f>
        <v>0</v>
      </c>
      <c r="J4113" s="212">
        <f>'IWP08'!M$613</f>
        <v>0</v>
      </c>
      <c r="K4113" s="106"/>
      <c r="L4113" s="106"/>
      <c r="M4113" s="129"/>
    </row>
    <row r="4114" spans="1:13" s="146" customFormat="1">
      <c r="A4114" s="193" t="s">
        <v>506</v>
      </c>
      <c r="B4114" s="210">
        <v>17</v>
      </c>
      <c r="C4114" s="191" t="str">
        <f>IF('IWP08'!E$614=0,"",'IWP08'!E$614)</f>
        <v/>
      </c>
      <c r="D4114" s="211">
        <f>'IWP08'!G$614</f>
        <v>0</v>
      </c>
      <c r="E4114" s="211">
        <f>'IWP08'!H$614</f>
        <v>0</v>
      </c>
      <c r="F4114" s="211">
        <f>'IWP08'!I$614</f>
        <v>0</v>
      </c>
      <c r="G4114" s="191" t="str">
        <f>IF('IWP08'!J$614=0,"",'IWP08'!J$614)</f>
        <v/>
      </c>
      <c r="H4114" s="211">
        <f>'IWP08'!K$614</f>
        <v>0</v>
      </c>
      <c r="I4114" s="211">
        <f>'IWP08'!L$614</f>
        <v>0</v>
      </c>
      <c r="J4114" s="212">
        <f>'IWP08'!M$614</f>
        <v>0</v>
      </c>
      <c r="K4114" s="106"/>
      <c r="L4114" s="106"/>
      <c r="M4114" s="129"/>
    </row>
    <row r="4115" spans="1:13" s="146" customFormat="1">
      <c r="A4115" s="193" t="s">
        <v>506</v>
      </c>
      <c r="B4115" s="210">
        <v>17</v>
      </c>
      <c r="C4115" s="191" t="str">
        <f>IF('IWP08'!E$615=0,"",'IWP08'!E$615)</f>
        <v/>
      </c>
      <c r="D4115" s="211">
        <f>'IWP08'!G$615</f>
        <v>0</v>
      </c>
      <c r="E4115" s="211">
        <f>'IWP08'!H$615</f>
        <v>0</v>
      </c>
      <c r="F4115" s="211">
        <f>'IWP08'!I$615</f>
        <v>0</v>
      </c>
      <c r="G4115" s="191" t="str">
        <f>IF('IWP08'!J$615=0,"",'IWP08'!J$615)</f>
        <v/>
      </c>
      <c r="H4115" s="211">
        <f>'IWP08'!K$615</f>
        <v>0</v>
      </c>
      <c r="I4115" s="211">
        <f>'IWP08'!L$615</f>
        <v>0</v>
      </c>
      <c r="J4115" s="212">
        <f>'IWP08'!M$615</f>
        <v>0</v>
      </c>
      <c r="K4115" s="106"/>
      <c r="L4115" s="106"/>
      <c r="M4115" s="129"/>
    </row>
    <row r="4116" spans="1:13" s="146" customFormat="1">
      <c r="A4116" s="193" t="s">
        <v>506</v>
      </c>
      <c r="B4116" s="210">
        <v>17</v>
      </c>
      <c r="C4116" s="191" t="str">
        <f>IF('IWP08'!E$616=0,"",'IWP08'!E$616)</f>
        <v/>
      </c>
      <c r="D4116" s="211">
        <f>'IWP08'!G$616</f>
        <v>0</v>
      </c>
      <c r="E4116" s="211">
        <f>'IWP08'!H$616</f>
        <v>0</v>
      </c>
      <c r="F4116" s="211">
        <f>'IWP08'!I$616</f>
        <v>0</v>
      </c>
      <c r="G4116" s="191" t="str">
        <f>IF('IWP08'!J$616=0,"",'IWP08'!J$616)</f>
        <v/>
      </c>
      <c r="H4116" s="211">
        <f>'IWP08'!K$616</f>
        <v>0</v>
      </c>
      <c r="I4116" s="211">
        <f>'IWP08'!L$616</f>
        <v>0</v>
      </c>
      <c r="J4116" s="212">
        <f>'IWP08'!M$616</f>
        <v>0</v>
      </c>
      <c r="K4116" s="106"/>
      <c r="L4116" s="106"/>
      <c r="M4116" s="129"/>
    </row>
    <row r="4117" spans="1:13" s="146" customFormat="1">
      <c r="A4117" s="193" t="s">
        <v>506</v>
      </c>
      <c r="B4117" s="210">
        <v>17</v>
      </c>
      <c r="C4117" s="191" t="str">
        <f>IF('IWP08'!E$617=0,"",'IWP08'!E$617)</f>
        <v/>
      </c>
      <c r="D4117" s="211">
        <f>'IWP08'!G$617</f>
        <v>0</v>
      </c>
      <c r="E4117" s="211">
        <f>'IWP08'!H$617</f>
        <v>0</v>
      </c>
      <c r="F4117" s="211">
        <f>'IWP08'!I$617</f>
        <v>0</v>
      </c>
      <c r="G4117" s="191" t="str">
        <f>IF('IWP08'!J$617=0,"",'IWP08'!J$617)</f>
        <v/>
      </c>
      <c r="H4117" s="211">
        <f>'IWP08'!K$617</f>
        <v>0</v>
      </c>
      <c r="I4117" s="211">
        <f>'IWP08'!L$617</f>
        <v>0</v>
      </c>
      <c r="J4117" s="212">
        <f>'IWP08'!M$617</f>
        <v>0</v>
      </c>
      <c r="K4117" s="106"/>
      <c r="L4117" s="106"/>
      <c r="M4117" s="129"/>
    </row>
    <row r="4118" spans="1:13" s="146" customFormat="1">
      <c r="A4118" s="193" t="s">
        <v>506</v>
      </c>
      <c r="B4118" s="210">
        <v>17</v>
      </c>
      <c r="C4118" s="191" t="str">
        <f>IF('IWP08'!E$618=0,"",'IWP08'!E$618)</f>
        <v/>
      </c>
      <c r="D4118" s="211">
        <f>'IWP08'!G$618</f>
        <v>0</v>
      </c>
      <c r="E4118" s="211">
        <f>'IWP08'!H$618</f>
        <v>0</v>
      </c>
      <c r="F4118" s="211">
        <f>'IWP08'!I$618</f>
        <v>0</v>
      </c>
      <c r="G4118" s="191" t="str">
        <f>IF('IWP08'!J$618=0,"",'IWP08'!J$618)</f>
        <v/>
      </c>
      <c r="H4118" s="211">
        <f>'IWP08'!K$618</f>
        <v>0</v>
      </c>
      <c r="I4118" s="211">
        <f>'IWP08'!L$618</f>
        <v>0</v>
      </c>
      <c r="J4118" s="212">
        <f>'IWP08'!M$618</f>
        <v>0</v>
      </c>
      <c r="K4118" s="106"/>
      <c r="L4118" s="106"/>
      <c r="M4118" s="129"/>
    </row>
    <row r="4119" spans="1:13" s="146" customFormat="1">
      <c r="A4119" s="193" t="s">
        <v>506</v>
      </c>
      <c r="B4119" s="210">
        <v>17</v>
      </c>
      <c r="C4119" s="191" t="str">
        <f>IF('IWP08'!E$619=0,"",'IWP08'!E$619)</f>
        <v/>
      </c>
      <c r="D4119" s="211">
        <f>'IWP08'!G$619</f>
        <v>0</v>
      </c>
      <c r="E4119" s="211">
        <f>'IWP08'!H$619</f>
        <v>0</v>
      </c>
      <c r="F4119" s="211">
        <f>'IWP08'!I$619</f>
        <v>0</v>
      </c>
      <c r="G4119" s="191" t="str">
        <f>IF('IWP08'!J$619=0,"",'IWP08'!J$619)</f>
        <v/>
      </c>
      <c r="H4119" s="211">
        <f>'IWP08'!K$619</f>
        <v>0</v>
      </c>
      <c r="I4119" s="211">
        <f>'IWP08'!L$619</f>
        <v>0</v>
      </c>
      <c r="J4119" s="212">
        <f>'IWP08'!M$619</f>
        <v>0</v>
      </c>
      <c r="K4119" s="106"/>
      <c r="L4119" s="106"/>
      <c r="M4119" s="129"/>
    </row>
    <row r="4120" spans="1:13" s="146" customFormat="1">
      <c r="A4120" s="193" t="s">
        <v>506</v>
      </c>
      <c r="B4120" s="210">
        <v>17</v>
      </c>
      <c r="C4120" s="191" t="str">
        <f>IF('IWP08'!E$620=0,"",'IWP08'!E$620)</f>
        <v/>
      </c>
      <c r="D4120" s="211">
        <f>'IWP08'!G$620</f>
        <v>0</v>
      </c>
      <c r="E4120" s="211">
        <f>'IWP08'!H$620</f>
        <v>0</v>
      </c>
      <c r="F4120" s="211">
        <f>'IWP08'!I$620</f>
        <v>0</v>
      </c>
      <c r="G4120" s="191" t="str">
        <f>IF('IWP08'!J$620=0,"",'IWP08'!J$620)</f>
        <v/>
      </c>
      <c r="H4120" s="211">
        <f>'IWP08'!K$620</f>
        <v>0</v>
      </c>
      <c r="I4120" s="211">
        <f>'IWP08'!L$620</f>
        <v>0</v>
      </c>
      <c r="J4120" s="212">
        <f>'IWP08'!M$620</f>
        <v>0</v>
      </c>
      <c r="K4120" s="106"/>
      <c r="L4120" s="106"/>
      <c r="M4120" s="129"/>
    </row>
    <row r="4121" spans="1:13" s="146" customFormat="1">
      <c r="A4121" s="193" t="s">
        <v>506</v>
      </c>
      <c r="B4121" s="210">
        <v>18</v>
      </c>
      <c r="C4121" s="191" t="str">
        <f>IF('IWP08'!E$627=0,"",'IWP08'!E$627)</f>
        <v/>
      </c>
      <c r="D4121" s="211">
        <f>'IWP08'!G$627</f>
        <v>0</v>
      </c>
      <c r="E4121" s="211">
        <f>'IWP08'!H$627</f>
        <v>0</v>
      </c>
      <c r="F4121" s="211">
        <f>'IWP08'!I$627</f>
        <v>0</v>
      </c>
      <c r="G4121" s="191" t="str">
        <f>IF('IWP08'!J$627=0,"",'IWP08'!J$627)</f>
        <v/>
      </c>
      <c r="H4121" s="211">
        <f>'IWP08'!K$627</f>
        <v>0</v>
      </c>
      <c r="I4121" s="211">
        <f>'IWP08'!L$627</f>
        <v>0</v>
      </c>
      <c r="J4121" s="212">
        <f>'IWP08'!M$627</f>
        <v>0</v>
      </c>
      <c r="K4121" s="106"/>
      <c r="L4121" s="106"/>
      <c r="M4121" s="129"/>
    </row>
    <row r="4122" spans="1:13" s="146" customFormat="1">
      <c r="A4122" s="193" t="s">
        <v>506</v>
      </c>
      <c r="B4122" s="210">
        <v>18</v>
      </c>
      <c r="C4122" s="191" t="str">
        <f>IF('IWP08'!E$628=0,"",'IWP08'!E$628)</f>
        <v/>
      </c>
      <c r="D4122" s="211">
        <f>'IWP08'!G$628</f>
        <v>0</v>
      </c>
      <c r="E4122" s="211">
        <f>'IWP08'!H$628</f>
        <v>0</v>
      </c>
      <c r="F4122" s="211">
        <f>'IWP08'!I$628</f>
        <v>0</v>
      </c>
      <c r="G4122" s="191" t="str">
        <f>IF('IWP08'!J$628=0,"",'IWP08'!J$628)</f>
        <v/>
      </c>
      <c r="H4122" s="211">
        <f>'IWP08'!K$628</f>
        <v>0</v>
      </c>
      <c r="I4122" s="211">
        <f>'IWP08'!L$628</f>
        <v>0</v>
      </c>
      <c r="J4122" s="212">
        <f>'IWP08'!M$628</f>
        <v>0</v>
      </c>
      <c r="K4122" s="106"/>
      <c r="L4122" s="106"/>
      <c r="M4122" s="129"/>
    </row>
    <row r="4123" spans="1:13" s="146" customFormat="1">
      <c r="A4123" s="193" t="s">
        <v>506</v>
      </c>
      <c r="B4123" s="210">
        <v>18</v>
      </c>
      <c r="C4123" s="191" t="str">
        <f>IF('IWP08'!E$629=0,"",'IWP08'!E$629)</f>
        <v/>
      </c>
      <c r="D4123" s="211">
        <f>'IWP08'!G$629</f>
        <v>0</v>
      </c>
      <c r="E4123" s="211">
        <f>'IWP08'!H$629</f>
        <v>0</v>
      </c>
      <c r="F4123" s="211">
        <f>'IWP08'!I$629</f>
        <v>0</v>
      </c>
      <c r="G4123" s="191" t="str">
        <f>IF('IWP08'!J$629=0,"",'IWP08'!J$629)</f>
        <v/>
      </c>
      <c r="H4123" s="211">
        <f>'IWP08'!K$629</f>
        <v>0</v>
      </c>
      <c r="I4123" s="211">
        <f>'IWP08'!L$629</f>
        <v>0</v>
      </c>
      <c r="J4123" s="212">
        <f>'IWP08'!M$629</f>
        <v>0</v>
      </c>
      <c r="K4123" s="106"/>
      <c r="L4123" s="106"/>
      <c r="M4123" s="129"/>
    </row>
    <row r="4124" spans="1:13" s="146" customFormat="1">
      <c r="A4124" s="193" t="s">
        <v>506</v>
      </c>
      <c r="B4124" s="210">
        <v>18</v>
      </c>
      <c r="C4124" s="191" t="str">
        <f>IF('IWP08'!E$630=0,"",'IWP08'!E$630)</f>
        <v/>
      </c>
      <c r="D4124" s="211">
        <f>'IWP08'!G$630</f>
        <v>0</v>
      </c>
      <c r="E4124" s="211">
        <f>'IWP08'!H$630</f>
        <v>0</v>
      </c>
      <c r="F4124" s="211">
        <f>'IWP08'!I$630</f>
        <v>0</v>
      </c>
      <c r="G4124" s="191" t="str">
        <f>IF('IWP08'!J$630=0,"",'IWP08'!J$630)</f>
        <v/>
      </c>
      <c r="H4124" s="211">
        <f>'IWP08'!K$630</f>
        <v>0</v>
      </c>
      <c r="I4124" s="211">
        <f>'IWP08'!L$630</f>
        <v>0</v>
      </c>
      <c r="J4124" s="212">
        <f>'IWP08'!M$630</f>
        <v>0</v>
      </c>
      <c r="K4124" s="106"/>
      <c r="L4124" s="106"/>
      <c r="M4124" s="129"/>
    </row>
    <row r="4125" spans="1:13" s="146" customFormat="1">
      <c r="A4125" s="193" t="s">
        <v>506</v>
      </c>
      <c r="B4125" s="210">
        <v>18</v>
      </c>
      <c r="C4125" s="191" t="str">
        <f>IF('IWP08'!E$631=0,"",'IWP08'!E$631)</f>
        <v/>
      </c>
      <c r="D4125" s="211">
        <f>'IWP08'!G$631</f>
        <v>0</v>
      </c>
      <c r="E4125" s="211">
        <f>'IWP08'!H$631</f>
        <v>0</v>
      </c>
      <c r="F4125" s="211">
        <f>'IWP08'!I$631</f>
        <v>0</v>
      </c>
      <c r="G4125" s="191" t="str">
        <f>IF('IWP08'!J$631=0,"",'IWP08'!J$631)</f>
        <v/>
      </c>
      <c r="H4125" s="211">
        <f>'IWP08'!K$631</f>
        <v>0</v>
      </c>
      <c r="I4125" s="211">
        <f>'IWP08'!L$631</f>
        <v>0</v>
      </c>
      <c r="J4125" s="212">
        <f>'IWP08'!M$631</f>
        <v>0</v>
      </c>
      <c r="K4125" s="106"/>
      <c r="L4125" s="106"/>
      <c r="M4125" s="129"/>
    </row>
    <row r="4126" spans="1:13" s="146" customFormat="1">
      <c r="A4126" s="193" t="s">
        <v>506</v>
      </c>
      <c r="B4126" s="210">
        <v>18</v>
      </c>
      <c r="C4126" s="191" t="str">
        <f>IF('IWP08'!E$632=0,"",'IWP08'!E$632)</f>
        <v/>
      </c>
      <c r="D4126" s="211">
        <f>'IWP08'!G$632</f>
        <v>0</v>
      </c>
      <c r="E4126" s="211">
        <f>'IWP08'!H$632</f>
        <v>0</v>
      </c>
      <c r="F4126" s="211">
        <f>'IWP08'!I$632</f>
        <v>0</v>
      </c>
      <c r="G4126" s="191" t="str">
        <f>IF('IWP08'!J$632=0,"",'IWP08'!J$632)</f>
        <v/>
      </c>
      <c r="H4126" s="211">
        <f>'IWP08'!K$632</f>
        <v>0</v>
      </c>
      <c r="I4126" s="211">
        <f>'IWP08'!L$632</f>
        <v>0</v>
      </c>
      <c r="J4126" s="212">
        <f>'IWP08'!M$632</f>
        <v>0</v>
      </c>
      <c r="K4126" s="106"/>
      <c r="L4126" s="106"/>
      <c r="M4126" s="129"/>
    </row>
    <row r="4127" spans="1:13" s="146" customFormat="1">
      <c r="A4127" s="193" t="s">
        <v>506</v>
      </c>
      <c r="B4127" s="210">
        <v>18</v>
      </c>
      <c r="C4127" s="191" t="str">
        <f>IF('IWP08'!E$633=0,"",'IWP08'!E$633)</f>
        <v/>
      </c>
      <c r="D4127" s="211">
        <f>'IWP08'!G$633</f>
        <v>0</v>
      </c>
      <c r="E4127" s="211">
        <f>'IWP08'!H$633</f>
        <v>0</v>
      </c>
      <c r="F4127" s="211">
        <f>'IWP08'!I$633</f>
        <v>0</v>
      </c>
      <c r="G4127" s="191" t="str">
        <f>IF('IWP08'!J$633=0,"",'IWP08'!J$633)</f>
        <v/>
      </c>
      <c r="H4127" s="211">
        <f>'IWP08'!K$633</f>
        <v>0</v>
      </c>
      <c r="I4127" s="211">
        <f>'IWP08'!L$633</f>
        <v>0</v>
      </c>
      <c r="J4127" s="212">
        <f>'IWP08'!M$633</f>
        <v>0</v>
      </c>
      <c r="K4127" s="106"/>
      <c r="L4127" s="106"/>
      <c r="M4127" s="129"/>
    </row>
    <row r="4128" spans="1:13" s="146" customFormat="1">
      <c r="A4128" s="193" t="s">
        <v>506</v>
      </c>
      <c r="B4128" s="210">
        <v>18</v>
      </c>
      <c r="C4128" s="191" t="str">
        <f>IF('IWP08'!E$634=0,"",'IWP08'!E$634)</f>
        <v/>
      </c>
      <c r="D4128" s="211">
        <f>'IWP08'!G$634</f>
        <v>0</v>
      </c>
      <c r="E4128" s="211">
        <f>'IWP08'!H$634</f>
        <v>0</v>
      </c>
      <c r="F4128" s="211">
        <f>'IWP08'!I$634</f>
        <v>0</v>
      </c>
      <c r="G4128" s="191" t="str">
        <f>IF('IWP08'!J$634=0,"",'IWP08'!J$634)</f>
        <v/>
      </c>
      <c r="H4128" s="211">
        <f>'IWP08'!K$634</f>
        <v>0</v>
      </c>
      <c r="I4128" s="211">
        <f>'IWP08'!L$634</f>
        <v>0</v>
      </c>
      <c r="J4128" s="212">
        <f>'IWP08'!M$634</f>
        <v>0</v>
      </c>
      <c r="K4128" s="106"/>
      <c r="L4128" s="106"/>
      <c r="M4128" s="129"/>
    </row>
    <row r="4129" spans="1:13" s="146" customFormat="1">
      <c r="A4129" s="193" t="s">
        <v>506</v>
      </c>
      <c r="B4129" s="210">
        <v>18</v>
      </c>
      <c r="C4129" s="191" t="str">
        <f>IF('IWP08'!E$635=0,"",'IWP08'!E$635)</f>
        <v/>
      </c>
      <c r="D4129" s="211">
        <f>'IWP08'!G$635</f>
        <v>0</v>
      </c>
      <c r="E4129" s="211">
        <f>'IWP08'!H$635</f>
        <v>0</v>
      </c>
      <c r="F4129" s="211">
        <f>'IWP08'!I$635</f>
        <v>0</v>
      </c>
      <c r="G4129" s="191" t="str">
        <f>IF('IWP08'!J$635=0,"",'IWP08'!J$635)</f>
        <v/>
      </c>
      <c r="H4129" s="211">
        <f>'IWP08'!K$635</f>
        <v>0</v>
      </c>
      <c r="I4129" s="211">
        <f>'IWP08'!L$635</f>
        <v>0</v>
      </c>
      <c r="J4129" s="212">
        <f>'IWP08'!M$635</f>
        <v>0</v>
      </c>
      <c r="K4129" s="106"/>
      <c r="L4129" s="106"/>
      <c r="M4129" s="129"/>
    </row>
    <row r="4130" spans="1:13" s="146" customFormat="1">
      <c r="A4130" s="193" t="s">
        <v>506</v>
      </c>
      <c r="B4130" s="210">
        <v>18</v>
      </c>
      <c r="C4130" s="191" t="str">
        <f>IF('IWP08'!E$636=0,"",'IWP08'!E$636)</f>
        <v/>
      </c>
      <c r="D4130" s="211">
        <f>'IWP08'!G$636</f>
        <v>0</v>
      </c>
      <c r="E4130" s="211">
        <f>'IWP08'!H$636</f>
        <v>0</v>
      </c>
      <c r="F4130" s="211">
        <f>'IWP08'!I$636</f>
        <v>0</v>
      </c>
      <c r="G4130" s="191" t="str">
        <f>IF('IWP08'!J$636=0,"",'IWP08'!J$636)</f>
        <v/>
      </c>
      <c r="H4130" s="211">
        <f>'IWP08'!K$636</f>
        <v>0</v>
      </c>
      <c r="I4130" s="211">
        <f>'IWP08'!L$636</f>
        <v>0</v>
      </c>
      <c r="J4130" s="212">
        <f>'IWP08'!M$636</f>
        <v>0</v>
      </c>
      <c r="K4130" s="106"/>
      <c r="L4130" s="106"/>
      <c r="M4130" s="129"/>
    </row>
    <row r="4131" spans="1:13" s="146" customFormat="1">
      <c r="A4131" s="193" t="s">
        <v>507</v>
      </c>
      <c r="B4131" s="210">
        <v>1</v>
      </c>
      <c r="C4131" s="191" t="str">
        <f>IF('IWP09'!E$355=0,"",'IWP09'!E$355)</f>
        <v>Subtotal column D.</v>
      </c>
      <c r="D4131" s="211">
        <f>'IWP09'!G$355</f>
        <v>0</v>
      </c>
      <c r="E4131" s="211">
        <f>'IWP09'!H$355</f>
        <v>0</v>
      </c>
      <c r="F4131" s="211">
        <f>'IWP09'!I$355</f>
        <v>0</v>
      </c>
      <c r="G4131" s="191" t="str">
        <f>IF('IWP09'!J$355=0,"",'IWP09'!J$355)</f>
        <v/>
      </c>
      <c r="H4131" s="211">
        <f>'IWP09'!K$355</f>
        <v>0</v>
      </c>
      <c r="I4131" s="211">
        <f>'IWP09'!L$355</f>
        <v>0</v>
      </c>
      <c r="J4131" s="212">
        <f>'IWP09'!M$355</f>
        <v>0</v>
      </c>
      <c r="K4131" s="106"/>
      <c r="L4131" s="106"/>
      <c r="M4131" s="129"/>
    </row>
    <row r="4132" spans="1:13" s="146" customFormat="1">
      <c r="A4132" s="193" t="s">
        <v>507</v>
      </c>
      <c r="B4132" s="210">
        <v>1</v>
      </c>
      <c r="C4132" s="191" t="str">
        <f>IF('IWP09'!E$356=0,"",'IWP09'!E$356)</f>
        <v>Unverified/Undocumented (Subtotall D - C)</v>
      </c>
      <c r="D4132" s="211">
        <f>'IWP09'!G$356</f>
        <v>0</v>
      </c>
      <c r="E4132" s="211">
        <f>'IWP09'!H$356</f>
        <v>0</v>
      </c>
      <c r="F4132" s="211">
        <f>'IWP09'!I$356</f>
        <v>0</v>
      </c>
      <c r="G4132" s="191" t="str">
        <f>IF('IWP09'!J$356=0,"",'IWP09'!J$356)</f>
        <v/>
      </c>
      <c r="H4132" s="211">
        <f>'IWP09'!K$356</f>
        <v>0</v>
      </c>
      <c r="I4132" s="211">
        <f>'IWP09'!L$356</f>
        <v>0</v>
      </c>
      <c r="J4132" s="212">
        <f>'IWP09'!M$356</f>
        <v>0</v>
      </c>
      <c r="K4132" s="106"/>
      <c r="L4132" s="106"/>
      <c r="M4132" s="129"/>
    </row>
    <row r="4133" spans="1:13" s="146" customFormat="1">
      <c r="A4133" s="193" t="s">
        <v>507</v>
      </c>
      <c r="B4133" s="210">
        <v>1</v>
      </c>
      <c r="C4133" s="191" t="str">
        <f>IF('IWP09'!E$357=0,"",'IWP09'!E$357)</f>
        <v>J. Billing Period Total</v>
      </c>
      <c r="D4133" s="211">
        <f>'IWP09'!G$357</f>
        <v>0</v>
      </c>
      <c r="E4133" s="211">
        <f>'IWP09'!H$357</f>
        <v>0</v>
      </c>
      <c r="F4133" s="211">
        <f>'IWP09'!I$357</f>
        <v>0</v>
      </c>
      <c r="G4133" s="191" t="str">
        <f>IF('IWP09'!J$357=0,"",'IWP09'!J$357)</f>
        <v/>
      </c>
      <c r="H4133" s="211">
        <f>'IWP09'!K$357</f>
        <v>0</v>
      </c>
      <c r="I4133" s="211">
        <f>'IWP09'!L$357</f>
        <v>0</v>
      </c>
      <c r="J4133" s="212">
        <f>'IWP09'!M$357</f>
        <v>0</v>
      </c>
      <c r="K4133" s="106"/>
      <c r="L4133" s="106"/>
      <c r="M4133" s="129"/>
    </row>
    <row r="4134" spans="1:13" s="146" customFormat="1">
      <c r="A4134" s="193" t="s">
        <v>507</v>
      </c>
      <c r="B4134" s="210">
        <v>1</v>
      </c>
      <c r="C4134" s="191" t="str">
        <f>IF('IWP09'!E$358=0,"",'IWP09'!E$358)</f>
        <v>D.</v>
      </c>
      <c r="D4134" s="211">
        <f>'IWP09'!G$358</f>
        <v>0</v>
      </c>
      <c r="E4134" s="211" t="str">
        <f>'IWP09'!H$358</f>
        <v>E.</v>
      </c>
      <c r="F4134" s="211" t="str">
        <f>'IWP09'!I$358</f>
        <v>F.</v>
      </c>
      <c r="G4134" s="191" t="str">
        <f>IF('IWP09'!J$358=0,"",'IWP09'!J$358)</f>
        <v>G.</v>
      </c>
      <c r="H4134" s="211">
        <f>'IWP09'!K$358</f>
        <v>0</v>
      </c>
      <c r="I4134" s="211" t="str">
        <f>'IWP09'!L$358</f>
        <v>H.</v>
      </c>
      <c r="J4134" s="212" t="str">
        <f>'IWP09'!M$358</f>
        <v>I.</v>
      </c>
      <c r="K4134" s="106"/>
      <c r="L4134" s="106"/>
      <c r="M4134" s="129"/>
    </row>
    <row r="4135" spans="1:13" s="146" customFormat="1">
      <c r="A4135" s="193" t="s">
        <v>507</v>
      </c>
      <c r="B4135" s="210">
        <v>1</v>
      </c>
      <c r="C4135" s="191" t="str">
        <f>IF('IWP09'!E$359=0,"",'IWP09'!E$359)</f>
        <v xml:space="preserve">Items/Services Related to Billing Period </v>
      </c>
      <c r="D4135" s="211">
        <f>'IWP09'!G$359</f>
        <v>0</v>
      </c>
      <c r="E4135" s="211" t="str">
        <f>'IWP09'!H$359</f>
        <v xml:space="preserve">Item/
Service Verified Amounts
</v>
      </c>
      <c r="F4135" s="211" t="str">
        <f>'IWP09'!I$359</f>
        <v>Amount Due to DADS (E. - D.)</v>
      </c>
      <c r="G4135" s="191" t="str">
        <f>IF('IWP09'!J$359=0,"",'IWP09'!J$359)</f>
        <v>Amount Reimbursed to 
Employee(s)/Employer</v>
      </c>
      <c r="H4135" s="211">
        <f>'IWP09'!K$359</f>
        <v>0</v>
      </c>
      <c r="I4135" s="211" t="str">
        <f>'IWP09'!L$359</f>
        <v>Amount Due to Employee(s) (G. - E.)</v>
      </c>
      <c r="J4135" s="212" t="str">
        <f>'IWP09'!M$359</f>
        <v>Amount Due to Employer (G. - E.)</v>
      </c>
      <c r="K4135" s="106"/>
      <c r="L4135" s="106"/>
      <c r="M4135" s="129"/>
    </row>
    <row r="4136" spans="1:13" s="146" customFormat="1">
      <c r="A4136" s="193" t="s">
        <v>507</v>
      </c>
      <c r="B4136" s="210">
        <v>1</v>
      </c>
      <c r="C4136" s="191" t="str">
        <f>IF('IWP09'!E$360=0,"",'IWP09'!E$360)</f>
        <v>Item/Service</v>
      </c>
      <c r="D4136" s="211" t="str">
        <f>'IWP09'!G$360</f>
        <v>Itemized Amount Paid by DADS</v>
      </c>
      <c r="E4136" s="211">
        <f>'IWP09'!H$360</f>
        <v>0</v>
      </c>
      <c r="F4136" s="211">
        <f>'IWP09'!I$360</f>
        <v>0</v>
      </c>
      <c r="G4136" s="191" t="str">
        <f>IF('IWP09'!J$360=0,"",'IWP09'!J$360)</f>
        <v/>
      </c>
      <c r="H4136" s="211">
        <f>'IWP09'!K$360</f>
        <v>0</v>
      </c>
      <c r="I4136" s="211">
        <f>'IWP09'!L$360</f>
        <v>0</v>
      </c>
      <c r="J4136" s="212">
        <f>'IWP09'!M$360</f>
        <v>0</v>
      </c>
      <c r="K4136" s="106"/>
      <c r="L4136" s="106"/>
      <c r="M4136" s="129"/>
    </row>
    <row r="4137" spans="1:13" s="146" customFormat="1">
      <c r="A4137" s="193" t="s">
        <v>507</v>
      </c>
      <c r="B4137" s="210">
        <v>1</v>
      </c>
      <c r="C4137" s="191" t="str">
        <f>IF('IWP09'!E$361=0,"",'IWP09'!E$361)</f>
        <v/>
      </c>
      <c r="D4137" s="211">
        <f>'IWP09'!G$361</f>
        <v>0</v>
      </c>
      <c r="E4137" s="211">
        <f>'IWP09'!H$361</f>
        <v>0</v>
      </c>
      <c r="F4137" s="211">
        <f>'IWP09'!I$361</f>
        <v>0</v>
      </c>
      <c r="G4137" s="191" t="str">
        <f>IF('IWP09'!J$361=0,"",'IWP09'!J$361)</f>
        <v/>
      </c>
      <c r="H4137" s="211">
        <f>'IWP09'!K$361</f>
        <v>0</v>
      </c>
      <c r="I4137" s="211">
        <f>'IWP09'!L$361</f>
        <v>0</v>
      </c>
      <c r="J4137" s="212">
        <f>'IWP09'!M$361</f>
        <v>0</v>
      </c>
      <c r="K4137" s="106"/>
      <c r="L4137" s="106"/>
      <c r="M4137" s="129"/>
    </row>
    <row r="4138" spans="1:13" s="146" customFormat="1">
      <c r="A4138" s="193" t="s">
        <v>507</v>
      </c>
      <c r="B4138" s="210">
        <v>1</v>
      </c>
      <c r="C4138" s="191" t="str">
        <f>IF('IWP09'!E$362=0,"",'IWP09'!E$362)</f>
        <v/>
      </c>
      <c r="D4138" s="211">
        <f>'IWP09'!G$362</f>
        <v>0</v>
      </c>
      <c r="E4138" s="211">
        <f>'IWP09'!H$362</f>
        <v>0</v>
      </c>
      <c r="F4138" s="211">
        <f>'IWP09'!I$362</f>
        <v>0</v>
      </c>
      <c r="G4138" s="191" t="str">
        <f>IF('IWP09'!J$362=0,"",'IWP09'!J$362)</f>
        <v/>
      </c>
      <c r="H4138" s="211">
        <f>'IWP09'!K$362</f>
        <v>0</v>
      </c>
      <c r="I4138" s="211">
        <f>'IWP09'!L$362</f>
        <v>0</v>
      </c>
      <c r="J4138" s="212">
        <f>'IWP09'!M$362</f>
        <v>0</v>
      </c>
      <c r="K4138" s="106"/>
      <c r="L4138" s="106"/>
      <c r="M4138" s="129"/>
    </row>
    <row r="4139" spans="1:13" s="146" customFormat="1">
      <c r="A4139" s="193" t="s">
        <v>507</v>
      </c>
      <c r="B4139" s="210">
        <v>1</v>
      </c>
      <c r="C4139" s="191" t="str">
        <f>IF('IWP09'!E$363=0,"",'IWP09'!E$363)</f>
        <v/>
      </c>
      <c r="D4139" s="211">
        <f>'IWP09'!G$363</f>
        <v>0</v>
      </c>
      <c r="E4139" s="211">
        <f>'IWP09'!H$363</f>
        <v>0</v>
      </c>
      <c r="F4139" s="211">
        <f>'IWP09'!I$363</f>
        <v>0</v>
      </c>
      <c r="G4139" s="191" t="str">
        <f>IF('IWP09'!J$363=0,"",'IWP09'!J$363)</f>
        <v/>
      </c>
      <c r="H4139" s="211">
        <f>'IWP09'!K$363</f>
        <v>0</v>
      </c>
      <c r="I4139" s="211">
        <f>'IWP09'!L$363</f>
        <v>0</v>
      </c>
      <c r="J4139" s="212">
        <f>'IWP09'!M$363</f>
        <v>0</v>
      </c>
      <c r="K4139" s="106"/>
      <c r="L4139" s="106"/>
      <c r="M4139" s="129"/>
    </row>
    <row r="4140" spans="1:13" s="146" customFormat="1">
      <c r="A4140" s="193" t="s">
        <v>507</v>
      </c>
      <c r="B4140" s="210">
        <v>1</v>
      </c>
      <c r="C4140" s="191" t="str">
        <f>IF('IWP09'!E$364=0,"",'IWP09'!E$364)</f>
        <v/>
      </c>
      <c r="D4140" s="211">
        <f>'IWP09'!G$364</f>
        <v>0</v>
      </c>
      <c r="E4140" s="211">
        <f>'IWP09'!H$364</f>
        <v>0</v>
      </c>
      <c r="F4140" s="211">
        <f>'IWP09'!I$364</f>
        <v>0</v>
      </c>
      <c r="G4140" s="191" t="str">
        <f>IF('IWP09'!J$364=0,"",'IWP09'!J$364)</f>
        <v/>
      </c>
      <c r="H4140" s="211">
        <f>'IWP09'!K$364</f>
        <v>0</v>
      </c>
      <c r="I4140" s="211">
        <f>'IWP09'!L$364</f>
        <v>0</v>
      </c>
      <c r="J4140" s="212">
        <f>'IWP09'!M$364</f>
        <v>0</v>
      </c>
      <c r="K4140" s="106"/>
      <c r="L4140" s="106"/>
      <c r="M4140" s="129"/>
    </row>
    <row r="4141" spans="1:13" s="146" customFormat="1">
      <c r="A4141" s="193" t="s">
        <v>507</v>
      </c>
      <c r="B4141" s="210">
        <v>2</v>
      </c>
      <c r="C4141" s="191" t="str">
        <f>IF('IWP09'!E$371=0,"",'IWP09'!E$371)</f>
        <v>Subtotal column D.</v>
      </c>
      <c r="D4141" s="211">
        <f>'IWP09'!G$371</f>
        <v>0</v>
      </c>
      <c r="E4141" s="211">
        <f>'IWP09'!H$371</f>
        <v>0</v>
      </c>
      <c r="F4141" s="211">
        <f>'IWP09'!I$371</f>
        <v>0</v>
      </c>
      <c r="G4141" s="191" t="str">
        <f>IF('IWP09'!J$371=0,"",'IWP09'!J$371)</f>
        <v/>
      </c>
      <c r="H4141" s="211">
        <f>'IWP09'!K$371</f>
        <v>0</v>
      </c>
      <c r="I4141" s="211">
        <f>'IWP09'!L$371</f>
        <v>0</v>
      </c>
      <c r="J4141" s="212">
        <f>'IWP09'!M$371</f>
        <v>0</v>
      </c>
      <c r="K4141" s="106"/>
      <c r="L4141" s="106"/>
      <c r="M4141" s="129"/>
    </row>
    <row r="4142" spans="1:13" s="146" customFormat="1">
      <c r="A4142" s="193" t="s">
        <v>507</v>
      </c>
      <c r="B4142" s="210">
        <v>2</v>
      </c>
      <c r="C4142" s="191" t="str">
        <f>IF('IWP09'!E$372=0,"",'IWP09'!E$372)</f>
        <v>Unverified/Undocumented (Subtotal D - C)</v>
      </c>
      <c r="D4142" s="211">
        <f>'IWP09'!G$372</f>
        <v>0</v>
      </c>
      <c r="E4142" s="211">
        <f>'IWP09'!H$372</f>
        <v>0</v>
      </c>
      <c r="F4142" s="211">
        <f>'IWP09'!I$372</f>
        <v>0</v>
      </c>
      <c r="G4142" s="191" t="str">
        <f>IF('IWP09'!J$372=0,"",'IWP09'!J$372)</f>
        <v/>
      </c>
      <c r="H4142" s="211">
        <f>'IWP09'!K$372</f>
        <v>0</v>
      </c>
      <c r="I4142" s="211">
        <f>'IWP09'!L$372</f>
        <v>0</v>
      </c>
      <c r="J4142" s="212">
        <f>'IWP09'!M$372</f>
        <v>0</v>
      </c>
      <c r="K4142" s="106"/>
      <c r="L4142" s="106"/>
      <c r="M4142" s="129"/>
    </row>
    <row r="4143" spans="1:13" s="146" customFormat="1">
      <c r="A4143" s="193" t="s">
        <v>507</v>
      </c>
      <c r="B4143" s="210">
        <v>2</v>
      </c>
      <c r="C4143" s="191" t="str">
        <f>IF('IWP09'!E$373=0,"",'IWP09'!E$373)</f>
        <v>J. Billing Period Total</v>
      </c>
      <c r="D4143" s="211">
        <f>'IWP09'!G$373</f>
        <v>0</v>
      </c>
      <c r="E4143" s="211">
        <f>'IWP09'!H$373</f>
        <v>0</v>
      </c>
      <c r="F4143" s="211">
        <f>'IWP09'!I$373</f>
        <v>0</v>
      </c>
      <c r="G4143" s="191" t="str">
        <f>IF('IWP09'!J$373=0,"",'IWP09'!J$373)</f>
        <v/>
      </c>
      <c r="H4143" s="211">
        <f>'IWP09'!K$373</f>
        <v>0</v>
      </c>
      <c r="I4143" s="211">
        <f>'IWP09'!L$373</f>
        <v>0</v>
      </c>
      <c r="J4143" s="212">
        <f>'IWP09'!M$373</f>
        <v>0</v>
      </c>
      <c r="K4143" s="106"/>
      <c r="L4143" s="106"/>
      <c r="M4143" s="129"/>
    </row>
    <row r="4144" spans="1:13" s="146" customFormat="1">
      <c r="A4144" s="193" t="s">
        <v>507</v>
      </c>
      <c r="B4144" s="210">
        <v>2</v>
      </c>
      <c r="C4144" s="191" t="str">
        <f>IF('IWP09'!E$374=0,"",'IWP09'!E$374)</f>
        <v>D.</v>
      </c>
      <c r="D4144" s="211">
        <f>'IWP09'!G$374</f>
        <v>0</v>
      </c>
      <c r="E4144" s="211" t="str">
        <f>'IWP09'!H$374</f>
        <v>E.</v>
      </c>
      <c r="F4144" s="211" t="str">
        <f>'IWP09'!I$374</f>
        <v>F.</v>
      </c>
      <c r="G4144" s="191" t="str">
        <f>IF('IWP09'!J$374=0,"",'IWP09'!J$374)</f>
        <v>G.</v>
      </c>
      <c r="H4144" s="211">
        <f>'IWP09'!K$374</f>
        <v>0</v>
      </c>
      <c r="I4144" s="211" t="str">
        <f>'IWP09'!L$374</f>
        <v>H.</v>
      </c>
      <c r="J4144" s="212" t="str">
        <f>'IWP09'!M$374</f>
        <v>I.</v>
      </c>
      <c r="K4144" s="106"/>
      <c r="L4144" s="106"/>
      <c r="M4144" s="129"/>
    </row>
    <row r="4145" spans="1:13" s="146" customFormat="1">
      <c r="A4145" s="193" t="s">
        <v>507</v>
      </c>
      <c r="B4145" s="210">
        <v>2</v>
      </c>
      <c r="C4145" s="191" t="str">
        <f>IF('IWP09'!E$375=0,"",'IWP09'!E$375)</f>
        <v xml:space="preserve">Items/Services Related to Billing Period </v>
      </c>
      <c r="D4145" s="211">
        <f>'IWP09'!G$375</f>
        <v>0</v>
      </c>
      <c r="E4145" s="211" t="str">
        <f>'IWP09'!H$375</f>
        <v xml:space="preserve">Item/
Service Verified Amounts
</v>
      </c>
      <c r="F4145" s="211" t="str">
        <f>'IWP09'!I$375</f>
        <v>Amount Due to DADS (E. - D.)</v>
      </c>
      <c r="G4145" s="191" t="str">
        <f>IF('IWP09'!J$375=0,"",'IWP09'!J$375)</f>
        <v>Amount Reimbursed to 
Employee(s)/Employer</v>
      </c>
      <c r="H4145" s="211">
        <f>'IWP09'!K$375</f>
        <v>0</v>
      </c>
      <c r="I4145" s="211" t="str">
        <f>'IWP09'!L$375</f>
        <v>Amount Due to Employee(s) (G. - E.)</v>
      </c>
      <c r="J4145" s="212" t="str">
        <f>'IWP09'!M$375</f>
        <v>Amount Due to Employer (G. - E.)</v>
      </c>
      <c r="K4145" s="106"/>
      <c r="L4145" s="106"/>
      <c r="M4145" s="129"/>
    </row>
    <row r="4146" spans="1:13" s="146" customFormat="1">
      <c r="A4146" s="193" t="s">
        <v>507</v>
      </c>
      <c r="B4146" s="210">
        <v>2</v>
      </c>
      <c r="C4146" s="191" t="str">
        <f>IF('IWP09'!E$376=0,"",'IWP09'!E$376)</f>
        <v>Item/Service</v>
      </c>
      <c r="D4146" s="211" t="str">
        <f>'IWP09'!G$376</f>
        <v>Itemized Amount Paid by DADS</v>
      </c>
      <c r="E4146" s="211">
        <f>'IWP09'!H$376</f>
        <v>0</v>
      </c>
      <c r="F4146" s="211">
        <f>'IWP09'!I$376</f>
        <v>0</v>
      </c>
      <c r="G4146" s="191" t="str">
        <f>IF('IWP09'!J$376=0,"",'IWP09'!J$376)</f>
        <v/>
      </c>
      <c r="H4146" s="211">
        <f>'IWP09'!K$376</f>
        <v>0</v>
      </c>
      <c r="I4146" s="211">
        <f>'IWP09'!L$376</f>
        <v>0</v>
      </c>
      <c r="J4146" s="212">
        <f>'IWP09'!M$376</f>
        <v>0</v>
      </c>
      <c r="K4146" s="106"/>
      <c r="L4146" s="106"/>
      <c r="M4146" s="129"/>
    </row>
    <row r="4147" spans="1:13" s="146" customFormat="1">
      <c r="A4147" s="193" t="s">
        <v>507</v>
      </c>
      <c r="B4147" s="210">
        <v>2</v>
      </c>
      <c r="C4147" s="191" t="str">
        <f>IF('IWP09'!E$377=0,"",'IWP09'!E$377)</f>
        <v/>
      </c>
      <c r="D4147" s="211">
        <f>'IWP09'!G$377</f>
        <v>0</v>
      </c>
      <c r="E4147" s="211">
        <f>'IWP09'!H$377</f>
        <v>0</v>
      </c>
      <c r="F4147" s="211">
        <f>'IWP09'!I$377</f>
        <v>0</v>
      </c>
      <c r="G4147" s="191" t="str">
        <f>IF('IWP09'!J$377=0,"",'IWP09'!J$377)</f>
        <v/>
      </c>
      <c r="H4147" s="211">
        <f>'IWP09'!K$377</f>
        <v>0</v>
      </c>
      <c r="I4147" s="211">
        <f>'IWP09'!L$377</f>
        <v>0</v>
      </c>
      <c r="J4147" s="212">
        <f>'IWP09'!M$377</f>
        <v>0</v>
      </c>
      <c r="K4147" s="106"/>
      <c r="L4147" s="106"/>
      <c r="M4147" s="129"/>
    </row>
    <row r="4148" spans="1:13" s="146" customFormat="1">
      <c r="A4148" s="193" t="s">
        <v>507</v>
      </c>
      <c r="B4148" s="210">
        <v>2</v>
      </c>
      <c r="C4148" s="191" t="str">
        <f>IF('IWP09'!E$378=0,"",'IWP09'!E$378)</f>
        <v/>
      </c>
      <c r="D4148" s="211">
        <f>'IWP09'!G$378</f>
        <v>0</v>
      </c>
      <c r="E4148" s="211">
        <f>'IWP09'!H$378</f>
        <v>0</v>
      </c>
      <c r="F4148" s="211">
        <f>'IWP09'!I$378</f>
        <v>0</v>
      </c>
      <c r="G4148" s="191" t="str">
        <f>IF('IWP09'!J$378=0,"",'IWP09'!J$378)</f>
        <v/>
      </c>
      <c r="H4148" s="211">
        <f>'IWP09'!K$378</f>
        <v>0</v>
      </c>
      <c r="I4148" s="211">
        <f>'IWP09'!L$378</f>
        <v>0</v>
      </c>
      <c r="J4148" s="212">
        <f>'IWP09'!M$378</f>
        <v>0</v>
      </c>
      <c r="K4148" s="106"/>
      <c r="L4148" s="106"/>
      <c r="M4148" s="129"/>
    </row>
    <row r="4149" spans="1:13" s="146" customFormat="1">
      <c r="A4149" s="193" t="s">
        <v>507</v>
      </c>
      <c r="B4149" s="210">
        <v>2</v>
      </c>
      <c r="C4149" s="191" t="str">
        <f>IF('IWP09'!E$379=0,"",'IWP09'!E$379)</f>
        <v/>
      </c>
      <c r="D4149" s="211">
        <f>'IWP09'!G$379</f>
        <v>0</v>
      </c>
      <c r="E4149" s="211">
        <f>'IWP09'!H$379</f>
        <v>0</v>
      </c>
      <c r="F4149" s="211">
        <f>'IWP09'!I$379</f>
        <v>0</v>
      </c>
      <c r="G4149" s="191" t="str">
        <f>IF('IWP09'!J$379=0,"",'IWP09'!J$379)</f>
        <v/>
      </c>
      <c r="H4149" s="211">
        <f>'IWP09'!K$379</f>
        <v>0</v>
      </c>
      <c r="I4149" s="211">
        <f>'IWP09'!L$379</f>
        <v>0</v>
      </c>
      <c r="J4149" s="212">
        <f>'IWP09'!M$379</f>
        <v>0</v>
      </c>
      <c r="K4149" s="106"/>
      <c r="L4149" s="106"/>
      <c r="M4149" s="129"/>
    </row>
    <row r="4150" spans="1:13" s="146" customFormat="1">
      <c r="A4150" s="193" t="s">
        <v>507</v>
      </c>
      <c r="B4150" s="210">
        <v>2</v>
      </c>
      <c r="C4150" s="191" t="str">
        <f>IF('IWP09'!E$380=0,"",'IWP09'!E$380)</f>
        <v/>
      </c>
      <c r="D4150" s="211">
        <f>'IWP09'!G$380</f>
        <v>0</v>
      </c>
      <c r="E4150" s="211">
        <f>'IWP09'!H$380</f>
        <v>0</v>
      </c>
      <c r="F4150" s="211">
        <f>'IWP09'!I$380</f>
        <v>0</v>
      </c>
      <c r="G4150" s="191" t="str">
        <f>IF('IWP09'!J$380=0,"",'IWP09'!J$380)</f>
        <v/>
      </c>
      <c r="H4150" s="211">
        <f>'IWP09'!K$380</f>
        <v>0</v>
      </c>
      <c r="I4150" s="211">
        <f>'IWP09'!L$380</f>
        <v>0</v>
      </c>
      <c r="J4150" s="212">
        <f>'IWP09'!M$380</f>
        <v>0</v>
      </c>
      <c r="K4150" s="106"/>
      <c r="L4150" s="106"/>
      <c r="M4150" s="129"/>
    </row>
    <row r="4151" spans="1:13" s="146" customFormat="1">
      <c r="A4151" s="193" t="s">
        <v>507</v>
      </c>
      <c r="B4151" s="210">
        <v>3</v>
      </c>
      <c r="C4151" s="191" t="str">
        <f>IF('IWP09'!E$387=0,"",'IWP09'!E$387)</f>
        <v>Subtotal column D.</v>
      </c>
      <c r="D4151" s="211">
        <f>'IWP09'!G$387</f>
        <v>0</v>
      </c>
      <c r="E4151" s="211">
        <f>'IWP09'!H$387</f>
        <v>0</v>
      </c>
      <c r="F4151" s="211">
        <f>'IWP09'!I$387</f>
        <v>0</v>
      </c>
      <c r="G4151" s="191" t="str">
        <f>IF('IWP09'!J$387=0,"",'IWP09'!J$387)</f>
        <v/>
      </c>
      <c r="H4151" s="211">
        <f>'IWP09'!K$387</f>
        <v>0</v>
      </c>
      <c r="I4151" s="211">
        <f>'IWP09'!L$387</f>
        <v>0</v>
      </c>
      <c r="J4151" s="212">
        <f>'IWP09'!M$387</f>
        <v>0</v>
      </c>
      <c r="K4151" s="106"/>
      <c r="L4151" s="106"/>
      <c r="M4151" s="129"/>
    </row>
    <row r="4152" spans="1:13" s="146" customFormat="1">
      <c r="A4152" s="193" t="s">
        <v>507</v>
      </c>
      <c r="B4152" s="210">
        <v>3</v>
      </c>
      <c r="C4152" s="191" t="str">
        <f>IF('IWP09'!E$388=0,"",'IWP09'!E$388)</f>
        <v>Unverified/Undocumented (Subtotal D - C)</v>
      </c>
      <c r="D4152" s="211">
        <f>'IWP09'!G$388</f>
        <v>0</v>
      </c>
      <c r="E4152" s="211">
        <f>'IWP09'!H$388</f>
        <v>0</v>
      </c>
      <c r="F4152" s="211">
        <f>'IWP09'!I$388</f>
        <v>0</v>
      </c>
      <c r="G4152" s="191" t="str">
        <f>IF('IWP09'!J$388=0,"",'IWP09'!J$388)</f>
        <v/>
      </c>
      <c r="H4152" s="211">
        <f>'IWP09'!K$388</f>
        <v>0</v>
      </c>
      <c r="I4152" s="211">
        <f>'IWP09'!L$388</f>
        <v>0</v>
      </c>
      <c r="J4152" s="212">
        <f>'IWP09'!M$388</f>
        <v>0</v>
      </c>
      <c r="K4152" s="106"/>
      <c r="L4152" s="106"/>
      <c r="M4152" s="129"/>
    </row>
    <row r="4153" spans="1:13" s="146" customFormat="1">
      <c r="A4153" s="193" t="s">
        <v>507</v>
      </c>
      <c r="B4153" s="210">
        <v>3</v>
      </c>
      <c r="C4153" s="191" t="str">
        <f>IF('IWP09'!E$389=0,"",'IWP09'!E$389)</f>
        <v>J. Billing Period Total</v>
      </c>
      <c r="D4153" s="211">
        <f>'IWP09'!G$389</f>
        <v>0</v>
      </c>
      <c r="E4153" s="211">
        <f>'IWP09'!H$389</f>
        <v>0</v>
      </c>
      <c r="F4153" s="211">
        <f>'IWP09'!I$389</f>
        <v>0</v>
      </c>
      <c r="G4153" s="191" t="str">
        <f>IF('IWP09'!J$389=0,"",'IWP09'!J$389)</f>
        <v/>
      </c>
      <c r="H4153" s="211">
        <f>'IWP09'!K$389</f>
        <v>0</v>
      </c>
      <c r="I4153" s="211">
        <f>'IWP09'!L$389</f>
        <v>0</v>
      </c>
      <c r="J4153" s="212">
        <f>'IWP09'!M$389</f>
        <v>0</v>
      </c>
      <c r="K4153" s="106"/>
      <c r="L4153" s="106"/>
      <c r="M4153" s="129"/>
    </row>
    <row r="4154" spans="1:13" s="146" customFormat="1">
      <c r="A4154" s="193" t="s">
        <v>507</v>
      </c>
      <c r="B4154" s="210">
        <v>3</v>
      </c>
      <c r="C4154" s="191" t="str">
        <f>IF('IWP09'!E$390=0,"",'IWP09'!E$390)</f>
        <v>D.</v>
      </c>
      <c r="D4154" s="211">
        <f>'IWP09'!G$390</f>
        <v>0</v>
      </c>
      <c r="E4154" s="211" t="str">
        <f>'IWP09'!H$390</f>
        <v>E.</v>
      </c>
      <c r="F4154" s="211" t="str">
        <f>'IWP09'!I$390</f>
        <v>F.</v>
      </c>
      <c r="G4154" s="191" t="str">
        <f>IF('IWP09'!J$390=0,"",'IWP09'!J$390)</f>
        <v>G.</v>
      </c>
      <c r="H4154" s="211">
        <f>'IWP09'!K$390</f>
        <v>0</v>
      </c>
      <c r="I4154" s="211" t="str">
        <f>'IWP09'!L$390</f>
        <v>H.</v>
      </c>
      <c r="J4154" s="212" t="str">
        <f>'IWP09'!M$390</f>
        <v>I.</v>
      </c>
      <c r="K4154" s="106"/>
      <c r="L4154" s="106"/>
      <c r="M4154" s="129"/>
    </row>
    <row r="4155" spans="1:13" s="146" customFormat="1">
      <c r="A4155" s="193" t="s">
        <v>507</v>
      </c>
      <c r="B4155" s="210">
        <v>3</v>
      </c>
      <c r="C4155" s="191" t="str">
        <f>IF('IWP09'!E$391=0,"",'IWP09'!E$391)</f>
        <v xml:space="preserve">Items/Services Related to Billing Period </v>
      </c>
      <c r="D4155" s="211">
        <f>'IWP09'!G$391</f>
        <v>0</v>
      </c>
      <c r="E4155" s="211" t="str">
        <f>'IWP09'!H$391</f>
        <v xml:space="preserve">Item/
Service Verified Amounts
</v>
      </c>
      <c r="F4155" s="211" t="str">
        <f>'IWP09'!I$391</f>
        <v>Amount Due to DADS (E. - D.)</v>
      </c>
      <c r="G4155" s="191" t="str">
        <f>IF('IWP09'!J$391=0,"",'IWP09'!J$391)</f>
        <v>Amount Reimbursed to 
Employee(s)/Employer</v>
      </c>
      <c r="H4155" s="211">
        <f>'IWP09'!K$391</f>
        <v>0</v>
      </c>
      <c r="I4155" s="211" t="str">
        <f>'IWP09'!L$391</f>
        <v>Amount Due to Employee(s) (G. - E.)</v>
      </c>
      <c r="J4155" s="212" t="str">
        <f>'IWP09'!M$391</f>
        <v>Amount Due to Employer (G. - E.)</v>
      </c>
      <c r="K4155" s="106"/>
      <c r="L4155" s="106"/>
      <c r="M4155" s="129"/>
    </row>
    <row r="4156" spans="1:13" s="146" customFormat="1">
      <c r="A4156" s="193" t="s">
        <v>507</v>
      </c>
      <c r="B4156" s="210">
        <v>3</v>
      </c>
      <c r="C4156" s="191" t="str">
        <f>IF('IWP09'!E$392=0,"",'IWP09'!E$392)</f>
        <v>Item/Service</v>
      </c>
      <c r="D4156" s="211" t="str">
        <f>'IWP09'!G$392</f>
        <v>Itemized Amount Paid by DADS</v>
      </c>
      <c r="E4156" s="211">
        <f>'IWP09'!H$392</f>
        <v>0</v>
      </c>
      <c r="F4156" s="211">
        <f>'IWP09'!I$392</f>
        <v>0</v>
      </c>
      <c r="G4156" s="191" t="str">
        <f>IF('IWP09'!J$392=0,"",'IWP09'!J$392)</f>
        <v/>
      </c>
      <c r="H4156" s="211">
        <f>'IWP09'!K$392</f>
        <v>0</v>
      </c>
      <c r="I4156" s="211">
        <f>'IWP09'!L$392</f>
        <v>0</v>
      </c>
      <c r="J4156" s="212">
        <f>'IWP09'!M$392</f>
        <v>0</v>
      </c>
      <c r="K4156" s="106"/>
      <c r="L4156" s="106"/>
      <c r="M4156" s="129"/>
    </row>
    <row r="4157" spans="1:13" s="146" customFormat="1">
      <c r="A4157" s="193" t="s">
        <v>507</v>
      </c>
      <c r="B4157" s="210">
        <v>3</v>
      </c>
      <c r="C4157" s="191" t="str">
        <f>IF('IWP09'!E$393=0,"",'IWP09'!E$393)</f>
        <v/>
      </c>
      <c r="D4157" s="211">
        <f>'IWP09'!G$393</f>
        <v>0</v>
      </c>
      <c r="E4157" s="211">
        <f>'IWP09'!H$393</f>
        <v>0</v>
      </c>
      <c r="F4157" s="211">
        <f>'IWP09'!I$393</f>
        <v>0</v>
      </c>
      <c r="G4157" s="191" t="str">
        <f>IF('IWP09'!J$393=0,"",'IWP09'!J$393)</f>
        <v/>
      </c>
      <c r="H4157" s="211">
        <f>'IWP09'!K$393</f>
        <v>0</v>
      </c>
      <c r="I4157" s="211">
        <f>'IWP09'!L$393</f>
        <v>0</v>
      </c>
      <c r="J4157" s="212">
        <f>'IWP09'!M$393</f>
        <v>0</v>
      </c>
      <c r="K4157" s="106"/>
      <c r="L4157" s="106"/>
      <c r="M4157" s="129"/>
    </row>
    <row r="4158" spans="1:13" s="146" customFormat="1">
      <c r="A4158" s="193" t="s">
        <v>507</v>
      </c>
      <c r="B4158" s="210">
        <v>3</v>
      </c>
      <c r="C4158" s="191" t="str">
        <f>IF('IWP09'!E$394=0,"",'IWP09'!E$394)</f>
        <v/>
      </c>
      <c r="D4158" s="211">
        <f>'IWP09'!G$394</f>
        <v>0</v>
      </c>
      <c r="E4158" s="211">
        <f>'IWP09'!H$394</f>
        <v>0</v>
      </c>
      <c r="F4158" s="211">
        <f>'IWP09'!I$394</f>
        <v>0</v>
      </c>
      <c r="G4158" s="191" t="str">
        <f>IF('IWP09'!J$394=0,"",'IWP09'!J$394)</f>
        <v/>
      </c>
      <c r="H4158" s="211">
        <f>'IWP09'!K$394</f>
        <v>0</v>
      </c>
      <c r="I4158" s="211">
        <f>'IWP09'!L$394</f>
        <v>0</v>
      </c>
      <c r="J4158" s="212">
        <f>'IWP09'!M$394</f>
        <v>0</v>
      </c>
      <c r="K4158" s="106"/>
      <c r="L4158" s="106"/>
      <c r="M4158" s="129"/>
    </row>
    <row r="4159" spans="1:13" s="146" customFormat="1">
      <c r="A4159" s="193" t="s">
        <v>507</v>
      </c>
      <c r="B4159" s="210">
        <v>3</v>
      </c>
      <c r="C4159" s="191" t="str">
        <f>IF('IWP09'!E$395=0,"",'IWP09'!E$395)</f>
        <v/>
      </c>
      <c r="D4159" s="211">
        <f>'IWP09'!G$395</f>
        <v>0</v>
      </c>
      <c r="E4159" s="211">
        <f>'IWP09'!H$395</f>
        <v>0</v>
      </c>
      <c r="F4159" s="211">
        <f>'IWP09'!I$395</f>
        <v>0</v>
      </c>
      <c r="G4159" s="191" t="str">
        <f>IF('IWP09'!J$395=0,"",'IWP09'!J$395)</f>
        <v/>
      </c>
      <c r="H4159" s="211">
        <f>'IWP09'!K$395</f>
        <v>0</v>
      </c>
      <c r="I4159" s="211">
        <f>'IWP09'!L$395</f>
        <v>0</v>
      </c>
      <c r="J4159" s="212">
        <f>'IWP09'!M$395</f>
        <v>0</v>
      </c>
      <c r="K4159" s="106"/>
      <c r="L4159" s="106"/>
      <c r="M4159" s="129"/>
    </row>
    <row r="4160" spans="1:13" s="146" customFormat="1">
      <c r="A4160" s="193" t="s">
        <v>507</v>
      </c>
      <c r="B4160" s="210">
        <v>3</v>
      </c>
      <c r="C4160" s="191" t="str">
        <f>IF('IWP09'!E$396=0,"",'IWP09'!E$396)</f>
        <v/>
      </c>
      <c r="D4160" s="211">
        <f>'IWP09'!G$396</f>
        <v>0</v>
      </c>
      <c r="E4160" s="211">
        <f>'IWP09'!H$396</f>
        <v>0</v>
      </c>
      <c r="F4160" s="211">
        <f>'IWP09'!I$396</f>
        <v>0</v>
      </c>
      <c r="G4160" s="191" t="str">
        <f>IF('IWP09'!J$396=0,"",'IWP09'!J$396)</f>
        <v/>
      </c>
      <c r="H4160" s="211">
        <f>'IWP09'!K$396</f>
        <v>0</v>
      </c>
      <c r="I4160" s="211">
        <f>'IWP09'!L$396</f>
        <v>0</v>
      </c>
      <c r="J4160" s="212">
        <f>'IWP09'!M$396</f>
        <v>0</v>
      </c>
      <c r="K4160" s="106"/>
      <c r="L4160" s="106"/>
      <c r="M4160" s="129"/>
    </row>
    <row r="4161" spans="1:13" s="146" customFormat="1">
      <c r="A4161" s="193" t="s">
        <v>507</v>
      </c>
      <c r="B4161" s="210">
        <v>4</v>
      </c>
      <c r="C4161" s="191" t="str">
        <f>IF('IWP09'!E$403=0,"",'IWP09'!E$403)</f>
        <v>Subtotal column D.</v>
      </c>
      <c r="D4161" s="211">
        <f>'IWP09'!G$403</f>
        <v>0</v>
      </c>
      <c r="E4161" s="211">
        <f>'IWP09'!H$403</f>
        <v>0</v>
      </c>
      <c r="F4161" s="211">
        <f>'IWP09'!I$403</f>
        <v>0</v>
      </c>
      <c r="G4161" s="191" t="str">
        <f>IF('IWP09'!J$403=0,"",'IWP09'!J$403)</f>
        <v/>
      </c>
      <c r="H4161" s="211">
        <f>'IWP09'!K$403</f>
        <v>0</v>
      </c>
      <c r="I4161" s="211">
        <f>'IWP09'!L$403</f>
        <v>0</v>
      </c>
      <c r="J4161" s="212">
        <f>'IWP09'!M$403</f>
        <v>0</v>
      </c>
      <c r="K4161" s="106"/>
      <c r="L4161" s="106"/>
      <c r="M4161" s="129"/>
    </row>
    <row r="4162" spans="1:13" s="146" customFormat="1">
      <c r="A4162" s="193" t="s">
        <v>507</v>
      </c>
      <c r="B4162" s="210">
        <v>4</v>
      </c>
      <c r="C4162" s="191" t="str">
        <f>IF('IWP09'!E$404=0,"",'IWP09'!E$404)</f>
        <v>Unverified/Undocumented (Subtotal D - C)</v>
      </c>
      <c r="D4162" s="211">
        <f>'IWP09'!G$404</f>
        <v>0</v>
      </c>
      <c r="E4162" s="211">
        <f>'IWP09'!H$404</f>
        <v>0</v>
      </c>
      <c r="F4162" s="211">
        <f>'IWP09'!I$404</f>
        <v>0</v>
      </c>
      <c r="G4162" s="191" t="str">
        <f>IF('IWP09'!J$404=0,"",'IWP09'!J$404)</f>
        <v/>
      </c>
      <c r="H4162" s="211">
        <f>'IWP09'!K$404</f>
        <v>0</v>
      </c>
      <c r="I4162" s="211">
        <f>'IWP09'!L$404</f>
        <v>0</v>
      </c>
      <c r="J4162" s="212">
        <f>'IWP09'!M$404</f>
        <v>0</v>
      </c>
      <c r="K4162" s="106"/>
      <c r="L4162" s="106"/>
      <c r="M4162" s="129"/>
    </row>
    <row r="4163" spans="1:13" s="146" customFormat="1">
      <c r="A4163" s="193" t="s">
        <v>507</v>
      </c>
      <c r="B4163" s="210">
        <v>4</v>
      </c>
      <c r="C4163" s="191" t="str">
        <f>IF('IWP09'!E$405=0,"",'IWP09'!E$405)</f>
        <v>J. Billing Period Total</v>
      </c>
      <c r="D4163" s="211">
        <f>'IWP09'!G$405</f>
        <v>0</v>
      </c>
      <c r="E4163" s="211">
        <f>'IWP09'!H$405</f>
        <v>0</v>
      </c>
      <c r="F4163" s="211">
        <f>'IWP09'!I$405</f>
        <v>0</v>
      </c>
      <c r="G4163" s="191" t="str">
        <f>IF('IWP09'!J$405=0,"",'IWP09'!J$405)</f>
        <v/>
      </c>
      <c r="H4163" s="211">
        <f>'IWP09'!K$405</f>
        <v>0</v>
      </c>
      <c r="I4163" s="211">
        <f>'IWP09'!L$405</f>
        <v>0</v>
      </c>
      <c r="J4163" s="212">
        <f>'IWP09'!M$405</f>
        <v>0</v>
      </c>
      <c r="K4163" s="106"/>
      <c r="L4163" s="106"/>
      <c r="M4163" s="129"/>
    </row>
    <row r="4164" spans="1:13" s="146" customFormat="1">
      <c r="A4164" s="193" t="s">
        <v>507</v>
      </c>
      <c r="B4164" s="210">
        <v>4</v>
      </c>
      <c r="C4164" s="191" t="str">
        <f>IF('IWP09'!E$406=0,"",'IWP09'!E$406)</f>
        <v>D.</v>
      </c>
      <c r="D4164" s="211">
        <f>'IWP09'!G$406</f>
        <v>0</v>
      </c>
      <c r="E4164" s="211" t="str">
        <f>'IWP09'!H$406</f>
        <v>E.</v>
      </c>
      <c r="F4164" s="211" t="str">
        <f>'IWP09'!I$406</f>
        <v>F.</v>
      </c>
      <c r="G4164" s="191" t="str">
        <f>IF('IWP09'!J$406=0,"",'IWP09'!J$406)</f>
        <v>G.</v>
      </c>
      <c r="H4164" s="211">
        <f>'IWP09'!K$406</f>
        <v>0</v>
      </c>
      <c r="I4164" s="211" t="str">
        <f>'IWP09'!L$406</f>
        <v>H.</v>
      </c>
      <c r="J4164" s="212" t="str">
        <f>'IWP09'!M$406</f>
        <v>I.</v>
      </c>
      <c r="K4164" s="106"/>
      <c r="L4164" s="106"/>
      <c r="M4164" s="129"/>
    </row>
    <row r="4165" spans="1:13" s="146" customFormat="1">
      <c r="A4165" s="193" t="s">
        <v>507</v>
      </c>
      <c r="B4165" s="210">
        <v>4</v>
      </c>
      <c r="C4165" s="191" t="str">
        <f>IF('IWP09'!E$407=0,"",'IWP09'!E$407)</f>
        <v xml:space="preserve">Items/Services Related to Billing Period </v>
      </c>
      <c r="D4165" s="211">
        <f>'IWP09'!G$407</f>
        <v>0</v>
      </c>
      <c r="E4165" s="211" t="str">
        <f>'IWP09'!H$407</f>
        <v xml:space="preserve">Item/
Service Verified Amounts
</v>
      </c>
      <c r="F4165" s="211" t="str">
        <f>'IWP09'!I$407</f>
        <v>Amount Due to DADS (E. - D.)</v>
      </c>
      <c r="G4165" s="191" t="str">
        <f>IF('IWP09'!J$407=0,"",'IWP09'!J$407)</f>
        <v>Amount Reimbursed to 
Employee(s)/Employer</v>
      </c>
      <c r="H4165" s="211">
        <f>'IWP09'!K$407</f>
        <v>0</v>
      </c>
      <c r="I4165" s="211" t="str">
        <f>'IWP09'!L$407</f>
        <v>Amount Due to Employee(s) (G. - E.)</v>
      </c>
      <c r="J4165" s="212" t="str">
        <f>'IWP09'!M$407</f>
        <v>Amount Due to Employer (G. - E.)</v>
      </c>
      <c r="K4165" s="106"/>
      <c r="L4165" s="106"/>
      <c r="M4165" s="129"/>
    </row>
    <row r="4166" spans="1:13" s="146" customFormat="1">
      <c r="A4166" s="193" t="s">
        <v>507</v>
      </c>
      <c r="B4166" s="210">
        <v>4</v>
      </c>
      <c r="C4166" s="191" t="str">
        <f>IF('IWP09'!E$408=0,"",'IWP09'!E$408)</f>
        <v>Item/Service</v>
      </c>
      <c r="D4166" s="211" t="str">
        <f>'IWP09'!G$408</f>
        <v>Itemized Amount Paid by DADS</v>
      </c>
      <c r="E4166" s="211">
        <f>'IWP09'!H$408</f>
        <v>0</v>
      </c>
      <c r="F4166" s="211">
        <f>'IWP09'!I$408</f>
        <v>0</v>
      </c>
      <c r="G4166" s="191" t="str">
        <f>IF('IWP09'!J$408=0,"",'IWP09'!J$408)</f>
        <v/>
      </c>
      <c r="H4166" s="211">
        <f>'IWP09'!K$408</f>
        <v>0</v>
      </c>
      <c r="I4166" s="211">
        <f>'IWP09'!L$408</f>
        <v>0</v>
      </c>
      <c r="J4166" s="212">
        <f>'IWP09'!M$408</f>
        <v>0</v>
      </c>
      <c r="K4166" s="106"/>
      <c r="L4166" s="106"/>
      <c r="M4166" s="129"/>
    </row>
    <row r="4167" spans="1:13" s="146" customFormat="1">
      <c r="A4167" s="193" t="s">
        <v>507</v>
      </c>
      <c r="B4167" s="210">
        <v>4</v>
      </c>
      <c r="C4167" s="191" t="str">
        <f>IF('IWP09'!E$409=0,"",'IWP09'!E$409)</f>
        <v/>
      </c>
      <c r="D4167" s="211">
        <f>'IWP09'!G$409</f>
        <v>0</v>
      </c>
      <c r="E4167" s="211">
        <f>'IWP09'!H$409</f>
        <v>0</v>
      </c>
      <c r="F4167" s="211">
        <f>'IWP09'!I$409</f>
        <v>0</v>
      </c>
      <c r="G4167" s="191" t="str">
        <f>IF('IWP09'!J$409=0,"",'IWP09'!J$409)</f>
        <v/>
      </c>
      <c r="H4167" s="211">
        <f>'IWP09'!K$409</f>
        <v>0</v>
      </c>
      <c r="I4167" s="211">
        <f>'IWP09'!L$409</f>
        <v>0</v>
      </c>
      <c r="J4167" s="212">
        <f>'IWP09'!M$409</f>
        <v>0</v>
      </c>
      <c r="K4167" s="106"/>
      <c r="L4167" s="106"/>
      <c r="M4167" s="129"/>
    </row>
    <row r="4168" spans="1:13" s="146" customFormat="1">
      <c r="A4168" s="193" t="s">
        <v>507</v>
      </c>
      <c r="B4168" s="210">
        <v>4</v>
      </c>
      <c r="C4168" s="191" t="str">
        <f>IF('IWP09'!E$410=0,"",'IWP09'!E$410)</f>
        <v/>
      </c>
      <c r="D4168" s="211">
        <f>'IWP09'!G$410</f>
        <v>0</v>
      </c>
      <c r="E4168" s="211">
        <f>'IWP09'!H$410</f>
        <v>0</v>
      </c>
      <c r="F4168" s="211">
        <f>'IWP09'!I$410</f>
        <v>0</v>
      </c>
      <c r="G4168" s="191" t="str">
        <f>IF('IWP09'!J$410=0,"",'IWP09'!J$410)</f>
        <v/>
      </c>
      <c r="H4168" s="211">
        <f>'IWP09'!K$410</f>
        <v>0</v>
      </c>
      <c r="I4168" s="211">
        <f>'IWP09'!L$410</f>
        <v>0</v>
      </c>
      <c r="J4168" s="212">
        <f>'IWP09'!M$410</f>
        <v>0</v>
      </c>
      <c r="K4168" s="106"/>
      <c r="L4168" s="106"/>
      <c r="M4168" s="129"/>
    </row>
    <row r="4169" spans="1:13" s="146" customFormat="1">
      <c r="A4169" s="193" t="s">
        <v>507</v>
      </c>
      <c r="B4169" s="210">
        <v>4</v>
      </c>
      <c r="C4169" s="191" t="str">
        <f>IF('IWP09'!E$411=0,"",'IWP09'!E$411)</f>
        <v/>
      </c>
      <c r="D4169" s="211">
        <f>'IWP09'!G$411</f>
        <v>0</v>
      </c>
      <c r="E4169" s="211">
        <f>'IWP09'!H$411</f>
        <v>0</v>
      </c>
      <c r="F4169" s="211">
        <f>'IWP09'!I$411</f>
        <v>0</v>
      </c>
      <c r="G4169" s="191" t="str">
        <f>IF('IWP09'!J$411=0,"",'IWP09'!J$411)</f>
        <v/>
      </c>
      <c r="H4169" s="211">
        <f>'IWP09'!K$411</f>
        <v>0</v>
      </c>
      <c r="I4169" s="211">
        <f>'IWP09'!L$411</f>
        <v>0</v>
      </c>
      <c r="J4169" s="212">
        <f>'IWP09'!M$411</f>
        <v>0</v>
      </c>
      <c r="K4169" s="106"/>
      <c r="L4169" s="106"/>
      <c r="M4169" s="129"/>
    </row>
    <row r="4170" spans="1:13" s="146" customFormat="1">
      <c r="A4170" s="193" t="s">
        <v>507</v>
      </c>
      <c r="B4170" s="210">
        <v>4</v>
      </c>
      <c r="C4170" s="191" t="str">
        <f>IF('IWP09'!E$412=0,"",'IWP09'!E$412)</f>
        <v/>
      </c>
      <c r="D4170" s="211">
        <f>'IWP09'!G$412</f>
        <v>0</v>
      </c>
      <c r="E4170" s="211">
        <f>'IWP09'!H$412</f>
        <v>0</v>
      </c>
      <c r="F4170" s="211">
        <f>'IWP09'!I$412</f>
        <v>0</v>
      </c>
      <c r="G4170" s="191" t="str">
        <f>IF('IWP09'!J$412=0,"",'IWP09'!J$412)</f>
        <v/>
      </c>
      <c r="H4170" s="211">
        <f>'IWP09'!K$412</f>
        <v>0</v>
      </c>
      <c r="I4170" s="211">
        <f>'IWP09'!L$412</f>
        <v>0</v>
      </c>
      <c r="J4170" s="212">
        <f>'IWP09'!M$412</f>
        <v>0</v>
      </c>
      <c r="K4170" s="106"/>
      <c r="L4170" s="106"/>
      <c r="M4170" s="129"/>
    </row>
    <row r="4171" spans="1:13" s="146" customFormat="1">
      <c r="A4171" s="193" t="s">
        <v>507</v>
      </c>
      <c r="B4171" s="210">
        <v>5</v>
      </c>
      <c r="C4171" s="191" t="str">
        <f>IF('IWP09'!E$419=0,"",'IWP09'!E$419)</f>
        <v>Subtotal column D.</v>
      </c>
      <c r="D4171" s="211">
        <f>'IWP09'!G$419</f>
        <v>0</v>
      </c>
      <c r="E4171" s="211">
        <f>'IWP09'!H$419</f>
        <v>0</v>
      </c>
      <c r="F4171" s="211">
        <f>'IWP09'!I$419</f>
        <v>0</v>
      </c>
      <c r="G4171" s="191" t="str">
        <f>IF('IWP09'!J$419=0,"",'IWP09'!J$419)</f>
        <v/>
      </c>
      <c r="H4171" s="211">
        <f>'IWP09'!K$419</f>
        <v>0</v>
      </c>
      <c r="I4171" s="211">
        <f>'IWP09'!L$419</f>
        <v>0</v>
      </c>
      <c r="J4171" s="212">
        <f>'IWP09'!M$419</f>
        <v>0</v>
      </c>
      <c r="K4171" s="106"/>
      <c r="L4171" s="106"/>
      <c r="M4171" s="129"/>
    </row>
    <row r="4172" spans="1:13" s="146" customFormat="1">
      <c r="A4172" s="193" t="s">
        <v>507</v>
      </c>
      <c r="B4172" s="210">
        <v>5</v>
      </c>
      <c r="C4172" s="191" t="str">
        <f>IF('IWP09'!E$420=0,"",'IWP09'!E$420)</f>
        <v>Unverified/Undocumented (Subtotal D - C)</v>
      </c>
      <c r="D4172" s="211">
        <f>'IWP09'!G$420</f>
        <v>0</v>
      </c>
      <c r="E4172" s="211">
        <f>'IWP09'!H$420</f>
        <v>0</v>
      </c>
      <c r="F4172" s="211">
        <f>'IWP09'!I$420</f>
        <v>0</v>
      </c>
      <c r="G4172" s="191" t="str">
        <f>IF('IWP09'!J$420=0,"",'IWP09'!J$420)</f>
        <v/>
      </c>
      <c r="H4172" s="211">
        <f>'IWP09'!K$420</f>
        <v>0</v>
      </c>
      <c r="I4172" s="211">
        <f>'IWP09'!L$420</f>
        <v>0</v>
      </c>
      <c r="J4172" s="212">
        <f>'IWP09'!M$420</f>
        <v>0</v>
      </c>
      <c r="K4172" s="106"/>
      <c r="L4172" s="106"/>
      <c r="M4172" s="129"/>
    </row>
    <row r="4173" spans="1:13" s="146" customFormat="1">
      <c r="A4173" s="193" t="s">
        <v>507</v>
      </c>
      <c r="B4173" s="210">
        <v>5</v>
      </c>
      <c r="C4173" s="191" t="str">
        <f>IF('IWP09'!E$421=0,"",'IWP09'!E$421)</f>
        <v>J. Billing Period Total</v>
      </c>
      <c r="D4173" s="211">
        <f>'IWP09'!G$421</f>
        <v>0</v>
      </c>
      <c r="E4173" s="211">
        <f>'IWP09'!H$421</f>
        <v>0</v>
      </c>
      <c r="F4173" s="211">
        <f>'IWP09'!I$421</f>
        <v>0</v>
      </c>
      <c r="G4173" s="191" t="str">
        <f>IF('IWP09'!J$421=0,"",'IWP09'!J$421)</f>
        <v/>
      </c>
      <c r="H4173" s="211">
        <f>'IWP09'!K$421</f>
        <v>0</v>
      </c>
      <c r="I4173" s="211">
        <f>'IWP09'!L$421</f>
        <v>0</v>
      </c>
      <c r="J4173" s="212">
        <f>'IWP09'!M$421</f>
        <v>0</v>
      </c>
      <c r="K4173" s="106"/>
      <c r="L4173" s="106"/>
      <c r="M4173" s="129"/>
    </row>
    <row r="4174" spans="1:13" s="146" customFormat="1">
      <c r="A4174" s="193" t="s">
        <v>507</v>
      </c>
      <c r="B4174" s="210">
        <v>5</v>
      </c>
      <c r="C4174" s="191" t="str">
        <f>IF('IWP09'!E$422=0,"",'IWP09'!E$422)</f>
        <v>D.</v>
      </c>
      <c r="D4174" s="211">
        <f>'IWP09'!G$422</f>
        <v>0</v>
      </c>
      <c r="E4174" s="211" t="str">
        <f>'IWP09'!H$422</f>
        <v>E.</v>
      </c>
      <c r="F4174" s="211" t="str">
        <f>'IWP09'!I$422</f>
        <v>F.</v>
      </c>
      <c r="G4174" s="191" t="str">
        <f>IF('IWP09'!J$422=0,"",'IWP09'!J$422)</f>
        <v>G.</v>
      </c>
      <c r="H4174" s="211">
        <f>'IWP09'!K$422</f>
        <v>0</v>
      </c>
      <c r="I4174" s="211" t="str">
        <f>'IWP09'!L$422</f>
        <v>H.</v>
      </c>
      <c r="J4174" s="212" t="str">
        <f>'IWP09'!M$422</f>
        <v>I.</v>
      </c>
      <c r="K4174" s="106"/>
      <c r="L4174" s="106"/>
      <c r="M4174" s="129"/>
    </row>
    <row r="4175" spans="1:13" s="146" customFormat="1">
      <c r="A4175" s="193" t="s">
        <v>507</v>
      </c>
      <c r="B4175" s="210">
        <v>5</v>
      </c>
      <c r="C4175" s="191" t="str">
        <f>IF('IWP09'!E$423=0,"",'IWP09'!E$423)</f>
        <v xml:space="preserve">Items/Services Related to Billing Period </v>
      </c>
      <c r="D4175" s="211">
        <f>'IWP09'!G$423</f>
        <v>0</v>
      </c>
      <c r="E4175" s="211" t="str">
        <f>'IWP09'!H$423</f>
        <v xml:space="preserve">Item/
Service Verified Amounts
</v>
      </c>
      <c r="F4175" s="211" t="str">
        <f>'IWP09'!I$423</f>
        <v>Amount Due to DADS (E. - D.)</v>
      </c>
      <c r="G4175" s="191" t="str">
        <f>IF('IWP09'!J$423=0,"",'IWP09'!J$423)</f>
        <v>Amount Reimbursed to 
Employee(s)/Employer</v>
      </c>
      <c r="H4175" s="211">
        <f>'IWP09'!K$423</f>
        <v>0</v>
      </c>
      <c r="I4175" s="211" t="str">
        <f>'IWP09'!L$423</f>
        <v>Amount Due to Employee(s) (G. - E.)</v>
      </c>
      <c r="J4175" s="212" t="str">
        <f>'IWP09'!M$423</f>
        <v>Amount Due to Employer (G. - E.)</v>
      </c>
      <c r="K4175" s="106"/>
      <c r="L4175" s="106"/>
      <c r="M4175" s="129"/>
    </row>
    <row r="4176" spans="1:13" s="146" customFormat="1">
      <c r="A4176" s="193" t="s">
        <v>507</v>
      </c>
      <c r="B4176" s="210">
        <v>5</v>
      </c>
      <c r="C4176" s="191" t="str">
        <f>IF('IWP09'!E$424=0,"",'IWP09'!E$424)</f>
        <v>Item/Service</v>
      </c>
      <c r="D4176" s="211" t="str">
        <f>'IWP09'!G$424</f>
        <v>Itemized Amount Paid by DADS</v>
      </c>
      <c r="E4176" s="211">
        <f>'IWP09'!H$424</f>
        <v>0</v>
      </c>
      <c r="F4176" s="211">
        <f>'IWP09'!I$424</f>
        <v>0</v>
      </c>
      <c r="G4176" s="191" t="str">
        <f>IF('IWP09'!J$424=0,"",'IWP09'!J$424)</f>
        <v/>
      </c>
      <c r="H4176" s="211">
        <f>'IWP09'!K$424</f>
        <v>0</v>
      </c>
      <c r="I4176" s="211">
        <f>'IWP09'!L$424</f>
        <v>0</v>
      </c>
      <c r="J4176" s="212">
        <f>'IWP09'!M$424</f>
        <v>0</v>
      </c>
      <c r="K4176" s="106"/>
      <c r="L4176" s="106"/>
      <c r="M4176" s="129"/>
    </row>
    <row r="4177" spans="1:13" s="146" customFormat="1">
      <c r="A4177" s="193" t="s">
        <v>507</v>
      </c>
      <c r="B4177" s="210">
        <v>5</v>
      </c>
      <c r="C4177" s="191" t="str">
        <f>IF('IWP09'!E$425=0,"",'IWP09'!E$425)</f>
        <v/>
      </c>
      <c r="D4177" s="211">
        <f>'IWP09'!G$425</f>
        <v>0</v>
      </c>
      <c r="E4177" s="211">
        <f>'IWP09'!H$425</f>
        <v>0</v>
      </c>
      <c r="F4177" s="211">
        <f>'IWP09'!I$425</f>
        <v>0</v>
      </c>
      <c r="G4177" s="191" t="str">
        <f>IF('IWP09'!J$425=0,"",'IWP09'!J$425)</f>
        <v/>
      </c>
      <c r="H4177" s="211">
        <f>'IWP09'!K$425</f>
        <v>0</v>
      </c>
      <c r="I4177" s="211">
        <f>'IWP09'!L$425</f>
        <v>0</v>
      </c>
      <c r="J4177" s="212">
        <f>'IWP09'!M$425</f>
        <v>0</v>
      </c>
      <c r="K4177" s="106"/>
      <c r="L4177" s="106"/>
      <c r="M4177" s="129"/>
    </row>
    <row r="4178" spans="1:13" s="146" customFormat="1">
      <c r="A4178" s="193" t="s">
        <v>507</v>
      </c>
      <c r="B4178" s="210">
        <v>5</v>
      </c>
      <c r="C4178" s="191" t="str">
        <f>IF('IWP09'!E$426=0,"",'IWP09'!E$426)</f>
        <v/>
      </c>
      <c r="D4178" s="211">
        <f>'IWP09'!G$426</f>
        <v>0</v>
      </c>
      <c r="E4178" s="211">
        <f>'IWP09'!H$426</f>
        <v>0</v>
      </c>
      <c r="F4178" s="211">
        <f>'IWP09'!I$426</f>
        <v>0</v>
      </c>
      <c r="G4178" s="191" t="str">
        <f>IF('IWP09'!J$426=0,"",'IWP09'!J$426)</f>
        <v/>
      </c>
      <c r="H4178" s="211">
        <f>'IWP09'!K$426</f>
        <v>0</v>
      </c>
      <c r="I4178" s="211">
        <f>'IWP09'!L$426</f>
        <v>0</v>
      </c>
      <c r="J4178" s="212">
        <f>'IWP09'!M$426</f>
        <v>0</v>
      </c>
      <c r="K4178" s="106"/>
      <c r="L4178" s="106"/>
      <c r="M4178" s="129"/>
    </row>
    <row r="4179" spans="1:13" s="146" customFormat="1">
      <c r="A4179" s="193" t="s">
        <v>507</v>
      </c>
      <c r="B4179" s="210">
        <v>5</v>
      </c>
      <c r="C4179" s="191" t="str">
        <f>IF('IWP09'!E$427=0,"",'IWP09'!E$427)</f>
        <v/>
      </c>
      <c r="D4179" s="211">
        <f>'IWP09'!G$427</f>
        <v>0</v>
      </c>
      <c r="E4179" s="211">
        <f>'IWP09'!H$427</f>
        <v>0</v>
      </c>
      <c r="F4179" s="211">
        <f>'IWP09'!I$427</f>
        <v>0</v>
      </c>
      <c r="G4179" s="191" t="str">
        <f>IF('IWP09'!J$427=0,"",'IWP09'!J$427)</f>
        <v/>
      </c>
      <c r="H4179" s="211">
        <f>'IWP09'!K$427</f>
        <v>0</v>
      </c>
      <c r="I4179" s="211">
        <f>'IWP09'!L$427</f>
        <v>0</v>
      </c>
      <c r="J4179" s="212">
        <f>'IWP09'!M$427</f>
        <v>0</v>
      </c>
      <c r="K4179" s="106"/>
      <c r="L4179" s="106"/>
      <c r="M4179" s="129"/>
    </row>
    <row r="4180" spans="1:13" s="146" customFormat="1">
      <c r="A4180" s="193" t="s">
        <v>507</v>
      </c>
      <c r="B4180" s="210">
        <v>5</v>
      </c>
      <c r="C4180" s="191" t="str">
        <f>IF('IWP09'!E$428=0,"",'IWP09'!E$428)</f>
        <v/>
      </c>
      <c r="D4180" s="211">
        <f>'IWP09'!G$428</f>
        <v>0</v>
      </c>
      <c r="E4180" s="211">
        <f>'IWP09'!H$428</f>
        <v>0</v>
      </c>
      <c r="F4180" s="211">
        <f>'IWP09'!I$428</f>
        <v>0</v>
      </c>
      <c r="G4180" s="191" t="str">
        <f>IF('IWP09'!J$428=0,"",'IWP09'!J$428)</f>
        <v/>
      </c>
      <c r="H4180" s="211">
        <f>'IWP09'!K$428</f>
        <v>0</v>
      </c>
      <c r="I4180" s="211">
        <f>'IWP09'!L$428</f>
        <v>0</v>
      </c>
      <c r="J4180" s="212">
        <f>'IWP09'!M$428</f>
        <v>0</v>
      </c>
      <c r="K4180" s="106"/>
      <c r="L4180" s="106"/>
      <c r="M4180" s="129"/>
    </row>
    <row r="4181" spans="1:13" s="146" customFormat="1">
      <c r="A4181" s="193" t="s">
        <v>507</v>
      </c>
      <c r="B4181" s="210">
        <v>6</v>
      </c>
      <c r="C4181" s="191" t="str">
        <f>IF('IWP09'!E$435=0,"",'IWP09'!E$435)</f>
        <v>Subtotal column D.</v>
      </c>
      <c r="D4181" s="211">
        <f>'IWP09'!G$435</f>
        <v>0</v>
      </c>
      <c r="E4181" s="211">
        <f>'IWP09'!H$435</f>
        <v>0</v>
      </c>
      <c r="F4181" s="211">
        <f>'IWP09'!I$435</f>
        <v>0</v>
      </c>
      <c r="G4181" s="191" t="str">
        <f>IF('IWP09'!J$435=0,"",'IWP09'!J$435)</f>
        <v/>
      </c>
      <c r="H4181" s="211">
        <f>'IWP09'!K$435</f>
        <v>0</v>
      </c>
      <c r="I4181" s="211">
        <f>'IWP09'!L$435</f>
        <v>0</v>
      </c>
      <c r="J4181" s="212">
        <f>'IWP09'!M$435</f>
        <v>0</v>
      </c>
      <c r="K4181" s="106"/>
      <c r="L4181" s="106"/>
      <c r="M4181" s="129"/>
    </row>
    <row r="4182" spans="1:13" s="146" customFormat="1">
      <c r="A4182" s="193" t="s">
        <v>507</v>
      </c>
      <c r="B4182" s="210">
        <v>6</v>
      </c>
      <c r="C4182" s="191" t="str">
        <f>IF('IWP09'!E$436=0,"",'IWP09'!E$436)</f>
        <v>Unverified/Undocumented (Subtotal D - C)</v>
      </c>
      <c r="D4182" s="211">
        <f>'IWP09'!G$436</f>
        <v>0</v>
      </c>
      <c r="E4182" s="211">
        <f>'IWP09'!H$436</f>
        <v>0</v>
      </c>
      <c r="F4182" s="211">
        <f>'IWP09'!I$436</f>
        <v>0</v>
      </c>
      <c r="G4182" s="191" t="str">
        <f>IF('IWP09'!J$436=0,"",'IWP09'!J$436)</f>
        <v/>
      </c>
      <c r="H4182" s="211">
        <f>'IWP09'!K$436</f>
        <v>0</v>
      </c>
      <c r="I4182" s="211">
        <f>'IWP09'!L$436</f>
        <v>0</v>
      </c>
      <c r="J4182" s="212">
        <f>'IWP09'!M$436</f>
        <v>0</v>
      </c>
      <c r="K4182" s="106"/>
      <c r="L4182" s="106"/>
      <c r="M4182" s="129"/>
    </row>
    <row r="4183" spans="1:13" s="146" customFormat="1">
      <c r="A4183" s="193" t="s">
        <v>507</v>
      </c>
      <c r="B4183" s="210">
        <v>6</v>
      </c>
      <c r="C4183" s="191" t="str">
        <f>IF('IWP09'!E$437=0,"",'IWP09'!E$437)</f>
        <v>J. Billing Period Total</v>
      </c>
      <c r="D4183" s="211">
        <f>'IWP09'!G$437</f>
        <v>0</v>
      </c>
      <c r="E4183" s="211">
        <f>'IWP09'!H$437</f>
        <v>0</v>
      </c>
      <c r="F4183" s="211">
        <f>'IWP09'!I$437</f>
        <v>0</v>
      </c>
      <c r="G4183" s="191" t="str">
        <f>IF('IWP09'!J$437=0,"",'IWP09'!J$437)</f>
        <v/>
      </c>
      <c r="H4183" s="211">
        <f>'IWP09'!K$437</f>
        <v>0</v>
      </c>
      <c r="I4183" s="211">
        <f>'IWP09'!L$437</f>
        <v>0</v>
      </c>
      <c r="J4183" s="212">
        <f>'IWP09'!M$437</f>
        <v>0</v>
      </c>
      <c r="K4183" s="106"/>
      <c r="L4183" s="106"/>
      <c r="M4183" s="129"/>
    </row>
    <row r="4184" spans="1:13" s="146" customFormat="1">
      <c r="A4184" s="193" t="s">
        <v>507</v>
      </c>
      <c r="B4184" s="210">
        <v>6</v>
      </c>
      <c r="C4184" s="191" t="str">
        <f>IF('IWP09'!E$438=0,"",'IWP09'!E$438)</f>
        <v>D.</v>
      </c>
      <c r="D4184" s="211">
        <f>'IWP09'!G$438</f>
        <v>0</v>
      </c>
      <c r="E4184" s="211" t="str">
        <f>'IWP09'!H$438</f>
        <v>E.</v>
      </c>
      <c r="F4184" s="211" t="str">
        <f>'IWP09'!I$438</f>
        <v>F.</v>
      </c>
      <c r="G4184" s="191" t="str">
        <f>IF('IWP09'!J$438=0,"",'IWP09'!J$438)</f>
        <v>G.</v>
      </c>
      <c r="H4184" s="211">
        <f>'IWP09'!K$438</f>
        <v>0</v>
      </c>
      <c r="I4184" s="211" t="str">
        <f>'IWP09'!L$438</f>
        <v>H.</v>
      </c>
      <c r="J4184" s="212" t="str">
        <f>'IWP09'!M$438</f>
        <v>I.</v>
      </c>
      <c r="K4184" s="106"/>
      <c r="L4184" s="106"/>
      <c r="M4184" s="129"/>
    </row>
    <row r="4185" spans="1:13" s="146" customFormat="1">
      <c r="A4185" s="193" t="s">
        <v>507</v>
      </c>
      <c r="B4185" s="210">
        <v>6</v>
      </c>
      <c r="C4185" s="191" t="str">
        <f>IF('IWP09'!E$439=0,"",'IWP09'!E$439)</f>
        <v xml:space="preserve">Items/Services Related to Billing Period </v>
      </c>
      <c r="D4185" s="211">
        <f>'IWP09'!G$439</f>
        <v>0</v>
      </c>
      <c r="E4185" s="211" t="str">
        <f>'IWP09'!H$439</f>
        <v xml:space="preserve">Item/
Service Verified Amounts
</v>
      </c>
      <c r="F4185" s="211" t="str">
        <f>'IWP09'!I$439</f>
        <v>Amount Due to DADS (E. - D.)</v>
      </c>
      <c r="G4185" s="191" t="str">
        <f>IF('IWP09'!J$439=0,"",'IWP09'!J$439)</f>
        <v>Amount Reimbursed to 
Employee(s)/Employer</v>
      </c>
      <c r="H4185" s="211">
        <f>'IWP09'!K$439</f>
        <v>0</v>
      </c>
      <c r="I4185" s="211" t="str">
        <f>'IWP09'!L$439</f>
        <v>Amount Due to Employee(s) (G. - E.)</v>
      </c>
      <c r="J4185" s="212" t="str">
        <f>'IWP09'!M$439</f>
        <v>Amount Due to Employer (G. - E.)</v>
      </c>
      <c r="K4185" s="106"/>
      <c r="L4185" s="106"/>
      <c r="M4185" s="129"/>
    </row>
    <row r="4186" spans="1:13" s="146" customFormat="1">
      <c r="A4186" s="193" t="s">
        <v>507</v>
      </c>
      <c r="B4186" s="210">
        <v>6</v>
      </c>
      <c r="C4186" s="191" t="str">
        <f>IF('IWP09'!E$440=0,"",'IWP09'!E$440)</f>
        <v>Item/Service</v>
      </c>
      <c r="D4186" s="211" t="str">
        <f>'IWP09'!G$440</f>
        <v>Itemized Amount Paid by DADS</v>
      </c>
      <c r="E4186" s="211">
        <f>'IWP09'!H$440</f>
        <v>0</v>
      </c>
      <c r="F4186" s="211">
        <f>'IWP09'!I$440</f>
        <v>0</v>
      </c>
      <c r="G4186" s="191" t="str">
        <f>IF('IWP09'!J$440=0,"",'IWP09'!J$440)</f>
        <v/>
      </c>
      <c r="H4186" s="211">
        <f>'IWP09'!K$440</f>
        <v>0</v>
      </c>
      <c r="I4186" s="211">
        <f>'IWP09'!L$440</f>
        <v>0</v>
      </c>
      <c r="J4186" s="212">
        <f>'IWP09'!M$440</f>
        <v>0</v>
      </c>
      <c r="K4186" s="106"/>
      <c r="L4186" s="106"/>
      <c r="M4186" s="129"/>
    </row>
    <row r="4187" spans="1:13" s="146" customFormat="1">
      <c r="A4187" s="193" t="s">
        <v>507</v>
      </c>
      <c r="B4187" s="210">
        <v>6</v>
      </c>
      <c r="C4187" s="191" t="str">
        <f>IF('IWP09'!E$441=0,"",'IWP09'!E$441)</f>
        <v/>
      </c>
      <c r="D4187" s="211">
        <f>'IWP09'!G$441</f>
        <v>0</v>
      </c>
      <c r="E4187" s="211">
        <f>'IWP09'!H$441</f>
        <v>0</v>
      </c>
      <c r="F4187" s="211">
        <f>'IWP09'!I$441</f>
        <v>0</v>
      </c>
      <c r="G4187" s="191" t="str">
        <f>IF('IWP09'!J$441=0,"",'IWP09'!J$441)</f>
        <v/>
      </c>
      <c r="H4187" s="211">
        <f>'IWP09'!K$441</f>
        <v>0</v>
      </c>
      <c r="I4187" s="211">
        <f>'IWP09'!L$441</f>
        <v>0</v>
      </c>
      <c r="J4187" s="212">
        <f>'IWP09'!M$441</f>
        <v>0</v>
      </c>
      <c r="K4187" s="106"/>
      <c r="L4187" s="106"/>
      <c r="M4187" s="129"/>
    </row>
    <row r="4188" spans="1:13" s="146" customFormat="1">
      <c r="A4188" s="193" t="s">
        <v>507</v>
      </c>
      <c r="B4188" s="210">
        <v>6</v>
      </c>
      <c r="C4188" s="191" t="str">
        <f>IF('IWP09'!E$442=0,"",'IWP09'!E$442)</f>
        <v/>
      </c>
      <c r="D4188" s="211">
        <f>'IWP09'!G$442</f>
        <v>0</v>
      </c>
      <c r="E4188" s="211">
        <f>'IWP09'!H$442</f>
        <v>0</v>
      </c>
      <c r="F4188" s="211">
        <f>'IWP09'!I$442</f>
        <v>0</v>
      </c>
      <c r="G4188" s="191" t="str">
        <f>IF('IWP09'!J$442=0,"",'IWP09'!J$442)</f>
        <v/>
      </c>
      <c r="H4188" s="211">
        <f>'IWP09'!K$442</f>
        <v>0</v>
      </c>
      <c r="I4188" s="211">
        <f>'IWP09'!L$442</f>
        <v>0</v>
      </c>
      <c r="J4188" s="212">
        <f>'IWP09'!M$442</f>
        <v>0</v>
      </c>
      <c r="K4188" s="106"/>
      <c r="L4188" s="106"/>
      <c r="M4188" s="129"/>
    </row>
    <row r="4189" spans="1:13" s="146" customFormat="1">
      <c r="A4189" s="193" t="s">
        <v>507</v>
      </c>
      <c r="B4189" s="210">
        <v>6</v>
      </c>
      <c r="C4189" s="191" t="str">
        <f>IF('IWP09'!E$443=0,"",'IWP09'!E$443)</f>
        <v/>
      </c>
      <c r="D4189" s="211">
        <f>'IWP09'!G$443</f>
        <v>0</v>
      </c>
      <c r="E4189" s="211">
        <f>'IWP09'!H$443</f>
        <v>0</v>
      </c>
      <c r="F4189" s="211">
        <f>'IWP09'!I$443</f>
        <v>0</v>
      </c>
      <c r="G4189" s="191" t="str">
        <f>IF('IWP09'!J$443=0,"",'IWP09'!J$443)</f>
        <v/>
      </c>
      <c r="H4189" s="211">
        <f>'IWP09'!K$443</f>
        <v>0</v>
      </c>
      <c r="I4189" s="211">
        <f>'IWP09'!L$443</f>
        <v>0</v>
      </c>
      <c r="J4189" s="212">
        <f>'IWP09'!M$443</f>
        <v>0</v>
      </c>
      <c r="K4189" s="106"/>
      <c r="L4189" s="106"/>
      <c r="M4189" s="129"/>
    </row>
    <row r="4190" spans="1:13" s="146" customFormat="1">
      <c r="A4190" s="193" t="s">
        <v>507</v>
      </c>
      <c r="B4190" s="210">
        <v>6</v>
      </c>
      <c r="C4190" s="191" t="str">
        <f>IF('IWP09'!E$444=0,"",'IWP09'!E$444)</f>
        <v/>
      </c>
      <c r="D4190" s="211">
        <f>'IWP09'!G$444</f>
        <v>0</v>
      </c>
      <c r="E4190" s="211">
        <f>'IWP09'!H$444</f>
        <v>0</v>
      </c>
      <c r="F4190" s="211">
        <f>'IWP09'!I$444</f>
        <v>0</v>
      </c>
      <c r="G4190" s="191" t="str">
        <f>IF('IWP09'!J$444=0,"",'IWP09'!J$444)</f>
        <v/>
      </c>
      <c r="H4190" s="211">
        <f>'IWP09'!K$444</f>
        <v>0</v>
      </c>
      <c r="I4190" s="211">
        <f>'IWP09'!L$444</f>
        <v>0</v>
      </c>
      <c r="J4190" s="212">
        <f>'IWP09'!M$444</f>
        <v>0</v>
      </c>
      <c r="K4190" s="106"/>
      <c r="L4190" s="106"/>
      <c r="M4190" s="129"/>
    </row>
    <row r="4191" spans="1:13" s="146" customFormat="1">
      <c r="A4191" s="193" t="s">
        <v>507</v>
      </c>
      <c r="B4191" s="210">
        <v>7</v>
      </c>
      <c r="C4191" s="191" t="str">
        <f>IF('IWP09'!E$451=0,"",'IWP09'!E$451)</f>
        <v>Subtotal column D.</v>
      </c>
      <c r="D4191" s="211">
        <f>'IWP09'!G$451</f>
        <v>0</v>
      </c>
      <c r="E4191" s="211">
        <f>'IWP09'!H$451</f>
        <v>0</v>
      </c>
      <c r="F4191" s="211">
        <f>'IWP09'!I$451</f>
        <v>0</v>
      </c>
      <c r="G4191" s="191" t="str">
        <f>IF('IWP09'!J$451=0,"",'IWP09'!J$451)</f>
        <v/>
      </c>
      <c r="H4191" s="211">
        <f>'IWP09'!K$451</f>
        <v>0</v>
      </c>
      <c r="I4191" s="211">
        <f>'IWP09'!L$451</f>
        <v>0</v>
      </c>
      <c r="J4191" s="212">
        <f>'IWP09'!M$451</f>
        <v>0</v>
      </c>
      <c r="K4191" s="106"/>
      <c r="L4191" s="106"/>
      <c r="M4191" s="129"/>
    </row>
    <row r="4192" spans="1:13" s="146" customFormat="1">
      <c r="A4192" s="193" t="s">
        <v>507</v>
      </c>
      <c r="B4192" s="210">
        <v>7</v>
      </c>
      <c r="C4192" s="191" t="str">
        <f>IF('IWP09'!E$452=0,"",'IWP09'!E$452)</f>
        <v>Unverified/Undocumented (Subtotal D - C)</v>
      </c>
      <c r="D4192" s="211">
        <f>'IWP09'!G$452</f>
        <v>0</v>
      </c>
      <c r="E4192" s="211">
        <f>'IWP09'!H$452</f>
        <v>0</v>
      </c>
      <c r="F4192" s="211">
        <f>'IWP09'!I$452</f>
        <v>0</v>
      </c>
      <c r="G4192" s="191" t="str">
        <f>IF('IWP09'!J$452=0,"",'IWP09'!J$452)</f>
        <v/>
      </c>
      <c r="H4192" s="211">
        <f>'IWP09'!K$452</f>
        <v>0</v>
      </c>
      <c r="I4192" s="211">
        <f>'IWP09'!L$452</f>
        <v>0</v>
      </c>
      <c r="J4192" s="212">
        <f>'IWP09'!M$452</f>
        <v>0</v>
      </c>
      <c r="K4192" s="106"/>
      <c r="L4192" s="106"/>
      <c r="M4192" s="129"/>
    </row>
    <row r="4193" spans="1:13" s="146" customFormat="1">
      <c r="A4193" s="193" t="s">
        <v>507</v>
      </c>
      <c r="B4193" s="210">
        <v>7</v>
      </c>
      <c r="C4193" s="191" t="str">
        <f>IF('IWP09'!E$453=0,"",'IWP09'!E$453)</f>
        <v>J. Billing Period Total</v>
      </c>
      <c r="D4193" s="211">
        <f>'IWP09'!G$453</f>
        <v>0</v>
      </c>
      <c r="E4193" s="211">
        <f>'IWP09'!H$453</f>
        <v>0</v>
      </c>
      <c r="F4193" s="211">
        <f>'IWP09'!I$453</f>
        <v>0</v>
      </c>
      <c r="G4193" s="191" t="str">
        <f>IF('IWP09'!J$453=0,"",'IWP09'!J$453)</f>
        <v/>
      </c>
      <c r="H4193" s="211">
        <f>'IWP09'!K$453</f>
        <v>0</v>
      </c>
      <c r="I4193" s="211">
        <f>'IWP09'!L$453</f>
        <v>0</v>
      </c>
      <c r="J4193" s="212">
        <f>'IWP09'!M$453</f>
        <v>0</v>
      </c>
      <c r="K4193" s="106"/>
      <c r="L4193" s="106"/>
      <c r="M4193" s="129"/>
    </row>
    <row r="4194" spans="1:13" s="146" customFormat="1">
      <c r="A4194" s="193" t="s">
        <v>507</v>
      </c>
      <c r="B4194" s="210">
        <v>7</v>
      </c>
      <c r="C4194" s="191" t="str">
        <f>IF('IWP09'!E$454=0,"",'IWP09'!E$454)</f>
        <v>D.</v>
      </c>
      <c r="D4194" s="211">
        <f>'IWP09'!G$454</f>
        <v>0</v>
      </c>
      <c r="E4194" s="211" t="str">
        <f>'IWP09'!H$454</f>
        <v>E.</v>
      </c>
      <c r="F4194" s="211" t="str">
        <f>'IWP09'!I$454</f>
        <v>F.</v>
      </c>
      <c r="G4194" s="191" t="str">
        <f>IF('IWP09'!J$454=0,"",'IWP09'!J$454)</f>
        <v>G.</v>
      </c>
      <c r="H4194" s="211">
        <f>'IWP09'!K$454</f>
        <v>0</v>
      </c>
      <c r="I4194" s="211" t="str">
        <f>'IWP09'!L$454</f>
        <v>H.</v>
      </c>
      <c r="J4194" s="212" t="str">
        <f>'IWP09'!M$454</f>
        <v>I.</v>
      </c>
      <c r="K4194" s="106"/>
      <c r="L4194" s="106"/>
      <c r="M4194" s="129"/>
    </row>
    <row r="4195" spans="1:13" s="146" customFormat="1">
      <c r="A4195" s="193" t="s">
        <v>507</v>
      </c>
      <c r="B4195" s="210">
        <v>7</v>
      </c>
      <c r="C4195" s="191" t="str">
        <f>IF('IWP09'!E$455=0,"",'IWP09'!E$455)</f>
        <v xml:space="preserve">Items/Services Related to Billing Period </v>
      </c>
      <c r="D4195" s="211">
        <f>'IWP09'!G$455</f>
        <v>0</v>
      </c>
      <c r="E4195" s="211" t="str">
        <f>'IWP09'!H$455</f>
        <v xml:space="preserve">Item/
Service Verified Amounts
</v>
      </c>
      <c r="F4195" s="211" t="str">
        <f>'IWP09'!I$455</f>
        <v>Amount Due to DADS (E. - D.)</v>
      </c>
      <c r="G4195" s="191" t="str">
        <f>IF('IWP09'!J$455=0,"",'IWP09'!J$455)</f>
        <v>Amount Reimbursed to 
Employee(s)/Employer</v>
      </c>
      <c r="H4195" s="211">
        <f>'IWP09'!K$455</f>
        <v>0</v>
      </c>
      <c r="I4195" s="211" t="str">
        <f>'IWP09'!L$455</f>
        <v>Amount Due to Employee(s) (G. - E.)</v>
      </c>
      <c r="J4195" s="212" t="str">
        <f>'IWP09'!M$455</f>
        <v>Amount Due to Employer (G. - E.)</v>
      </c>
      <c r="K4195" s="106"/>
      <c r="L4195" s="106"/>
      <c r="M4195" s="129"/>
    </row>
    <row r="4196" spans="1:13" s="146" customFormat="1">
      <c r="A4196" s="193" t="s">
        <v>507</v>
      </c>
      <c r="B4196" s="210">
        <v>7</v>
      </c>
      <c r="C4196" s="191" t="str">
        <f>IF('IWP09'!E$456=0,"",'IWP09'!E$456)</f>
        <v>Item/Service</v>
      </c>
      <c r="D4196" s="211" t="str">
        <f>'IWP09'!G$456</f>
        <v>Itemized Amount Paid by DADS</v>
      </c>
      <c r="E4196" s="211">
        <f>'IWP09'!H$456</f>
        <v>0</v>
      </c>
      <c r="F4196" s="211">
        <f>'IWP09'!I$456</f>
        <v>0</v>
      </c>
      <c r="G4196" s="191" t="str">
        <f>IF('IWP09'!J$456=0,"",'IWP09'!J$456)</f>
        <v/>
      </c>
      <c r="H4196" s="211">
        <f>'IWP09'!K$456</f>
        <v>0</v>
      </c>
      <c r="I4196" s="211">
        <f>'IWP09'!L$456</f>
        <v>0</v>
      </c>
      <c r="J4196" s="212">
        <f>'IWP09'!M$456</f>
        <v>0</v>
      </c>
      <c r="K4196" s="106"/>
      <c r="L4196" s="106"/>
      <c r="M4196" s="129"/>
    </row>
    <row r="4197" spans="1:13" s="146" customFormat="1">
      <c r="A4197" s="193" t="s">
        <v>507</v>
      </c>
      <c r="B4197" s="210">
        <v>7</v>
      </c>
      <c r="C4197" s="191" t="str">
        <f>IF('IWP09'!E$457=0,"",'IWP09'!E$457)</f>
        <v/>
      </c>
      <c r="D4197" s="211">
        <f>'IWP09'!G$457</f>
        <v>0</v>
      </c>
      <c r="E4197" s="211">
        <f>'IWP09'!H$457</f>
        <v>0</v>
      </c>
      <c r="F4197" s="211">
        <f>'IWP09'!I$457</f>
        <v>0</v>
      </c>
      <c r="G4197" s="191" t="str">
        <f>IF('IWP09'!J$457=0,"",'IWP09'!J$457)</f>
        <v/>
      </c>
      <c r="H4197" s="211">
        <f>'IWP09'!K$457</f>
        <v>0</v>
      </c>
      <c r="I4197" s="211">
        <f>'IWP09'!L$457</f>
        <v>0</v>
      </c>
      <c r="J4197" s="212">
        <f>'IWP09'!M$457</f>
        <v>0</v>
      </c>
      <c r="K4197" s="106"/>
      <c r="L4197" s="106"/>
      <c r="M4197" s="129"/>
    </row>
    <row r="4198" spans="1:13" s="146" customFormat="1">
      <c r="A4198" s="193" t="s">
        <v>507</v>
      </c>
      <c r="B4198" s="210">
        <v>7</v>
      </c>
      <c r="C4198" s="191" t="str">
        <f>IF('IWP09'!E$458=0,"",'IWP09'!E$458)</f>
        <v/>
      </c>
      <c r="D4198" s="211">
        <f>'IWP09'!G$458</f>
        <v>0</v>
      </c>
      <c r="E4198" s="211">
        <f>'IWP09'!H$458</f>
        <v>0</v>
      </c>
      <c r="F4198" s="211">
        <f>'IWP09'!I$458</f>
        <v>0</v>
      </c>
      <c r="G4198" s="191" t="str">
        <f>IF('IWP09'!J$458=0,"",'IWP09'!J$458)</f>
        <v/>
      </c>
      <c r="H4198" s="211">
        <f>'IWP09'!K$458</f>
        <v>0</v>
      </c>
      <c r="I4198" s="211">
        <f>'IWP09'!L$458</f>
        <v>0</v>
      </c>
      <c r="J4198" s="212">
        <f>'IWP09'!M$458</f>
        <v>0</v>
      </c>
      <c r="K4198" s="106"/>
      <c r="L4198" s="106"/>
      <c r="M4198" s="129"/>
    </row>
    <row r="4199" spans="1:13" s="146" customFormat="1">
      <c r="A4199" s="193" t="s">
        <v>507</v>
      </c>
      <c r="B4199" s="210">
        <v>7</v>
      </c>
      <c r="C4199" s="191" t="str">
        <f>IF('IWP09'!E$459=0,"",'IWP09'!E$459)</f>
        <v/>
      </c>
      <c r="D4199" s="211">
        <f>'IWP09'!G$459</f>
        <v>0</v>
      </c>
      <c r="E4199" s="211">
        <f>'IWP09'!H$459</f>
        <v>0</v>
      </c>
      <c r="F4199" s="211">
        <f>'IWP09'!I$459</f>
        <v>0</v>
      </c>
      <c r="G4199" s="191" t="str">
        <f>IF('IWP09'!J$459=0,"",'IWP09'!J$459)</f>
        <v/>
      </c>
      <c r="H4199" s="211">
        <f>'IWP09'!K$459</f>
        <v>0</v>
      </c>
      <c r="I4199" s="211">
        <f>'IWP09'!L$459</f>
        <v>0</v>
      </c>
      <c r="J4199" s="212">
        <f>'IWP09'!M$459</f>
        <v>0</v>
      </c>
      <c r="K4199" s="106"/>
      <c r="L4199" s="106"/>
      <c r="M4199" s="129"/>
    </row>
    <row r="4200" spans="1:13" s="146" customFormat="1">
      <c r="A4200" s="193" t="s">
        <v>507</v>
      </c>
      <c r="B4200" s="210">
        <v>7</v>
      </c>
      <c r="C4200" s="191" t="str">
        <f>IF('IWP09'!E$460=0,"",'IWP09'!E$460)</f>
        <v/>
      </c>
      <c r="D4200" s="211">
        <f>'IWP09'!G$460</f>
        <v>0</v>
      </c>
      <c r="E4200" s="211">
        <f>'IWP09'!H$460</f>
        <v>0</v>
      </c>
      <c r="F4200" s="211">
        <f>'IWP09'!I$460</f>
        <v>0</v>
      </c>
      <c r="G4200" s="191" t="str">
        <f>IF('IWP09'!J$460=0,"",'IWP09'!J$460)</f>
        <v/>
      </c>
      <c r="H4200" s="211">
        <f>'IWP09'!K$460</f>
        <v>0</v>
      </c>
      <c r="I4200" s="211">
        <f>'IWP09'!L$460</f>
        <v>0</v>
      </c>
      <c r="J4200" s="212">
        <f>'IWP09'!M$460</f>
        <v>0</v>
      </c>
      <c r="K4200" s="106"/>
      <c r="L4200" s="106"/>
      <c r="M4200" s="129"/>
    </row>
    <row r="4201" spans="1:13" s="146" customFormat="1">
      <c r="A4201" s="193" t="s">
        <v>507</v>
      </c>
      <c r="B4201" s="210">
        <v>8</v>
      </c>
      <c r="C4201" s="191" t="str">
        <f>IF('IWP09'!E$467=0,"",'IWP09'!E$467)</f>
        <v>Subtotal column D.</v>
      </c>
      <c r="D4201" s="211">
        <f>'IWP09'!G$467</f>
        <v>0</v>
      </c>
      <c r="E4201" s="211">
        <f>'IWP09'!H$467</f>
        <v>0</v>
      </c>
      <c r="F4201" s="211">
        <f>'IWP09'!I$467</f>
        <v>0</v>
      </c>
      <c r="G4201" s="191" t="str">
        <f>IF('IWP09'!J$467=0,"",'IWP09'!J$467)</f>
        <v/>
      </c>
      <c r="H4201" s="211">
        <f>'IWP09'!K$467</f>
        <v>0</v>
      </c>
      <c r="I4201" s="211">
        <f>'IWP09'!L$467</f>
        <v>0</v>
      </c>
      <c r="J4201" s="212">
        <f>'IWP09'!M$467</f>
        <v>0</v>
      </c>
      <c r="K4201" s="106"/>
      <c r="L4201" s="106"/>
      <c r="M4201" s="129"/>
    </row>
    <row r="4202" spans="1:13" s="146" customFormat="1">
      <c r="A4202" s="193" t="s">
        <v>507</v>
      </c>
      <c r="B4202" s="210">
        <v>8</v>
      </c>
      <c r="C4202" s="191" t="str">
        <f>IF('IWP09'!E$468=0,"",'IWP09'!E$468)</f>
        <v>Unverified/Undocumented (Subtotal D - C)</v>
      </c>
      <c r="D4202" s="211">
        <f>'IWP09'!G$468</f>
        <v>0</v>
      </c>
      <c r="E4202" s="211">
        <f>'IWP09'!H$468</f>
        <v>0</v>
      </c>
      <c r="F4202" s="211">
        <f>'IWP09'!I$468</f>
        <v>0</v>
      </c>
      <c r="G4202" s="191" t="str">
        <f>IF('IWP09'!J$468=0,"",'IWP09'!J$468)</f>
        <v/>
      </c>
      <c r="H4202" s="211">
        <f>'IWP09'!K$468</f>
        <v>0</v>
      </c>
      <c r="I4202" s="211">
        <f>'IWP09'!L$468</f>
        <v>0</v>
      </c>
      <c r="J4202" s="212">
        <f>'IWP09'!M$468</f>
        <v>0</v>
      </c>
      <c r="K4202" s="106"/>
      <c r="L4202" s="106"/>
      <c r="M4202" s="129"/>
    </row>
    <row r="4203" spans="1:13" s="146" customFormat="1">
      <c r="A4203" s="193" t="s">
        <v>507</v>
      </c>
      <c r="B4203" s="210">
        <v>8</v>
      </c>
      <c r="C4203" s="191" t="str">
        <f>IF('IWP09'!E$469=0,"",'IWP09'!E$469)</f>
        <v>J. Billing Period Total</v>
      </c>
      <c r="D4203" s="211">
        <f>'IWP09'!G$469</f>
        <v>0</v>
      </c>
      <c r="E4203" s="211">
        <f>'IWP09'!H$469</f>
        <v>0</v>
      </c>
      <c r="F4203" s="211">
        <f>'IWP09'!I$469</f>
        <v>0</v>
      </c>
      <c r="G4203" s="191" t="str">
        <f>IF('IWP09'!J$469=0,"",'IWP09'!J$469)</f>
        <v/>
      </c>
      <c r="H4203" s="211">
        <f>'IWP09'!K$469</f>
        <v>0</v>
      </c>
      <c r="I4203" s="211">
        <f>'IWP09'!L$469</f>
        <v>0</v>
      </c>
      <c r="J4203" s="212">
        <f>'IWP09'!M$469</f>
        <v>0</v>
      </c>
      <c r="K4203" s="106"/>
      <c r="L4203" s="106"/>
      <c r="M4203" s="129"/>
    </row>
    <row r="4204" spans="1:13" s="146" customFormat="1">
      <c r="A4204" s="193" t="s">
        <v>507</v>
      </c>
      <c r="B4204" s="210">
        <v>8</v>
      </c>
      <c r="C4204" s="191" t="str">
        <f>IF('IWP09'!E$470=0,"",'IWP09'!E$470)</f>
        <v>D.</v>
      </c>
      <c r="D4204" s="211">
        <f>'IWP09'!G$470</f>
        <v>0</v>
      </c>
      <c r="E4204" s="211" t="str">
        <f>'IWP09'!H$470</f>
        <v>E.</v>
      </c>
      <c r="F4204" s="211" t="str">
        <f>'IWP09'!I$470</f>
        <v>F.</v>
      </c>
      <c r="G4204" s="191" t="str">
        <f>IF('IWP09'!J$470=0,"",'IWP09'!J$470)</f>
        <v>G.</v>
      </c>
      <c r="H4204" s="211">
        <f>'IWP09'!K$470</f>
        <v>0</v>
      </c>
      <c r="I4204" s="211" t="str">
        <f>'IWP09'!L$470</f>
        <v>H.</v>
      </c>
      <c r="J4204" s="212" t="str">
        <f>'IWP09'!M$470</f>
        <v>I.</v>
      </c>
      <c r="K4204" s="106"/>
      <c r="L4204" s="106"/>
      <c r="M4204" s="129"/>
    </row>
    <row r="4205" spans="1:13" s="146" customFormat="1">
      <c r="A4205" s="193" t="s">
        <v>507</v>
      </c>
      <c r="B4205" s="210">
        <v>8</v>
      </c>
      <c r="C4205" s="191" t="str">
        <f>IF('IWP09'!E$471=0,"",'IWP09'!E$471)</f>
        <v xml:space="preserve">Items/Services Related to Billing Period </v>
      </c>
      <c r="D4205" s="211">
        <f>'IWP09'!G$471</f>
        <v>0</v>
      </c>
      <c r="E4205" s="211" t="str">
        <f>'IWP09'!H$471</f>
        <v xml:space="preserve">Item/
Service Verified Amounts
</v>
      </c>
      <c r="F4205" s="211" t="str">
        <f>'IWP09'!I$471</f>
        <v>Amount Due to DADS (E. - D.)</v>
      </c>
      <c r="G4205" s="191" t="str">
        <f>IF('IWP09'!J$471=0,"",'IWP09'!J$471)</f>
        <v>Amount Reimbursed to 
Employee(s)/Employer</v>
      </c>
      <c r="H4205" s="211">
        <f>'IWP09'!K$471</f>
        <v>0</v>
      </c>
      <c r="I4205" s="211" t="str">
        <f>'IWP09'!L$471</f>
        <v>Amount Due to Employee(s) (G. - E.)</v>
      </c>
      <c r="J4205" s="212" t="str">
        <f>'IWP09'!M$471</f>
        <v>Amount Due to Employer (G. - E.)</v>
      </c>
      <c r="K4205" s="106"/>
      <c r="L4205" s="106"/>
      <c r="M4205" s="129"/>
    </row>
    <row r="4206" spans="1:13" s="146" customFormat="1">
      <c r="A4206" s="193" t="s">
        <v>507</v>
      </c>
      <c r="B4206" s="210">
        <v>8</v>
      </c>
      <c r="C4206" s="191" t="str">
        <f>IF('IWP09'!E$472=0,"",'IWP09'!E$472)</f>
        <v>Item/Service</v>
      </c>
      <c r="D4206" s="211" t="str">
        <f>'IWP09'!G$472</f>
        <v>Itemized Amount Paid by DADS</v>
      </c>
      <c r="E4206" s="211">
        <f>'IWP09'!H$472</f>
        <v>0</v>
      </c>
      <c r="F4206" s="211">
        <f>'IWP09'!I$472</f>
        <v>0</v>
      </c>
      <c r="G4206" s="191" t="str">
        <f>IF('IWP09'!J$472=0,"",'IWP09'!J$472)</f>
        <v/>
      </c>
      <c r="H4206" s="211">
        <f>'IWP09'!K$472</f>
        <v>0</v>
      </c>
      <c r="I4206" s="211">
        <f>'IWP09'!L$472</f>
        <v>0</v>
      </c>
      <c r="J4206" s="212">
        <f>'IWP09'!M$472</f>
        <v>0</v>
      </c>
      <c r="K4206" s="106"/>
      <c r="L4206" s="106"/>
      <c r="M4206" s="129"/>
    </row>
    <row r="4207" spans="1:13" s="146" customFormat="1">
      <c r="A4207" s="193" t="s">
        <v>507</v>
      </c>
      <c r="B4207" s="210">
        <v>8</v>
      </c>
      <c r="C4207" s="191" t="str">
        <f>IF('IWP09'!E$473=0,"",'IWP09'!E$473)</f>
        <v/>
      </c>
      <c r="D4207" s="211">
        <f>'IWP09'!G$473</f>
        <v>0</v>
      </c>
      <c r="E4207" s="211">
        <f>'IWP09'!H$473</f>
        <v>0</v>
      </c>
      <c r="F4207" s="211">
        <f>'IWP09'!I$473</f>
        <v>0</v>
      </c>
      <c r="G4207" s="191" t="str">
        <f>IF('IWP09'!J$473=0,"",'IWP09'!J$473)</f>
        <v/>
      </c>
      <c r="H4207" s="211">
        <f>'IWP09'!K$473</f>
        <v>0</v>
      </c>
      <c r="I4207" s="211">
        <f>'IWP09'!L$473</f>
        <v>0</v>
      </c>
      <c r="J4207" s="212">
        <f>'IWP09'!M$473</f>
        <v>0</v>
      </c>
      <c r="K4207" s="106"/>
      <c r="L4207" s="106"/>
      <c r="M4207" s="129"/>
    </row>
    <row r="4208" spans="1:13" s="146" customFormat="1">
      <c r="A4208" s="193" t="s">
        <v>507</v>
      </c>
      <c r="B4208" s="210">
        <v>8</v>
      </c>
      <c r="C4208" s="191" t="str">
        <f>IF('IWP09'!E$474=0,"",'IWP09'!E$474)</f>
        <v/>
      </c>
      <c r="D4208" s="211">
        <f>'IWP09'!G$474</f>
        <v>0</v>
      </c>
      <c r="E4208" s="211">
        <f>'IWP09'!H$474</f>
        <v>0</v>
      </c>
      <c r="F4208" s="211">
        <f>'IWP09'!I$474</f>
        <v>0</v>
      </c>
      <c r="G4208" s="191" t="str">
        <f>IF('IWP09'!J$474=0,"",'IWP09'!J$474)</f>
        <v/>
      </c>
      <c r="H4208" s="211">
        <f>'IWP09'!K$474</f>
        <v>0</v>
      </c>
      <c r="I4208" s="211">
        <f>'IWP09'!L$474</f>
        <v>0</v>
      </c>
      <c r="J4208" s="212">
        <f>'IWP09'!M$474</f>
        <v>0</v>
      </c>
      <c r="K4208" s="106"/>
      <c r="L4208" s="106"/>
      <c r="M4208" s="129"/>
    </row>
    <row r="4209" spans="1:13" s="146" customFormat="1">
      <c r="A4209" s="193" t="s">
        <v>507</v>
      </c>
      <c r="B4209" s="210">
        <v>8</v>
      </c>
      <c r="C4209" s="191" t="str">
        <f>IF('IWP09'!E$475=0,"",'IWP09'!E$475)</f>
        <v/>
      </c>
      <c r="D4209" s="211">
        <f>'IWP09'!G$475</f>
        <v>0</v>
      </c>
      <c r="E4209" s="211">
        <f>'IWP09'!H$475</f>
        <v>0</v>
      </c>
      <c r="F4209" s="211">
        <f>'IWP09'!I$475</f>
        <v>0</v>
      </c>
      <c r="G4209" s="191" t="str">
        <f>IF('IWP09'!J$475=0,"",'IWP09'!J$475)</f>
        <v/>
      </c>
      <c r="H4209" s="211">
        <f>'IWP09'!K$475</f>
        <v>0</v>
      </c>
      <c r="I4209" s="211">
        <f>'IWP09'!L$475</f>
        <v>0</v>
      </c>
      <c r="J4209" s="212">
        <f>'IWP09'!M$475</f>
        <v>0</v>
      </c>
      <c r="K4209" s="106"/>
      <c r="L4209" s="106"/>
      <c r="M4209" s="129"/>
    </row>
    <row r="4210" spans="1:13" s="146" customFormat="1">
      <c r="A4210" s="193" t="s">
        <v>507</v>
      </c>
      <c r="B4210" s="210">
        <v>8</v>
      </c>
      <c r="C4210" s="191" t="str">
        <f>IF('IWP09'!E$476=0,"",'IWP09'!E$476)</f>
        <v/>
      </c>
      <c r="D4210" s="211">
        <f>'IWP09'!G$476</f>
        <v>0</v>
      </c>
      <c r="E4210" s="211">
        <f>'IWP09'!H$476</f>
        <v>0</v>
      </c>
      <c r="F4210" s="211">
        <f>'IWP09'!I$476</f>
        <v>0</v>
      </c>
      <c r="G4210" s="191" t="str">
        <f>IF('IWP09'!J$476=0,"",'IWP09'!J$476)</f>
        <v/>
      </c>
      <c r="H4210" s="211">
        <f>'IWP09'!K$476</f>
        <v>0</v>
      </c>
      <c r="I4210" s="211">
        <f>'IWP09'!L$476</f>
        <v>0</v>
      </c>
      <c r="J4210" s="212">
        <f>'IWP09'!M$476</f>
        <v>0</v>
      </c>
      <c r="K4210" s="106"/>
      <c r="L4210" s="106"/>
      <c r="M4210" s="129"/>
    </row>
    <row r="4211" spans="1:13" s="146" customFormat="1">
      <c r="A4211" s="193" t="s">
        <v>507</v>
      </c>
      <c r="B4211" s="210">
        <v>9</v>
      </c>
      <c r="C4211" s="191" t="str">
        <f>IF('IWP09'!E$483=0,"",'IWP09'!E$483)</f>
        <v>Subtotal column D.</v>
      </c>
      <c r="D4211" s="211">
        <f>'IWP09'!G$483</f>
        <v>0</v>
      </c>
      <c r="E4211" s="211">
        <f>'IWP09'!H$483</f>
        <v>0</v>
      </c>
      <c r="F4211" s="211">
        <f>'IWP09'!I$483</f>
        <v>0</v>
      </c>
      <c r="G4211" s="191" t="str">
        <f>IF('IWP09'!J$483=0,"",'IWP09'!J$483)</f>
        <v/>
      </c>
      <c r="H4211" s="211">
        <f>'IWP09'!K$483</f>
        <v>0</v>
      </c>
      <c r="I4211" s="211">
        <f>'IWP09'!L$483</f>
        <v>0</v>
      </c>
      <c r="J4211" s="212">
        <f>'IWP09'!M$483</f>
        <v>0</v>
      </c>
      <c r="K4211" s="106"/>
      <c r="L4211" s="106"/>
      <c r="M4211" s="129"/>
    </row>
    <row r="4212" spans="1:13" s="146" customFormat="1">
      <c r="A4212" s="193" t="s">
        <v>507</v>
      </c>
      <c r="B4212" s="210">
        <v>9</v>
      </c>
      <c r="C4212" s="191" t="str">
        <f>IF('IWP09'!E$484=0,"",'IWP09'!E$484)</f>
        <v>Unverified/Undocumented (Subtotal D - C)</v>
      </c>
      <c r="D4212" s="211">
        <f>'IWP09'!G$484</f>
        <v>0</v>
      </c>
      <c r="E4212" s="211">
        <f>'IWP09'!H$484</f>
        <v>0</v>
      </c>
      <c r="F4212" s="211">
        <f>'IWP09'!I$484</f>
        <v>0</v>
      </c>
      <c r="G4212" s="191" t="str">
        <f>IF('IWP09'!J$484=0,"",'IWP09'!J$484)</f>
        <v/>
      </c>
      <c r="H4212" s="211">
        <f>'IWP09'!K$484</f>
        <v>0</v>
      </c>
      <c r="I4212" s="211">
        <f>'IWP09'!L$484</f>
        <v>0</v>
      </c>
      <c r="J4212" s="212">
        <f>'IWP09'!M$484</f>
        <v>0</v>
      </c>
      <c r="K4212" s="106"/>
      <c r="L4212" s="106"/>
      <c r="M4212" s="129"/>
    </row>
    <row r="4213" spans="1:13" s="146" customFormat="1">
      <c r="A4213" s="193" t="s">
        <v>507</v>
      </c>
      <c r="B4213" s="210">
        <v>9</v>
      </c>
      <c r="C4213" s="191" t="str">
        <f>IF('IWP09'!E$485=0,"",'IWP09'!E$485)</f>
        <v>J. Billing Period Total</v>
      </c>
      <c r="D4213" s="211">
        <f>'IWP09'!G$485</f>
        <v>0</v>
      </c>
      <c r="E4213" s="211">
        <f>'IWP09'!H$485</f>
        <v>0</v>
      </c>
      <c r="F4213" s="211">
        <f>'IWP09'!I$485</f>
        <v>0</v>
      </c>
      <c r="G4213" s="191" t="str">
        <f>IF('IWP09'!J$485=0,"",'IWP09'!J$485)</f>
        <v/>
      </c>
      <c r="H4213" s="211">
        <f>'IWP09'!K$485</f>
        <v>0</v>
      </c>
      <c r="I4213" s="211">
        <f>'IWP09'!L$485</f>
        <v>0</v>
      </c>
      <c r="J4213" s="212">
        <f>'IWP09'!M$485</f>
        <v>0</v>
      </c>
      <c r="K4213" s="106"/>
      <c r="L4213" s="106"/>
      <c r="M4213" s="129"/>
    </row>
    <row r="4214" spans="1:13" s="146" customFormat="1">
      <c r="A4214" s="193" t="s">
        <v>507</v>
      </c>
      <c r="B4214" s="210">
        <v>9</v>
      </c>
      <c r="C4214" s="191" t="str">
        <f>IF('IWP09'!E$486=0,"",'IWP09'!E$486)</f>
        <v>D.</v>
      </c>
      <c r="D4214" s="211">
        <f>'IWP09'!G$486</f>
        <v>0</v>
      </c>
      <c r="E4214" s="211" t="str">
        <f>'IWP09'!H$486</f>
        <v>E.</v>
      </c>
      <c r="F4214" s="211" t="str">
        <f>'IWP09'!I$486</f>
        <v>F.</v>
      </c>
      <c r="G4214" s="191" t="str">
        <f>IF('IWP09'!J$486=0,"",'IWP09'!J$486)</f>
        <v>G.</v>
      </c>
      <c r="H4214" s="211">
        <f>'IWP09'!K$486</f>
        <v>0</v>
      </c>
      <c r="I4214" s="211" t="str">
        <f>'IWP09'!L$486</f>
        <v>H.</v>
      </c>
      <c r="J4214" s="212" t="str">
        <f>'IWP09'!M$486</f>
        <v>I.</v>
      </c>
      <c r="K4214" s="106"/>
      <c r="L4214" s="106"/>
      <c r="M4214" s="129"/>
    </row>
    <row r="4215" spans="1:13" s="146" customFormat="1">
      <c r="A4215" s="193" t="s">
        <v>507</v>
      </c>
      <c r="B4215" s="210">
        <v>9</v>
      </c>
      <c r="C4215" s="191" t="str">
        <f>IF('IWP09'!E$487=0,"",'IWP09'!E$487)</f>
        <v xml:space="preserve">Items/Services Related to Billing Period </v>
      </c>
      <c r="D4215" s="211">
        <f>'IWP09'!G$487</f>
        <v>0</v>
      </c>
      <c r="E4215" s="211" t="str">
        <f>'IWP09'!H$487</f>
        <v xml:space="preserve">Item/
Service Verified Amounts
</v>
      </c>
      <c r="F4215" s="211" t="str">
        <f>'IWP09'!I$487</f>
        <v>Amount Due to DADS (E. - D.)</v>
      </c>
      <c r="G4215" s="191" t="str">
        <f>IF('IWP09'!J$487=0,"",'IWP09'!J$487)</f>
        <v>Amount Reimbursed to 
Employee(s)/Employer</v>
      </c>
      <c r="H4215" s="211">
        <f>'IWP09'!K$487</f>
        <v>0</v>
      </c>
      <c r="I4215" s="211" t="str">
        <f>'IWP09'!L$487</f>
        <v>Amount Due to Employee(s) (G. - E.)</v>
      </c>
      <c r="J4215" s="212" t="str">
        <f>'IWP09'!M$487</f>
        <v>Amount Due to Employer (G. - E.)</v>
      </c>
      <c r="K4215" s="106"/>
      <c r="L4215" s="106"/>
      <c r="M4215" s="129"/>
    </row>
    <row r="4216" spans="1:13" s="146" customFormat="1">
      <c r="A4216" s="193" t="s">
        <v>507</v>
      </c>
      <c r="B4216" s="210">
        <v>9</v>
      </c>
      <c r="C4216" s="191" t="str">
        <f>IF('IWP09'!E$488=0,"",'IWP09'!E$488)</f>
        <v>Item/Service</v>
      </c>
      <c r="D4216" s="211" t="str">
        <f>'IWP09'!G$488</f>
        <v>Itemized Amount Paid by DADS</v>
      </c>
      <c r="E4216" s="211">
        <f>'IWP09'!H$488</f>
        <v>0</v>
      </c>
      <c r="F4216" s="211">
        <f>'IWP09'!I$488</f>
        <v>0</v>
      </c>
      <c r="G4216" s="191" t="str">
        <f>IF('IWP09'!J$488=0,"",'IWP09'!J$488)</f>
        <v/>
      </c>
      <c r="H4216" s="211">
        <f>'IWP09'!K$488</f>
        <v>0</v>
      </c>
      <c r="I4216" s="211">
        <f>'IWP09'!L$488</f>
        <v>0</v>
      </c>
      <c r="J4216" s="212">
        <f>'IWP09'!M$488</f>
        <v>0</v>
      </c>
      <c r="K4216" s="106"/>
      <c r="L4216" s="106"/>
      <c r="M4216" s="129"/>
    </row>
    <row r="4217" spans="1:13" s="146" customFormat="1">
      <c r="A4217" s="193" t="s">
        <v>507</v>
      </c>
      <c r="B4217" s="210">
        <v>9</v>
      </c>
      <c r="C4217" s="191" t="str">
        <f>IF('IWP09'!E$489=0,"",'IWP09'!E$489)</f>
        <v/>
      </c>
      <c r="D4217" s="211">
        <f>'IWP09'!G$489</f>
        <v>0</v>
      </c>
      <c r="E4217" s="211">
        <f>'IWP09'!H$489</f>
        <v>0</v>
      </c>
      <c r="F4217" s="211">
        <f>'IWP09'!I$489</f>
        <v>0</v>
      </c>
      <c r="G4217" s="191" t="str">
        <f>IF('IWP09'!J$489=0,"",'IWP09'!J$489)</f>
        <v/>
      </c>
      <c r="H4217" s="211">
        <f>'IWP09'!K$489</f>
        <v>0</v>
      </c>
      <c r="I4217" s="211">
        <f>'IWP09'!L$489</f>
        <v>0</v>
      </c>
      <c r="J4217" s="212">
        <f>'IWP09'!M$489</f>
        <v>0</v>
      </c>
      <c r="K4217" s="106"/>
      <c r="L4217" s="106"/>
      <c r="M4217" s="129"/>
    </row>
    <row r="4218" spans="1:13" s="146" customFormat="1">
      <c r="A4218" s="193" t="s">
        <v>507</v>
      </c>
      <c r="B4218" s="210">
        <v>9</v>
      </c>
      <c r="C4218" s="191" t="str">
        <f>IF('IWP09'!E$490=0,"",'IWP09'!E$490)</f>
        <v/>
      </c>
      <c r="D4218" s="211">
        <f>'IWP09'!G$490</f>
        <v>0</v>
      </c>
      <c r="E4218" s="211">
        <f>'IWP09'!H$490</f>
        <v>0</v>
      </c>
      <c r="F4218" s="211">
        <f>'IWP09'!I$490</f>
        <v>0</v>
      </c>
      <c r="G4218" s="191" t="str">
        <f>IF('IWP09'!J$490=0,"",'IWP09'!J$490)</f>
        <v/>
      </c>
      <c r="H4218" s="211">
        <f>'IWP09'!K$490</f>
        <v>0</v>
      </c>
      <c r="I4218" s="211">
        <f>'IWP09'!L$490</f>
        <v>0</v>
      </c>
      <c r="J4218" s="212">
        <f>'IWP09'!M$490</f>
        <v>0</v>
      </c>
      <c r="K4218" s="106"/>
      <c r="L4218" s="106"/>
      <c r="M4218" s="129"/>
    </row>
    <row r="4219" spans="1:13" s="146" customFormat="1">
      <c r="A4219" s="193" t="s">
        <v>507</v>
      </c>
      <c r="B4219" s="210">
        <v>9</v>
      </c>
      <c r="C4219" s="191" t="str">
        <f>IF('IWP09'!E$491=0,"",'IWP09'!E$491)</f>
        <v/>
      </c>
      <c r="D4219" s="211">
        <f>'IWP09'!G$491</f>
        <v>0</v>
      </c>
      <c r="E4219" s="211">
        <f>'IWP09'!H$491</f>
        <v>0</v>
      </c>
      <c r="F4219" s="211">
        <f>'IWP09'!I$491</f>
        <v>0</v>
      </c>
      <c r="G4219" s="191" t="str">
        <f>IF('IWP09'!J$491=0,"",'IWP09'!J$491)</f>
        <v/>
      </c>
      <c r="H4219" s="211">
        <f>'IWP09'!K$491</f>
        <v>0</v>
      </c>
      <c r="I4219" s="211">
        <f>'IWP09'!L$491</f>
        <v>0</v>
      </c>
      <c r="J4219" s="212">
        <f>'IWP09'!M$491</f>
        <v>0</v>
      </c>
      <c r="K4219" s="106"/>
      <c r="L4219" s="106"/>
      <c r="M4219" s="129"/>
    </row>
    <row r="4220" spans="1:13" s="146" customFormat="1">
      <c r="A4220" s="193" t="s">
        <v>507</v>
      </c>
      <c r="B4220" s="210">
        <v>9</v>
      </c>
      <c r="C4220" s="191" t="str">
        <f>IF('IWP09'!E$492=0,"",'IWP09'!E$492)</f>
        <v/>
      </c>
      <c r="D4220" s="211">
        <f>'IWP09'!G$492</f>
        <v>0</v>
      </c>
      <c r="E4220" s="211">
        <f>'IWP09'!H$492</f>
        <v>0</v>
      </c>
      <c r="F4220" s="211">
        <f>'IWP09'!I$492</f>
        <v>0</v>
      </c>
      <c r="G4220" s="191" t="str">
        <f>IF('IWP09'!J$492=0,"",'IWP09'!J$492)</f>
        <v/>
      </c>
      <c r="H4220" s="211">
        <f>'IWP09'!K$492</f>
        <v>0</v>
      </c>
      <c r="I4220" s="211">
        <f>'IWP09'!L$492</f>
        <v>0</v>
      </c>
      <c r="J4220" s="212">
        <f>'IWP09'!M$492</f>
        <v>0</v>
      </c>
      <c r="K4220" s="106"/>
      <c r="L4220" s="106"/>
      <c r="M4220" s="129"/>
    </row>
    <row r="4221" spans="1:13" s="146" customFormat="1">
      <c r="A4221" s="193" t="s">
        <v>507</v>
      </c>
      <c r="B4221" s="210">
        <v>10</v>
      </c>
      <c r="C4221" s="191" t="str">
        <f>IF('IWP09'!E$499=0,"",'IWP09'!E$499)</f>
        <v>Subtotal column D.</v>
      </c>
      <c r="D4221" s="211">
        <f>'IWP09'!G$499</f>
        <v>0</v>
      </c>
      <c r="E4221" s="211">
        <f>'IWP09'!H$499</f>
        <v>0</v>
      </c>
      <c r="F4221" s="211">
        <f>'IWP09'!I$499</f>
        <v>0</v>
      </c>
      <c r="G4221" s="191" t="str">
        <f>IF('IWP09'!J$499=0,"",'IWP09'!J$499)</f>
        <v/>
      </c>
      <c r="H4221" s="211">
        <f>'IWP09'!K$499</f>
        <v>0</v>
      </c>
      <c r="I4221" s="211">
        <f>'IWP09'!L$499</f>
        <v>0</v>
      </c>
      <c r="J4221" s="212">
        <f>'IWP09'!M$499</f>
        <v>0</v>
      </c>
      <c r="K4221" s="106"/>
      <c r="L4221" s="106"/>
      <c r="M4221" s="129"/>
    </row>
    <row r="4222" spans="1:13" s="146" customFormat="1">
      <c r="A4222" s="193" t="s">
        <v>507</v>
      </c>
      <c r="B4222" s="210">
        <v>10</v>
      </c>
      <c r="C4222" s="191" t="str">
        <f>IF('IWP09'!E$500=0,"",'IWP09'!E$500)</f>
        <v>Unverified/Undocumented (Subtotal D - C)</v>
      </c>
      <c r="D4222" s="211">
        <f>'IWP09'!G$500</f>
        <v>0</v>
      </c>
      <c r="E4222" s="211">
        <f>'IWP09'!H$500</f>
        <v>0</v>
      </c>
      <c r="F4222" s="211">
        <f>'IWP09'!I$500</f>
        <v>0</v>
      </c>
      <c r="G4222" s="191" t="str">
        <f>IF('IWP09'!J$500=0,"",'IWP09'!J$500)</f>
        <v/>
      </c>
      <c r="H4222" s="211">
        <f>'IWP09'!K$500</f>
        <v>0</v>
      </c>
      <c r="I4222" s="211">
        <f>'IWP09'!L$500</f>
        <v>0</v>
      </c>
      <c r="J4222" s="212">
        <f>'IWP09'!M$500</f>
        <v>0</v>
      </c>
      <c r="K4222" s="106"/>
      <c r="L4222" s="106"/>
      <c r="M4222" s="129"/>
    </row>
    <row r="4223" spans="1:13" s="146" customFormat="1">
      <c r="A4223" s="193" t="s">
        <v>507</v>
      </c>
      <c r="B4223" s="210">
        <v>10</v>
      </c>
      <c r="C4223" s="191" t="str">
        <f>IF('IWP09'!E$501=0,"",'IWP09'!E$501)</f>
        <v>J. Billing Period Total</v>
      </c>
      <c r="D4223" s="211">
        <f>'IWP09'!G$501</f>
        <v>0</v>
      </c>
      <c r="E4223" s="211">
        <f>'IWP09'!H$501</f>
        <v>0</v>
      </c>
      <c r="F4223" s="211">
        <f>'IWP09'!I$501</f>
        <v>0</v>
      </c>
      <c r="G4223" s="191" t="str">
        <f>IF('IWP09'!J$501=0,"",'IWP09'!J$501)</f>
        <v/>
      </c>
      <c r="H4223" s="211">
        <f>'IWP09'!K$501</f>
        <v>0</v>
      </c>
      <c r="I4223" s="211">
        <f>'IWP09'!L$501</f>
        <v>0</v>
      </c>
      <c r="J4223" s="212">
        <f>'IWP09'!M$501</f>
        <v>0</v>
      </c>
      <c r="K4223" s="106"/>
      <c r="L4223" s="106"/>
      <c r="M4223" s="129"/>
    </row>
    <row r="4224" spans="1:13" s="146" customFormat="1">
      <c r="A4224" s="193" t="s">
        <v>507</v>
      </c>
      <c r="B4224" s="210">
        <v>10</v>
      </c>
      <c r="C4224" s="191" t="str">
        <f>IF('IWP09'!E$502=0,"",'IWP09'!E$502)</f>
        <v>D.</v>
      </c>
      <c r="D4224" s="211">
        <f>'IWP09'!G$502</f>
        <v>0</v>
      </c>
      <c r="E4224" s="211" t="str">
        <f>'IWP09'!H$502</f>
        <v>E.</v>
      </c>
      <c r="F4224" s="211" t="str">
        <f>'IWP09'!I$502</f>
        <v>F.</v>
      </c>
      <c r="G4224" s="191" t="str">
        <f>IF('IWP09'!J$502=0,"",'IWP09'!J$502)</f>
        <v>G.</v>
      </c>
      <c r="H4224" s="211">
        <f>'IWP09'!K$502</f>
        <v>0</v>
      </c>
      <c r="I4224" s="211" t="str">
        <f>'IWP09'!L$502</f>
        <v>H.</v>
      </c>
      <c r="J4224" s="212" t="str">
        <f>'IWP09'!M$502</f>
        <v>I.</v>
      </c>
      <c r="K4224" s="106"/>
      <c r="L4224" s="106"/>
      <c r="M4224" s="129"/>
    </row>
    <row r="4225" spans="1:13" s="146" customFormat="1">
      <c r="A4225" s="193" t="s">
        <v>507</v>
      </c>
      <c r="B4225" s="210">
        <v>10</v>
      </c>
      <c r="C4225" s="191" t="str">
        <f>IF('IWP09'!E$503=0,"",'IWP09'!E$503)</f>
        <v xml:space="preserve">Items/Services Related to Billing Period </v>
      </c>
      <c r="D4225" s="211">
        <f>'IWP09'!G$503</f>
        <v>0</v>
      </c>
      <c r="E4225" s="211" t="str">
        <f>'IWP09'!H$503</f>
        <v xml:space="preserve">Item/
Service Verified Amounts
</v>
      </c>
      <c r="F4225" s="211" t="str">
        <f>'IWP09'!I$503</f>
        <v>Amount Due to DADS (E. - D.)</v>
      </c>
      <c r="G4225" s="191" t="str">
        <f>IF('IWP09'!J$503=0,"",'IWP09'!J$503)</f>
        <v>Amount Reimbursed to 
Employee(s)/Employer</v>
      </c>
      <c r="H4225" s="211">
        <f>'IWP09'!K$503</f>
        <v>0</v>
      </c>
      <c r="I4225" s="211" t="str">
        <f>'IWP09'!L$503</f>
        <v>Amount Due to Employee(s) (G. - E.)</v>
      </c>
      <c r="J4225" s="212" t="str">
        <f>'IWP09'!M$503</f>
        <v>Amount Due to Employer (G. - E.)</v>
      </c>
      <c r="K4225" s="106"/>
      <c r="L4225" s="106"/>
      <c r="M4225" s="129"/>
    </row>
    <row r="4226" spans="1:13" s="146" customFormat="1">
      <c r="A4226" s="193" t="s">
        <v>507</v>
      </c>
      <c r="B4226" s="210">
        <v>10</v>
      </c>
      <c r="C4226" s="191" t="str">
        <f>IF('IWP09'!E$504=0,"",'IWP09'!E$504)</f>
        <v>Item/Service</v>
      </c>
      <c r="D4226" s="211" t="str">
        <f>'IWP09'!G$504</f>
        <v>Itemized Amount Paid by DADS</v>
      </c>
      <c r="E4226" s="211">
        <f>'IWP09'!H$504</f>
        <v>0</v>
      </c>
      <c r="F4226" s="211">
        <f>'IWP09'!I$504</f>
        <v>0</v>
      </c>
      <c r="G4226" s="191" t="str">
        <f>IF('IWP09'!J$504=0,"",'IWP09'!J$504)</f>
        <v/>
      </c>
      <c r="H4226" s="211">
        <f>'IWP09'!K$504</f>
        <v>0</v>
      </c>
      <c r="I4226" s="211">
        <f>'IWP09'!L$504</f>
        <v>0</v>
      </c>
      <c r="J4226" s="212">
        <f>'IWP09'!M$504</f>
        <v>0</v>
      </c>
      <c r="K4226" s="106"/>
      <c r="L4226" s="106"/>
      <c r="M4226" s="129"/>
    </row>
    <row r="4227" spans="1:13" s="146" customFormat="1">
      <c r="A4227" s="193" t="s">
        <v>507</v>
      </c>
      <c r="B4227" s="210">
        <v>10</v>
      </c>
      <c r="C4227" s="191" t="str">
        <f>IF('IWP09'!E$505=0,"",'IWP09'!E$505)</f>
        <v/>
      </c>
      <c r="D4227" s="211">
        <f>'IWP09'!G$505</f>
        <v>0</v>
      </c>
      <c r="E4227" s="211">
        <f>'IWP09'!H$505</f>
        <v>0</v>
      </c>
      <c r="F4227" s="211">
        <f>'IWP09'!I$505</f>
        <v>0</v>
      </c>
      <c r="G4227" s="191" t="str">
        <f>IF('IWP09'!J$505=0,"",'IWP09'!J$505)</f>
        <v/>
      </c>
      <c r="H4227" s="211">
        <f>'IWP09'!K$505</f>
        <v>0</v>
      </c>
      <c r="I4227" s="211">
        <f>'IWP09'!L$505</f>
        <v>0</v>
      </c>
      <c r="J4227" s="212">
        <f>'IWP09'!M$505</f>
        <v>0</v>
      </c>
      <c r="K4227" s="106"/>
      <c r="L4227" s="106"/>
      <c r="M4227" s="129"/>
    </row>
    <row r="4228" spans="1:13" s="146" customFormat="1">
      <c r="A4228" s="193" t="s">
        <v>507</v>
      </c>
      <c r="B4228" s="210">
        <v>10</v>
      </c>
      <c r="C4228" s="191" t="str">
        <f>IF('IWP09'!E$506=0,"",'IWP09'!E$506)</f>
        <v/>
      </c>
      <c r="D4228" s="211">
        <f>'IWP09'!G$506</f>
        <v>0</v>
      </c>
      <c r="E4228" s="211">
        <f>'IWP09'!H$506</f>
        <v>0</v>
      </c>
      <c r="F4228" s="211">
        <f>'IWP09'!I$506</f>
        <v>0</v>
      </c>
      <c r="G4228" s="191" t="str">
        <f>IF('IWP09'!J$506=0,"",'IWP09'!J$506)</f>
        <v/>
      </c>
      <c r="H4228" s="211">
        <f>'IWP09'!K$506</f>
        <v>0</v>
      </c>
      <c r="I4228" s="211">
        <f>'IWP09'!L$506</f>
        <v>0</v>
      </c>
      <c r="J4228" s="212">
        <f>'IWP09'!M$506</f>
        <v>0</v>
      </c>
      <c r="K4228" s="106"/>
      <c r="L4228" s="106"/>
      <c r="M4228" s="129"/>
    </row>
    <row r="4229" spans="1:13" s="146" customFormat="1">
      <c r="A4229" s="193" t="s">
        <v>507</v>
      </c>
      <c r="B4229" s="210">
        <v>10</v>
      </c>
      <c r="C4229" s="191" t="str">
        <f>IF('IWP09'!E$507=0,"",'IWP09'!E$507)</f>
        <v/>
      </c>
      <c r="D4229" s="211">
        <f>'IWP09'!G$507</f>
        <v>0</v>
      </c>
      <c r="E4229" s="211">
        <f>'IWP09'!H$507</f>
        <v>0</v>
      </c>
      <c r="F4229" s="211">
        <f>'IWP09'!I$507</f>
        <v>0</v>
      </c>
      <c r="G4229" s="191" t="str">
        <f>IF('IWP09'!J$507=0,"",'IWP09'!J$507)</f>
        <v/>
      </c>
      <c r="H4229" s="211">
        <f>'IWP09'!K$507</f>
        <v>0</v>
      </c>
      <c r="I4229" s="211">
        <f>'IWP09'!L$507</f>
        <v>0</v>
      </c>
      <c r="J4229" s="212">
        <f>'IWP09'!M$507</f>
        <v>0</v>
      </c>
      <c r="K4229" s="106"/>
      <c r="L4229" s="106"/>
      <c r="M4229" s="129"/>
    </row>
    <row r="4230" spans="1:13" s="146" customFormat="1">
      <c r="A4230" s="193" t="s">
        <v>507</v>
      </c>
      <c r="B4230" s="210">
        <v>10</v>
      </c>
      <c r="C4230" s="191" t="str">
        <f>IF('IWP09'!E$508=0,"",'IWP09'!E$508)</f>
        <v/>
      </c>
      <c r="D4230" s="211">
        <f>'IWP09'!G$508</f>
        <v>0</v>
      </c>
      <c r="E4230" s="211">
        <f>'IWP09'!H$508</f>
        <v>0</v>
      </c>
      <c r="F4230" s="211">
        <f>'IWP09'!I$508</f>
        <v>0</v>
      </c>
      <c r="G4230" s="191" t="str">
        <f>IF('IWP09'!J$508=0,"",'IWP09'!J$508)</f>
        <v/>
      </c>
      <c r="H4230" s="211">
        <f>'IWP09'!K$508</f>
        <v>0</v>
      </c>
      <c r="I4230" s="211">
        <f>'IWP09'!L$508</f>
        <v>0</v>
      </c>
      <c r="J4230" s="212">
        <f>'IWP09'!M$508</f>
        <v>0</v>
      </c>
      <c r="K4230" s="106"/>
      <c r="L4230" s="106"/>
      <c r="M4230" s="129"/>
    </row>
    <row r="4231" spans="1:13" s="146" customFormat="1">
      <c r="A4231" s="193" t="s">
        <v>507</v>
      </c>
      <c r="B4231" s="210">
        <v>11</v>
      </c>
      <c r="C4231" s="191" t="str">
        <f>IF('IWP09'!E$515=0,"",'IWP09'!E$515)</f>
        <v>Subtotal column D.</v>
      </c>
      <c r="D4231" s="211">
        <f>'IWP09'!G$515</f>
        <v>0</v>
      </c>
      <c r="E4231" s="211">
        <f>'IWP09'!H$515</f>
        <v>0</v>
      </c>
      <c r="F4231" s="211">
        <f>'IWP09'!I$515</f>
        <v>0</v>
      </c>
      <c r="G4231" s="191" t="str">
        <f>IF('IWP09'!J$515=0,"",'IWP09'!J$515)</f>
        <v/>
      </c>
      <c r="H4231" s="211">
        <f>'IWP09'!K$515</f>
        <v>0</v>
      </c>
      <c r="I4231" s="211">
        <f>'IWP09'!L$515</f>
        <v>0</v>
      </c>
      <c r="J4231" s="212">
        <f>'IWP09'!M$515</f>
        <v>0</v>
      </c>
      <c r="K4231" s="106"/>
      <c r="L4231" s="106"/>
      <c r="M4231" s="129"/>
    </row>
    <row r="4232" spans="1:13" s="146" customFormat="1">
      <c r="A4232" s="193" t="s">
        <v>507</v>
      </c>
      <c r="B4232" s="210">
        <v>11</v>
      </c>
      <c r="C4232" s="191" t="str">
        <f>IF('IWP09'!E$516=0,"",'IWP09'!E$516)</f>
        <v>Unverified/Undocumented (Subtotal D - C)</v>
      </c>
      <c r="D4232" s="211">
        <f>'IWP09'!G$516</f>
        <v>0</v>
      </c>
      <c r="E4232" s="211">
        <f>'IWP09'!H$516</f>
        <v>0</v>
      </c>
      <c r="F4232" s="211">
        <f>'IWP09'!I$516</f>
        <v>0</v>
      </c>
      <c r="G4232" s="191" t="str">
        <f>IF('IWP09'!J$516=0,"",'IWP09'!J$516)</f>
        <v/>
      </c>
      <c r="H4232" s="211">
        <f>'IWP09'!K$516</f>
        <v>0</v>
      </c>
      <c r="I4232" s="211">
        <f>'IWP09'!L$516</f>
        <v>0</v>
      </c>
      <c r="J4232" s="212">
        <f>'IWP09'!M$516</f>
        <v>0</v>
      </c>
      <c r="K4232" s="106"/>
      <c r="L4232" s="106"/>
      <c r="M4232" s="129"/>
    </row>
    <row r="4233" spans="1:13" s="146" customFormat="1">
      <c r="A4233" s="193" t="s">
        <v>507</v>
      </c>
      <c r="B4233" s="210">
        <v>11</v>
      </c>
      <c r="C4233" s="191" t="str">
        <f>IF('IWP09'!E$517=0,"",'IWP09'!E$517)</f>
        <v>J. Billing Period Total</v>
      </c>
      <c r="D4233" s="211">
        <f>'IWP09'!G$517</f>
        <v>0</v>
      </c>
      <c r="E4233" s="211">
        <f>'IWP09'!H$517</f>
        <v>0</v>
      </c>
      <c r="F4233" s="211">
        <f>'IWP09'!I$517</f>
        <v>0</v>
      </c>
      <c r="G4233" s="191" t="str">
        <f>IF('IWP09'!J$517=0,"",'IWP09'!J$517)</f>
        <v/>
      </c>
      <c r="H4233" s="211">
        <f>'IWP09'!K$517</f>
        <v>0</v>
      </c>
      <c r="I4233" s="211">
        <f>'IWP09'!L$517</f>
        <v>0</v>
      </c>
      <c r="J4233" s="212">
        <f>'IWP09'!M$517</f>
        <v>0</v>
      </c>
      <c r="K4233" s="106"/>
      <c r="L4233" s="106"/>
      <c r="M4233" s="129"/>
    </row>
    <row r="4234" spans="1:13" s="146" customFormat="1">
      <c r="A4234" s="193" t="s">
        <v>507</v>
      </c>
      <c r="B4234" s="210">
        <v>11</v>
      </c>
      <c r="C4234" s="191" t="str">
        <f>IF('IWP09'!E$518=0,"",'IWP09'!E$518)</f>
        <v>D.</v>
      </c>
      <c r="D4234" s="211">
        <f>'IWP09'!G$518</f>
        <v>0</v>
      </c>
      <c r="E4234" s="211" t="str">
        <f>'IWP09'!H$518</f>
        <v>E.</v>
      </c>
      <c r="F4234" s="211" t="str">
        <f>'IWP09'!I$518</f>
        <v>F.</v>
      </c>
      <c r="G4234" s="191" t="str">
        <f>IF('IWP09'!J$518=0,"",'IWP09'!J$518)</f>
        <v>G.</v>
      </c>
      <c r="H4234" s="211">
        <f>'IWP09'!K$518</f>
        <v>0</v>
      </c>
      <c r="I4234" s="211" t="str">
        <f>'IWP09'!L$518</f>
        <v>H.</v>
      </c>
      <c r="J4234" s="212" t="str">
        <f>'IWP09'!M$518</f>
        <v>I.</v>
      </c>
      <c r="K4234" s="106"/>
      <c r="L4234" s="106"/>
      <c r="M4234" s="129"/>
    </row>
    <row r="4235" spans="1:13" s="146" customFormat="1">
      <c r="A4235" s="193" t="s">
        <v>507</v>
      </c>
      <c r="B4235" s="210">
        <v>11</v>
      </c>
      <c r="C4235" s="191" t="str">
        <f>IF('IWP09'!E$519=0,"",'IWP09'!E$519)</f>
        <v xml:space="preserve">Items/Services Related to Billing Period </v>
      </c>
      <c r="D4235" s="211">
        <f>'IWP09'!G$519</f>
        <v>0</v>
      </c>
      <c r="E4235" s="211" t="str">
        <f>'IWP09'!H$519</f>
        <v xml:space="preserve">Item/
Service Verified Amounts
</v>
      </c>
      <c r="F4235" s="211" t="str">
        <f>'IWP09'!I$519</f>
        <v>Amount Due to DADS (E. - D.)</v>
      </c>
      <c r="G4235" s="191" t="str">
        <f>IF('IWP09'!J$519=0,"",'IWP09'!J$519)</f>
        <v>Amount Reimbursed to 
Employee(s)/Employer</v>
      </c>
      <c r="H4235" s="211">
        <f>'IWP09'!K$519</f>
        <v>0</v>
      </c>
      <c r="I4235" s="211" t="str">
        <f>'IWP09'!L$519</f>
        <v>Amount Due to Employee(s) (G. - E.)</v>
      </c>
      <c r="J4235" s="212" t="str">
        <f>'IWP09'!M$519</f>
        <v>Amount Due to Employer (G. - E.)</v>
      </c>
      <c r="K4235" s="106"/>
      <c r="L4235" s="106"/>
      <c r="M4235" s="129"/>
    </row>
    <row r="4236" spans="1:13" s="146" customFormat="1">
      <c r="A4236" s="193" t="s">
        <v>507</v>
      </c>
      <c r="B4236" s="210">
        <v>11</v>
      </c>
      <c r="C4236" s="191" t="str">
        <f>IF('IWP09'!E$520=0,"",'IWP09'!E$520)</f>
        <v>Item/Service</v>
      </c>
      <c r="D4236" s="211" t="str">
        <f>'IWP09'!G$520</f>
        <v>Itemized Amount Paid by DADS</v>
      </c>
      <c r="E4236" s="211">
        <f>'IWP09'!H$520</f>
        <v>0</v>
      </c>
      <c r="F4236" s="211">
        <f>'IWP09'!I$520</f>
        <v>0</v>
      </c>
      <c r="G4236" s="191" t="str">
        <f>IF('IWP09'!J$520=0,"",'IWP09'!J$520)</f>
        <v/>
      </c>
      <c r="H4236" s="211">
        <f>'IWP09'!K$520</f>
        <v>0</v>
      </c>
      <c r="I4236" s="211">
        <f>'IWP09'!L$520</f>
        <v>0</v>
      </c>
      <c r="J4236" s="212">
        <f>'IWP09'!M$520</f>
        <v>0</v>
      </c>
      <c r="K4236" s="106"/>
      <c r="L4236" s="106"/>
      <c r="M4236" s="129"/>
    </row>
    <row r="4237" spans="1:13" s="146" customFormat="1">
      <c r="A4237" s="193" t="s">
        <v>507</v>
      </c>
      <c r="B4237" s="210">
        <v>11</v>
      </c>
      <c r="C4237" s="191" t="str">
        <f>IF('IWP09'!E$521=0,"",'IWP09'!E$521)</f>
        <v/>
      </c>
      <c r="D4237" s="211">
        <f>'IWP09'!G$521</f>
        <v>0</v>
      </c>
      <c r="E4237" s="211">
        <f>'IWP09'!H$521</f>
        <v>0</v>
      </c>
      <c r="F4237" s="211">
        <f>'IWP09'!I$521</f>
        <v>0</v>
      </c>
      <c r="G4237" s="191" t="str">
        <f>IF('IWP09'!J$521=0,"",'IWP09'!J$521)</f>
        <v/>
      </c>
      <c r="H4237" s="211">
        <f>'IWP09'!K$521</f>
        <v>0</v>
      </c>
      <c r="I4237" s="211">
        <f>'IWP09'!L$521</f>
        <v>0</v>
      </c>
      <c r="J4237" s="212">
        <f>'IWP09'!M$521</f>
        <v>0</v>
      </c>
      <c r="K4237" s="106"/>
      <c r="L4237" s="106"/>
      <c r="M4237" s="129"/>
    </row>
    <row r="4238" spans="1:13" s="146" customFormat="1">
      <c r="A4238" s="193" t="s">
        <v>507</v>
      </c>
      <c r="B4238" s="210">
        <v>11</v>
      </c>
      <c r="C4238" s="191" t="str">
        <f>IF('IWP09'!E$522=0,"",'IWP09'!E$522)</f>
        <v/>
      </c>
      <c r="D4238" s="211">
        <f>'IWP09'!G$522</f>
        <v>0</v>
      </c>
      <c r="E4238" s="211">
        <f>'IWP09'!H$522</f>
        <v>0</v>
      </c>
      <c r="F4238" s="211">
        <f>'IWP09'!I$522</f>
        <v>0</v>
      </c>
      <c r="G4238" s="191" t="str">
        <f>IF('IWP09'!J$522=0,"",'IWP09'!J$522)</f>
        <v/>
      </c>
      <c r="H4238" s="211">
        <f>'IWP09'!K$522</f>
        <v>0</v>
      </c>
      <c r="I4238" s="211">
        <f>'IWP09'!L$522</f>
        <v>0</v>
      </c>
      <c r="J4238" s="212">
        <f>'IWP09'!M$522</f>
        <v>0</v>
      </c>
      <c r="K4238" s="106"/>
      <c r="L4238" s="106"/>
      <c r="M4238" s="129"/>
    </row>
    <row r="4239" spans="1:13" s="146" customFormat="1">
      <c r="A4239" s="193" t="s">
        <v>507</v>
      </c>
      <c r="B4239" s="210">
        <v>11</v>
      </c>
      <c r="C4239" s="191" t="str">
        <f>IF('IWP09'!E$523=0,"",'IWP09'!E$523)</f>
        <v/>
      </c>
      <c r="D4239" s="211">
        <f>'IWP09'!G$523</f>
        <v>0</v>
      </c>
      <c r="E4239" s="211">
        <f>'IWP09'!H$523</f>
        <v>0</v>
      </c>
      <c r="F4239" s="211">
        <f>'IWP09'!I$523</f>
        <v>0</v>
      </c>
      <c r="G4239" s="191" t="str">
        <f>IF('IWP09'!J$523=0,"",'IWP09'!J$523)</f>
        <v/>
      </c>
      <c r="H4239" s="211">
        <f>'IWP09'!K$523</f>
        <v>0</v>
      </c>
      <c r="I4239" s="211">
        <f>'IWP09'!L$523</f>
        <v>0</v>
      </c>
      <c r="J4239" s="212">
        <f>'IWP09'!M$523</f>
        <v>0</v>
      </c>
      <c r="K4239" s="106"/>
      <c r="L4239" s="106"/>
      <c r="M4239" s="129"/>
    </row>
    <row r="4240" spans="1:13" s="146" customFormat="1">
      <c r="A4240" s="193" t="s">
        <v>507</v>
      </c>
      <c r="B4240" s="210">
        <v>11</v>
      </c>
      <c r="C4240" s="191" t="str">
        <f>IF('IWP09'!E$524=0,"",'IWP09'!E$524)</f>
        <v/>
      </c>
      <c r="D4240" s="211">
        <f>'IWP09'!G$524</f>
        <v>0</v>
      </c>
      <c r="E4240" s="211">
        <f>'IWP09'!H$524</f>
        <v>0</v>
      </c>
      <c r="F4240" s="211">
        <f>'IWP09'!I$524</f>
        <v>0</v>
      </c>
      <c r="G4240" s="191" t="str">
        <f>IF('IWP09'!J$524=0,"",'IWP09'!J$524)</f>
        <v/>
      </c>
      <c r="H4240" s="211">
        <f>'IWP09'!K$524</f>
        <v>0</v>
      </c>
      <c r="I4240" s="211">
        <f>'IWP09'!L$524</f>
        <v>0</v>
      </c>
      <c r="J4240" s="212">
        <f>'IWP09'!M$524</f>
        <v>0</v>
      </c>
      <c r="K4240" s="106"/>
      <c r="L4240" s="106"/>
      <c r="M4240" s="129"/>
    </row>
    <row r="4241" spans="1:13" s="146" customFormat="1">
      <c r="A4241" s="193" t="s">
        <v>507</v>
      </c>
      <c r="B4241" s="210">
        <v>12</v>
      </c>
      <c r="C4241" s="191" t="str">
        <f>IF('IWP09'!E$531=0,"",'IWP09'!E$531)</f>
        <v>Subtotal column D.</v>
      </c>
      <c r="D4241" s="211">
        <f>'IWP09'!G$531</f>
        <v>0</v>
      </c>
      <c r="E4241" s="211">
        <f>'IWP09'!H$531</f>
        <v>0</v>
      </c>
      <c r="F4241" s="211">
        <f>'IWP09'!I$531</f>
        <v>0</v>
      </c>
      <c r="G4241" s="191" t="str">
        <f>IF('IWP09'!J$531=0,"",'IWP09'!J$531)</f>
        <v/>
      </c>
      <c r="H4241" s="211">
        <f>'IWP09'!K$531</f>
        <v>0</v>
      </c>
      <c r="I4241" s="211">
        <f>'IWP09'!L$531</f>
        <v>0</v>
      </c>
      <c r="J4241" s="212">
        <f>'IWP09'!M$531</f>
        <v>0</v>
      </c>
      <c r="K4241" s="106"/>
      <c r="L4241" s="106"/>
      <c r="M4241" s="129"/>
    </row>
    <row r="4242" spans="1:13" s="146" customFormat="1">
      <c r="A4242" s="193" t="s">
        <v>507</v>
      </c>
      <c r="B4242" s="210">
        <v>12</v>
      </c>
      <c r="C4242" s="191" t="str">
        <f>IF('IWP09'!E$532=0,"",'IWP09'!E$532)</f>
        <v>Unverified/Undocumented (Subtotal D - C)</v>
      </c>
      <c r="D4242" s="211">
        <f>'IWP09'!G$532</f>
        <v>0</v>
      </c>
      <c r="E4242" s="211">
        <f>'IWP09'!H$532</f>
        <v>0</v>
      </c>
      <c r="F4242" s="211">
        <f>'IWP09'!I$532</f>
        <v>0</v>
      </c>
      <c r="G4242" s="191" t="str">
        <f>IF('IWP09'!J$532=0,"",'IWP09'!J$532)</f>
        <v/>
      </c>
      <c r="H4242" s="211">
        <f>'IWP09'!K$532</f>
        <v>0</v>
      </c>
      <c r="I4242" s="211">
        <f>'IWP09'!L$532</f>
        <v>0</v>
      </c>
      <c r="J4242" s="212">
        <f>'IWP09'!M$532</f>
        <v>0</v>
      </c>
      <c r="K4242" s="106"/>
      <c r="L4242" s="106"/>
      <c r="M4242" s="129"/>
    </row>
    <row r="4243" spans="1:13" s="146" customFormat="1">
      <c r="A4243" s="193" t="s">
        <v>507</v>
      </c>
      <c r="B4243" s="210">
        <v>12</v>
      </c>
      <c r="C4243" s="191" t="str">
        <f>IF('IWP09'!E$533=0,"",'IWP09'!E$533)</f>
        <v>J. Billing Period Total</v>
      </c>
      <c r="D4243" s="211">
        <f>'IWP09'!G$533</f>
        <v>0</v>
      </c>
      <c r="E4243" s="211">
        <f>'IWP09'!H$533</f>
        <v>0</v>
      </c>
      <c r="F4243" s="211">
        <f>'IWP09'!I$533</f>
        <v>0</v>
      </c>
      <c r="G4243" s="191" t="str">
        <f>IF('IWP09'!J$533=0,"",'IWP09'!J$533)</f>
        <v/>
      </c>
      <c r="H4243" s="211">
        <f>'IWP09'!K$533</f>
        <v>0</v>
      </c>
      <c r="I4243" s="211">
        <f>'IWP09'!L$533</f>
        <v>0</v>
      </c>
      <c r="J4243" s="212">
        <f>'IWP09'!M$533</f>
        <v>0</v>
      </c>
      <c r="K4243" s="106"/>
      <c r="L4243" s="106"/>
      <c r="M4243" s="129"/>
    </row>
    <row r="4244" spans="1:13" s="146" customFormat="1">
      <c r="A4244" s="193" t="s">
        <v>507</v>
      </c>
      <c r="B4244" s="210">
        <v>12</v>
      </c>
      <c r="C4244" s="191" t="str">
        <f>IF('IWP09'!E$534=0,"",'IWP09'!E$534)</f>
        <v>D.</v>
      </c>
      <c r="D4244" s="211">
        <f>'IWP09'!G$534</f>
        <v>0</v>
      </c>
      <c r="E4244" s="211" t="str">
        <f>'IWP09'!H$534</f>
        <v>E.</v>
      </c>
      <c r="F4244" s="211" t="str">
        <f>'IWP09'!I$534</f>
        <v>F.</v>
      </c>
      <c r="G4244" s="191" t="str">
        <f>IF('IWP09'!J$534=0,"",'IWP09'!J$534)</f>
        <v>G.</v>
      </c>
      <c r="H4244" s="211">
        <f>'IWP09'!K$534</f>
        <v>0</v>
      </c>
      <c r="I4244" s="211" t="str">
        <f>'IWP09'!L$534</f>
        <v>H.</v>
      </c>
      <c r="J4244" s="212" t="str">
        <f>'IWP09'!M$534</f>
        <v>I.</v>
      </c>
      <c r="K4244" s="106"/>
      <c r="L4244" s="106"/>
      <c r="M4244" s="129"/>
    </row>
    <row r="4245" spans="1:13" s="146" customFormat="1">
      <c r="A4245" s="193" t="s">
        <v>507</v>
      </c>
      <c r="B4245" s="210">
        <v>12</v>
      </c>
      <c r="C4245" s="191" t="str">
        <f>IF('IWP09'!E$535=0,"",'IWP09'!E$535)</f>
        <v xml:space="preserve">Items/Services Related to Billing Period </v>
      </c>
      <c r="D4245" s="211">
        <f>'IWP09'!G$535</f>
        <v>0</v>
      </c>
      <c r="E4245" s="211" t="str">
        <f>'IWP09'!H$535</f>
        <v xml:space="preserve">Item/
Service Verified Amounts
</v>
      </c>
      <c r="F4245" s="211" t="str">
        <f>'IWP09'!I$535</f>
        <v>Amount Due to DADS (E. - D.)</v>
      </c>
      <c r="G4245" s="191" t="str">
        <f>IF('IWP09'!J$535=0,"",'IWP09'!J$535)</f>
        <v>Amount Reimbursed to 
Employee(s)/Employer</v>
      </c>
      <c r="H4245" s="211">
        <f>'IWP09'!K$535</f>
        <v>0</v>
      </c>
      <c r="I4245" s="211" t="str">
        <f>'IWP09'!L$535</f>
        <v>Amount Due to Employee(s) (G. - E.)</v>
      </c>
      <c r="J4245" s="212" t="str">
        <f>'IWP09'!M$535</f>
        <v>Amount Due to Employer (G. - E.)</v>
      </c>
      <c r="K4245" s="106"/>
      <c r="L4245" s="106"/>
      <c r="M4245" s="129"/>
    </row>
    <row r="4246" spans="1:13" s="146" customFormat="1">
      <c r="A4246" s="193" t="s">
        <v>507</v>
      </c>
      <c r="B4246" s="210">
        <v>12</v>
      </c>
      <c r="C4246" s="191" t="str">
        <f>IF('IWP09'!E$536=0,"",'IWP09'!E$536)</f>
        <v>Item/Service</v>
      </c>
      <c r="D4246" s="211" t="str">
        <f>'IWP09'!G$536</f>
        <v>Itemized Amount Paid by DADS</v>
      </c>
      <c r="E4246" s="211">
        <f>'IWP09'!H$536</f>
        <v>0</v>
      </c>
      <c r="F4246" s="211">
        <f>'IWP09'!I$536</f>
        <v>0</v>
      </c>
      <c r="G4246" s="191" t="str">
        <f>IF('IWP09'!J$536=0,"",'IWP09'!J$536)</f>
        <v/>
      </c>
      <c r="H4246" s="211">
        <f>'IWP09'!K$536</f>
        <v>0</v>
      </c>
      <c r="I4246" s="211">
        <f>'IWP09'!L$536</f>
        <v>0</v>
      </c>
      <c r="J4246" s="212">
        <f>'IWP09'!M$536</f>
        <v>0</v>
      </c>
      <c r="K4246" s="106"/>
      <c r="L4246" s="106"/>
      <c r="M4246" s="129"/>
    </row>
    <row r="4247" spans="1:13" s="146" customFormat="1">
      <c r="A4247" s="193" t="s">
        <v>507</v>
      </c>
      <c r="B4247" s="210">
        <v>12</v>
      </c>
      <c r="C4247" s="191" t="str">
        <f>IF('IWP09'!E$537=0,"",'IWP09'!E$537)</f>
        <v/>
      </c>
      <c r="D4247" s="211">
        <f>'IWP09'!G$537</f>
        <v>0</v>
      </c>
      <c r="E4247" s="211">
        <f>'IWP09'!H$537</f>
        <v>0</v>
      </c>
      <c r="F4247" s="211">
        <f>'IWP09'!I$537</f>
        <v>0</v>
      </c>
      <c r="G4247" s="191" t="str">
        <f>IF('IWP09'!J$537=0,"",'IWP09'!J$537)</f>
        <v/>
      </c>
      <c r="H4247" s="211">
        <f>'IWP09'!K$537</f>
        <v>0</v>
      </c>
      <c r="I4247" s="211">
        <f>'IWP09'!L$537</f>
        <v>0</v>
      </c>
      <c r="J4247" s="212">
        <f>'IWP09'!M$537</f>
        <v>0</v>
      </c>
      <c r="K4247" s="106"/>
      <c r="L4247" s="106"/>
      <c r="M4247" s="129"/>
    </row>
    <row r="4248" spans="1:13" s="146" customFormat="1">
      <c r="A4248" s="193" t="s">
        <v>507</v>
      </c>
      <c r="B4248" s="210">
        <v>12</v>
      </c>
      <c r="C4248" s="191" t="str">
        <f>IF('IWP09'!E$538=0,"",'IWP09'!E$538)</f>
        <v/>
      </c>
      <c r="D4248" s="211">
        <f>'IWP09'!G$538</f>
        <v>0</v>
      </c>
      <c r="E4248" s="211">
        <f>'IWP09'!H$538</f>
        <v>0</v>
      </c>
      <c r="F4248" s="211">
        <f>'IWP09'!I$538</f>
        <v>0</v>
      </c>
      <c r="G4248" s="191" t="str">
        <f>IF('IWP09'!J$538=0,"",'IWP09'!J$538)</f>
        <v/>
      </c>
      <c r="H4248" s="211">
        <f>'IWP09'!K$538</f>
        <v>0</v>
      </c>
      <c r="I4248" s="211">
        <f>'IWP09'!L$538</f>
        <v>0</v>
      </c>
      <c r="J4248" s="212">
        <f>'IWP09'!M$538</f>
        <v>0</v>
      </c>
      <c r="K4248" s="106"/>
      <c r="L4248" s="106"/>
      <c r="M4248" s="129"/>
    </row>
    <row r="4249" spans="1:13" s="146" customFormat="1">
      <c r="A4249" s="193" t="s">
        <v>507</v>
      </c>
      <c r="B4249" s="210">
        <v>12</v>
      </c>
      <c r="C4249" s="191" t="str">
        <f>IF('IWP09'!E$539=0,"",'IWP09'!E$539)</f>
        <v/>
      </c>
      <c r="D4249" s="211">
        <f>'IWP09'!G$539</f>
        <v>0</v>
      </c>
      <c r="E4249" s="211">
        <f>'IWP09'!H$539</f>
        <v>0</v>
      </c>
      <c r="F4249" s="211">
        <f>'IWP09'!I$539</f>
        <v>0</v>
      </c>
      <c r="G4249" s="191" t="str">
        <f>IF('IWP09'!J$539=0,"",'IWP09'!J$539)</f>
        <v/>
      </c>
      <c r="H4249" s="211">
        <f>'IWP09'!K$539</f>
        <v>0</v>
      </c>
      <c r="I4249" s="211">
        <f>'IWP09'!L$539</f>
        <v>0</v>
      </c>
      <c r="J4249" s="212">
        <f>'IWP09'!M$539</f>
        <v>0</v>
      </c>
      <c r="K4249" s="106"/>
      <c r="L4249" s="106"/>
      <c r="M4249" s="129"/>
    </row>
    <row r="4250" spans="1:13" s="146" customFormat="1">
      <c r="A4250" s="193" t="s">
        <v>507</v>
      </c>
      <c r="B4250" s="210">
        <v>12</v>
      </c>
      <c r="C4250" s="191" t="str">
        <f>IF('IWP09'!E$540=0,"",'IWP09'!E$540)</f>
        <v/>
      </c>
      <c r="D4250" s="211">
        <f>'IWP09'!G$540</f>
        <v>0</v>
      </c>
      <c r="E4250" s="211">
        <f>'IWP09'!H$540</f>
        <v>0</v>
      </c>
      <c r="F4250" s="211">
        <f>'IWP09'!I$540</f>
        <v>0</v>
      </c>
      <c r="G4250" s="191" t="str">
        <f>IF('IWP09'!J$540=0,"",'IWP09'!J$540)</f>
        <v/>
      </c>
      <c r="H4250" s="211">
        <f>'IWP09'!K$540</f>
        <v>0</v>
      </c>
      <c r="I4250" s="211">
        <f>'IWP09'!L$540</f>
        <v>0</v>
      </c>
      <c r="J4250" s="212">
        <f>'IWP09'!M$540</f>
        <v>0</v>
      </c>
      <c r="K4250" s="106"/>
      <c r="L4250" s="106"/>
      <c r="M4250" s="129"/>
    </row>
    <row r="4251" spans="1:13" s="146" customFormat="1">
      <c r="A4251" s="193" t="s">
        <v>507</v>
      </c>
      <c r="B4251" s="210">
        <v>13</v>
      </c>
      <c r="C4251" s="191" t="str">
        <f>IF('IWP09'!E$547=0,"",'IWP09'!E$547)</f>
        <v>Subtotal column D.</v>
      </c>
      <c r="D4251" s="211">
        <f>'IWP09'!G$547</f>
        <v>0</v>
      </c>
      <c r="E4251" s="211">
        <f>'IWP09'!H$547</f>
        <v>0</v>
      </c>
      <c r="F4251" s="211">
        <f>'IWP09'!I$547</f>
        <v>0</v>
      </c>
      <c r="G4251" s="191" t="str">
        <f>IF('IWP09'!J$547=0,"",'IWP09'!J$547)</f>
        <v/>
      </c>
      <c r="H4251" s="211">
        <f>'IWP09'!K$547</f>
        <v>0</v>
      </c>
      <c r="I4251" s="211">
        <f>'IWP09'!L$547</f>
        <v>0</v>
      </c>
      <c r="J4251" s="212">
        <f>'IWP09'!M$547</f>
        <v>0</v>
      </c>
      <c r="K4251" s="106"/>
      <c r="L4251" s="106"/>
      <c r="M4251" s="129"/>
    </row>
    <row r="4252" spans="1:13" s="146" customFormat="1">
      <c r="A4252" s="193" t="s">
        <v>507</v>
      </c>
      <c r="B4252" s="210">
        <v>13</v>
      </c>
      <c r="C4252" s="191" t="str">
        <f>IF('IWP09'!E$548=0,"",'IWP09'!E$548)</f>
        <v>Unverified/Undocumented (Subtotal D - C)</v>
      </c>
      <c r="D4252" s="211">
        <f>'IWP09'!G$548</f>
        <v>0</v>
      </c>
      <c r="E4252" s="211">
        <f>'IWP09'!H$548</f>
        <v>0</v>
      </c>
      <c r="F4252" s="211">
        <f>'IWP09'!I$548</f>
        <v>0</v>
      </c>
      <c r="G4252" s="191" t="str">
        <f>IF('IWP09'!J$548=0,"",'IWP09'!J$548)</f>
        <v/>
      </c>
      <c r="H4252" s="211">
        <f>'IWP09'!K$548</f>
        <v>0</v>
      </c>
      <c r="I4252" s="211">
        <f>'IWP09'!L$548</f>
        <v>0</v>
      </c>
      <c r="J4252" s="212">
        <f>'IWP09'!M$548</f>
        <v>0</v>
      </c>
      <c r="K4252" s="106"/>
      <c r="L4252" s="106"/>
      <c r="M4252" s="129"/>
    </row>
    <row r="4253" spans="1:13" s="146" customFormat="1">
      <c r="A4253" s="193" t="s">
        <v>507</v>
      </c>
      <c r="B4253" s="210">
        <v>13</v>
      </c>
      <c r="C4253" s="191" t="str">
        <f>IF('IWP09'!E$549=0,"",'IWP09'!E$549)</f>
        <v>J. Billing Period Total</v>
      </c>
      <c r="D4253" s="211">
        <f>'IWP09'!G$549</f>
        <v>0</v>
      </c>
      <c r="E4253" s="211">
        <f>'IWP09'!H$549</f>
        <v>0</v>
      </c>
      <c r="F4253" s="211">
        <f>'IWP09'!I$549</f>
        <v>0</v>
      </c>
      <c r="G4253" s="191" t="str">
        <f>IF('IWP09'!J$549=0,"",'IWP09'!J$549)</f>
        <v/>
      </c>
      <c r="H4253" s="211">
        <f>'IWP09'!K$549</f>
        <v>0</v>
      </c>
      <c r="I4253" s="211">
        <f>'IWP09'!L$549</f>
        <v>0</v>
      </c>
      <c r="J4253" s="212">
        <f>'IWP09'!M$549</f>
        <v>0</v>
      </c>
      <c r="K4253" s="106"/>
      <c r="L4253" s="106"/>
      <c r="M4253" s="129"/>
    </row>
    <row r="4254" spans="1:13" s="146" customFormat="1">
      <c r="A4254" s="193" t="s">
        <v>507</v>
      </c>
      <c r="B4254" s="210">
        <v>13</v>
      </c>
      <c r="C4254" s="191" t="str">
        <f>IF('IWP09'!E$550=0,"",'IWP09'!E$550)</f>
        <v>D.</v>
      </c>
      <c r="D4254" s="211">
        <f>'IWP09'!G$550</f>
        <v>0</v>
      </c>
      <c r="E4254" s="211" t="str">
        <f>'IWP09'!H$550</f>
        <v>E.</v>
      </c>
      <c r="F4254" s="211" t="str">
        <f>'IWP09'!I$550</f>
        <v>F.</v>
      </c>
      <c r="G4254" s="191" t="str">
        <f>IF('IWP09'!J$550=0,"",'IWP09'!J$550)</f>
        <v>G.</v>
      </c>
      <c r="H4254" s="211">
        <f>'IWP09'!K$550</f>
        <v>0</v>
      </c>
      <c r="I4254" s="211" t="str">
        <f>'IWP09'!L$550</f>
        <v>H.</v>
      </c>
      <c r="J4254" s="212" t="str">
        <f>'IWP09'!M$550</f>
        <v>I.</v>
      </c>
      <c r="K4254" s="106"/>
      <c r="L4254" s="106"/>
      <c r="M4254" s="129"/>
    </row>
    <row r="4255" spans="1:13" s="146" customFormat="1">
      <c r="A4255" s="193" t="s">
        <v>507</v>
      </c>
      <c r="B4255" s="210">
        <v>13</v>
      </c>
      <c r="C4255" s="191" t="str">
        <f>IF('IWP09'!E$551=0,"",'IWP09'!E$551)</f>
        <v xml:space="preserve">Items/Services Related to Billing Period </v>
      </c>
      <c r="D4255" s="211">
        <f>'IWP09'!G$551</f>
        <v>0</v>
      </c>
      <c r="E4255" s="211" t="str">
        <f>'IWP09'!H$551</f>
        <v xml:space="preserve">Item/
Service Verified Amounts
</v>
      </c>
      <c r="F4255" s="211" t="str">
        <f>'IWP09'!I$551</f>
        <v>Amount Due to DADS (E. - D.)</v>
      </c>
      <c r="G4255" s="191" t="str">
        <f>IF('IWP09'!J$551=0,"",'IWP09'!J$551)</f>
        <v>Amount Reimbursed to 
Employee(s)/Employer</v>
      </c>
      <c r="H4255" s="211">
        <f>'IWP09'!K$551</f>
        <v>0</v>
      </c>
      <c r="I4255" s="211" t="str">
        <f>'IWP09'!L$551</f>
        <v>Amount Due to Employee(s) (G. - E.)</v>
      </c>
      <c r="J4255" s="212" t="str">
        <f>'IWP09'!M$551</f>
        <v>Amount Due to Employer (G. - E.)</v>
      </c>
      <c r="K4255" s="106"/>
      <c r="L4255" s="106"/>
      <c r="M4255" s="129"/>
    </row>
    <row r="4256" spans="1:13" s="146" customFormat="1">
      <c r="A4256" s="193" t="s">
        <v>507</v>
      </c>
      <c r="B4256" s="210">
        <v>13</v>
      </c>
      <c r="C4256" s="191" t="str">
        <f>IF('IWP09'!E$552=0,"",'IWP09'!E$552)</f>
        <v>Item/Service</v>
      </c>
      <c r="D4256" s="211" t="str">
        <f>'IWP09'!G$552</f>
        <v>Itemized Amount Paid by DADS</v>
      </c>
      <c r="E4256" s="211">
        <f>'IWP09'!H$552</f>
        <v>0</v>
      </c>
      <c r="F4256" s="211">
        <f>'IWP09'!I$552</f>
        <v>0</v>
      </c>
      <c r="G4256" s="191" t="str">
        <f>IF('IWP09'!J$552=0,"",'IWP09'!J$552)</f>
        <v/>
      </c>
      <c r="H4256" s="211">
        <f>'IWP09'!K$552</f>
        <v>0</v>
      </c>
      <c r="I4256" s="211">
        <f>'IWP09'!L$552</f>
        <v>0</v>
      </c>
      <c r="J4256" s="212">
        <f>'IWP09'!M$552</f>
        <v>0</v>
      </c>
      <c r="K4256" s="106"/>
      <c r="L4256" s="106"/>
      <c r="M4256" s="129"/>
    </row>
    <row r="4257" spans="1:13" s="146" customFormat="1">
      <c r="A4257" s="193" t="s">
        <v>507</v>
      </c>
      <c r="B4257" s="210">
        <v>13</v>
      </c>
      <c r="C4257" s="191" t="str">
        <f>IF('IWP09'!E$553=0,"",'IWP09'!E$553)</f>
        <v/>
      </c>
      <c r="D4257" s="211">
        <f>'IWP09'!G$553</f>
        <v>0</v>
      </c>
      <c r="E4257" s="211">
        <f>'IWP09'!H$553</f>
        <v>0</v>
      </c>
      <c r="F4257" s="211">
        <f>'IWP09'!I$553</f>
        <v>0</v>
      </c>
      <c r="G4257" s="191" t="str">
        <f>IF('IWP09'!J$553=0,"",'IWP09'!J$553)</f>
        <v/>
      </c>
      <c r="H4257" s="211">
        <f>'IWP09'!K$553</f>
        <v>0</v>
      </c>
      <c r="I4257" s="211">
        <f>'IWP09'!L$553</f>
        <v>0</v>
      </c>
      <c r="J4257" s="212">
        <f>'IWP09'!M$553</f>
        <v>0</v>
      </c>
      <c r="K4257" s="106"/>
      <c r="L4257" s="106"/>
      <c r="M4257" s="129"/>
    </row>
    <row r="4258" spans="1:13" s="146" customFormat="1">
      <c r="A4258" s="193" t="s">
        <v>507</v>
      </c>
      <c r="B4258" s="210">
        <v>13</v>
      </c>
      <c r="C4258" s="191" t="str">
        <f>IF('IWP09'!E$554=0,"",'IWP09'!E$554)</f>
        <v/>
      </c>
      <c r="D4258" s="211">
        <f>'IWP09'!G$554</f>
        <v>0</v>
      </c>
      <c r="E4258" s="211">
        <f>'IWP09'!H$554</f>
        <v>0</v>
      </c>
      <c r="F4258" s="211">
        <f>'IWP09'!I$554</f>
        <v>0</v>
      </c>
      <c r="G4258" s="191" t="str">
        <f>IF('IWP09'!J$554=0,"",'IWP09'!J$554)</f>
        <v/>
      </c>
      <c r="H4258" s="211">
        <f>'IWP09'!K$554</f>
        <v>0</v>
      </c>
      <c r="I4258" s="211">
        <f>'IWP09'!L$554</f>
        <v>0</v>
      </c>
      <c r="J4258" s="212">
        <f>'IWP09'!M$554</f>
        <v>0</v>
      </c>
      <c r="K4258" s="106"/>
      <c r="L4258" s="106"/>
      <c r="M4258" s="129"/>
    </row>
    <row r="4259" spans="1:13" s="146" customFormat="1">
      <c r="A4259" s="193" t="s">
        <v>507</v>
      </c>
      <c r="B4259" s="210">
        <v>13</v>
      </c>
      <c r="C4259" s="191" t="str">
        <f>IF('IWP09'!E$555=0,"",'IWP09'!E$555)</f>
        <v/>
      </c>
      <c r="D4259" s="211">
        <f>'IWP09'!G$555</f>
        <v>0</v>
      </c>
      <c r="E4259" s="211">
        <f>'IWP09'!H$555</f>
        <v>0</v>
      </c>
      <c r="F4259" s="211">
        <f>'IWP09'!I$555</f>
        <v>0</v>
      </c>
      <c r="G4259" s="191" t="str">
        <f>IF('IWP09'!J$555=0,"",'IWP09'!J$555)</f>
        <v/>
      </c>
      <c r="H4259" s="211">
        <f>'IWP09'!K$555</f>
        <v>0</v>
      </c>
      <c r="I4259" s="211">
        <f>'IWP09'!L$555</f>
        <v>0</v>
      </c>
      <c r="J4259" s="212">
        <f>'IWP09'!M$555</f>
        <v>0</v>
      </c>
      <c r="K4259" s="106"/>
      <c r="L4259" s="106"/>
      <c r="M4259" s="129"/>
    </row>
    <row r="4260" spans="1:13" s="146" customFormat="1">
      <c r="A4260" s="193" t="s">
        <v>507</v>
      </c>
      <c r="B4260" s="210">
        <v>13</v>
      </c>
      <c r="C4260" s="191" t="str">
        <f>IF('IWP09'!E$556=0,"",'IWP09'!E$556)</f>
        <v/>
      </c>
      <c r="D4260" s="211">
        <f>'IWP09'!G$556</f>
        <v>0</v>
      </c>
      <c r="E4260" s="211">
        <f>'IWP09'!H$556</f>
        <v>0</v>
      </c>
      <c r="F4260" s="211">
        <f>'IWP09'!I$556</f>
        <v>0</v>
      </c>
      <c r="G4260" s="191" t="str">
        <f>IF('IWP09'!J$556=0,"",'IWP09'!J$556)</f>
        <v/>
      </c>
      <c r="H4260" s="211">
        <f>'IWP09'!K$556</f>
        <v>0</v>
      </c>
      <c r="I4260" s="211">
        <f>'IWP09'!L$556</f>
        <v>0</v>
      </c>
      <c r="J4260" s="212">
        <f>'IWP09'!M$556</f>
        <v>0</v>
      </c>
      <c r="K4260" s="106"/>
      <c r="L4260" s="106"/>
      <c r="M4260" s="129"/>
    </row>
    <row r="4261" spans="1:13" s="146" customFormat="1">
      <c r="A4261" s="193" t="s">
        <v>507</v>
      </c>
      <c r="B4261" s="210">
        <v>14</v>
      </c>
      <c r="C4261" s="191" t="str">
        <f>IF('IWP09'!E$563=0,"",'IWP09'!E$563)</f>
        <v>Subtotal column D.</v>
      </c>
      <c r="D4261" s="211">
        <f>'IWP09'!G$563</f>
        <v>0</v>
      </c>
      <c r="E4261" s="211">
        <f>'IWP09'!H$563</f>
        <v>0</v>
      </c>
      <c r="F4261" s="211">
        <f>'IWP09'!I$563</f>
        <v>0</v>
      </c>
      <c r="G4261" s="191" t="str">
        <f>IF('IWP09'!J$563=0,"",'IWP09'!J$563)</f>
        <v/>
      </c>
      <c r="H4261" s="211">
        <f>'IWP09'!K$563</f>
        <v>0</v>
      </c>
      <c r="I4261" s="211">
        <f>'IWP09'!L$563</f>
        <v>0</v>
      </c>
      <c r="J4261" s="212">
        <f>'IWP09'!M$563</f>
        <v>0</v>
      </c>
      <c r="K4261" s="106"/>
      <c r="L4261" s="106"/>
      <c r="M4261" s="129"/>
    </row>
    <row r="4262" spans="1:13" s="146" customFormat="1">
      <c r="A4262" s="193" t="s">
        <v>507</v>
      </c>
      <c r="B4262" s="210">
        <v>14</v>
      </c>
      <c r="C4262" s="191" t="str">
        <f>IF('IWP09'!E$564=0,"",'IWP09'!E$564)</f>
        <v>Unverified/Undocumented (Subtotal D - C)</v>
      </c>
      <c r="D4262" s="211">
        <f>'IWP09'!G$564</f>
        <v>0</v>
      </c>
      <c r="E4262" s="211">
        <f>'IWP09'!H$564</f>
        <v>0</v>
      </c>
      <c r="F4262" s="211">
        <f>'IWP09'!I$564</f>
        <v>0</v>
      </c>
      <c r="G4262" s="191" t="str">
        <f>IF('IWP09'!J$564=0,"",'IWP09'!J$564)</f>
        <v/>
      </c>
      <c r="H4262" s="211">
        <f>'IWP09'!K$564</f>
        <v>0</v>
      </c>
      <c r="I4262" s="211">
        <f>'IWP09'!L$564</f>
        <v>0</v>
      </c>
      <c r="J4262" s="212">
        <f>'IWP09'!M$564</f>
        <v>0</v>
      </c>
      <c r="K4262" s="106"/>
      <c r="L4262" s="106"/>
      <c r="M4262" s="129"/>
    </row>
    <row r="4263" spans="1:13" s="146" customFormat="1">
      <c r="A4263" s="193" t="s">
        <v>507</v>
      </c>
      <c r="B4263" s="210">
        <v>14</v>
      </c>
      <c r="C4263" s="191" t="str">
        <f>IF('IWP09'!E$565=0,"",'IWP09'!E$565)</f>
        <v>J. Billing Period Total</v>
      </c>
      <c r="D4263" s="211">
        <f>'IWP09'!G$565</f>
        <v>0</v>
      </c>
      <c r="E4263" s="211">
        <f>'IWP09'!H$565</f>
        <v>0</v>
      </c>
      <c r="F4263" s="211">
        <f>'IWP09'!I$565</f>
        <v>0</v>
      </c>
      <c r="G4263" s="191" t="str">
        <f>IF('IWP09'!J$565=0,"",'IWP09'!J$565)</f>
        <v/>
      </c>
      <c r="H4263" s="211">
        <f>'IWP09'!K$565</f>
        <v>0</v>
      </c>
      <c r="I4263" s="211">
        <f>'IWP09'!L$565</f>
        <v>0</v>
      </c>
      <c r="J4263" s="212">
        <f>'IWP09'!M$565</f>
        <v>0</v>
      </c>
      <c r="K4263" s="106"/>
      <c r="L4263" s="106"/>
      <c r="M4263" s="129"/>
    </row>
    <row r="4264" spans="1:13" s="146" customFormat="1">
      <c r="A4264" s="193" t="s">
        <v>507</v>
      </c>
      <c r="B4264" s="210">
        <v>14</v>
      </c>
      <c r="C4264" s="191" t="str">
        <f>IF('IWP09'!E$566=0,"",'IWP09'!E$566)</f>
        <v>D.</v>
      </c>
      <c r="D4264" s="211">
        <f>'IWP09'!G$566</f>
        <v>0</v>
      </c>
      <c r="E4264" s="211" t="str">
        <f>'IWP09'!H$566</f>
        <v>E.</v>
      </c>
      <c r="F4264" s="211" t="str">
        <f>'IWP09'!I$566</f>
        <v>F.</v>
      </c>
      <c r="G4264" s="191" t="str">
        <f>IF('IWP09'!J$566=0,"",'IWP09'!J$566)</f>
        <v>G.</v>
      </c>
      <c r="H4264" s="211">
        <f>'IWP09'!K$566</f>
        <v>0</v>
      </c>
      <c r="I4264" s="211" t="str">
        <f>'IWP09'!L$566</f>
        <v>H.</v>
      </c>
      <c r="J4264" s="212" t="str">
        <f>'IWP09'!M$566</f>
        <v>I.</v>
      </c>
      <c r="K4264" s="106"/>
      <c r="L4264" s="106"/>
      <c r="M4264" s="129"/>
    </row>
    <row r="4265" spans="1:13" s="146" customFormat="1">
      <c r="A4265" s="193" t="s">
        <v>507</v>
      </c>
      <c r="B4265" s="210">
        <v>14</v>
      </c>
      <c r="C4265" s="191" t="str">
        <f>IF('IWP09'!E$567=0,"",'IWP09'!E$567)</f>
        <v xml:space="preserve">Items/Services Related to Billing Period </v>
      </c>
      <c r="D4265" s="211">
        <f>'IWP09'!G$567</f>
        <v>0</v>
      </c>
      <c r="E4265" s="211" t="str">
        <f>'IWP09'!H$567</f>
        <v xml:space="preserve">Item/
Service Verified Amounts
</v>
      </c>
      <c r="F4265" s="211" t="str">
        <f>'IWP09'!I$567</f>
        <v>Amount Due to DADS (E. - D.)</v>
      </c>
      <c r="G4265" s="191" t="str">
        <f>IF('IWP09'!J$567=0,"",'IWP09'!J$567)</f>
        <v>Amount Reimbursed to 
Employee(s)/Employer</v>
      </c>
      <c r="H4265" s="211">
        <f>'IWP09'!K$567</f>
        <v>0</v>
      </c>
      <c r="I4265" s="211" t="str">
        <f>'IWP09'!L$567</f>
        <v>Amount Due to Employee(s) (G. - E.)</v>
      </c>
      <c r="J4265" s="212" t="str">
        <f>'IWP09'!M$567</f>
        <v>Amount Due to Employer (G. - E.)</v>
      </c>
      <c r="K4265" s="106"/>
      <c r="L4265" s="106"/>
      <c r="M4265" s="129"/>
    </row>
    <row r="4266" spans="1:13" s="146" customFormat="1">
      <c r="A4266" s="193" t="s">
        <v>507</v>
      </c>
      <c r="B4266" s="210">
        <v>14</v>
      </c>
      <c r="C4266" s="191" t="str">
        <f>IF('IWP09'!E$568=0,"",'IWP09'!E$568)</f>
        <v>Item/Service</v>
      </c>
      <c r="D4266" s="211" t="str">
        <f>'IWP09'!G$568</f>
        <v>Itemized Amount Paid by DADS</v>
      </c>
      <c r="E4266" s="211">
        <f>'IWP09'!H$568</f>
        <v>0</v>
      </c>
      <c r="F4266" s="211">
        <f>'IWP09'!I$568</f>
        <v>0</v>
      </c>
      <c r="G4266" s="191" t="str">
        <f>IF('IWP09'!J$568=0,"",'IWP09'!J$568)</f>
        <v/>
      </c>
      <c r="H4266" s="211">
        <f>'IWP09'!K$568</f>
        <v>0</v>
      </c>
      <c r="I4266" s="211">
        <f>'IWP09'!L$568</f>
        <v>0</v>
      </c>
      <c r="J4266" s="212">
        <f>'IWP09'!M$568</f>
        <v>0</v>
      </c>
      <c r="K4266" s="106"/>
      <c r="L4266" s="106"/>
      <c r="M4266" s="129"/>
    </row>
    <row r="4267" spans="1:13" s="146" customFormat="1">
      <c r="A4267" s="193" t="s">
        <v>507</v>
      </c>
      <c r="B4267" s="210">
        <v>14</v>
      </c>
      <c r="C4267" s="191" t="str">
        <f>IF('IWP09'!E$569=0,"",'IWP09'!E$569)</f>
        <v/>
      </c>
      <c r="D4267" s="211">
        <f>'IWP09'!G$569</f>
        <v>0</v>
      </c>
      <c r="E4267" s="211">
        <f>'IWP09'!H$569</f>
        <v>0</v>
      </c>
      <c r="F4267" s="211">
        <f>'IWP09'!I$569</f>
        <v>0</v>
      </c>
      <c r="G4267" s="191" t="str">
        <f>IF('IWP09'!J$569=0,"",'IWP09'!J$569)</f>
        <v/>
      </c>
      <c r="H4267" s="211">
        <f>'IWP09'!K$569</f>
        <v>0</v>
      </c>
      <c r="I4267" s="211">
        <f>'IWP09'!L$569</f>
        <v>0</v>
      </c>
      <c r="J4267" s="212">
        <f>'IWP09'!M$569</f>
        <v>0</v>
      </c>
      <c r="K4267" s="106"/>
      <c r="L4267" s="106"/>
      <c r="M4267" s="129"/>
    </row>
    <row r="4268" spans="1:13" s="146" customFormat="1">
      <c r="A4268" s="193" t="s">
        <v>507</v>
      </c>
      <c r="B4268" s="210">
        <v>14</v>
      </c>
      <c r="C4268" s="191" t="str">
        <f>IF('IWP09'!E$570=0,"",'IWP09'!E$570)</f>
        <v/>
      </c>
      <c r="D4268" s="211">
        <f>'IWP09'!G$570</f>
        <v>0</v>
      </c>
      <c r="E4268" s="211">
        <f>'IWP09'!H$570</f>
        <v>0</v>
      </c>
      <c r="F4268" s="211">
        <f>'IWP09'!I$570</f>
        <v>0</v>
      </c>
      <c r="G4268" s="191" t="str">
        <f>IF('IWP09'!J$570=0,"",'IWP09'!J$570)</f>
        <v/>
      </c>
      <c r="H4268" s="211">
        <f>'IWP09'!K$570</f>
        <v>0</v>
      </c>
      <c r="I4268" s="211">
        <f>'IWP09'!L$570</f>
        <v>0</v>
      </c>
      <c r="J4268" s="212">
        <f>'IWP09'!M$570</f>
        <v>0</v>
      </c>
      <c r="K4268" s="106"/>
      <c r="L4268" s="106"/>
      <c r="M4268" s="129"/>
    </row>
    <row r="4269" spans="1:13" s="146" customFormat="1">
      <c r="A4269" s="193" t="s">
        <v>507</v>
      </c>
      <c r="B4269" s="210">
        <v>14</v>
      </c>
      <c r="C4269" s="191" t="str">
        <f>IF('IWP09'!E$571=0,"",'IWP09'!E$571)</f>
        <v/>
      </c>
      <c r="D4269" s="211">
        <f>'IWP09'!G$571</f>
        <v>0</v>
      </c>
      <c r="E4269" s="211">
        <f>'IWP09'!H$571</f>
        <v>0</v>
      </c>
      <c r="F4269" s="211">
        <f>'IWP09'!I$571</f>
        <v>0</v>
      </c>
      <c r="G4269" s="191" t="str">
        <f>IF('IWP09'!J$571=0,"",'IWP09'!J$571)</f>
        <v/>
      </c>
      <c r="H4269" s="211">
        <f>'IWP09'!K$571</f>
        <v>0</v>
      </c>
      <c r="I4269" s="211">
        <f>'IWP09'!L$571</f>
        <v>0</v>
      </c>
      <c r="J4269" s="212">
        <f>'IWP09'!M$571</f>
        <v>0</v>
      </c>
      <c r="K4269" s="106"/>
      <c r="L4269" s="106"/>
      <c r="M4269" s="129"/>
    </row>
    <row r="4270" spans="1:13" s="146" customFormat="1">
      <c r="A4270" s="193" t="s">
        <v>507</v>
      </c>
      <c r="B4270" s="210">
        <v>14</v>
      </c>
      <c r="C4270" s="191" t="str">
        <f>IF('IWP09'!E$572=0,"",'IWP09'!E$572)</f>
        <v/>
      </c>
      <c r="D4270" s="211">
        <f>'IWP09'!G$572</f>
        <v>0</v>
      </c>
      <c r="E4270" s="211">
        <f>'IWP09'!H$572</f>
        <v>0</v>
      </c>
      <c r="F4270" s="211">
        <f>'IWP09'!I$572</f>
        <v>0</v>
      </c>
      <c r="G4270" s="191" t="str">
        <f>IF('IWP09'!J$572=0,"",'IWP09'!J$572)</f>
        <v/>
      </c>
      <c r="H4270" s="211">
        <f>'IWP09'!K$572</f>
        <v>0</v>
      </c>
      <c r="I4270" s="211">
        <f>'IWP09'!L$572</f>
        <v>0</v>
      </c>
      <c r="J4270" s="212">
        <f>'IWP09'!M$572</f>
        <v>0</v>
      </c>
      <c r="K4270" s="106"/>
      <c r="L4270" s="106"/>
      <c r="M4270" s="129"/>
    </row>
    <row r="4271" spans="1:13" s="146" customFormat="1">
      <c r="A4271" s="193" t="s">
        <v>507</v>
      </c>
      <c r="B4271" s="210">
        <v>15</v>
      </c>
      <c r="C4271" s="191" t="str">
        <f>IF('IWP09'!E$579=0,"",'IWP09'!E$579)</f>
        <v>Subtotal column D.</v>
      </c>
      <c r="D4271" s="211">
        <f>'IWP09'!G$579</f>
        <v>0</v>
      </c>
      <c r="E4271" s="211">
        <f>'IWP09'!H$579</f>
        <v>0</v>
      </c>
      <c r="F4271" s="211">
        <f>'IWP09'!I$579</f>
        <v>0</v>
      </c>
      <c r="G4271" s="191" t="str">
        <f>IF('IWP09'!J$579=0,"",'IWP09'!J$579)</f>
        <v/>
      </c>
      <c r="H4271" s="211">
        <f>'IWP09'!K$579</f>
        <v>0</v>
      </c>
      <c r="I4271" s="211">
        <f>'IWP09'!L$579</f>
        <v>0</v>
      </c>
      <c r="J4271" s="212">
        <f>'IWP09'!M$579</f>
        <v>0</v>
      </c>
      <c r="K4271" s="106"/>
      <c r="L4271" s="106"/>
      <c r="M4271" s="129"/>
    </row>
    <row r="4272" spans="1:13" s="146" customFormat="1">
      <c r="A4272" s="193" t="s">
        <v>507</v>
      </c>
      <c r="B4272" s="210">
        <v>15</v>
      </c>
      <c r="C4272" s="191" t="str">
        <f>IF('IWP09'!E$580=0,"",'IWP09'!E$580)</f>
        <v>Unverified/Undocumented (Subtotal D - C)</v>
      </c>
      <c r="D4272" s="211">
        <f>'IWP09'!G$580</f>
        <v>0</v>
      </c>
      <c r="E4272" s="211">
        <f>'IWP09'!H$580</f>
        <v>0</v>
      </c>
      <c r="F4272" s="211">
        <f>'IWP09'!I$580</f>
        <v>0</v>
      </c>
      <c r="G4272" s="191" t="str">
        <f>IF('IWP09'!J$580=0,"",'IWP09'!J$580)</f>
        <v/>
      </c>
      <c r="H4272" s="211">
        <f>'IWP09'!K$580</f>
        <v>0</v>
      </c>
      <c r="I4272" s="211">
        <f>'IWP09'!L$580</f>
        <v>0</v>
      </c>
      <c r="J4272" s="212">
        <f>'IWP09'!M$580</f>
        <v>0</v>
      </c>
      <c r="K4272" s="106"/>
      <c r="L4272" s="106"/>
      <c r="M4272" s="129"/>
    </row>
    <row r="4273" spans="1:13" s="146" customFormat="1">
      <c r="A4273" s="193" t="s">
        <v>507</v>
      </c>
      <c r="B4273" s="210">
        <v>15</v>
      </c>
      <c r="C4273" s="191" t="str">
        <f>IF('IWP09'!E$581=0,"",'IWP09'!E$581)</f>
        <v>J. Billing Period Total</v>
      </c>
      <c r="D4273" s="211">
        <f>'IWP09'!G$581</f>
        <v>0</v>
      </c>
      <c r="E4273" s="211">
        <f>'IWP09'!H$581</f>
        <v>0</v>
      </c>
      <c r="F4273" s="211">
        <f>'IWP09'!I$581</f>
        <v>0</v>
      </c>
      <c r="G4273" s="191" t="str">
        <f>IF('IWP09'!J$581=0,"",'IWP09'!J$581)</f>
        <v/>
      </c>
      <c r="H4273" s="211">
        <f>'IWP09'!K$581</f>
        <v>0</v>
      </c>
      <c r="I4273" s="211">
        <f>'IWP09'!L$581</f>
        <v>0</v>
      </c>
      <c r="J4273" s="212">
        <f>'IWP09'!M$581</f>
        <v>0</v>
      </c>
      <c r="K4273" s="106"/>
      <c r="L4273" s="106"/>
      <c r="M4273" s="129"/>
    </row>
    <row r="4274" spans="1:13" s="146" customFormat="1">
      <c r="A4274" s="193" t="s">
        <v>507</v>
      </c>
      <c r="B4274" s="210">
        <v>15</v>
      </c>
      <c r="C4274" s="191" t="str">
        <f>IF('IWP09'!E$582=0,"",'IWP09'!E$582)</f>
        <v>D.</v>
      </c>
      <c r="D4274" s="211">
        <f>'IWP09'!G$582</f>
        <v>0</v>
      </c>
      <c r="E4274" s="211" t="str">
        <f>'IWP09'!H$582</f>
        <v>E.</v>
      </c>
      <c r="F4274" s="211" t="str">
        <f>'IWP09'!I$582</f>
        <v>F.</v>
      </c>
      <c r="G4274" s="191" t="str">
        <f>IF('IWP09'!J$582=0,"",'IWP09'!J$582)</f>
        <v>G.</v>
      </c>
      <c r="H4274" s="211">
        <f>'IWP09'!K$582</f>
        <v>0</v>
      </c>
      <c r="I4274" s="211" t="str">
        <f>'IWP09'!L$582</f>
        <v>H.</v>
      </c>
      <c r="J4274" s="212" t="str">
        <f>'IWP09'!M$582</f>
        <v>I.</v>
      </c>
      <c r="K4274" s="106"/>
      <c r="L4274" s="106"/>
      <c r="M4274" s="129"/>
    </row>
    <row r="4275" spans="1:13" s="146" customFormat="1">
      <c r="A4275" s="193" t="s">
        <v>507</v>
      </c>
      <c r="B4275" s="210">
        <v>15</v>
      </c>
      <c r="C4275" s="191" t="str">
        <f>IF('IWP09'!E$583=0,"",'IWP09'!E$583)</f>
        <v xml:space="preserve">Items/Services Related to Billing Period </v>
      </c>
      <c r="D4275" s="211">
        <f>'IWP09'!G$583</f>
        <v>0</v>
      </c>
      <c r="E4275" s="211" t="str">
        <f>'IWP09'!H$583</f>
        <v xml:space="preserve">Item/
Service Verified Amounts
</v>
      </c>
      <c r="F4275" s="211" t="str">
        <f>'IWP09'!I$583</f>
        <v>Amount Due to DADS (E. - D.)</v>
      </c>
      <c r="G4275" s="191" t="str">
        <f>IF('IWP09'!J$583=0,"",'IWP09'!J$583)</f>
        <v>Amount Reimbursed to 
Employee(s)/Employer</v>
      </c>
      <c r="H4275" s="211">
        <f>'IWP09'!K$583</f>
        <v>0</v>
      </c>
      <c r="I4275" s="211" t="str">
        <f>'IWP09'!L$583</f>
        <v>Amount Due to Employee(s) (G. - E.)</v>
      </c>
      <c r="J4275" s="212" t="str">
        <f>'IWP09'!M$583</f>
        <v>Amount Due to Employer (G. - E.)</v>
      </c>
      <c r="K4275" s="106"/>
      <c r="L4275" s="106"/>
      <c r="M4275" s="129"/>
    </row>
    <row r="4276" spans="1:13" s="146" customFormat="1">
      <c r="A4276" s="193" t="s">
        <v>507</v>
      </c>
      <c r="B4276" s="210">
        <v>15</v>
      </c>
      <c r="C4276" s="191" t="str">
        <f>IF('IWP09'!E$584=0,"",'IWP09'!E$584)</f>
        <v>Item/Service</v>
      </c>
      <c r="D4276" s="211" t="str">
        <f>'IWP09'!G$584</f>
        <v>Itemized Amount Paid by DADS</v>
      </c>
      <c r="E4276" s="211">
        <f>'IWP09'!H$584</f>
        <v>0</v>
      </c>
      <c r="F4276" s="211">
        <f>'IWP09'!I$584</f>
        <v>0</v>
      </c>
      <c r="G4276" s="191" t="str">
        <f>IF('IWP09'!J$584=0,"",'IWP09'!J$584)</f>
        <v/>
      </c>
      <c r="H4276" s="211">
        <f>'IWP09'!K$584</f>
        <v>0</v>
      </c>
      <c r="I4276" s="211">
        <f>'IWP09'!L$584</f>
        <v>0</v>
      </c>
      <c r="J4276" s="212">
        <f>'IWP09'!M$584</f>
        <v>0</v>
      </c>
      <c r="K4276" s="106"/>
      <c r="L4276" s="106"/>
      <c r="M4276" s="129"/>
    </row>
    <row r="4277" spans="1:13" s="146" customFormat="1">
      <c r="A4277" s="193" t="s">
        <v>507</v>
      </c>
      <c r="B4277" s="210">
        <v>15</v>
      </c>
      <c r="C4277" s="191" t="str">
        <f>IF('IWP09'!E$585=0,"",'IWP09'!E$585)</f>
        <v/>
      </c>
      <c r="D4277" s="211">
        <f>'IWP09'!G$585</f>
        <v>0</v>
      </c>
      <c r="E4277" s="211">
        <f>'IWP09'!H$585</f>
        <v>0</v>
      </c>
      <c r="F4277" s="211">
        <f>'IWP09'!I$585</f>
        <v>0</v>
      </c>
      <c r="G4277" s="191" t="str">
        <f>IF('IWP09'!J$585=0,"",'IWP09'!J$585)</f>
        <v/>
      </c>
      <c r="H4277" s="211">
        <f>'IWP09'!K$585</f>
        <v>0</v>
      </c>
      <c r="I4277" s="211">
        <f>'IWP09'!L$585</f>
        <v>0</v>
      </c>
      <c r="J4277" s="212">
        <f>'IWP09'!M$585</f>
        <v>0</v>
      </c>
      <c r="K4277" s="106"/>
      <c r="L4277" s="106"/>
      <c r="M4277" s="129"/>
    </row>
    <row r="4278" spans="1:13" s="146" customFormat="1">
      <c r="A4278" s="193" t="s">
        <v>507</v>
      </c>
      <c r="B4278" s="210">
        <v>15</v>
      </c>
      <c r="C4278" s="191" t="str">
        <f>IF('IWP09'!E$586=0,"",'IWP09'!E$586)</f>
        <v/>
      </c>
      <c r="D4278" s="211">
        <f>'IWP09'!G$586</f>
        <v>0</v>
      </c>
      <c r="E4278" s="211">
        <f>'IWP09'!H$586</f>
        <v>0</v>
      </c>
      <c r="F4278" s="211">
        <f>'IWP09'!I$586</f>
        <v>0</v>
      </c>
      <c r="G4278" s="191" t="str">
        <f>IF('IWP09'!J$586=0,"",'IWP09'!J$586)</f>
        <v/>
      </c>
      <c r="H4278" s="211">
        <f>'IWP09'!K$586</f>
        <v>0</v>
      </c>
      <c r="I4278" s="211">
        <f>'IWP09'!L$586</f>
        <v>0</v>
      </c>
      <c r="J4278" s="212">
        <f>'IWP09'!M$586</f>
        <v>0</v>
      </c>
      <c r="K4278" s="106"/>
      <c r="L4278" s="106"/>
      <c r="M4278" s="129"/>
    </row>
    <row r="4279" spans="1:13" s="146" customFormat="1">
      <c r="A4279" s="193" t="s">
        <v>507</v>
      </c>
      <c r="B4279" s="210">
        <v>15</v>
      </c>
      <c r="C4279" s="191" t="str">
        <f>IF('IWP09'!E$587=0,"",'IWP09'!E$587)</f>
        <v/>
      </c>
      <c r="D4279" s="211">
        <f>'IWP09'!G$587</f>
        <v>0</v>
      </c>
      <c r="E4279" s="211">
        <f>'IWP09'!H$587</f>
        <v>0</v>
      </c>
      <c r="F4279" s="211">
        <f>'IWP09'!I$587</f>
        <v>0</v>
      </c>
      <c r="G4279" s="191" t="str">
        <f>IF('IWP09'!J$587=0,"",'IWP09'!J$587)</f>
        <v/>
      </c>
      <c r="H4279" s="211">
        <f>'IWP09'!K$587</f>
        <v>0</v>
      </c>
      <c r="I4279" s="211">
        <f>'IWP09'!L$587</f>
        <v>0</v>
      </c>
      <c r="J4279" s="212">
        <f>'IWP09'!M$587</f>
        <v>0</v>
      </c>
      <c r="K4279" s="106"/>
      <c r="L4279" s="106"/>
      <c r="M4279" s="129"/>
    </row>
    <row r="4280" spans="1:13" s="146" customFormat="1">
      <c r="A4280" s="193" t="s">
        <v>507</v>
      </c>
      <c r="B4280" s="210">
        <v>15</v>
      </c>
      <c r="C4280" s="191" t="str">
        <f>IF('IWP09'!E$588=0,"",'IWP09'!E$588)</f>
        <v/>
      </c>
      <c r="D4280" s="211">
        <f>'IWP09'!G$588</f>
        <v>0</v>
      </c>
      <c r="E4280" s="211">
        <f>'IWP09'!H$588</f>
        <v>0</v>
      </c>
      <c r="F4280" s="211">
        <f>'IWP09'!I$588</f>
        <v>0</v>
      </c>
      <c r="G4280" s="191" t="str">
        <f>IF('IWP09'!J$588=0,"",'IWP09'!J$588)</f>
        <v/>
      </c>
      <c r="H4280" s="211">
        <f>'IWP09'!K$588</f>
        <v>0</v>
      </c>
      <c r="I4280" s="211">
        <f>'IWP09'!L$588</f>
        <v>0</v>
      </c>
      <c r="J4280" s="212">
        <f>'IWP09'!M$588</f>
        <v>0</v>
      </c>
      <c r="K4280" s="106"/>
      <c r="L4280" s="106"/>
      <c r="M4280" s="129"/>
    </row>
    <row r="4281" spans="1:13" s="146" customFormat="1">
      <c r="A4281" s="193" t="s">
        <v>507</v>
      </c>
      <c r="B4281" s="210">
        <v>16</v>
      </c>
      <c r="C4281" s="191" t="str">
        <f>IF('IWP09'!E$595=0,"",'IWP09'!E$595)</f>
        <v>Subtotal column D.</v>
      </c>
      <c r="D4281" s="211">
        <f>'IWP09'!G$595</f>
        <v>0</v>
      </c>
      <c r="E4281" s="211">
        <f>'IWP09'!H$595</f>
        <v>0</v>
      </c>
      <c r="F4281" s="211">
        <f>'IWP09'!I$595</f>
        <v>0</v>
      </c>
      <c r="G4281" s="191" t="str">
        <f>IF('IWP09'!J$595=0,"",'IWP09'!J$595)</f>
        <v/>
      </c>
      <c r="H4281" s="211">
        <f>'IWP09'!K$595</f>
        <v>0</v>
      </c>
      <c r="I4281" s="211">
        <f>'IWP09'!L$595</f>
        <v>0</v>
      </c>
      <c r="J4281" s="212">
        <f>'IWP09'!M$595</f>
        <v>0</v>
      </c>
      <c r="K4281" s="106"/>
      <c r="L4281" s="106"/>
      <c r="M4281" s="129"/>
    </row>
    <row r="4282" spans="1:13" s="146" customFormat="1">
      <c r="A4282" s="193" t="s">
        <v>507</v>
      </c>
      <c r="B4282" s="210">
        <v>16</v>
      </c>
      <c r="C4282" s="191" t="str">
        <f>IF('IWP09'!E$596=0,"",'IWP09'!E$596)</f>
        <v>Unverified/Undocumented (Subtotal D - C)</v>
      </c>
      <c r="D4282" s="211">
        <f>'IWP09'!G$596</f>
        <v>0</v>
      </c>
      <c r="E4282" s="211">
        <f>'IWP09'!H$596</f>
        <v>0</v>
      </c>
      <c r="F4282" s="211">
        <f>'IWP09'!I$596</f>
        <v>0</v>
      </c>
      <c r="G4282" s="191" t="str">
        <f>IF('IWP09'!J$596=0,"",'IWP09'!J$596)</f>
        <v/>
      </c>
      <c r="H4282" s="211">
        <f>'IWP09'!K$596</f>
        <v>0</v>
      </c>
      <c r="I4282" s="211">
        <f>'IWP09'!L$596</f>
        <v>0</v>
      </c>
      <c r="J4282" s="212">
        <f>'IWP09'!M$596</f>
        <v>0</v>
      </c>
      <c r="K4282" s="106"/>
      <c r="L4282" s="106"/>
      <c r="M4282" s="129"/>
    </row>
    <row r="4283" spans="1:13" s="146" customFormat="1">
      <c r="A4283" s="193" t="s">
        <v>507</v>
      </c>
      <c r="B4283" s="210">
        <v>16</v>
      </c>
      <c r="C4283" s="191" t="str">
        <f>IF('IWP09'!E$597=0,"",'IWP09'!E$597)</f>
        <v>J. Billing Period Total</v>
      </c>
      <c r="D4283" s="211">
        <f>'IWP09'!G$597</f>
        <v>0</v>
      </c>
      <c r="E4283" s="211">
        <f>'IWP09'!H$597</f>
        <v>0</v>
      </c>
      <c r="F4283" s="211">
        <f>'IWP09'!I$597</f>
        <v>0</v>
      </c>
      <c r="G4283" s="191" t="str">
        <f>IF('IWP09'!J$597=0,"",'IWP09'!J$597)</f>
        <v/>
      </c>
      <c r="H4283" s="211">
        <f>'IWP09'!K$597</f>
        <v>0</v>
      </c>
      <c r="I4283" s="211">
        <f>'IWP09'!L$597</f>
        <v>0</v>
      </c>
      <c r="J4283" s="212">
        <f>'IWP09'!M$597</f>
        <v>0</v>
      </c>
      <c r="K4283" s="106"/>
      <c r="L4283" s="106"/>
      <c r="M4283" s="129"/>
    </row>
    <row r="4284" spans="1:13" s="146" customFormat="1">
      <c r="A4284" s="193" t="s">
        <v>507</v>
      </c>
      <c r="B4284" s="210">
        <v>16</v>
      </c>
      <c r="C4284" s="191" t="str">
        <f>IF('IWP09'!E$598=0,"",'IWP09'!E$598)</f>
        <v>D.</v>
      </c>
      <c r="D4284" s="211">
        <f>'IWP09'!G$598</f>
        <v>0</v>
      </c>
      <c r="E4284" s="211" t="str">
        <f>'IWP09'!H$598</f>
        <v>E.</v>
      </c>
      <c r="F4284" s="211" t="str">
        <f>'IWP09'!I$598</f>
        <v>F.</v>
      </c>
      <c r="G4284" s="191" t="str">
        <f>IF('IWP09'!J$598=0,"",'IWP09'!J$598)</f>
        <v>G.</v>
      </c>
      <c r="H4284" s="211">
        <f>'IWP09'!K$598</f>
        <v>0</v>
      </c>
      <c r="I4284" s="211" t="str">
        <f>'IWP09'!L$598</f>
        <v>H.</v>
      </c>
      <c r="J4284" s="212" t="str">
        <f>'IWP09'!M$598</f>
        <v>I.</v>
      </c>
      <c r="K4284" s="106"/>
      <c r="L4284" s="106"/>
      <c r="M4284" s="129"/>
    </row>
    <row r="4285" spans="1:13" s="146" customFormat="1">
      <c r="A4285" s="193" t="s">
        <v>507</v>
      </c>
      <c r="B4285" s="210">
        <v>16</v>
      </c>
      <c r="C4285" s="191" t="str">
        <f>IF('IWP09'!E$599=0,"",'IWP09'!E$599)</f>
        <v xml:space="preserve">Items/Services Related to Billing Period </v>
      </c>
      <c r="D4285" s="211">
        <f>'IWP09'!G$599</f>
        <v>0</v>
      </c>
      <c r="E4285" s="211" t="str">
        <f>'IWP09'!H$599</f>
        <v xml:space="preserve">Item/
Service Verified Amounts
</v>
      </c>
      <c r="F4285" s="211" t="str">
        <f>'IWP09'!I$599</f>
        <v>Amount Due to DADS (E. - D.)</v>
      </c>
      <c r="G4285" s="191" t="str">
        <f>IF('IWP09'!J$599=0,"",'IWP09'!J$599)</f>
        <v>Amount Reimbursed to 
Employee(s)/Employer</v>
      </c>
      <c r="H4285" s="211">
        <f>'IWP09'!K$599</f>
        <v>0</v>
      </c>
      <c r="I4285" s="211" t="str">
        <f>'IWP09'!L$599</f>
        <v>Amount Due to Employee(s) (G. - E.)</v>
      </c>
      <c r="J4285" s="212" t="str">
        <f>'IWP09'!M$599</f>
        <v>Amount Due to Employer (G. - E.)</v>
      </c>
      <c r="K4285" s="106"/>
      <c r="L4285" s="106"/>
      <c r="M4285" s="129"/>
    </row>
    <row r="4286" spans="1:13" s="146" customFormat="1">
      <c r="A4286" s="193" t="s">
        <v>507</v>
      </c>
      <c r="B4286" s="210">
        <v>16</v>
      </c>
      <c r="C4286" s="191" t="str">
        <f>IF('IWP09'!E$600=0,"",'IWP09'!E$600)</f>
        <v>Item/Service</v>
      </c>
      <c r="D4286" s="211" t="str">
        <f>'IWP09'!G$600</f>
        <v>Itemized Amount Paid by DADS</v>
      </c>
      <c r="E4286" s="211">
        <f>'IWP09'!H$600</f>
        <v>0</v>
      </c>
      <c r="F4286" s="211">
        <f>'IWP09'!I$600</f>
        <v>0</v>
      </c>
      <c r="G4286" s="191" t="str">
        <f>IF('IWP09'!J$600=0,"",'IWP09'!J$600)</f>
        <v/>
      </c>
      <c r="H4286" s="211">
        <f>'IWP09'!K$600</f>
        <v>0</v>
      </c>
      <c r="I4286" s="211">
        <f>'IWP09'!L$600</f>
        <v>0</v>
      </c>
      <c r="J4286" s="212">
        <f>'IWP09'!M$600</f>
        <v>0</v>
      </c>
      <c r="K4286" s="106"/>
      <c r="L4286" s="106"/>
      <c r="M4286" s="129"/>
    </row>
    <row r="4287" spans="1:13" s="146" customFormat="1">
      <c r="A4287" s="193" t="s">
        <v>507</v>
      </c>
      <c r="B4287" s="210">
        <v>16</v>
      </c>
      <c r="C4287" s="191" t="str">
        <f>IF('IWP09'!E$601=0,"",'IWP09'!E$601)</f>
        <v/>
      </c>
      <c r="D4287" s="211">
        <f>'IWP09'!G$601</f>
        <v>0</v>
      </c>
      <c r="E4287" s="211">
        <f>'IWP09'!H$601</f>
        <v>0</v>
      </c>
      <c r="F4287" s="211">
        <f>'IWP09'!I$601</f>
        <v>0</v>
      </c>
      <c r="G4287" s="191" t="str">
        <f>IF('IWP09'!J$601=0,"",'IWP09'!J$601)</f>
        <v/>
      </c>
      <c r="H4287" s="211">
        <f>'IWP09'!K$601</f>
        <v>0</v>
      </c>
      <c r="I4287" s="211">
        <f>'IWP09'!L$601</f>
        <v>0</v>
      </c>
      <c r="J4287" s="212">
        <f>'IWP09'!M$601</f>
        <v>0</v>
      </c>
      <c r="K4287" s="106"/>
      <c r="L4287" s="106"/>
      <c r="M4287" s="129"/>
    </row>
    <row r="4288" spans="1:13" s="146" customFormat="1">
      <c r="A4288" s="193" t="s">
        <v>507</v>
      </c>
      <c r="B4288" s="210">
        <v>16</v>
      </c>
      <c r="C4288" s="191" t="str">
        <f>IF('IWP09'!E$602=0,"",'IWP09'!E$602)</f>
        <v/>
      </c>
      <c r="D4288" s="211">
        <f>'IWP09'!G$602</f>
        <v>0</v>
      </c>
      <c r="E4288" s="211">
        <f>'IWP09'!H$602</f>
        <v>0</v>
      </c>
      <c r="F4288" s="211">
        <f>'IWP09'!I$602</f>
        <v>0</v>
      </c>
      <c r="G4288" s="191" t="str">
        <f>IF('IWP09'!J$602=0,"",'IWP09'!J$602)</f>
        <v/>
      </c>
      <c r="H4288" s="211">
        <f>'IWP09'!K$602</f>
        <v>0</v>
      </c>
      <c r="I4288" s="211">
        <f>'IWP09'!L$602</f>
        <v>0</v>
      </c>
      <c r="J4288" s="212">
        <f>'IWP09'!M$602</f>
        <v>0</v>
      </c>
      <c r="K4288" s="106"/>
      <c r="L4288" s="106"/>
      <c r="M4288" s="129"/>
    </row>
    <row r="4289" spans="1:13" s="146" customFormat="1">
      <c r="A4289" s="193" t="s">
        <v>507</v>
      </c>
      <c r="B4289" s="210">
        <v>16</v>
      </c>
      <c r="C4289" s="191" t="str">
        <f>IF('IWP09'!E$603=0,"",'IWP09'!E$603)</f>
        <v/>
      </c>
      <c r="D4289" s="211">
        <f>'IWP09'!G$603</f>
        <v>0</v>
      </c>
      <c r="E4289" s="211">
        <f>'IWP09'!H$603</f>
        <v>0</v>
      </c>
      <c r="F4289" s="211">
        <f>'IWP09'!I$603</f>
        <v>0</v>
      </c>
      <c r="G4289" s="191" t="str">
        <f>IF('IWP09'!J$603=0,"",'IWP09'!J$603)</f>
        <v/>
      </c>
      <c r="H4289" s="211">
        <f>'IWP09'!K$603</f>
        <v>0</v>
      </c>
      <c r="I4289" s="211">
        <f>'IWP09'!L$603</f>
        <v>0</v>
      </c>
      <c r="J4289" s="212">
        <f>'IWP09'!M$603</f>
        <v>0</v>
      </c>
      <c r="K4289" s="106"/>
      <c r="L4289" s="106"/>
      <c r="M4289" s="129"/>
    </row>
    <row r="4290" spans="1:13" s="146" customFormat="1">
      <c r="A4290" s="193" t="s">
        <v>507</v>
      </c>
      <c r="B4290" s="210">
        <v>16</v>
      </c>
      <c r="C4290" s="191" t="str">
        <f>IF('IWP09'!E$604=0,"",'IWP09'!E$604)</f>
        <v/>
      </c>
      <c r="D4290" s="211">
        <f>'IWP09'!G$604</f>
        <v>0</v>
      </c>
      <c r="E4290" s="211">
        <f>'IWP09'!H$604</f>
        <v>0</v>
      </c>
      <c r="F4290" s="211">
        <f>'IWP09'!I$604</f>
        <v>0</v>
      </c>
      <c r="G4290" s="191" t="str">
        <f>IF('IWP09'!J$604=0,"",'IWP09'!J$604)</f>
        <v/>
      </c>
      <c r="H4290" s="211">
        <f>'IWP09'!K$604</f>
        <v>0</v>
      </c>
      <c r="I4290" s="211">
        <f>'IWP09'!L$604</f>
        <v>0</v>
      </c>
      <c r="J4290" s="212">
        <f>'IWP09'!M$604</f>
        <v>0</v>
      </c>
      <c r="K4290" s="106"/>
      <c r="L4290" s="106"/>
      <c r="M4290" s="129"/>
    </row>
    <row r="4291" spans="1:13" s="146" customFormat="1">
      <c r="A4291" s="193" t="s">
        <v>507</v>
      </c>
      <c r="B4291" s="210">
        <v>17</v>
      </c>
      <c r="C4291" s="191" t="str">
        <f>IF('IWP09'!E$611=0,"",'IWP09'!E$611)</f>
        <v>Subtotal column D.</v>
      </c>
      <c r="D4291" s="211">
        <f>'IWP09'!G$611</f>
        <v>0</v>
      </c>
      <c r="E4291" s="211">
        <f>'IWP09'!H$611</f>
        <v>0</v>
      </c>
      <c r="F4291" s="211">
        <f>'IWP09'!I$611</f>
        <v>0</v>
      </c>
      <c r="G4291" s="191" t="str">
        <f>IF('IWP09'!J$611=0,"",'IWP09'!J$611)</f>
        <v/>
      </c>
      <c r="H4291" s="211">
        <f>'IWP09'!K$611</f>
        <v>0</v>
      </c>
      <c r="I4291" s="211">
        <f>'IWP09'!L$611</f>
        <v>0</v>
      </c>
      <c r="J4291" s="212">
        <f>'IWP09'!M$611</f>
        <v>0</v>
      </c>
      <c r="K4291" s="106"/>
      <c r="L4291" s="106"/>
      <c r="M4291" s="129"/>
    </row>
    <row r="4292" spans="1:13" s="146" customFormat="1">
      <c r="A4292" s="193" t="s">
        <v>507</v>
      </c>
      <c r="B4292" s="210">
        <v>17</v>
      </c>
      <c r="C4292" s="191" t="str">
        <f>IF('IWP09'!E$612=0,"",'IWP09'!E$612)</f>
        <v>Unverified/Undocumented (Subtotal D - C)</v>
      </c>
      <c r="D4292" s="211">
        <f>'IWP09'!G$612</f>
        <v>0</v>
      </c>
      <c r="E4292" s="211">
        <f>'IWP09'!H$612</f>
        <v>0</v>
      </c>
      <c r="F4292" s="211">
        <f>'IWP09'!I$612</f>
        <v>0</v>
      </c>
      <c r="G4292" s="191" t="str">
        <f>IF('IWP09'!J$612=0,"",'IWP09'!J$612)</f>
        <v/>
      </c>
      <c r="H4292" s="211">
        <f>'IWP09'!K$612</f>
        <v>0</v>
      </c>
      <c r="I4292" s="211">
        <f>'IWP09'!L$612</f>
        <v>0</v>
      </c>
      <c r="J4292" s="212">
        <f>'IWP09'!M$612</f>
        <v>0</v>
      </c>
      <c r="K4292" s="106"/>
      <c r="L4292" s="106"/>
      <c r="M4292" s="129"/>
    </row>
    <row r="4293" spans="1:13" s="146" customFormat="1">
      <c r="A4293" s="193" t="s">
        <v>507</v>
      </c>
      <c r="B4293" s="210">
        <v>17</v>
      </c>
      <c r="C4293" s="191" t="str">
        <f>IF('IWP09'!E$613=0,"",'IWP09'!E$613)</f>
        <v>J. Billing Period Total</v>
      </c>
      <c r="D4293" s="211">
        <f>'IWP09'!G$613</f>
        <v>0</v>
      </c>
      <c r="E4293" s="211">
        <f>'IWP09'!H$613</f>
        <v>0</v>
      </c>
      <c r="F4293" s="211">
        <f>'IWP09'!I$613</f>
        <v>0</v>
      </c>
      <c r="G4293" s="191" t="str">
        <f>IF('IWP09'!J$613=0,"",'IWP09'!J$613)</f>
        <v/>
      </c>
      <c r="H4293" s="211">
        <f>'IWP09'!K$613</f>
        <v>0</v>
      </c>
      <c r="I4293" s="211">
        <f>'IWP09'!L$613</f>
        <v>0</v>
      </c>
      <c r="J4293" s="212">
        <f>'IWP09'!M$613</f>
        <v>0</v>
      </c>
      <c r="K4293" s="106"/>
      <c r="L4293" s="106"/>
      <c r="M4293" s="129"/>
    </row>
    <row r="4294" spans="1:13" s="146" customFormat="1">
      <c r="A4294" s="193" t="s">
        <v>507</v>
      </c>
      <c r="B4294" s="210">
        <v>17</v>
      </c>
      <c r="C4294" s="191" t="str">
        <f>IF('IWP09'!E$614=0,"",'IWP09'!E$614)</f>
        <v/>
      </c>
      <c r="D4294" s="211">
        <f>'IWP09'!G$614</f>
        <v>0</v>
      </c>
      <c r="E4294" s="211">
        <f>'IWP09'!H$614</f>
        <v>0</v>
      </c>
      <c r="F4294" s="211">
        <f>'IWP09'!I$614</f>
        <v>0</v>
      </c>
      <c r="G4294" s="191" t="str">
        <f>IF('IWP09'!J$614=0,"",'IWP09'!J$614)</f>
        <v/>
      </c>
      <c r="H4294" s="211">
        <f>'IWP09'!K$614</f>
        <v>0</v>
      </c>
      <c r="I4294" s="211">
        <f>'IWP09'!L$614</f>
        <v>0</v>
      </c>
      <c r="J4294" s="212">
        <f>'IWP09'!M$614</f>
        <v>0</v>
      </c>
      <c r="K4294" s="106"/>
      <c r="L4294" s="106"/>
      <c r="M4294" s="129"/>
    </row>
    <row r="4295" spans="1:13" s="146" customFormat="1">
      <c r="A4295" s="193" t="s">
        <v>507</v>
      </c>
      <c r="B4295" s="210">
        <v>17</v>
      </c>
      <c r="C4295" s="191" t="str">
        <f>IF('IWP09'!E$615=0,"",'IWP09'!E$615)</f>
        <v/>
      </c>
      <c r="D4295" s="211">
        <f>'IWP09'!G$615</f>
        <v>0</v>
      </c>
      <c r="E4295" s="211">
        <f>'IWP09'!H$615</f>
        <v>0</v>
      </c>
      <c r="F4295" s="211">
        <f>'IWP09'!I$615</f>
        <v>0</v>
      </c>
      <c r="G4295" s="191" t="str">
        <f>IF('IWP09'!J$615=0,"",'IWP09'!J$615)</f>
        <v/>
      </c>
      <c r="H4295" s="211">
        <f>'IWP09'!K$615</f>
        <v>0</v>
      </c>
      <c r="I4295" s="211">
        <f>'IWP09'!L$615</f>
        <v>0</v>
      </c>
      <c r="J4295" s="212">
        <f>'IWP09'!M$615</f>
        <v>0</v>
      </c>
      <c r="K4295" s="106"/>
      <c r="L4295" s="106"/>
      <c r="M4295" s="129"/>
    </row>
    <row r="4296" spans="1:13" s="146" customFormat="1">
      <c r="A4296" s="193" t="s">
        <v>507</v>
      </c>
      <c r="B4296" s="210">
        <v>17</v>
      </c>
      <c r="C4296" s="191" t="str">
        <f>IF('IWP09'!E$616=0,"",'IWP09'!E$616)</f>
        <v/>
      </c>
      <c r="D4296" s="211">
        <f>'IWP09'!G$616</f>
        <v>0</v>
      </c>
      <c r="E4296" s="211">
        <f>'IWP09'!H$616</f>
        <v>0</v>
      </c>
      <c r="F4296" s="211">
        <f>'IWP09'!I$616</f>
        <v>0</v>
      </c>
      <c r="G4296" s="191" t="str">
        <f>IF('IWP09'!J$616=0,"",'IWP09'!J$616)</f>
        <v/>
      </c>
      <c r="H4296" s="211">
        <f>'IWP09'!K$616</f>
        <v>0</v>
      </c>
      <c r="I4296" s="211">
        <f>'IWP09'!L$616</f>
        <v>0</v>
      </c>
      <c r="J4296" s="212">
        <f>'IWP09'!M$616</f>
        <v>0</v>
      </c>
      <c r="K4296" s="106"/>
      <c r="L4296" s="106"/>
      <c r="M4296" s="129"/>
    </row>
    <row r="4297" spans="1:13" s="146" customFormat="1">
      <c r="A4297" s="193" t="s">
        <v>507</v>
      </c>
      <c r="B4297" s="210">
        <v>17</v>
      </c>
      <c r="C4297" s="191" t="str">
        <f>IF('IWP09'!E$617=0,"",'IWP09'!E$617)</f>
        <v/>
      </c>
      <c r="D4297" s="211">
        <f>'IWP09'!G$617</f>
        <v>0</v>
      </c>
      <c r="E4297" s="211">
        <f>'IWP09'!H$617</f>
        <v>0</v>
      </c>
      <c r="F4297" s="211">
        <f>'IWP09'!I$617</f>
        <v>0</v>
      </c>
      <c r="G4297" s="191" t="str">
        <f>IF('IWP09'!J$617=0,"",'IWP09'!J$617)</f>
        <v/>
      </c>
      <c r="H4297" s="211">
        <f>'IWP09'!K$617</f>
        <v>0</v>
      </c>
      <c r="I4297" s="211">
        <f>'IWP09'!L$617</f>
        <v>0</v>
      </c>
      <c r="J4297" s="212">
        <f>'IWP09'!M$617</f>
        <v>0</v>
      </c>
      <c r="K4297" s="106"/>
      <c r="L4297" s="106"/>
      <c r="M4297" s="129"/>
    </row>
    <row r="4298" spans="1:13" s="146" customFormat="1">
      <c r="A4298" s="193" t="s">
        <v>507</v>
      </c>
      <c r="B4298" s="210">
        <v>17</v>
      </c>
      <c r="C4298" s="191" t="str">
        <f>IF('IWP09'!E$618=0,"",'IWP09'!E$618)</f>
        <v/>
      </c>
      <c r="D4298" s="211">
        <f>'IWP09'!G$618</f>
        <v>0</v>
      </c>
      <c r="E4298" s="211">
        <f>'IWP09'!H$618</f>
        <v>0</v>
      </c>
      <c r="F4298" s="211">
        <f>'IWP09'!I$618</f>
        <v>0</v>
      </c>
      <c r="G4298" s="191" t="str">
        <f>IF('IWP09'!J$618=0,"",'IWP09'!J$618)</f>
        <v/>
      </c>
      <c r="H4298" s="211">
        <f>'IWP09'!K$618</f>
        <v>0</v>
      </c>
      <c r="I4298" s="211">
        <f>'IWP09'!L$618</f>
        <v>0</v>
      </c>
      <c r="J4298" s="212">
        <f>'IWP09'!M$618</f>
        <v>0</v>
      </c>
      <c r="K4298" s="106"/>
      <c r="L4298" s="106"/>
      <c r="M4298" s="129"/>
    </row>
    <row r="4299" spans="1:13" s="146" customFormat="1">
      <c r="A4299" s="193" t="s">
        <v>507</v>
      </c>
      <c r="B4299" s="210">
        <v>17</v>
      </c>
      <c r="C4299" s="191" t="str">
        <f>IF('IWP09'!E$619=0,"",'IWP09'!E$619)</f>
        <v/>
      </c>
      <c r="D4299" s="211">
        <f>'IWP09'!G$619</f>
        <v>0</v>
      </c>
      <c r="E4299" s="211">
        <f>'IWP09'!H$619</f>
        <v>0</v>
      </c>
      <c r="F4299" s="211">
        <f>'IWP09'!I$619</f>
        <v>0</v>
      </c>
      <c r="G4299" s="191" t="str">
        <f>IF('IWP09'!J$619=0,"",'IWP09'!J$619)</f>
        <v/>
      </c>
      <c r="H4299" s="211">
        <f>'IWP09'!K$619</f>
        <v>0</v>
      </c>
      <c r="I4299" s="211">
        <f>'IWP09'!L$619</f>
        <v>0</v>
      </c>
      <c r="J4299" s="212">
        <f>'IWP09'!M$619</f>
        <v>0</v>
      </c>
      <c r="K4299" s="106"/>
      <c r="L4299" s="106"/>
      <c r="M4299" s="129"/>
    </row>
    <row r="4300" spans="1:13" s="146" customFormat="1">
      <c r="A4300" s="193" t="s">
        <v>507</v>
      </c>
      <c r="B4300" s="210">
        <v>17</v>
      </c>
      <c r="C4300" s="191" t="str">
        <f>IF('IWP09'!E$620=0,"",'IWP09'!E$620)</f>
        <v/>
      </c>
      <c r="D4300" s="211">
        <f>'IWP09'!G$620</f>
        <v>0</v>
      </c>
      <c r="E4300" s="211">
        <f>'IWP09'!H$620</f>
        <v>0</v>
      </c>
      <c r="F4300" s="211">
        <f>'IWP09'!I$620</f>
        <v>0</v>
      </c>
      <c r="G4300" s="191" t="str">
        <f>IF('IWP09'!J$620=0,"",'IWP09'!J$620)</f>
        <v/>
      </c>
      <c r="H4300" s="211">
        <f>'IWP09'!K$620</f>
        <v>0</v>
      </c>
      <c r="I4300" s="211">
        <f>'IWP09'!L$620</f>
        <v>0</v>
      </c>
      <c r="J4300" s="212">
        <f>'IWP09'!M$620</f>
        <v>0</v>
      </c>
      <c r="K4300" s="106"/>
      <c r="L4300" s="106"/>
      <c r="M4300" s="129"/>
    </row>
    <row r="4301" spans="1:13" s="146" customFormat="1">
      <c r="A4301" s="193" t="s">
        <v>507</v>
      </c>
      <c r="B4301" s="210">
        <v>18</v>
      </c>
      <c r="C4301" s="191" t="str">
        <f>IF('IWP09'!E$627=0,"",'IWP09'!E$627)</f>
        <v/>
      </c>
      <c r="D4301" s="211">
        <f>'IWP09'!G$627</f>
        <v>0</v>
      </c>
      <c r="E4301" s="211">
        <f>'IWP09'!H$627</f>
        <v>0</v>
      </c>
      <c r="F4301" s="211">
        <f>'IWP09'!I$627</f>
        <v>0</v>
      </c>
      <c r="G4301" s="191" t="str">
        <f>IF('IWP09'!J$627=0,"",'IWP09'!J$627)</f>
        <v/>
      </c>
      <c r="H4301" s="211">
        <f>'IWP09'!K$627</f>
        <v>0</v>
      </c>
      <c r="I4301" s="211">
        <f>'IWP09'!L$627</f>
        <v>0</v>
      </c>
      <c r="J4301" s="212">
        <f>'IWP09'!M$627</f>
        <v>0</v>
      </c>
      <c r="K4301" s="106"/>
      <c r="L4301" s="106"/>
      <c r="M4301" s="129"/>
    </row>
    <row r="4302" spans="1:13" s="146" customFormat="1">
      <c r="A4302" s="193" t="s">
        <v>507</v>
      </c>
      <c r="B4302" s="210">
        <v>18</v>
      </c>
      <c r="C4302" s="191" t="str">
        <f>IF('IWP09'!E$628=0,"",'IWP09'!E$628)</f>
        <v/>
      </c>
      <c r="D4302" s="211">
        <f>'IWP09'!G$628</f>
        <v>0</v>
      </c>
      <c r="E4302" s="211">
        <f>'IWP09'!H$628</f>
        <v>0</v>
      </c>
      <c r="F4302" s="211">
        <f>'IWP09'!I$628</f>
        <v>0</v>
      </c>
      <c r="G4302" s="191" t="str">
        <f>IF('IWP09'!J$628=0,"",'IWP09'!J$628)</f>
        <v/>
      </c>
      <c r="H4302" s="211">
        <f>'IWP09'!K$628</f>
        <v>0</v>
      </c>
      <c r="I4302" s="211">
        <f>'IWP09'!L$628</f>
        <v>0</v>
      </c>
      <c r="J4302" s="212">
        <f>'IWP09'!M$628</f>
        <v>0</v>
      </c>
      <c r="K4302" s="106"/>
      <c r="L4302" s="106"/>
      <c r="M4302" s="129"/>
    </row>
    <row r="4303" spans="1:13" s="146" customFormat="1">
      <c r="A4303" s="193" t="s">
        <v>507</v>
      </c>
      <c r="B4303" s="210">
        <v>18</v>
      </c>
      <c r="C4303" s="191" t="str">
        <f>IF('IWP09'!E$629=0,"",'IWP09'!E$629)</f>
        <v/>
      </c>
      <c r="D4303" s="211">
        <f>'IWP09'!G$629</f>
        <v>0</v>
      </c>
      <c r="E4303" s="211">
        <f>'IWP09'!H$629</f>
        <v>0</v>
      </c>
      <c r="F4303" s="211">
        <f>'IWP09'!I$629</f>
        <v>0</v>
      </c>
      <c r="G4303" s="191" t="str">
        <f>IF('IWP09'!J$629=0,"",'IWP09'!J$629)</f>
        <v/>
      </c>
      <c r="H4303" s="211">
        <f>'IWP09'!K$629</f>
        <v>0</v>
      </c>
      <c r="I4303" s="211">
        <f>'IWP09'!L$629</f>
        <v>0</v>
      </c>
      <c r="J4303" s="212">
        <f>'IWP09'!M$629</f>
        <v>0</v>
      </c>
      <c r="K4303" s="106"/>
      <c r="L4303" s="106"/>
      <c r="M4303" s="129"/>
    </row>
    <row r="4304" spans="1:13" s="146" customFormat="1">
      <c r="A4304" s="193" t="s">
        <v>507</v>
      </c>
      <c r="B4304" s="210">
        <v>18</v>
      </c>
      <c r="C4304" s="191" t="str">
        <f>IF('IWP09'!E$630=0,"",'IWP09'!E$630)</f>
        <v/>
      </c>
      <c r="D4304" s="211">
        <f>'IWP09'!G$630</f>
        <v>0</v>
      </c>
      <c r="E4304" s="211">
        <f>'IWP09'!H$630</f>
        <v>0</v>
      </c>
      <c r="F4304" s="211">
        <f>'IWP09'!I$630</f>
        <v>0</v>
      </c>
      <c r="G4304" s="191" t="str">
        <f>IF('IWP09'!J$630=0,"",'IWP09'!J$630)</f>
        <v/>
      </c>
      <c r="H4304" s="211">
        <f>'IWP09'!K$630</f>
        <v>0</v>
      </c>
      <c r="I4304" s="211">
        <f>'IWP09'!L$630</f>
        <v>0</v>
      </c>
      <c r="J4304" s="212">
        <f>'IWP09'!M$630</f>
        <v>0</v>
      </c>
      <c r="K4304" s="106"/>
      <c r="L4304" s="106"/>
      <c r="M4304" s="129"/>
    </row>
    <row r="4305" spans="1:13" s="146" customFormat="1">
      <c r="A4305" s="193" t="s">
        <v>507</v>
      </c>
      <c r="B4305" s="210">
        <v>18</v>
      </c>
      <c r="C4305" s="191" t="str">
        <f>IF('IWP09'!E$631=0,"",'IWP09'!E$631)</f>
        <v/>
      </c>
      <c r="D4305" s="211">
        <f>'IWP09'!G$631</f>
        <v>0</v>
      </c>
      <c r="E4305" s="211">
        <f>'IWP09'!H$631</f>
        <v>0</v>
      </c>
      <c r="F4305" s="211">
        <f>'IWP09'!I$631</f>
        <v>0</v>
      </c>
      <c r="G4305" s="191" t="str">
        <f>IF('IWP09'!J$631=0,"",'IWP09'!J$631)</f>
        <v/>
      </c>
      <c r="H4305" s="211">
        <f>'IWP09'!K$631</f>
        <v>0</v>
      </c>
      <c r="I4305" s="211">
        <f>'IWP09'!L$631</f>
        <v>0</v>
      </c>
      <c r="J4305" s="212">
        <f>'IWP09'!M$631</f>
        <v>0</v>
      </c>
      <c r="K4305" s="106"/>
      <c r="L4305" s="106"/>
      <c r="M4305" s="129"/>
    </row>
    <row r="4306" spans="1:13" s="146" customFormat="1">
      <c r="A4306" s="193" t="s">
        <v>507</v>
      </c>
      <c r="B4306" s="210">
        <v>18</v>
      </c>
      <c r="C4306" s="191" t="str">
        <f>IF('IWP09'!E$632=0,"",'IWP09'!E$632)</f>
        <v/>
      </c>
      <c r="D4306" s="211">
        <f>'IWP09'!G$632</f>
        <v>0</v>
      </c>
      <c r="E4306" s="211">
        <f>'IWP09'!H$632</f>
        <v>0</v>
      </c>
      <c r="F4306" s="211">
        <f>'IWP09'!I$632</f>
        <v>0</v>
      </c>
      <c r="G4306" s="191" t="str">
        <f>IF('IWP09'!J$632=0,"",'IWP09'!J$632)</f>
        <v/>
      </c>
      <c r="H4306" s="211">
        <f>'IWP09'!K$632</f>
        <v>0</v>
      </c>
      <c r="I4306" s="211">
        <f>'IWP09'!L$632</f>
        <v>0</v>
      </c>
      <c r="J4306" s="212">
        <f>'IWP09'!M$632</f>
        <v>0</v>
      </c>
      <c r="K4306" s="106"/>
      <c r="L4306" s="106"/>
      <c r="M4306" s="129"/>
    </row>
    <row r="4307" spans="1:13" s="146" customFormat="1">
      <c r="A4307" s="193" t="s">
        <v>507</v>
      </c>
      <c r="B4307" s="210">
        <v>18</v>
      </c>
      <c r="C4307" s="191" t="str">
        <f>IF('IWP09'!E$633=0,"",'IWP09'!E$633)</f>
        <v/>
      </c>
      <c r="D4307" s="211">
        <f>'IWP09'!G$633</f>
        <v>0</v>
      </c>
      <c r="E4307" s="211">
        <f>'IWP09'!H$633</f>
        <v>0</v>
      </c>
      <c r="F4307" s="211">
        <f>'IWP09'!I$633</f>
        <v>0</v>
      </c>
      <c r="G4307" s="191" t="str">
        <f>IF('IWP09'!J$633=0,"",'IWP09'!J$633)</f>
        <v/>
      </c>
      <c r="H4307" s="211">
        <f>'IWP09'!K$633</f>
        <v>0</v>
      </c>
      <c r="I4307" s="211">
        <f>'IWP09'!L$633</f>
        <v>0</v>
      </c>
      <c r="J4307" s="212">
        <f>'IWP09'!M$633</f>
        <v>0</v>
      </c>
      <c r="K4307" s="106"/>
      <c r="L4307" s="106"/>
      <c r="M4307" s="129"/>
    </row>
    <row r="4308" spans="1:13" s="146" customFormat="1">
      <c r="A4308" s="193" t="s">
        <v>507</v>
      </c>
      <c r="B4308" s="210">
        <v>18</v>
      </c>
      <c r="C4308" s="191" t="str">
        <f>IF('IWP09'!E$634=0,"",'IWP09'!E$634)</f>
        <v/>
      </c>
      <c r="D4308" s="211">
        <f>'IWP09'!G$634</f>
        <v>0</v>
      </c>
      <c r="E4308" s="211">
        <f>'IWP09'!H$634</f>
        <v>0</v>
      </c>
      <c r="F4308" s="211">
        <f>'IWP09'!I$634</f>
        <v>0</v>
      </c>
      <c r="G4308" s="191" t="str">
        <f>IF('IWP09'!J$634=0,"",'IWP09'!J$634)</f>
        <v/>
      </c>
      <c r="H4308" s="211">
        <f>'IWP09'!K$634</f>
        <v>0</v>
      </c>
      <c r="I4308" s="211">
        <f>'IWP09'!L$634</f>
        <v>0</v>
      </c>
      <c r="J4308" s="212">
        <f>'IWP09'!M$634</f>
        <v>0</v>
      </c>
      <c r="K4308" s="106"/>
      <c r="L4308" s="106"/>
      <c r="M4308" s="129"/>
    </row>
    <row r="4309" spans="1:13" s="146" customFormat="1">
      <c r="A4309" s="193" t="s">
        <v>507</v>
      </c>
      <c r="B4309" s="210">
        <v>18</v>
      </c>
      <c r="C4309" s="191" t="str">
        <f>IF('IWP09'!E$635=0,"",'IWP09'!E$635)</f>
        <v/>
      </c>
      <c r="D4309" s="211">
        <f>'IWP09'!G$635</f>
        <v>0</v>
      </c>
      <c r="E4309" s="211">
        <f>'IWP09'!H$635</f>
        <v>0</v>
      </c>
      <c r="F4309" s="211">
        <f>'IWP09'!I$635</f>
        <v>0</v>
      </c>
      <c r="G4309" s="191" t="str">
        <f>IF('IWP09'!J$635=0,"",'IWP09'!J$635)</f>
        <v/>
      </c>
      <c r="H4309" s="211">
        <f>'IWP09'!K$635</f>
        <v>0</v>
      </c>
      <c r="I4309" s="211">
        <f>'IWP09'!L$635</f>
        <v>0</v>
      </c>
      <c r="J4309" s="212">
        <f>'IWP09'!M$635</f>
        <v>0</v>
      </c>
      <c r="K4309" s="106"/>
      <c r="L4309" s="106"/>
      <c r="M4309" s="129"/>
    </row>
    <row r="4310" spans="1:13" s="146" customFormat="1">
      <c r="A4310" s="193" t="s">
        <v>507</v>
      </c>
      <c r="B4310" s="210">
        <v>18</v>
      </c>
      <c r="C4310" s="191" t="str">
        <f>IF('IWP09'!E$636=0,"",'IWP09'!E$636)</f>
        <v/>
      </c>
      <c r="D4310" s="211">
        <f>'IWP09'!G$636</f>
        <v>0</v>
      </c>
      <c r="E4310" s="211">
        <f>'IWP09'!H$636</f>
        <v>0</v>
      </c>
      <c r="F4310" s="211">
        <f>'IWP09'!I$636</f>
        <v>0</v>
      </c>
      <c r="G4310" s="191" t="str">
        <f>IF('IWP09'!J$636=0,"",'IWP09'!J$636)</f>
        <v/>
      </c>
      <c r="H4310" s="211">
        <f>'IWP09'!K$636</f>
        <v>0</v>
      </c>
      <c r="I4310" s="211">
        <f>'IWP09'!L$636</f>
        <v>0</v>
      </c>
      <c r="J4310" s="212">
        <f>'IWP09'!M$636</f>
        <v>0</v>
      </c>
      <c r="K4310" s="106"/>
      <c r="L4310" s="106"/>
      <c r="M4310" s="129"/>
    </row>
    <row r="4311" spans="1:13" s="146" customFormat="1">
      <c r="A4311" s="193" t="s">
        <v>508</v>
      </c>
      <c r="B4311" s="210">
        <v>1</v>
      </c>
      <c r="C4311" s="191" t="str">
        <f>IF('IWP10'!E$355=0,"",'IWP10'!E$355)</f>
        <v>Subtotal column D.</v>
      </c>
      <c r="D4311" s="211">
        <f>'IWP10'!G$355</f>
        <v>0</v>
      </c>
      <c r="E4311" s="211">
        <f>'IWP10'!H$355</f>
        <v>0</v>
      </c>
      <c r="F4311" s="211">
        <f>'IWP10'!I$355</f>
        <v>0</v>
      </c>
      <c r="G4311" s="191" t="str">
        <f>IF('IWP10'!J$355=0,"",'IWP10'!J$355)</f>
        <v/>
      </c>
      <c r="H4311" s="211">
        <f>'IWP10'!K$355</f>
        <v>0</v>
      </c>
      <c r="I4311" s="211">
        <f>'IWP10'!L$355</f>
        <v>0</v>
      </c>
      <c r="J4311" s="212">
        <f>'IWP10'!M$355</f>
        <v>0</v>
      </c>
      <c r="K4311" s="106"/>
      <c r="L4311" s="106"/>
      <c r="M4311" s="129"/>
    </row>
    <row r="4312" spans="1:13" s="146" customFormat="1">
      <c r="A4312" s="193" t="s">
        <v>508</v>
      </c>
      <c r="B4312" s="210">
        <v>1</v>
      </c>
      <c r="C4312" s="191" t="str">
        <f>IF('IWP10'!E$356=0,"",'IWP10'!E$356)</f>
        <v>Unverified/Undocumented (Subtotall D - C)</v>
      </c>
      <c r="D4312" s="211">
        <f>'IWP10'!G$356</f>
        <v>0</v>
      </c>
      <c r="E4312" s="211">
        <f>'IWP10'!H$356</f>
        <v>0</v>
      </c>
      <c r="F4312" s="211">
        <f>'IWP10'!I$356</f>
        <v>0</v>
      </c>
      <c r="G4312" s="191" t="str">
        <f>IF('IWP10'!J$356=0,"",'IWP10'!J$356)</f>
        <v/>
      </c>
      <c r="H4312" s="211">
        <f>'IWP10'!K$356</f>
        <v>0</v>
      </c>
      <c r="I4312" s="211">
        <f>'IWP10'!L$356</f>
        <v>0</v>
      </c>
      <c r="J4312" s="212">
        <f>'IWP10'!M$356</f>
        <v>0</v>
      </c>
      <c r="K4312" s="106"/>
      <c r="L4312" s="106"/>
      <c r="M4312" s="129"/>
    </row>
    <row r="4313" spans="1:13" s="146" customFormat="1">
      <c r="A4313" s="193" t="s">
        <v>508</v>
      </c>
      <c r="B4313" s="210">
        <v>1</v>
      </c>
      <c r="C4313" s="191" t="str">
        <f>IF('IWP10'!E$357=0,"",'IWP10'!E$357)</f>
        <v>J. Billing Period Total</v>
      </c>
      <c r="D4313" s="211">
        <f>'IWP10'!G$357</f>
        <v>0</v>
      </c>
      <c r="E4313" s="211">
        <f>'IWP10'!H$357</f>
        <v>0</v>
      </c>
      <c r="F4313" s="211">
        <f>'IWP10'!I$357</f>
        <v>0</v>
      </c>
      <c r="G4313" s="191" t="str">
        <f>IF('IWP10'!J$357=0,"",'IWP10'!J$357)</f>
        <v/>
      </c>
      <c r="H4313" s="211">
        <f>'IWP10'!K$357</f>
        <v>0</v>
      </c>
      <c r="I4313" s="211">
        <f>'IWP10'!L$357</f>
        <v>0</v>
      </c>
      <c r="J4313" s="212">
        <f>'IWP10'!M$357</f>
        <v>0</v>
      </c>
      <c r="K4313" s="106"/>
      <c r="L4313" s="106"/>
      <c r="M4313" s="129"/>
    </row>
    <row r="4314" spans="1:13" s="146" customFormat="1">
      <c r="A4314" s="193" t="s">
        <v>508</v>
      </c>
      <c r="B4314" s="210">
        <v>1</v>
      </c>
      <c r="C4314" s="191" t="str">
        <f>IF('IWP10'!E$358=0,"",'IWP10'!E$358)</f>
        <v>D.</v>
      </c>
      <c r="D4314" s="211">
        <f>'IWP10'!G$358</f>
        <v>0</v>
      </c>
      <c r="E4314" s="211" t="str">
        <f>'IWP10'!H$358</f>
        <v>E.</v>
      </c>
      <c r="F4314" s="211" t="str">
        <f>'IWP10'!I$358</f>
        <v>F.</v>
      </c>
      <c r="G4314" s="191" t="str">
        <f>IF('IWP10'!J$358=0,"",'IWP10'!J$358)</f>
        <v>G.</v>
      </c>
      <c r="H4314" s="211">
        <f>'IWP10'!K$358</f>
        <v>0</v>
      </c>
      <c r="I4314" s="211" t="str">
        <f>'IWP10'!L$358</f>
        <v>H.</v>
      </c>
      <c r="J4314" s="212" t="str">
        <f>'IWP10'!M$358</f>
        <v>I.</v>
      </c>
      <c r="K4314" s="106"/>
      <c r="L4314" s="106"/>
      <c r="M4314" s="129"/>
    </row>
    <row r="4315" spans="1:13" s="146" customFormat="1">
      <c r="A4315" s="193" t="s">
        <v>508</v>
      </c>
      <c r="B4315" s="210">
        <v>1</v>
      </c>
      <c r="C4315" s="191" t="str">
        <f>IF('IWP10'!E$359=0,"",'IWP10'!E$359)</f>
        <v xml:space="preserve">Items/Services Related to Billing Period </v>
      </c>
      <c r="D4315" s="211">
        <f>'IWP10'!G$359</f>
        <v>0</v>
      </c>
      <c r="E4315" s="211" t="str">
        <f>'IWP10'!H$359</f>
        <v xml:space="preserve">Item/
Service Verified Amounts
</v>
      </c>
      <c r="F4315" s="211" t="str">
        <f>'IWP10'!I$359</f>
        <v>Amount Due to DADS (E. - D.)</v>
      </c>
      <c r="G4315" s="191" t="str">
        <f>IF('IWP10'!J$359=0,"",'IWP10'!J$359)</f>
        <v>Amount Reimbursed to 
Employee(s)/Employer</v>
      </c>
      <c r="H4315" s="211">
        <f>'IWP10'!K$359</f>
        <v>0</v>
      </c>
      <c r="I4315" s="211" t="str">
        <f>'IWP10'!L$359</f>
        <v>Amount Due to Employee(s) (G. - E.)</v>
      </c>
      <c r="J4315" s="212" t="str">
        <f>'IWP10'!M$359</f>
        <v>Amount Due to Employer (G. - E.)</v>
      </c>
      <c r="K4315" s="106"/>
      <c r="L4315" s="106"/>
      <c r="M4315" s="129"/>
    </row>
    <row r="4316" spans="1:13" s="146" customFormat="1">
      <c r="A4316" s="193" t="s">
        <v>508</v>
      </c>
      <c r="B4316" s="210">
        <v>1</v>
      </c>
      <c r="C4316" s="191" t="str">
        <f>IF('IWP10'!E$360=0,"",'IWP10'!E$360)</f>
        <v>Item/Service</v>
      </c>
      <c r="D4316" s="211" t="str">
        <f>'IWP10'!G$360</f>
        <v>Itemized Amount Paid by DADS</v>
      </c>
      <c r="E4316" s="211">
        <f>'IWP10'!H$360</f>
        <v>0</v>
      </c>
      <c r="F4316" s="211">
        <f>'IWP10'!I$360</f>
        <v>0</v>
      </c>
      <c r="G4316" s="191" t="str">
        <f>IF('IWP10'!J$360=0,"",'IWP10'!J$360)</f>
        <v/>
      </c>
      <c r="H4316" s="211">
        <f>'IWP10'!K$360</f>
        <v>0</v>
      </c>
      <c r="I4316" s="211">
        <f>'IWP10'!L$360</f>
        <v>0</v>
      </c>
      <c r="J4316" s="212">
        <f>'IWP10'!M$360</f>
        <v>0</v>
      </c>
      <c r="K4316" s="106"/>
      <c r="L4316" s="106"/>
      <c r="M4316" s="129"/>
    </row>
    <row r="4317" spans="1:13" s="146" customFormat="1">
      <c r="A4317" s="193" t="s">
        <v>508</v>
      </c>
      <c r="B4317" s="210">
        <v>1</v>
      </c>
      <c r="C4317" s="191" t="str">
        <f>IF('IWP10'!E$361=0,"",'IWP10'!E$361)</f>
        <v/>
      </c>
      <c r="D4317" s="211">
        <f>'IWP10'!G$361</f>
        <v>0</v>
      </c>
      <c r="E4317" s="211">
        <f>'IWP10'!H$361</f>
        <v>0</v>
      </c>
      <c r="F4317" s="211">
        <f>'IWP10'!I$361</f>
        <v>0</v>
      </c>
      <c r="G4317" s="191" t="str">
        <f>IF('IWP10'!J$361=0,"",'IWP10'!J$361)</f>
        <v/>
      </c>
      <c r="H4317" s="211">
        <f>'IWP10'!K$361</f>
        <v>0</v>
      </c>
      <c r="I4317" s="211">
        <f>'IWP10'!L$361</f>
        <v>0</v>
      </c>
      <c r="J4317" s="212">
        <f>'IWP10'!M$361</f>
        <v>0</v>
      </c>
      <c r="K4317" s="106"/>
      <c r="L4317" s="106"/>
      <c r="M4317" s="129"/>
    </row>
    <row r="4318" spans="1:13" s="146" customFormat="1">
      <c r="A4318" s="193" t="s">
        <v>508</v>
      </c>
      <c r="B4318" s="210">
        <v>1</v>
      </c>
      <c r="C4318" s="191" t="str">
        <f>IF('IWP10'!E$362=0,"",'IWP10'!E$362)</f>
        <v/>
      </c>
      <c r="D4318" s="211">
        <f>'IWP10'!G$362</f>
        <v>0</v>
      </c>
      <c r="E4318" s="211">
        <f>'IWP10'!H$362</f>
        <v>0</v>
      </c>
      <c r="F4318" s="211">
        <f>'IWP10'!I$362</f>
        <v>0</v>
      </c>
      <c r="G4318" s="191" t="str">
        <f>IF('IWP10'!J$362=0,"",'IWP10'!J$362)</f>
        <v/>
      </c>
      <c r="H4318" s="211">
        <f>'IWP10'!K$362</f>
        <v>0</v>
      </c>
      <c r="I4318" s="211">
        <f>'IWP10'!L$362</f>
        <v>0</v>
      </c>
      <c r="J4318" s="212">
        <f>'IWP10'!M$362</f>
        <v>0</v>
      </c>
      <c r="K4318" s="106"/>
      <c r="L4318" s="106"/>
      <c r="M4318" s="129"/>
    </row>
    <row r="4319" spans="1:13" s="146" customFormat="1">
      <c r="A4319" s="193" t="s">
        <v>508</v>
      </c>
      <c r="B4319" s="210">
        <v>1</v>
      </c>
      <c r="C4319" s="191" t="str">
        <f>IF('IWP10'!E$363=0,"",'IWP10'!E$363)</f>
        <v/>
      </c>
      <c r="D4319" s="211">
        <f>'IWP10'!G$363</f>
        <v>0</v>
      </c>
      <c r="E4319" s="211">
        <f>'IWP10'!H$363</f>
        <v>0</v>
      </c>
      <c r="F4319" s="211">
        <f>'IWP10'!I$363</f>
        <v>0</v>
      </c>
      <c r="G4319" s="191" t="str">
        <f>IF('IWP10'!J$363=0,"",'IWP10'!J$363)</f>
        <v/>
      </c>
      <c r="H4319" s="211">
        <f>'IWP10'!K$363</f>
        <v>0</v>
      </c>
      <c r="I4319" s="211">
        <f>'IWP10'!L$363</f>
        <v>0</v>
      </c>
      <c r="J4319" s="212">
        <f>'IWP10'!M$363</f>
        <v>0</v>
      </c>
      <c r="K4319" s="106"/>
      <c r="L4319" s="106"/>
      <c r="M4319" s="129"/>
    </row>
    <row r="4320" spans="1:13" s="146" customFormat="1">
      <c r="A4320" s="193" t="s">
        <v>508</v>
      </c>
      <c r="B4320" s="210">
        <v>1</v>
      </c>
      <c r="C4320" s="191" t="str">
        <f>IF('IWP10'!E$364=0,"",'IWP10'!E$364)</f>
        <v/>
      </c>
      <c r="D4320" s="211">
        <f>'IWP10'!G$364</f>
        <v>0</v>
      </c>
      <c r="E4320" s="211">
        <f>'IWP10'!H$364</f>
        <v>0</v>
      </c>
      <c r="F4320" s="211">
        <f>'IWP10'!I$364</f>
        <v>0</v>
      </c>
      <c r="G4320" s="191" t="str">
        <f>IF('IWP10'!J$364=0,"",'IWP10'!J$364)</f>
        <v/>
      </c>
      <c r="H4320" s="211">
        <f>'IWP10'!K$364</f>
        <v>0</v>
      </c>
      <c r="I4320" s="211">
        <f>'IWP10'!L$364</f>
        <v>0</v>
      </c>
      <c r="J4320" s="212">
        <f>'IWP10'!M$364</f>
        <v>0</v>
      </c>
      <c r="K4320" s="106"/>
      <c r="L4320" s="106"/>
      <c r="M4320" s="129"/>
    </row>
    <row r="4321" spans="1:13" s="146" customFormat="1">
      <c r="A4321" s="193" t="s">
        <v>508</v>
      </c>
      <c r="B4321" s="210">
        <v>2</v>
      </c>
      <c r="C4321" s="191" t="str">
        <f>IF('IWP10'!E$371=0,"",'IWP10'!E$371)</f>
        <v>Subtotal column D.</v>
      </c>
      <c r="D4321" s="211">
        <f>'IWP10'!G$371</f>
        <v>0</v>
      </c>
      <c r="E4321" s="211">
        <f>'IWP10'!H$371</f>
        <v>0</v>
      </c>
      <c r="F4321" s="211">
        <f>'IWP10'!I$371</f>
        <v>0</v>
      </c>
      <c r="G4321" s="191" t="str">
        <f>IF('IWP10'!J$371=0,"",'IWP10'!J$371)</f>
        <v/>
      </c>
      <c r="H4321" s="211">
        <f>'IWP10'!K$371</f>
        <v>0</v>
      </c>
      <c r="I4321" s="211">
        <f>'IWP10'!L$371</f>
        <v>0</v>
      </c>
      <c r="J4321" s="212">
        <f>'IWP10'!M$371</f>
        <v>0</v>
      </c>
      <c r="K4321" s="106"/>
      <c r="L4321" s="106"/>
      <c r="M4321" s="129"/>
    </row>
    <row r="4322" spans="1:13" s="146" customFormat="1">
      <c r="A4322" s="193" t="s">
        <v>508</v>
      </c>
      <c r="B4322" s="210">
        <v>2</v>
      </c>
      <c r="C4322" s="191" t="str">
        <f>IF('IWP10'!E$372=0,"",'IWP10'!E$372)</f>
        <v>Unverified/Undocumented (Subtotal D - C)</v>
      </c>
      <c r="D4322" s="211">
        <f>'IWP10'!G$372</f>
        <v>0</v>
      </c>
      <c r="E4322" s="211">
        <f>'IWP10'!H$372</f>
        <v>0</v>
      </c>
      <c r="F4322" s="211">
        <f>'IWP10'!I$372</f>
        <v>0</v>
      </c>
      <c r="G4322" s="191" t="str">
        <f>IF('IWP10'!J$372=0,"",'IWP10'!J$372)</f>
        <v/>
      </c>
      <c r="H4322" s="211">
        <f>'IWP10'!K$372</f>
        <v>0</v>
      </c>
      <c r="I4322" s="211">
        <f>'IWP10'!L$372</f>
        <v>0</v>
      </c>
      <c r="J4322" s="212">
        <f>'IWP10'!M$372</f>
        <v>0</v>
      </c>
      <c r="K4322" s="106"/>
      <c r="L4322" s="106"/>
      <c r="M4322" s="129"/>
    </row>
    <row r="4323" spans="1:13" s="146" customFormat="1">
      <c r="A4323" s="193" t="s">
        <v>508</v>
      </c>
      <c r="B4323" s="210">
        <v>2</v>
      </c>
      <c r="C4323" s="191" t="str">
        <f>IF('IWP10'!E$373=0,"",'IWP10'!E$373)</f>
        <v>J. Billing Period Total</v>
      </c>
      <c r="D4323" s="211">
        <f>'IWP10'!G$373</f>
        <v>0</v>
      </c>
      <c r="E4323" s="211">
        <f>'IWP10'!H$373</f>
        <v>0</v>
      </c>
      <c r="F4323" s="211">
        <f>'IWP10'!I$373</f>
        <v>0</v>
      </c>
      <c r="G4323" s="191" t="str">
        <f>IF('IWP10'!J$373=0,"",'IWP10'!J$373)</f>
        <v/>
      </c>
      <c r="H4323" s="211">
        <f>'IWP10'!K$373</f>
        <v>0</v>
      </c>
      <c r="I4323" s="211">
        <f>'IWP10'!L$373</f>
        <v>0</v>
      </c>
      <c r="J4323" s="212">
        <f>'IWP10'!M$373</f>
        <v>0</v>
      </c>
      <c r="K4323" s="106"/>
      <c r="L4323" s="106"/>
      <c r="M4323" s="129"/>
    </row>
    <row r="4324" spans="1:13" s="146" customFormat="1">
      <c r="A4324" s="193" t="s">
        <v>508</v>
      </c>
      <c r="B4324" s="210">
        <v>2</v>
      </c>
      <c r="C4324" s="191" t="str">
        <f>IF('IWP10'!E$374=0,"",'IWP10'!E$374)</f>
        <v>D.</v>
      </c>
      <c r="D4324" s="211">
        <f>'IWP10'!G$374</f>
        <v>0</v>
      </c>
      <c r="E4324" s="211" t="str">
        <f>'IWP10'!H$374</f>
        <v>E.</v>
      </c>
      <c r="F4324" s="211" t="str">
        <f>'IWP10'!I$374</f>
        <v>F.</v>
      </c>
      <c r="G4324" s="191" t="str">
        <f>IF('IWP10'!J$374=0,"",'IWP10'!J$374)</f>
        <v>G.</v>
      </c>
      <c r="H4324" s="211">
        <f>'IWP10'!K$374</f>
        <v>0</v>
      </c>
      <c r="I4324" s="211" t="str">
        <f>'IWP10'!L$374</f>
        <v>H.</v>
      </c>
      <c r="J4324" s="212" t="str">
        <f>'IWP10'!M$374</f>
        <v>I.</v>
      </c>
      <c r="K4324" s="106"/>
      <c r="L4324" s="106"/>
      <c r="M4324" s="129"/>
    </row>
    <row r="4325" spans="1:13" s="146" customFormat="1">
      <c r="A4325" s="193" t="s">
        <v>508</v>
      </c>
      <c r="B4325" s="210">
        <v>2</v>
      </c>
      <c r="C4325" s="191" t="str">
        <f>IF('IWP10'!E$375=0,"",'IWP10'!E$375)</f>
        <v xml:space="preserve">Items/Services Related to Billing Period </v>
      </c>
      <c r="D4325" s="211">
        <f>'IWP10'!G$375</f>
        <v>0</v>
      </c>
      <c r="E4325" s="211" t="str">
        <f>'IWP10'!H$375</f>
        <v xml:space="preserve">Item/
Service Verified Amounts
</v>
      </c>
      <c r="F4325" s="211" t="str">
        <f>'IWP10'!I$375</f>
        <v>Amount Due to DADS (E. - D.)</v>
      </c>
      <c r="G4325" s="191" t="str">
        <f>IF('IWP10'!J$375=0,"",'IWP10'!J$375)</f>
        <v>Amount Reimbursed to 
Employee(s)/Employer</v>
      </c>
      <c r="H4325" s="211">
        <f>'IWP10'!K$375</f>
        <v>0</v>
      </c>
      <c r="I4325" s="211" t="str">
        <f>'IWP10'!L$375</f>
        <v>Amount Due to Employee(s) (G. - E.)</v>
      </c>
      <c r="J4325" s="212" t="str">
        <f>'IWP10'!M$375</f>
        <v>Amount Due to Employer (G. - E.)</v>
      </c>
      <c r="K4325" s="106"/>
      <c r="L4325" s="106"/>
      <c r="M4325" s="129"/>
    </row>
    <row r="4326" spans="1:13" s="146" customFormat="1">
      <c r="A4326" s="193" t="s">
        <v>508</v>
      </c>
      <c r="B4326" s="210">
        <v>2</v>
      </c>
      <c r="C4326" s="191" t="str">
        <f>IF('IWP10'!E$376=0,"",'IWP10'!E$376)</f>
        <v>Item/Service</v>
      </c>
      <c r="D4326" s="211" t="str">
        <f>'IWP10'!G$376</f>
        <v>Itemized Amount Paid by DADS</v>
      </c>
      <c r="E4326" s="211">
        <f>'IWP10'!H$376</f>
        <v>0</v>
      </c>
      <c r="F4326" s="211">
        <f>'IWP10'!I$376</f>
        <v>0</v>
      </c>
      <c r="G4326" s="191" t="str">
        <f>IF('IWP10'!J$376=0,"",'IWP10'!J$376)</f>
        <v/>
      </c>
      <c r="H4326" s="211">
        <f>'IWP10'!K$376</f>
        <v>0</v>
      </c>
      <c r="I4326" s="211">
        <f>'IWP10'!L$376</f>
        <v>0</v>
      </c>
      <c r="J4326" s="212">
        <f>'IWP10'!M$376</f>
        <v>0</v>
      </c>
      <c r="K4326" s="106"/>
      <c r="L4326" s="106"/>
      <c r="M4326" s="129"/>
    </row>
    <row r="4327" spans="1:13" s="146" customFormat="1">
      <c r="A4327" s="193" t="s">
        <v>508</v>
      </c>
      <c r="B4327" s="210">
        <v>2</v>
      </c>
      <c r="C4327" s="191" t="str">
        <f>IF('IWP10'!E$377=0,"",'IWP10'!E$377)</f>
        <v/>
      </c>
      <c r="D4327" s="211">
        <f>'IWP10'!G$377</f>
        <v>0</v>
      </c>
      <c r="E4327" s="211">
        <f>'IWP10'!H$377</f>
        <v>0</v>
      </c>
      <c r="F4327" s="211">
        <f>'IWP10'!I$377</f>
        <v>0</v>
      </c>
      <c r="G4327" s="191" t="str">
        <f>IF('IWP10'!J$377=0,"",'IWP10'!J$377)</f>
        <v/>
      </c>
      <c r="H4327" s="211">
        <f>'IWP10'!K$377</f>
        <v>0</v>
      </c>
      <c r="I4327" s="211">
        <f>'IWP10'!L$377</f>
        <v>0</v>
      </c>
      <c r="J4327" s="212">
        <f>'IWP10'!M$377</f>
        <v>0</v>
      </c>
      <c r="K4327" s="106"/>
      <c r="L4327" s="106"/>
      <c r="M4327" s="129"/>
    </row>
    <row r="4328" spans="1:13" s="146" customFormat="1">
      <c r="A4328" s="193" t="s">
        <v>508</v>
      </c>
      <c r="B4328" s="210">
        <v>2</v>
      </c>
      <c r="C4328" s="191" t="str">
        <f>IF('IWP10'!E$378=0,"",'IWP10'!E$378)</f>
        <v/>
      </c>
      <c r="D4328" s="211">
        <f>'IWP10'!G$378</f>
        <v>0</v>
      </c>
      <c r="E4328" s="211">
        <f>'IWP10'!H$378</f>
        <v>0</v>
      </c>
      <c r="F4328" s="211">
        <f>'IWP10'!I$378</f>
        <v>0</v>
      </c>
      <c r="G4328" s="191" t="str">
        <f>IF('IWP10'!J$378=0,"",'IWP10'!J$378)</f>
        <v/>
      </c>
      <c r="H4328" s="211">
        <f>'IWP10'!K$378</f>
        <v>0</v>
      </c>
      <c r="I4328" s="211">
        <f>'IWP10'!L$378</f>
        <v>0</v>
      </c>
      <c r="J4328" s="212">
        <f>'IWP10'!M$378</f>
        <v>0</v>
      </c>
      <c r="K4328" s="106"/>
      <c r="L4328" s="106"/>
      <c r="M4328" s="129"/>
    </row>
    <row r="4329" spans="1:13" s="146" customFormat="1">
      <c r="A4329" s="193" t="s">
        <v>508</v>
      </c>
      <c r="B4329" s="210">
        <v>2</v>
      </c>
      <c r="C4329" s="191" t="str">
        <f>IF('IWP10'!E$379=0,"",'IWP10'!E$379)</f>
        <v/>
      </c>
      <c r="D4329" s="211">
        <f>'IWP10'!G$379</f>
        <v>0</v>
      </c>
      <c r="E4329" s="211">
        <f>'IWP10'!H$379</f>
        <v>0</v>
      </c>
      <c r="F4329" s="211">
        <f>'IWP10'!I$379</f>
        <v>0</v>
      </c>
      <c r="G4329" s="191" t="str">
        <f>IF('IWP10'!J$379=0,"",'IWP10'!J$379)</f>
        <v/>
      </c>
      <c r="H4329" s="211">
        <f>'IWP10'!K$379</f>
        <v>0</v>
      </c>
      <c r="I4329" s="211">
        <f>'IWP10'!L$379</f>
        <v>0</v>
      </c>
      <c r="J4329" s="212">
        <f>'IWP10'!M$379</f>
        <v>0</v>
      </c>
      <c r="K4329" s="106"/>
      <c r="L4329" s="106"/>
      <c r="M4329" s="129"/>
    </row>
    <row r="4330" spans="1:13" s="146" customFormat="1">
      <c r="A4330" s="193" t="s">
        <v>508</v>
      </c>
      <c r="B4330" s="210">
        <v>2</v>
      </c>
      <c r="C4330" s="191" t="str">
        <f>IF('IWP10'!E$380=0,"",'IWP10'!E$380)</f>
        <v/>
      </c>
      <c r="D4330" s="211">
        <f>'IWP10'!G$380</f>
        <v>0</v>
      </c>
      <c r="E4330" s="211">
        <f>'IWP10'!H$380</f>
        <v>0</v>
      </c>
      <c r="F4330" s="211">
        <f>'IWP10'!I$380</f>
        <v>0</v>
      </c>
      <c r="G4330" s="191" t="str">
        <f>IF('IWP10'!J$380=0,"",'IWP10'!J$380)</f>
        <v/>
      </c>
      <c r="H4330" s="211">
        <f>'IWP10'!K$380</f>
        <v>0</v>
      </c>
      <c r="I4330" s="211">
        <f>'IWP10'!L$380</f>
        <v>0</v>
      </c>
      <c r="J4330" s="212">
        <f>'IWP10'!M$380</f>
        <v>0</v>
      </c>
      <c r="K4330" s="106"/>
      <c r="L4330" s="106"/>
      <c r="M4330" s="129"/>
    </row>
    <row r="4331" spans="1:13" s="146" customFormat="1">
      <c r="A4331" s="193" t="s">
        <v>508</v>
      </c>
      <c r="B4331" s="210">
        <v>3</v>
      </c>
      <c r="C4331" s="191" t="str">
        <f>IF('IWP10'!E$387=0,"",'IWP10'!E$387)</f>
        <v>Subtotal column D.</v>
      </c>
      <c r="D4331" s="211">
        <f>'IWP10'!G$387</f>
        <v>0</v>
      </c>
      <c r="E4331" s="211">
        <f>'IWP10'!H$387</f>
        <v>0</v>
      </c>
      <c r="F4331" s="211">
        <f>'IWP10'!I$387</f>
        <v>0</v>
      </c>
      <c r="G4331" s="191" t="str">
        <f>IF('IWP10'!J$387=0,"",'IWP10'!J$387)</f>
        <v/>
      </c>
      <c r="H4331" s="211">
        <f>'IWP10'!K$387</f>
        <v>0</v>
      </c>
      <c r="I4331" s="211">
        <f>'IWP10'!L$387</f>
        <v>0</v>
      </c>
      <c r="J4331" s="212">
        <f>'IWP10'!M$387</f>
        <v>0</v>
      </c>
      <c r="K4331" s="106"/>
      <c r="L4331" s="106"/>
      <c r="M4331" s="129"/>
    </row>
    <row r="4332" spans="1:13" s="146" customFormat="1">
      <c r="A4332" s="193" t="s">
        <v>508</v>
      </c>
      <c r="B4332" s="210">
        <v>3</v>
      </c>
      <c r="C4332" s="191" t="str">
        <f>IF('IWP10'!E$388=0,"",'IWP10'!E$388)</f>
        <v>Unverified/Undocumented (Subtotal D - C)</v>
      </c>
      <c r="D4332" s="211">
        <f>'IWP10'!G$388</f>
        <v>0</v>
      </c>
      <c r="E4332" s="211">
        <f>'IWP10'!H$388</f>
        <v>0</v>
      </c>
      <c r="F4332" s="211">
        <f>'IWP10'!I$388</f>
        <v>0</v>
      </c>
      <c r="G4332" s="191" t="str">
        <f>IF('IWP10'!J$388=0,"",'IWP10'!J$388)</f>
        <v/>
      </c>
      <c r="H4332" s="211">
        <f>'IWP10'!K$388</f>
        <v>0</v>
      </c>
      <c r="I4332" s="211">
        <f>'IWP10'!L$388</f>
        <v>0</v>
      </c>
      <c r="J4332" s="212">
        <f>'IWP10'!M$388</f>
        <v>0</v>
      </c>
      <c r="K4332" s="106"/>
      <c r="L4332" s="106"/>
      <c r="M4332" s="129"/>
    </row>
    <row r="4333" spans="1:13" s="146" customFormat="1">
      <c r="A4333" s="193" t="s">
        <v>508</v>
      </c>
      <c r="B4333" s="210">
        <v>3</v>
      </c>
      <c r="C4333" s="191" t="str">
        <f>IF('IWP10'!E$389=0,"",'IWP10'!E$389)</f>
        <v>J. Billing Period Total</v>
      </c>
      <c r="D4333" s="211">
        <f>'IWP10'!G$389</f>
        <v>0</v>
      </c>
      <c r="E4333" s="211">
        <f>'IWP10'!H$389</f>
        <v>0</v>
      </c>
      <c r="F4333" s="211">
        <f>'IWP10'!I$389</f>
        <v>0</v>
      </c>
      <c r="G4333" s="191" t="str">
        <f>IF('IWP10'!J$389=0,"",'IWP10'!J$389)</f>
        <v/>
      </c>
      <c r="H4333" s="211">
        <f>'IWP10'!K$389</f>
        <v>0</v>
      </c>
      <c r="I4333" s="211">
        <f>'IWP10'!L$389</f>
        <v>0</v>
      </c>
      <c r="J4333" s="212">
        <f>'IWP10'!M$389</f>
        <v>0</v>
      </c>
      <c r="K4333" s="106"/>
      <c r="L4333" s="106"/>
      <c r="M4333" s="129"/>
    </row>
    <row r="4334" spans="1:13" s="146" customFormat="1">
      <c r="A4334" s="193" t="s">
        <v>508</v>
      </c>
      <c r="B4334" s="210">
        <v>3</v>
      </c>
      <c r="C4334" s="191" t="str">
        <f>IF('IWP10'!E$390=0,"",'IWP10'!E$390)</f>
        <v>D.</v>
      </c>
      <c r="D4334" s="211">
        <f>'IWP10'!G$390</f>
        <v>0</v>
      </c>
      <c r="E4334" s="211" t="str">
        <f>'IWP10'!H$390</f>
        <v>E.</v>
      </c>
      <c r="F4334" s="211" t="str">
        <f>'IWP10'!I$390</f>
        <v>F.</v>
      </c>
      <c r="G4334" s="191" t="str">
        <f>IF('IWP10'!J$390=0,"",'IWP10'!J$390)</f>
        <v>G.</v>
      </c>
      <c r="H4334" s="211">
        <f>'IWP10'!K$390</f>
        <v>0</v>
      </c>
      <c r="I4334" s="211" t="str">
        <f>'IWP10'!L$390</f>
        <v>H.</v>
      </c>
      <c r="J4334" s="212" t="str">
        <f>'IWP10'!M$390</f>
        <v>I.</v>
      </c>
      <c r="K4334" s="106"/>
      <c r="L4334" s="106"/>
      <c r="M4334" s="129"/>
    </row>
    <row r="4335" spans="1:13" s="146" customFormat="1">
      <c r="A4335" s="193" t="s">
        <v>508</v>
      </c>
      <c r="B4335" s="210">
        <v>3</v>
      </c>
      <c r="C4335" s="191" t="str">
        <f>IF('IWP10'!E$391=0,"",'IWP10'!E$391)</f>
        <v xml:space="preserve">Items/Services Related to Billing Period </v>
      </c>
      <c r="D4335" s="211">
        <f>'IWP10'!G$391</f>
        <v>0</v>
      </c>
      <c r="E4335" s="211" t="str">
        <f>'IWP10'!H$391</f>
        <v xml:space="preserve">Item/
Service Verified Amounts
</v>
      </c>
      <c r="F4335" s="211" t="str">
        <f>'IWP10'!I$391</f>
        <v>Amount Due to DADS (E. - D.)</v>
      </c>
      <c r="G4335" s="191" t="str">
        <f>IF('IWP10'!J$391=0,"",'IWP10'!J$391)</f>
        <v>Amount Reimbursed to 
Employee(s)/Employer</v>
      </c>
      <c r="H4335" s="211">
        <f>'IWP10'!K$391</f>
        <v>0</v>
      </c>
      <c r="I4335" s="211" t="str">
        <f>'IWP10'!L$391</f>
        <v>Amount Due to Employee(s) (G. - E.)</v>
      </c>
      <c r="J4335" s="212" t="str">
        <f>'IWP10'!M$391</f>
        <v>Amount Due to Employer (G. - E.)</v>
      </c>
      <c r="K4335" s="106"/>
      <c r="L4335" s="106"/>
      <c r="M4335" s="129"/>
    </row>
    <row r="4336" spans="1:13" s="146" customFormat="1">
      <c r="A4336" s="193" t="s">
        <v>508</v>
      </c>
      <c r="B4336" s="210">
        <v>3</v>
      </c>
      <c r="C4336" s="191" t="str">
        <f>IF('IWP10'!E$392=0,"",'IWP10'!E$392)</f>
        <v>Item/Service</v>
      </c>
      <c r="D4336" s="211" t="str">
        <f>'IWP10'!G$392</f>
        <v>Itemized Amount Paid by DADS</v>
      </c>
      <c r="E4336" s="211">
        <f>'IWP10'!H$392</f>
        <v>0</v>
      </c>
      <c r="F4336" s="211">
        <f>'IWP10'!I$392</f>
        <v>0</v>
      </c>
      <c r="G4336" s="191" t="str">
        <f>IF('IWP10'!J$392=0,"",'IWP10'!J$392)</f>
        <v/>
      </c>
      <c r="H4336" s="211">
        <f>'IWP10'!K$392</f>
        <v>0</v>
      </c>
      <c r="I4336" s="211">
        <f>'IWP10'!L$392</f>
        <v>0</v>
      </c>
      <c r="J4336" s="212">
        <f>'IWP10'!M$392</f>
        <v>0</v>
      </c>
      <c r="K4336" s="106"/>
      <c r="L4336" s="106"/>
      <c r="M4336" s="129"/>
    </row>
    <row r="4337" spans="1:13" s="146" customFormat="1">
      <c r="A4337" s="193" t="s">
        <v>508</v>
      </c>
      <c r="B4337" s="210">
        <v>3</v>
      </c>
      <c r="C4337" s="191" t="str">
        <f>IF('IWP10'!E$393=0,"",'IWP10'!E$393)</f>
        <v/>
      </c>
      <c r="D4337" s="211">
        <f>'IWP10'!G$393</f>
        <v>0</v>
      </c>
      <c r="E4337" s="211">
        <f>'IWP10'!H$393</f>
        <v>0</v>
      </c>
      <c r="F4337" s="211">
        <f>'IWP10'!I$393</f>
        <v>0</v>
      </c>
      <c r="G4337" s="191" t="str">
        <f>IF('IWP10'!J$393=0,"",'IWP10'!J$393)</f>
        <v/>
      </c>
      <c r="H4337" s="211">
        <f>'IWP10'!K$393</f>
        <v>0</v>
      </c>
      <c r="I4337" s="211">
        <f>'IWP10'!L$393</f>
        <v>0</v>
      </c>
      <c r="J4337" s="212">
        <f>'IWP10'!M$393</f>
        <v>0</v>
      </c>
      <c r="K4337" s="106"/>
      <c r="L4337" s="106"/>
      <c r="M4337" s="129"/>
    </row>
    <row r="4338" spans="1:13" s="146" customFormat="1">
      <c r="A4338" s="193" t="s">
        <v>508</v>
      </c>
      <c r="B4338" s="210">
        <v>3</v>
      </c>
      <c r="C4338" s="191" t="str">
        <f>IF('IWP10'!E$394=0,"",'IWP10'!E$394)</f>
        <v/>
      </c>
      <c r="D4338" s="211">
        <f>'IWP10'!G$394</f>
        <v>0</v>
      </c>
      <c r="E4338" s="211">
        <f>'IWP10'!H$394</f>
        <v>0</v>
      </c>
      <c r="F4338" s="211">
        <f>'IWP10'!I$394</f>
        <v>0</v>
      </c>
      <c r="G4338" s="191" t="str">
        <f>IF('IWP10'!J$394=0,"",'IWP10'!J$394)</f>
        <v/>
      </c>
      <c r="H4338" s="211">
        <f>'IWP10'!K$394</f>
        <v>0</v>
      </c>
      <c r="I4338" s="211">
        <f>'IWP10'!L$394</f>
        <v>0</v>
      </c>
      <c r="J4338" s="212">
        <f>'IWP10'!M$394</f>
        <v>0</v>
      </c>
      <c r="K4338" s="106"/>
      <c r="L4338" s="106"/>
      <c r="M4338" s="129"/>
    </row>
    <row r="4339" spans="1:13" s="146" customFormat="1">
      <c r="A4339" s="193" t="s">
        <v>508</v>
      </c>
      <c r="B4339" s="210">
        <v>3</v>
      </c>
      <c r="C4339" s="191" t="str">
        <f>IF('IWP10'!E$395=0,"",'IWP10'!E$395)</f>
        <v/>
      </c>
      <c r="D4339" s="211">
        <f>'IWP10'!G$395</f>
        <v>0</v>
      </c>
      <c r="E4339" s="211">
        <f>'IWP10'!H$395</f>
        <v>0</v>
      </c>
      <c r="F4339" s="211">
        <f>'IWP10'!I$395</f>
        <v>0</v>
      </c>
      <c r="G4339" s="191" t="str">
        <f>IF('IWP10'!J$395=0,"",'IWP10'!J$395)</f>
        <v/>
      </c>
      <c r="H4339" s="211">
        <f>'IWP10'!K$395</f>
        <v>0</v>
      </c>
      <c r="I4339" s="211">
        <f>'IWP10'!L$395</f>
        <v>0</v>
      </c>
      <c r="J4339" s="212">
        <f>'IWP10'!M$395</f>
        <v>0</v>
      </c>
      <c r="K4339" s="106"/>
      <c r="L4339" s="106"/>
      <c r="M4339" s="129"/>
    </row>
    <row r="4340" spans="1:13" s="146" customFormat="1">
      <c r="A4340" s="193" t="s">
        <v>508</v>
      </c>
      <c r="B4340" s="210">
        <v>3</v>
      </c>
      <c r="C4340" s="191" t="str">
        <f>IF('IWP10'!E$396=0,"",'IWP10'!E$396)</f>
        <v/>
      </c>
      <c r="D4340" s="211">
        <f>'IWP10'!G$396</f>
        <v>0</v>
      </c>
      <c r="E4340" s="211">
        <f>'IWP10'!H$396</f>
        <v>0</v>
      </c>
      <c r="F4340" s="211">
        <f>'IWP10'!I$396</f>
        <v>0</v>
      </c>
      <c r="G4340" s="191" t="str">
        <f>IF('IWP10'!J$396=0,"",'IWP10'!J$396)</f>
        <v/>
      </c>
      <c r="H4340" s="211">
        <f>'IWP10'!K$396</f>
        <v>0</v>
      </c>
      <c r="I4340" s="211">
        <f>'IWP10'!L$396</f>
        <v>0</v>
      </c>
      <c r="J4340" s="212">
        <f>'IWP10'!M$396</f>
        <v>0</v>
      </c>
      <c r="K4340" s="106"/>
      <c r="L4340" s="106"/>
      <c r="M4340" s="129"/>
    </row>
    <row r="4341" spans="1:13" s="146" customFormat="1">
      <c r="A4341" s="193" t="s">
        <v>508</v>
      </c>
      <c r="B4341" s="210">
        <v>4</v>
      </c>
      <c r="C4341" s="191" t="str">
        <f>IF('IWP10'!E$403=0,"",'IWP10'!E$403)</f>
        <v>Subtotal column D.</v>
      </c>
      <c r="D4341" s="211">
        <f>'IWP10'!G$403</f>
        <v>0</v>
      </c>
      <c r="E4341" s="211">
        <f>'IWP10'!H$403</f>
        <v>0</v>
      </c>
      <c r="F4341" s="211">
        <f>'IWP10'!I$403</f>
        <v>0</v>
      </c>
      <c r="G4341" s="191" t="str">
        <f>IF('IWP10'!J$403=0,"",'IWP10'!J$403)</f>
        <v/>
      </c>
      <c r="H4341" s="211">
        <f>'IWP10'!K$403</f>
        <v>0</v>
      </c>
      <c r="I4341" s="211">
        <f>'IWP10'!L$403</f>
        <v>0</v>
      </c>
      <c r="J4341" s="212">
        <f>'IWP10'!M$403</f>
        <v>0</v>
      </c>
      <c r="K4341" s="106"/>
      <c r="L4341" s="106"/>
      <c r="M4341" s="129"/>
    </row>
    <row r="4342" spans="1:13" s="146" customFormat="1">
      <c r="A4342" s="193" t="s">
        <v>508</v>
      </c>
      <c r="B4342" s="210">
        <v>4</v>
      </c>
      <c r="C4342" s="191" t="str">
        <f>IF('IWP10'!E$404=0,"",'IWP10'!E$404)</f>
        <v>Unverified/Undocumented (Subtotal D - C)</v>
      </c>
      <c r="D4342" s="211">
        <f>'IWP10'!G$404</f>
        <v>0</v>
      </c>
      <c r="E4342" s="211">
        <f>'IWP10'!H$404</f>
        <v>0</v>
      </c>
      <c r="F4342" s="211">
        <f>'IWP10'!I$404</f>
        <v>0</v>
      </c>
      <c r="G4342" s="191" t="str">
        <f>IF('IWP10'!J$404=0,"",'IWP10'!J$404)</f>
        <v/>
      </c>
      <c r="H4342" s="211">
        <f>'IWP10'!K$404</f>
        <v>0</v>
      </c>
      <c r="I4342" s="211">
        <f>'IWP10'!L$404</f>
        <v>0</v>
      </c>
      <c r="J4342" s="212">
        <f>'IWP10'!M$404</f>
        <v>0</v>
      </c>
      <c r="K4342" s="106"/>
      <c r="L4342" s="106"/>
      <c r="M4342" s="129"/>
    </row>
    <row r="4343" spans="1:13" s="146" customFormat="1">
      <c r="A4343" s="193" t="s">
        <v>508</v>
      </c>
      <c r="B4343" s="210">
        <v>4</v>
      </c>
      <c r="C4343" s="191" t="str">
        <f>IF('IWP10'!E$405=0,"",'IWP10'!E$405)</f>
        <v>J. Billing Period Total</v>
      </c>
      <c r="D4343" s="211">
        <f>'IWP10'!G$405</f>
        <v>0</v>
      </c>
      <c r="E4343" s="211">
        <f>'IWP10'!H$405</f>
        <v>0</v>
      </c>
      <c r="F4343" s="211">
        <f>'IWP10'!I$405</f>
        <v>0</v>
      </c>
      <c r="G4343" s="191" t="str">
        <f>IF('IWP10'!J$405=0,"",'IWP10'!J$405)</f>
        <v/>
      </c>
      <c r="H4343" s="211">
        <f>'IWP10'!K$405</f>
        <v>0</v>
      </c>
      <c r="I4343" s="211">
        <f>'IWP10'!L$405</f>
        <v>0</v>
      </c>
      <c r="J4343" s="212">
        <f>'IWP10'!M$405</f>
        <v>0</v>
      </c>
      <c r="K4343" s="106"/>
      <c r="L4343" s="106"/>
      <c r="M4343" s="129"/>
    </row>
    <row r="4344" spans="1:13" s="146" customFormat="1">
      <c r="A4344" s="193" t="s">
        <v>508</v>
      </c>
      <c r="B4344" s="210">
        <v>4</v>
      </c>
      <c r="C4344" s="191" t="str">
        <f>IF('IWP10'!E$406=0,"",'IWP10'!E$406)</f>
        <v>D.</v>
      </c>
      <c r="D4344" s="211">
        <f>'IWP10'!G$406</f>
        <v>0</v>
      </c>
      <c r="E4344" s="211" t="str">
        <f>'IWP10'!H$406</f>
        <v>E.</v>
      </c>
      <c r="F4344" s="211" t="str">
        <f>'IWP10'!I$406</f>
        <v>F.</v>
      </c>
      <c r="G4344" s="191" t="str">
        <f>IF('IWP10'!J$406=0,"",'IWP10'!J$406)</f>
        <v>G.</v>
      </c>
      <c r="H4344" s="211">
        <f>'IWP10'!K$406</f>
        <v>0</v>
      </c>
      <c r="I4344" s="211" t="str">
        <f>'IWP10'!L$406</f>
        <v>H.</v>
      </c>
      <c r="J4344" s="212" t="str">
        <f>'IWP10'!M$406</f>
        <v>I.</v>
      </c>
      <c r="K4344" s="106"/>
      <c r="L4344" s="106"/>
      <c r="M4344" s="129"/>
    </row>
    <row r="4345" spans="1:13" s="146" customFormat="1">
      <c r="A4345" s="193" t="s">
        <v>508</v>
      </c>
      <c r="B4345" s="210">
        <v>4</v>
      </c>
      <c r="C4345" s="191" t="str">
        <f>IF('IWP10'!E$407=0,"",'IWP10'!E$407)</f>
        <v xml:space="preserve">Items/Services Related to Billing Period </v>
      </c>
      <c r="D4345" s="211">
        <f>'IWP10'!G$407</f>
        <v>0</v>
      </c>
      <c r="E4345" s="211" t="str">
        <f>'IWP10'!H$407</f>
        <v xml:space="preserve">Item/
Service Verified Amounts
</v>
      </c>
      <c r="F4345" s="211" t="str">
        <f>'IWP10'!I$407</f>
        <v>Amount Due to DADS (E. - D.)</v>
      </c>
      <c r="G4345" s="191" t="str">
        <f>IF('IWP10'!J$407=0,"",'IWP10'!J$407)</f>
        <v>Amount Reimbursed to 
Employee(s)/Employer</v>
      </c>
      <c r="H4345" s="211">
        <f>'IWP10'!K$407</f>
        <v>0</v>
      </c>
      <c r="I4345" s="211" t="str">
        <f>'IWP10'!L$407</f>
        <v>Amount Due to Employee(s) (G. - E.)</v>
      </c>
      <c r="J4345" s="212" t="str">
        <f>'IWP10'!M$407</f>
        <v>Amount Due to Employer (G. - E.)</v>
      </c>
      <c r="K4345" s="106"/>
      <c r="L4345" s="106"/>
      <c r="M4345" s="129"/>
    </row>
    <row r="4346" spans="1:13" s="146" customFormat="1">
      <c r="A4346" s="193" t="s">
        <v>508</v>
      </c>
      <c r="B4346" s="210">
        <v>4</v>
      </c>
      <c r="C4346" s="191" t="str">
        <f>IF('IWP10'!E$408=0,"",'IWP10'!E$408)</f>
        <v>Item/Service</v>
      </c>
      <c r="D4346" s="211" t="str">
        <f>'IWP10'!G$408</f>
        <v>Itemized Amount Paid by DADS</v>
      </c>
      <c r="E4346" s="211">
        <f>'IWP10'!H$408</f>
        <v>0</v>
      </c>
      <c r="F4346" s="211">
        <f>'IWP10'!I$408</f>
        <v>0</v>
      </c>
      <c r="G4346" s="191" t="str">
        <f>IF('IWP10'!J$408=0,"",'IWP10'!J$408)</f>
        <v/>
      </c>
      <c r="H4346" s="211">
        <f>'IWP10'!K$408</f>
        <v>0</v>
      </c>
      <c r="I4346" s="211">
        <f>'IWP10'!L$408</f>
        <v>0</v>
      </c>
      <c r="J4346" s="212">
        <f>'IWP10'!M$408</f>
        <v>0</v>
      </c>
      <c r="K4346" s="106"/>
      <c r="L4346" s="106"/>
      <c r="M4346" s="129"/>
    </row>
    <row r="4347" spans="1:13" s="146" customFormat="1">
      <c r="A4347" s="193" t="s">
        <v>508</v>
      </c>
      <c r="B4347" s="210">
        <v>4</v>
      </c>
      <c r="C4347" s="191" t="str">
        <f>IF('IWP10'!E$409=0,"",'IWP10'!E$409)</f>
        <v/>
      </c>
      <c r="D4347" s="211">
        <f>'IWP10'!G$409</f>
        <v>0</v>
      </c>
      <c r="E4347" s="211">
        <f>'IWP10'!H$409</f>
        <v>0</v>
      </c>
      <c r="F4347" s="211">
        <f>'IWP10'!I$409</f>
        <v>0</v>
      </c>
      <c r="G4347" s="191" t="str">
        <f>IF('IWP10'!J$409=0,"",'IWP10'!J$409)</f>
        <v/>
      </c>
      <c r="H4347" s="211">
        <f>'IWP10'!K$409</f>
        <v>0</v>
      </c>
      <c r="I4347" s="211">
        <f>'IWP10'!L$409</f>
        <v>0</v>
      </c>
      <c r="J4347" s="212">
        <f>'IWP10'!M$409</f>
        <v>0</v>
      </c>
      <c r="K4347" s="106"/>
      <c r="L4347" s="106"/>
      <c r="M4347" s="129"/>
    </row>
    <row r="4348" spans="1:13" s="146" customFormat="1">
      <c r="A4348" s="193" t="s">
        <v>508</v>
      </c>
      <c r="B4348" s="210">
        <v>4</v>
      </c>
      <c r="C4348" s="191" t="str">
        <f>IF('IWP10'!E$410=0,"",'IWP10'!E$410)</f>
        <v/>
      </c>
      <c r="D4348" s="211">
        <f>'IWP10'!G$410</f>
        <v>0</v>
      </c>
      <c r="E4348" s="211">
        <f>'IWP10'!H$410</f>
        <v>0</v>
      </c>
      <c r="F4348" s="211">
        <f>'IWP10'!I$410</f>
        <v>0</v>
      </c>
      <c r="G4348" s="191" t="str">
        <f>IF('IWP10'!J$410=0,"",'IWP10'!J$410)</f>
        <v/>
      </c>
      <c r="H4348" s="211">
        <f>'IWP10'!K$410</f>
        <v>0</v>
      </c>
      <c r="I4348" s="211">
        <f>'IWP10'!L$410</f>
        <v>0</v>
      </c>
      <c r="J4348" s="212">
        <f>'IWP10'!M$410</f>
        <v>0</v>
      </c>
      <c r="K4348" s="106"/>
      <c r="L4348" s="106"/>
      <c r="M4348" s="129"/>
    </row>
    <row r="4349" spans="1:13" s="146" customFormat="1">
      <c r="A4349" s="193" t="s">
        <v>508</v>
      </c>
      <c r="B4349" s="210">
        <v>4</v>
      </c>
      <c r="C4349" s="191" t="str">
        <f>IF('IWP10'!E$411=0,"",'IWP10'!E$411)</f>
        <v/>
      </c>
      <c r="D4349" s="211">
        <f>'IWP10'!G$411</f>
        <v>0</v>
      </c>
      <c r="E4349" s="211">
        <f>'IWP10'!H$411</f>
        <v>0</v>
      </c>
      <c r="F4349" s="211">
        <f>'IWP10'!I$411</f>
        <v>0</v>
      </c>
      <c r="G4349" s="191" t="str">
        <f>IF('IWP10'!J$411=0,"",'IWP10'!J$411)</f>
        <v/>
      </c>
      <c r="H4349" s="211">
        <f>'IWP10'!K$411</f>
        <v>0</v>
      </c>
      <c r="I4349" s="211">
        <f>'IWP10'!L$411</f>
        <v>0</v>
      </c>
      <c r="J4349" s="212">
        <f>'IWP10'!M$411</f>
        <v>0</v>
      </c>
      <c r="K4349" s="106"/>
      <c r="L4349" s="106"/>
      <c r="M4349" s="129"/>
    </row>
    <row r="4350" spans="1:13" s="146" customFormat="1">
      <c r="A4350" s="193" t="s">
        <v>508</v>
      </c>
      <c r="B4350" s="210">
        <v>4</v>
      </c>
      <c r="C4350" s="191" t="str">
        <f>IF('IWP10'!E$412=0,"",'IWP10'!E$412)</f>
        <v/>
      </c>
      <c r="D4350" s="211">
        <f>'IWP10'!G$412</f>
        <v>0</v>
      </c>
      <c r="E4350" s="211">
        <f>'IWP10'!H$412</f>
        <v>0</v>
      </c>
      <c r="F4350" s="211">
        <f>'IWP10'!I$412</f>
        <v>0</v>
      </c>
      <c r="G4350" s="191" t="str">
        <f>IF('IWP10'!J$412=0,"",'IWP10'!J$412)</f>
        <v/>
      </c>
      <c r="H4350" s="211">
        <f>'IWP10'!K$412</f>
        <v>0</v>
      </c>
      <c r="I4350" s="211">
        <f>'IWP10'!L$412</f>
        <v>0</v>
      </c>
      <c r="J4350" s="212">
        <f>'IWP10'!M$412</f>
        <v>0</v>
      </c>
      <c r="K4350" s="106"/>
      <c r="L4350" s="106"/>
      <c r="M4350" s="129"/>
    </row>
    <row r="4351" spans="1:13" s="146" customFormat="1">
      <c r="A4351" s="193" t="s">
        <v>508</v>
      </c>
      <c r="B4351" s="210">
        <v>5</v>
      </c>
      <c r="C4351" s="191" t="str">
        <f>IF('IWP10'!E$419=0,"",'IWP10'!E$419)</f>
        <v>Subtotal column D.</v>
      </c>
      <c r="D4351" s="211">
        <f>'IWP10'!G$419</f>
        <v>0</v>
      </c>
      <c r="E4351" s="211">
        <f>'IWP10'!H$419</f>
        <v>0</v>
      </c>
      <c r="F4351" s="211">
        <f>'IWP10'!I$419</f>
        <v>0</v>
      </c>
      <c r="G4351" s="191" t="str">
        <f>IF('IWP10'!J$419=0,"",'IWP10'!J$419)</f>
        <v/>
      </c>
      <c r="H4351" s="211">
        <f>'IWP10'!K$419</f>
        <v>0</v>
      </c>
      <c r="I4351" s="211">
        <f>'IWP10'!L$419</f>
        <v>0</v>
      </c>
      <c r="J4351" s="212">
        <f>'IWP10'!M$419</f>
        <v>0</v>
      </c>
      <c r="K4351" s="106"/>
      <c r="L4351" s="106"/>
      <c r="M4351" s="129"/>
    </row>
    <row r="4352" spans="1:13" s="146" customFormat="1">
      <c r="A4352" s="193" t="s">
        <v>508</v>
      </c>
      <c r="B4352" s="210">
        <v>5</v>
      </c>
      <c r="C4352" s="191" t="str">
        <f>IF('IWP10'!E$420=0,"",'IWP10'!E$420)</f>
        <v>Unverified/Undocumented (Subtotal D - C)</v>
      </c>
      <c r="D4352" s="211">
        <f>'IWP10'!G$420</f>
        <v>0</v>
      </c>
      <c r="E4352" s="211">
        <f>'IWP10'!H$420</f>
        <v>0</v>
      </c>
      <c r="F4352" s="211">
        <f>'IWP10'!I$420</f>
        <v>0</v>
      </c>
      <c r="G4352" s="191" t="str">
        <f>IF('IWP10'!J$420=0,"",'IWP10'!J$420)</f>
        <v/>
      </c>
      <c r="H4352" s="211">
        <f>'IWP10'!K$420</f>
        <v>0</v>
      </c>
      <c r="I4352" s="211">
        <f>'IWP10'!L$420</f>
        <v>0</v>
      </c>
      <c r="J4352" s="212">
        <f>'IWP10'!M$420</f>
        <v>0</v>
      </c>
      <c r="K4352" s="106"/>
      <c r="L4352" s="106"/>
      <c r="M4352" s="129"/>
    </row>
    <row r="4353" spans="1:13" s="146" customFormat="1">
      <c r="A4353" s="193" t="s">
        <v>508</v>
      </c>
      <c r="B4353" s="210">
        <v>5</v>
      </c>
      <c r="C4353" s="191" t="str">
        <f>IF('IWP10'!E$421=0,"",'IWP10'!E$421)</f>
        <v>J. Billing Period Total</v>
      </c>
      <c r="D4353" s="211">
        <f>'IWP10'!G$421</f>
        <v>0</v>
      </c>
      <c r="E4353" s="211">
        <f>'IWP10'!H$421</f>
        <v>0</v>
      </c>
      <c r="F4353" s="211">
        <f>'IWP10'!I$421</f>
        <v>0</v>
      </c>
      <c r="G4353" s="191" t="str">
        <f>IF('IWP10'!J$421=0,"",'IWP10'!J$421)</f>
        <v/>
      </c>
      <c r="H4353" s="211">
        <f>'IWP10'!K$421</f>
        <v>0</v>
      </c>
      <c r="I4353" s="211">
        <f>'IWP10'!L$421</f>
        <v>0</v>
      </c>
      <c r="J4353" s="212">
        <f>'IWP10'!M$421</f>
        <v>0</v>
      </c>
      <c r="K4353" s="106"/>
      <c r="L4353" s="106"/>
      <c r="M4353" s="129"/>
    </row>
    <row r="4354" spans="1:13" s="146" customFormat="1">
      <c r="A4354" s="193" t="s">
        <v>508</v>
      </c>
      <c r="B4354" s="210">
        <v>5</v>
      </c>
      <c r="C4354" s="191" t="str">
        <f>IF('IWP10'!E$422=0,"",'IWP10'!E$422)</f>
        <v>D.</v>
      </c>
      <c r="D4354" s="211">
        <f>'IWP10'!G$422</f>
        <v>0</v>
      </c>
      <c r="E4354" s="211" t="str">
        <f>'IWP10'!H$422</f>
        <v>E.</v>
      </c>
      <c r="F4354" s="211" t="str">
        <f>'IWP10'!I$422</f>
        <v>F.</v>
      </c>
      <c r="G4354" s="191" t="str">
        <f>IF('IWP10'!J$422=0,"",'IWP10'!J$422)</f>
        <v>G.</v>
      </c>
      <c r="H4354" s="211">
        <f>'IWP10'!K$422</f>
        <v>0</v>
      </c>
      <c r="I4354" s="211" t="str">
        <f>'IWP10'!L$422</f>
        <v>H.</v>
      </c>
      <c r="J4354" s="212" t="str">
        <f>'IWP10'!M$422</f>
        <v>I.</v>
      </c>
      <c r="K4354" s="106"/>
      <c r="L4354" s="106"/>
      <c r="M4354" s="129"/>
    </row>
    <row r="4355" spans="1:13" s="146" customFormat="1">
      <c r="A4355" s="193" t="s">
        <v>508</v>
      </c>
      <c r="B4355" s="210">
        <v>5</v>
      </c>
      <c r="C4355" s="191" t="str">
        <f>IF('IWP10'!E$423=0,"",'IWP10'!E$423)</f>
        <v xml:space="preserve">Items/Services Related to Billing Period </v>
      </c>
      <c r="D4355" s="211">
        <f>'IWP10'!G$423</f>
        <v>0</v>
      </c>
      <c r="E4355" s="211" t="str">
        <f>'IWP10'!H$423</f>
        <v xml:space="preserve">Item/
Service Verified Amounts
</v>
      </c>
      <c r="F4355" s="211" t="str">
        <f>'IWP10'!I$423</f>
        <v>Amount Due to DADS (E. - D.)</v>
      </c>
      <c r="G4355" s="191" t="str">
        <f>IF('IWP10'!J$423=0,"",'IWP10'!J$423)</f>
        <v>Amount Reimbursed to 
Employee(s)/Employer</v>
      </c>
      <c r="H4355" s="211">
        <f>'IWP10'!K$423</f>
        <v>0</v>
      </c>
      <c r="I4355" s="211" t="str">
        <f>'IWP10'!L$423</f>
        <v>Amount Due to Employee(s) (G. - E.)</v>
      </c>
      <c r="J4355" s="212" t="str">
        <f>'IWP10'!M$423</f>
        <v>Amount Due to Employer (G. - E.)</v>
      </c>
      <c r="K4355" s="106"/>
      <c r="L4355" s="106"/>
      <c r="M4355" s="129"/>
    </row>
    <row r="4356" spans="1:13" s="146" customFormat="1">
      <c r="A4356" s="193" t="s">
        <v>508</v>
      </c>
      <c r="B4356" s="210">
        <v>5</v>
      </c>
      <c r="C4356" s="191" t="str">
        <f>IF('IWP10'!E$424=0,"",'IWP10'!E$424)</f>
        <v>Item/Service</v>
      </c>
      <c r="D4356" s="211" t="str">
        <f>'IWP10'!G$424</f>
        <v>Itemized Amount Paid by DADS</v>
      </c>
      <c r="E4356" s="211">
        <f>'IWP10'!H$424</f>
        <v>0</v>
      </c>
      <c r="F4356" s="211">
        <f>'IWP10'!I$424</f>
        <v>0</v>
      </c>
      <c r="G4356" s="191" t="str">
        <f>IF('IWP10'!J$424=0,"",'IWP10'!J$424)</f>
        <v/>
      </c>
      <c r="H4356" s="211">
        <f>'IWP10'!K$424</f>
        <v>0</v>
      </c>
      <c r="I4356" s="211">
        <f>'IWP10'!L$424</f>
        <v>0</v>
      </c>
      <c r="J4356" s="212">
        <f>'IWP10'!M$424</f>
        <v>0</v>
      </c>
      <c r="K4356" s="106"/>
      <c r="L4356" s="106"/>
      <c r="M4356" s="129"/>
    </row>
    <row r="4357" spans="1:13" s="146" customFormat="1">
      <c r="A4357" s="193" t="s">
        <v>508</v>
      </c>
      <c r="B4357" s="210">
        <v>5</v>
      </c>
      <c r="C4357" s="191" t="str">
        <f>IF('IWP10'!E$425=0,"",'IWP10'!E$425)</f>
        <v/>
      </c>
      <c r="D4357" s="211">
        <f>'IWP10'!G$425</f>
        <v>0</v>
      </c>
      <c r="E4357" s="211">
        <f>'IWP10'!H$425</f>
        <v>0</v>
      </c>
      <c r="F4357" s="211">
        <f>'IWP10'!I$425</f>
        <v>0</v>
      </c>
      <c r="G4357" s="191" t="str">
        <f>IF('IWP10'!J$425=0,"",'IWP10'!J$425)</f>
        <v/>
      </c>
      <c r="H4357" s="211">
        <f>'IWP10'!K$425</f>
        <v>0</v>
      </c>
      <c r="I4357" s="211">
        <f>'IWP10'!L$425</f>
        <v>0</v>
      </c>
      <c r="J4357" s="212">
        <f>'IWP10'!M$425</f>
        <v>0</v>
      </c>
      <c r="K4357" s="106"/>
      <c r="L4357" s="106"/>
      <c r="M4357" s="129"/>
    </row>
    <row r="4358" spans="1:13" s="146" customFormat="1">
      <c r="A4358" s="193" t="s">
        <v>508</v>
      </c>
      <c r="B4358" s="210">
        <v>5</v>
      </c>
      <c r="C4358" s="191" t="str">
        <f>IF('IWP10'!E$426=0,"",'IWP10'!E$426)</f>
        <v/>
      </c>
      <c r="D4358" s="211">
        <f>'IWP10'!G$426</f>
        <v>0</v>
      </c>
      <c r="E4358" s="211">
        <f>'IWP10'!H$426</f>
        <v>0</v>
      </c>
      <c r="F4358" s="211">
        <f>'IWP10'!I$426</f>
        <v>0</v>
      </c>
      <c r="G4358" s="191" t="str">
        <f>IF('IWP10'!J$426=0,"",'IWP10'!J$426)</f>
        <v/>
      </c>
      <c r="H4358" s="211">
        <f>'IWP10'!K$426</f>
        <v>0</v>
      </c>
      <c r="I4358" s="211">
        <f>'IWP10'!L$426</f>
        <v>0</v>
      </c>
      <c r="J4358" s="212">
        <f>'IWP10'!M$426</f>
        <v>0</v>
      </c>
      <c r="K4358" s="106"/>
      <c r="L4358" s="106"/>
      <c r="M4358" s="129"/>
    </row>
    <row r="4359" spans="1:13" s="146" customFormat="1">
      <c r="A4359" s="193" t="s">
        <v>508</v>
      </c>
      <c r="B4359" s="210">
        <v>5</v>
      </c>
      <c r="C4359" s="191" t="str">
        <f>IF('IWP10'!E$427=0,"",'IWP10'!E$427)</f>
        <v/>
      </c>
      <c r="D4359" s="211">
        <f>'IWP10'!G$427</f>
        <v>0</v>
      </c>
      <c r="E4359" s="211">
        <f>'IWP10'!H$427</f>
        <v>0</v>
      </c>
      <c r="F4359" s="211">
        <f>'IWP10'!I$427</f>
        <v>0</v>
      </c>
      <c r="G4359" s="191" t="str">
        <f>IF('IWP10'!J$427=0,"",'IWP10'!J$427)</f>
        <v/>
      </c>
      <c r="H4359" s="211">
        <f>'IWP10'!K$427</f>
        <v>0</v>
      </c>
      <c r="I4359" s="211">
        <f>'IWP10'!L$427</f>
        <v>0</v>
      </c>
      <c r="J4359" s="212">
        <f>'IWP10'!M$427</f>
        <v>0</v>
      </c>
      <c r="K4359" s="106"/>
      <c r="L4359" s="106"/>
      <c r="M4359" s="129"/>
    </row>
    <row r="4360" spans="1:13" s="146" customFormat="1">
      <c r="A4360" s="193" t="s">
        <v>508</v>
      </c>
      <c r="B4360" s="210">
        <v>5</v>
      </c>
      <c r="C4360" s="191" t="str">
        <f>IF('IWP10'!E$428=0,"",'IWP10'!E$428)</f>
        <v/>
      </c>
      <c r="D4360" s="211">
        <f>'IWP10'!G$428</f>
        <v>0</v>
      </c>
      <c r="E4360" s="211">
        <f>'IWP10'!H$428</f>
        <v>0</v>
      </c>
      <c r="F4360" s="211">
        <f>'IWP10'!I$428</f>
        <v>0</v>
      </c>
      <c r="G4360" s="191" t="str">
        <f>IF('IWP10'!J$428=0,"",'IWP10'!J$428)</f>
        <v/>
      </c>
      <c r="H4360" s="211">
        <f>'IWP10'!K$428</f>
        <v>0</v>
      </c>
      <c r="I4360" s="211">
        <f>'IWP10'!L$428</f>
        <v>0</v>
      </c>
      <c r="J4360" s="212">
        <f>'IWP10'!M$428</f>
        <v>0</v>
      </c>
      <c r="K4360" s="106"/>
      <c r="L4360" s="106"/>
      <c r="M4360" s="129"/>
    </row>
    <row r="4361" spans="1:13" s="146" customFormat="1">
      <c r="A4361" s="193" t="s">
        <v>508</v>
      </c>
      <c r="B4361" s="210">
        <v>6</v>
      </c>
      <c r="C4361" s="191" t="str">
        <f>IF('IWP10'!E$435=0,"",'IWP10'!E$435)</f>
        <v>Subtotal column D.</v>
      </c>
      <c r="D4361" s="211">
        <f>'IWP10'!G$435</f>
        <v>0</v>
      </c>
      <c r="E4361" s="211">
        <f>'IWP10'!H$435</f>
        <v>0</v>
      </c>
      <c r="F4361" s="211">
        <f>'IWP10'!I$435</f>
        <v>0</v>
      </c>
      <c r="G4361" s="191" t="str">
        <f>IF('IWP10'!J$435=0,"",'IWP10'!J$435)</f>
        <v/>
      </c>
      <c r="H4361" s="211">
        <f>'IWP10'!K$435</f>
        <v>0</v>
      </c>
      <c r="I4361" s="211">
        <f>'IWP10'!L$435</f>
        <v>0</v>
      </c>
      <c r="J4361" s="212">
        <f>'IWP10'!M$435</f>
        <v>0</v>
      </c>
      <c r="K4361" s="106"/>
      <c r="L4361" s="106"/>
      <c r="M4361" s="129"/>
    </row>
    <row r="4362" spans="1:13" s="146" customFormat="1">
      <c r="A4362" s="193" t="s">
        <v>508</v>
      </c>
      <c r="B4362" s="210">
        <v>6</v>
      </c>
      <c r="C4362" s="191" t="str">
        <f>IF('IWP10'!E$436=0,"",'IWP10'!E$436)</f>
        <v>Unverified/Undocumented (Subtotal D - C)</v>
      </c>
      <c r="D4362" s="211">
        <f>'IWP10'!G$436</f>
        <v>0</v>
      </c>
      <c r="E4362" s="211">
        <f>'IWP10'!H$436</f>
        <v>0</v>
      </c>
      <c r="F4362" s="211">
        <f>'IWP10'!I$436</f>
        <v>0</v>
      </c>
      <c r="G4362" s="191" t="str">
        <f>IF('IWP10'!J$436=0,"",'IWP10'!J$436)</f>
        <v/>
      </c>
      <c r="H4362" s="211">
        <f>'IWP10'!K$436</f>
        <v>0</v>
      </c>
      <c r="I4362" s="211">
        <f>'IWP10'!L$436</f>
        <v>0</v>
      </c>
      <c r="J4362" s="212">
        <f>'IWP10'!M$436</f>
        <v>0</v>
      </c>
      <c r="K4362" s="106"/>
      <c r="L4362" s="106"/>
      <c r="M4362" s="129"/>
    </row>
    <row r="4363" spans="1:13" s="146" customFormat="1">
      <c r="A4363" s="193" t="s">
        <v>508</v>
      </c>
      <c r="B4363" s="210">
        <v>6</v>
      </c>
      <c r="C4363" s="191" t="str">
        <f>IF('IWP10'!E$437=0,"",'IWP10'!E$437)</f>
        <v>J. Billing Period Total</v>
      </c>
      <c r="D4363" s="211">
        <f>'IWP10'!G$437</f>
        <v>0</v>
      </c>
      <c r="E4363" s="211">
        <f>'IWP10'!H$437</f>
        <v>0</v>
      </c>
      <c r="F4363" s="211">
        <f>'IWP10'!I$437</f>
        <v>0</v>
      </c>
      <c r="G4363" s="191" t="str">
        <f>IF('IWP10'!J$437=0,"",'IWP10'!J$437)</f>
        <v/>
      </c>
      <c r="H4363" s="211">
        <f>'IWP10'!K$437</f>
        <v>0</v>
      </c>
      <c r="I4363" s="211">
        <f>'IWP10'!L$437</f>
        <v>0</v>
      </c>
      <c r="J4363" s="212">
        <f>'IWP10'!M$437</f>
        <v>0</v>
      </c>
      <c r="K4363" s="106"/>
      <c r="L4363" s="106"/>
      <c r="M4363" s="129"/>
    </row>
    <row r="4364" spans="1:13" s="146" customFormat="1">
      <c r="A4364" s="193" t="s">
        <v>508</v>
      </c>
      <c r="B4364" s="210">
        <v>6</v>
      </c>
      <c r="C4364" s="191" t="str">
        <f>IF('IWP10'!E$438=0,"",'IWP10'!E$438)</f>
        <v>D.</v>
      </c>
      <c r="D4364" s="211">
        <f>'IWP10'!G$438</f>
        <v>0</v>
      </c>
      <c r="E4364" s="211" t="str">
        <f>'IWP10'!H$438</f>
        <v>E.</v>
      </c>
      <c r="F4364" s="211" t="str">
        <f>'IWP10'!I$438</f>
        <v>F.</v>
      </c>
      <c r="G4364" s="191" t="str">
        <f>IF('IWP10'!J$438=0,"",'IWP10'!J$438)</f>
        <v>G.</v>
      </c>
      <c r="H4364" s="211">
        <f>'IWP10'!K$438</f>
        <v>0</v>
      </c>
      <c r="I4364" s="211" t="str">
        <f>'IWP10'!L$438</f>
        <v>H.</v>
      </c>
      <c r="J4364" s="212" t="str">
        <f>'IWP10'!M$438</f>
        <v>I.</v>
      </c>
      <c r="K4364" s="106"/>
      <c r="L4364" s="106"/>
      <c r="M4364" s="129"/>
    </row>
    <row r="4365" spans="1:13" s="146" customFormat="1">
      <c r="A4365" s="193" t="s">
        <v>508</v>
      </c>
      <c r="B4365" s="210">
        <v>6</v>
      </c>
      <c r="C4365" s="191" t="str">
        <f>IF('IWP10'!E$439=0,"",'IWP10'!E$439)</f>
        <v xml:space="preserve">Items/Services Related to Billing Period </v>
      </c>
      <c r="D4365" s="211">
        <f>'IWP10'!G$439</f>
        <v>0</v>
      </c>
      <c r="E4365" s="211" t="str">
        <f>'IWP10'!H$439</f>
        <v xml:space="preserve">Item/
Service Verified Amounts
</v>
      </c>
      <c r="F4365" s="211" t="str">
        <f>'IWP10'!I$439</f>
        <v>Amount Due to DADS (E. - D.)</v>
      </c>
      <c r="G4365" s="191" t="str">
        <f>IF('IWP10'!J$439=0,"",'IWP10'!J$439)</f>
        <v>Amount Reimbursed to 
Employee(s)/Employer</v>
      </c>
      <c r="H4365" s="211">
        <f>'IWP10'!K$439</f>
        <v>0</v>
      </c>
      <c r="I4365" s="211" t="str">
        <f>'IWP10'!L$439</f>
        <v>Amount Due to Employee(s) (G. - E.)</v>
      </c>
      <c r="J4365" s="212" t="str">
        <f>'IWP10'!M$439</f>
        <v>Amount Due to Employer (G. - E.)</v>
      </c>
      <c r="K4365" s="106"/>
      <c r="L4365" s="106"/>
      <c r="M4365" s="129"/>
    </row>
    <row r="4366" spans="1:13" s="146" customFormat="1">
      <c r="A4366" s="193" t="s">
        <v>508</v>
      </c>
      <c r="B4366" s="210">
        <v>6</v>
      </c>
      <c r="C4366" s="191" t="str">
        <f>IF('IWP10'!E$440=0,"",'IWP10'!E$440)</f>
        <v>Item/Service</v>
      </c>
      <c r="D4366" s="211" t="str">
        <f>'IWP10'!G$440</f>
        <v>Itemized Amount Paid by DADS</v>
      </c>
      <c r="E4366" s="211">
        <f>'IWP10'!H$440</f>
        <v>0</v>
      </c>
      <c r="F4366" s="211">
        <f>'IWP10'!I$440</f>
        <v>0</v>
      </c>
      <c r="G4366" s="191" t="str">
        <f>IF('IWP10'!J$440=0,"",'IWP10'!J$440)</f>
        <v/>
      </c>
      <c r="H4366" s="211">
        <f>'IWP10'!K$440</f>
        <v>0</v>
      </c>
      <c r="I4366" s="211">
        <f>'IWP10'!L$440</f>
        <v>0</v>
      </c>
      <c r="J4366" s="212">
        <f>'IWP10'!M$440</f>
        <v>0</v>
      </c>
      <c r="K4366" s="106"/>
      <c r="L4366" s="106"/>
      <c r="M4366" s="129"/>
    </row>
    <row r="4367" spans="1:13" s="146" customFormat="1">
      <c r="A4367" s="193" t="s">
        <v>508</v>
      </c>
      <c r="B4367" s="210">
        <v>6</v>
      </c>
      <c r="C4367" s="191" t="str">
        <f>IF('IWP10'!E$441=0,"",'IWP10'!E$441)</f>
        <v/>
      </c>
      <c r="D4367" s="211">
        <f>'IWP10'!G$441</f>
        <v>0</v>
      </c>
      <c r="E4367" s="211">
        <f>'IWP10'!H$441</f>
        <v>0</v>
      </c>
      <c r="F4367" s="211">
        <f>'IWP10'!I$441</f>
        <v>0</v>
      </c>
      <c r="G4367" s="191" t="str">
        <f>IF('IWP10'!J$441=0,"",'IWP10'!J$441)</f>
        <v/>
      </c>
      <c r="H4367" s="211">
        <f>'IWP10'!K$441</f>
        <v>0</v>
      </c>
      <c r="I4367" s="211">
        <f>'IWP10'!L$441</f>
        <v>0</v>
      </c>
      <c r="J4367" s="212">
        <f>'IWP10'!M$441</f>
        <v>0</v>
      </c>
      <c r="K4367" s="106"/>
      <c r="L4367" s="106"/>
      <c r="M4367" s="129"/>
    </row>
    <row r="4368" spans="1:13" s="146" customFormat="1">
      <c r="A4368" s="193" t="s">
        <v>508</v>
      </c>
      <c r="B4368" s="210">
        <v>6</v>
      </c>
      <c r="C4368" s="191" t="str">
        <f>IF('IWP10'!E$442=0,"",'IWP10'!E$442)</f>
        <v/>
      </c>
      <c r="D4368" s="211">
        <f>'IWP10'!G$442</f>
        <v>0</v>
      </c>
      <c r="E4368" s="211">
        <f>'IWP10'!H$442</f>
        <v>0</v>
      </c>
      <c r="F4368" s="211">
        <f>'IWP10'!I$442</f>
        <v>0</v>
      </c>
      <c r="G4368" s="191" t="str">
        <f>IF('IWP10'!J$442=0,"",'IWP10'!J$442)</f>
        <v/>
      </c>
      <c r="H4368" s="211">
        <f>'IWP10'!K$442</f>
        <v>0</v>
      </c>
      <c r="I4368" s="211">
        <f>'IWP10'!L$442</f>
        <v>0</v>
      </c>
      <c r="J4368" s="212">
        <f>'IWP10'!M$442</f>
        <v>0</v>
      </c>
      <c r="K4368" s="106"/>
      <c r="L4368" s="106"/>
      <c r="M4368" s="129"/>
    </row>
    <row r="4369" spans="1:13" s="146" customFormat="1">
      <c r="A4369" s="193" t="s">
        <v>508</v>
      </c>
      <c r="B4369" s="210">
        <v>6</v>
      </c>
      <c r="C4369" s="191" t="str">
        <f>IF('IWP10'!E$443=0,"",'IWP10'!E$443)</f>
        <v/>
      </c>
      <c r="D4369" s="211">
        <f>'IWP10'!G$443</f>
        <v>0</v>
      </c>
      <c r="E4369" s="211">
        <f>'IWP10'!H$443</f>
        <v>0</v>
      </c>
      <c r="F4369" s="211">
        <f>'IWP10'!I$443</f>
        <v>0</v>
      </c>
      <c r="G4369" s="191" t="str">
        <f>IF('IWP10'!J$443=0,"",'IWP10'!J$443)</f>
        <v/>
      </c>
      <c r="H4369" s="211">
        <f>'IWP10'!K$443</f>
        <v>0</v>
      </c>
      <c r="I4369" s="211">
        <f>'IWP10'!L$443</f>
        <v>0</v>
      </c>
      <c r="J4369" s="212">
        <f>'IWP10'!M$443</f>
        <v>0</v>
      </c>
      <c r="K4369" s="106"/>
      <c r="L4369" s="106"/>
      <c r="M4369" s="129"/>
    </row>
    <row r="4370" spans="1:13" s="146" customFormat="1">
      <c r="A4370" s="193" t="s">
        <v>508</v>
      </c>
      <c r="B4370" s="210">
        <v>6</v>
      </c>
      <c r="C4370" s="191" t="str">
        <f>IF('IWP10'!E$444=0,"",'IWP10'!E$444)</f>
        <v/>
      </c>
      <c r="D4370" s="211">
        <f>'IWP10'!G$444</f>
        <v>0</v>
      </c>
      <c r="E4370" s="211">
        <f>'IWP10'!H$444</f>
        <v>0</v>
      </c>
      <c r="F4370" s="211">
        <f>'IWP10'!I$444</f>
        <v>0</v>
      </c>
      <c r="G4370" s="191" t="str">
        <f>IF('IWP10'!J$444=0,"",'IWP10'!J$444)</f>
        <v/>
      </c>
      <c r="H4370" s="211">
        <f>'IWP10'!K$444</f>
        <v>0</v>
      </c>
      <c r="I4370" s="211">
        <f>'IWP10'!L$444</f>
        <v>0</v>
      </c>
      <c r="J4370" s="212">
        <f>'IWP10'!M$444</f>
        <v>0</v>
      </c>
      <c r="K4370" s="106"/>
      <c r="L4370" s="106"/>
      <c r="M4370" s="129"/>
    </row>
    <row r="4371" spans="1:13" s="146" customFormat="1">
      <c r="A4371" s="193" t="s">
        <v>508</v>
      </c>
      <c r="B4371" s="210">
        <v>7</v>
      </c>
      <c r="C4371" s="191" t="str">
        <f>IF('IWP10'!E$451=0,"",'IWP10'!E$451)</f>
        <v>Subtotal column D.</v>
      </c>
      <c r="D4371" s="211">
        <f>'IWP10'!G$451</f>
        <v>0</v>
      </c>
      <c r="E4371" s="211">
        <f>'IWP10'!H$451</f>
        <v>0</v>
      </c>
      <c r="F4371" s="211">
        <f>'IWP10'!I$451</f>
        <v>0</v>
      </c>
      <c r="G4371" s="191" t="str">
        <f>IF('IWP10'!J$451=0,"",'IWP10'!J$451)</f>
        <v/>
      </c>
      <c r="H4371" s="211">
        <f>'IWP10'!K$451</f>
        <v>0</v>
      </c>
      <c r="I4371" s="211">
        <f>'IWP10'!L$451</f>
        <v>0</v>
      </c>
      <c r="J4371" s="212">
        <f>'IWP10'!M$451</f>
        <v>0</v>
      </c>
      <c r="K4371" s="106"/>
      <c r="L4371" s="106"/>
      <c r="M4371" s="129"/>
    </row>
    <row r="4372" spans="1:13" s="146" customFormat="1">
      <c r="A4372" s="193" t="s">
        <v>508</v>
      </c>
      <c r="B4372" s="210">
        <v>7</v>
      </c>
      <c r="C4372" s="191" t="str">
        <f>IF('IWP10'!E$452=0,"",'IWP10'!E$452)</f>
        <v>Unverified/Undocumented (Subtotal D - C)</v>
      </c>
      <c r="D4372" s="211">
        <f>'IWP10'!G$452</f>
        <v>0</v>
      </c>
      <c r="E4372" s="211">
        <f>'IWP10'!H$452</f>
        <v>0</v>
      </c>
      <c r="F4372" s="211">
        <f>'IWP10'!I$452</f>
        <v>0</v>
      </c>
      <c r="G4372" s="191" t="str">
        <f>IF('IWP10'!J$452=0,"",'IWP10'!J$452)</f>
        <v/>
      </c>
      <c r="H4372" s="211">
        <f>'IWP10'!K$452</f>
        <v>0</v>
      </c>
      <c r="I4372" s="211">
        <f>'IWP10'!L$452</f>
        <v>0</v>
      </c>
      <c r="J4372" s="212">
        <f>'IWP10'!M$452</f>
        <v>0</v>
      </c>
      <c r="K4372" s="106"/>
      <c r="L4372" s="106"/>
      <c r="M4372" s="129"/>
    </row>
    <row r="4373" spans="1:13" s="146" customFormat="1">
      <c r="A4373" s="193" t="s">
        <v>508</v>
      </c>
      <c r="B4373" s="210">
        <v>7</v>
      </c>
      <c r="C4373" s="191" t="str">
        <f>IF('IWP10'!E$453=0,"",'IWP10'!E$453)</f>
        <v>J. Billing Period Total</v>
      </c>
      <c r="D4373" s="211">
        <f>'IWP10'!G$453</f>
        <v>0</v>
      </c>
      <c r="E4373" s="211">
        <f>'IWP10'!H$453</f>
        <v>0</v>
      </c>
      <c r="F4373" s="211">
        <f>'IWP10'!I$453</f>
        <v>0</v>
      </c>
      <c r="G4373" s="191" t="str">
        <f>IF('IWP10'!J$453=0,"",'IWP10'!J$453)</f>
        <v/>
      </c>
      <c r="H4373" s="211">
        <f>'IWP10'!K$453</f>
        <v>0</v>
      </c>
      <c r="I4373" s="211">
        <f>'IWP10'!L$453</f>
        <v>0</v>
      </c>
      <c r="J4373" s="212">
        <f>'IWP10'!M$453</f>
        <v>0</v>
      </c>
      <c r="K4373" s="106"/>
      <c r="L4373" s="106"/>
      <c r="M4373" s="129"/>
    </row>
    <row r="4374" spans="1:13" s="146" customFormat="1">
      <c r="A4374" s="193" t="s">
        <v>508</v>
      </c>
      <c r="B4374" s="210">
        <v>7</v>
      </c>
      <c r="C4374" s="191" t="str">
        <f>IF('IWP10'!E$454=0,"",'IWP10'!E$454)</f>
        <v>D.</v>
      </c>
      <c r="D4374" s="211">
        <f>'IWP10'!G$454</f>
        <v>0</v>
      </c>
      <c r="E4374" s="211" t="str">
        <f>'IWP10'!H$454</f>
        <v>E.</v>
      </c>
      <c r="F4374" s="211" t="str">
        <f>'IWP10'!I$454</f>
        <v>F.</v>
      </c>
      <c r="G4374" s="191" t="str">
        <f>IF('IWP10'!J$454=0,"",'IWP10'!J$454)</f>
        <v>G.</v>
      </c>
      <c r="H4374" s="211">
        <f>'IWP10'!K$454</f>
        <v>0</v>
      </c>
      <c r="I4374" s="211" t="str">
        <f>'IWP10'!L$454</f>
        <v>H.</v>
      </c>
      <c r="J4374" s="212" t="str">
        <f>'IWP10'!M$454</f>
        <v>I.</v>
      </c>
      <c r="K4374" s="106"/>
      <c r="L4374" s="106"/>
      <c r="M4374" s="129"/>
    </row>
    <row r="4375" spans="1:13" s="146" customFormat="1">
      <c r="A4375" s="193" t="s">
        <v>508</v>
      </c>
      <c r="B4375" s="210">
        <v>7</v>
      </c>
      <c r="C4375" s="191" t="str">
        <f>IF('IWP10'!E$455=0,"",'IWP10'!E$455)</f>
        <v xml:space="preserve">Items/Services Related to Billing Period </v>
      </c>
      <c r="D4375" s="211">
        <f>'IWP10'!G$455</f>
        <v>0</v>
      </c>
      <c r="E4375" s="211" t="str">
        <f>'IWP10'!H$455</f>
        <v xml:space="preserve">Item/
Service Verified Amounts
</v>
      </c>
      <c r="F4375" s="211" t="str">
        <f>'IWP10'!I$455</f>
        <v>Amount Due to DADS (E. - D.)</v>
      </c>
      <c r="G4375" s="191" t="str">
        <f>IF('IWP10'!J$455=0,"",'IWP10'!J$455)</f>
        <v>Amount Reimbursed to 
Employee(s)/Employer</v>
      </c>
      <c r="H4375" s="211">
        <f>'IWP10'!K$455</f>
        <v>0</v>
      </c>
      <c r="I4375" s="211" t="str">
        <f>'IWP10'!L$455</f>
        <v>Amount Due to Employee(s) (G. - E.)</v>
      </c>
      <c r="J4375" s="212" t="str">
        <f>'IWP10'!M$455</f>
        <v>Amount Due to Employer (G. - E.)</v>
      </c>
      <c r="K4375" s="106"/>
      <c r="L4375" s="106"/>
      <c r="M4375" s="129"/>
    </row>
    <row r="4376" spans="1:13" s="146" customFormat="1">
      <c r="A4376" s="193" t="s">
        <v>508</v>
      </c>
      <c r="B4376" s="210">
        <v>7</v>
      </c>
      <c r="C4376" s="191" t="str">
        <f>IF('IWP10'!E$456=0,"",'IWP10'!E$456)</f>
        <v>Item/Service</v>
      </c>
      <c r="D4376" s="211" t="str">
        <f>'IWP10'!G$456</f>
        <v>Itemized Amount Paid by DADS</v>
      </c>
      <c r="E4376" s="211">
        <f>'IWP10'!H$456</f>
        <v>0</v>
      </c>
      <c r="F4376" s="211">
        <f>'IWP10'!I$456</f>
        <v>0</v>
      </c>
      <c r="G4376" s="191" t="str">
        <f>IF('IWP10'!J$456=0,"",'IWP10'!J$456)</f>
        <v/>
      </c>
      <c r="H4376" s="211">
        <f>'IWP10'!K$456</f>
        <v>0</v>
      </c>
      <c r="I4376" s="211">
        <f>'IWP10'!L$456</f>
        <v>0</v>
      </c>
      <c r="J4376" s="212">
        <f>'IWP10'!M$456</f>
        <v>0</v>
      </c>
      <c r="K4376" s="106"/>
      <c r="L4376" s="106"/>
      <c r="M4376" s="129"/>
    </row>
    <row r="4377" spans="1:13" s="146" customFormat="1">
      <c r="A4377" s="193" t="s">
        <v>508</v>
      </c>
      <c r="B4377" s="210">
        <v>7</v>
      </c>
      <c r="C4377" s="191" t="str">
        <f>IF('IWP10'!E$457=0,"",'IWP10'!E$457)</f>
        <v/>
      </c>
      <c r="D4377" s="211">
        <f>'IWP10'!G$457</f>
        <v>0</v>
      </c>
      <c r="E4377" s="211">
        <f>'IWP10'!H$457</f>
        <v>0</v>
      </c>
      <c r="F4377" s="211">
        <f>'IWP10'!I$457</f>
        <v>0</v>
      </c>
      <c r="G4377" s="191" t="str">
        <f>IF('IWP10'!J$457=0,"",'IWP10'!J$457)</f>
        <v/>
      </c>
      <c r="H4377" s="211">
        <f>'IWP10'!K$457</f>
        <v>0</v>
      </c>
      <c r="I4377" s="211">
        <f>'IWP10'!L$457</f>
        <v>0</v>
      </c>
      <c r="J4377" s="212">
        <f>'IWP10'!M$457</f>
        <v>0</v>
      </c>
      <c r="K4377" s="106"/>
      <c r="L4377" s="106"/>
      <c r="M4377" s="129"/>
    </row>
    <row r="4378" spans="1:13" s="146" customFormat="1">
      <c r="A4378" s="193" t="s">
        <v>508</v>
      </c>
      <c r="B4378" s="210">
        <v>7</v>
      </c>
      <c r="C4378" s="191" t="str">
        <f>IF('IWP10'!E$458=0,"",'IWP10'!E$458)</f>
        <v/>
      </c>
      <c r="D4378" s="211">
        <f>'IWP10'!G$458</f>
        <v>0</v>
      </c>
      <c r="E4378" s="211">
        <f>'IWP10'!H$458</f>
        <v>0</v>
      </c>
      <c r="F4378" s="211">
        <f>'IWP10'!I$458</f>
        <v>0</v>
      </c>
      <c r="G4378" s="191" t="str">
        <f>IF('IWP10'!J$458=0,"",'IWP10'!J$458)</f>
        <v/>
      </c>
      <c r="H4378" s="211">
        <f>'IWP10'!K$458</f>
        <v>0</v>
      </c>
      <c r="I4378" s="211">
        <f>'IWP10'!L$458</f>
        <v>0</v>
      </c>
      <c r="J4378" s="212">
        <f>'IWP10'!M$458</f>
        <v>0</v>
      </c>
      <c r="K4378" s="106"/>
      <c r="L4378" s="106"/>
      <c r="M4378" s="129"/>
    </row>
    <row r="4379" spans="1:13" s="146" customFormat="1">
      <c r="A4379" s="193" t="s">
        <v>508</v>
      </c>
      <c r="B4379" s="210">
        <v>7</v>
      </c>
      <c r="C4379" s="191" t="str">
        <f>IF('IWP10'!E$459=0,"",'IWP10'!E$459)</f>
        <v/>
      </c>
      <c r="D4379" s="211">
        <f>'IWP10'!G$459</f>
        <v>0</v>
      </c>
      <c r="E4379" s="211">
        <f>'IWP10'!H$459</f>
        <v>0</v>
      </c>
      <c r="F4379" s="211">
        <f>'IWP10'!I$459</f>
        <v>0</v>
      </c>
      <c r="G4379" s="191" t="str">
        <f>IF('IWP10'!J$459=0,"",'IWP10'!J$459)</f>
        <v/>
      </c>
      <c r="H4379" s="211">
        <f>'IWP10'!K$459</f>
        <v>0</v>
      </c>
      <c r="I4379" s="211">
        <f>'IWP10'!L$459</f>
        <v>0</v>
      </c>
      <c r="J4379" s="212">
        <f>'IWP10'!M$459</f>
        <v>0</v>
      </c>
      <c r="K4379" s="106"/>
      <c r="L4379" s="106"/>
      <c r="M4379" s="129"/>
    </row>
    <row r="4380" spans="1:13" s="146" customFormat="1">
      <c r="A4380" s="193" t="s">
        <v>508</v>
      </c>
      <c r="B4380" s="210">
        <v>7</v>
      </c>
      <c r="C4380" s="191" t="str">
        <f>IF('IWP10'!E$460=0,"",'IWP10'!E$460)</f>
        <v/>
      </c>
      <c r="D4380" s="211">
        <f>'IWP10'!G$460</f>
        <v>0</v>
      </c>
      <c r="E4380" s="211">
        <f>'IWP10'!H$460</f>
        <v>0</v>
      </c>
      <c r="F4380" s="211">
        <f>'IWP10'!I$460</f>
        <v>0</v>
      </c>
      <c r="G4380" s="191" t="str">
        <f>IF('IWP10'!J$460=0,"",'IWP10'!J$460)</f>
        <v/>
      </c>
      <c r="H4380" s="211">
        <f>'IWP10'!K$460</f>
        <v>0</v>
      </c>
      <c r="I4380" s="211">
        <f>'IWP10'!L$460</f>
        <v>0</v>
      </c>
      <c r="J4380" s="212">
        <f>'IWP10'!M$460</f>
        <v>0</v>
      </c>
      <c r="K4380" s="106"/>
      <c r="L4380" s="106"/>
      <c r="M4380" s="129"/>
    </row>
    <row r="4381" spans="1:13" s="146" customFormat="1">
      <c r="A4381" s="193" t="s">
        <v>508</v>
      </c>
      <c r="B4381" s="210">
        <v>8</v>
      </c>
      <c r="C4381" s="191" t="str">
        <f>IF('IWP10'!E$467=0,"",'IWP10'!E$467)</f>
        <v>Subtotal column D.</v>
      </c>
      <c r="D4381" s="211">
        <f>'IWP10'!G$467</f>
        <v>0</v>
      </c>
      <c r="E4381" s="211">
        <f>'IWP10'!H$467</f>
        <v>0</v>
      </c>
      <c r="F4381" s="211">
        <f>'IWP10'!I$467</f>
        <v>0</v>
      </c>
      <c r="G4381" s="191" t="str">
        <f>IF('IWP10'!J$467=0,"",'IWP10'!J$467)</f>
        <v/>
      </c>
      <c r="H4381" s="211">
        <f>'IWP10'!K$467</f>
        <v>0</v>
      </c>
      <c r="I4381" s="211">
        <f>'IWP10'!L$467</f>
        <v>0</v>
      </c>
      <c r="J4381" s="212">
        <f>'IWP10'!M$467</f>
        <v>0</v>
      </c>
      <c r="K4381" s="106"/>
      <c r="L4381" s="106"/>
      <c r="M4381" s="129"/>
    </row>
    <row r="4382" spans="1:13" s="146" customFormat="1">
      <c r="A4382" s="193" t="s">
        <v>508</v>
      </c>
      <c r="B4382" s="210">
        <v>8</v>
      </c>
      <c r="C4382" s="191" t="str">
        <f>IF('IWP10'!E$468=0,"",'IWP10'!E$468)</f>
        <v>Unverified/Undocumented (Subtotal D - C)</v>
      </c>
      <c r="D4382" s="211">
        <f>'IWP10'!G$468</f>
        <v>0</v>
      </c>
      <c r="E4382" s="211">
        <f>'IWP10'!H$468</f>
        <v>0</v>
      </c>
      <c r="F4382" s="211">
        <f>'IWP10'!I$468</f>
        <v>0</v>
      </c>
      <c r="G4382" s="191" t="str">
        <f>IF('IWP10'!J$468=0,"",'IWP10'!J$468)</f>
        <v/>
      </c>
      <c r="H4382" s="211">
        <f>'IWP10'!K$468</f>
        <v>0</v>
      </c>
      <c r="I4382" s="211">
        <f>'IWP10'!L$468</f>
        <v>0</v>
      </c>
      <c r="J4382" s="212">
        <f>'IWP10'!M$468</f>
        <v>0</v>
      </c>
      <c r="K4382" s="106"/>
      <c r="L4382" s="106"/>
      <c r="M4382" s="129"/>
    </row>
    <row r="4383" spans="1:13" s="146" customFormat="1">
      <c r="A4383" s="193" t="s">
        <v>508</v>
      </c>
      <c r="B4383" s="210">
        <v>8</v>
      </c>
      <c r="C4383" s="191" t="str">
        <f>IF('IWP10'!E$469=0,"",'IWP10'!E$469)</f>
        <v>J. Billing Period Total</v>
      </c>
      <c r="D4383" s="211">
        <f>'IWP10'!G$469</f>
        <v>0</v>
      </c>
      <c r="E4383" s="211">
        <f>'IWP10'!H$469</f>
        <v>0</v>
      </c>
      <c r="F4383" s="211">
        <f>'IWP10'!I$469</f>
        <v>0</v>
      </c>
      <c r="G4383" s="191" t="str">
        <f>IF('IWP10'!J$469=0,"",'IWP10'!J$469)</f>
        <v/>
      </c>
      <c r="H4383" s="211">
        <f>'IWP10'!K$469</f>
        <v>0</v>
      </c>
      <c r="I4383" s="211">
        <f>'IWP10'!L$469</f>
        <v>0</v>
      </c>
      <c r="J4383" s="212">
        <f>'IWP10'!M$469</f>
        <v>0</v>
      </c>
      <c r="K4383" s="106"/>
      <c r="L4383" s="106"/>
      <c r="M4383" s="129"/>
    </row>
    <row r="4384" spans="1:13" s="146" customFormat="1">
      <c r="A4384" s="193" t="s">
        <v>508</v>
      </c>
      <c r="B4384" s="210">
        <v>8</v>
      </c>
      <c r="C4384" s="191" t="str">
        <f>IF('IWP10'!E$470=0,"",'IWP10'!E$470)</f>
        <v>D.</v>
      </c>
      <c r="D4384" s="211">
        <f>'IWP10'!G$470</f>
        <v>0</v>
      </c>
      <c r="E4384" s="211" t="str">
        <f>'IWP10'!H$470</f>
        <v>E.</v>
      </c>
      <c r="F4384" s="211" t="str">
        <f>'IWP10'!I$470</f>
        <v>F.</v>
      </c>
      <c r="G4384" s="191" t="str">
        <f>IF('IWP10'!J$470=0,"",'IWP10'!J$470)</f>
        <v>G.</v>
      </c>
      <c r="H4384" s="211">
        <f>'IWP10'!K$470</f>
        <v>0</v>
      </c>
      <c r="I4384" s="211" t="str">
        <f>'IWP10'!L$470</f>
        <v>H.</v>
      </c>
      <c r="J4384" s="212" t="str">
        <f>'IWP10'!M$470</f>
        <v>I.</v>
      </c>
      <c r="K4384" s="106"/>
      <c r="L4384" s="106"/>
      <c r="M4384" s="129"/>
    </row>
    <row r="4385" spans="1:13" s="146" customFormat="1">
      <c r="A4385" s="193" t="s">
        <v>508</v>
      </c>
      <c r="B4385" s="210">
        <v>8</v>
      </c>
      <c r="C4385" s="191" t="str">
        <f>IF('IWP10'!E$471=0,"",'IWP10'!E$471)</f>
        <v xml:space="preserve">Items/Services Related to Billing Period </v>
      </c>
      <c r="D4385" s="211">
        <f>'IWP10'!G$471</f>
        <v>0</v>
      </c>
      <c r="E4385" s="211" t="str">
        <f>'IWP10'!H$471</f>
        <v xml:space="preserve">Item/
Service Verified Amounts
</v>
      </c>
      <c r="F4385" s="211" t="str">
        <f>'IWP10'!I$471</f>
        <v>Amount Due to DADS (E. - D.)</v>
      </c>
      <c r="G4385" s="191" t="str">
        <f>IF('IWP10'!J$471=0,"",'IWP10'!J$471)</f>
        <v>Amount Reimbursed to 
Employee(s)/Employer</v>
      </c>
      <c r="H4385" s="211">
        <f>'IWP10'!K$471</f>
        <v>0</v>
      </c>
      <c r="I4385" s="211" t="str">
        <f>'IWP10'!L$471</f>
        <v>Amount Due to Employee(s) (G. - E.)</v>
      </c>
      <c r="J4385" s="212" t="str">
        <f>'IWP10'!M$471</f>
        <v>Amount Due to Employer (G. - E.)</v>
      </c>
      <c r="K4385" s="106"/>
      <c r="L4385" s="106"/>
      <c r="M4385" s="129"/>
    </row>
    <row r="4386" spans="1:13" s="146" customFormat="1">
      <c r="A4386" s="193" t="s">
        <v>508</v>
      </c>
      <c r="B4386" s="210">
        <v>8</v>
      </c>
      <c r="C4386" s="191" t="str">
        <f>IF('IWP10'!E$472=0,"",'IWP10'!E$472)</f>
        <v>Item/Service</v>
      </c>
      <c r="D4386" s="211" t="str">
        <f>'IWP10'!G$472</f>
        <v>Itemized Amount Paid by DADS</v>
      </c>
      <c r="E4386" s="211">
        <f>'IWP10'!H$472</f>
        <v>0</v>
      </c>
      <c r="F4386" s="211">
        <f>'IWP10'!I$472</f>
        <v>0</v>
      </c>
      <c r="G4386" s="191" t="str">
        <f>IF('IWP10'!J$472=0,"",'IWP10'!J$472)</f>
        <v/>
      </c>
      <c r="H4386" s="211">
        <f>'IWP10'!K$472</f>
        <v>0</v>
      </c>
      <c r="I4386" s="211">
        <f>'IWP10'!L$472</f>
        <v>0</v>
      </c>
      <c r="J4386" s="212">
        <f>'IWP10'!M$472</f>
        <v>0</v>
      </c>
      <c r="K4386" s="106"/>
      <c r="L4386" s="106"/>
      <c r="M4386" s="129"/>
    </row>
    <row r="4387" spans="1:13" s="146" customFormat="1">
      <c r="A4387" s="193" t="s">
        <v>508</v>
      </c>
      <c r="B4387" s="210">
        <v>8</v>
      </c>
      <c r="C4387" s="191" t="str">
        <f>IF('IWP10'!E$473=0,"",'IWP10'!E$473)</f>
        <v/>
      </c>
      <c r="D4387" s="211">
        <f>'IWP10'!G$473</f>
        <v>0</v>
      </c>
      <c r="E4387" s="211">
        <f>'IWP10'!H$473</f>
        <v>0</v>
      </c>
      <c r="F4387" s="211">
        <f>'IWP10'!I$473</f>
        <v>0</v>
      </c>
      <c r="G4387" s="191" t="str">
        <f>IF('IWP10'!J$473=0,"",'IWP10'!J$473)</f>
        <v/>
      </c>
      <c r="H4387" s="211">
        <f>'IWP10'!K$473</f>
        <v>0</v>
      </c>
      <c r="I4387" s="211">
        <f>'IWP10'!L$473</f>
        <v>0</v>
      </c>
      <c r="J4387" s="212">
        <f>'IWP10'!M$473</f>
        <v>0</v>
      </c>
      <c r="K4387" s="106"/>
      <c r="L4387" s="106"/>
      <c r="M4387" s="129"/>
    </row>
    <row r="4388" spans="1:13" s="146" customFormat="1">
      <c r="A4388" s="193" t="s">
        <v>508</v>
      </c>
      <c r="B4388" s="210">
        <v>8</v>
      </c>
      <c r="C4388" s="191" t="str">
        <f>IF('IWP10'!E$474=0,"",'IWP10'!E$474)</f>
        <v/>
      </c>
      <c r="D4388" s="211">
        <f>'IWP10'!G$474</f>
        <v>0</v>
      </c>
      <c r="E4388" s="211">
        <f>'IWP10'!H$474</f>
        <v>0</v>
      </c>
      <c r="F4388" s="211">
        <f>'IWP10'!I$474</f>
        <v>0</v>
      </c>
      <c r="G4388" s="191" t="str">
        <f>IF('IWP10'!J$474=0,"",'IWP10'!J$474)</f>
        <v/>
      </c>
      <c r="H4388" s="211">
        <f>'IWP10'!K$474</f>
        <v>0</v>
      </c>
      <c r="I4388" s="211">
        <f>'IWP10'!L$474</f>
        <v>0</v>
      </c>
      <c r="J4388" s="212">
        <f>'IWP10'!M$474</f>
        <v>0</v>
      </c>
      <c r="K4388" s="106"/>
      <c r="L4388" s="106"/>
      <c r="M4388" s="129"/>
    </row>
    <row r="4389" spans="1:13" s="146" customFormat="1">
      <c r="A4389" s="193" t="s">
        <v>508</v>
      </c>
      <c r="B4389" s="210">
        <v>8</v>
      </c>
      <c r="C4389" s="191" t="str">
        <f>IF('IWP10'!E$475=0,"",'IWP10'!E$475)</f>
        <v/>
      </c>
      <c r="D4389" s="211">
        <f>'IWP10'!G$475</f>
        <v>0</v>
      </c>
      <c r="E4389" s="211">
        <f>'IWP10'!H$475</f>
        <v>0</v>
      </c>
      <c r="F4389" s="211">
        <f>'IWP10'!I$475</f>
        <v>0</v>
      </c>
      <c r="G4389" s="191" t="str">
        <f>IF('IWP10'!J$475=0,"",'IWP10'!J$475)</f>
        <v/>
      </c>
      <c r="H4389" s="211">
        <f>'IWP10'!K$475</f>
        <v>0</v>
      </c>
      <c r="I4389" s="211">
        <f>'IWP10'!L$475</f>
        <v>0</v>
      </c>
      <c r="J4389" s="212">
        <f>'IWP10'!M$475</f>
        <v>0</v>
      </c>
      <c r="K4389" s="106"/>
      <c r="L4389" s="106"/>
      <c r="M4389" s="129"/>
    </row>
    <row r="4390" spans="1:13" s="146" customFormat="1">
      <c r="A4390" s="193" t="s">
        <v>508</v>
      </c>
      <c r="B4390" s="210">
        <v>8</v>
      </c>
      <c r="C4390" s="191" t="str">
        <f>IF('IWP10'!E$476=0,"",'IWP10'!E$476)</f>
        <v/>
      </c>
      <c r="D4390" s="211">
        <f>'IWP10'!G$476</f>
        <v>0</v>
      </c>
      <c r="E4390" s="211">
        <f>'IWP10'!H$476</f>
        <v>0</v>
      </c>
      <c r="F4390" s="211">
        <f>'IWP10'!I$476</f>
        <v>0</v>
      </c>
      <c r="G4390" s="191" t="str">
        <f>IF('IWP10'!J$476=0,"",'IWP10'!J$476)</f>
        <v/>
      </c>
      <c r="H4390" s="211">
        <f>'IWP10'!K$476</f>
        <v>0</v>
      </c>
      <c r="I4390" s="211">
        <f>'IWP10'!L$476</f>
        <v>0</v>
      </c>
      <c r="J4390" s="212">
        <f>'IWP10'!M$476</f>
        <v>0</v>
      </c>
      <c r="K4390" s="106"/>
      <c r="L4390" s="106"/>
      <c r="M4390" s="129"/>
    </row>
    <row r="4391" spans="1:13" s="146" customFormat="1">
      <c r="A4391" s="193" t="s">
        <v>508</v>
      </c>
      <c r="B4391" s="210">
        <v>9</v>
      </c>
      <c r="C4391" s="191" t="str">
        <f>IF('IWP10'!E$483=0,"",'IWP10'!E$483)</f>
        <v>Subtotal column D.</v>
      </c>
      <c r="D4391" s="211">
        <f>'IWP10'!G$483</f>
        <v>0</v>
      </c>
      <c r="E4391" s="211">
        <f>'IWP10'!H$483</f>
        <v>0</v>
      </c>
      <c r="F4391" s="211">
        <f>'IWP10'!I$483</f>
        <v>0</v>
      </c>
      <c r="G4391" s="191" t="str">
        <f>IF('IWP10'!J$483=0,"",'IWP10'!J$483)</f>
        <v/>
      </c>
      <c r="H4391" s="211">
        <f>'IWP10'!K$483</f>
        <v>0</v>
      </c>
      <c r="I4391" s="211">
        <f>'IWP10'!L$483</f>
        <v>0</v>
      </c>
      <c r="J4391" s="212">
        <f>'IWP10'!M$483</f>
        <v>0</v>
      </c>
      <c r="K4391" s="106"/>
      <c r="L4391" s="106"/>
      <c r="M4391" s="129"/>
    </row>
    <row r="4392" spans="1:13" s="146" customFormat="1">
      <c r="A4392" s="193" t="s">
        <v>508</v>
      </c>
      <c r="B4392" s="210">
        <v>9</v>
      </c>
      <c r="C4392" s="191" t="str">
        <f>IF('IWP10'!E$484=0,"",'IWP10'!E$484)</f>
        <v>Unverified/Undocumented (Subtotal D - C)</v>
      </c>
      <c r="D4392" s="211">
        <f>'IWP10'!G$484</f>
        <v>0</v>
      </c>
      <c r="E4392" s="211">
        <f>'IWP10'!H$484</f>
        <v>0</v>
      </c>
      <c r="F4392" s="211">
        <f>'IWP10'!I$484</f>
        <v>0</v>
      </c>
      <c r="G4392" s="191" t="str">
        <f>IF('IWP10'!J$484=0,"",'IWP10'!J$484)</f>
        <v/>
      </c>
      <c r="H4392" s="211">
        <f>'IWP10'!K$484</f>
        <v>0</v>
      </c>
      <c r="I4392" s="211">
        <f>'IWP10'!L$484</f>
        <v>0</v>
      </c>
      <c r="J4392" s="212">
        <f>'IWP10'!M$484</f>
        <v>0</v>
      </c>
      <c r="K4392" s="106"/>
      <c r="L4392" s="106"/>
      <c r="M4392" s="129"/>
    </row>
    <row r="4393" spans="1:13" s="146" customFormat="1">
      <c r="A4393" s="193" t="s">
        <v>508</v>
      </c>
      <c r="B4393" s="210">
        <v>9</v>
      </c>
      <c r="C4393" s="191" t="str">
        <f>IF('IWP10'!E$485=0,"",'IWP10'!E$485)</f>
        <v>J. Billing Period Total</v>
      </c>
      <c r="D4393" s="211">
        <f>'IWP10'!G$485</f>
        <v>0</v>
      </c>
      <c r="E4393" s="211">
        <f>'IWP10'!H$485</f>
        <v>0</v>
      </c>
      <c r="F4393" s="211">
        <f>'IWP10'!I$485</f>
        <v>0</v>
      </c>
      <c r="G4393" s="191" t="str">
        <f>IF('IWP10'!J$485=0,"",'IWP10'!J$485)</f>
        <v/>
      </c>
      <c r="H4393" s="211">
        <f>'IWP10'!K$485</f>
        <v>0</v>
      </c>
      <c r="I4393" s="211">
        <f>'IWP10'!L$485</f>
        <v>0</v>
      </c>
      <c r="J4393" s="212">
        <f>'IWP10'!M$485</f>
        <v>0</v>
      </c>
      <c r="K4393" s="106"/>
      <c r="L4393" s="106"/>
      <c r="M4393" s="129"/>
    </row>
    <row r="4394" spans="1:13" s="146" customFormat="1">
      <c r="A4394" s="193" t="s">
        <v>508</v>
      </c>
      <c r="B4394" s="210">
        <v>9</v>
      </c>
      <c r="C4394" s="191" t="str">
        <f>IF('IWP10'!E$486=0,"",'IWP10'!E$486)</f>
        <v>D.</v>
      </c>
      <c r="D4394" s="211">
        <f>'IWP10'!G$486</f>
        <v>0</v>
      </c>
      <c r="E4394" s="211" t="str">
        <f>'IWP10'!H$486</f>
        <v>E.</v>
      </c>
      <c r="F4394" s="211" t="str">
        <f>'IWP10'!I$486</f>
        <v>F.</v>
      </c>
      <c r="G4394" s="191" t="str">
        <f>IF('IWP10'!J$486=0,"",'IWP10'!J$486)</f>
        <v>G.</v>
      </c>
      <c r="H4394" s="211">
        <f>'IWP10'!K$486</f>
        <v>0</v>
      </c>
      <c r="I4394" s="211" t="str">
        <f>'IWP10'!L$486</f>
        <v>H.</v>
      </c>
      <c r="J4394" s="212" t="str">
        <f>'IWP10'!M$486</f>
        <v>I.</v>
      </c>
      <c r="K4394" s="106"/>
      <c r="L4394" s="106"/>
      <c r="M4394" s="129"/>
    </row>
    <row r="4395" spans="1:13" s="146" customFormat="1">
      <c r="A4395" s="193" t="s">
        <v>508</v>
      </c>
      <c r="B4395" s="210">
        <v>9</v>
      </c>
      <c r="C4395" s="191" t="str">
        <f>IF('IWP10'!E$487=0,"",'IWP10'!E$487)</f>
        <v xml:space="preserve">Items/Services Related to Billing Period </v>
      </c>
      <c r="D4395" s="211">
        <f>'IWP10'!G$487</f>
        <v>0</v>
      </c>
      <c r="E4395" s="211" t="str">
        <f>'IWP10'!H$487</f>
        <v xml:space="preserve">Item/
Service Verified Amounts
</v>
      </c>
      <c r="F4395" s="211" t="str">
        <f>'IWP10'!I$487</f>
        <v>Amount Due to DADS (E. - D.)</v>
      </c>
      <c r="G4395" s="191" t="str">
        <f>IF('IWP10'!J$487=0,"",'IWP10'!J$487)</f>
        <v>Amount Reimbursed to 
Employee(s)/Employer</v>
      </c>
      <c r="H4395" s="211">
        <f>'IWP10'!K$487</f>
        <v>0</v>
      </c>
      <c r="I4395" s="211" t="str">
        <f>'IWP10'!L$487</f>
        <v>Amount Due to Employee(s) (G. - E.)</v>
      </c>
      <c r="J4395" s="212" t="str">
        <f>'IWP10'!M$487</f>
        <v>Amount Due to Employer (G. - E.)</v>
      </c>
      <c r="K4395" s="106"/>
      <c r="L4395" s="106"/>
      <c r="M4395" s="129"/>
    </row>
    <row r="4396" spans="1:13" s="146" customFormat="1">
      <c r="A4396" s="193" t="s">
        <v>508</v>
      </c>
      <c r="B4396" s="210">
        <v>9</v>
      </c>
      <c r="C4396" s="191" t="str">
        <f>IF('IWP10'!E$488=0,"",'IWP10'!E$488)</f>
        <v>Item/Service</v>
      </c>
      <c r="D4396" s="211" t="str">
        <f>'IWP10'!G$488</f>
        <v>Itemized Amount Paid by DADS</v>
      </c>
      <c r="E4396" s="211">
        <f>'IWP10'!H$488</f>
        <v>0</v>
      </c>
      <c r="F4396" s="211">
        <f>'IWP10'!I$488</f>
        <v>0</v>
      </c>
      <c r="G4396" s="191" t="str">
        <f>IF('IWP10'!J$488=0,"",'IWP10'!J$488)</f>
        <v/>
      </c>
      <c r="H4396" s="211">
        <f>'IWP10'!K$488</f>
        <v>0</v>
      </c>
      <c r="I4396" s="211">
        <f>'IWP10'!L$488</f>
        <v>0</v>
      </c>
      <c r="J4396" s="212">
        <f>'IWP10'!M$488</f>
        <v>0</v>
      </c>
      <c r="K4396" s="106"/>
      <c r="L4396" s="106"/>
      <c r="M4396" s="129"/>
    </row>
    <row r="4397" spans="1:13" s="146" customFormat="1">
      <c r="A4397" s="193" t="s">
        <v>508</v>
      </c>
      <c r="B4397" s="210">
        <v>9</v>
      </c>
      <c r="C4397" s="191" t="str">
        <f>IF('IWP10'!E$489=0,"",'IWP10'!E$489)</f>
        <v/>
      </c>
      <c r="D4397" s="211">
        <f>'IWP10'!G$489</f>
        <v>0</v>
      </c>
      <c r="E4397" s="211">
        <f>'IWP10'!H$489</f>
        <v>0</v>
      </c>
      <c r="F4397" s="211">
        <f>'IWP10'!I$489</f>
        <v>0</v>
      </c>
      <c r="G4397" s="191" t="str">
        <f>IF('IWP10'!J$489=0,"",'IWP10'!J$489)</f>
        <v/>
      </c>
      <c r="H4397" s="211">
        <f>'IWP10'!K$489</f>
        <v>0</v>
      </c>
      <c r="I4397" s="211">
        <f>'IWP10'!L$489</f>
        <v>0</v>
      </c>
      <c r="J4397" s="212">
        <f>'IWP10'!M$489</f>
        <v>0</v>
      </c>
      <c r="K4397" s="106"/>
      <c r="L4397" s="106"/>
      <c r="M4397" s="129"/>
    </row>
    <row r="4398" spans="1:13" s="146" customFormat="1">
      <c r="A4398" s="193" t="s">
        <v>508</v>
      </c>
      <c r="B4398" s="210">
        <v>9</v>
      </c>
      <c r="C4398" s="191" t="str">
        <f>IF('IWP10'!E$490=0,"",'IWP10'!E$490)</f>
        <v/>
      </c>
      <c r="D4398" s="211">
        <f>'IWP10'!G$490</f>
        <v>0</v>
      </c>
      <c r="E4398" s="211">
        <f>'IWP10'!H$490</f>
        <v>0</v>
      </c>
      <c r="F4398" s="211">
        <f>'IWP10'!I$490</f>
        <v>0</v>
      </c>
      <c r="G4398" s="191" t="str">
        <f>IF('IWP10'!J$490=0,"",'IWP10'!J$490)</f>
        <v/>
      </c>
      <c r="H4398" s="211">
        <f>'IWP10'!K$490</f>
        <v>0</v>
      </c>
      <c r="I4398" s="211">
        <f>'IWP10'!L$490</f>
        <v>0</v>
      </c>
      <c r="J4398" s="212">
        <f>'IWP10'!M$490</f>
        <v>0</v>
      </c>
      <c r="K4398" s="106"/>
      <c r="L4398" s="106"/>
      <c r="M4398" s="129"/>
    </row>
    <row r="4399" spans="1:13" s="146" customFormat="1">
      <c r="A4399" s="193" t="s">
        <v>508</v>
      </c>
      <c r="B4399" s="210">
        <v>9</v>
      </c>
      <c r="C4399" s="191" t="str">
        <f>IF('IWP10'!E$491=0,"",'IWP10'!E$491)</f>
        <v/>
      </c>
      <c r="D4399" s="211">
        <f>'IWP10'!G$491</f>
        <v>0</v>
      </c>
      <c r="E4399" s="211">
        <f>'IWP10'!H$491</f>
        <v>0</v>
      </c>
      <c r="F4399" s="211">
        <f>'IWP10'!I$491</f>
        <v>0</v>
      </c>
      <c r="G4399" s="191" t="str">
        <f>IF('IWP10'!J$491=0,"",'IWP10'!J$491)</f>
        <v/>
      </c>
      <c r="H4399" s="211">
        <f>'IWP10'!K$491</f>
        <v>0</v>
      </c>
      <c r="I4399" s="211">
        <f>'IWP10'!L$491</f>
        <v>0</v>
      </c>
      <c r="J4399" s="212">
        <f>'IWP10'!M$491</f>
        <v>0</v>
      </c>
      <c r="K4399" s="106"/>
      <c r="L4399" s="106"/>
      <c r="M4399" s="129"/>
    </row>
    <row r="4400" spans="1:13" s="146" customFormat="1">
      <c r="A4400" s="193" t="s">
        <v>508</v>
      </c>
      <c r="B4400" s="210">
        <v>9</v>
      </c>
      <c r="C4400" s="191" t="str">
        <f>IF('IWP10'!E$492=0,"",'IWP10'!E$492)</f>
        <v/>
      </c>
      <c r="D4400" s="211">
        <f>'IWP10'!G$492</f>
        <v>0</v>
      </c>
      <c r="E4400" s="211">
        <f>'IWP10'!H$492</f>
        <v>0</v>
      </c>
      <c r="F4400" s="211">
        <f>'IWP10'!I$492</f>
        <v>0</v>
      </c>
      <c r="G4400" s="191" t="str">
        <f>IF('IWP10'!J$492=0,"",'IWP10'!J$492)</f>
        <v/>
      </c>
      <c r="H4400" s="211">
        <f>'IWP10'!K$492</f>
        <v>0</v>
      </c>
      <c r="I4400" s="211">
        <f>'IWP10'!L$492</f>
        <v>0</v>
      </c>
      <c r="J4400" s="212">
        <f>'IWP10'!M$492</f>
        <v>0</v>
      </c>
      <c r="K4400" s="106"/>
      <c r="L4400" s="106"/>
      <c r="M4400" s="129"/>
    </row>
    <row r="4401" spans="1:13" s="146" customFormat="1">
      <c r="A4401" s="193" t="s">
        <v>508</v>
      </c>
      <c r="B4401" s="210">
        <v>10</v>
      </c>
      <c r="C4401" s="191" t="str">
        <f>IF('IWP10'!E$499=0,"",'IWP10'!E$499)</f>
        <v>Subtotal column D.</v>
      </c>
      <c r="D4401" s="211">
        <f>'IWP10'!G$499</f>
        <v>0</v>
      </c>
      <c r="E4401" s="211">
        <f>'IWP10'!H$499</f>
        <v>0</v>
      </c>
      <c r="F4401" s="211">
        <f>'IWP10'!I$499</f>
        <v>0</v>
      </c>
      <c r="G4401" s="191" t="str">
        <f>IF('IWP10'!J$499=0,"",'IWP10'!J$499)</f>
        <v/>
      </c>
      <c r="H4401" s="211">
        <f>'IWP10'!K$499</f>
        <v>0</v>
      </c>
      <c r="I4401" s="211">
        <f>'IWP10'!L$499</f>
        <v>0</v>
      </c>
      <c r="J4401" s="212">
        <f>'IWP10'!M$499</f>
        <v>0</v>
      </c>
      <c r="K4401" s="106"/>
      <c r="L4401" s="106"/>
      <c r="M4401" s="129"/>
    </row>
    <row r="4402" spans="1:13" s="146" customFormat="1">
      <c r="A4402" s="193" t="s">
        <v>508</v>
      </c>
      <c r="B4402" s="210">
        <v>10</v>
      </c>
      <c r="C4402" s="191" t="str">
        <f>IF('IWP10'!E$500=0,"",'IWP10'!E$500)</f>
        <v>Unverified/Undocumented (Subtotal D - C)</v>
      </c>
      <c r="D4402" s="211">
        <f>'IWP10'!G$500</f>
        <v>0</v>
      </c>
      <c r="E4402" s="211">
        <f>'IWP10'!H$500</f>
        <v>0</v>
      </c>
      <c r="F4402" s="211">
        <f>'IWP10'!I$500</f>
        <v>0</v>
      </c>
      <c r="G4402" s="191" t="str">
        <f>IF('IWP10'!J$500=0,"",'IWP10'!J$500)</f>
        <v/>
      </c>
      <c r="H4402" s="211">
        <f>'IWP10'!K$500</f>
        <v>0</v>
      </c>
      <c r="I4402" s="211">
        <f>'IWP10'!L$500</f>
        <v>0</v>
      </c>
      <c r="J4402" s="212">
        <f>'IWP10'!M$500</f>
        <v>0</v>
      </c>
      <c r="K4402" s="106"/>
      <c r="L4402" s="106"/>
      <c r="M4402" s="129"/>
    </row>
    <row r="4403" spans="1:13" s="146" customFormat="1">
      <c r="A4403" s="193" t="s">
        <v>508</v>
      </c>
      <c r="B4403" s="210">
        <v>10</v>
      </c>
      <c r="C4403" s="191" t="str">
        <f>IF('IWP10'!E$501=0,"",'IWP10'!E$501)</f>
        <v>J. Billing Period Total</v>
      </c>
      <c r="D4403" s="211">
        <f>'IWP10'!G$501</f>
        <v>0</v>
      </c>
      <c r="E4403" s="211">
        <f>'IWP10'!H$501</f>
        <v>0</v>
      </c>
      <c r="F4403" s="211">
        <f>'IWP10'!I$501</f>
        <v>0</v>
      </c>
      <c r="G4403" s="191" t="str">
        <f>IF('IWP10'!J$501=0,"",'IWP10'!J$501)</f>
        <v/>
      </c>
      <c r="H4403" s="211">
        <f>'IWP10'!K$501</f>
        <v>0</v>
      </c>
      <c r="I4403" s="211">
        <f>'IWP10'!L$501</f>
        <v>0</v>
      </c>
      <c r="J4403" s="212">
        <f>'IWP10'!M$501</f>
        <v>0</v>
      </c>
      <c r="K4403" s="106"/>
      <c r="L4403" s="106"/>
      <c r="M4403" s="129"/>
    </row>
    <row r="4404" spans="1:13" s="146" customFormat="1">
      <c r="A4404" s="193" t="s">
        <v>508</v>
      </c>
      <c r="B4404" s="210">
        <v>10</v>
      </c>
      <c r="C4404" s="191" t="str">
        <f>IF('IWP10'!E$502=0,"",'IWP10'!E$502)</f>
        <v>D.</v>
      </c>
      <c r="D4404" s="211">
        <f>'IWP10'!G$502</f>
        <v>0</v>
      </c>
      <c r="E4404" s="211" t="str">
        <f>'IWP10'!H$502</f>
        <v>E.</v>
      </c>
      <c r="F4404" s="211" t="str">
        <f>'IWP10'!I$502</f>
        <v>F.</v>
      </c>
      <c r="G4404" s="191" t="str">
        <f>IF('IWP10'!J$502=0,"",'IWP10'!J$502)</f>
        <v>G.</v>
      </c>
      <c r="H4404" s="211">
        <f>'IWP10'!K$502</f>
        <v>0</v>
      </c>
      <c r="I4404" s="211" t="str">
        <f>'IWP10'!L$502</f>
        <v>H.</v>
      </c>
      <c r="J4404" s="212" t="str">
        <f>'IWP10'!M$502</f>
        <v>I.</v>
      </c>
      <c r="K4404" s="106"/>
      <c r="L4404" s="106"/>
      <c r="M4404" s="129"/>
    </row>
    <row r="4405" spans="1:13" s="146" customFormat="1">
      <c r="A4405" s="193" t="s">
        <v>508</v>
      </c>
      <c r="B4405" s="210">
        <v>10</v>
      </c>
      <c r="C4405" s="191" t="str">
        <f>IF('IWP10'!E$503=0,"",'IWP10'!E$503)</f>
        <v xml:space="preserve">Items/Services Related to Billing Period </v>
      </c>
      <c r="D4405" s="211">
        <f>'IWP10'!G$503</f>
        <v>0</v>
      </c>
      <c r="E4405" s="211" t="str">
        <f>'IWP10'!H$503</f>
        <v xml:space="preserve">Item/
Service Verified Amounts
</v>
      </c>
      <c r="F4405" s="211" t="str">
        <f>'IWP10'!I$503</f>
        <v>Amount Due to DADS (E. - D.)</v>
      </c>
      <c r="G4405" s="191" t="str">
        <f>IF('IWP10'!J$503=0,"",'IWP10'!J$503)</f>
        <v>Amount Reimbursed to 
Employee(s)/Employer</v>
      </c>
      <c r="H4405" s="211">
        <f>'IWP10'!K$503</f>
        <v>0</v>
      </c>
      <c r="I4405" s="211" t="str">
        <f>'IWP10'!L$503</f>
        <v>Amount Due to Employee(s) (G. - E.)</v>
      </c>
      <c r="J4405" s="212" t="str">
        <f>'IWP10'!M$503</f>
        <v>Amount Due to Employer (G. - E.)</v>
      </c>
      <c r="K4405" s="106"/>
      <c r="L4405" s="106"/>
      <c r="M4405" s="129"/>
    </row>
    <row r="4406" spans="1:13" s="146" customFormat="1">
      <c r="A4406" s="193" t="s">
        <v>508</v>
      </c>
      <c r="B4406" s="210">
        <v>10</v>
      </c>
      <c r="C4406" s="191" t="str">
        <f>IF('IWP10'!E$504=0,"",'IWP10'!E$504)</f>
        <v>Item/Service</v>
      </c>
      <c r="D4406" s="211" t="str">
        <f>'IWP10'!G$504</f>
        <v>Itemized Amount Paid by DADS</v>
      </c>
      <c r="E4406" s="211">
        <f>'IWP10'!H$504</f>
        <v>0</v>
      </c>
      <c r="F4406" s="211">
        <f>'IWP10'!I$504</f>
        <v>0</v>
      </c>
      <c r="G4406" s="191" t="str">
        <f>IF('IWP10'!J$504=0,"",'IWP10'!J$504)</f>
        <v/>
      </c>
      <c r="H4406" s="211">
        <f>'IWP10'!K$504</f>
        <v>0</v>
      </c>
      <c r="I4406" s="211">
        <f>'IWP10'!L$504</f>
        <v>0</v>
      </c>
      <c r="J4406" s="212">
        <f>'IWP10'!M$504</f>
        <v>0</v>
      </c>
      <c r="K4406" s="106"/>
      <c r="L4406" s="106"/>
      <c r="M4406" s="129"/>
    </row>
    <row r="4407" spans="1:13" s="146" customFormat="1">
      <c r="A4407" s="193" t="s">
        <v>508</v>
      </c>
      <c r="B4407" s="210">
        <v>10</v>
      </c>
      <c r="C4407" s="191" t="str">
        <f>IF('IWP10'!E$505=0,"",'IWP10'!E$505)</f>
        <v/>
      </c>
      <c r="D4407" s="211">
        <f>'IWP10'!G$505</f>
        <v>0</v>
      </c>
      <c r="E4407" s="211">
        <f>'IWP10'!H$505</f>
        <v>0</v>
      </c>
      <c r="F4407" s="211">
        <f>'IWP10'!I$505</f>
        <v>0</v>
      </c>
      <c r="G4407" s="191" t="str">
        <f>IF('IWP10'!J$505=0,"",'IWP10'!J$505)</f>
        <v/>
      </c>
      <c r="H4407" s="211">
        <f>'IWP10'!K$505</f>
        <v>0</v>
      </c>
      <c r="I4407" s="211">
        <f>'IWP10'!L$505</f>
        <v>0</v>
      </c>
      <c r="J4407" s="212">
        <f>'IWP10'!M$505</f>
        <v>0</v>
      </c>
      <c r="K4407" s="106"/>
      <c r="L4407" s="106"/>
      <c r="M4407" s="129"/>
    </row>
    <row r="4408" spans="1:13" s="146" customFormat="1">
      <c r="A4408" s="193" t="s">
        <v>508</v>
      </c>
      <c r="B4408" s="210">
        <v>10</v>
      </c>
      <c r="C4408" s="191" t="str">
        <f>IF('IWP10'!E$506=0,"",'IWP10'!E$506)</f>
        <v/>
      </c>
      <c r="D4408" s="211">
        <f>'IWP10'!G$506</f>
        <v>0</v>
      </c>
      <c r="E4408" s="211">
        <f>'IWP10'!H$506</f>
        <v>0</v>
      </c>
      <c r="F4408" s="211">
        <f>'IWP10'!I$506</f>
        <v>0</v>
      </c>
      <c r="G4408" s="191" t="str">
        <f>IF('IWP10'!J$506=0,"",'IWP10'!J$506)</f>
        <v/>
      </c>
      <c r="H4408" s="211">
        <f>'IWP10'!K$506</f>
        <v>0</v>
      </c>
      <c r="I4408" s="211">
        <f>'IWP10'!L$506</f>
        <v>0</v>
      </c>
      <c r="J4408" s="212">
        <f>'IWP10'!M$506</f>
        <v>0</v>
      </c>
      <c r="K4408" s="106"/>
      <c r="L4408" s="106"/>
      <c r="M4408" s="129"/>
    </row>
    <row r="4409" spans="1:13" s="146" customFormat="1">
      <c r="A4409" s="193" t="s">
        <v>508</v>
      </c>
      <c r="B4409" s="210">
        <v>10</v>
      </c>
      <c r="C4409" s="191" t="str">
        <f>IF('IWP10'!E$507=0,"",'IWP10'!E$507)</f>
        <v/>
      </c>
      <c r="D4409" s="211">
        <f>'IWP10'!G$507</f>
        <v>0</v>
      </c>
      <c r="E4409" s="211">
        <f>'IWP10'!H$507</f>
        <v>0</v>
      </c>
      <c r="F4409" s="211">
        <f>'IWP10'!I$507</f>
        <v>0</v>
      </c>
      <c r="G4409" s="191" t="str">
        <f>IF('IWP10'!J$507=0,"",'IWP10'!J$507)</f>
        <v/>
      </c>
      <c r="H4409" s="211">
        <f>'IWP10'!K$507</f>
        <v>0</v>
      </c>
      <c r="I4409" s="211">
        <f>'IWP10'!L$507</f>
        <v>0</v>
      </c>
      <c r="J4409" s="212">
        <f>'IWP10'!M$507</f>
        <v>0</v>
      </c>
      <c r="K4409" s="106"/>
      <c r="L4409" s="106"/>
      <c r="M4409" s="129"/>
    </row>
    <row r="4410" spans="1:13" s="146" customFormat="1">
      <c r="A4410" s="193" t="s">
        <v>508</v>
      </c>
      <c r="B4410" s="210">
        <v>10</v>
      </c>
      <c r="C4410" s="191" t="str">
        <f>IF('IWP10'!E$508=0,"",'IWP10'!E$508)</f>
        <v/>
      </c>
      <c r="D4410" s="211">
        <f>'IWP10'!G$508</f>
        <v>0</v>
      </c>
      <c r="E4410" s="211">
        <f>'IWP10'!H$508</f>
        <v>0</v>
      </c>
      <c r="F4410" s="211">
        <f>'IWP10'!I$508</f>
        <v>0</v>
      </c>
      <c r="G4410" s="191" t="str">
        <f>IF('IWP10'!J$508=0,"",'IWP10'!J$508)</f>
        <v/>
      </c>
      <c r="H4410" s="211">
        <f>'IWP10'!K$508</f>
        <v>0</v>
      </c>
      <c r="I4410" s="211">
        <f>'IWP10'!L$508</f>
        <v>0</v>
      </c>
      <c r="J4410" s="212">
        <f>'IWP10'!M$508</f>
        <v>0</v>
      </c>
      <c r="K4410" s="106"/>
      <c r="L4410" s="106"/>
      <c r="M4410" s="129"/>
    </row>
    <row r="4411" spans="1:13" s="146" customFormat="1">
      <c r="A4411" s="193" t="s">
        <v>508</v>
      </c>
      <c r="B4411" s="210">
        <v>11</v>
      </c>
      <c r="C4411" s="191" t="str">
        <f>IF('IWP10'!E$515=0,"",'IWP10'!E$515)</f>
        <v>Subtotal column D.</v>
      </c>
      <c r="D4411" s="211">
        <f>'IWP10'!G$515</f>
        <v>0</v>
      </c>
      <c r="E4411" s="211">
        <f>'IWP10'!H$515</f>
        <v>0</v>
      </c>
      <c r="F4411" s="211">
        <f>'IWP10'!I$515</f>
        <v>0</v>
      </c>
      <c r="G4411" s="191" t="str">
        <f>IF('IWP10'!J$515=0,"",'IWP10'!J$515)</f>
        <v/>
      </c>
      <c r="H4411" s="211">
        <f>'IWP10'!K$515</f>
        <v>0</v>
      </c>
      <c r="I4411" s="211">
        <f>'IWP10'!L$515</f>
        <v>0</v>
      </c>
      <c r="J4411" s="212">
        <f>'IWP10'!M$515</f>
        <v>0</v>
      </c>
      <c r="K4411" s="106"/>
      <c r="L4411" s="106"/>
      <c r="M4411" s="129"/>
    </row>
    <row r="4412" spans="1:13" s="146" customFormat="1">
      <c r="A4412" s="193" t="s">
        <v>508</v>
      </c>
      <c r="B4412" s="210">
        <v>11</v>
      </c>
      <c r="C4412" s="191" t="str">
        <f>IF('IWP10'!E$516=0,"",'IWP10'!E$516)</f>
        <v>Unverified/Undocumented (Subtotal D - C)</v>
      </c>
      <c r="D4412" s="211">
        <f>'IWP10'!G$516</f>
        <v>0</v>
      </c>
      <c r="E4412" s="211">
        <f>'IWP10'!H$516</f>
        <v>0</v>
      </c>
      <c r="F4412" s="211">
        <f>'IWP10'!I$516</f>
        <v>0</v>
      </c>
      <c r="G4412" s="191" t="str">
        <f>IF('IWP10'!J$516=0,"",'IWP10'!J$516)</f>
        <v/>
      </c>
      <c r="H4412" s="211">
        <f>'IWP10'!K$516</f>
        <v>0</v>
      </c>
      <c r="I4412" s="211">
        <f>'IWP10'!L$516</f>
        <v>0</v>
      </c>
      <c r="J4412" s="212">
        <f>'IWP10'!M$516</f>
        <v>0</v>
      </c>
      <c r="K4412" s="106"/>
      <c r="L4412" s="106"/>
      <c r="M4412" s="129"/>
    </row>
    <row r="4413" spans="1:13" s="146" customFormat="1">
      <c r="A4413" s="193" t="s">
        <v>508</v>
      </c>
      <c r="B4413" s="210">
        <v>11</v>
      </c>
      <c r="C4413" s="191" t="str">
        <f>IF('IWP10'!E$517=0,"",'IWP10'!E$517)</f>
        <v>J. Billing Period Total</v>
      </c>
      <c r="D4413" s="211">
        <f>'IWP10'!G$517</f>
        <v>0</v>
      </c>
      <c r="E4413" s="211">
        <f>'IWP10'!H$517</f>
        <v>0</v>
      </c>
      <c r="F4413" s="211">
        <f>'IWP10'!I$517</f>
        <v>0</v>
      </c>
      <c r="G4413" s="191" t="str">
        <f>IF('IWP10'!J$517=0,"",'IWP10'!J$517)</f>
        <v/>
      </c>
      <c r="H4413" s="211">
        <f>'IWP10'!K$517</f>
        <v>0</v>
      </c>
      <c r="I4413" s="211">
        <f>'IWP10'!L$517</f>
        <v>0</v>
      </c>
      <c r="J4413" s="212">
        <f>'IWP10'!M$517</f>
        <v>0</v>
      </c>
      <c r="K4413" s="106"/>
      <c r="L4413" s="106"/>
      <c r="M4413" s="129"/>
    </row>
    <row r="4414" spans="1:13" s="146" customFormat="1">
      <c r="A4414" s="193" t="s">
        <v>508</v>
      </c>
      <c r="B4414" s="210">
        <v>11</v>
      </c>
      <c r="C4414" s="191" t="str">
        <f>IF('IWP10'!E$518=0,"",'IWP10'!E$518)</f>
        <v>D.</v>
      </c>
      <c r="D4414" s="211">
        <f>'IWP10'!G$518</f>
        <v>0</v>
      </c>
      <c r="E4414" s="211" t="str">
        <f>'IWP10'!H$518</f>
        <v>E.</v>
      </c>
      <c r="F4414" s="211" t="str">
        <f>'IWP10'!I$518</f>
        <v>F.</v>
      </c>
      <c r="G4414" s="191" t="str">
        <f>IF('IWP10'!J$518=0,"",'IWP10'!J$518)</f>
        <v>G.</v>
      </c>
      <c r="H4414" s="211">
        <f>'IWP10'!K$518</f>
        <v>0</v>
      </c>
      <c r="I4414" s="211" t="str">
        <f>'IWP10'!L$518</f>
        <v>H.</v>
      </c>
      <c r="J4414" s="212" t="str">
        <f>'IWP10'!M$518</f>
        <v>I.</v>
      </c>
      <c r="K4414" s="106"/>
      <c r="L4414" s="106"/>
      <c r="M4414" s="129"/>
    </row>
    <row r="4415" spans="1:13" s="146" customFormat="1">
      <c r="A4415" s="193" t="s">
        <v>508</v>
      </c>
      <c r="B4415" s="210">
        <v>11</v>
      </c>
      <c r="C4415" s="191" t="str">
        <f>IF('IWP10'!E$519=0,"",'IWP10'!E$519)</f>
        <v xml:space="preserve">Items/Services Related to Billing Period </v>
      </c>
      <c r="D4415" s="211">
        <f>'IWP10'!G$519</f>
        <v>0</v>
      </c>
      <c r="E4415" s="211" t="str">
        <f>'IWP10'!H$519</f>
        <v xml:space="preserve">Item/
Service Verified Amounts
</v>
      </c>
      <c r="F4415" s="211" t="str">
        <f>'IWP10'!I$519</f>
        <v>Amount Due to DADS (E. - D.)</v>
      </c>
      <c r="G4415" s="191" t="str">
        <f>IF('IWP10'!J$519=0,"",'IWP10'!J$519)</f>
        <v>Amount Reimbursed to 
Employee(s)/Employer</v>
      </c>
      <c r="H4415" s="211">
        <f>'IWP10'!K$519</f>
        <v>0</v>
      </c>
      <c r="I4415" s="211" t="str">
        <f>'IWP10'!L$519</f>
        <v>Amount Due to Employee(s) (G. - E.)</v>
      </c>
      <c r="J4415" s="212" t="str">
        <f>'IWP10'!M$519</f>
        <v>Amount Due to Employer (G. - E.)</v>
      </c>
      <c r="K4415" s="106"/>
      <c r="L4415" s="106"/>
      <c r="M4415" s="129"/>
    </row>
    <row r="4416" spans="1:13" s="146" customFormat="1">
      <c r="A4416" s="193" t="s">
        <v>508</v>
      </c>
      <c r="B4416" s="210">
        <v>11</v>
      </c>
      <c r="C4416" s="191" t="str">
        <f>IF('IWP10'!E$520=0,"",'IWP10'!E$520)</f>
        <v>Item/Service</v>
      </c>
      <c r="D4416" s="211" t="str">
        <f>'IWP10'!G$520</f>
        <v>Itemized Amount Paid by DADS</v>
      </c>
      <c r="E4416" s="211">
        <f>'IWP10'!H$520</f>
        <v>0</v>
      </c>
      <c r="F4416" s="211">
        <f>'IWP10'!I$520</f>
        <v>0</v>
      </c>
      <c r="G4416" s="191" t="str">
        <f>IF('IWP10'!J$520=0,"",'IWP10'!J$520)</f>
        <v/>
      </c>
      <c r="H4416" s="211">
        <f>'IWP10'!K$520</f>
        <v>0</v>
      </c>
      <c r="I4416" s="211">
        <f>'IWP10'!L$520</f>
        <v>0</v>
      </c>
      <c r="J4416" s="212">
        <f>'IWP10'!M$520</f>
        <v>0</v>
      </c>
      <c r="K4416" s="106"/>
      <c r="L4416" s="106"/>
      <c r="M4416" s="129"/>
    </row>
    <row r="4417" spans="1:13" s="146" customFormat="1">
      <c r="A4417" s="193" t="s">
        <v>508</v>
      </c>
      <c r="B4417" s="210">
        <v>11</v>
      </c>
      <c r="C4417" s="191" t="str">
        <f>IF('IWP10'!E$521=0,"",'IWP10'!E$521)</f>
        <v/>
      </c>
      <c r="D4417" s="211">
        <f>'IWP10'!G$521</f>
        <v>0</v>
      </c>
      <c r="E4417" s="211">
        <f>'IWP10'!H$521</f>
        <v>0</v>
      </c>
      <c r="F4417" s="211">
        <f>'IWP10'!I$521</f>
        <v>0</v>
      </c>
      <c r="G4417" s="191" t="str">
        <f>IF('IWP10'!J$521=0,"",'IWP10'!J$521)</f>
        <v/>
      </c>
      <c r="H4417" s="211">
        <f>'IWP10'!K$521</f>
        <v>0</v>
      </c>
      <c r="I4417" s="211">
        <f>'IWP10'!L$521</f>
        <v>0</v>
      </c>
      <c r="J4417" s="212">
        <f>'IWP10'!M$521</f>
        <v>0</v>
      </c>
      <c r="K4417" s="106"/>
      <c r="L4417" s="106"/>
      <c r="M4417" s="129"/>
    </row>
    <row r="4418" spans="1:13" s="146" customFormat="1">
      <c r="A4418" s="193" t="s">
        <v>508</v>
      </c>
      <c r="B4418" s="210">
        <v>11</v>
      </c>
      <c r="C4418" s="191" t="str">
        <f>IF('IWP10'!E$522=0,"",'IWP10'!E$522)</f>
        <v/>
      </c>
      <c r="D4418" s="211">
        <f>'IWP10'!G$522</f>
        <v>0</v>
      </c>
      <c r="E4418" s="211">
        <f>'IWP10'!H$522</f>
        <v>0</v>
      </c>
      <c r="F4418" s="211">
        <f>'IWP10'!I$522</f>
        <v>0</v>
      </c>
      <c r="G4418" s="191" t="str">
        <f>IF('IWP10'!J$522=0,"",'IWP10'!J$522)</f>
        <v/>
      </c>
      <c r="H4418" s="211">
        <f>'IWP10'!K$522</f>
        <v>0</v>
      </c>
      <c r="I4418" s="211">
        <f>'IWP10'!L$522</f>
        <v>0</v>
      </c>
      <c r="J4418" s="212">
        <f>'IWP10'!M$522</f>
        <v>0</v>
      </c>
      <c r="K4418" s="106"/>
      <c r="L4418" s="106"/>
      <c r="M4418" s="129"/>
    </row>
    <row r="4419" spans="1:13" s="146" customFormat="1">
      <c r="A4419" s="193" t="s">
        <v>508</v>
      </c>
      <c r="B4419" s="210">
        <v>11</v>
      </c>
      <c r="C4419" s="191" t="str">
        <f>IF('IWP10'!E$523=0,"",'IWP10'!E$523)</f>
        <v/>
      </c>
      <c r="D4419" s="211">
        <f>'IWP10'!G$523</f>
        <v>0</v>
      </c>
      <c r="E4419" s="211">
        <f>'IWP10'!H$523</f>
        <v>0</v>
      </c>
      <c r="F4419" s="211">
        <f>'IWP10'!I$523</f>
        <v>0</v>
      </c>
      <c r="G4419" s="191" t="str">
        <f>IF('IWP10'!J$523=0,"",'IWP10'!J$523)</f>
        <v/>
      </c>
      <c r="H4419" s="211">
        <f>'IWP10'!K$523</f>
        <v>0</v>
      </c>
      <c r="I4419" s="211">
        <f>'IWP10'!L$523</f>
        <v>0</v>
      </c>
      <c r="J4419" s="212">
        <f>'IWP10'!M$523</f>
        <v>0</v>
      </c>
      <c r="K4419" s="106"/>
      <c r="L4419" s="106"/>
      <c r="M4419" s="129"/>
    </row>
    <row r="4420" spans="1:13" s="146" customFormat="1">
      <c r="A4420" s="193" t="s">
        <v>508</v>
      </c>
      <c r="B4420" s="210">
        <v>11</v>
      </c>
      <c r="C4420" s="191" t="str">
        <f>IF('IWP10'!E$524=0,"",'IWP10'!E$524)</f>
        <v/>
      </c>
      <c r="D4420" s="211">
        <f>'IWP10'!G$524</f>
        <v>0</v>
      </c>
      <c r="E4420" s="211">
        <f>'IWP10'!H$524</f>
        <v>0</v>
      </c>
      <c r="F4420" s="211">
        <f>'IWP10'!I$524</f>
        <v>0</v>
      </c>
      <c r="G4420" s="191" t="str">
        <f>IF('IWP10'!J$524=0,"",'IWP10'!J$524)</f>
        <v/>
      </c>
      <c r="H4420" s="211">
        <f>'IWP10'!K$524</f>
        <v>0</v>
      </c>
      <c r="I4420" s="211">
        <f>'IWP10'!L$524</f>
        <v>0</v>
      </c>
      <c r="J4420" s="212">
        <f>'IWP10'!M$524</f>
        <v>0</v>
      </c>
      <c r="K4420" s="106"/>
      <c r="L4420" s="106"/>
      <c r="M4420" s="129"/>
    </row>
    <row r="4421" spans="1:13" s="146" customFormat="1">
      <c r="A4421" s="193" t="s">
        <v>508</v>
      </c>
      <c r="B4421" s="210">
        <v>12</v>
      </c>
      <c r="C4421" s="191" t="str">
        <f>IF('IWP10'!E$531=0,"",'IWP10'!E$531)</f>
        <v>Subtotal column D.</v>
      </c>
      <c r="D4421" s="211">
        <f>'IWP10'!G$531</f>
        <v>0</v>
      </c>
      <c r="E4421" s="211">
        <f>'IWP10'!H$531</f>
        <v>0</v>
      </c>
      <c r="F4421" s="211">
        <f>'IWP10'!I$531</f>
        <v>0</v>
      </c>
      <c r="G4421" s="191" t="str">
        <f>IF('IWP10'!J$531=0,"",'IWP10'!J$531)</f>
        <v/>
      </c>
      <c r="H4421" s="211">
        <f>'IWP10'!K$531</f>
        <v>0</v>
      </c>
      <c r="I4421" s="211">
        <f>'IWP10'!L$531</f>
        <v>0</v>
      </c>
      <c r="J4421" s="212">
        <f>'IWP10'!M$531</f>
        <v>0</v>
      </c>
      <c r="K4421" s="106"/>
      <c r="L4421" s="106"/>
      <c r="M4421" s="129"/>
    </row>
    <row r="4422" spans="1:13" s="146" customFormat="1">
      <c r="A4422" s="193" t="s">
        <v>508</v>
      </c>
      <c r="B4422" s="210">
        <v>12</v>
      </c>
      <c r="C4422" s="191" t="str">
        <f>IF('IWP10'!E$532=0,"",'IWP10'!E$532)</f>
        <v>Unverified/Undocumented (Subtotal D - C)</v>
      </c>
      <c r="D4422" s="211">
        <f>'IWP10'!G$532</f>
        <v>0</v>
      </c>
      <c r="E4422" s="211">
        <f>'IWP10'!H$532</f>
        <v>0</v>
      </c>
      <c r="F4422" s="211">
        <f>'IWP10'!I$532</f>
        <v>0</v>
      </c>
      <c r="G4422" s="191" t="str">
        <f>IF('IWP10'!J$532=0,"",'IWP10'!J$532)</f>
        <v/>
      </c>
      <c r="H4422" s="211">
        <f>'IWP10'!K$532</f>
        <v>0</v>
      </c>
      <c r="I4422" s="211">
        <f>'IWP10'!L$532</f>
        <v>0</v>
      </c>
      <c r="J4422" s="212">
        <f>'IWP10'!M$532</f>
        <v>0</v>
      </c>
      <c r="K4422" s="106"/>
      <c r="L4422" s="106"/>
      <c r="M4422" s="129"/>
    </row>
    <row r="4423" spans="1:13" s="146" customFormat="1">
      <c r="A4423" s="193" t="s">
        <v>508</v>
      </c>
      <c r="B4423" s="210">
        <v>12</v>
      </c>
      <c r="C4423" s="191" t="str">
        <f>IF('IWP10'!E$533=0,"",'IWP10'!E$533)</f>
        <v>J. Billing Period Total</v>
      </c>
      <c r="D4423" s="211">
        <f>'IWP10'!G$533</f>
        <v>0</v>
      </c>
      <c r="E4423" s="211">
        <f>'IWP10'!H$533</f>
        <v>0</v>
      </c>
      <c r="F4423" s="211">
        <f>'IWP10'!I$533</f>
        <v>0</v>
      </c>
      <c r="G4423" s="191" t="str">
        <f>IF('IWP10'!J$533=0,"",'IWP10'!J$533)</f>
        <v/>
      </c>
      <c r="H4423" s="211">
        <f>'IWP10'!K$533</f>
        <v>0</v>
      </c>
      <c r="I4423" s="211">
        <f>'IWP10'!L$533</f>
        <v>0</v>
      </c>
      <c r="J4423" s="212">
        <f>'IWP10'!M$533</f>
        <v>0</v>
      </c>
      <c r="K4423" s="106"/>
      <c r="L4423" s="106"/>
      <c r="M4423" s="129"/>
    </row>
    <row r="4424" spans="1:13" s="146" customFormat="1">
      <c r="A4424" s="193" t="s">
        <v>508</v>
      </c>
      <c r="B4424" s="210">
        <v>12</v>
      </c>
      <c r="C4424" s="191" t="str">
        <f>IF('IWP10'!E$534=0,"",'IWP10'!E$534)</f>
        <v>D.</v>
      </c>
      <c r="D4424" s="211">
        <f>'IWP10'!G$534</f>
        <v>0</v>
      </c>
      <c r="E4424" s="211" t="str">
        <f>'IWP10'!H$534</f>
        <v>E.</v>
      </c>
      <c r="F4424" s="211" t="str">
        <f>'IWP10'!I$534</f>
        <v>F.</v>
      </c>
      <c r="G4424" s="191" t="str">
        <f>IF('IWP10'!J$534=0,"",'IWP10'!J$534)</f>
        <v>G.</v>
      </c>
      <c r="H4424" s="211">
        <f>'IWP10'!K$534</f>
        <v>0</v>
      </c>
      <c r="I4424" s="211" t="str">
        <f>'IWP10'!L$534</f>
        <v>H.</v>
      </c>
      <c r="J4424" s="212" t="str">
        <f>'IWP10'!M$534</f>
        <v>I.</v>
      </c>
      <c r="K4424" s="106"/>
      <c r="L4424" s="106"/>
      <c r="M4424" s="129"/>
    </row>
    <row r="4425" spans="1:13" s="146" customFormat="1">
      <c r="A4425" s="193" t="s">
        <v>508</v>
      </c>
      <c r="B4425" s="210">
        <v>12</v>
      </c>
      <c r="C4425" s="191" t="str">
        <f>IF('IWP10'!E$535=0,"",'IWP10'!E$535)</f>
        <v xml:space="preserve">Items/Services Related to Billing Period </v>
      </c>
      <c r="D4425" s="211">
        <f>'IWP10'!G$535</f>
        <v>0</v>
      </c>
      <c r="E4425" s="211" t="str">
        <f>'IWP10'!H$535</f>
        <v xml:space="preserve">Item/
Service Verified Amounts
</v>
      </c>
      <c r="F4425" s="211" t="str">
        <f>'IWP10'!I$535</f>
        <v>Amount Due to DADS (E. - D.)</v>
      </c>
      <c r="G4425" s="191" t="str">
        <f>IF('IWP10'!J$535=0,"",'IWP10'!J$535)</f>
        <v>Amount Reimbursed to 
Employee(s)/Employer</v>
      </c>
      <c r="H4425" s="211">
        <f>'IWP10'!K$535</f>
        <v>0</v>
      </c>
      <c r="I4425" s="211" t="str">
        <f>'IWP10'!L$535</f>
        <v>Amount Due to Employee(s) (G. - E.)</v>
      </c>
      <c r="J4425" s="212" t="str">
        <f>'IWP10'!M$535</f>
        <v>Amount Due to Employer (G. - E.)</v>
      </c>
      <c r="K4425" s="106"/>
      <c r="L4425" s="106"/>
      <c r="M4425" s="129"/>
    </row>
    <row r="4426" spans="1:13" s="146" customFormat="1">
      <c r="A4426" s="193" t="s">
        <v>508</v>
      </c>
      <c r="B4426" s="210">
        <v>12</v>
      </c>
      <c r="C4426" s="191" t="str">
        <f>IF('IWP10'!E$536=0,"",'IWP10'!E$536)</f>
        <v>Item/Service</v>
      </c>
      <c r="D4426" s="211" t="str">
        <f>'IWP10'!G$536</f>
        <v>Itemized Amount Paid by DADS</v>
      </c>
      <c r="E4426" s="211">
        <f>'IWP10'!H$536</f>
        <v>0</v>
      </c>
      <c r="F4426" s="211">
        <f>'IWP10'!I$536</f>
        <v>0</v>
      </c>
      <c r="G4426" s="191" t="str">
        <f>IF('IWP10'!J$536=0,"",'IWP10'!J$536)</f>
        <v/>
      </c>
      <c r="H4426" s="211">
        <f>'IWP10'!K$536</f>
        <v>0</v>
      </c>
      <c r="I4426" s="211">
        <f>'IWP10'!L$536</f>
        <v>0</v>
      </c>
      <c r="J4426" s="212">
        <f>'IWP10'!M$536</f>
        <v>0</v>
      </c>
      <c r="K4426" s="106"/>
      <c r="L4426" s="106"/>
      <c r="M4426" s="129"/>
    </row>
    <row r="4427" spans="1:13" s="146" customFormat="1">
      <c r="A4427" s="193" t="s">
        <v>508</v>
      </c>
      <c r="B4427" s="210">
        <v>12</v>
      </c>
      <c r="C4427" s="191" t="str">
        <f>IF('IWP10'!E$537=0,"",'IWP10'!E$537)</f>
        <v/>
      </c>
      <c r="D4427" s="211">
        <f>'IWP10'!G$537</f>
        <v>0</v>
      </c>
      <c r="E4427" s="211">
        <f>'IWP10'!H$537</f>
        <v>0</v>
      </c>
      <c r="F4427" s="211">
        <f>'IWP10'!I$537</f>
        <v>0</v>
      </c>
      <c r="G4427" s="191" t="str">
        <f>IF('IWP10'!J$537=0,"",'IWP10'!J$537)</f>
        <v/>
      </c>
      <c r="H4427" s="211">
        <f>'IWP10'!K$537</f>
        <v>0</v>
      </c>
      <c r="I4427" s="211">
        <f>'IWP10'!L$537</f>
        <v>0</v>
      </c>
      <c r="J4427" s="212">
        <f>'IWP10'!M$537</f>
        <v>0</v>
      </c>
      <c r="K4427" s="106"/>
      <c r="L4427" s="106"/>
      <c r="M4427" s="129"/>
    </row>
    <row r="4428" spans="1:13" s="146" customFormat="1">
      <c r="A4428" s="193" t="s">
        <v>508</v>
      </c>
      <c r="B4428" s="210">
        <v>12</v>
      </c>
      <c r="C4428" s="191" t="str">
        <f>IF('IWP10'!E$538=0,"",'IWP10'!E$538)</f>
        <v/>
      </c>
      <c r="D4428" s="211">
        <f>'IWP10'!G$538</f>
        <v>0</v>
      </c>
      <c r="E4428" s="211">
        <f>'IWP10'!H$538</f>
        <v>0</v>
      </c>
      <c r="F4428" s="211">
        <f>'IWP10'!I$538</f>
        <v>0</v>
      </c>
      <c r="G4428" s="191" t="str">
        <f>IF('IWP10'!J$538=0,"",'IWP10'!J$538)</f>
        <v/>
      </c>
      <c r="H4428" s="211">
        <f>'IWP10'!K$538</f>
        <v>0</v>
      </c>
      <c r="I4428" s="211">
        <f>'IWP10'!L$538</f>
        <v>0</v>
      </c>
      <c r="J4428" s="212">
        <f>'IWP10'!M$538</f>
        <v>0</v>
      </c>
      <c r="K4428" s="106"/>
      <c r="L4428" s="106"/>
      <c r="M4428" s="129"/>
    </row>
    <row r="4429" spans="1:13" s="146" customFormat="1">
      <c r="A4429" s="193" t="s">
        <v>508</v>
      </c>
      <c r="B4429" s="210">
        <v>12</v>
      </c>
      <c r="C4429" s="191" t="str">
        <f>IF('IWP10'!E$539=0,"",'IWP10'!E$539)</f>
        <v/>
      </c>
      <c r="D4429" s="211">
        <f>'IWP10'!G$539</f>
        <v>0</v>
      </c>
      <c r="E4429" s="211">
        <f>'IWP10'!H$539</f>
        <v>0</v>
      </c>
      <c r="F4429" s="211">
        <f>'IWP10'!I$539</f>
        <v>0</v>
      </c>
      <c r="G4429" s="191" t="str">
        <f>IF('IWP10'!J$539=0,"",'IWP10'!J$539)</f>
        <v/>
      </c>
      <c r="H4429" s="211">
        <f>'IWP10'!K$539</f>
        <v>0</v>
      </c>
      <c r="I4429" s="211">
        <f>'IWP10'!L$539</f>
        <v>0</v>
      </c>
      <c r="J4429" s="212">
        <f>'IWP10'!M$539</f>
        <v>0</v>
      </c>
      <c r="K4429" s="106"/>
      <c r="L4429" s="106"/>
      <c r="M4429" s="129"/>
    </row>
    <row r="4430" spans="1:13" s="146" customFormat="1">
      <c r="A4430" s="193" t="s">
        <v>508</v>
      </c>
      <c r="B4430" s="210">
        <v>12</v>
      </c>
      <c r="C4430" s="191" t="str">
        <f>IF('IWP10'!E$540=0,"",'IWP10'!E$540)</f>
        <v/>
      </c>
      <c r="D4430" s="211">
        <f>'IWP10'!G$540</f>
        <v>0</v>
      </c>
      <c r="E4430" s="211">
        <f>'IWP10'!H$540</f>
        <v>0</v>
      </c>
      <c r="F4430" s="211">
        <f>'IWP10'!I$540</f>
        <v>0</v>
      </c>
      <c r="G4430" s="191" t="str">
        <f>IF('IWP10'!J$540=0,"",'IWP10'!J$540)</f>
        <v/>
      </c>
      <c r="H4430" s="211">
        <f>'IWP10'!K$540</f>
        <v>0</v>
      </c>
      <c r="I4430" s="211">
        <f>'IWP10'!L$540</f>
        <v>0</v>
      </c>
      <c r="J4430" s="212">
        <f>'IWP10'!M$540</f>
        <v>0</v>
      </c>
      <c r="K4430" s="106"/>
      <c r="L4430" s="106"/>
      <c r="M4430" s="129"/>
    </row>
    <row r="4431" spans="1:13" s="146" customFormat="1">
      <c r="A4431" s="193" t="s">
        <v>508</v>
      </c>
      <c r="B4431" s="210">
        <v>13</v>
      </c>
      <c r="C4431" s="191" t="str">
        <f>IF('IWP10'!E$547=0,"",'IWP10'!E$547)</f>
        <v>Subtotal column D.</v>
      </c>
      <c r="D4431" s="211">
        <f>'IWP10'!G$547</f>
        <v>0</v>
      </c>
      <c r="E4431" s="211">
        <f>'IWP10'!H$547</f>
        <v>0</v>
      </c>
      <c r="F4431" s="211">
        <f>'IWP10'!I$547</f>
        <v>0</v>
      </c>
      <c r="G4431" s="191" t="str">
        <f>IF('IWP10'!J$547=0,"",'IWP10'!J$547)</f>
        <v/>
      </c>
      <c r="H4431" s="211">
        <f>'IWP10'!K$547</f>
        <v>0</v>
      </c>
      <c r="I4431" s="211">
        <f>'IWP10'!L$547</f>
        <v>0</v>
      </c>
      <c r="J4431" s="212">
        <f>'IWP10'!M$547</f>
        <v>0</v>
      </c>
      <c r="K4431" s="106"/>
      <c r="L4431" s="106"/>
      <c r="M4431" s="129"/>
    </row>
    <row r="4432" spans="1:13" s="146" customFormat="1">
      <c r="A4432" s="193" t="s">
        <v>508</v>
      </c>
      <c r="B4432" s="210">
        <v>13</v>
      </c>
      <c r="C4432" s="191" t="str">
        <f>IF('IWP10'!E$548=0,"",'IWP10'!E$548)</f>
        <v>Unverified/Undocumented (Subtotal D - C)</v>
      </c>
      <c r="D4432" s="211">
        <f>'IWP10'!G$548</f>
        <v>0</v>
      </c>
      <c r="E4432" s="211">
        <f>'IWP10'!H$548</f>
        <v>0</v>
      </c>
      <c r="F4432" s="211">
        <f>'IWP10'!I$548</f>
        <v>0</v>
      </c>
      <c r="G4432" s="191" t="str">
        <f>IF('IWP10'!J$548=0,"",'IWP10'!J$548)</f>
        <v/>
      </c>
      <c r="H4432" s="211">
        <f>'IWP10'!K$548</f>
        <v>0</v>
      </c>
      <c r="I4432" s="211">
        <f>'IWP10'!L$548</f>
        <v>0</v>
      </c>
      <c r="J4432" s="212">
        <f>'IWP10'!M$548</f>
        <v>0</v>
      </c>
      <c r="K4432" s="106"/>
      <c r="L4432" s="106"/>
      <c r="M4432" s="129"/>
    </row>
    <row r="4433" spans="1:13" s="146" customFormat="1">
      <c r="A4433" s="193" t="s">
        <v>508</v>
      </c>
      <c r="B4433" s="210">
        <v>13</v>
      </c>
      <c r="C4433" s="191" t="str">
        <f>IF('IWP10'!E$549=0,"",'IWP10'!E$549)</f>
        <v>J. Billing Period Total</v>
      </c>
      <c r="D4433" s="211">
        <f>'IWP10'!G$549</f>
        <v>0</v>
      </c>
      <c r="E4433" s="211">
        <f>'IWP10'!H$549</f>
        <v>0</v>
      </c>
      <c r="F4433" s="211">
        <f>'IWP10'!I$549</f>
        <v>0</v>
      </c>
      <c r="G4433" s="191" t="str">
        <f>IF('IWP10'!J$549=0,"",'IWP10'!J$549)</f>
        <v/>
      </c>
      <c r="H4433" s="211">
        <f>'IWP10'!K$549</f>
        <v>0</v>
      </c>
      <c r="I4433" s="211">
        <f>'IWP10'!L$549</f>
        <v>0</v>
      </c>
      <c r="J4433" s="212">
        <f>'IWP10'!M$549</f>
        <v>0</v>
      </c>
      <c r="K4433" s="106"/>
      <c r="L4433" s="106"/>
      <c r="M4433" s="129"/>
    </row>
    <row r="4434" spans="1:13" s="146" customFormat="1">
      <c r="A4434" s="193" t="s">
        <v>508</v>
      </c>
      <c r="B4434" s="210">
        <v>13</v>
      </c>
      <c r="C4434" s="191" t="str">
        <f>IF('IWP10'!E$550=0,"",'IWP10'!E$550)</f>
        <v>D.</v>
      </c>
      <c r="D4434" s="211">
        <f>'IWP10'!G$550</f>
        <v>0</v>
      </c>
      <c r="E4434" s="211" t="str">
        <f>'IWP10'!H$550</f>
        <v>E.</v>
      </c>
      <c r="F4434" s="211" t="str">
        <f>'IWP10'!I$550</f>
        <v>F.</v>
      </c>
      <c r="G4434" s="191" t="str">
        <f>IF('IWP10'!J$550=0,"",'IWP10'!J$550)</f>
        <v>G.</v>
      </c>
      <c r="H4434" s="211">
        <f>'IWP10'!K$550</f>
        <v>0</v>
      </c>
      <c r="I4434" s="211" t="str">
        <f>'IWP10'!L$550</f>
        <v>H.</v>
      </c>
      <c r="J4434" s="212" t="str">
        <f>'IWP10'!M$550</f>
        <v>I.</v>
      </c>
      <c r="K4434" s="106"/>
      <c r="L4434" s="106"/>
      <c r="M4434" s="129"/>
    </row>
    <row r="4435" spans="1:13" s="146" customFormat="1">
      <c r="A4435" s="193" t="s">
        <v>508</v>
      </c>
      <c r="B4435" s="210">
        <v>13</v>
      </c>
      <c r="C4435" s="191" t="str">
        <f>IF('IWP10'!E$551=0,"",'IWP10'!E$551)</f>
        <v xml:space="preserve">Items/Services Related to Billing Period </v>
      </c>
      <c r="D4435" s="211">
        <f>'IWP10'!G$551</f>
        <v>0</v>
      </c>
      <c r="E4435" s="211" t="str">
        <f>'IWP10'!H$551</f>
        <v xml:space="preserve">Item/
Service Verified Amounts
</v>
      </c>
      <c r="F4435" s="211" t="str">
        <f>'IWP10'!I$551</f>
        <v>Amount Due to DADS (E. - D.)</v>
      </c>
      <c r="G4435" s="191" t="str">
        <f>IF('IWP10'!J$551=0,"",'IWP10'!J$551)</f>
        <v>Amount Reimbursed to 
Employee(s)/Employer</v>
      </c>
      <c r="H4435" s="211">
        <f>'IWP10'!K$551</f>
        <v>0</v>
      </c>
      <c r="I4435" s="211" t="str">
        <f>'IWP10'!L$551</f>
        <v>Amount Due to Employee(s) (G. - E.)</v>
      </c>
      <c r="J4435" s="212" t="str">
        <f>'IWP10'!M$551</f>
        <v>Amount Due to Employer (G. - E.)</v>
      </c>
      <c r="K4435" s="106"/>
      <c r="L4435" s="106"/>
      <c r="M4435" s="129"/>
    </row>
    <row r="4436" spans="1:13" s="146" customFormat="1">
      <c r="A4436" s="193" t="s">
        <v>508</v>
      </c>
      <c r="B4436" s="210">
        <v>13</v>
      </c>
      <c r="C4436" s="191" t="str">
        <f>IF('IWP10'!E$552=0,"",'IWP10'!E$552)</f>
        <v>Item/Service</v>
      </c>
      <c r="D4436" s="211" t="str">
        <f>'IWP10'!G$552</f>
        <v>Itemized Amount Paid by DADS</v>
      </c>
      <c r="E4436" s="211">
        <f>'IWP10'!H$552</f>
        <v>0</v>
      </c>
      <c r="F4436" s="211">
        <f>'IWP10'!I$552</f>
        <v>0</v>
      </c>
      <c r="G4436" s="191" t="str">
        <f>IF('IWP10'!J$552=0,"",'IWP10'!J$552)</f>
        <v/>
      </c>
      <c r="H4436" s="211">
        <f>'IWP10'!K$552</f>
        <v>0</v>
      </c>
      <c r="I4436" s="211">
        <f>'IWP10'!L$552</f>
        <v>0</v>
      </c>
      <c r="J4436" s="212">
        <f>'IWP10'!M$552</f>
        <v>0</v>
      </c>
      <c r="K4436" s="106"/>
      <c r="L4436" s="106"/>
      <c r="M4436" s="129"/>
    </row>
    <row r="4437" spans="1:13" s="146" customFormat="1">
      <c r="A4437" s="193" t="s">
        <v>508</v>
      </c>
      <c r="B4437" s="210">
        <v>13</v>
      </c>
      <c r="C4437" s="191" t="str">
        <f>IF('IWP10'!E$553=0,"",'IWP10'!E$553)</f>
        <v/>
      </c>
      <c r="D4437" s="211">
        <f>'IWP10'!G$553</f>
        <v>0</v>
      </c>
      <c r="E4437" s="211">
        <f>'IWP10'!H$553</f>
        <v>0</v>
      </c>
      <c r="F4437" s="211">
        <f>'IWP10'!I$553</f>
        <v>0</v>
      </c>
      <c r="G4437" s="191" t="str">
        <f>IF('IWP10'!J$553=0,"",'IWP10'!J$553)</f>
        <v/>
      </c>
      <c r="H4437" s="211">
        <f>'IWP10'!K$553</f>
        <v>0</v>
      </c>
      <c r="I4437" s="211">
        <f>'IWP10'!L$553</f>
        <v>0</v>
      </c>
      <c r="J4437" s="212">
        <f>'IWP10'!M$553</f>
        <v>0</v>
      </c>
      <c r="K4437" s="106"/>
      <c r="L4437" s="106"/>
      <c r="M4437" s="129"/>
    </row>
    <row r="4438" spans="1:13" s="146" customFormat="1">
      <c r="A4438" s="193" t="s">
        <v>508</v>
      </c>
      <c r="B4438" s="210">
        <v>13</v>
      </c>
      <c r="C4438" s="191" t="str">
        <f>IF('IWP10'!E$554=0,"",'IWP10'!E$554)</f>
        <v/>
      </c>
      <c r="D4438" s="211">
        <f>'IWP10'!G$554</f>
        <v>0</v>
      </c>
      <c r="E4438" s="211">
        <f>'IWP10'!H$554</f>
        <v>0</v>
      </c>
      <c r="F4438" s="211">
        <f>'IWP10'!I$554</f>
        <v>0</v>
      </c>
      <c r="G4438" s="191" t="str">
        <f>IF('IWP10'!J$554=0,"",'IWP10'!J$554)</f>
        <v/>
      </c>
      <c r="H4438" s="211">
        <f>'IWP10'!K$554</f>
        <v>0</v>
      </c>
      <c r="I4438" s="211">
        <f>'IWP10'!L$554</f>
        <v>0</v>
      </c>
      <c r="J4438" s="212">
        <f>'IWP10'!M$554</f>
        <v>0</v>
      </c>
      <c r="K4438" s="106"/>
      <c r="L4438" s="106"/>
      <c r="M4438" s="129"/>
    </row>
    <row r="4439" spans="1:13" s="146" customFormat="1">
      <c r="A4439" s="193" t="s">
        <v>508</v>
      </c>
      <c r="B4439" s="210">
        <v>13</v>
      </c>
      <c r="C4439" s="191" t="str">
        <f>IF('IWP10'!E$555=0,"",'IWP10'!E$555)</f>
        <v/>
      </c>
      <c r="D4439" s="211">
        <f>'IWP10'!G$555</f>
        <v>0</v>
      </c>
      <c r="E4439" s="211">
        <f>'IWP10'!H$555</f>
        <v>0</v>
      </c>
      <c r="F4439" s="211">
        <f>'IWP10'!I$555</f>
        <v>0</v>
      </c>
      <c r="G4439" s="191" t="str">
        <f>IF('IWP10'!J$555=0,"",'IWP10'!J$555)</f>
        <v/>
      </c>
      <c r="H4439" s="211">
        <f>'IWP10'!K$555</f>
        <v>0</v>
      </c>
      <c r="I4439" s="211">
        <f>'IWP10'!L$555</f>
        <v>0</v>
      </c>
      <c r="J4439" s="212">
        <f>'IWP10'!M$555</f>
        <v>0</v>
      </c>
      <c r="K4439" s="106"/>
      <c r="L4439" s="106"/>
      <c r="M4439" s="129"/>
    </row>
    <row r="4440" spans="1:13" s="146" customFormat="1">
      <c r="A4440" s="193" t="s">
        <v>508</v>
      </c>
      <c r="B4440" s="210">
        <v>13</v>
      </c>
      <c r="C4440" s="191" t="str">
        <f>IF('IWP10'!E$556=0,"",'IWP10'!E$556)</f>
        <v/>
      </c>
      <c r="D4440" s="211">
        <f>'IWP10'!G$556</f>
        <v>0</v>
      </c>
      <c r="E4440" s="211">
        <f>'IWP10'!H$556</f>
        <v>0</v>
      </c>
      <c r="F4440" s="211">
        <f>'IWP10'!I$556</f>
        <v>0</v>
      </c>
      <c r="G4440" s="191" t="str">
        <f>IF('IWP10'!J$556=0,"",'IWP10'!J$556)</f>
        <v/>
      </c>
      <c r="H4440" s="211">
        <f>'IWP10'!K$556</f>
        <v>0</v>
      </c>
      <c r="I4440" s="211">
        <f>'IWP10'!L$556</f>
        <v>0</v>
      </c>
      <c r="J4440" s="212">
        <f>'IWP10'!M$556</f>
        <v>0</v>
      </c>
      <c r="K4440" s="106"/>
      <c r="L4440" s="106"/>
      <c r="M4440" s="129"/>
    </row>
    <row r="4441" spans="1:13" s="146" customFormat="1">
      <c r="A4441" s="193" t="s">
        <v>508</v>
      </c>
      <c r="B4441" s="210">
        <v>14</v>
      </c>
      <c r="C4441" s="191" t="str">
        <f>IF('IWP10'!E$563=0,"",'IWP10'!E$563)</f>
        <v>Subtotal column D.</v>
      </c>
      <c r="D4441" s="211">
        <f>'IWP10'!G$563</f>
        <v>0</v>
      </c>
      <c r="E4441" s="211">
        <f>'IWP10'!H$563</f>
        <v>0</v>
      </c>
      <c r="F4441" s="211">
        <f>'IWP10'!I$563</f>
        <v>0</v>
      </c>
      <c r="G4441" s="191" t="str">
        <f>IF('IWP10'!J$563=0,"",'IWP10'!J$563)</f>
        <v/>
      </c>
      <c r="H4441" s="211">
        <f>'IWP10'!K$563</f>
        <v>0</v>
      </c>
      <c r="I4441" s="211">
        <f>'IWP10'!L$563</f>
        <v>0</v>
      </c>
      <c r="J4441" s="212">
        <f>'IWP10'!M$563</f>
        <v>0</v>
      </c>
      <c r="K4441" s="106"/>
      <c r="L4441" s="106"/>
      <c r="M4441" s="129"/>
    </row>
    <row r="4442" spans="1:13" s="146" customFormat="1">
      <c r="A4442" s="193" t="s">
        <v>508</v>
      </c>
      <c r="B4442" s="210">
        <v>14</v>
      </c>
      <c r="C4442" s="191" t="str">
        <f>IF('IWP10'!E$564=0,"",'IWP10'!E$564)</f>
        <v>Unverified/Undocumented (Subtotal D - C)</v>
      </c>
      <c r="D4442" s="211">
        <f>'IWP10'!G$564</f>
        <v>0</v>
      </c>
      <c r="E4442" s="211">
        <f>'IWP10'!H$564</f>
        <v>0</v>
      </c>
      <c r="F4442" s="211">
        <f>'IWP10'!I$564</f>
        <v>0</v>
      </c>
      <c r="G4442" s="191" t="str">
        <f>IF('IWP10'!J$564=0,"",'IWP10'!J$564)</f>
        <v/>
      </c>
      <c r="H4442" s="211">
        <f>'IWP10'!K$564</f>
        <v>0</v>
      </c>
      <c r="I4442" s="211">
        <f>'IWP10'!L$564</f>
        <v>0</v>
      </c>
      <c r="J4442" s="212">
        <f>'IWP10'!M$564</f>
        <v>0</v>
      </c>
      <c r="K4442" s="106"/>
      <c r="L4442" s="106"/>
      <c r="M4442" s="129"/>
    </row>
    <row r="4443" spans="1:13" s="146" customFormat="1">
      <c r="A4443" s="193" t="s">
        <v>508</v>
      </c>
      <c r="B4443" s="210">
        <v>14</v>
      </c>
      <c r="C4443" s="191" t="str">
        <f>IF('IWP10'!E$565=0,"",'IWP10'!E$565)</f>
        <v>J. Billing Period Total</v>
      </c>
      <c r="D4443" s="211">
        <f>'IWP10'!G$565</f>
        <v>0</v>
      </c>
      <c r="E4443" s="211">
        <f>'IWP10'!H$565</f>
        <v>0</v>
      </c>
      <c r="F4443" s="211">
        <f>'IWP10'!I$565</f>
        <v>0</v>
      </c>
      <c r="G4443" s="191" t="str">
        <f>IF('IWP10'!J$565=0,"",'IWP10'!J$565)</f>
        <v/>
      </c>
      <c r="H4443" s="211">
        <f>'IWP10'!K$565</f>
        <v>0</v>
      </c>
      <c r="I4443" s="211">
        <f>'IWP10'!L$565</f>
        <v>0</v>
      </c>
      <c r="J4443" s="212">
        <f>'IWP10'!M$565</f>
        <v>0</v>
      </c>
      <c r="K4443" s="106"/>
      <c r="L4443" s="106"/>
      <c r="M4443" s="129"/>
    </row>
    <row r="4444" spans="1:13" s="146" customFormat="1">
      <c r="A4444" s="193" t="s">
        <v>508</v>
      </c>
      <c r="B4444" s="210">
        <v>14</v>
      </c>
      <c r="C4444" s="191" t="str">
        <f>IF('IWP10'!E$566=0,"",'IWP10'!E$566)</f>
        <v>D.</v>
      </c>
      <c r="D4444" s="211">
        <f>'IWP10'!G$566</f>
        <v>0</v>
      </c>
      <c r="E4444" s="211" t="str">
        <f>'IWP10'!H$566</f>
        <v>E.</v>
      </c>
      <c r="F4444" s="211" t="str">
        <f>'IWP10'!I$566</f>
        <v>F.</v>
      </c>
      <c r="G4444" s="191" t="str">
        <f>IF('IWP10'!J$566=0,"",'IWP10'!J$566)</f>
        <v>G.</v>
      </c>
      <c r="H4444" s="211">
        <f>'IWP10'!K$566</f>
        <v>0</v>
      </c>
      <c r="I4444" s="211" t="str">
        <f>'IWP10'!L$566</f>
        <v>H.</v>
      </c>
      <c r="J4444" s="212" t="str">
        <f>'IWP10'!M$566</f>
        <v>I.</v>
      </c>
      <c r="K4444" s="106"/>
      <c r="L4444" s="106"/>
      <c r="M4444" s="129"/>
    </row>
    <row r="4445" spans="1:13" s="146" customFormat="1">
      <c r="A4445" s="193" t="s">
        <v>508</v>
      </c>
      <c r="B4445" s="210">
        <v>14</v>
      </c>
      <c r="C4445" s="191" t="str">
        <f>IF('IWP10'!E$567=0,"",'IWP10'!E$567)</f>
        <v xml:space="preserve">Items/Services Related to Billing Period </v>
      </c>
      <c r="D4445" s="211">
        <f>'IWP10'!G$567</f>
        <v>0</v>
      </c>
      <c r="E4445" s="211" t="str">
        <f>'IWP10'!H$567</f>
        <v xml:space="preserve">Item/
Service Verified Amounts
</v>
      </c>
      <c r="F4445" s="211" t="str">
        <f>'IWP10'!I$567</f>
        <v>Amount Due to DADS (E. - D.)</v>
      </c>
      <c r="G4445" s="191" t="str">
        <f>IF('IWP10'!J$567=0,"",'IWP10'!J$567)</f>
        <v>Amount Reimbursed to 
Employee(s)/Employer</v>
      </c>
      <c r="H4445" s="211">
        <f>'IWP10'!K$567</f>
        <v>0</v>
      </c>
      <c r="I4445" s="211" t="str">
        <f>'IWP10'!L$567</f>
        <v>Amount Due to Employee(s) (G. - E.)</v>
      </c>
      <c r="J4445" s="212" t="str">
        <f>'IWP10'!M$567</f>
        <v>Amount Due to Employer (G. - E.)</v>
      </c>
      <c r="K4445" s="106"/>
      <c r="L4445" s="106"/>
      <c r="M4445" s="129"/>
    </row>
    <row r="4446" spans="1:13" s="146" customFormat="1">
      <c r="A4446" s="193" t="s">
        <v>508</v>
      </c>
      <c r="B4446" s="210">
        <v>14</v>
      </c>
      <c r="C4446" s="191" t="str">
        <f>IF('IWP10'!E$568=0,"",'IWP10'!E$568)</f>
        <v>Item/Service</v>
      </c>
      <c r="D4446" s="211" t="str">
        <f>'IWP10'!G$568</f>
        <v>Itemized Amount Paid by DADS</v>
      </c>
      <c r="E4446" s="211">
        <f>'IWP10'!H$568</f>
        <v>0</v>
      </c>
      <c r="F4446" s="211">
        <f>'IWP10'!I$568</f>
        <v>0</v>
      </c>
      <c r="G4446" s="191" t="str">
        <f>IF('IWP10'!J$568=0,"",'IWP10'!J$568)</f>
        <v/>
      </c>
      <c r="H4446" s="211">
        <f>'IWP10'!K$568</f>
        <v>0</v>
      </c>
      <c r="I4446" s="211">
        <f>'IWP10'!L$568</f>
        <v>0</v>
      </c>
      <c r="J4446" s="212">
        <f>'IWP10'!M$568</f>
        <v>0</v>
      </c>
      <c r="K4446" s="106"/>
      <c r="L4446" s="106"/>
      <c r="M4446" s="129"/>
    </row>
    <row r="4447" spans="1:13" s="146" customFormat="1">
      <c r="A4447" s="193" t="s">
        <v>508</v>
      </c>
      <c r="B4447" s="210">
        <v>14</v>
      </c>
      <c r="C4447" s="191" t="str">
        <f>IF('IWP10'!E$569=0,"",'IWP10'!E$569)</f>
        <v/>
      </c>
      <c r="D4447" s="211">
        <f>'IWP10'!G$569</f>
        <v>0</v>
      </c>
      <c r="E4447" s="211">
        <f>'IWP10'!H$569</f>
        <v>0</v>
      </c>
      <c r="F4447" s="211">
        <f>'IWP10'!I$569</f>
        <v>0</v>
      </c>
      <c r="G4447" s="191" t="str">
        <f>IF('IWP10'!J$569=0,"",'IWP10'!J$569)</f>
        <v/>
      </c>
      <c r="H4447" s="211">
        <f>'IWP10'!K$569</f>
        <v>0</v>
      </c>
      <c r="I4447" s="211">
        <f>'IWP10'!L$569</f>
        <v>0</v>
      </c>
      <c r="J4447" s="212">
        <f>'IWP10'!M$569</f>
        <v>0</v>
      </c>
      <c r="K4447" s="106"/>
      <c r="L4447" s="106"/>
      <c r="M4447" s="129"/>
    </row>
    <row r="4448" spans="1:13" s="146" customFormat="1">
      <c r="A4448" s="193" t="s">
        <v>508</v>
      </c>
      <c r="B4448" s="210">
        <v>14</v>
      </c>
      <c r="C4448" s="191" t="str">
        <f>IF('IWP10'!E$570=0,"",'IWP10'!E$570)</f>
        <v/>
      </c>
      <c r="D4448" s="211">
        <f>'IWP10'!G$570</f>
        <v>0</v>
      </c>
      <c r="E4448" s="211">
        <f>'IWP10'!H$570</f>
        <v>0</v>
      </c>
      <c r="F4448" s="211">
        <f>'IWP10'!I$570</f>
        <v>0</v>
      </c>
      <c r="G4448" s="191" t="str">
        <f>IF('IWP10'!J$570=0,"",'IWP10'!J$570)</f>
        <v/>
      </c>
      <c r="H4448" s="211">
        <f>'IWP10'!K$570</f>
        <v>0</v>
      </c>
      <c r="I4448" s="211">
        <f>'IWP10'!L$570</f>
        <v>0</v>
      </c>
      <c r="J4448" s="212">
        <f>'IWP10'!M$570</f>
        <v>0</v>
      </c>
      <c r="K4448" s="106"/>
      <c r="L4448" s="106"/>
      <c r="M4448" s="129"/>
    </row>
    <row r="4449" spans="1:13" s="146" customFormat="1">
      <c r="A4449" s="193" t="s">
        <v>508</v>
      </c>
      <c r="B4449" s="210">
        <v>14</v>
      </c>
      <c r="C4449" s="191" t="str">
        <f>IF('IWP10'!E$571=0,"",'IWP10'!E$571)</f>
        <v/>
      </c>
      <c r="D4449" s="211">
        <f>'IWP10'!G$571</f>
        <v>0</v>
      </c>
      <c r="E4449" s="211">
        <f>'IWP10'!H$571</f>
        <v>0</v>
      </c>
      <c r="F4449" s="211">
        <f>'IWP10'!I$571</f>
        <v>0</v>
      </c>
      <c r="G4449" s="191" t="str">
        <f>IF('IWP10'!J$571=0,"",'IWP10'!J$571)</f>
        <v/>
      </c>
      <c r="H4449" s="211">
        <f>'IWP10'!K$571</f>
        <v>0</v>
      </c>
      <c r="I4449" s="211">
        <f>'IWP10'!L$571</f>
        <v>0</v>
      </c>
      <c r="J4449" s="212">
        <f>'IWP10'!M$571</f>
        <v>0</v>
      </c>
      <c r="K4449" s="106"/>
      <c r="L4449" s="106"/>
      <c r="M4449" s="129"/>
    </row>
    <row r="4450" spans="1:13" s="146" customFormat="1">
      <c r="A4450" s="193" t="s">
        <v>508</v>
      </c>
      <c r="B4450" s="210">
        <v>14</v>
      </c>
      <c r="C4450" s="191" t="str">
        <f>IF('IWP10'!E$572=0,"",'IWP10'!E$572)</f>
        <v/>
      </c>
      <c r="D4450" s="211">
        <f>'IWP10'!G$572</f>
        <v>0</v>
      </c>
      <c r="E4450" s="211">
        <f>'IWP10'!H$572</f>
        <v>0</v>
      </c>
      <c r="F4450" s="211">
        <f>'IWP10'!I$572</f>
        <v>0</v>
      </c>
      <c r="G4450" s="191" t="str">
        <f>IF('IWP10'!J$572=0,"",'IWP10'!J$572)</f>
        <v/>
      </c>
      <c r="H4450" s="211">
        <f>'IWP10'!K$572</f>
        <v>0</v>
      </c>
      <c r="I4450" s="211">
        <f>'IWP10'!L$572</f>
        <v>0</v>
      </c>
      <c r="J4450" s="212">
        <f>'IWP10'!M$572</f>
        <v>0</v>
      </c>
      <c r="K4450" s="106"/>
      <c r="L4450" s="106"/>
      <c r="M4450" s="129"/>
    </row>
    <row r="4451" spans="1:13" s="146" customFormat="1">
      <c r="A4451" s="193" t="s">
        <v>508</v>
      </c>
      <c r="B4451" s="210">
        <v>15</v>
      </c>
      <c r="C4451" s="191" t="str">
        <f>IF('IWP10'!E$579=0,"",'IWP10'!E$579)</f>
        <v>Subtotal column D.</v>
      </c>
      <c r="D4451" s="211">
        <f>'IWP10'!G$579</f>
        <v>0</v>
      </c>
      <c r="E4451" s="211">
        <f>'IWP10'!H$579</f>
        <v>0</v>
      </c>
      <c r="F4451" s="211">
        <f>'IWP10'!I$579</f>
        <v>0</v>
      </c>
      <c r="G4451" s="191" t="str">
        <f>IF('IWP10'!J$579=0,"",'IWP10'!J$579)</f>
        <v/>
      </c>
      <c r="H4451" s="211">
        <f>'IWP10'!K$579</f>
        <v>0</v>
      </c>
      <c r="I4451" s="211">
        <f>'IWP10'!L$579</f>
        <v>0</v>
      </c>
      <c r="J4451" s="212">
        <f>'IWP10'!M$579</f>
        <v>0</v>
      </c>
      <c r="K4451" s="106"/>
      <c r="L4451" s="106"/>
      <c r="M4451" s="129"/>
    </row>
    <row r="4452" spans="1:13" s="146" customFormat="1">
      <c r="A4452" s="193" t="s">
        <v>508</v>
      </c>
      <c r="B4452" s="210">
        <v>15</v>
      </c>
      <c r="C4452" s="191" t="str">
        <f>IF('IWP10'!E$580=0,"",'IWP10'!E$580)</f>
        <v>Unverified/Undocumented (Subtotal D - C)</v>
      </c>
      <c r="D4452" s="211">
        <f>'IWP10'!G$580</f>
        <v>0</v>
      </c>
      <c r="E4452" s="211">
        <f>'IWP10'!H$580</f>
        <v>0</v>
      </c>
      <c r="F4452" s="211">
        <f>'IWP10'!I$580</f>
        <v>0</v>
      </c>
      <c r="G4452" s="191" t="str">
        <f>IF('IWP10'!J$580=0,"",'IWP10'!J$580)</f>
        <v/>
      </c>
      <c r="H4452" s="211">
        <f>'IWP10'!K$580</f>
        <v>0</v>
      </c>
      <c r="I4452" s="211">
        <f>'IWP10'!L$580</f>
        <v>0</v>
      </c>
      <c r="J4452" s="212">
        <f>'IWP10'!M$580</f>
        <v>0</v>
      </c>
      <c r="K4452" s="106"/>
      <c r="L4452" s="106"/>
      <c r="M4452" s="129"/>
    </row>
    <row r="4453" spans="1:13" s="146" customFormat="1">
      <c r="A4453" s="193" t="s">
        <v>508</v>
      </c>
      <c r="B4453" s="210">
        <v>15</v>
      </c>
      <c r="C4453" s="191" t="str">
        <f>IF('IWP10'!E$581=0,"",'IWP10'!E$581)</f>
        <v>J. Billing Period Total</v>
      </c>
      <c r="D4453" s="211">
        <f>'IWP10'!G$581</f>
        <v>0</v>
      </c>
      <c r="E4453" s="211">
        <f>'IWP10'!H$581</f>
        <v>0</v>
      </c>
      <c r="F4453" s="211">
        <f>'IWP10'!I$581</f>
        <v>0</v>
      </c>
      <c r="G4453" s="191" t="str">
        <f>IF('IWP10'!J$581=0,"",'IWP10'!J$581)</f>
        <v/>
      </c>
      <c r="H4453" s="211">
        <f>'IWP10'!K$581</f>
        <v>0</v>
      </c>
      <c r="I4453" s="211">
        <f>'IWP10'!L$581</f>
        <v>0</v>
      </c>
      <c r="J4453" s="212">
        <f>'IWP10'!M$581</f>
        <v>0</v>
      </c>
      <c r="K4453" s="106"/>
      <c r="L4453" s="106"/>
      <c r="M4453" s="129"/>
    </row>
    <row r="4454" spans="1:13" s="146" customFormat="1">
      <c r="A4454" s="193" t="s">
        <v>508</v>
      </c>
      <c r="B4454" s="210">
        <v>15</v>
      </c>
      <c r="C4454" s="191" t="str">
        <f>IF('IWP10'!E$582=0,"",'IWP10'!E$582)</f>
        <v>D.</v>
      </c>
      <c r="D4454" s="211">
        <f>'IWP10'!G$582</f>
        <v>0</v>
      </c>
      <c r="E4454" s="211" t="str">
        <f>'IWP10'!H$582</f>
        <v>E.</v>
      </c>
      <c r="F4454" s="211" t="str">
        <f>'IWP10'!I$582</f>
        <v>F.</v>
      </c>
      <c r="G4454" s="191" t="str">
        <f>IF('IWP10'!J$582=0,"",'IWP10'!J$582)</f>
        <v>G.</v>
      </c>
      <c r="H4454" s="211">
        <f>'IWP10'!K$582</f>
        <v>0</v>
      </c>
      <c r="I4454" s="211" t="str">
        <f>'IWP10'!L$582</f>
        <v>H.</v>
      </c>
      <c r="J4454" s="212" t="str">
        <f>'IWP10'!M$582</f>
        <v>I.</v>
      </c>
      <c r="K4454" s="106"/>
      <c r="L4454" s="106"/>
      <c r="M4454" s="129"/>
    </row>
    <row r="4455" spans="1:13" s="146" customFormat="1">
      <c r="A4455" s="193" t="s">
        <v>508</v>
      </c>
      <c r="B4455" s="210">
        <v>15</v>
      </c>
      <c r="C4455" s="191" t="str">
        <f>IF('IWP10'!E$583=0,"",'IWP10'!E$583)</f>
        <v xml:space="preserve">Items/Services Related to Billing Period </v>
      </c>
      <c r="D4455" s="211">
        <f>'IWP10'!G$583</f>
        <v>0</v>
      </c>
      <c r="E4455" s="211" t="str">
        <f>'IWP10'!H$583</f>
        <v xml:space="preserve">Item/
Service Verified Amounts
</v>
      </c>
      <c r="F4455" s="211" t="str">
        <f>'IWP10'!I$583</f>
        <v>Amount Due to DADS (E. - D.)</v>
      </c>
      <c r="G4455" s="191" t="str">
        <f>IF('IWP10'!J$583=0,"",'IWP10'!J$583)</f>
        <v>Amount Reimbursed to 
Employee(s)/Employer</v>
      </c>
      <c r="H4455" s="211">
        <f>'IWP10'!K$583</f>
        <v>0</v>
      </c>
      <c r="I4455" s="211" t="str">
        <f>'IWP10'!L$583</f>
        <v>Amount Due to Employee(s) (G. - E.)</v>
      </c>
      <c r="J4455" s="212" t="str">
        <f>'IWP10'!M$583</f>
        <v>Amount Due to Employer (G. - E.)</v>
      </c>
      <c r="K4455" s="106"/>
      <c r="L4455" s="106"/>
      <c r="M4455" s="129"/>
    </row>
    <row r="4456" spans="1:13" s="146" customFormat="1">
      <c r="A4456" s="193" t="s">
        <v>508</v>
      </c>
      <c r="B4456" s="210">
        <v>15</v>
      </c>
      <c r="C4456" s="191" t="str">
        <f>IF('IWP10'!E$584=0,"",'IWP10'!E$584)</f>
        <v>Item/Service</v>
      </c>
      <c r="D4456" s="211" t="str">
        <f>'IWP10'!G$584</f>
        <v>Itemized Amount Paid by DADS</v>
      </c>
      <c r="E4456" s="211">
        <f>'IWP10'!H$584</f>
        <v>0</v>
      </c>
      <c r="F4456" s="211">
        <f>'IWP10'!I$584</f>
        <v>0</v>
      </c>
      <c r="G4456" s="191" t="str">
        <f>IF('IWP10'!J$584=0,"",'IWP10'!J$584)</f>
        <v/>
      </c>
      <c r="H4456" s="211">
        <f>'IWP10'!K$584</f>
        <v>0</v>
      </c>
      <c r="I4456" s="211">
        <f>'IWP10'!L$584</f>
        <v>0</v>
      </c>
      <c r="J4456" s="212">
        <f>'IWP10'!M$584</f>
        <v>0</v>
      </c>
      <c r="K4456" s="106"/>
      <c r="L4456" s="106"/>
      <c r="M4456" s="129"/>
    </row>
    <row r="4457" spans="1:13" s="146" customFormat="1">
      <c r="A4457" s="193" t="s">
        <v>508</v>
      </c>
      <c r="B4457" s="210">
        <v>15</v>
      </c>
      <c r="C4457" s="191" t="str">
        <f>IF('IWP10'!E$585=0,"",'IWP10'!E$585)</f>
        <v/>
      </c>
      <c r="D4457" s="211">
        <f>'IWP10'!G$585</f>
        <v>0</v>
      </c>
      <c r="E4457" s="211">
        <f>'IWP10'!H$585</f>
        <v>0</v>
      </c>
      <c r="F4457" s="211">
        <f>'IWP10'!I$585</f>
        <v>0</v>
      </c>
      <c r="G4457" s="191" t="str">
        <f>IF('IWP10'!J$585=0,"",'IWP10'!J$585)</f>
        <v/>
      </c>
      <c r="H4457" s="211">
        <f>'IWP10'!K$585</f>
        <v>0</v>
      </c>
      <c r="I4457" s="211">
        <f>'IWP10'!L$585</f>
        <v>0</v>
      </c>
      <c r="J4457" s="212">
        <f>'IWP10'!M$585</f>
        <v>0</v>
      </c>
      <c r="K4457" s="106"/>
      <c r="L4457" s="106"/>
      <c r="M4457" s="129"/>
    </row>
    <row r="4458" spans="1:13" s="146" customFormat="1">
      <c r="A4458" s="193" t="s">
        <v>508</v>
      </c>
      <c r="B4458" s="210">
        <v>15</v>
      </c>
      <c r="C4458" s="191" t="str">
        <f>IF('IWP10'!E$586=0,"",'IWP10'!E$586)</f>
        <v/>
      </c>
      <c r="D4458" s="211">
        <f>'IWP10'!G$586</f>
        <v>0</v>
      </c>
      <c r="E4458" s="211">
        <f>'IWP10'!H$586</f>
        <v>0</v>
      </c>
      <c r="F4458" s="211">
        <f>'IWP10'!I$586</f>
        <v>0</v>
      </c>
      <c r="G4458" s="191" t="str">
        <f>IF('IWP10'!J$586=0,"",'IWP10'!J$586)</f>
        <v/>
      </c>
      <c r="H4458" s="211">
        <f>'IWP10'!K$586</f>
        <v>0</v>
      </c>
      <c r="I4458" s="211">
        <f>'IWP10'!L$586</f>
        <v>0</v>
      </c>
      <c r="J4458" s="212">
        <f>'IWP10'!M$586</f>
        <v>0</v>
      </c>
      <c r="K4458" s="106"/>
      <c r="L4458" s="106"/>
      <c r="M4458" s="129"/>
    </row>
    <row r="4459" spans="1:13" s="146" customFormat="1">
      <c r="A4459" s="193" t="s">
        <v>508</v>
      </c>
      <c r="B4459" s="210">
        <v>15</v>
      </c>
      <c r="C4459" s="191" t="str">
        <f>IF('IWP10'!E$587=0,"",'IWP10'!E$587)</f>
        <v/>
      </c>
      <c r="D4459" s="211">
        <f>'IWP10'!G$587</f>
        <v>0</v>
      </c>
      <c r="E4459" s="211">
        <f>'IWP10'!H$587</f>
        <v>0</v>
      </c>
      <c r="F4459" s="211">
        <f>'IWP10'!I$587</f>
        <v>0</v>
      </c>
      <c r="G4459" s="191" t="str">
        <f>IF('IWP10'!J$587=0,"",'IWP10'!J$587)</f>
        <v/>
      </c>
      <c r="H4459" s="211">
        <f>'IWP10'!K$587</f>
        <v>0</v>
      </c>
      <c r="I4459" s="211">
        <f>'IWP10'!L$587</f>
        <v>0</v>
      </c>
      <c r="J4459" s="212">
        <f>'IWP10'!M$587</f>
        <v>0</v>
      </c>
      <c r="K4459" s="106"/>
      <c r="L4459" s="106"/>
      <c r="M4459" s="129"/>
    </row>
    <row r="4460" spans="1:13" s="146" customFormat="1">
      <c r="A4460" s="193" t="s">
        <v>508</v>
      </c>
      <c r="B4460" s="210">
        <v>15</v>
      </c>
      <c r="C4460" s="191" t="str">
        <f>IF('IWP10'!E$588=0,"",'IWP10'!E$588)</f>
        <v/>
      </c>
      <c r="D4460" s="211">
        <f>'IWP10'!G$588</f>
        <v>0</v>
      </c>
      <c r="E4460" s="211">
        <f>'IWP10'!H$588</f>
        <v>0</v>
      </c>
      <c r="F4460" s="211">
        <f>'IWP10'!I$588</f>
        <v>0</v>
      </c>
      <c r="G4460" s="191" t="str">
        <f>IF('IWP10'!J$588=0,"",'IWP10'!J$588)</f>
        <v/>
      </c>
      <c r="H4460" s="211">
        <f>'IWP10'!K$588</f>
        <v>0</v>
      </c>
      <c r="I4460" s="211">
        <f>'IWP10'!L$588</f>
        <v>0</v>
      </c>
      <c r="J4460" s="212">
        <f>'IWP10'!M$588</f>
        <v>0</v>
      </c>
      <c r="K4460" s="106"/>
      <c r="L4460" s="106"/>
      <c r="M4460" s="129"/>
    </row>
    <row r="4461" spans="1:13" s="146" customFormat="1">
      <c r="A4461" s="193" t="s">
        <v>508</v>
      </c>
      <c r="B4461" s="210">
        <v>16</v>
      </c>
      <c r="C4461" s="191" t="str">
        <f>IF('IWP10'!E$595=0,"",'IWP10'!E$595)</f>
        <v>Subtotal column D.</v>
      </c>
      <c r="D4461" s="211">
        <f>'IWP10'!G$595</f>
        <v>0</v>
      </c>
      <c r="E4461" s="211">
        <f>'IWP10'!H$595</f>
        <v>0</v>
      </c>
      <c r="F4461" s="211">
        <f>'IWP10'!I$595</f>
        <v>0</v>
      </c>
      <c r="G4461" s="191" t="str">
        <f>IF('IWP10'!J$595=0,"",'IWP10'!J$595)</f>
        <v/>
      </c>
      <c r="H4461" s="211">
        <f>'IWP10'!K$595</f>
        <v>0</v>
      </c>
      <c r="I4461" s="211">
        <f>'IWP10'!L$595</f>
        <v>0</v>
      </c>
      <c r="J4461" s="212">
        <f>'IWP10'!M$595</f>
        <v>0</v>
      </c>
      <c r="K4461" s="106"/>
      <c r="L4461" s="106"/>
      <c r="M4461" s="129"/>
    </row>
    <row r="4462" spans="1:13" s="146" customFormat="1">
      <c r="A4462" s="193" t="s">
        <v>508</v>
      </c>
      <c r="B4462" s="210">
        <v>16</v>
      </c>
      <c r="C4462" s="191" t="str">
        <f>IF('IWP10'!E$596=0,"",'IWP10'!E$596)</f>
        <v>Unverified/Undocumented (Subtotal D - C)</v>
      </c>
      <c r="D4462" s="211">
        <f>'IWP10'!G$596</f>
        <v>0</v>
      </c>
      <c r="E4462" s="211">
        <f>'IWP10'!H$596</f>
        <v>0</v>
      </c>
      <c r="F4462" s="211">
        <f>'IWP10'!I$596</f>
        <v>0</v>
      </c>
      <c r="G4462" s="191" t="str">
        <f>IF('IWP10'!J$596=0,"",'IWP10'!J$596)</f>
        <v/>
      </c>
      <c r="H4462" s="211">
        <f>'IWP10'!K$596</f>
        <v>0</v>
      </c>
      <c r="I4462" s="211">
        <f>'IWP10'!L$596</f>
        <v>0</v>
      </c>
      <c r="J4462" s="212">
        <f>'IWP10'!M$596</f>
        <v>0</v>
      </c>
      <c r="K4462" s="106"/>
      <c r="L4462" s="106"/>
      <c r="M4462" s="129"/>
    </row>
    <row r="4463" spans="1:13" s="146" customFormat="1">
      <c r="A4463" s="193" t="s">
        <v>508</v>
      </c>
      <c r="B4463" s="210">
        <v>16</v>
      </c>
      <c r="C4463" s="191" t="str">
        <f>IF('IWP10'!E$597=0,"",'IWP10'!E$597)</f>
        <v>J. Billing Period Total</v>
      </c>
      <c r="D4463" s="211">
        <f>'IWP10'!G$597</f>
        <v>0</v>
      </c>
      <c r="E4463" s="211">
        <f>'IWP10'!H$597</f>
        <v>0</v>
      </c>
      <c r="F4463" s="211">
        <f>'IWP10'!I$597</f>
        <v>0</v>
      </c>
      <c r="G4463" s="191" t="str">
        <f>IF('IWP10'!J$597=0,"",'IWP10'!J$597)</f>
        <v/>
      </c>
      <c r="H4463" s="211">
        <f>'IWP10'!K$597</f>
        <v>0</v>
      </c>
      <c r="I4463" s="211">
        <f>'IWP10'!L$597</f>
        <v>0</v>
      </c>
      <c r="J4463" s="212">
        <f>'IWP10'!M$597</f>
        <v>0</v>
      </c>
      <c r="K4463" s="106"/>
      <c r="L4463" s="106"/>
      <c r="M4463" s="129"/>
    </row>
    <row r="4464" spans="1:13" s="146" customFormat="1">
      <c r="A4464" s="193" t="s">
        <v>508</v>
      </c>
      <c r="B4464" s="210">
        <v>16</v>
      </c>
      <c r="C4464" s="191" t="str">
        <f>IF('IWP10'!E$598=0,"",'IWP10'!E$598)</f>
        <v>D.</v>
      </c>
      <c r="D4464" s="211">
        <f>'IWP10'!G$598</f>
        <v>0</v>
      </c>
      <c r="E4464" s="211" t="str">
        <f>'IWP10'!H$598</f>
        <v>E.</v>
      </c>
      <c r="F4464" s="211" t="str">
        <f>'IWP10'!I$598</f>
        <v>F.</v>
      </c>
      <c r="G4464" s="191" t="str">
        <f>IF('IWP10'!J$598=0,"",'IWP10'!J$598)</f>
        <v>G.</v>
      </c>
      <c r="H4464" s="211">
        <f>'IWP10'!K$598</f>
        <v>0</v>
      </c>
      <c r="I4464" s="211" t="str">
        <f>'IWP10'!L$598</f>
        <v>H.</v>
      </c>
      <c r="J4464" s="212" t="str">
        <f>'IWP10'!M$598</f>
        <v>I.</v>
      </c>
      <c r="K4464" s="106"/>
      <c r="L4464" s="106"/>
      <c r="M4464" s="129"/>
    </row>
    <row r="4465" spans="1:13" s="146" customFormat="1">
      <c r="A4465" s="193" t="s">
        <v>508</v>
      </c>
      <c r="B4465" s="210">
        <v>16</v>
      </c>
      <c r="C4465" s="191" t="str">
        <f>IF('IWP10'!E$599=0,"",'IWP10'!E$599)</f>
        <v xml:space="preserve">Items/Services Related to Billing Period </v>
      </c>
      <c r="D4465" s="211">
        <f>'IWP10'!G$599</f>
        <v>0</v>
      </c>
      <c r="E4465" s="211" t="str">
        <f>'IWP10'!H$599</f>
        <v xml:space="preserve">Item/
Service Verified Amounts
</v>
      </c>
      <c r="F4465" s="211" t="str">
        <f>'IWP10'!I$599</f>
        <v>Amount Due to DADS (E. - D.)</v>
      </c>
      <c r="G4465" s="191" t="str">
        <f>IF('IWP10'!J$599=0,"",'IWP10'!J$599)</f>
        <v>Amount Reimbursed to 
Employee(s)/Employer</v>
      </c>
      <c r="H4465" s="211">
        <f>'IWP10'!K$599</f>
        <v>0</v>
      </c>
      <c r="I4465" s="211" t="str">
        <f>'IWP10'!L$599</f>
        <v>Amount Due to Employee(s) (G. - E.)</v>
      </c>
      <c r="J4465" s="212" t="str">
        <f>'IWP10'!M$599</f>
        <v>Amount Due to Employer (G. - E.)</v>
      </c>
      <c r="K4465" s="106"/>
      <c r="L4465" s="106"/>
      <c r="M4465" s="129"/>
    </row>
    <row r="4466" spans="1:13" s="146" customFormat="1">
      <c r="A4466" s="193" t="s">
        <v>508</v>
      </c>
      <c r="B4466" s="210">
        <v>16</v>
      </c>
      <c r="C4466" s="191" t="str">
        <f>IF('IWP10'!E$600=0,"",'IWP10'!E$600)</f>
        <v>Item/Service</v>
      </c>
      <c r="D4466" s="211" t="str">
        <f>'IWP10'!G$600</f>
        <v>Itemized Amount Paid by DADS</v>
      </c>
      <c r="E4466" s="211">
        <f>'IWP10'!H$600</f>
        <v>0</v>
      </c>
      <c r="F4466" s="211">
        <f>'IWP10'!I$600</f>
        <v>0</v>
      </c>
      <c r="G4466" s="191" t="str">
        <f>IF('IWP10'!J$600=0,"",'IWP10'!J$600)</f>
        <v/>
      </c>
      <c r="H4466" s="211">
        <f>'IWP10'!K$600</f>
        <v>0</v>
      </c>
      <c r="I4466" s="211">
        <f>'IWP10'!L$600</f>
        <v>0</v>
      </c>
      <c r="J4466" s="212">
        <f>'IWP10'!M$600</f>
        <v>0</v>
      </c>
      <c r="K4466" s="106"/>
      <c r="L4466" s="106"/>
      <c r="M4466" s="129"/>
    </row>
    <row r="4467" spans="1:13" s="146" customFormat="1">
      <c r="A4467" s="193" t="s">
        <v>508</v>
      </c>
      <c r="B4467" s="210">
        <v>16</v>
      </c>
      <c r="C4467" s="191" t="str">
        <f>IF('IWP10'!E$601=0,"",'IWP10'!E$601)</f>
        <v/>
      </c>
      <c r="D4467" s="211">
        <f>'IWP10'!G$601</f>
        <v>0</v>
      </c>
      <c r="E4467" s="211">
        <f>'IWP10'!H$601</f>
        <v>0</v>
      </c>
      <c r="F4467" s="211">
        <f>'IWP10'!I$601</f>
        <v>0</v>
      </c>
      <c r="G4467" s="191" t="str">
        <f>IF('IWP10'!J$601=0,"",'IWP10'!J$601)</f>
        <v/>
      </c>
      <c r="H4467" s="211">
        <f>'IWP10'!K$601</f>
        <v>0</v>
      </c>
      <c r="I4467" s="211">
        <f>'IWP10'!L$601</f>
        <v>0</v>
      </c>
      <c r="J4467" s="212">
        <f>'IWP10'!M$601</f>
        <v>0</v>
      </c>
      <c r="K4467" s="106"/>
      <c r="L4467" s="106"/>
      <c r="M4467" s="129"/>
    </row>
    <row r="4468" spans="1:13" s="146" customFormat="1">
      <c r="A4468" s="193" t="s">
        <v>508</v>
      </c>
      <c r="B4468" s="210">
        <v>16</v>
      </c>
      <c r="C4468" s="191" t="str">
        <f>IF('IWP10'!E$602=0,"",'IWP10'!E$602)</f>
        <v/>
      </c>
      <c r="D4468" s="211">
        <f>'IWP10'!G$602</f>
        <v>0</v>
      </c>
      <c r="E4468" s="211">
        <f>'IWP10'!H$602</f>
        <v>0</v>
      </c>
      <c r="F4468" s="211">
        <f>'IWP10'!I$602</f>
        <v>0</v>
      </c>
      <c r="G4468" s="191" t="str">
        <f>IF('IWP10'!J$602=0,"",'IWP10'!J$602)</f>
        <v/>
      </c>
      <c r="H4468" s="211">
        <f>'IWP10'!K$602</f>
        <v>0</v>
      </c>
      <c r="I4468" s="211">
        <f>'IWP10'!L$602</f>
        <v>0</v>
      </c>
      <c r="J4468" s="212">
        <f>'IWP10'!M$602</f>
        <v>0</v>
      </c>
      <c r="K4468" s="106"/>
      <c r="L4468" s="106"/>
      <c r="M4468" s="129"/>
    </row>
    <row r="4469" spans="1:13" s="146" customFormat="1">
      <c r="A4469" s="193" t="s">
        <v>508</v>
      </c>
      <c r="B4469" s="210">
        <v>16</v>
      </c>
      <c r="C4469" s="191" t="str">
        <f>IF('IWP10'!E$603=0,"",'IWP10'!E$603)</f>
        <v/>
      </c>
      <c r="D4469" s="211">
        <f>'IWP10'!G$603</f>
        <v>0</v>
      </c>
      <c r="E4469" s="211">
        <f>'IWP10'!H$603</f>
        <v>0</v>
      </c>
      <c r="F4469" s="211">
        <f>'IWP10'!I$603</f>
        <v>0</v>
      </c>
      <c r="G4469" s="191" t="str">
        <f>IF('IWP10'!J$603=0,"",'IWP10'!J$603)</f>
        <v/>
      </c>
      <c r="H4469" s="211">
        <f>'IWP10'!K$603</f>
        <v>0</v>
      </c>
      <c r="I4469" s="211">
        <f>'IWP10'!L$603</f>
        <v>0</v>
      </c>
      <c r="J4469" s="212">
        <f>'IWP10'!M$603</f>
        <v>0</v>
      </c>
      <c r="K4469" s="106"/>
      <c r="L4469" s="106"/>
      <c r="M4469" s="129"/>
    </row>
    <row r="4470" spans="1:13" s="146" customFormat="1">
      <c r="A4470" s="193" t="s">
        <v>508</v>
      </c>
      <c r="B4470" s="210">
        <v>16</v>
      </c>
      <c r="C4470" s="191" t="str">
        <f>IF('IWP10'!E$604=0,"",'IWP10'!E$604)</f>
        <v/>
      </c>
      <c r="D4470" s="211">
        <f>'IWP10'!G$604</f>
        <v>0</v>
      </c>
      <c r="E4470" s="211">
        <f>'IWP10'!H$604</f>
        <v>0</v>
      </c>
      <c r="F4470" s="211">
        <f>'IWP10'!I$604</f>
        <v>0</v>
      </c>
      <c r="G4470" s="191" t="str">
        <f>IF('IWP10'!J$604=0,"",'IWP10'!J$604)</f>
        <v/>
      </c>
      <c r="H4470" s="211">
        <f>'IWP10'!K$604</f>
        <v>0</v>
      </c>
      <c r="I4470" s="211">
        <f>'IWP10'!L$604</f>
        <v>0</v>
      </c>
      <c r="J4470" s="212">
        <f>'IWP10'!M$604</f>
        <v>0</v>
      </c>
      <c r="K4470" s="106"/>
      <c r="L4470" s="106"/>
      <c r="M4470" s="129"/>
    </row>
    <row r="4471" spans="1:13" s="146" customFormat="1">
      <c r="A4471" s="193" t="s">
        <v>508</v>
      </c>
      <c r="B4471" s="210">
        <v>17</v>
      </c>
      <c r="C4471" s="191" t="str">
        <f>IF('IWP10'!E$611=0,"",'IWP10'!E$611)</f>
        <v>Subtotal column D.</v>
      </c>
      <c r="D4471" s="211">
        <f>'IWP10'!G$611</f>
        <v>0</v>
      </c>
      <c r="E4471" s="211">
        <f>'IWP10'!H$611</f>
        <v>0</v>
      </c>
      <c r="F4471" s="211">
        <f>'IWP10'!I$611</f>
        <v>0</v>
      </c>
      <c r="G4471" s="191" t="str">
        <f>IF('IWP10'!J$611=0,"",'IWP10'!J$611)</f>
        <v/>
      </c>
      <c r="H4471" s="211">
        <f>'IWP10'!K$611</f>
        <v>0</v>
      </c>
      <c r="I4471" s="211">
        <f>'IWP10'!L$611</f>
        <v>0</v>
      </c>
      <c r="J4471" s="212">
        <f>'IWP10'!M$611</f>
        <v>0</v>
      </c>
      <c r="K4471" s="106"/>
      <c r="L4471" s="106"/>
      <c r="M4471" s="129"/>
    </row>
    <row r="4472" spans="1:13" s="146" customFormat="1">
      <c r="A4472" s="193" t="s">
        <v>508</v>
      </c>
      <c r="B4472" s="210">
        <v>17</v>
      </c>
      <c r="C4472" s="191" t="str">
        <f>IF('IWP10'!E$612=0,"",'IWP10'!E$612)</f>
        <v>Unverified/Undocumented (Subtotal D - C)</v>
      </c>
      <c r="D4472" s="211">
        <f>'IWP10'!G$612</f>
        <v>0</v>
      </c>
      <c r="E4472" s="211">
        <f>'IWP10'!H$612</f>
        <v>0</v>
      </c>
      <c r="F4472" s="211">
        <f>'IWP10'!I$612</f>
        <v>0</v>
      </c>
      <c r="G4472" s="191" t="str">
        <f>IF('IWP10'!J$612=0,"",'IWP10'!J$612)</f>
        <v/>
      </c>
      <c r="H4472" s="211">
        <f>'IWP10'!K$612</f>
        <v>0</v>
      </c>
      <c r="I4472" s="211">
        <f>'IWP10'!L$612</f>
        <v>0</v>
      </c>
      <c r="J4472" s="212">
        <f>'IWP10'!M$612</f>
        <v>0</v>
      </c>
      <c r="K4472" s="106"/>
      <c r="L4472" s="106"/>
      <c r="M4472" s="129"/>
    </row>
    <row r="4473" spans="1:13" s="146" customFormat="1">
      <c r="A4473" s="193" t="s">
        <v>508</v>
      </c>
      <c r="B4473" s="210">
        <v>17</v>
      </c>
      <c r="C4473" s="191" t="str">
        <f>IF('IWP10'!E$613=0,"",'IWP10'!E$613)</f>
        <v>J. Billing Period Total</v>
      </c>
      <c r="D4473" s="211">
        <f>'IWP10'!G$613</f>
        <v>0</v>
      </c>
      <c r="E4473" s="211">
        <f>'IWP10'!H$613</f>
        <v>0</v>
      </c>
      <c r="F4473" s="211">
        <f>'IWP10'!I$613</f>
        <v>0</v>
      </c>
      <c r="G4473" s="191" t="str">
        <f>IF('IWP10'!J$613=0,"",'IWP10'!J$613)</f>
        <v/>
      </c>
      <c r="H4473" s="211">
        <f>'IWP10'!K$613</f>
        <v>0</v>
      </c>
      <c r="I4473" s="211">
        <f>'IWP10'!L$613</f>
        <v>0</v>
      </c>
      <c r="J4473" s="212">
        <f>'IWP10'!M$613</f>
        <v>0</v>
      </c>
      <c r="K4473" s="106"/>
      <c r="L4473" s="106"/>
      <c r="M4473" s="129"/>
    </row>
    <row r="4474" spans="1:13" s="146" customFormat="1">
      <c r="A4474" s="193" t="s">
        <v>508</v>
      </c>
      <c r="B4474" s="210">
        <v>17</v>
      </c>
      <c r="C4474" s="191" t="str">
        <f>IF('IWP10'!E$614=0,"",'IWP10'!E$614)</f>
        <v/>
      </c>
      <c r="D4474" s="211">
        <f>'IWP10'!G$614</f>
        <v>0</v>
      </c>
      <c r="E4474" s="211">
        <f>'IWP10'!H$614</f>
        <v>0</v>
      </c>
      <c r="F4474" s="211">
        <f>'IWP10'!I$614</f>
        <v>0</v>
      </c>
      <c r="G4474" s="191" t="str">
        <f>IF('IWP10'!J$614=0,"",'IWP10'!J$614)</f>
        <v/>
      </c>
      <c r="H4474" s="211">
        <f>'IWP10'!K$614</f>
        <v>0</v>
      </c>
      <c r="I4474" s="211">
        <f>'IWP10'!L$614</f>
        <v>0</v>
      </c>
      <c r="J4474" s="212">
        <f>'IWP10'!M$614</f>
        <v>0</v>
      </c>
      <c r="K4474" s="106"/>
      <c r="L4474" s="106"/>
      <c r="M4474" s="129"/>
    </row>
    <row r="4475" spans="1:13" s="146" customFormat="1">
      <c r="A4475" s="193" t="s">
        <v>508</v>
      </c>
      <c r="B4475" s="210">
        <v>17</v>
      </c>
      <c r="C4475" s="191" t="str">
        <f>IF('IWP10'!E$615=0,"",'IWP10'!E$615)</f>
        <v/>
      </c>
      <c r="D4475" s="211">
        <f>'IWP10'!G$615</f>
        <v>0</v>
      </c>
      <c r="E4475" s="211">
        <f>'IWP10'!H$615</f>
        <v>0</v>
      </c>
      <c r="F4475" s="211">
        <f>'IWP10'!I$615</f>
        <v>0</v>
      </c>
      <c r="G4475" s="191" t="str">
        <f>IF('IWP10'!J$615=0,"",'IWP10'!J$615)</f>
        <v/>
      </c>
      <c r="H4475" s="211">
        <f>'IWP10'!K$615</f>
        <v>0</v>
      </c>
      <c r="I4475" s="211">
        <f>'IWP10'!L$615</f>
        <v>0</v>
      </c>
      <c r="J4475" s="212">
        <f>'IWP10'!M$615</f>
        <v>0</v>
      </c>
      <c r="K4475" s="106"/>
      <c r="L4475" s="106"/>
      <c r="M4475" s="129"/>
    </row>
    <row r="4476" spans="1:13" s="146" customFormat="1">
      <c r="A4476" s="193" t="s">
        <v>508</v>
      </c>
      <c r="B4476" s="210">
        <v>17</v>
      </c>
      <c r="C4476" s="191" t="str">
        <f>IF('IWP10'!E$616=0,"",'IWP10'!E$616)</f>
        <v/>
      </c>
      <c r="D4476" s="211">
        <f>'IWP10'!G$616</f>
        <v>0</v>
      </c>
      <c r="E4476" s="211">
        <f>'IWP10'!H$616</f>
        <v>0</v>
      </c>
      <c r="F4476" s="211">
        <f>'IWP10'!I$616</f>
        <v>0</v>
      </c>
      <c r="G4476" s="191" t="str">
        <f>IF('IWP10'!J$616=0,"",'IWP10'!J$616)</f>
        <v/>
      </c>
      <c r="H4476" s="211">
        <f>'IWP10'!K$616</f>
        <v>0</v>
      </c>
      <c r="I4476" s="211">
        <f>'IWP10'!L$616</f>
        <v>0</v>
      </c>
      <c r="J4476" s="212">
        <f>'IWP10'!M$616</f>
        <v>0</v>
      </c>
      <c r="K4476" s="106"/>
      <c r="L4476" s="106"/>
      <c r="M4476" s="129"/>
    </row>
    <row r="4477" spans="1:13" s="146" customFormat="1">
      <c r="A4477" s="193" t="s">
        <v>508</v>
      </c>
      <c r="B4477" s="210">
        <v>17</v>
      </c>
      <c r="C4477" s="191" t="str">
        <f>IF('IWP10'!E$617=0,"",'IWP10'!E$617)</f>
        <v/>
      </c>
      <c r="D4477" s="211">
        <f>'IWP10'!G$617</f>
        <v>0</v>
      </c>
      <c r="E4477" s="211">
        <f>'IWP10'!H$617</f>
        <v>0</v>
      </c>
      <c r="F4477" s="211">
        <f>'IWP10'!I$617</f>
        <v>0</v>
      </c>
      <c r="G4477" s="191" t="str">
        <f>IF('IWP10'!J$617=0,"",'IWP10'!J$617)</f>
        <v/>
      </c>
      <c r="H4477" s="211">
        <f>'IWP10'!K$617</f>
        <v>0</v>
      </c>
      <c r="I4477" s="211">
        <f>'IWP10'!L$617</f>
        <v>0</v>
      </c>
      <c r="J4477" s="212">
        <f>'IWP10'!M$617</f>
        <v>0</v>
      </c>
      <c r="K4477" s="106"/>
      <c r="L4477" s="106"/>
      <c r="M4477" s="129"/>
    </row>
    <row r="4478" spans="1:13" s="146" customFormat="1">
      <c r="A4478" s="193" t="s">
        <v>508</v>
      </c>
      <c r="B4478" s="210">
        <v>17</v>
      </c>
      <c r="C4478" s="191" t="str">
        <f>IF('IWP10'!E$618=0,"",'IWP10'!E$618)</f>
        <v/>
      </c>
      <c r="D4478" s="211">
        <f>'IWP10'!G$618</f>
        <v>0</v>
      </c>
      <c r="E4478" s="211">
        <f>'IWP10'!H$618</f>
        <v>0</v>
      </c>
      <c r="F4478" s="211">
        <f>'IWP10'!I$618</f>
        <v>0</v>
      </c>
      <c r="G4478" s="191" t="str">
        <f>IF('IWP10'!J$618=0,"",'IWP10'!J$618)</f>
        <v/>
      </c>
      <c r="H4478" s="211">
        <f>'IWP10'!K$618</f>
        <v>0</v>
      </c>
      <c r="I4478" s="211">
        <f>'IWP10'!L$618</f>
        <v>0</v>
      </c>
      <c r="J4478" s="212">
        <f>'IWP10'!M$618</f>
        <v>0</v>
      </c>
      <c r="K4478" s="106"/>
      <c r="L4478" s="106"/>
      <c r="M4478" s="129"/>
    </row>
    <row r="4479" spans="1:13" s="146" customFormat="1">
      <c r="A4479" s="193" t="s">
        <v>508</v>
      </c>
      <c r="B4479" s="210">
        <v>17</v>
      </c>
      <c r="C4479" s="191" t="str">
        <f>IF('IWP10'!E$619=0,"",'IWP10'!E$619)</f>
        <v/>
      </c>
      <c r="D4479" s="211">
        <f>'IWP10'!G$619</f>
        <v>0</v>
      </c>
      <c r="E4479" s="211">
        <f>'IWP10'!H$619</f>
        <v>0</v>
      </c>
      <c r="F4479" s="211">
        <f>'IWP10'!I$619</f>
        <v>0</v>
      </c>
      <c r="G4479" s="191" t="str">
        <f>IF('IWP10'!J$619=0,"",'IWP10'!J$619)</f>
        <v/>
      </c>
      <c r="H4479" s="211">
        <f>'IWP10'!K$619</f>
        <v>0</v>
      </c>
      <c r="I4479" s="211">
        <f>'IWP10'!L$619</f>
        <v>0</v>
      </c>
      <c r="J4479" s="212">
        <f>'IWP10'!M$619</f>
        <v>0</v>
      </c>
      <c r="K4479" s="106"/>
      <c r="L4479" s="106"/>
      <c r="M4479" s="129"/>
    </row>
    <row r="4480" spans="1:13" s="146" customFormat="1">
      <c r="A4480" s="193" t="s">
        <v>508</v>
      </c>
      <c r="B4480" s="210">
        <v>17</v>
      </c>
      <c r="C4480" s="191" t="str">
        <f>IF('IWP10'!E$620=0,"",'IWP10'!E$620)</f>
        <v/>
      </c>
      <c r="D4480" s="211">
        <f>'IWP10'!G$620</f>
        <v>0</v>
      </c>
      <c r="E4480" s="211">
        <f>'IWP10'!H$620</f>
        <v>0</v>
      </c>
      <c r="F4480" s="211">
        <f>'IWP10'!I$620</f>
        <v>0</v>
      </c>
      <c r="G4480" s="191" t="str">
        <f>IF('IWP10'!J$620=0,"",'IWP10'!J$620)</f>
        <v/>
      </c>
      <c r="H4480" s="211">
        <f>'IWP10'!K$620</f>
        <v>0</v>
      </c>
      <c r="I4480" s="211">
        <f>'IWP10'!L$620</f>
        <v>0</v>
      </c>
      <c r="J4480" s="212">
        <f>'IWP10'!M$620</f>
        <v>0</v>
      </c>
      <c r="K4480" s="106"/>
      <c r="L4480" s="106"/>
      <c r="M4480" s="129"/>
    </row>
    <row r="4481" spans="1:13" s="146" customFormat="1">
      <c r="A4481" s="193" t="s">
        <v>508</v>
      </c>
      <c r="B4481" s="210">
        <v>18</v>
      </c>
      <c r="C4481" s="191" t="str">
        <f>IF('IWP10'!E$627=0,"",'IWP10'!E$627)</f>
        <v/>
      </c>
      <c r="D4481" s="211">
        <f>'IWP10'!G$627</f>
        <v>0</v>
      </c>
      <c r="E4481" s="211">
        <f>'IWP10'!H$627</f>
        <v>0</v>
      </c>
      <c r="F4481" s="211">
        <f>'IWP10'!I$627</f>
        <v>0</v>
      </c>
      <c r="G4481" s="191" t="str">
        <f>IF('IWP10'!J$627=0,"",'IWP10'!J$627)</f>
        <v/>
      </c>
      <c r="H4481" s="211">
        <f>'IWP10'!K$627</f>
        <v>0</v>
      </c>
      <c r="I4481" s="211">
        <f>'IWP10'!L$627</f>
        <v>0</v>
      </c>
      <c r="J4481" s="212">
        <f>'IWP10'!M$627</f>
        <v>0</v>
      </c>
      <c r="K4481" s="106"/>
      <c r="L4481" s="106"/>
      <c r="M4481" s="129"/>
    </row>
    <row r="4482" spans="1:13" s="146" customFormat="1">
      <c r="A4482" s="193" t="s">
        <v>508</v>
      </c>
      <c r="B4482" s="210">
        <v>18</v>
      </c>
      <c r="C4482" s="191" t="str">
        <f>IF('IWP10'!E$628=0,"",'IWP10'!E$628)</f>
        <v/>
      </c>
      <c r="D4482" s="211">
        <f>'IWP10'!G$628</f>
        <v>0</v>
      </c>
      <c r="E4482" s="211">
        <f>'IWP10'!H$628</f>
        <v>0</v>
      </c>
      <c r="F4482" s="211">
        <f>'IWP10'!I$628</f>
        <v>0</v>
      </c>
      <c r="G4482" s="191" t="str">
        <f>IF('IWP10'!J$628=0,"",'IWP10'!J$628)</f>
        <v/>
      </c>
      <c r="H4482" s="211">
        <f>'IWP10'!K$628</f>
        <v>0</v>
      </c>
      <c r="I4482" s="211">
        <f>'IWP10'!L$628</f>
        <v>0</v>
      </c>
      <c r="J4482" s="212">
        <f>'IWP10'!M$628</f>
        <v>0</v>
      </c>
      <c r="K4482" s="106"/>
      <c r="L4482" s="106"/>
      <c r="M4482" s="129"/>
    </row>
    <row r="4483" spans="1:13" s="146" customFormat="1">
      <c r="A4483" s="193" t="s">
        <v>508</v>
      </c>
      <c r="B4483" s="210">
        <v>18</v>
      </c>
      <c r="C4483" s="191" t="str">
        <f>IF('IWP10'!E$629=0,"",'IWP10'!E$629)</f>
        <v/>
      </c>
      <c r="D4483" s="211">
        <f>'IWP10'!G$629</f>
        <v>0</v>
      </c>
      <c r="E4483" s="211">
        <f>'IWP10'!H$629</f>
        <v>0</v>
      </c>
      <c r="F4483" s="211">
        <f>'IWP10'!I$629</f>
        <v>0</v>
      </c>
      <c r="G4483" s="191" t="str">
        <f>IF('IWP10'!J$629=0,"",'IWP10'!J$629)</f>
        <v/>
      </c>
      <c r="H4483" s="211">
        <f>'IWP10'!K$629</f>
        <v>0</v>
      </c>
      <c r="I4483" s="211">
        <f>'IWP10'!L$629</f>
        <v>0</v>
      </c>
      <c r="J4483" s="212">
        <f>'IWP10'!M$629</f>
        <v>0</v>
      </c>
      <c r="K4483" s="106"/>
      <c r="L4483" s="106"/>
      <c r="M4483" s="129"/>
    </row>
    <row r="4484" spans="1:13" s="146" customFormat="1">
      <c r="A4484" s="193" t="s">
        <v>508</v>
      </c>
      <c r="B4484" s="210">
        <v>18</v>
      </c>
      <c r="C4484" s="191" t="str">
        <f>IF('IWP10'!E$630=0,"",'IWP10'!E$630)</f>
        <v/>
      </c>
      <c r="D4484" s="211">
        <f>'IWP10'!G$630</f>
        <v>0</v>
      </c>
      <c r="E4484" s="211">
        <f>'IWP10'!H$630</f>
        <v>0</v>
      </c>
      <c r="F4484" s="211">
        <f>'IWP10'!I$630</f>
        <v>0</v>
      </c>
      <c r="G4484" s="191" t="str">
        <f>IF('IWP10'!J$630=0,"",'IWP10'!J$630)</f>
        <v/>
      </c>
      <c r="H4484" s="211">
        <f>'IWP10'!K$630</f>
        <v>0</v>
      </c>
      <c r="I4484" s="211">
        <f>'IWP10'!L$630</f>
        <v>0</v>
      </c>
      <c r="J4484" s="212">
        <f>'IWP10'!M$630</f>
        <v>0</v>
      </c>
      <c r="K4484" s="106"/>
      <c r="L4484" s="106"/>
      <c r="M4484" s="129"/>
    </row>
    <row r="4485" spans="1:13" s="146" customFormat="1">
      <c r="A4485" s="193" t="s">
        <v>508</v>
      </c>
      <c r="B4485" s="210">
        <v>18</v>
      </c>
      <c r="C4485" s="191" t="str">
        <f>IF('IWP10'!E$631=0,"",'IWP10'!E$631)</f>
        <v/>
      </c>
      <c r="D4485" s="211">
        <f>'IWP10'!G$631</f>
        <v>0</v>
      </c>
      <c r="E4485" s="211">
        <f>'IWP10'!H$631</f>
        <v>0</v>
      </c>
      <c r="F4485" s="211">
        <f>'IWP10'!I$631</f>
        <v>0</v>
      </c>
      <c r="G4485" s="191" t="str">
        <f>IF('IWP10'!J$631=0,"",'IWP10'!J$631)</f>
        <v/>
      </c>
      <c r="H4485" s="211">
        <f>'IWP10'!K$631</f>
        <v>0</v>
      </c>
      <c r="I4485" s="211">
        <f>'IWP10'!L$631</f>
        <v>0</v>
      </c>
      <c r="J4485" s="212">
        <f>'IWP10'!M$631</f>
        <v>0</v>
      </c>
      <c r="K4485" s="106"/>
      <c r="L4485" s="106"/>
      <c r="M4485" s="129"/>
    </row>
    <row r="4486" spans="1:13" s="146" customFormat="1">
      <c r="A4486" s="193" t="s">
        <v>508</v>
      </c>
      <c r="B4486" s="210">
        <v>18</v>
      </c>
      <c r="C4486" s="191" t="str">
        <f>IF('IWP10'!E$632=0,"",'IWP10'!E$632)</f>
        <v/>
      </c>
      <c r="D4486" s="211">
        <f>'IWP10'!G$632</f>
        <v>0</v>
      </c>
      <c r="E4486" s="211">
        <f>'IWP10'!H$632</f>
        <v>0</v>
      </c>
      <c r="F4486" s="211">
        <f>'IWP10'!I$632</f>
        <v>0</v>
      </c>
      <c r="G4486" s="191" t="str">
        <f>IF('IWP10'!J$632=0,"",'IWP10'!J$632)</f>
        <v/>
      </c>
      <c r="H4486" s="211">
        <f>'IWP10'!K$632</f>
        <v>0</v>
      </c>
      <c r="I4486" s="211">
        <f>'IWP10'!L$632</f>
        <v>0</v>
      </c>
      <c r="J4486" s="212">
        <f>'IWP10'!M$632</f>
        <v>0</v>
      </c>
      <c r="K4486" s="106"/>
      <c r="L4486" s="106"/>
      <c r="M4486" s="129"/>
    </row>
    <row r="4487" spans="1:13" s="146" customFormat="1">
      <c r="A4487" s="193" t="s">
        <v>508</v>
      </c>
      <c r="B4487" s="210">
        <v>18</v>
      </c>
      <c r="C4487" s="191" t="str">
        <f>IF('IWP10'!E$633=0,"",'IWP10'!E$633)</f>
        <v/>
      </c>
      <c r="D4487" s="211">
        <f>'IWP10'!G$633</f>
        <v>0</v>
      </c>
      <c r="E4487" s="211">
        <f>'IWP10'!H$633</f>
        <v>0</v>
      </c>
      <c r="F4487" s="211">
        <f>'IWP10'!I$633</f>
        <v>0</v>
      </c>
      <c r="G4487" s="191" t="str">
        <f>IF('IWP10'!J$633=0,"",'IWP10'!J$633)</f>
        <v/>
      </c>
      <c r="H4487" s="211">
        <f>'IWP10'!K$633</f>
        <v>0</v>
      </c>
      <c r="I4487" s="211">
        <f>'IWP10'!L$633</f>
        <v>0</v>
      </c>
      <c r="J4487" s="212">
        <f>'IWP10'!M$633</f>
        <v>0</v>
      </c>
      <c r="K4487" s="106"/>
      <c r="L4487" s="106"/>
      <c r="M4487" s="129"/>
    </row>
    <row r="4488" spans="1:13" s="146" customFormat="1">
      <c r="A4488" s="193" t="s">
        <v>508</v>
      </c>
      <c r="B4488" s="210">
        <v>18</v>
      </c>
      <c r="C4488" s="191" t="str">
        <f>IF('IWP10'!E$634=0,"",'IWP10'!E$634)</f>
        <v/>
      </c>
      <c r="D4488" s="211">
        <f>'IWP10'!G$634</f>
        <v>0</v>
      </c>
      <c r="E4488" s="211">
        <f>'IWP10'!H$634</f>
        <v>0</v>
      </c>
      <c r="F4488" s="211">
        <f>'IWP10'!I$634</f>
        <v>0</v>
      </c>
      <c r="G4488" s="191" t="str">
        <f>IF('IWP10'!J$634=0,"",'IWP10'!J$634)</f>
        <v/>
      </c>
      <c r="H4488" s="211">
        <f>'IWP10'!K$634</f>
        <v>0</v>
      </c>
      <c r="I4488" s="211">
        <f>'IWP10'!L$634</f>
        <v>0</v>
      </c>
      <c r="J4488" s="212">
        <f>'IWP10'!M$634</f>
        <v>0</v>
      </c>
      <c r="K4488" s="106"/>
      <c r="L4488" s="106"/>
      <c r="M4488" s="129"/>
    </row>
    <row r="4489" spans="1:13" s="146" customFormat="1">
      <c r="A4489" s="193" t="s">
        <v>508</v>
      </c>
      <c r="B4489" s="210">
        <v>18</v>
      </c>
      <c r="C4489" s="191" t="str">
        <f>IF('IWP10'!E$635=0,"",'IWP10'!E$635)</f>
        <v/>
      </c>
      <c r="D4489" s="211">
        <f>'IWP10'!G$635</f>
        <v>0</v>
      </c>
      <c r="E4489" s="211">
        <f>'IWP10'!H$635</f>
        <v>0</v>
      </c>
      <c r="F4489" s="211">
        <f>'IWP10'!I$635</f>
        <v>0</v>
      </c>
      <c r="G4489" s="191" t="str">
        <f>IF('IWP10'!J$635=0,"",'IWP10'!J$635)</f>
        <v/>
      </c>
      <c r="H4489" s="211">
        <f>'IWP10'!K$635</f>
        <v>0</v>
      </c>
      <c r="I4489" s="211">
        <f>'IWP10'!L$635</f>
        <v>0</v>
      </c>
      <c r="J4489" s="212">
        <f>'IWP10'!M$635</f>
        <v>0</v>
      </c>
      <c r="K4489" s="106"/>
      <c r="L4489" s="106"/>
      <c r="M4489" s="129"/>
    </row>
    <row r="4490" spans="1:13" s="146" customFormat="1">
      <c r="A4490" s="193" t="s">
        <v>508</v>
      </c>
      <c r="B4490" s="210">
        <v>18</v>
      </c>
      <c r="C4490" s="191" t="str">
        <f>IF('IWP10'!E$636=0,"",'IWP10'!E$636)</f>
        <v/>
      </c>
      <c r="D4490" s="211">
        <f>'IWP10'!G$636</f>
        <v>0</v>
      </c>
      <c r="E4490" s="211">
        <f>'IWP10'!H$636</f>
        <v>0</v>
      </c>
      <c r="F4490" s="211">
        <f>'IWP10'!I$636</f>
        <v>0</v>
      </c>
      <c r="G4490" s="191" t="str">
        <f>IF('IWP10'!J$636=0,"",'IWP10'!J$636)</f>
        <v/>
      </c>
      <c r="H4490" s="211">
        <f>'IWP10'!K$636</f>
        <v>0</v>
      </c>
      <c r="I4490" s="211">
        <f>'IWP10'!L$636</f>
        <v>0</v>
      </c>
      <c r="J4490" s="212">
        <f>'IWP10'!M$636</f>
        <v>0</v>
      </c>
      <c r="K4490" s="106"/>
      <c r="L4490" s="106"/>
      <c r="M4490" s="129"/>
    </row>
    <row r="4491" spans="1:13" s="146" customFormat="1">
      <c r="A4491" s="193" t="s">
        <v>509</v>
      </c>
      <c r="B4491" s="210">
        <v>1</v>
      </c>
      <c r="C4491" s="191" t="str">
        <f>IF('IWP11'!E$355=0,"",'IWP11'!E$355)</f>
        <v>Subtotal column D.</v>
      </c>
      <c r="D4491" s="211">
        <f>'IWP11'!G$355</f>
        <v>0</v>
      </c>
      <c r="E4491" s="211">
        <f>'IWP11'!H$355</f>
        <v>0</v>
      </c>
      <c r="F4491" s="211">
        <f>'IWP11'!I$355</f>
        <v>0</v>
      </c>
      <c r="G4491" s="191" t="str">
        <f>IF('IWP11'!J$355=0,"",'IWP11'!J$355)</f>
        <v/>
      </c>
      <c r="H4491" s="211">
        <f>'IWP11'!K$355</f>
        <v>0</v>
      </c>
      <c r="I4491" s="211">
        <f>'IWP11'!L$355</f>
        <v>0</v>
      </c>
      <c r="J4491" s="212">
        <f>'IWP11'!M$355</f>
        <v>0</v>
      </c>
      <c r="K4491" s="106"/>
      <c r="L4491" s="106"/>
      <c r="M4491" s="129"/>
    </row>
    <row r="4492" spans="1:13" s="146" customFormat="1">
      <c r="A4492" s="193" t="s">
        <v>509</v>
      </c>
      <c r="B4492" s="210">
        <v>1</v>
      </c>
      <c r="C4492" s="191" t="str">
        <f>IF('IWP11'!E$356=0,"",'IWP11'!E$356)</f>
        <v>Unverified/Undocumented (Subtotall D - C)</v>
      </c>
      <c r="D4492" s="211">
        <f>'IWP11'!G$356</f>
        <v>0</v>
      </c>
      <c r="E4492" s="211">
        <f>'IWP11'!H$356</f>
        <v>0</v>
      </c>
      <c r="F4492" s="211">
        <f>'IWP11'!I$356</f>
        <v>0</v>
      </c>
      <c r="G4492" s="191" t="str">
        <f>IF('IWP11'!J$356=0,"",'IWP11'!J$356)</f>
        <v/>
      </c>
      <c r="H4492" s="211">
        <f>'IWP11'!K$356</f>
        <v>0</v>
      </c>
      <c r="I4492" s="211">
        <f>'IWP11'!L$356</f>
        <v>0</v>
      </c>
      <c r="J4492" s="212">
        <f>'IWP11'!M$356</f>
        <v>0</v>
      </c>
      <c r="K4492" s="106"/>
      <c r="L4492" s="106"/>
      <c r="M4492" s="129"/>
    </row>
    <row r="4493" spans="1:13" s="146" customFormat="1">
      <c r="A4493" s="193" t="s">
        <v>509</v>
      </c>
      <c r="B4493" s="210">
        <v>1</v>
      </c>
      <c r="C4493" s="191" t="str">
        <f>IF('IWP11'!E$357=0,"",'IWP11'!E$357)</f>
        <v>J. Billing Period Total</v>
      </c>
      <c r="D4493" s="211">
        <f>'IWP11'!G$357</f>
        <v>0</v>
      </c>
      <c r="E4493" s="211">
        <f>'IWP11'!H$357</f>
        <v>0</v>
      </c>
      <c r="F4493" s="211">
        <f>'IWP11'!I$357</f>
        <v>0</v>
      </c>
      <c r="G4493" s="191" t="str">
        <f>IF('IWP11'!J$357=0,"",'IWP11'!J$357)</f>
        <v/>
      </c>
      <c r="H4493" s="211">
        <f>'IWP11'!K$357</f>
        <v>0</v>
      </c>
      <c r="I4493" s="211">
        <f>'IWP11'!L$357</f>
        <v>0</v>
      </c>
      <c r="J4493" s="212">
        <f>'IWP11'!M$357</f>
        <v>0</v>
      </c>
      <c r="K4493" s="106"/>
      <c r="L4493" s="106"/>
      <c r="M4493" s="129"/>
    </row>
    <row r="4494" spans="1:13" s="146" customFormat="1">
      <c r="A4494" s="193" t="s">
        <v>509</v>
      </c>
      <c r="B4494" s="210">
        <v>1</v>
      </c>
      <c r="C4494" s="191" t="str">
        <f>IF('IWP11'!E$358=0,"",'IWP11'!E$358)</f>
        <v>D.</v>
      </c>
      <c r="D4494" s="211">
        <f>'IWP11'!G$358</f>
        <v>0</v>
      </c>
      <c r="E4494" s="211" t="str">
        <f>'IWP11'!H$358</f>
        <v>E.</v>
      </c>
      <c r="F4494" s="211" t="str">
        <f>'IWP11'!I$358</f>
        <v>F.</v>
      </c>
      <c r="G4494" s="191" t="str">
        <f>IF('IWP11'!J$358=0,"",'IWP11'!J$358)</f>
        <v>G.</v>
      </c>
      <c r="H4494" s="211">
        <f>'IWP11'!K$358</f>
        <v>0</v>
      </c>
      <c r="I4494" s="211" t="str">
        <f>'IWP11'!L$358</f>
        <v>H.</v>
      </c>
      <c r="J4494" s="212" t="str">
        <f>'IWP11'!M$358</f>
        <v>I.</v>
      </c>
      <c r="K4494" s="106"/>
      <c r="L4494" s="106"/>
      <c r="M4494" s="129"/>
    </row>
    <row r="4495" spans="1:13" s="146" customFormat="1">
      <c r="A4495" s="193" t="s">
        <v>509</v>
      </c>
      <c r="B4495" s="210">
        <v>1</v>
      </c>
      <c r="C4495" s="191" t="str">
        <f>IF('IWP11'!E$359=0,"",'IWP11'!E$359)</f>
        <v xml:space="preserve">Items/Services Related to Billing Period </v>
      </c>
      <c r="D4495" s="211">
        <f>'IWP11'!G$359</f>
        <v>0</v>
      </c>
      <c r="E4495" s="211" t="str">
        <f>'IWP11'!H$359</f>
        <v xml:space="preserve">Item/
Service Verified Amounts
</v>
      </c>
      <c r="F4495" s="211" t="str">
        <f>'IWP11'!I$359</f>
        <v>Amount Due to DADS (E. - D.)</v>
      </c>
      <c r="G4495" s="191" t="str">
        <f>IF('IWP11'!J$359=0,"",'IWP11'!J$359)</f>
        <v>Amount Reimbursed to 
Employee(s)/Employer</v>
      </c>
      <c r="H4495" s="211">
        <f>'IWP11'!K$359</f>
        <v>0</v>
      </c>
      <c r="I4495" s="211" t="str">
        <f>'IWP11'!L$359</f>
        <v>Amount Due to Employee(s) (G. - E.)</v>
      </c>
      <c r="J4495" s="212" t="str">
        <f>'IWP11'!M$359</f>
        <v>Amount Due to Employer (G. - E.)</v>
      </c>
      <c r="K4495" s="106"/>
      <c r="L4495" s="106"/>
      <c r="M4495" s="129"/>
    </row>
    <row r="4496" spans="1:13" s="146" customFormat="1">
      <c r="A4496" s="193" t="s">
        <v>509</v>
      </c>
      <c r="B4496" s="210">
        <v>1</v>
      </c>
      <c r="C4496" s="191" t="str">
        <f>IF('IWP11'!E$360=0,"",'IWP11'!E$360)</f>
        <v>Item/Service</v>
      </c>
      <c r="D4496" s="211" t="str">
        <f>'IWP11'!G$360</f>
        <v>Itemized Amount Paid by DADS</v>
      </c>
      <c r="E4496" s="211">
        <f>'IWP11'!H$360</f>
        <v>0</v>
      </c>
      <c r="F4496" s="211">
        <f>'IWP11'!I$360</f>
        <v>0</v>
      </c>
      <c r="G4496" s="191" t="str">
        <f>IF('IWP11'!J$360=0,"",'IWP11'!J$360)</f>
        <v/>
      </c>
      <c r="H4496" s="211">
        <f>'IWP11'!K$360</f>
        <v>0</v>
      </c>
      <c r="I4496" s="211">
        <f>'IWP11'!L$360</f>
        <v>0</v>
      </c>
      <c r="J4496" s="212">
        <f>'IWP11'!M$360</f>
        <v>0</v>
      </c>
      <c r="K4496" s="106"/>
      <c r="L4496" s="106"/>
      <c r="M4496" s="129"/>
    </row>
    <row r="4497" spans="1:13" s="146" customFormat="1">
      <c r="A4497" s="193" t="s">
        <v>509</v>
      </c>
      <c r="B4497" s="210">
        <v>1</v>
      </c>
      <c r="C4497" s="191" t="str">
        <f>IF('IWP11'!E$361=0,"",'IWP11'!E$361)</f>
        <v/>
      </c>
      <c r="D4497" s="211">
        <f>'IWP11'!G$361</f>
        <v>0</v>
      </c>
      <c r="E4497" s="211">
        <f>'IWP11'!H$361</f>
        <v>0</v>
      </c>
      <c r="F4497" s="211">
        <f>'IWP11'!I$361</f>
        <v>0</v>
      </c>
      <c r="G4497" s="191" t="str">
        <f>IF('IWP11'!J$361=0,"",'IWP11'!J$361)</f>
        <v/>
      </c>
      <c r="H4497" s="211">
        <f>'IWP11'!K$361</f>
        <v>0</v>
      </c>
      <c r="I4497" s="211">
        <f>'IWP11'!L$361</f>
        <v>0</v>
      </c>
      <c r="J4497" s="212">
        <f>'IWP11'!M$361</f>
        <v>0</v>
      </c>
      <c r="K4497" s="106"/>
      <c r="L4497" s="106"/>
      <c r="M4497" s="129"/>
    </row>
    <row r="4498" spans="1:13" s="146" customFormat="1">
      <c r="A4498" s="193" t="s">
        <v>509</v>
      </c>
      <c r="B4498" s="210">
        <v>1</v>
      </c>
      <c r="C4498" s="191" t="str">
        <f>IF('IWP11'!E$362=0,"",'IWP11'!E$362)</f>
        <v/>
      </c>
      <c r="D4498" s="211">
        <f>'IWP11'!G$362</f>
        <v>0</v>
      </c>
      <c r="E4498" s="211">
        <f>'IWP11'!H$362</f>
        <v>0</v>
      </c>
      <c r="F4498" s="211">
        <f>'IWP11'!I$362</f>
        <v>0</v>
      </c>
      <c r="G4498" s="191" t="str">
        <f>IF('IWP11'!J$362=0,"",'IWP11'!J$362)</f>
        <v/>
      </c>
      <c r="H4498" s="211">
        <f>'IWP11'!K$362</f>
        <v>0</v>
      </c>
      <c r="I4498" s="211">
        <f>'IWP11'!L$362</f>
        <v>0</v>
      </c>
      <c r="J4498" s="212">
        <f>'IWP11'!M$362</f>
        <v>0</v>
      </c>
      <c r="K4498" s="106"/>
      <c r="L4498" s="106"/>
      <c r="M4498" s="129"/>
    </row>
    <row r="4499" spans="1:13" s="146" customFormat="1">
      <c r="A4499" s="193" t="s">
        <v>509</v>
      </c>
      <c r="B4499" s="210">
        <v>1</v>
      </c>
      <c r="C4499" s="191" t="str">
        <f>IF('IWP11'!E$363=0,"",'IWP11'!E$363)</f>
        <v/>
      </c>
      <c r="D4499" s="211">
        <f>'IWP11'!G$363</f>
        <v>0</v>
      </c>
      <c r="E4499" s="211">
        <f>'IWP11'!H$363</f>
        <v>0</v>
      </c>
      <c r="F4499" s="211">
        <f>'IWP11'!I$363</f>
        <v>0</v>
      </c>
      <c r="G4499" s="191" t="str">
        <f>IF('IWP11'!J$363=0,"",'IWP11'!J$363)</f>
        <v/>
      </c>
      <c r="H4499" s="211">
        <f>'IWP11'!K$363</f>
        <v>0</v>
      </c>
      <c r="I4499" s="211">
        <f>'IWP11'!L$363</f>
        <v>0</v>
      </c>
      <c r="J4499" s="212">
        <f>'IWP11'!M$363</f>
        <v>0</v>
      </c>
      <c r="K4499" s="106"/>
      <c r="L4499" s="106"/>
      <c r="M4499" s="129"/>
    </row>
    <row r="4500" spans="1:13" s="146" customFormat="1">
      <c r="A4500" s="193" t="s">
        <v>509</v>
      </c>
      <c r="B4500" s="210">
        <v>1</v>
      </c>
      <c r="C4500" s="191" t="str">
        <f>IF('IWP11'!E$364=0,"",'IWP11'!E$364)</f>
        <v/>
      </c>
      <c r="D4500" s="211">
        <f>'IWP11'!G$364</f>
        <v>0</v>
      </c>
      <c r="E4500" s="211">
        <f>'IWP11'!H$364</f>
        <v>0</v>
      </c>
      <c r="F4500" s="211">
        <f>'IWP11'!I$364</f>
        <v>0</v>
      </c>
      <c r="G4500" s="191" t="str">
        <f>IF('IWP11'!J$364=0,"",'IWP11'!J$364)</f>
        <v/>
      </c>
      <c r="H4500" s="211">
        <f>'IWP11'!K$364</f>
        <v>0</v>
      </c>
      <c r="I4500" s="211">
        <f>'IWP11'!L$364</f>
        <v>0</v>
      </c>
      <c r="J4500" s="212">
        <f>'IWP11'!M$364</f>
        <v>0</v>
      </c>
      <c r="K4500" s="106"/>
      <c r="L4500" s="106"/>
      <c r="M4500" s="129"/>
    </row>
    <row r="4501" spans="1:13" s="146" customFormat="1">
      <c r="A4501" s="193" t="s">
        <v>509</v>
      </c>
      <c r="B4501" s="210">
        <v>2</v>
      </c>
      <c r="C4501" s="191" t="str">
        <f>IF('IWP11'!E$371=0,"",'IWP11'!E$371)</f>
        <v>Subtotal column D.</v>
      </c>
      <c r="D4501" s="211">
        <f>'IWP11'!G$371</f>
        <v>0</v>
      </c>
      <c r="E4501" s="211">
        <f>'IWP11'!H$371</f>
        <v>0</v>
      </c>
      <c r="F4501" s="211">
        <f>'IWP11'!I$371</f>
        <v>0</v>
      </c>
      <c r="G4501" s="191" t="str">
        <f>IF('IWP11'!J$371=0,"",'IWP11'!J$371)</f>
        <v/>
      </c>
      <c r="H4501" s="211">
        <f>'IWP11'!K$371</f>
        <v>0</v>
      </c>
      <c r="I4501" s="211">
        <f>'IWP11'!L$371</f>
        <v>0</v>
      </c>
      <c r="J4501" s="212">
        <f>'IWP11'!M$371</f>
        <v>0</v>
      </c>
      <c r="K4501" s="106"/>
      <c r="L4501" s="106"/>
      <c r="M4501" s="129"/>
    </row>
    <row r="4502" spans="1:13" s="146" customFormat="1">
      <c r="A4502" s="193" t="s">
        <v>509</v>
      </c>
      <c r="B4502" s="210">
        <v>2</v>
      </c>
      <c r="C4502" s="191" t="str">
        <f>IF('IWP11'!E$372=0,"",'IWP11'!E$372)</f>
        <v>Unverified/Undocumented (Subtotal D - C)</v>
      </c>
      <c r="D4502" s="211">
        <f>'IWP11'!G$372</f>
        <v>0</v>
      </c>
      <c r="E4502" s="211">
        <f>'IWP11'!H$372</f>
        <v>0</v>
      </c>
      <c r="F4502" s="211">
        <f>'IWP11'!I$372</f>
        <v>0</v>
      </c>
      <c r="G4502" s="191" t="str">
        <f>IF('IWP11'!J$372=0,"",'IWP11'!J$372)</f>
        <v/>
      </c>
      <c r="H4502" s="211">
        <f>'IWP11'!K$372</f>
        <v>0</v>
      </c>
      <c r="I4502" s="211">
        <f>'IWP11'!L$372</f>
        <v>0</v>
      </c>
      <c r="J4502" s="212">
        <f>'IWP11'!M$372</f>
        <v>0</v>
      </c>
      <c r="K4502" s="106"/>
      <c r="L4502" s="106"/>
      <c r="M4502" s="129"/>
    </row>
    <row r="4503" spans="1:13" s="146" customFormat="1">
      <c r="A4503" s="193" t="s">
        <v>509</v>
      </c>
      <c r="B4503" s="210">
        <v>2</v>
      </c>
      <c r="C4503" s="191" t="str">
        <f>IF('IWP11'!E$373=0,"",'IWP11'!E$373)</f>
        <v>J. Billing Period Total</v>
      </c>
      <c r="D4503" s="211">
        <f>'IWP11'!G$373</f>
        <v>0</v>
      </c>
      <c r="E4503" s="211">
        <f>'IWP11'!H$373</f>
        <v>0</v>
      </c>
      <c r="F4503" s="211">
        <f>'IWP11'!I$373</f>
        <v>0</v>
      </c>
      <c r="G4503" s="191" t="str">
        <f>IF('IWP11'!J$373=0,"",'IWP11'!J$373)</f>
        <v/>
      </c>
      <c r="H4503" s="211">
        <f>'IWP11'!K$373</f>
        <v>0</v>
      </c>
      <c r="I4503" s="211">
        <f>'IWP11'!L$373</f>
        <v>0</v>
      </c>
      <c r="J4503" s="212">
        <f>'IWP11'!M$373</f>
        <v>0</v>
      </c>
      <c r="K4503" s="106"/>
      <c r="L4503" s="106"/>
      <c r="M4503" s="129"/>
    </row>
    <row r="4504" spans="1:13" s="146" customFormat="1">
      <c r="A4504" s="193" t="s">
        <v>509</v>
      </c>
      <c r="B4504" s="210">
        <v>2</v>
      </c>
      <c r="C4504" s="191" t="str">
        <f>IF('IWP11'!E$374=0,"",'IWP11'!E$374)</f>
        <v>D.</v>
      </c>
      <c r="D4504" s="211">
        <f>'IWP11'!G$374</f>
        <v>0</v>
      </c>
      <c r="E4504" s="211" t="str">
        <f>'IWP11'!H$374</f>
        <v>E.</v>
      </c>
      <c r="F4504" s="211" t="str">
        <f>'IWP11'!I$374</f>
        <v>F.</v>
      </c>
      <c r="G4504" s="191" t="str">
        <f>IF('IWP11'!J$374=0,"",'IWP11'!J$374)</f>
        <v>G.</v>
      </c>
      <c r="H4504" s="211">
        <f>'IWP11'!K$374</f>
        <v>0</v>
      </c>
      <c r="I4504" s="211" t="str">
        <f>'IWP11'!L$374</f>
        <v>H.</v>
      </c>
      <c r="J4504" s="212" t="str">
        <f>'IWP11'!M$374</f>
        <v>I.</v>
      </c>
      <c r="K4504" s="106"/>
      <c r="L4504" s="106"/>
      <c r="M4504" s="129"/>
    </row>
    <row r="4505" spans="1:13" s="146" customFormat="1">
      <c r="A4505" s="193" t="s">
        <v>509</v>
      </c>
      <c r="B4505" s="210">
        <v>2</v>
      </c>
      <c r="C4505" s="191" t="str">
        <f>IF('IWP11'!E$375=0,"",'IWP11'!E$375)</f>
        <v xml:space="preserve">Items/Services Related to Billing Period </v>
      </c>
      <c r="D4505" s="211">
        <f>'IWP11'!G$375</f>
        <v>0</v>
      </c>
      <c r="E4505" s="211" t="str">
        <f>'IWP11'!H$375</f>
        <v xml:space="preserve">Item/
Service Verified Amounts
</v>
      </c>
      <c r="F4505" s="211" t="str">
        <f>'IWP11'!I$375</f>
        <v>Amount Due to DADS (E. - D.)</v>
      </c>
      <c r="G4505" s="191" t="str">
        <f>IF('IWP11'!J$375=0,"",'IWP11'!J$375)</f>
        <v>Amount Reimbursed to 
Employee(s)/Employer</v>
      </c>
      <c r="H4505" s="211">
        <f>'IWP11'!K$375</f>
        <v>0</v>
      </c>
      <c r="I4505" s="211" t="str">
        <f>'IWP11'!L$375</f>
        <v>Amount Due to Employee(s) (G. - E.)</v>
      </c>
      <c r="J4505" s="212" t="str">
        <f>'IWP11'!M$375</f>
        <v>Amount Due to Employer (G. - E.)</v>
      </c>
      <c r="K4505" s="106"/>
      <c r="L4505" s="106"/>
      <c r="M4505" s="129"/>
    </row>
    <row r="4506" spans="1:13" s="146" customFormat="1">
      <c r="A4506" s="193" t="s">
        <v>509</v>
      </c>
      <c r="B4506" s="210">
        <v>2</v>
      </c>
      <c r="C4506" s="191" t="str">
        <f>IF('IWP11'!E$376=0,"",'IWP11'!E$376)</f>
        <v>Item/Service</v>
      </c>
      <c r="D4506" s="211" t="str">
        <f>'IWP11'!G$376</f>
        <v>Itemized Amount Paid by DADS</v>
      </c>
      <c r="E4506" s="211">
        <f>'IWP11'!H$376</f>
        <v>0</v>
      </c>
      <c r="F4506" s="211">
        <f>'IWP11'!I$376</f>
        <v>0</v>
      </c>
      <c r="G4506" s="191" t="str">
        <f>IF('IWP11'!J$376=0,"",'IWP11'!J$376)</f>
        <v/>
      </c>
      <c r="H4506" s="211">
        <f>'IWP11'!K$376</f>
        <v>0</v>
      </c>
      <c r="I4506" s="211">
        <f>'IWP11'!L$376</f>
        <v>0</v>
      </c>
      <c r="J4506" s="212">
        <f>'IWP11'!M$376</f>
        <v>0</v>
      </c>
      <c r="K4506" s="106"/>
      <c r="L4506" s="106"/>
      <c r="M4506" s="129"/>
    </row>
    <row r="4507" spans="1:13" s="146" customFormat="1">
      <c r="A4507" s="193" t="s">
        <v>509</v>
      </c>
      <c r="B4507" s="210">
        <v>2</v>
      </c>
      <c r="C4507" s="191" t="str">
        <f>IF('IWP11'!E$377=0,"",'IWP11'!E$377)</f>
        <v/>
      </c>
      <c r="D4507" s="211">
        <f>'IWP11'!G$377</f>
        <v>0</v>
      </c>
      <c r="E4507" s="211">
        <f>'IWP11'!H$377</f>
        <v>0</v>
      </c>
      <c r="F4507" s="211">
        <f>'IWP11'!I$377</f>
        <v>0</v>
      </c>
      <c r="G4507" s="191" t="str">
        <f>IF('IWP11'!J$377=0,"",'IWP11'!J$377)</f>
        <v/>
      </c>
      <c r="H4507" s="211">
        <f>'IWP11'!K$377</f>
        <v>0</v>
      </c>
      <c r="I4507" s="211">
        <f>'IWP11'!L$377</f>
        <v>0</v>
      </c>
      <c r="J4507" s="212">
        <f>'IWP11'!M$377</f>
        <v>0</v>
      </c>
      <c r="K4507" s="106"/>
      <c r="L4507" s="106"/>
      <c r="M4507" s="129"/>
    </row>
    <row r="4508" spans="1:13" s="146" customFormat="1">
      <c r="A4508" s="193" t="s">
        <v>509</v>
      </c>
      <c r="B4508" s="210">
        <v>2</v>
      </c>
      <c r="C4508" s="191" t="str">
        <f>IF('IWP11'!E$378=0,"",'IWP11'!E$378)</f>
        <v/>
      </c>
      <c r="D4508" s="211">
        <f>'IWP11'!G$378</f>
        <v>0</v>
      </c>
      <c r="E4508" s="211">
        <f>'IWP11'!H$378</f>
        <v>0</v>
      </c>
      <c r="F4508" s="211">
        <f>'IWP11'!I$378</f>
        <v>0</v>
      </c>
      <c r="G4508" s="191" t="str">
        <f>IF('IWP11'!J$378=0,"",'IWP11'!J$378)</f>
        <v/>
      </c>
      <c r="H4508" s="211">
        <f>'IWP11'!K$378</f>
        <v>0</v>
      </c>
      <c r="I4508" s="211">
        <f>'IWP11'!L$378</f>
        <v>0</v>
      </c>
      <c r="J4508" s="212">
        <f>'IWP11'!M$378</f>
        <v>0</v>
      </c>
      <c r="K4508" s="106"/>
      <c r="L4508" s="106"/>
      <c r="M4508" s="129"/>
    </row>
    <row r="4509" spans="1:13" s="146" customFormat="1">
      <c r="A4509" s="193" t="s">
        <v>509</v>
      </c>
      <c r="B4509" s="210">
        <v>2</v>
      </c>
      <c r="C4509" s="191" t="str">
        <f>IF('IWP11'!E$379=0,"",'IWP11'!E$379)</f>
        <v/>
      </c>
      <c r="D4509" s="211">
        <f>'IWP11'!G$379</f>
        <v>0</v>
      </c>
      <c r="E4509" s="211">
        <f>'IWP11'!H$379</f>
        <v>0</v>
      </c>
      <c r="F4509" s="211">
        <f>'IWP11'!I$379</f>
        <v>0</v>
      </c>
      <c r="G4509" s="191" t="str">
        <f>IF('IWP11'!J$379=0,"",'IWP11'!J$379)</f>
        <v/>
      </c>
      <c r="H4509" s="211">
        <f>'IWP11'!K$379</f>
        <v>0</v>
      </c>
      <c r="I4509" s="211">
        <f>'IWP11'!L$379</f>
        <v>0</v>
      </c>
      <c r="J4509" s="212">
        <f>'IWP11'!M$379</f>
        <v>0</v>
      </c>
      <c r="K4509" s="106"/>
      <c r="L4509" s="106"/>
      <c r="M4509" s="129"/>
    </row>
    <row r="4510" spans="1:13" s="146" customFormat="1">
      <c r="A4510" s="193" t="s">
        <v>509</v>
      </c>
      <c r="B4510" s="210">
        <v>2</v>
      </c>
      <c r="C4510" s="191" t="str">
        <f>IF('IWP11'!E$380=0,"",'IWP11'!E$380)</f>
        <v/>
      </c>
      <c r="D4510" s="211">
        <f>'IWP11'!G$380</f>
        <v>0</v>
      </c>
      <c r="E4510" s="211">
        <f>'IWP11'!H$380</f>
        <v>0</v>
      </c>
      <c r="F4510" s="211">
        <f>'IWP11'!I$380</f>
        <v>0</v>
      </c>
      <c r="G4510" s="191" t="str">
        <f>IF('IWP11'!J$380=0,"",'IWP11'!J$380)</f>
        <v/>
      </c>
      <c r="H4510" s="211">
        <f>'IWP11'!K$380</f>
        <v>0</v>
      </c>
      <c r="I4510" s="211">
        <f>'IWP11'!L$380</f>
        <v>0</v>
      </c>
      <c r="J4510" s="212">
        <f>'IWP11'!M$380</f>
        <v>0</v>
      </c>
      <c r="K4510" s="106"/>
      <c r="L4510" s="106"/>
      <c r="M4510" s="129"/>
    </row>
    <row r="4511" spans="1:13" s="146" customFormat="1">
      <c r="A4511" s="193" t="s">
        <v>509</v>
      </c>
      <c r="B4511" s="210">
        <v>3</v>
      </c>
      <c r="C4511" s="191" t="str">
        <f>IF('IWP11'!E$387=0,"",'IWP11'!E$387)</f>
        <v>Subtotal column D.</v>
      </c>
      <c r="D4511" s="211">
        <f>'IWP11'!G$387</f>
        <v>0</v>
      </c>
      <c r="E4511" s="211">
        <f>'IWP11'!H$387</f>
        <v>0</v>
      </c>
      <c r="F4511" s="211">
        <f>'IWP11'!I$387</f>
        <v>0</v>
      </c>
      <c r="G4511" s="191" t="str">
        <f>IF('IWP11'!J$387=0,"",'IWP11'!J$387)</f>
        <v/>
      </c>
      <c r="H4511" s="211">
        <f>'IWP11'!K$387</f>
        <v>0</v>
      </c>
      <c r="I4511" s="211">
        <f>'IWP11'!L$387</f>
        <v>0</v>
      </c>
      <c r="J4511" s="212">
        <f>'IWP11'!M$387</f>
        <v>0</v>
      </c>
      <c r="K4511" s="106"/>
      <c r="L4511" s="106"/>
      <c r="M4511" s="129"/>
    </row>
    <row r="4512" spans="1:13" s="146" customFormat="1">
      <c r="A4512" s="193" t="s">
        <v>509</v>
      </c>
      <c r="B4512" s="210">
        <v>3</v>
      </c>
      <c r="C4512" s="191" t="str">
        <f>IF('IWP11'!E$388=0,"",'IWP11'!E$388)</f>
        <v>Unverified/Undocumented (Subtotal D - C)</v>
      </c>
      <c r="D4512" s="211">
        <f>'IWP11'!G$388</f>
        <v>0</v>
      </c>
      <c r="E4512" s="211">
        <f>'IWP11'!H$388</f>
        <v>0</v>
      </c>
      <c r="F4512" s="211">
        <f>'IWP11'!I$388</f>
        <v>0</v>
      </c>
      <c r="G4512" s="191" t="str">
        <f>IF('IWP11'!J$388=0,"",'IWP11'!J$388)</f>
        <v/>
      </c>
      <c r="H4512" s="211">
        <f>'IWP11'!K$388</f>
        <v>0</v>
      </c>
      <c r="I4512" s="211">
        <f>'IWP11'!L$388</f>
        <v>0</v>
      </c>
      <c r="J4512" s="212">
        <f>'IWP11'!M$388</f>
        <v>0</v>
      </c>
      <c r="K4512" s="106"/>
      <c r="L4512" s="106"/>
      <c r="M4512" s="129"/>
    </row>
    <row r="4513" spans="1:13" s="146" customFormat="1">
      <c r="A4513" s="193" t="s">
        <v>509</v>
      </c>
      <c r="B4513" s="210">
        <v>3</v>
      </c>
      <c r="C4513" s="191" t="str">
        <f>IF('IWP11'!E$389=0,"",'IWP11'!E$389)</f>
        <v>J. Billing Period Total</v>
      </c>
      <c r="D4513" s="211">
        <f>'IWP11'!G$389</f>
        <v>0</v>
      </c>
      <c r="E4513" s="211">
        <f>'IWP11'!H$389</f>
        <v>0</v>
      </c>
      <c r="F4513" s="211">
        <f>'IWP11'!I$389</f>
        <v>0</v>
      </c>
      <c r="G4513" s="191" t="str">
        <f>IF('IWP11'!J$389=0,"",'IWP11'!J$389)</f>
        <v/>
      </c>
      <c r="H4513" s="211">
        <f>'IWP11'!K$389</f>
        <v>0</v>
      </c>
      <c r="I4513" s="211">
        <f>'IWP11'!L$389</f>
        <v>0</v>
      </c>
      <c r="J4513" s="212">
        <f>'IWP11'!M$389</f>
        <v>0</v>
      </c>
      <c r="K4513" s="106"/>
      <c r="L4513" s="106"/>
      <c r="M4513" s="129"/>
    </row>
    <row r="4514" spans="1:13" s="146" customFormat="1">
      <c r="A4514" s="193" t="s">
        <v>509</v>
      </c>
      <c r="B4514" s="210">
        <v>3</v>
      </c>
      <c r="C4514" s="191" t="str">
        <f>IF('IWP11'!E$390=0,"",'IWP11'!E$390)</f>
        <v>D.</v>
      </c>
      <c r="D4514" s="211">
        <f>'IWP11'!G$390</f>
        <v>0</v>
      </c>
      <c r="E4514" s="211" t="str">
        <f>'IWP11'!H$390</f>
        <v>E.</v>
      </c>
      <c r="F4514" s="211" t="str">
        <f>'IWP11'!I$390</f>
        <v>F.</v>
      </c>
      <c r="G4514" s="191" t="str">
        <f>IF('IWP11'!J$390=0,"",'IWP11'!J$390)</f>
        <v>G.</v>
      </c>
      <c r="H4514" s="211">
        <f>'IWP11'!K$390</f>
        <v>0</v>
      </c>
      <c r="I4514" s="211" t="str">
        <f>'IWP11'!L$390</f>
        <v>H.</v>
      </c>
      <c r="J4514" s="212" t="str">
        <f>'IWP11'!M$390</f>
        <v>I.</v>
      </c>
      <c r="K4514" s="106"/>
      <c r="L4514" s="106"/>
      <c r="M4514" s="129"/>
    </row>
    <row r="4515" spans="1:13" s="146" customFormat="1">
      <c r="A4515" s="193" t="s">
        <v>509</v>
      </c>
      <c r="B4515" s="210">
        <v>3</v>
      </c>
      <c r="C4515" s="191" t="str">
        <f>IF('IWP11'!E$391=0,"",'IWP11'!E$391)</f>
        <v xml:space="preserve">Items/Services Related to Billing Period </v>
      </c>
      <c r="D4515" s="211">
        <f>'IWP11'!G$391</f>
        <v>0</v>
      </c>
      <c r="E4515" s="211" t="str">
        <f>'IWP11'!H$391</f>
        <v xml:space="preserve">Item/
Service Verified Amounts
</v>
      </c>
      <c r="F4515" s="211" t="str">
        <f>'IWP11'!I$391</f>
        <v>Amount Due to DADS (E. - D.)</v>
      </c>
      <c r="G4515" s="191" t="str">
        <f>IF('IWP11'!J$391=0,"",'IWP11'!J$391)</f>
        <v>Amount Reimbursed to 
Employee(s)/Employer</v>
      </c>
      <c r="H4515" s="211">
        <f>'IWP11'!K$391</f>
        <v>0</v>
      </c>
      <c r="I4515" s="211" t="str">
        <f>'IWP11'!L$391</f>
        <v>Amount Due to Employee(s) (G. - E.)</v>
      </c>
      <c r="J4515" s="212" t="str">
        <f>'IWP11'!M$391</f>
        <v>Amount Due to Employer (G. - E.)</v>
      </c>
      <c r="K4515" s="106"/>
      <c r="L4515" s="106"/>
      <c r="M4515" s="129"/>
    </row>
    <row r="4516" spans="1:13" s="146" customFormat="1">
      <c r="A4516" s="193" t="s">
        <v>509</v>
      </c>
      <c r="B4516" s="210">
        <v>3</v>
      </c>
      <c r="C4516" s="191" t="str">
        <f>IF('IWP11'!E$392=0,"",'IWP11'!E$392)</f>
        <v>Item/Service</v>
      </c>
      <c r="D4516" s="211" t="str">
        <f>'IWP11'!G$392</f>
        <v>Itemized Amount Paid by DADS</v>
      </c>
      <c r="E4516" s="211">
        <f>'IWP11'!H$392</f>
        <v>0</v>
      </c>
      <c r="F4516" s="211">
        <f>'IWP11'!I$392</f>
        <v>0</v>
      </c>
      <c r="G4516" s="191" t="str">
        <f>IF('IWP11'!J$392=0,"",'IWP11'!J$392)</f>
        <v/>
      </c>
      <c r="H4516" s="211">
        <f>'IWP11'!K$392</f>
        <v>0</v>
      </c>
      <c r="I4516" s="211">
        <f>'IWP11'!L$392</f>
        <v>0</v>
      </c>
      <c r="J4516" s="212">
        <f>'IWP11'!M$392</f>
        <v>0</v>
      </c>
      <c r="K4516" s="106"/>
      <c r="L4516" s="106"/>
      <c r="M4516" s="129"/>
    </row>
    <row r="4517" spans="1:13" s="146" customFormat="1">
      <c r="A4517" s="193" t="s">
        <v>509</v>
      </c>
      <c r="B4517" s="210">
        <v>3</v>
      </c>
      <c r="C4517" s="191" t="str">
        <f>IF('IWP11'!E$393=0,"",'IWP11'!E$393)</f>
        <v/>
      </c>
      <c r="D4517" s="211">
        <f>'IWP11'!G$393</f>
        <v>0</v>
      </c>
      <c r="E4517" s="211">
        <f>'IWP11'!H$393</f>
        <v>0</v>
      </c>
      <c r="F4517" s="211">
        <f>'IWP11'!I$393</f>
        <v>0</v>
      </c>
      <c r="G4517" s="191" t="str">
        <f>IF('IWP11'!J$393=0,"",'IWP11'!J$393)</f>
        <v/>
      </c>
      <c r="H4517" s="211">
        <f>'IWP11'!K$393</f>
        <v>0</v>
      </c>
      <c r="I4517" s="211">
        <f>'IWP11'!L$393</f>
        <v>0</v>
      </c>
      <c r="J4517" s="212">
        <f>'IWP11'!M$393</f>
        <v>0</v>
      </c>
      <c r="K4517" s="106"/>
      <c r="L4517" s="106"/>
      <c r="M4517" s="129"/>
    </row>
    <row r="4518" spans="1:13" s="146" customFormat="1">
      <c r="A4518" s="193" t="s">
        <v>509</v>
      </c>
      <c r="B4518" s="210">
        <v>3</v>
      </c>
      <c r="C4518" s="191" t="str">
        <f>IF('IWP11'!E$394=0,"",'IWP11'!E$394)</f>
        <v/>
      </c>
      <c r="D4518" s="211">
        <f>'IWP11'!G$394</f>
        <v>0</v>
      </c>
      <c r="E4518" s="211">
        <f>'IWP11'!H$394</f>
        <v>0</v>
      </c>
      <c r="F4518" s="211">
        <f>'IWP11'!I$394</f>
        <v>0</v>
      </c>
      <c r="G4518" s="191" t="str">
        <f>IF('IWP11'!J$394=0,"",'IWP11'!J$394)</f>
        <v/>
      </c>
      <c r="H4518" s="211">
        <f>'IWP11'!K$394</f>
        <v>0</v>
      </c>
      <c r="I4518" s="211">
        <f>'IWP11'!L$394</f>
        <v>0</v>
      </c>
      <c r="J4518" s="212">
        <f>'IWP11'!M$394</f>
        <v>0</v>
      </c>
      <c r="K4518" s="106"/>
      <c r="L4518" s="106"/>
      <c r="M4518" s="129"/>
    </row>
    <row r="4519" spans="1:13" s="146" customFormat="1">
      <c r="A4519" s="193" t="s">
        <v>509</v>
      </c>
      <c r="B4519" s="210">
        <v>3</v>
      </c>
      <c r="C4519" s="191" t="str">
        <f>IF('IWP11'!E$395=0,"",'IWP11'!E$395)</f>
        <v/>
      </c>
      <c r="D4519" s="211">
        <f>'IWP11'!G$395</f>
        <v>0</v>
      </c>
      <c r="E4519" s="211">
        <f>'IWP11'!H$395</f>
        <v>0</v>
      </c>
      <c r="F4519" s="211">
        <f>'IWP11'!I$395</f>
        <v>0</v>
      </c>
      <c r="G4519" s="191" t="str">
        <f>IF('IWP11'!J$395=0,"",'IWP11'!J$395)</f>
        <v/>
      </c>
      <c r="H4519" s="211">
        <f>'IWP11'!K$395</f>
        <v>0</v>
      </c>
      <c r="I4519" s="211">
        <f>'IWP11'!L$395</f>
        <v>0</v>
      </c>
      <c r="J4519" s="212">
        <f>'IWP11'!M$395</f>
        <v>0</v>
      </c>
      <c r="K4519" s="106"/>
      <c r="L4519" s="106"/>
      <c r="M4519" s="129"/>
    </row>
    <row r="4520" spans="1:13" s="146" customFormat="1">
      <c r="A4520" s="193" t="s">
        <v>509</v>
      </c>
      <c r="B4520" s="210">
        <v>3</v>
      </c>
      <c r="C4520" s="191" t="str">
        <f>IF('IWP11'!E$396=0,"",'IWP11'!E$396)</f>
        <v/>
      </c>
      <c r="D4520" s="211">
        <f>'IWP11'!G$396</f>
        <v>0</v>
      </c>
      <c r="E4520" s="211">
        <f>'IWP11'!H$396</f>
        <v>0</v>
      </c>
      <c r="F4520" s="211">
        <f>'IWP11'!I$396</f>
        <v>0</v>
      </c>
      <c r="G4520" s="191" t="str">
        <f>IF('IWP11'!J$396=0,"",'IWP11'!J$396)</f>
        <v/>
      </c>
      <c r="H4520" s="211">
        <f>'IWP11'!K$396</f>
        <v>0</v>
      </c>
      <c r="I4520" s="211">
        <f>'IWP11'!L$396</f>
        <v>0</v>
      </c>
      <c r="J4520" s="212">
        <f>'IWP11'!M$396</f>
        <v>0</v>
      </c>
      <c r="K4520" s="106"/>
      <c r="L4520" s="106"/>
      <c r="M4520" s="129"/>
    </row>
    <row r="4521" spans="1:13" s="146" customFormat="1">
      <c r="A4521" s="193" t="s">
        <v>509</v>
      </c>
      <c r="B4521" s="210">
        <v>4</v>
      </c>
      <c r="C4521" s="191" t="str">
        <f>IF('IWP11'!E$403=0,"",'IWP11'!E$403)</f>
        <v>Subtotal column D.</v>
      </c>
      <c r="D4521" s="211">
        <f>'IWP11'!G$403</f>
        <v>0</v>
      </c>
      <c r="E4521" s="211">
        <f>'IWP11'!H$403</f>
        <v>0</v>
      </c>
      <c r="F4521" s="211">
        <f>'IWP11'!I$403</f>
        <v>0</v>
      </c>
      <c r="G4521" s="191" t="str">
        <f>IF('IWP11'!J$403=0,"",'IWP11'!J$403)</f>
        <v/>
      </c>
      <c r="H4521" s="211">
        <f>'IWP11'!K$403</f>
        <v>0</v>
      </c>
      <c r="I4521" s="211">
        <f>'IWP11'!L$403</f>
        <v>0</v>
      </c>
      <c r="J4521" s="212">
        <f>'IWP11'!M$403</f>
        <v>0</v>
      </c>
      <c r="K4521" s="106"/>
      <c r="L4521" s="106"/>
      <c r="M4521" s="129"/>
    </row>
    <row r="4522" spans="1:13" s="146" customFormat="1">
      <c r="A4522" s="193" t="s">
        <v>509</v>
      </c>
      <c r="B4522" s="210">
        <v>4</v>
      </c>
      <c r="C4522" s="191" t="str">
        <f>IF('IWP11'!E$404=0,"",'IWP11'!E$404)</f>
        <v>Unverified/Undocumented (Subtotal D - C)</v>
      </c>
      <c r="D4522" s="211">
        <f>'IWP11'!G$404</f>
        <v>0</v>
      </c>
      <c r="E4522" s="211">
        <f>'IWP11'!H$404</f>
        <v>0</v>
      </c>
      <c r="F4522" s="211">
        <f>'IWP11'!I$404</f>
        <v>0</v>
      </c>
      <c r="G4522" s="191" t="str">
        <f>IF('IWP11'!J$404=0,"",'IWP11'!J$404)</f>
        <v/>
      </c>
      <c r="H4522" s="211">
        <f>'IWP11'!K$404</f>
        <v>0</v>
      </c>
      <c r="I4522" s="211">
        <f>'IWP11'!L$404</f>
        <v>0</v>
      </c>
      <c r="J4522" s="212">
        <f>'IWP11'!M$404</f>
        <v>0</v>
      </c>
      <c r="K4522" s="106"/>
      <c r="L4522" s="106"/>
      <c r="M4522" s="129"/>
    </row>
    <row r="4523" spans="1:13" s="146" customFormat="1">
      <c r="A4523" s="193" t="s">
        <v>509</v>
      </c>
      <c r="B4523" s="210">
        <v>4</v>
      </c>
      <c r="C4523" s="191" t="str">
        <f>IF('IWP11'!E$405=0,"",'IWP11'!E$405)</f>
        <v>J. Billing Period Total</v>
      </c>
      <c r="D4523" s="211">
        <f>'IWP11'!G$405</f>
        <v>0</v>
      </c>
      <c r="E4523" s="211">
        <f>'IWP11'!H$405</f>
        <v>0</v>
      </c>
      <c r="F4523" s="211">
        <f>'IWP11'!I$405</f>
        <v>0</v>
      </c>
      <c r="G4523" s="191" t="str">
        <f>IF('IWP11'!J$405=0,"",'IWP11'!J$405)</f>
        <v/>
      </c>
      <c r="H4523" s="211">
        <f>'IWP11'!K$405</f>
        <v>0</v>
      </c>
      <c r="I4523" s="211">
        <f>'IWP11'!L$405</f>
        <v>0</v>
      </c>
      <c r="J4523" s="212">
        <f>'IWP11'!M$405</f>
        <v>0</v>
      </c>
      <c r="K4523" s="106"/>
      <c r="L4523" s="106"/>
      <c r="M4523" s="129"/>
    </row>
    <row r="4524" spans="1:13" s="146" customFormat="1">
      <c r="A4524" s="193" t="s">
        <v>509</v>
      </c>
      <c r="B4524" s="210">
        <v>4</v>
      </c>
      <c r="C4524" s="191" t="str">
        <f>IF('IWP11'!E$406=0,"",'IWP11'!E$406)</f>
        <v>D.</v>
      </c>
      <c r="D4524" s="211">
        <f>'IWP11'!G$406</f>
        <v>0</v>
      </c>
      <c r="E4524" s="211" t="str">
        <f>'IWP11'!H$406</f>
        <v>E.</v>
      </c>
      <c r="F4524" s="211" t="str">
        <f>'IWP11'!I$406</f>
        <v>F.</v>
      </c>
      <c r="G4524" s="191" t="str">
        <f>IF('IWP11'!J$406=0,"",'IWP11'!J$406)</f>
        <v>G.</v>
      </c>
      <c r="H4524" s="211">
        <f>'IWP11'!K$406</f>
        <v>0</v>
      </c>
      <c r="I4524" s="211" t="str">
        <f>'IWP11'!L$406</f>
        <v>H.</v>
      </c>
      <c r="J4524" s="212" t="str">
        <f>'IWP11'!M$406</f>
        <v>I.</v>
      </c>
      <c r="K4524" s="106"/>
      <c r="L4524" s="106"/>
      <c r="M4524" s="129"/>
    </row>
    <row r="4525" spans="1:13" s="146" customFormat="1">
      <c r="A4525" s="193" t="s">
        <v>509</v>
      </c>
      <c r="B4525" s="210">
        <v>4</v>
      </c>
      <c r="C4525" s="191" t="str">
        <f>IF('IWP11'!E$407=0,"",'IWP11'!E$407)</f>
        <v xml:space="preserve">Items/Services Related to Billing Period </v>
      </c>
      <c r="D4525" s="211">
        <f>'IWP11'!G$407</f>
        <v>0</v>
      </c>
      <c r="E4525" s="211" t="str">
        <f>'IWP11'!H$407</f>
        <v xml:space="preserve">Item/
Service Verified Amounts
</v>
      </c>
      <c r="F4525" s="211" t="str">
        <f>'IWP11'!I$407</f>
        <v>Amount Due to DADS (E. - D.)</v>
      </c>
      <c r="G4525" s="191" t="str">
        <f>IF('IWP11'!J$407=0,"",'IWP11'!J$407)</f>
        <v>Amount Reimbursed to 
Employee(s)/Employer</v>
      </c>
      <c r="H4525" s="211">
        <f>'IWP11'!K$407</f>
        <v>0</v>
      </c>
      <c r="I4525" s="211" t="str">
        <f>'IWP11'!L$407</f>
        <v>Amount Due to Employee(s) (G. - E.)</v>
      </c>
      <c r="J4525" s="212" t="str">
        <f>'IWP11'!M$407</f>
        <v>Amount Due to Employer (G. - E.)</v>
      </c>
      <c r="K4525" s="106"/>
      <c r="L4525" s="106"/>
      <c r="M4525" s="129"/>
    </row>
    <row r="4526" spans="1:13" s="146" customFormat="1">
      <c r="A4526" s="193" t="s">
        <v>509</v>
      </c>
      <c r="B4526" s="210">
        <v>4</v>
      </c>
      <c r="C4526" s="191" t="str">
        <f>IF('IWP11'!E$408=0,"",'IWP11'!E$408)</f>
        <v>Item/Service</v>
      </c>
      <c r="D4526" s="211" t="str">
        <f>'IWP11'!G$408</f>
        <v>Itemized Amount Paid by DADS</v>
      </c>
      <c r="E4526" s="211">
        <f>'IWP11'!H$408</f>
        <v>0</v>
      </c>
      <c r="F4526" s="211">
        <f>'IWP11'!I$408</f>
        <v>0</v>
      </c>
      <c r="G4526" s="191" t="str">
        <f>IF('IWP11'!J$408=0,"",'IWP11'!J$408)</f>
        <v/>
      </c>
      <c r="H4526" s="211">
        <f>'IWP11'!K$408</f>
        <v>0</v>
      </c>
      <c r="I4526" s="211">
        <f>'IWP11'!L$408</f>
        <v>0</v>
      </c>
      <c r="J4526" s="212">
        <f>'IWP11'!M$408</f>
        <v>0</v>
      </c>
      <c r="K4526" s="106"/>
      <c r="L4526" s="106"/>
      <c r="M4526" s="129"/>
    </row>
    <row r="4527" spans="1:13" s="146" customFormat="1">
      <c r="A4527" s="193" t="s">
        <v>509</v>
      </c>
      <c r="B4527" s="210">
        <v>4</v>
      </c>
      <c r="C4527" s="191" t="str">
        <f>IF('IWP11'!E$409=0,"",'IWP11'!E$409)</f>
        <v/>
      </c>
      <c r="D4527" s="211">
        <f>'IWP11'!G$409</f>
        <v>0</v>
      </c>
      <c r="E4527" s="211">
        <f>'IWP11'!H$409</f>
        <v>0</v>
      </c>
      <c r="F4527" s="211">
        <f>'IWP11'!I$409</f>
        <v>0</v>
      </c>
      <c r="G4527" s="191" t="str">
        <f>IF('IWP11'!J$409=0,"",'IWP11'!J$409)</f>
        <v/>
      </c>
      <c r="H4527" s="211">
        <f>'IWP11'!K$409</f>
        <v>0</v>
      </c>
      <c r="I4527" s="211">
        <f>'IWP11'!L$409</f>
        <v>0</v>
      </c>
      <c r="J4527" s="212">
        <f>'IWP11'!M$409</f>
        <v>0</v>
      </c>
      <c r="K4527" s="106"/>
      <c r="L4527" s="106"/>
      <c r="M4527" s="129"/>
    </row>
    <row r="4528" spans="1:13" s="146" customFormat="1">
      <c r="A4528" s="193" t="s">
        <v>509</v>
      </c>
      <c r="B4528" s="210">
        <v>4</v>
      </c>
      <c r="C4528" s="191" t="str">
        <f>IF('IWP11'!E$410=0,"",'IWP11'!E$410)</f>
        <v/>
      </c>
      <c r="D4528" s="211">
        <f>'IWP11'!G$410</f>
        <v>0</v>
      </c>
      <c r="E4528" s="211">
        <f>'IWP11'!H$410</f>
        <v>0</v>
      </c>
      <c r="F4528" s="211">
        <f>'IWP11'!I$410</f>
        <v>0</v>
      </c>
      <c r="G4528" s="191" t="str">
        <f>IF('IWP11'!J$410=0,"",'IWP11'!J$410)</f>
        <v/>
      </c>
      <c r="H4528" s="211">
        <f>'IWP11'!K$410</f>
        <v>0</v>
      </c>
      <c r="I4528" s="211">
        <f>'IWP11'!L$410</f>
        <v>0</v>
      </c>
      <c r="J4528" s="212">
        <f>'IWP11'!M$410</f>
        <v>0</v>
      </c>
      <c r="K4528" s="106"/>
      <c r="L4528" s="106"/>
      <c r="M4528" s="129"/>
    </row>
    <row r="4529" spans="1:13" s="146" customFormat="1">
      <c r="A4529" s="193" t="s">
        <v>509</v>
      </c>
      <c r="B4529" s="210">
        <v>4</v>
      </c>
      <c r="C4529" s="191" t="str">
        <f>IF('IWP11'!E$411=0,"",'IWP11'!E$411)</f>
        <v/>
      </c>
      <c r="D4529" s="211">
        <f>'IWP11'!G$411</f>
        <v>0</v>
      </c>
      <c r="E4529" s="211">
        <f>'IWP11'!H$411</f>
        <v>0</v>
      </c>
      <c r="F4529" s="211">
        <f>'IWP11'!I$411</f>
        <v>0</v>
      </c>
      <c r="G4529" s="191" t="str">
        <f>IF('IWP11'!J$411=0,"",'IWP11'!J$411)</f>
        <v/>
      </c>
      <c r="H4529" s="211">
        <f>'IWP11'!K$411</f>
        <v>0</v>
      </c>
      <c r="I4529" s="211">
        <f>'IWP11'!L$411</f>
        <v>0</v>
      </c>
      <c r="J4529" s="212">
        <f>'IWP11'!M$411</f>
        <v>0</v>
      </c>
      <c r="K4529" s="106"/>
      <c r="L4529" s="106"/>
      <c r="M4529" s="129"/>
    </row>
    <row r="4530" spans="1:13" s="146" customFormat="1">
      <c r="A4530" s="193" t="s">
        <v>509</v>
      </c>
      <c r="B4530" s="210">
        <v>4</v>
      </c>
      <c r="C4530" s="191" t="str">
        <f>IF('IWP11'!E$412=0,"",'IWP11'!E$412)</f>
        <v/>
      </c>
      <c r="D4530" s="211">
        <f>'IWP11'!G$412</f>
        <v>0</v>
      </c>
      <c r="E4530" s="211">
        <f>'IWP11'!H$412</f>
        <v>0</v>
      </c>
      <c r="F4530" s="211">
        <f>'IWP11'!I$412</f>
        <v>0</v>
      </c>
      <c r="G4530" s="191" t="str">
        <f>IF('IWP11'!J$412=0,"",'IWP11'!J$412)</f>
        <v/>
      </c>
      <c r="H4530" s="211">
        <f>'IWP11'!K$412</f>
        <v>0</v>
      </c>
      <c r="I4530" s="211">
        <f>'IWP11'!L$412</f>
        <v>0</v>
      </c>
      <c r="J4530" s="212">
        <f>'IWP11'!M$412</f>
        <v>0</v>
      </c>
      <c r="K4530" s="106"/>
      <c r="L4530" s="106"/>
      <c r="M4530" s="129"/>
    </row>
    <row r="4531" spans="1:13" s="146" customFormat="1">
      <c r="A4531" s="193" t="s">
        <v>509</v>
      </c>
      <c r="B4531" s="210">
        <v>5</v>
      </c>
      <c r="C4531" s="191" t="str">
        <f>IF('IWP11'!E$419=0,"",'IWP11'!E$419)</f>
        <v>Subtotal column D.</v>
      </c>
      <c r="D4531" s="211">
        <f>'IWP11'!G$419</f>
        <v>0</v>
      </c>
      <c r="E4531" s="211">
        <f>'IWP11'!H$419</f>
        <v>0</v>
      </c>
      <c r="F4531" s="211">
        <f>'IWP11'!I$419</f>
        <v>0</v>
      </c>
      <c r="G4531" s="191" t="str">
        <f>IF('IWP11'!J$419=0,"",'IWP11'!J$419)</f>
        <v/>
      </c>
      <c r="H4531" s="211">
        <f>'IWP11'!K$419</f>
        <v>0</v>
      </c>
      <c r="I4531" s="211">
        <f>'IWP11'!L$419</f>
        <v>0</v>
      </c>
      <c r="J4531" s="212">
        <f>'IWP11'!M$419</f>
        <v>0</v>
      </c>
      <c r="K4531" s="106"/>
      <c r="L4531" s="106"/>
      <c r="M4531" s="129"/>
    </row>
    <row r="4532" spans="1:13" s="146" customFormat="1">
      <c r="A4532" s="193" t="s">
        <v>509</v>
      </c>
      <c r="B4532" s="210">
        <v>5</v>
      </c>
      <c r="C4532" s="191" t="str">
        <f>IF('IWP11'!E$420=0,"",'IWP11'!E$420)</f>
        <v>Unverified/Undocumented (Subtotal D - C)</v>
      </c>
      <c r="D4532" s="211">
        <f>'IWP11'!G$420</f>
        <v>0</v>
      </c>
      <c r="E4532" s="211">
        <f>'IWP11'!H$420</f>
        <v>0</v>
      </c>
      <c r="F4532" s="211">
        <f>'IWP11'!I$420</f>
        <v>0</v>
      </c>
      <c r="G4532" s="191" t="str">
        <f>IF('IWP11'!J$420=0,"",'IWP11'!J$420)</f>
        <v/>
      </c>
      <c r="H4532" s="211">
        <f>'IWP11'!K$420</f>
        <v>0</v>
      </c>
      <c r="I4532" s="211">
        <f>'IWP11'!L$420</f>
        <v>0</v>
      </c>
      <c r="J4532" s="212">
        <f>'IWP11'!M$420</f>
        <v>0</v>
      </c>
      <c r="K4532" s="106"/>
      <c r="L4532" s="106"/>
      <c r="M4532" s="129"/>
    </row>
    <row r="4533" spans="1:13" s="146" customFormat="1">
      <c r="A4533" s="193" t="s">
        <v>509</v>
      </c>
      <c r="B4533" s="210">
        <v>5</v>
      </c>
      <c r="C4533" s="191" t="str">
        <f>IF('IWP11'!E$421=0,"",'IWP11'!E$421)</f>
        <v>J. Billing Period Total</v>
      </c>
      <c r="D4533" s="211">
        <f>'IWP11'!G$421</f>
        <v>0</v>
      </c>
      <c r="E4533" s="211">
        <f>'IWP11'!H$421</f>
        <v>0</v>
      </c>
      <c r="F4533" s="211">
        <f>'IWP11'!I$421</f>
        <v>0</v>
      </c>
      <c r="G4533" s="191" t="str">
        <f>IF('IWP11'!J$421=0,"",'IWP11'!J$421)</f>
        <v/>
      </c>
      <c r="H4533" s="211">
        <f>'IWP11'!K$421</f>
        <v>0</v>
      </c>
      <c r="I4533" s="211">
        <f>'IWP11'!L$421</f>
        <v>0</v>
      </c>
      <c r="J4533" s="212">
        <f>'IWP11'!M$421</f>
        <v>0</v>
      </c>
      <c r="K4533" s="106"/>
      <c r="L4533" s="106"/>
      <c r="M4533" s="129"/>
    </row>
    <row r="4534" spans="1:13" s="146" customFormat="1">
      <c r="A4534" s="193" t="s">
        <v>509</v>
      </c>
      <c r="B4534" s="210">
        <v>5</v>
      </c>
      <c r="C4534" s="191" t="str">
        <f>IF('IWP11'!E$422=0,"",'IWP11'!E$422)</f>
        <v>D.</v>
      </c>
      <c r="D4534" s="211">
        <f>'IWP11'!G$422</f>
        <v>0</v>
      </c>
      <c r="E4534" s="211" t="str">
        <f>'IWP11'!H$422</f>
        <v>E.</v>
      </c>
      <c r="F4534" s="211" t="str">
        <f>'IWP11'!I$422</f>
        <v>F.</v>
      </c>
      <c r="G4534" s="191" t="str">
        <f>IF('IWP11'!J$422=0,"",'IWP11'!J$422)</f>
        <v>G.</v>
      </c>
      <c r="H4534" s="211">
        <f>'IWP11'!K$422</f>
        <v>0</v>
      </c>
      <c r="I4534" s="211" t="str">
        <f>'IWP11'!L$422</f>
        <v>H.</v>
      </c>
      <c r="J4534" s="212" t="str">
        <f>'IWP11'!M$422</f>
        <v>I.</v>
      </c>
      <c r="K4534" s="106"/>
      <c r="L4534" s="106"/>
      <c r="M4534" s="129"/>
    </row>
    <row r="4535" spans="1:13" s="146" customFormat="1">
      <c r="A4535" s="193" t="s">
        <v>509</v>
      </c>
      <c r="B4535" s="210">
        <v>5</v>
      </c>
      <c r="C4535" s="191" t="str">
        <f>IF('IWP11'!E$423=0,"",'IWP11'!E$423)</f>
        <v xml:space="preserve">Items/Services Related to Billing Period </v>
      </c>
      <c r="D4535" s="211">
        <f>'IWP11'!G$423</f>
        <v>0</v>
      </c>
      <c r="E4535" s="211" t="str">
        <f>'IWP11'!H$423</f>
        <v xml:space="preserve">Item/
Service Verified Amounts
</v>
      </c>
      <c r="F4535" s="211" t="str">
        <f>'IWP11'!I$423</f>
        <v>Amount Due to DADS (E. - D.)</v>
      </c>
      <c r="G4535" s="191" t="str">
        <f>IF('IWP11'!J$423=0,"",'IWP11'!J$423)</f>
        <v>Amount Reimbursed to 
Employee(s)/Employer</v>
      </c>
      <c r="H4535" s="211">
        <f>'IWP11'!K$423</f>
        <v>0</v>
      </c>
      <c r="I4535" s="211" t="str">
        <f>'IWP11'!L$423</f>
        <v>Amount Due to Employee(s) (G. - E.)</v>
      </c>
      <c r="J4535" s="212" t="str">
        <f>'IWP11'!M$423</f>
        <v>Amount Due to Employer (G. - E.)</v>
      </c>
      <c r="K4535" s="106"/>
      <c r="L4535" s="106"/>
      <c r="M4535" s="129"/>
    </row>
    <row r="4536" spans="1:13" s="146" customFormat="1">
      <c r="A4536" s="193" t="s">
        <v>509</v>
      </c>
      <c r="B4536" s="210">
        <v>5</v>
      </c>
      <c r="C4536" s="191" t="str">
        <f>IF('IWP11'!E$424=0,"",'IWP11'!E$424)</f>
        <v>Item/Service</v>
      </c>
      <c r="D4536" s="211" t="str">
        <f>'IWP11'!G$424</f>
        <v>Itemized Amount Paid by DADS</v>
      </c>
      <c r="E4536" s="211">
        <f>'IWP11'!H$424</f>
        <v>0</v>
      </c>
      <c r="F4536" s="211">
        <f>'IWP11'!I$424</f>
        <v>0</v>
      </c>
      <c r="G4536" s="191" t="str">
        <f>IF('IWP11'!J$424=0,"",'IWP11'!J$424)</f>
        <v/>
      </c>
      <c r="H4536" s="211">
        <f>'IWP11'!K$424</f>
        <v>0</v>
      </c>
      <c r="I4536" s="211">
        <f>'IWP11'!L$424</f>
        <v>0</v>
      </c>
      <c r="J4536" s="212">
        <f>'IWP11'!M$424</f>
        <v>0</v>
      </c>
      <c r="K4536" s="106"/>
      <c r="L4536" s="106"/>
      <c r="M4536" s="129"/>
    </row>
    <row r="4537" spans="1:13" s="146" customFormat="1">
      <c r="A4537" s="193" t="s">
        <v>509</v>
      </c>
      <c r="B4537" s="210">
        <v>5</v>
      </c>
      <c r="C4537" s="191" t="str">
        <f>IF('IWP11'!E$425=0,"",'IWP11'!E$425)</f>
        <v/>
      </c>
      <c r="D4537" s="211">
        <f>'IWP11'!G$425</f>
        <v>0</v>
      </c>
      <c r="E4537" s="211">
        <f>'IWP11'!H$425</f>
        <v>0</v>
      </c>
      <c r="F4537" s="211">
        <f>'IWP11'!I$425</f>
        <v>0</v>
      </c>
      <c r="G4537" s="191" t="str">
        <f>IF('IWP11'!J$425=0,"",'IWP11'!J$425)</f>
        <v/>
      </c>
      <c r="H4537" s="211">
        <f>'IWP11'!K$425</f>
        <v>0</v>
      </c>
      <c r="I4537" s="211">
        <f>'IWP11'!L$425</f>
        <v>0</v>
      </c>
      <c r="J4537" s="212">
        <f>'IWP11'!M$425</f>
        <v>0</v>
      </c>
      <c r="K4537" s="106"/>
      <c r="L4537" s="106"/>
      <c r="M4537" s="129"/>
    </row>
    <row r="4538" spans="1:13" s="146" customFormat="1">
      <c r="A4538" s="193" t="s">
        <v>509</v>
      </c>
      <c r="B4538" s="210">
        <v>5</v>
      </c>
      <c r="C4538" s="191" t="str">
        <f>IF('IWP11'!E$426=0,"",'IWP11'!E$426)</f>
        <v/>
      </c>
      <c r="D4538" s="211">
        <f>'IWP11'!G$426</f>
        <v>0</v>
      </c>
      <c r="E4538" s="211">
        <f>'IWP11'!H$426</f>
        <v>0</v>
      </c>
      <c r="F4538" s="211">
        <f>'IWP11'!I$426</f>
        <v>0</v>
      </c>
      <c r="G4538" s="191" t="str">
        <f>IF('IWP11'!J$426=0,"",'IWP11'!J$426)</f>
        <v/>
      </c>
      <c r="H4538" s="211">
        <f>'IWP11'!K$426</f>
        <v>0</v>
      </c>
      <c r="I4538" s="211">
        <f>'IWP11'!L$426</f>
        <v>0</v>
      </c>
      <c r="J4538" s="212">
        <f>'IWP11'!M$426</f>
        <v>0</v>
      </c>
      <c r="K4538" s="106"/>
      <c r="L4538" s="106"/>
      <c r="M4538" s="129"/>
    </row>
    <row r="4539" spans="1:13" s="146" customFormat="1">
      <c r="A4539" s="193" t="s">
        <v>509</v>
      </c>
      <c r="B4539" s="210">
        <v>5</v>
      </c>
      <c r="C4539" s="191" t="str">
        <f>IF('IWP11'!E$427=0,"",'IWP11'!E$427)</f>
        <v/>
      </c>
      <c r="D4539" s="211">
        <f>'IWP11'!G$427</f>
        <v>0</v>
      </c>
      <c r="E4539" s="211">
        <f>'IWP11'!H$427</f>
        <v>0</v>
      </c>
      <c r="F4539" s="211">
        <f>'IWP11'!I$427</f>
        <v>0</v>
      </c>
      <c r="G4539" s="191" t="str">
        <f>IF('IWP11'!J$427=0,"",'IWP11'!J$427)</f>
        <v/>
      </c>
      <c r="H4539" s="211">
        <f>'IWP11'!K$427</f>
        <v>0</v>
      </c>
      <c r="I4539" s="211">
        <f>'IWP11'!L$427</f>
        <v>0</v>
      </c>
      <c r="J4539" s="212">
        <f>'IWP11'!M$427</f>
        <v>0</v>
      </c>
      <c r="K4539" s="106"/>
      <c r="L4539" s="106"/>
      <c r="M4539" s="129"/>
    </row>
    <row r="4540" spans="1:13" s="146" customFormat="1">
      <c r="A4540" s="193" t="s">
        <v>509</v>
      </c>
      <c r="B4540" s="210">
        <v>5</v>
      </c>
      <c r="C4540" s="191" t="str">
        <f>IF('IWP11'!E$428=0,"",'IWP11'!E$428)</f>
        <v/>
      </c>
      <c r="D4540" s="211">
        <f>'IWP11'!G$428</f>
        <v>0</v>
      </c>
      <c r="E4540" s="211">
        <f>'IWP11'!H$428</f>
        <v>0</v>
      </c>
      <c r="F4540" s="211">
        <f>'IWP11'!I$428</f>
        <v>0</v>
      </c>
      <c r="G4540" s="191" t="str">
        <f>IF('IWP11'!J$428=0,"",'IWP11'!J$428)</f>
        <v/>
      </c>
      <c r="H4540" s="211">
        <f>'IWP11'!K$428</f>
        <v>0</v>
      </c>
      <c r="I4540" s="211">
        <f>'IWP11'!L$428</f>
        <v>0</v>
      </c>
      <c r="J4540" s="212">
        <f>'IWP11'!M$428</f>
        <v>0</v>
      </c>
      <c r="K4540" s="106"/>
      <c r="L4540" s="106"/>
      <c r="M4540" s="129"/>
    </row>
    <row r="4541" spans="1:13" s="146" customFormat="1">
      <c r="A4541" s="193" t="s">
        <v>509</v>
      </c>
      <c r="B4541" s="210">
        <v>6</v>
      </c>
      <c r="C4541" s="191" t="str">
        <f>IF('IWP11'!E$435=0,"",'IWP11'!E$435)</f>
        <v>Subtotal column D.</v>
      </c>
      <c r="D4541" s="211">
        <f>'IWP11'!G$435</f>
        <v>0</v>
      </c>
      <c r="E4541" s="211">
        <f>'IWP11'!H$435</f>
        <v>0</v>
      </c>
      <c r="F4541" s="211">
        <f>'IWP11'!I$435</f>
        <v>0</v>
      </c>
      <c r="G4541" s="191" t="str">
        <f>IF('IWP11'!J$435=0,"",'IWP11'!J$435)</f>
        <v/>
      </c>
      <c r="H4541" s="211">
        <f>'IWP11'!K$435</f>
        <v>0</v>
      </c>
      <c r="I4541" s="211">
        <f>'IWP11'!L$435</f>
        <v>0</v>
      </c>
      <c r="J4541" s="212">
        <f>'IWP11'!M$435</f>
        <v>0</v>
      </c>
      <c r="K4541" s="106"/>
      <c r="L4541" s="106"/>
      <c r="M4541" s="129"/>
    </row>
    <row r="4542" spans="1:13" s="146" customFormat="1">
      <c r="A4542" s="193" t="s">
        <v>509</v>
      </c>
      <c r="B4542" s="210">
        <v>6</v>
      </c>
      <c r="C4542" s="191" t="str">
        <f>IF('IWP11'!E$436=0,"",'IWP11'!E$436)</f>
        <v>Unverified/Undocumented (Subtotal D - C)</v>
      </c>
      <c r="D4542" s="211">
        <f>'IWP11'!G$436</f>
        <v>0</v>
      </c>
      <c r="E4542" s="211">
        <f>'IWP11'!H$436</f>
        <v>0</v>
      </c>
      <c r="F4542" s="211">
        <f>'IWP11'!I$436</f>
        <v>0</v>
      </c>
      <c r="G4542" s="191" t="str">
        <f>IF('IWP11'!J$436=0,"",'IWP11'!J$436)</f>
        <v/>
      </c>
      <c r="H4542" s="211">
        <f>'IWP11'!K$436</f>
        <v>0</v>
      </c>
      <c r="I4542" s="211">
        <f>'IWP11'!L$436</f>
        <v>0</v>
      </c>
      <c r="J4542" s="212">
        <f>'IWP11'!M$436</f>
        <v>0</v>
      </c>
      <c r="K4542" s="106"/>
      <c r="L4542" s="106"/>
      <c r="M4542" s="129"/>
    </row>
    <row r="4543" spans="1:13" s="146" customFormat="1">
      <c r="A4543" s="193" t="s">
        <v>509</v>
      </c>
      <c r="B4543" s="210">
        <v>6</v>
      </c>
      <c r="C4543" s="191" t="str">
        <f>IF('IWP11'!E$437=0,"",'IWP11'!E$437)</f>
        <v>J. Billing Period Total</v>
      </c>
      <c r="D4543" s="211">
        <f>'IWP11'!G$437</f>
        <v>0</v>
      </c>
      <c r="E4543" s="211">
        <f>'IWP11'!H$437</f>
        <v>0</v>
      </c>
      <c r="F4543" s="211">
        <f>'IWP11'!I$437</f>
        <v>0</v>
      </c>
      <c r="G4543" s="191" t="str">
        <f>IF('IWP11'!J$437=0,"",'IWP11'!J$437)</f>
        <v/>
      </c>
      <c r="H4543" s="211">
        <f>'IWP11'!K$437</f>
        <v>0</v>
      </c>
      <c r="I4543" s="211">
        <f>'IWP11'!L$437</f>
        <v>0</v>
      </c>
      <c r="J4543" s="212">
        <f>'IWP11'!M$437</f>
        <v>0</v>
      </c>
      <c r="K4543" s="106"/>
      <c r="L4543" s="106"/>
      <c r="M4543" s="129"/>
    </row>
    <row r="4544" spans="1:13" s="146" customFormat="1">
      <c r="A4544" s="193" t="s">
        <v>509</v>
      </c>
      <c r="B4544" s="210">
        <v>6</v>
      </c>
      <c r="C4544" s="191" t="str">
        <f>IF('IWP11'!E$438=0,"",'IWP11'!E$438)</f>
        <v>D.</v>
      </c>
      <c r="D4544" s="211">
        <f>'IWP11'!G$438</f>
        <v>0</v>
      </c>
      <c r="E4544" s="211" t="str">
        <f>'IWP11'!H$438</f>
        <v>E.</v>
      </c>
      <c r="F4544" s="211" t="str">
        <f>'IWP11'!I$438</f>
        <v>F.</v>
      </c>
      <c r="G4544" s="191" t="str">
        <f>IF('IWP11'!J$438=0,"",'IWP11'!J$438)</f>
        <v>G.</v>
      </c>
      <c r="H4544" s="211">
        <f>'IWP11'!K$438</f>
        <v>0</v>
      </c>
      <c r="I4544" s="211" t="str">
        <f>'IWP11'!L$438</f>
        <v>H.</v>
      </c>
      <c r="J4544" s="212" t="str">
        <f>'IWP11'!M$438</f>
        <v>I.</v>
      </c>
      <c r="K4544" s="106"/>
      <c r="L4544" s="106"/>
      <c r="M4544" s="129"/>
    </row>
    <row r="4545" spans="1:13" s="146" customFormat="1">
      <c r="A4545" s="193" t="s">
        <v>509</v>
      </c>
      <c r="B4545" s="210">
        <v>6</v>
      </c>
      <c r="C4545" s="191" t="str">
        <f>IF('IWP11'!E$439=0,"",'IWP11'!E$439)</f>
        <v xml:space="preserve">Items/Services Related to Billing Period </v>
      </c>
      <c r="D4545" s="211">
        <f>'IWP11'!G$439</f>
        <v>0</v>
      </c>
      <c r="E4545" s="211" t="str">
        <f>'IWP11'!H$439</f>
        <v xml:space="preserve">Item/
Service Verified Amounts
</v>
      </c>
      <c r="F4545" s="211" t="str">
        <f>'IWP11'!I$439</f>
        <v>Amount Due to DADS (E. - D.)</v>
      </c>
      <c r="G4545" s="191" t="str">
        <f>IF('IWP11'!J$439=0,"",'IWP11'!J$439)</f>
        <v>Amount Reimbursed to 
Employee(s)/Employer</v>
      </c>
      <c r="H4545" s="211">
        <f>'IWP11'!K$439</f>
        <v>0</v>
      </c>
      <c r="I4545" s="211" t="str">
        <f>'IWP11'!L$439</f>
        <v>Amount Due to Employee(s) (G. - E.)</v>
      </c>
      <c r="J4545" s="212" t="str">
        <f>'IWP11'!M$439</f>
        <v>Amount Due to Employer (G. - E.)</v>
      </c>
      <c r="K4545" s="106"/>
      <c r="L4545" s="106"/>
      <c r="M4545" s="129"/>
    </row>
    <row r="4546" spans="1:13" s="146" customFormat="1">
      <c r="A4546" s="193" t="s">
        <v>509</v>
      </c>
      <c r="B4546" s="210">
        <v>6</v>
      </c>
      <c r="C4546" s="191" t="str">
        <f>IF('IWP11'!E$440=0,"",'IWP11'!E$440)</f>
        <v>Item/Service</v>
      </c>
      <c r="D4546" s="211" t="str">
        <f>'IWP11'!G$440</f>
        <v>Itemized Amount Paid by DADS</v>
      </c>
      <c r="E4546" s="211">
        <f>'IWP11'!H$440</f>
        <v>0</v>
      </c>
      <c r="F4546" s="211">
        <f>'IWP11'!I$440</f>
        <v>0</v>
      </c>
      <c r="G4546" s="191" t="str">
        <f>IF('IWP11'!J$440=0,"",'IWP11'!J$440)</f>
        <v/>
      </c>
      <c r="H4546" s="211">
        <f>'IWP11'!K$440</f>
        <v>0</v>
      </c>
      <c r="I4546" s="211">
        <f>'IWP11'!L$440</f>
        <v>0</v>
      </c>
      <c r="J4546" s="212">
        <f>'IWP11'!M$440</f>
        <v>0</v>
      </c>
      <c r="K4546" s="106"/>
      <c r="L4546" s="106"/>
      <c r="M4546" s="129"/>
    </row>
    <row r="4547" spans="1:13" s="146" customFormat="1">
      <c r="A4547" s="193" t="s">
        <v>509</v>
      </c>
      <c r="B4547" s="210">
        <v>6</v>
      </c>
      <c r="C4547" s="191" t="str">
        <f>IF('IWP11'!E$441=0,"",'IWP11'!E$441)</f>
        <v/>
      </c>
      <c r="D4547" s="211">
        <f>'IWP11'!G$441</f>
        <v>0</v>
      </c>
      <c r="E4547" s="211">
        <f>'IWP11'!H$441</f>
        <v>0</v>
      </c>
      <c r="F4547" s="211">
        <f>'IWP11'!I$441</f>
        <v>0</v>
      </c>
      <c r="G4547" s="191" t="str">
        <f>IF('IWP11'!J$441=0,"",'IWP11'!J$441)</f>
        <v/>
      </c>
      <c r="H4547" s="211">
        <f>'IWP11'!K$441</f>
        <v>0</v>
      </c>
      <c r="I4547" s="211">
        <f>'IWP11'!L$441</f>
        <v>0</v>
      </c>
      <c r="J4547" s="212">
        <f>'IWP11'!M$441</f>
        <v>0</v>
      </c>
      <c r="K4547" s="106"/>
      <c r="L4547" s="106"/>
      <c r="M4547" s="129"/>
    </row>
    <row r="4548" spans="1:13" s="146" customFormat="1">
      <c r="A4548" s="193" t="s">
        <v>509</v>
      </c>
      <c r="B4548" s="210">
        <v>6</v>
      </c>
      <c r="C4548" s="191" t="str">
        <f>IF('IWP11'!E$442=0,"",'IWP11'!E$442)</f>
        <v/>
      </c>
      <c r="D4548" s="211">
        <f>'IWP11'!G$442</f>
        <v>0</v>
      </c>
      <c r="E4548" s="211">
        <f>'IWP11'!H$442</f>
        <v>0</v>
      </c>
      <c r="F4548" s="211">
        <f>'IWP11'!I$442</f>
        <v>0</v>
      </c>
      <c r="G4548" s="191" t="str">
        <f>IF('IWP11'!J$442=0,"",'IWP11'!J$442)</f>
        <v/>
      </c>
      <c r="H4548" s="211">
        <f>'IWP11'!K$442</f>
        <v>0</v>
      </c>
      <c r="I4548" s="211">
        <f>'IWP11'!L$442</f>
        <v>0</v>
      </c>
      <c r="J4548" s="212">
        <f>'IWP11'!M$442</f>
        <v>0</v>
      </c>
      <c r="K4548" s="106"/>
      <c r="L4548" s="106"/>
      <c r="M4548" s="129"/>
    </row>
    <row r="4549" spans="1:13" s="146" customFormat="1">
      <c r="A4549" s="193" t="s">
        <v>509</v>
      </c>
      <c r="B4549" s="210">
        <v>6</v>
      </c>
      <c r="C4549" s="191" t="str">
        <f>IF('IWP11'!E$443=0,"",'IWP11'!E$443)</f>
        <v/>
      </c>
      <c r="D4549" s="211">
        <f>'IWP11'!G$443</f>
        <v>0</v>
      </c>
      <c r="E4549" s="211">
        <f>'IWP11'!H$443</f>
        <v>0</v>
      </c>
      <c r="F4549" s="211">
        <f>'IWP11'!I$443</f>
        <v>0</v>
      </c>
      <c r="G4549" s="191" t="str">
        <f>IF('IWP11'!J$443=0,"",'IWP11'!J$443)</f>
        <v/>
      </c>
      <c r="H4549" s="211">
        <f>'IWP11'!K$443</f>
        <v>0</v>
      </c>
      <c r="I4549" s="211">
        <f>'IWP11'!L$443</f>
        <v>0</v>
      </c>
      <c r="J4549" s="212">
        <f>'IWP11'!M$443</f>
        <v>0</v>
      </c>
      <c r="K4549" s="106"/>
      <c r="L4549" s="106"/>
      <c r="M4549" s="129"/>
    </row>
    <row r="4550" spans="1:13" s="146" customFormat="1">
      <c r="A4550" s="193" t="s">
        <v>509</v>
      </c>
      <c r="B4550" s="210">
        <v>6</v>
      </c>
      <c r="C4550" s="191" t="str">
        <f>IF('IWP11'!E$444=0,"",'IWP11'!E$444)</f>
        <v/>
      </c>
      <c r="D4550" s="211">
        <f>'IWP11'!G$444</f>
        <v>0</v>
      </c>
      <c r="E4550" s="211">
        <f>'IWP11'!H$444</f>
        <v>0</v>
      </c>
      <c r="F4550" s="211">
        <f>'IWP11'!I$444</f>
        <v>0</v>
      </c>
      <c r="G4550" s="191" t="str">
        <f>IF('IWP11'!J$444=0,"",'IWP11'!J$444)</f>
        <v/>
      </c>
      <c r="H4550" s="211">
        <f>'IWP11'!K$444</f>
        <v>0</v>
      </c>
      <c r="I4550" s="211">
        <f>'IWP11'!L$444</f>
        <v>0</v>
      </c>
      <c r="J4550" s="212">
        <f>'IWP11'!M$444</f>
        <v>0</v>
      </c>
      <c r="K4550" s="106"/>
      <c r="L4550" s="106"/>
      <c r="M4550" s="129"/>
    </row>
    <row r="4551" spans="1:13" s="146" customFormat="1">
      <c r="A4551" s="193" t="s">
        <v>509</v>
      </c>
      <c r="B4551" s="210">
        <v>7</v>
      </c>
      <c r="C4551" s="191" t="str">
        <f>IF('IWP11'!E$451=0,"",'IWP11'!E$451)</f>
        <v>Subtotal column D.</v>
      </c>
      <c r="D4551" s="211">
        <f>'IWP11'!G$451</f>
        <v>0</v>
      </c>
      <c r="E4551" s="211">
        <f>'IWP11'!H$451</f>
        <v>0</v>
      </c>
      <c r="F4551" s="211">
        <f>'IWP11'!I$451</f>
        <v>0</v>
      </c>
      <c r="G4551" s="191" t="str">
        <f>IF('IWP11'!J$451=0,"",'IWP11'!J$451)</f>
        <v/>
      </c>
      <c r="H4551" s="211">
        <f>'IWP11'!K$451</f>
        <v>0</v>
      </c>
      <c r="I4551" s="211">
        <f>'IWP11'!L$451</f>
        <v>0</v>
      </c>
      <c r="J4551" s="212">
        <f>'IWP11'!M$451</f>
        <v>0</v>
      </c>
      <c r="K4551" s="106"/>
      <c r="L4551" s="106"/>
      <c r="M4551" s="129"/>
    </row>
    <row r="4552" spans="1:13" s="146" customFormat="1">
      <c r="A4552" s="193" t="s">
        <v>509</v>
      </c>
      <c r="B4552" s="210">
        <v>7</v>
      </c>
      <c r="C4552" s="191" t="str">
        <f>IF('IWP11'!E$452=0,"",'IWP11'!E$452)</f>
        <v>Unverified/Undocumented (Subtotal D - C)</v>
      </c>
      <c r="D4552" s="211">
        <f>'IWP11'!G$452</f>
        <v>0</v>
      </c>
      <c r="E4552" s="211">
        <f>'IWP11'!H$452</f>
        <v>0</v>
      </c>
      <c r="F4552" s="211">
        <f>'IWP11'!I$452</f>
        <v>0</v>
      </c>
      <c r="G4552" s="191" t="str">
        <f>IF('IWP11'!J$452=0,"",'IWP11'!J$452)</f>
        <v/>
      </c>
      <c r="H4552" s="211">
        <f>'IWP11'!K$452</f>
        <v>0</v>
      </c>
      <c r="I4552" s="211">
        <f>'IWP11'!L$452</f>
        <v>0</v>
      </c>
      <c r="J4552" s="212">
        <f>'IWP11'!M$452</f>
        <v>0</v>
      </c>
      <c r="K4552" s="106"/>
      <c r="L4552" s="106"/>
      <c r="M4552" s="129"/>
    </row>
    <row r="4553" spans="1:13" s="146" customFormat="1">
      <c r="A4553" s="193" t="s">
        <v>509</v>
      </c>
      <c r="B4553" s="210">
        <v>7</v>
      </c>
      <c r="C4553" s="191" t="str">
        <f>IF('IWP11'!E$453=0,"",'IWP11'!E$453)</f>
        <v>J. Billing Period Total</v>
      </c>
      <c r="D4553" s="211">
        <f>'IWP11'!G$453</f>
        <v>0</v>
      </c>
      <c r="E4553" s="211">
        <f>'IWP11'!H$453</f>
        <v>0</v>
      </c>
      <c r="F4553" s="211">
        <f>'IWP11'!I$453</f>
        <v>0</v>
      </c>
      <c r="G4553" s="191" t="str">
        <f>IF('IWP11'!J$453=0,"",'IWP11'!J$453)</f>
        <v/>
      </c>
      <c r="H4553" s="211">
        <f>'IWP11'!K$453</f>
        <v>0</v>
      </c>
      <c r="I4553" s="211">
        <f>'IWP11'!L$453</f>
        <v>0</v>
      </c>
      <c r="J4553" s="212">
        <f>'IWP11'!M$453</f>
        <v>0</v>
      </c>
      <c r="K4553" s="106"/>
      <c r="L4553" s="106"/>
      <c r="M4553" s="129"/>
    </row>
    <row r="4554" spans="1:13" s="146" customFormat="1">
      <c r="A4554" s="193" t="s">
        <v>509</v>
      </c>
      <c r="B4554" s="210">
        <v>7</v>
      </c>
      <c r="C4554" s="191" t="str">
        <f>IF('IWP11'!E$454=0,"",'IWP11'!E$454)</f>
        <v>D.</v>
      </c>
      <c r="D4554" s="211">
        <f>'IWP11'!G$454</f>
        <v>0</v>
      </c>
      <c r="E4554" s="211" t="str">
        <f>'IWP11'!H$454</f>
        <v>E.</v>
      </c>
      <c r="F4554" s="211" t="str">
        <f>'IWP11'!I$454</f>
        <v>F.</v>
      </c>
      <c r="G4554" s="191" t="str">
        <f>IF('IWP11'!J$454=0,"",'IWP11'!J$454)</f>
        <v>G.</v>
      </c>
      <c r="H4554" s="211">
        <f>'IWP11'!K$454</f>
        <v>0</v>
      </c>
      <c r="I4554" s="211" t="str">
        <f>'IWP11'!L$454</f>
        <v>H.</v>
      </c>
      <c r="J4554" s="212" t="str">
        <f>'IWP11'!M$454</f>
        <v>I.</v>
      </c>
      <c r="K4554" s="106"/>
      <c r="L4554" s="106"/>
      <c r="M4554" s="129"/>
    </row>
    <row r="4555" spans="1:13" s="146" customFormat="1">
      <c r="A4555" s="193" t="s">
        <v>509</v>
      </c>
      <c r="B4555" s="210">
        <v>7</v>
      </c>
      <c r="C4555" s="191" t="str">
        <f>IF('IWP11'!E$455=0,"",'IWP11'!E$455)</f>
        <v xml:space="preserve">Items/Services Related to Billing Period </v>
      </c>
      <c r="D4555" s="211">
        <f>'IWP11'!G$455</f>
        <v>0</v>
      </c>
      <c r="E4555" s="211" t="str">
        <f>'IWP11'!H$455</f>
        <v xml:space="preserve">Item/
Service Verified Amounts
</v>
      </c>
      <c r="F4555" s="211" t="str">
        <f>'IWP11'!I$455</f>
        <v>Amount Due to DADS (E. - D.)</v>
      </c>
      <c r="G4555" s="191" t="str">
        <f>IF('IWP11'!J$455=0,"",'IWP11'!J$455)</f>
        <v>Amount Reimbursed to 
Employee(s)/Employer</v>
      </c>
      <c r="H4555" s="211">
        <f>'IWP11'!K$455</f>
        <v>0</v>
      </c>
      <c r="I4555" s="211" t="str">
        <f>'IWP11'!L$455</f>
        <v>Amount Due to Employee(s) (G. - E.)</v>
      </c>
      <c r="J4555" s="212" t="str">
        <f>'IWP11'!M$455</f>
        <v>Amount Due to Employer (G. - E.)</v>
      </c>
      <c r="K4555" s="106"/>
      <c r="L4555" s="106"/>
      <c r="M4555" s="129"/>
    </row>
    <row r="4556" spans="1:13" s="146" customFormat="1">
      <c r="A4556" s="193" t="s">
        <v>509</v>
      </c>
      <c r="B4556" s="210">
        <v>7</v>
      </c>
      <c r="C4556" s="191" t="str">
        <f>IF('IWP11'!E$456=0,"",'IWP11'!E$456)</f>
        <v>Item/Service</v>
      </c>
      <c r="D4556" s="211" t="str">
        <f>'IWP11'!G$456</f>
        <v>Itemized Amount Paid by DADS</v>
      </c>
      <c r="E4556" s="211">
        <f>'IWP11'!H$456</f>
        <v>0</v>
      </c>
      <c r="F4556" s="211">
        <f>'IWP11'!I$456</f>
        <v>0</v>
      </c>
      <c r="G4556" s="191" t="str">
        <f>IF('IWP11'!J$456=0,"",'IWP11'!J$456)</f>
        <v/>
      </c>
      <c r="H4556" s="211">
        <f>'IWP11'!K$456</f>
        <v>0</v>
      </c>
      <c r="I4556" s="211">
        <f>'IWP11'!L$456</f>
        <v>0</v>
      </c>
      <c r="J4556" s="212">
        <f>'IWP11'!M$456</f>
        <v>0</v>
      </c>
      <c r="K4556" s="106"/>
      <c r="L4556" s="106"/>
      <c r="M4556" s="129"/>
    </row>
    <row r="4557" spans="1:13" s="146" customFormat="1">
      <c r="A4557" s="193" t="s">
        <v>509</v>
      </c>
      <c r="B4557" s="210">
        <v>7</v>
      </c>
      <c r="C4557" s="191" t="str">
        <f>IF('IWP11'!E$457=0,"",'IWP11'!E$457)</f>
        <v/>
      </c>
      <c r="D4557" s="211">
        <f>'IWP11'!G$457</f>
        <v>0</v>
      </c>
      <c r="E4557" s="211">
        <f>'IWP11'!H$457</f>
        <v>0</v>
      </c>
      <c r="F4557" s="211">
        <f>'IWP11'!I$457</f>
        <v>0</v>
      </c>
      <c r="G4557" s="191" t="str">
        <f>IF('IWP11'!J$457=0,"",'IWP11'!J$457)</f>
        <v/>
      </c>
      <c r="H4557" s="211">
        <f>'IWP11'!K$457</f>
        <v>0</v>
      </c>
      <c r="I4557" s="211">
        <f>'IWP11'!L$457</f>
        <v>0</v>
      </c>
      <c r="J4557" s="212">
        <f>'IWP11'!M$457</f>
        <v>0</v>
      </c>
      <c r="K4557" s="106"/>
      <c r="L4557" s="106"/>
      <c r="M4557" s="129"/>
    </row>
    <row r="4558" spans="1:13" s="146" customFormat="1">
      <c r="A4558" s="193" t="s">
        <v>509</v>
      </c>
      <c r="B4558" s="210">
        <v>7</v>
      </c>
      <c r="C4558" s="191" t="str">
        <f>IF('IWP11'!E$458=0,"",'IWP11'!E$458)</f>
        <v/>
      </c>
      <c r="D4558" s="211">
        <f>'IWP11'!G$458</f>
        <v>0</v>
      </c>
      <c r="E4558" s="211">
        <f>'IWP11'!H$458</f>
        <v>0</v>
      </c>
      <c r="F4558" s="211">
        <f>'IWP11'!I$458</f>
        <v>0</v>
      </c>
      <c r="G4558" s="191" t="str">
        <f>IF('IWP11'!J$458=0,"",'IWP11'!J$458)</f>
        <v/>
      </c>
      <c r="H4558" s="211">
        <f>'IWP11'!K$458</f>
        <v>0</v>
      </c>
      <c r="I4558" s="211">
        <f>'IWP11'!L$458</f>
        <v>0</v>
      </c>
      <c r="J4558" s="212">
        <f>'IWP11'!M$458</f>
        <v>0</v>
      </c>
      <c r="K4558" s="106"/>
      <c r="L4558" s="106"/>
      <c r="M4558" s="129"/>
    </row>
    <row r="4559" spans="1:13" s="146" customFormat="1">
      <c r="A4559" s="193" t="s">
        <v>509</v>
      </c>
      <c r="B4559" s="210">
        <v>7</v>
      </c>
      <c r="C4559" s="191" t="str">
        <f>IF('IWP11'!E$459=0,"",'IWP11'!E$459)</f>
        <v/>
      </c>
      <c r="D4559" s="211">
        <f>'IWP11'!G$459</f>
        <v>0</v>
      </c>
      <c r="E4559" s="211">
        <f>'IWP11'!H$459</f>
        <v>0</v>
      </c>
      <c r="F4559" s="211">
        <f>'IWP11'!I$459</f>
        <v>0</v>
      </c>
      <c r="G4559" s="191" t="str">
        <f>IF('IWP11'!J$459=0,"",'IWP11'!J$459)</f>
        <v/>
      </c>
      <c r="H4559" s="211">
        <f>'IWP11'!K$459</f>
        <v>0</v>
      </c>
      <c r="I4559" s="211">
        <f>'IWP11'!L$459</f>
        <v>0</v>
      </c>
      <c r="J4559" s="212">
        <f>'IWP11'!M$459</f>
        <v>0</v>
      </c>
      <c r="K4559" s="106"/>
      <c r="L4559" s="106"/>
      <c r="M4559" s="129"/>
    </row>
    <row r="4560" spans="1:13" s="146" customFormat="1">
      <c r="A4560" s="193" t="s">
        <v>509</v>
      </c>
      <c r="B4560" s="210">
        <v>7</v>
      </c>
      <c r="C4560" s="191" t="str">
        <f>IF('IWP11'!E$460=0,"",'IWP11'!E$460)</f>
        <v/>
      </c>
      <c r="D4560" s="211">
        <f>'IWP11'!G$460</f>
        <v>0</v>
      </c>
      <c r="E4560" s="211">
        <f>'IWP11'!H$460</f>
        <v>0</v>
      </c>
      <c r="F4560" s="211">
        <f>'IWP11'!I$460</f>
        <v>0</v>
      </c>
      <c r="G4560" s="191" t="str">
        <f>IF('IWP11'!J$460=0,"",'IWP11'!J$460)</f>
        <v/>
      </c>
      <c r="H4560" s="211">
        <f>'IWP11'!K$460</f>
        <v>0</v>
      </c>
      <c r="I4560" s="211">
        <f>'IWP11'!L$460</f>
        <v>0</v>
      </c>
      <c r="J4560" s="212">
        <f>'IWP11'!M$460</f>
        <v>0</v>
      </c>
      <c r="K4560" s="106"/>
      <c r="L4560" s="106"/>
      <c r="M4560" s="129"/>
    </row>
    <row r="4561" spans="1:13" s="146" customFormat="1">
      <c r="A4561" s="193" t="s">
        <v>509</v>
      </c>
      <c r="B4561" s="210">
        <v>8</v>
      </c>
      <c r="C4561" s="191" t="str">
        <f>IF('IWP11'!E$467=0,"",'IWP11'!E$467)</f>
        <v>Subtotal column D.</v>
      </c>
      <c r="D4561" s="211">
        <f>'IWP11'!G$467</f>
        <v>0</v>
      </c>
      <c r="E4561" s="211">
        <f>'IWP11'!H$467</f>
        <v>0</v>
      </c>
      <c r="F4561" s="211">
        <f>'IWP11'!I$467</f>
        <v>0</v>
      </c>
      <c r="G4561" s="191" t="str">
        <f>IF('IWP11'!J$467=0,"",'IWP11'!J$467)</f>
        <v/>
      </c>
      <c r="H4561" s="211">
        <f>'IWP11'!K$467</f>
        <v>0</v>
      </c>
      <c r="I4561" s="211">
        <f>'IWP11'!L$467</f>
        <v>0</v>
      </c>
      <c r="J4561" s="212">
        <f>'IWP11'!M$467</f>
        <v>0</v>
      </c>
      <c r="K4561" s="106"/>
      <c r="L4561" s="106"/>
      <c r="M4561" s="129"/>
    </row>
    <row r="4562" spans="1:13" s="146" customFormat="1">
      <c r="A4562" s="193" t="s">
        <v>509</v>
      </c>
      <c r="B4562" s="210">
        <v>8</v>
      </c>
      <c r="C4562" s="191" t="str">
        <f>IF('IWP11'!E$468=0,"",'IWP11'!E$468)</f>
        <v>Unverified/Undocumented (Subtotal D - C)</v>
      </c>
      <c r="D4562" s="211">
        <f>'IWP11'!G$468</f>
        <v>0</v>
      </c>
      <c r="E4562" s="211">
        <f>'IWP11'!H$468</f>
        <v>0</v>
      </c>
      <c r="F4562" s="211">
        <f>'IWP11'!I$468</f>
        <v>0</v>
      </c>
      <c r="G4562" s="191" t="str">
        <f>IF('IWP11'!J$468=0,"",'IWP11'!J$468)</f>
        <v/>
      </c>
      <c r="H4562" s="211">
        <f>'IWP11'!K$468</f>
        <v>0</v>
      </c>
      <c r="I4562" s="211">
        <f>'IWP11'!L$468</f>
        <v>0</v>
      </c>
      <c r="J4562" s="212">
        <f>'IWP11'!M$468</f>
        <v>0</v>
      </c>
      <c r="K4562" s="106"/>
      <c r="L4562" s="106"/>
      <c r="M4562" s="129"/>
    </row>
    <row r="4563" spans="1:13" s="146" customFormat="1">
      <c r="A4563" s="193" t="s">
        <v>509</v>
      </c>
      <c r="B4563" s="210">
        <v>8</v>
      </c>
      <c r="C4563" s="191" t="str">
        <f>IF('IWP11'!E$469=0,"",'IWP11'!E$469)</f>
        <v>J. Billing Period Total</v>
      </c>
      <c r="D4563" s="211">
        <f>'IWP11'!G$469</f>
        <v>0</v>
      </c>
      <c r="E4563" s="211">
        <f>'IWP11'!H$469</f>
        <v>0</v>
      </c>
      <c r="F4563" s="211">
        <f>'IWP11'!I$469</f>
        <v>0</v>
      </c>
      <c r="G4563" s="191" t="str">
        <f>IF('IWP11'!J$469=0,"",'IWP11'!J$469)</f>
        <v/>
      </c>
      <c r="H4563" s="211">
        <f>'IWP11'!K$469</f>
        <v>0</v>
      </c>
      <c r="I4563" s="211">
        <f>'IWP11'!L$469</f>
        <v>0</v>
      </c>
      <c r="J4563" s="212">
        <f>'IWP11'!M$469</f>
        <v>0</v>
      </c>
      <c r="K4563" s="106"/>
      <c r="L4563" s="106"/>
      <c r="M4563" s="129"/>
    </row>
    <row r="4564" spans="1:13" s="146" customFormat="1">
      <c r="A4564" s="193" t="s">
        <v>509</v>
      </c>
      <c r="B4564" s="210">
        <v>8</v>
      </c>
      <c r="C4564" s="191" t="str">
        <f>IF('IWP11'!E$470=0,"",'IWP11'!E$470)</f>
        <v>D.</v>
      </c>
      <c r="D4564" s="211">
        <f>'IWP11'!G$470</f>
        <v>0</v>
      </c>
      <c r="E4564" s="211" t="str">
        <f>'IWP11'!H$470</f>
        <v>E.</v>
      </c>
      <c r="F4564" s="211" t="str">
        <f>'IWP11'!I$470</f>
        <v>F.</v>
      </c>
      <c r="G4564" s="191" t="str">
        <f>IF('IWP11'!J$470=0,"",'IWP11'!J$470)</f>
        <v>G.</v>
      </c>
      <c r="H4564" s="211">
        <f>'IWP11'!K$470</f>
        <v>0</v>
      </c>
      <c r="I4564" s="211" t="str">
        <f>'IWP11'!L$470</f>
        <v>H.</v>
      </c>
      <c r="J4564" s="212" t="str">
        <f>'IWP11'!M$470</f>
        <v>I.</v>
      </c>
      <c r="K4564" s="106"/>
      <c r="L4564" s="106"/>
      <c r="M4564" s="129"/>
    </row>
    <row r="4565" spans="1:13" s="146" customFormat="1">
      <c r="A4565" s="193" t="s">
        <v>509</v>
      </c>
      <c r="B4565" s="210">
        <v>8</v>
      </c>
      <c r="C4565" s="191" t="str">
        <f>IF('IWP11'!E$471=0,"",'IWP11'!E$471)</f>
        <v xml:space="preserve">Items/Services Related to Billing Period </v>
      </c>
      <c r="D4565" s="211">
        <f>'IWP11'!G$471</f>
        <v>0</v>
      </c>
      <c r="E4565" s="211" t="str">
        <f>'IWP11'!H$471</f>
        <v xml:space="preserve">Item/
Service Verified Amounts
</v>
      </c>
      <c r="F4565" s="211" t="str">
        <f>'IWP11'!I$471</f>
        <v>Amount Due to DADS (E. - D.)</v>
      </c>
      <c r="G4565" s="191" t="str">
        <f>IF('IWP11'!J$471=0,"",'IWP11'!J$471)</f>
        <v>Amount Reimbursed to 
Employee(s)/Employer</v>
      </c>
      <c r="H4565" s="211">
        <f>'IWP11'!K$471</f>
        <v>0</v>
      </c>
      <c r="I4565" s="211" t="str">
        <f>'IWP11'!L$471</f>
        <v>Amount Due to Employee(s) (G. - E.)</v>
      </c>
      <c r="J4565" s="212" t="str">
        <f>'IWP11'!M$471</f>
        <v>Amount Due to Employer (G. - E.)</v>
      </c>
      <c r="K4565" s="106"/>
      <c r="L4565" s="106"/>
      <c r="M4565" s="129"/>
    </row>
    <row r="4566" spans="1:13" s="146" customFormat="1">
      <c r="A4566" s="193" t="s">
        <v>509</v>
      </c>
      <c r="B4566" s="210">
        <v>8</v>
      </c>
      <c r="C4566" s="191" t="str">
        <f>IF('IWP11'!E$472=0,"",'IWP11'!E$472)</f>
        <v>Item/Service</v>
      </c>
      <c r="D4566" s="211" t="str">
        <f>'IWP11'!G$472</f>
        <v>Itemized Amount Paid by DADS</v>
      </c>
      <c r="E4566" s="211">
        <f>'IWP11'!H$472</f>
        <v>0</v>
      </c>
      <c r="F4566" s="211">
        <f>'IWP11'!I$472</f>
        <v>0</v>
      </c>
      <c r="G4566" s="191" t="str">
        <f>IF('IWP11'!J$472=0,"",'IWP11'!J$472)</f>
        <v/>
      </c>
      <c r="H4566" s="211">
        <f>'IWP11'!K$472</f>
        <v>0</v>
      </c>
      <c r="I4566" s="211">
        <f>'IWP11'!L$472</f>
        <v>0</v>
      </c>
      <c r="J4566" s="212">
        <f>'IWP11'!M$472</f>
        <v>0</v>
      </c>
      <c r="K4566" s="106"/>
      <c r="L4566" s="106"/>
      <c r="M4566" s="129"/>
    </row>
    <row r="4567" spans="1:13" s="146" customFormat="1">
      <c r="A4567" s="193" t="s">
        <v>509</v>
      </c>
      <c r="B4567" s="210">
        <v>8</v>
      </c>
      <c r="C4567" s="191" t="str">
        <f>IF('IWP11'!E$473=0,"",'IWP11'!E$473)</f>
        <v/>
      </c>
      <c r="D4567" s="211">
        <f>'IWP11'!G$473</f>
        <v>0</v>
      </c>
      <c r="E4567" s="211">
        <f>'IWP11'!H$473</f>
        <v>0</v>
      </c>
      <c r="F4567" s="211">
        <f>'IWP11'!I$473</f>
        <v>0</v>
      </c>
      <c r="G4567" s="191" t="str">
        <f>IF('IWP11'!J$473=0,"",'IWP11'!J$473)</f>
        <v/>
      </c>
      <c r="H4567" s="211">
        <f>'IWP11'!K$473</f>
        <v>0</v>
      </c>
      <c r="I4567" s="211">
        <f>'IWP11'!L$473</f>
        <v>0</v>
      </c>
      <c r="J4567" s="212">
        <f>'IWP11'!M$473</f>
        <v>0</v>
      </c>
      <c r="K4567" s="106"/>
      <c r="L4567" s="106"/>
      <c r="M4567" s="129"/>
    </row>
    <row r="4568" spans="1:13" s="146" customFormat="1">
      <c r="A4568" s="193" t="s">
        <v>509</v>
      </c>
      <c r="B4568" s="210">
        <v>8</v>
      </c>
      <c r="C4568" s="191" t="str">
        <f>IF('IWP11'!E$474=0,"",'IWP11'!E$474)</f>
        <v/>
      </c>
      <c r="D4568" s="211">
        <f>'IWP11'!G$474</f>
        <v>0</v>
      </c>
      <c r="E4568" s="211">
        <f>'IWP11'!H$474</f>
        <v>0</v>
      </c>
      <c r="F4568" s="211">
        <f>'IWP11'!I$474</f>
        <v>0</v>
      </c>
      <c r="G4568" s="191" t="str">
        <f>IF('IWP11'!J$474=0,"",'IWP11'!J$474)</f>
        <v/>
      </c>
      <c r="H4568" s="211">
        <f>'IWP11'!K$474</f>
        <v>0</v>
      </c>
      <c r="I4568" s="211">
        <f>'IWP11'!L$474</f>
        <v>0</v>
      </c>
      <c r="J4568" s="212">
        <f>'IWP11'!M$474</f>
        <v>0</v>
      </c>
      <c r="K4568" s="106"/>
      <c r="L4568" s="106"/>
      <c r="M4568" s="129"/>
    </row>
    <row r="4569" spans="1:13" s="146" customFormat="1">
      <c r="A4569" s="193" t="s">
        <v>509</v>
      </c>
      <c r="B4569" s="210">
        <v>8</v>
      </c>
      <c r="C4569" s="191" t="str">
        <f>IF('IWP11'!E$475=0,"",'IWP11'!E$475)</f>
        <v/>
      </c>
      <c r="D4569" s="211">
        <f>'IWP11'!G$475</f>
        <v>0</v>
      </c>
      <c r="E4569" s="211">
        <f>'IWP11'!H$475</f>
        <v>0</v>
      </c>
      <c r="F4569" s="211">
        <f>'IWP11'!I$475</f>
        <v>0</v>
      </c>
      <c r="G4569" s="191" t="str">
        <f>IF('IWP11'!J$475=0,"",'IWP11'!J$475)</f>
        <v/>
      </c>
      <c r="H4569" s="211">
        <f>'IWP11'!K$475</f>
        <v>0</v>
      </c>
      <c r="I4569" s="211">
        <f>'IWP11'!L$475</f>
        <v>0</v>
      </c>
      <c r="J4569" s="212">
        <f>'IWP11'!M$475</f>
        <v>0</v>
      </c>
      <c r="K4569" s="106"/>
      <c r="L4569" s="106"/>
      <c r="M4569" s="129"/>
    </row>
    <row r="4570" spans="1:13" s="146" customFormat="1">
      <c r="A4570" s="193" t="s">
        <v>509</v>
      </c>
      <c r="B4570" s="210">
        <v>8</v>
      </c>
      <c r="C4570" s="191" t="str">
        <f>IF('IWP11'!E$476=0,"",'IWP11'!E$476)</f>
        <v/>
      </c>
      <c r="D4570" s="211">
        <f>'IWP11'!G$476</f>
        <v>0</v>
      </c>
      <c r="E4570" s="211">
        <f>'IWP11'!H$476</f>
        <v>0</v>
      </c>
      <c r="F4570" s="211">
        <f>'IWP11'!I$476</f>
        <v>0</v>
      </c>
      <c r="G4570" s="191" t="str">
        <f>IF('IWP11'!J$476=0,"",'IWP11'!J$476)</f>
        <v/>
      </c>
      <c r="H4570" s="211">
        <f>'IWP11'!K$476</f>
        <v>0</v>
      </c>
      <c r="I4570" s="211">
        <f>'IWP11'!L$476</f>
        <v>0</v>
      </c>
      <c r="J4570" s="212">
        <f>'IWP11'!M$476</f>
        <v>0</v>
      </c>
      <c r="K4570" s="106"/>
      <c r="L4570" s="106"/>
      <c r="M4570" s="129"/>
    </row>
    <row r="4571" spans="1:13" s="146" customFormat="1">
      <c r="A4571" s="193" t="s">
        <v>509</v>
      </c>
      <c r="B4571" s="210">
        <v>9</v>
      </c>
      <c r="C4571" s="191" t="str">
        <f>IF('IWP11'!E$483=0,"",'IWP11'!E$483)</f>
        <v>Subtotal column D.</v>
      </c>
      <c r="D4571" s="211">
        <f>'IWP11'!G$483</f>
        <v>0</v>
      </c>
      <c r="E4571" s="211">
        <f>'IWP11'!H$483</f>
        <v>0</v>
      </c>
      <c r="F4571" s="211">
        <f>'IWP11'!I$483</f>
        <v>0</v>
      </c>
      <c r="G4571" s="191" t="str">
        <f>IF('IWP11'!J$483=0,"",'IWP11'!J$483)</f>
        <v/>
      </c>
      <c r="H4571" s="211">
        <f>'IWP11'!K$483</f>
        <v>0</v>
      </c>
      <c r="I4571" s="211">
        <f>'IWP11'!L$483</f>
        <v>0</v>
      </c>
      <c r="J4571" s="212">
        <f>'IWP11'!M$483</f>
        <v>0</v>
      </c>
      <c r="K4571" s="106"/>
      <c r="L4571" s="106"/>
      <c r="M4571" s="129"/>
    </row>
    <row r="4572" spans="1:13" s="146" customFormat="1">
      <c r="A4572" s="193" t="s">
        <v>509</v>
      </c>
      <c r="B4572" s="210">
        <v>9</v>
      </c>
      <c r="C4572" s="191" t="str">
        <f>IF('IWP11'!E$484=0,"",'IWP11'!E$484)</f>
        <v>Unverified/Undocumented (Subtotal D - C)</v>
      </c>
      <c r="D4572" s="211">
        <f>'IWP11'!G$484</f>
        <v>0</v>
      </c>
      <c r="E4572" s="211">
        <f>'IWP11'!H$484</f>
        <v>0</v>
      </c>
      <c r="F4572" s="211">
        <f>'IWP11'!I$484</f>
        <v>0</v>
      </c>
      <c r="G4572" s="191" t="str">
        <f>IF('IWP11'!J$484=0,"",'IWP11'!J$484)</f>
        <v/>
      </c>
      <c r="H4572" s="211">
        <f>'IWP11'!K$484</f>
        <v>0</v>
      </c>
      <c r="I4572" s="211">
        <f>'IWP11'!L$484</f>
        <v>0</v>
      </c>
      <c r="J4572" s="212">
        <f>'IWP11'!M$484</f>
        <v>0</v>
      </c>
      <c r="K4572" s="106"/>
      <c r="L4572" s="106"/>
      <c r="M4572" s="129"/>
    </row>
    <row r="4573" spans="1:13" s="146" customFormat="1">
      <c r="A4573" s="193" t="s">
        <v>509</v>
      </c>
      <c r="B4573" s="210">
        <v>9</v>
      </c>
      <c r="C4573" s="191" t="str">
        <f>IF('IWP11'!E$485=0,"",'IWP11'!E$485)</f>
        <v>J. Billing Period Total</v>
      </c>
      <c r="D4573" s="211">
        <f>'IWP11'!G$485</f>
        <v>0</v>
      </c>
      <c r="E4573" s="211">
        <f>'IWP11'!H$485</f>
        <v>0</v>
      </c>
      <c r="F4573" s="211">
        <f>'IWP11'!I$485</f>
        <v>0</v>
      </c>
      <c r="G4573" s="191" t="str">
        <f>IF('IWP11'!J$485=0,"",'IWP11'!J$485)</f>
        <v/>
      </c>
      <c r="H4573" s="211">
        <f>'IWP11'!K$485</f>
        <v>0</v>
      </c>
      <c r="I4573" s="211">
        <f>'IWP11'!L$485</f>
        <v>0</v>
      </c>
      <c r="J4573" s="212">
        <f>'IWP11'!M$485</f>
        <v>0</v>
      </c>
      <c r="K4573" s="106"/>
      <c r="L4573" s="106"/>
      <c r="M4573" s="129"/>
    </row>
    <row r="4574" spans="1:13" s="146" customFormat="1">
      <c r="A4574" s="193" t="s">
        <v>509</v>
      </c>
      <c r="B4574" s="210">
        <v>9</v>
      </c>
      <c r="C4574" s="191" t="str">
        <f>IF('IWP11'!E$486=0,"",'IWP11'!E$486)</f>
        <v>D.</v>
      </c>
      <c r="D4574" s="211">
        <f>'IWP11'!G$486</f>
        <v>0</v>
      </c>
      <c r="E4574" s="211" t="str">
        <f>'IWP11'!H$486</f>
        <v>E.</v>
      </c>
      <c r="F4574" s="211" t="str">
        <f>'IWP11'!I$486</f>
        <v>F.</v>
      </c>
      <c r="G4574" s="191" t="str">
        <f>IF('IWP11'!J$486=0,"",'IWP11'!J$486)</f>
        <v>G.</v>
      </c>
      <c r="H4574" s="211">
        <f>'IWP11'!K$486</f>
        <v>0</v>
      </c>
      <c r="I4574" s="211" t="str">
        <f>'IWP11'!L$486</f>
        <v>H.</v>
      </c>
      <c r="J4574" s="212" t="str">
        <f>'IWP11'!M$486</f>
        <v>I.</v>
      </c>
      <c r="K4574" s="106"/>
      <c r="L4574" s="106"/>
      <c r="M4574" s="129"/>
    </row>
    <row r="4575" spans="1:13" s="146" customFormat="1">
      <c r="A4575" s="193" t="s">
        <v>509</v>
      </c>
      <c r="B4575" s="210">
        <v>9</v>
      </c>
      <c r="C4575" s="191" t="str">
        <f>IF('IWP11'!E$487=0,"",'IWP11'!E$487)</f>
        <v xml:space="preserve">Items/Services Related to Billing Period </v>
      </c>
      <c r="D4575" s="211">
        <f>'IWP11'!G$487</f>
        <v>0</v>
      </c>
      <c r="E4575" s="211" t="str">
        <f>'IWP11'!H$487</f>
        <v xml:space="preserve">Item/
Service Verified Amounts
</v>
      </c>
      <c r="F4575" s="211" t="str">
        <f>'IWP11'!I$487</f>
        <v>Amount Due to DADS (E. - D.)</v>
      </c>
      <c r="G4575" s="191" t="str">
        <f>IF('IWP11'!J$487=0,"",'IWP11'!J$487)</f>
        <v>Amount Reimbursed to 
Employee(s)/Employer</v>
      </c>
      <c r="H4575" s="211">
        <f>'IWP11'!K$487</f>
        <v>0</v>
      </c>
      <c r="I4575" s="211" t="str">
        <f>'IWP11'!L$487</f>
        <v>Amount Due to Employee(s) (G. - E.)</v>
      </c>
      <c r="J4575" s="212" t="str">
        <f>'IWP11'!M$487</f>
        <v>Amount Due to Employer (G. - E.)</v>
      </c>
      <c r="K4575" s="106"/>
      <c r="L4575" s="106"/>
      <c r="M4575" s="129"/>
    </row>
    <row r="4576" spans="1:13" s="146" customFormat="1">
      <c r="A4576" s="193" t="s">
        <v>509</v>
      </c>
      <c r="B4576" s="210">
        <v>9</v>
      </c>
      <c r="C4576" s="191" t="str">
        <f>IF('IWP11'!E$488=0,"",'IWP11'!E$488)</f>
        <v>Item/Service</v>
      </c>
      <c r="D4576" s="211" t="str">
        <f>'IWP11'!G$488</f>
        <v>Itemized Amount Paid by DADS</v>
      </c>
      <c r="E4576" s="211">
        <f>'IWP11'!H$488</f>
        <v>0</v>
      </c>
      <c r="F4576" s="211">
        <f>'IWP11'!I$488</f>
        <v>0</v>
      </c>
      <c r="G4576" s="191" t="str">
        <f>IF('IWP11'!J$488=0,"",'IWP11'!J$488)</f>
        <v/>
      </c>
      <c r="H4576" s="211">
        <f>'IWP11'!K$488</f>
        <v>0</v>
      </c>
      <c r="I4576" s="211">
        <f>'IWP11'!L$488</f>
        <v>0</v>
      </c>
      <c r="J4576" s="212">
        <f>'IWP11'!M$488</f>
        <v>0</v>
      </c>
      <c r="K4576" s="106"/>
      <c r="L4576" s="106"/>
      <c r="M4576" s="129"/>
    </row>
    <row r="4577" spans="1:13" s="146" customFormat="1">
      <c r="A4577" s="193" t="s">
        <v>509</v>
      </c>
      <c r="B4577" s="210">
        <v>9</v>
      </c>
      <c r="C4577" s="191" t="str">
        <f>IF('IWP11'!E$489=0,"",'IWP11'!E$489)</f>
        <v/>
      </c>
      <c r="D4577" s="211">
        <f>'IWP11'!G$489</f>
        <v>0</v>
      </c>
      <c r="E4577" s="211">
        <f>'IWP11'!H$489</f>
        <v>0</v>
      </c>
      <c r="F4577" s="211">
        <f>'IWP11'!I$489</f>
        <v>0</v>
      </c>
      <c r="G4577" s="191" t="str">
        <f>IF('IWP11'!J$489=0,"",'IWP11'!J$489)</f>
        <v/>
      </c>
      <c r="H4577" s="211">
        <f>'IWP11'!K$489</f>
        <v>0</v>
      </c>
      <c r="I4577" s="211">
        <f>'IWP11'!L$489</f>
        <v>0</v>
      </c>
      <c r="J4577" s="212">
        <f>'IWP11'!M$489</f>
        <v>0</v>
      </c>
      <c r="K4577" s="106"/>
      <c r="L4577" s="106"/>
      <c r="M4577" s="129"/>
    </row>
    <row r="4578" spans="1:13" s="146" customFormat="1">
      <c r="A4578" s="193" t="s">
        <v>509</v>
      </c>
      <c r="B4578" s="210">
        <v>9</v>
      </c>
      <c r="C4578" s="191" t="str">
        <f>IF('IWP11'!E$490=0,"",'IWP11'!E$490)</f>
        <v/>
      </c>
      <c r="D4578" s="211">
        <f>'IWP11'!G$490</f>
        <v>0</v>
      </c>
      <c r="E4578" s="211">
        <f>'IWP11'!H$490</f>
        <v>0</v>
      </c>
      <c r="F4578" s="211">
        <f>'IWP11'!I$490</f>
        <v>0</v>
      </c>
      <c r="G4578" s="191" t="str">
        <f>IF('IWP11'!J$490=0,"",'IWP11'!J$490)</f>
        <v/>
      </c>
      <c r="H4578" s="211">
        <f>'IWP11'!K$490</f>
        <v>0</v>
      </c>
      <c r="I4578" s="211">
        <f>'IWP11'!L$490</f>
        <v>0</v>
      </c>
      <c r="J4578" s="212">
        <f>'IWP11'!M$490</f>
        <v>0</v>
      </c>
      <c r="K4578" s="106"/>
      <c r="L4578" s="106"/>
      <c r="M4578" s="129"/>
    </row>
    <row r="4579" spans="1:13" s="146" customFormat="1">
      <c r="A4579" s="193" t="s">
        <v>509</v>
      </c>
      <c r="B4579" s="210">
        <v>9</v>
      </c>
      <c r="C4579" s="191" t="str">
        <f>IF('IWP11'!E$491=0,"",'IWP11'!E$491)</f>
        <v/>
      </c>
      <c r="D4579" s="211">
        <f>'IWP11'!G$491</f>
        <v>0</v>
      </c>
      <c r="E4579" s="211">
        <f>'IWP11'!H$491</f>
        <v>0</v>
      </c>
      <c r="F4579" s="211">
        <f>'IWP11'!I$491</f>
        <v>0</v>
      </c>
      <c r="G4579" s="191" t="str">
        <f>IF('IWP11'!J$491=0,"",'IWP11'!J$491)</f>
        <v/>
      </c>
      <c r="H4579" s="211">
        <f>'IWP11'!K$491</f>
        <v>0</v>
      </c>
      <c r="I4579" s="211">
        <f>'IWP11'!L$491</f>
        <v>0</v>
      </c>
      <c r="J4579" s="212">
        <f>'IWP11'!M$491</f>
        <v>0</v>
      </c>
      <c r="K4579" s="106"/>
      <c r="L4579" s="106"/>
      <c r="M4579" s="129"/>
    </row>
    <row r="4580" spans="1:13" s="146" customFormat="1">
      <c r="A4580" s="193" t="s">
        <v>509</v>
      </c>
      <c r="B4580" s="210">
        <v>9</v>
      </c>
      <c r="C4580" s="191" t="str">
        <f>IF('IWP11'!E$492=0,"",'IWP11'!E$492)</f>
        <v/>
      </c>
      <c r="D4580" s="211">
        <f>'IWP11'!G$492</f>
        <v>0</v>
      </c>
      <c r="E4580" s="211">
        <f>'IWP11'!H$492</f>
        <v>0</v>
      </c>
      <c r="F4580" s="211">
        <f>'IWP11'!I$492</f>
        <v>0</v>
      </c>
      <c r="G4580" s="191" t="str">
        <f>IF('IWP11'!J$492=0,"",'IWP11'!J$492)</f>
        <v/>
      </c>
      <c r="H4580" s="211">
        <f>'IWP11'!K$492</f>
        <v>0</v>
      </c>
      <c r="I4580" s="211">
        <f>'IWP11'!L$492</f>
        <v>0</v>
      </c>
      <c r="J4580" s="212">
        <f>'IWP11'!M$492</f>
        <v>0</v>
      </c>
      <c r="K4580" s="106"/>
      <c r="L4580" s="106"/>
      <c r="M4580" s="129"/>
    </row>
    <row r="4581" spans="1:13" s="146" customFormat="1">
      <c r="A4581" s="193" t="s">
        <v>509</v>
      </c>
      <c r="B4581" s="210">
        <v>10</v>
      </c>
      <c r="C4581" s="191" t="str">
        <f>IF('IWP11'!E$499=0,"",'IWP11'!E$499)</f>
        <v>Subtotal column D.</v>
      </c>
      <c r="D4581" s="211">
        <f>'IWP11'!G$499</f>
        <v>0</v>
      </c>
      <c r="E4581" s="211">
        <f>'IWP11'!H$499</f>
        <v>0</v>
      </c>
      <c r="F4581" s="211">
        <f>'IWP11'!I$499</f>
        <v>0</v>
      </c>
      <c r="G4581" s="191" t="str">
        <f>IF('IWP11'!J$499=0,"",'IWP11'!J$499)</f>
        <v/>
      </c>
      <c r="H4581" s="211">
        <f>'IWP11'!K$499</f>
        <v>0</v>
      </c>
      <c r="I4581" s="211">
        <f>'IWP11'!L$499</f>
        <v>0</v>
      </c>
      <c r="J4581" s="212">
        <f>'IWP11'!M$499</f>
        <v>0</v>
      </c>
      <c r="K4581" s="106"/>
      <c r="L4581" s="106"/>
      <c r="M4581" s="129"/>
    </row>
    <row r="4582" spans="1:13" s="146" customFormat="1">
      <c r="A4582" s="193" t="s">
        <v>509</v>
      </c>
      <c r="B4582" s="210">
        <v>10</v>
      </c>
      <c r="C4582" s="191" t="str">
        <f>IF('IWP11'!E$500=0,"",'IWP11'!E$500)</f>
        <v>Unverified/Undocumented (Subtotal D - C)</v>
      </c>
      <c r="D4582" s="211">
        <f>'IWP11'!G$500</f>
        <v>0</v>
      </c>
      <c r="E4582" s="211">
        <f>'IWP11'!H$500</f>
        <v>0</v>
      </c>
      <c r="F4582" s="211">
        <f>'IWP11'!I$500</f>
        <v>0</v>
      </c>
      <c r="G4582" s="191" t="str">
        <f>IF('IWP11'!J$500=0,"",'IWP11'!J$500)</f>
        <v/>
      </c>
      <c r="H4582" s="211">
        <f>'IWP11'!K$500</f>
        <v>0</v>
      </c>
      <c r="I4582" s="211">
        <f>'IWP11'!L$500</f>
        <v>0</v>
      </c>
      <c r="J4582" s="212">
        <f>'IWP11'!M$500</f>
        <v>0</v>
      </c>
      <c r="K4582" s="106"/>
      <c r="L4582" s="106"/>
      <c r="M4582" s="129"/>
    </row>
    <row r="4583" spans="1:13" s="146" customFormat="1">
      <c r="A4583" s="193" t="s">
        <v>509</v>
      </c>
      <c r="B4583" s="210">
        <v>10</v>
      </c>
      <c r="C4583" s="191" t="str">
        <f>IF('IWP11'!E$501=0,"",'IWP11'!E$501)</f>
        <v>J. Billing Period Total</v>
      </c>
      <c r="D4583" s="211">
        <f>'IWP11'!G$501</f>
        <v>0</v>
      </c>
      <c r="E4583" s="211">
        <f>'IWP11'!H$501</f>
        <v>0</v>
      </c>
      <c r="F4583" s="211">
        <f>'IWP11'!I$501</f>
        <v>0</v>
      </c>
      <c r="G4583" s="191" t="str">
        <f>IF('IWP11'!J$501=0,"",'IWP11'!J$501)</f>
        <v/>
      </c>
      <c r="H4583" s="211">
        <f>'IWP11'!K$501</f>
        <v>0</v>
      </c>
      <c r="I4583" s="211">
        <f>'IWP11'!L$501</f>
        <v>0</v>
      </c>
      <c r="J4583" s="212">
        <f>'IWP11'!M$501</f>
        <v>0</v>
      </c>
      <c r="K4583" s="106"/>
      <c r="L4583" s="106"/>
      <c r="M4583" s="129"/>
    </row>
    <row r="4584" spans="1:13" s="146" customFormat="1">
      <c r="A4584" s="193" t="s">
        <v>509</v>
      </c>
      <c r="B4584" s="210">
        <v>10</v>
      </c>
      <c r="C4584" s="191" t="str">
        <f>IF('IWP11'!E$502=0,"",'IWP11'!E$502)</f>
        <v>D.</v>
      </c>
      <c r="D4584" s="211">
        <f>'IWP11'!G$502</f>
        <v>0</v>
      </c>
      <c r="E4584" s="211" t="str">
        <f>'IWP11'!H$502</f>
        <v>E.</v>
      </c>
      <c r="F4584" s="211" t="str">
        <f>'IWP11'!I$502</f>
        <v>F.</v>
      </c>
      <c r="G4584" s="191" t="str">
        <f>IF('IWP11'!J$502=0,"",'IWP11'!J$502)</f>
        <v>G.</v>
      </c>
      <c r="H4584" s="211">
        <f>'IWP11'!K$502</f>
        <v>0</v>
      </c>
      <c r="I4584" s="211" t="str">
        <f>'IWP11'!L$502</f>
        <v>H.</v>
      </c>
      <c r="J4584" s="212" t="str">
        <f>'IWP11'!M$502</f>
        <v>I.</v>
      </c>
      <c r="K4584" s="106"/>
      <c r="L4584" s="106"/>
      <c r="M4584" s="129"/>
    </row>
    <row r="4585" spans="1:13" s="146" customFormat="1">
      <c r="A4585" s="193" t="s">
        <v>509</v>
      </c>
      <c r="B4585" s="210">
        <v>10</v>
      </c>
      <c r="C4585" s="191" t="str">
        <f>IF('IWP11'!E$503=0,"",'IWP11'!E$503)</f>
        <v xml:space="preserve">Items/Services Related to Billing Period </v>
      </c>
      <c r="D4585" s="211">
        <f>'IWP11'!G$503</f>
        <v>0</v>
      </c>
      <c r="E4585" s="211" t="str">
        <f>'IWP11'!H$503</f>
        <v xml:space="preserve">Item/
Service Verified Amounts
</v>
      </c>
      <c r="F4585" s="211" t="str">
        <f>'IWP11'!I$503</f>
        <v>Amount Due to DADS (E. - D.)</v>
      </c>
      <c r="G4585" s="191" t="str">
        <f>IF('IWP11'!J$503=0,"",'IWP11'!J$503)</f>
        <v>Amount Reimbursed to 
Employee(s)/Employer</v>
      </c>
      <c r="H4585" s="211">
        <f>'IWP11'!K$503</f>
        <v>0</v>
      </c>
      <c r="I4585" s="211" t="str">
        <f>'IWP11'!L$503</f>
        <v>Amount Due to Employee(s) (G. - E.)</v>
      </c>
      <c r="J4585" s="212" t="str">
        <f>'IWP11'!M$503</f>
        <v>Amount Due to Employer (G. - E.)</v>
      </c>
      <c r="K4585" s="106"/>
      <c r="L4585" s="106"/>
      <c r="M4585" s="129"/>
    </row>
    <row r="4586" spans="1:13" s="146" customFormat="1">
      <c r="A4586" s="193" t="s">
        <v>509</v>
      </c>
      <c r="B4586" s="210">
        <v>10</v>
      </c>
      <c r="C4586" s="191" t="str">
        <f>IF('IWP11'!E$504=0,"",'IWP11'!E$504)</f>
        <v>Item/Service</v>
      </c>
      <c r="D4586" s="211" t="str">
        <f>'IWP11'!G$504</f>
        <v>Itemized Amount Paid by DADS</v>
      </c>
      <c r="E4586" s="211">
        <f>'IWP11'!H$504</f>
        <v>0</v>
      </c>
      <c r="F4586" s="211">
        <f>'IWP11'!I$504</f>
        <v>0</v>
      </c>
      <c r="G4586" s="191" t="str">
        <f>IF('IWP11'!J$504=0,"",'IWP11'!J$504)</f>
        <v/>
      </c>
      <c r="H4586" s="211">
        <f>'IWP11'!K$504</f>
        <v>0</v>
      </c>
      <c r="I4586" s="211">
        <f>'IWP11'!L$504</f>
        <v>0</v>
      </c>
      <c r="J4586" s="212">
        <f>'IWP11'!M$504</f>
        <v>0</v>
      </c>
      <c r="K4586" s="106"/>
      <c r="L4586" s="106"/>
      <c r="M4586" s="129"/>
    </row>
    <row r="4587" spans="1:13" s="146" customFormat="1">
      <c r="A4587" s="193" t="s">
        <v>509</v>
      </c>
      <c r="B4587" s="210">
        <v>10</v>
      </c>
      <c r="C4587" s="191" t="str">
        <f>IF('IWP11'!E$505=0,"",'IWP11'!E$505)</f>
        <v/>
      </c>
      <c r="D4587" s="211">
        <f>'IWP11'!G$505</f>
        <v>0</v>
      </c>
      <c r="E4587" s="211">
        <f>'IWP11'!H$505</f>
        <v>0</v>
      </c>
      <c r="F4587" s="211">
        <f>'IWP11'!I$505</f>
        <v>0</v>
      </c>
      <c r="G4587" s="191" t="str">
        <f>IF('IWP11'!J$505=0,"",'IWP11'!J$505)</f>
        <v/>
      </c>
      <c r="H4587" s="211">
        <f>'IWP11'!K$505</f>
        <v>0</v>
      </c>
      <c r="I4587" s="211">
        <f>'IWP11'!L$505</f>
        <v>0</v>
      </c>
      <c r="J4587" s="212">
        <f>'IWP11'!M$505</f>
        <v>0</v>
      </c>
      <c r="K4587" s="106"/>
      <c r="L4587" s="106"/>
      <c r="M4587" s="129"/>
    </row>
    <row r="4588" spans="1:13" s="146" customFormat="1">
      <c r="A4588" s="193" t="s">
        <v>509</v>
      </c>
      <c r="B4588" s="210">
        <v>10</v>
      </c>
      <c r="C4588" s="191" t="str">
        <f>IF('IWP11'!E$506=0,"",'IWP11'!E$506)</f>
        <v/>
      </c>
      <c r="D4588" s="211">
        <f>'IWP11'!G$506</f>
        <v>0</v>
      </c>
      <c r="E4588" s="211">
        <f>'IWP11'!H$506</f>
        <v>0</v>
      </c>
      <c r="F4588" s="211">
        <f>'IWP11'!I$506</f>
        <v>0</v>
      </c>
      <c r="G4588" s="191" t="str">
        <f>IF('IWP11'!J$506=0,"",'IWP11'!J$506)</f>
        <v/>
      </c>
      <c r="H4588" s="211">
        <f>'IWP11'!K$506</f>
        <v>0</v>
      </c>
      <c r="I4588" s="211">
        <f>'IWP11'!L$506</f>
        <v>0</v>
      </c>
      <c r="J4588" s="212">
        <f>'IWP11'!M$506</f>
        <v>0</v>
      </c>
      <c r="K4588" s="106"/>
      <c r="L4588" s="106"/>
      <c r="M4588" s="129"/>
    </row>
    <row r="4589" spans="1:13" s="146" customFormat="1">
      <c r="A4589" s="193" t="s">
        <v>509</v>
      </c>
      <c r="B4589" s="210">
        <v>10</v>
      </c>
      <c r="C4589" s="191" t="str">
        <f>IF('IWP11'!E$507=0,"",'IWP11'!E$507)</f>
        <v/>
      </c>
      <c r="D4589" s="211">
        <f>'IWP11'!G$507</f>
        <v>0</v>
      </c>
      <c r="E4589" s="211">
        <f>'IWP11'!H$507</f>
        <v>0</v>
      </c>
      <c r="F4589" s="211">
        <f>'IWP11'!I$507</f>
        <v>0</v>
      </c>
      <c r="G4589" s="191" t="str">
        <f>IF('IWP11'!J$507=0,"",'IWP11'!J$507)</f>
        <v/>
      </c>
      <c r="H4589" s="211">
        <f>'IWP11'!K$507</f>
        <v>0</v>
      </c>
      <c r="I4589" s="211">
        <f>'IWP11'!L$507</f>
        <v>0</v>
      </c>
      <c r="J4589" s="212">
        <f>'IWP11'!M$507</f>
        <v>0</v>
      </c>
      <c r="K4589" s="106"/>
      <c r="L4589" s="106"/>
      <c r="M4589" s="129"/>
    </row>
    <row r="4590" spans="1:13" s="146" customFormat="1">
      <c r="A4590" s="193" t="s">
        <v>509</v>
      </c>
      <c r="B4590" s="210">
        <v>10</v>
      </c>
      <c r="C4590" s="191" t="str">
        <f>IF('IWP11'!E$508=0,"",'IWP11'!E$508)</f>
        <v/>
      </c>
      <c r="D4590" s="211">
        <f>'IWP11'!G$508</f>
        <v>0</v>
      </c>
      <c r="E4590" s="211">
        <f>'IWP11'!H$508</f>
        <v>0</v>
      </c>
      <c r="F4590" s="211">
        <f>'IWP11'!I$508</f>
        <v>0</v>
      </c>
      <c r="G4590" s="191" t="str">
        <f>IF('IWP11'!J$508=0,"",'IWP11'!J$508)</f>
        <v/>
      </c>
      <c r="H4590" s="211">
        <f>'IWP11'!K$508</f>
        <v>0</v>
      </c>
      <c r="I4590" s="211">
        <f>'IWP11'!L$508</f>
        <v>0</v>
      </c>
      <c r="J4590" s="212">
        <f>'IWP11'!M$508</f>
        <v>0</v>
      </c>
      <c r="K4590" s="106"/>
      <c r="L4590" s="106"/>
      <c r="M4590" s="129"/>
    </row>
    <row r="4591" spans="1:13" s="146" customFormat="1">
      <c r="A4591" s="193" t="s">
        <v>509</v>
      </c>
      <c r="B4591" s="210">
        <v>11</v>
      </c>
      <c r="C4591" s="191" t="str">
        <f>IF('IWP11'!E$515=0,"",'IWP11'!E$515)</f>
        <v>Subtotal column D.</v>
      </c>
      <c r="D4591" s="211">
        <f>'IWP11'!G$515</f>
        <v>0</v>
      </c>
      <c r="E4591" s="211">
        <f>'IWP11'!H$515</f>
        <v>0</v>
      </c>
      <c r="F4591" s="211">
        <f>'IWP11'!I$515</f>
        <v>0</v>
      </c>
      <c r="G4591" s="191" t="str">
        <f>IF('IWP11'!J$515=0,"",'IWP11'!J$515)</f>
        <v/>
      </c>
      <c r="H4591" s="211">
        <f>'IWP11'!K$515</f>
        <v>0</v>
      </c>
      <c r="I4591" s="211">
        <f>'IWP11'!L$515</f>
        <v>0</v>
      </c>
      <c r="J4591" s="212">
        <f>'IWP11'!M$515</f>
        <v>0</v>
      </c>
      <c r="K4591" s="106"/>
      <c r="L4591" s="106"/>
      <c r="M4591" s="129"/>
    </row>
    <row r="4592" spans="1:13" s="146" customFormat="1">
      <c r="A4592" s="193" t="s">
        <v>509</v>
      </c>
      <c r="B4592" s="210">
        <v>11</v>
      </c>
      <c r="C4592" s="191" t="str">
        <f>IF('IWP11'!E$516=0,"",'IWP11'!E$516)</f>
        <v>Unverified/Undocumented (Subtotal D - C)</v>
      </c>
      <c r="D4592" s="211">
        <f>'IWP11'!G$516</f>
        <v>0</v>
      </c>
      <c r="E4592" s="211">
        <f>'IWP11'!H$516</f>
        <v>0</v>
      </c>
      <c r="F4592" s="211">
        <f>'IWP11'!I$516</f>
        <v>0</v>
      </c>
      <c r="G4592" s="191" t="str">
        <f>IF('IWP11'!J$516=0,"",'IWP11'!J$516)</f>
        <v/>
      </c>
      <c r="H4592" s="211">
        <f>'IWP11'!K$516</f>
        <v>0</v>
      </c>
      <c r="I4592" s="211">
        <f>'IWP11'!L$516</f>
        <v>0</v>
      </c>
      <c r="J4592" s="212">
        <f>'IWP11'!M$516</f>
        <v>0</v>
      </c>
      <c r="K4592" s="106"/>
      <c r="L4592" s="106"/>
      <c r="M4592" s="129"/>
    </row>
    <row r="4593" spans="1:13" s="146" customFormat="1">
      <c r="A4593" s="193" t="s">
        <v>509</v>
      </c>
      <c r="B4593" s="210">
        <v>11</v>
      </c>
      <c r="C4593" s="191" t="str">
        <f>IF('IWP11'!E$517=0,"",'IWP11'!E$517)</f>
        <v>J. Billing Period Total</v>
      </c>
      <c r="D4593" s="211">
        <f>'IWP11'!G$517</f>
        <v>0</v>
      </c>
      <c r="E4593" s="211">
        <f>'IWP11'!H$517</f>
        <v>0</v>
      </c>
      <c r="F4593" s="211">
        <f>'IWP11'!I$517</f>
        <v>0</v>
      </c>
      <c r="G4593" s="191" t="str">
        <f>IF('IWP11'!J$517=0,"",'IWP11'!J$517)</f>
        <v/>
      </c>
      <c r="H4593" s="211">
        <f>'IWP11'!K$517</f>
        <v>0</v>
      </c>
      <c r="I4593" s="211">
        <f>'IWP11'!L$517</f>
        <v>0</v>
      </c>
      <c r="J4593" s="212">
        <f>'IWP11'!M$517</f>
        <v>0</v>
      </c>
      <c r="K4593" s="106"/>
      <c r="L4593" s="106"/>
      <c r="M4593" s="129"/>
    </row>
    <row r="4594" spans="1:13" s="146" customFormat="1">
      <c r="A4594" s="193" t="s">
        <v>509</v>
      </c>
      <c r="B4594" s="210">
        <v>11</v>
      </c>
      <c r="C4594" s="191" t="str">
        <f>IF('IWP11'!E$518=0,"",'IWP11'!E$518)</f>
        <v>D.</v>
      </c>
      <c r="D4594" s="211">
        <f>'IWP11'!G$518</f>
        <v>0</v>
      </c>
      <c r="E4594" s="211" t="str">
        <f>'IWP11'!H$518</f>
        <v>E.</v>
      </c>
      <c r="F4594" s="211" t="str">
        <f>'IWP11'!I$518</f>
        <v>F.</v>
      </c>
      <c r="G4594" s="191" t="str">
        <f>IF('IWP11'!J$518=0,"",'IWP11'!J$518)</f>
        <v>G.</v>
      </c>
      <c r="H4594" s="211">
        <f>'IWP11'!K$518</f>
        <v>0</v>
      </c>
      <c r="I4594" s="211" t="str">
        <f>'IWP11'!L$518</f>
        <v>H.</v>
      </c>
      <c r="J4594" s="212" t="str">
        <f>'IWP11'!M$518</f>
        <v>I.</v>
      </c>
      <c r="K4594" s="106"/>
      <c r="L4594" s="106"/>
      <c r="M4594" s="129"/>
    </row>
    <row r="4595" spans="1:13" s="146" customFormat="1">
      <c r="A4595" s="193" t="s">
        <v>509</v>
      </c>
      <c r="B4595" s="210">
        <v>11</v>
      </c>
      <c r="C4595" s="191" t="str">
        <f>IF('IWP11'!E$519=0,"",'IWP11'!E$519)</f>
        <v xml:space="preserve">Items/Services Related to Billing Period </v>
      </c>
      <c r="D4595" s="211">
        <f>'IWP11'!G$519</f>
        <v>0</v>
      </c>
      <c r="E4595" s="211" t="str">
        <f>'IWP11'!H$519</f>
        <v xml:space="preserve">Item/
Service Verified Amounts
</v>
      </c>
      <c r="F4595" s="211" t="str">
        <f>'IWP11'!I$519</f>
        <v>Amount Due to DADS (E. - D.)</v>
      </c>
      <c r="G4595" s="191" t="str">
        <f>IF('IWP11'!J$519=0,"",'IWP11'!J$519)</f>
        <v>Amount Reimbursed to 
Employee(s)/Employer</v>
      </c>
      <c r="H4595" s="211">
        <f>'IWP11'!K$519</f>
        <v>0</v>
      </c>
      <c r="I4595" s="211" t="str">
        <f>'IWP11'!L$519</f>
        <v>Amount Due to Employee(s) (G. - E.)</v>
      </c>
      <c r="J4595" s="212" t="str">
        <f>'IWP11'!M$519</f>
        <v>Amount Due to Employer (G. - E.)</v>
      </c>
      <c r="K4595" s="106"/>
      <c r="L4595" s="106"/>
      <c r="M4595" s="129"/>
    </row>
    <row r="4596" spans="1:13" s="146" customFormat="1">
      <c r="A4596" s="193" t="s">
        <v>509</v>
      </c>
      <c r="B4596" s="210">
        <v>11</v>
      </c>
      <c r="C4596" s="191" t="str">
        <f>IF('IWP11'!E$520=0,"",'IWP11'!E$520)</f>
        <v>Item/Service</v>
      </c>
      <c r="D4596" s="211" t="str">
        <f>'IWP11'!G$520</f>
        <v>Itemized Amount Paid by DADS</v>
      </c>
      <c r="E4596" s="211">
        <f>'IWP11'!H$520</f>
        <v>0</v>
      </c>
      <c r="F4596" s="211">
        <f>'IWP11'!I$520</f>
        <v>0</v>
      </c>
      <c r="G4596" s="191" t="str">
        <f>IF('IWP11'!J$520=0,"",'IWP11'!J$520)</f>
        <v/>
      </c>
      <c r="H4596" s="211">
        <f>'IWP11'!K$520</f>
        <v>0</v>
      </c>
      <c r="I4596" s="211">
        <f>'IWP11'!L$520</f>
        <v>0</v>
      </c>
      <c r="J4596" s="212">
        <f>'IWP11'!M$520</f>
        <v>0</v>
      </c>
      <c r="K4596" s="106"/>
      <c r="L4596" s="106"/>
      <c r="M4596" s="129"/>
    </row>
    <row r="4597" spans="1:13" s="146" customFormat="1">
      <c r="A4597" s="193" t="s">
        <v>509</v>
      </c>
      <c r="B4597" s="210">
        <v>11</v>
      </c>
      <c r="C4597" s="191" t="str">
        <f>IF('IWP11'!E$521=0,"",'IWP11'!E$521)</f>
        <v/>
      </c>
      <c r="D4597" s="211">
        <f>'IWP11'!G$521</f>
        <v>0</v>
      </c>
      <c r="E4597" s="211">
        <f>'IWP11'!H$521</f>
        <v>0</v>
      </c>
      <c r="F4597" s="211">
        <f>'IWP11'!I$521</f>
        <v>0</v>
      </c>
      <c r="G4597" s="191" t="str">
        <f>IF('IWP11'!J$521=0,"",'IWP11'!J$521)</f>
        <v/>
      </c>
      <c r="H4597" s="211">
        <f>'IWP11'!K$521</f>
        <v>0</v>
      </c>
      <c r="I4597" s="211">
        <f>'IWP11'!L$521</f>
        <v>0</v>
      </c>
      <c r="J4597" s="212">
        <f>'IWP11'!M$521</f>
        <v>0</v>
      </c>
      <c r="K4597" s="106"/>
      <c r="L4597" s="106"/>
      <c r="M4597" s="129"/>
    </row>
    <row r="4598" spans="1:13" s="146" customFormat="1">
      <c r="A4598" s="193" t="s">
        <v>509</v>
      </c>
      <c r="B4598" s="210">
        <v>11</v>
      </c>
      <c r="C4598" s="191" t="str">
        <f>IF('IWP11'!E$522=0,"",'IWP11'!E$522)</f>
        <v/>
      </c>
      <c r="D4598" s="211">
        <f>'IWP11'!G$522</f>
        <v>0</v>
      </c>
      <c r="E4598" s="211">
        <f>'IWP11'!H$522</f>
        <v>0</v>
      </c>
      <c r="F4598" s="211">
        <f>'IWP11'!I$522</f>
        <v>0</v>
      </c>
      <c r="G4598" s="191" t="str">
        <f>IF('IWP11'!J$522=0,"",'IWP11'!J$522)</f>
        <v/>
      </c>
      <c r="H4598" s="211">
        <f>'IWP11'!K$522</f>
        <v>0</v>
      </c>
      <c r="I4598" s="211">
        <f>'IWP11'!L$522</f>
        <v>0</v>
      </c>
      <c r="J4598" s="212">
        <f>'IWP11'!M$522</f>
        <v>0</v>
      </c>
      <c r="K4598" s="106"/>
      <c r="L4598" s="106"/>
      <c r="M4598" s="129"/>
    </row>
    <row r="4599" spans="1:13" s="146" customFormat="1">
      <c r="A4599" s="193" t="s">
        <v>509</v>
      </c>
      <c r="B4599" s="210">
        <v>11</v>
      </c>
      <c r="C4599" s="191" t="str">
        <f>IF('IWP11'!E$523=0,"",'IWP11'!E$523)</f>
        <v/>
      </c>
      <c r="D4599" s="211">
        <f>'IWP11'!G$523</f>
        <v>0</v>
      </c>
      <c r="E4599" s="211">
        <f>'IWP11'!H$523</f>
        <v>0</v>
      </c>
      <c r="F4599" s="211">
        <f>'IWP11'!I$523</f>
        <v>0</v>
      </c>
      <c r="G4599" s="191" t="str">
        <f>IF('IWP11'!J$523=0,"",'IWP11'!J$523)</f>
        <v/>
      </c>
      <c r="H4599" s="211">
        <f>'IWP11'!K$523</f>
        <v>0</v>
      </c>
      <c r="I4599" s="211">
        <f>'IWP11'!L$523</f>
        <v>0</v>
      </c>
      <c r="J4599" s="212">
        <f>'IWP11'!M$523</f>
        <v>0</v>
      </c>
      <c r="K4599" s="106"/>
      <c r="L4599" s="106"/>
      <c r="M4599" s="129"/>
    </row>
    <row r="4600" spans="1:13" s="146" customFormat="1">
      <c r="A4600" s="193" t="s">
        <v>509</v>
      </c>
      <c r="B4600" s="210">
        <v>11</v>
      </c>
      <c r="C4600" s="191" t="str">
        <f>IF('IWP11'!E$524=0,"",'IWP11'!E$524)</f>
        <v/>
      </c>
      <c r="D4600" s="211">
        <f>'IWP11'!G$524</f>
        <v>0</v>
      </c>
      <c r="E4600" s="211">
        <f>'IWP11'!H$524</f>
        <v>0</v>
      </c>
      <c r="F4600" s="211">
        <f>'IWP11'!I$524</f>
        <v>0</v>
      </c>
      <c r="G4600" s="191" t="str">
        <f>IF('IWP11'!J$524=0,"",'IWP11'!J$524)</f>
        <v/>
      </c>
      <c r="H4600" s="211">
        <f>'IWP11'!K$524</f>
        <v>0</v>
      </c>
      <c r="I4600" s="211">
        <f>'IWP11'!L$524</f>
        <v>0</v>
      </c>
      <c r="J4600" s="212">
        <f>'IWP11'!M$524</f>
        <v>0</v>
      </c>
      <c r="K4600" s="106"/>
      <c r="L4600" s="106"/>
      <c r="M4600" s="129"/>
    </row>
    <row r="4601" spans="1:13" s="146" customFormat="1">
      <c r="A4601" s="193" t="s">
        <v>509</v>
      </c>
      <c r="B4601" s="210">
        <v>12</v>
      </c>
      <c r="C4601" s="191" t="str">
        <f>IF('IWP11'!E$531=0,"",'IWP11'!E$531)</f>
        <v>Subtotal column D.</v>
      </c>
      <c r="D4601" s="211">
        <f>'IWP11'!G$531</f>
        <v>0</v>
      </c>
      <c r="E4601" s="211">
        <f>'IWP11'!H$531</f>
        <v>0</v>
      </c>
      <c r="F4601" s="211">
        <f>'IWP11'!I$531</f>
        <v>0</v>
      </c>
      <c r="G4601" s="191" t="str">
        <f>IF('IWP11'!J$531=0,"",'IWP11'!J$531)</f>
        <v/>
      </c>
      <c r="H4601" s="211">
        <f>'IWP11'!K$531</f>
        <v>0</v>
      </c>
      <c r="I4601" s="211">
        <f>'IWP11'!L$531</f>
        <v>0</v>
      </c>
      <c r="J4601" s="212">
        <f>'IWP11'!M$531</f>
        <v>0</v>
      </c>
      <c r="K4601" s="106"/>
      <c r="L4601" s="106"/>
      <c r="M4601" s="129"/>
    </row>
    <row r="4602" spans="1:13" s="146" customFormat="1">
      <c r="A4602" s="193" t="s">
        <v>509</v>
      </c>
      <c r="B4602" s="210">
        <v>12</v>
      </c>
      <c r="C4602" s="191" t="str">
        <f>IF('IWP11'!E$532=0,"",'IWP11'!E$532)</f>
        <v>Unverified/Undocumented (Subtotal D - C)</v>
      </c>
      <c r="D4602" s="211">
        <f>'IWP11'!G$532</f>
        <v>0</v>
      </c>
      <c r="E4602" s="211">
        <f>'IWP11'!H$532</f>
        <v>0</v>
      </c>
      <c r="F4602" s="211">
        <f>'IWP11'!I$532</f>
        <v>0</v>
      </c>
      <c r="G4602" s="191" t="str">
        <f>IF('IWP11'!J$532=0,"",'IWP11'!J$532)</f>
        <v/>
      </c>
      <c r="H4602" s="211">
        <f>'IWP11'!K$532</f>
        <v>0</v>
      </c>
      <c r="I4602" s="211">
        <f>'IWP11'!L$532</f>
        <v>0</v>
      </c>
      <c r="J4602" s="212">
        <f>'IWP11'!M$532</f>
        <v>0</v>
      </c>
      <c r="K4602" s="106"/>
      <c r="L4602" s="106"/>
      <c r="M4602" s="129"/>
    </row>
    <row r="4603" spans="1:13" s="146" customFormat="1">
      <c r="A4603" s="193" t="s">
        <v>509</v>
      </c>
      <c r="B4603" s="210">
        <v>12</v>
      </c>
      <c r="C4603" s="191" t="str">
        <f>IF('IWP11'!E$533=0,"",'IWP11'!E$533)</f>
        <v>J. Billing Period Total</v>
      </c>
      <c r="D4603" s="211">
        <f>'IWP11'!G$533</f>
        <v>0</v>
      </c>
      <c r="E4603" s="211">
        <f>'IWP11'!H$533</f>
        <v>0</v>
      </c>
      <c r="F4603" s="211">
        <f>'IWP11'!I$533</f>
        <v>0</v>
      </c>
      <c r="G4603" s="191" t="str">
        <f>IF('IWP11'!J$533=0,"",'IWP11'!J$533)</f>
        <v/>
      </c>
      <c r="H4603" s="211">
        <f>'IWP11'!K$533</f>
        <v>0</v>
      </c>
      <c r="I4603" s="211">
        <f>'IWP11'!L$533</f>
        <v>0</v>
      </c>
      <c r="J4603" s="212">
        <f>'IWP11'!M$533</f>
        <v>0</v>
      </c>
      <c r="K4603" s="106"/>
      <c r="L4603" s="106"/>
      <c r="M4603" s="129"/>
    </row>
    <row r="4604" spans="1:13" s="146" customFormat="1">
      <c r="A4604" s="193" t="s">
        <v>509</v>
      </c>
      <c r="B4604" s="210">
        <v>12</v>
      </c>
      <c r="C4604" s="191" t="str">
        <f>IF('IWP11'!E$534=0,"",'IWP11'!E$534)</f>
        <v>D.</v>
      </c>
      <c r="D4604" s="211">
        <f>'IWP11'!G$534</f>
        <v>0</v>
      </c>
      <c r="E4604" s="211" t="str">
        <f>'IWP11'!H$534</f>
        <v>E.</v>
      </c>
      <c r="F4604" s="211" t="str">
        <f>'IWP11'!I$534</f>
        <v>F.</v>
      </c>
      <c r="G4604" s="191" t="str">
        <f>IF('IWP11'!J$534=0,"",'IWP11'!J$534)</f>
        <v>G.</v>
      </c>
      <c r="H4604" s="211">
        <f>'IWP11'!K$534</f>
        <v>0</v>
      </c>
      <c r="I4604" s="211" t="str">
        <f>'IWP11'!L$534</f>
        <v>H.</v>
      </c>
      <c r="J4604" s="212" t="str">
        <f>'IWP11'!M$534</f>
        <v>I.</v>
      </c>
      <c r="K4604" s="106"/>
      <c r="L4604" s="106"/>
      <c r="M4604" s="129"/>
    </row>
    <row r="4605" spans="1:13" s="146" customFormat="1">
      <c r="A4605" s="193" t="s">
        <v>509</v>
      </c>
      <c r="B4605" s="210">
        <v>12</v>
      </c>
      <c r="C4605" s="191" t="str">
        <f>IF('IWP11'!E$535=0,"",'IWP11'!E$535)</f>
        <v xml:space="preserve">Items/Services Related to Billing Period </v>
      </c>
      <c r="D4605" s="211">
        <f>'IWP11'!G$535</f>
        <v>0</v>
      </c>
      <c r="E4605" s="211" t="str">
        <f>'IWP11'!H$535</f>
        <v xml:space="preserve">Item/
Service Verified Amounts
</v>
      </c>
      <c r="F4605" s="211" t="str">
        <f>'IWP11'!I$535</f>
        <v>Amount Due to DADS (E. - D.)</v>
      </c>
      <c r="G4605" s="191" t="str">
        <f>IF('IWP11'!J$535=0,"",'IWP11'!J$535)</f>
        <v>Amount Reimbursed to 
Employee(s)/Employer</v>
      </c>
      <c r="H4605" s="211">
        <f>'IWP11'!K$535</f>
        <v>0</v>
      </c>
      <c r="I4605" s="211" t="str">
        <f>'IWP11'!L$535</f>
        <v>Amount Due to Employee(s) (G. - E.)</v>
      </c>
      <c r="J4605" s="212" t="str">
        <f>'IWP11'!M$535</f>
        <v>Amount Due to Employer (G. - E.)</v>
      </c>
      <c r="K4605" s="106"/>
      <c r="L4605" s="106"/>
      <c r="M4605" s="129"/>
    </row>
    <row r="4606" spans="1:13" s="146" customFormat="1">
      <c r="A4606" s="193" t="s">
        <v>509</v>
      </c>
      <c r="B4606" s="210">
        <v>12</v>
      </c>
      <c r="C4606" s="191" t="str">
        <f>IF('IWP11'!E$536=0,"",'IWP11'!E$536)</f>
        <v>Item/Service</v>
      </c>
      <c r="D4606" s="211" t="str">
        <f>'IWP11'!G$536</f>
        <v>Itemized Amount Paid by DADS</v>
      </c>
      <c r="E4606" s="211">
        <f>'IWP11'!H$536</f>
        <v>0</v>
      </c>
      <c r="F4606" s="211">
        <f>'IWP11'!I$536</f>
        <v>0</v>
      </c>
      <c r="G4606" s="191" t="str">
        <f>IF('IWP11'!J$536=0,"",'IWP11'!J$536)</f>
        <v/>
      </c>
      <c r="H4606" s="211">
        <f>'IWP11'!K$536</f>
        <v>0</v>
      </c>
      <c r="I4606" s="211">
        <f>'IWP11'!L$536</f>
        <v>0</v>
      </c>
      <c r="J4606" s="212">
        <f>'IWP11'!M$536</f>
        <v>0</v>
      </c>
      <c r="K4606" s="106"/>
      <c r="L4606" s="106"/>
      <c r="M4606" s="129"/>
    </row>
    <row r="4607" spans="1:13" s="146" customFormat="1">
      <c r="A4607" s="193" t="s">
        <v>509</v>
      </c>
      <c r="B4607" s="210">
        <v>12</v>
      </c>
      <c r="C4607" s="191" t="str">
        <f>IF('IWP11'!E$537=0,"",'IWP11'!E$537)</f>
        <v/>
      </c>
      <c r="D4607" s="211">
        <f>'IWP11'!G$537</f>
        <v>0</v>
      </c>
      <c r="E4607" s="211">
        <f>'IWP11'!H$537</f>
        <v>0</v>
      </c>
      <c r="F4607" s="211">
        <f>'IWP11'!I$537</f>
        <v>0</v>
      </c>
      <c r="G4607" s="191" t="str">
        <f>IF('IWP11'!J$537=0,"",'IWP11'!J$537)</f>
        <v/>
      </c>
      <c r="H4607" s="211">
        <f>'IWP11'!K$537</f>
        <v>0</v>
      </c>
      <c r="I4607" s="211">
        <f>'IWP11'!L$537</f>
        <v>0</v>
      </c>
      <c r="J4607" s="212">
        <f>'IWP11'!M$537</f>
        <v>0</v>
      </c>
      <c r="K4607" s="106"/>
      <c r="L4607" s="106"/>
      <c r="M4607" s="129"/>
    </row>
    <row r="4608" spans="1:13" s="146" customFormat="1">
      <c r="A4608" s="193" t="s">
        <v>509</v>
      </c>
      <c r="B4608" s="210">
        <v>12</v>
      </c>
      <c r="C4608" s="191" t="str">
        <f>IF('IWP11'!E$538=0,"",'IWP11'!E$538)</f>
        <v/>
      </c>
      <c r="D4608" s="211">
        <f>'IWP11'!G$538</f>
        <v>0</v>
      </c>
      <c r="E4608" s="211">
        <f>'IWP11'!H$538</f>
        <v>0</v>
      </c>
      <c r="F4608" s="211">
        <f>'IWP11'!I$538</f>
        <v>0</v>
      </c>
      <c r="G4608" s="191" t="str">
        <f>IF('IWP11'!J$538=0,"",'IWP11'!J$538)</f>
        <v/>
      </c>
      <c r="H4608" s="211">
        <f>'IWP11'!K$538</f>
        <v>0</v>
      </c>
      <c r="I4608" s="211">
        <f>'IWP11'!L$538</f>
        <v>0</v>
      </c>
      <c r="J4608" s="212">
        <f>'IWP11'!M$538</f>
        <v>0</v>
      </c>
      <c r="K4608" s="106"/>
      <c r="L4608" s="106"/>
      <c r="M4608" s="129"/>
    </row>
    <row r="4609" spans="1:13" s="146" customFormat="1">
      <c r="A4609" s="193" t="s">
        <v>509</v>
      </c>
      <c r="B4609" s="210">
        <v>12</v>
      </c>
      <c r="C4609" s="191" t="str">
        <f>IF('IWP11'!E$539=0,"",'IWP11'!E$539)</f>
        <v/>
      </c>
      <c r="D4609" s="211">
        <f>'IWP11'!G$539</f>
        <v>0</v>
      </c>
      <c r="E4609" s="211">
        <f>'IWP11'!H$539</f>
        <v>0</v>
      </c>
      <c r="F4609" s="211">
        <f>'IWP11'!I$539</f>
        <v>0</v>
      </c>
      <c r="G4609" s="191" t="str">
        <f>IF('IWP11'!J$539=0,"",'IWP11'!J$539)</f>
        <v/>
      </c>
      <c r="H4609" s="211">
        <f>'IWP11'!K$539</f>
        <v>0</v>
      </c>
      <c r="I4609" s="211">
        <f>'IWP11'!L$539</f>
        <v>0</v>
      </c>
      <c r="J4609" s="212">
        <f>'IWP11'!M$539</f>
        <v>0</v>
      </c>
      <c r="K4609" s="106"/>
      <c r="L4609" s="106"/>
      <c r="M4609" s="129"/>
    </row>
    <row r="4610" spans="1:13" s="146" customFormat="1">
      <c r="A4610" s="193" t="s">
        <v>509</v>
      </c>
      <c r="B4610" s="210">
        <v>12</v>
      </c>
      <c r="C4610" s="191" t="str">
        <f>IF('IWP11'!E$540=0,"",'IWP11'!E$540)</f>
        <v/>
      </c>
      <c r="D4610" s="211">
        <f>'IWP11'!G$540</f>
        <v>0</v>
      </c>
      <c r="E4610" s="211">
        <f>'IWP11'!H$540</f>
        <v>0</v>
      </c>
      <c r="F4610" s="211">
        <f>'IWP11'!I$540</f>
        <v>0</v>
      </c>
      <c r="G4610" s="191" t="str">
        <f>IF('IWP11'!J$540=0,"",'IWP11'!J$540)</f>
        <v/>
      </c>
      <c r="H4610" s="211">
        <f>'IWP11'!K$540</f>
        <v>0</v>
      </c>
      <c r="I4610" s="211">
        <f>'IWP11'!L$540</f>
        <v>0</v>
      </c>
      <c r="J4610" s="212">
        <f>'IWP11'!M$540</f>
        <v>0</v>
      </c>
      <c r="K4610" s="106"/>
      <c r="L4610" s="106"/>
      <c r="M4610" s="129"/>
    </row>
    <row r="4611" spans="1:13" s="146" customFormat="1">
      <c r="A4611" s="193" t="s">
        <v>509</v>
      </c>
      <c r="B4611" s="210">
        <v>13</v>
      </c>
      <c r="C4611" s="191" t="str">
        <f>IF('IWP11'!E$547=0,"",'IWP11'!E$547)</f>
        <v>Subtotal column D.</v>
      </c>
      <c r="D4611" s="211">
        <f>'IWP11'!G$547</f>
        <v>0</v>
      </c>
      <c r="E4611" s="211">
        <f>'IWP11'!H$547</f>
        <v>0</v>
      </c>
      <c r="F4611" s="211">
        <f>'IWP11'!I$547</f>
        <v>0</v>
      </c>
      <c r="G4611" s="191" t="str">
        <f>IF('IWP11'!J$547=0,"",'IWP11'!J$547)</f>
        <v/>
      </c>
      <c r="H4611" s="211">
        <f>'IWP11'!K$547</f>
        <v>0</v>
      </c>
      <c r="I4611" s="211">
        <f>'IWP11'!L$547</f>
        <v>0</v>
      </c>
      <c r="J4611" s="212">
        <f>'IWP11'!M$547</f>
        <v>0</v>
      </c>
      <c r="K4611" s="106"/>
      <c r="L4611" s="106"/>
      <c r="M4611" s="129"/>
    </row>
    <row r="4612" spans="1:13" s="146" customFormat="1">
      <c r="A4612" s="193" t="s">
        <v>509</v>
      </c>
      <c r="B4612" s="210">
        <v>13</v>
      </c>
      <c r="C4612" s="191" t="str">
        <f>IF('IWP11'!E$548=0,"",'IWP11'!E$548)</f>
        <v>Unverified/Undocumented (Subtotal D - C)</v>
      </c>
      <c r="D4612" s="211">
        <f>'IWP11'!G$548</f>
        <v>0</v>
      </c>
      <c r="E4612" s="211">
        <f>'IWP11'!H$548</f>
        <v>0</v>
      </c>
      <c r="F4612" s="211">
        <f>'IWP11'!I$548</f>
        <v>0</v>
      </c>
      <c r="G4612" s="191" t="str">
        <f>IF('IWP11'!J$548=0,"",'IWP11'!J$548)</f>
        <v/>
      </c>
      <c r="H4612" s="211">
        <f>'IWP11'!K$548</f>
        <v>0</v>
      </c>
      <c r="I4612" s="211">
        <f>'IWP11'!L$548</f>
        <v>0</v>
      </c>
      <c r="J4612" s="212">
        <f>'IWP11'!M$548</f>
        <v>0</v>
      </c>
      <c r="K4612" s="106"/>
      <c r="L4612" s="106"/>
      <c r="M4612" s="129"/>
    </row>
    <row r="4613" spans="1:13" s="146" customFormat="1">
      <c r="A4613" s="193" t="s">
        <v>509</v>
      </c>
      <c r="B4613" s="210">
        <v>13</v>
      </c>
      <c r="C4613" s="191" t="str">
        <f>IF('IWP11'!E$549=0,"",'IWP11'!E$549)</f>
        <v>J. Billing Period Total</v>
      </c>
      <c r="D4613" s="211">
        <f>'IWP11'!G$549</f>
        <v>0</v>
      </c>
      <c r="E4613" s="211">
        <f>'IWP11'!H$549</f>
        <v>0</v>
      </c>
      <c r="F4613" s="211">
        <f>'IWP11'!I$549</f>
        <v>0</v>
      </c>
      <c r="G4613" s="191" t="str">
        <f>IF('IWP11'!J$549=0,"",'IWP11'!J$549)</f>
        <v/>
      </c>
      <c r="H4613" s="211">
        <f>'IWP11'!K$549</f>
        <v>0</v>
      </c>
      <c r="I4613" s="211">
        <f>'IWP11'!L$549</f>
        <v>0</v>
      </c>
      <c r="J4613" s="212">
        <f>'IWP11'!M$549</f>
        <v>0</v>
      </c>
      <c r="K4613" s="106"/>
      <c r="L4613" s="106"/>
      <c r="M4613" s="129"/>
    </row>
    <row r="4614" spans="1:13" s="146" customFormat="1">
      <c r="A4614" s="193" t="s">
        <v>509</v>
      </c>
      <c r="B4614" s="210">
        <v>13</v>
      </c>
      <c r="C4614" s="191" t="str">
        <f>IF('IWP11'!E$550=0,"",'IWP11'!E$550)</f>
        <v>D.</v>
      </c>
      <c r="D4614" s="211">
        <f>'IWP11'!G$550</f>
        <v>0</v>
      </c>
      <c r="E4614" s="211" t="str">
        <f>'IWP11'!H$550</f>
        <v>E.</v>
      </c>
      <c r="F4614" s="211" t="str">
        <f>'IWP11'!I$550</f>
        <v>F.</v>
      </c>
      <c r="G4614" s="191" t="str">
        <f>IF('IWP11'!J$550=0,"",'IWP11'!J$550)</f>
        <v>G.</v>
      </c>
      <c r="H4614" s="211">
        <f>'IWP11'!K$550</f>
        <v>0</v>
      </c>
      <c r="I4614" s="211" t="str">
        <f>'IWP11'!L$550</f>
        <v>H.</v>
      </c>
      <c r="J4614" s="212" t="str">
        <f>'IWP11'!M$550</f>
        <v>I.</v>
      </c>
      <c r="K4614" s="106"/>
      <c r="L4614" s="106"/>
      <c r="M4614" s="129"/>
    </row>
    <row r="4615" spans="1:13" s="146" customFormat="1">
      <c r="A4615" s="193" t="s">
        <v>509</v>
      </c>
      <c r="B4615" s="210">
        <v>13</v>
      </c>
      <c r="C4615" s="191" t="str">
        <f>IF('IWP11'!E$551=0,"",'IWP11'!E$551)</f>
        <v xml:space="preserve">Items/Services Related to Billing Period </v>
      </c>
      <c r="D4615" s="211">
        <f>'IWP11'!G$551</f>
        <v>0</v>
      </c>
      <c r="E4615" s="211" t="str">
        <f>'IWP11'!H$551</f>
        <v xml:space="preserve">Item/
Service Verified Amounts
</v>
      </c>
      <c r="F4615" s="211" t="str">
        <f>'IWP11'!I$551</f>
        <v>Amount Due to DADS (E. - D.)</v>
      </c>
      <c r="G4615" s="191" t="str">
        <f>IF('IWP11'!J$551=0,"",'IWP11'!J$551)</f>
        <v>Amount Reimbursed to 
Employee(s)/Employer</v>
      </c>
      <c r="H4615" s="211">
        <f>'IWP11'!K$551</f>
        <v>0</v>
      </c>
      <c r="I4615" s="211" t="str">
        <f>'IWP11'!L$551</f>
        <v>Amount Due to Employee(s) (G. - E.)</v>
      </c>
      <c r="J4615" s="212" t="str">
        <f>'IWP11'!M$551</f>
        <v>Amount Due to Employer (G. - E.)</v>
      </c>
      <c r="K4615" s="106"/>
      <c r="L4615" s="106"/>
      <c r="M4615" s="129"/>
    </row>
    <row r="4616" spans="1:13" s="146" customFormat="1">
      <c r="A4616" s="193" t="s">
        <v>509</v>
      </c>
      <c r="B4616" s="210">
        <v>13</v>
      </c>
      <c r="C4616" s="191" t="str">
        <f>IF('IWP11'!E$552=0,"",'IWP11'!E$552)</f>
        <v>Item/Service</v>
      </c>
      <c r="D4616" s="211" t="str">
        <f>'IWP11'!G$552</f>
        <v>Itemized Amount Paid by DADS</v>
      </c>
      <c r="E4616" s="211">
        <f>'IWP11'!H$552</f>
        <v>0</v>
      </c>
      <c r="F4616" s="211">
        <f>'IWP11'!I$552</f>
        <v>0</v>
      </c>
      <c r="G4616" s="191" t="str">
        <f>IF('IWP11'!J$552=0,"",'IWP11'!J$552)</f>
        <v/>
      </c>
      <c r="H4616" s="211">
        <f>'IWP11'!K$552</f>
        <v>0</v>
      </c>
      <c r="I4616" s="211">
        <f>'IWP11'!L$552</f>
        <v>0</v>
      </c>
      <c r="J4616" s="212">
        <f>'IWP11'!M$552</f>
        <v>0</v>
      </c>
      <c r="K4616" s="106"/>
      <c r="L4616" s="106"/>
      <c r="M4616" s="129"/>
    </row>
    <row r="4617" spans="1:13" s="146" customFormat="1">
      <c r="A4617" s="193" t="s">
        <v>509</v>
      </c>
      <c r="B4617" s="210">
        <v>13</v>
      </c>
      <c r="C4617" s="191" t="str">
        <f>IF('IWP11'!E$553=0,"",'IWP11'!E$553)</f>
        <v/>
      </c>
      <c r="D4617" s="211">
        <f>'IWP11'!G$553</f>
        <v>0</v>
      </c>
      <c r="E4617" s="211">
        <f>'IWP11'!H$553</f>
        <v>0</v>
      </c>
      <c r="F4617" s="211">
        <f>'IWP11'!I$553</f>
        <v>0</v>
      </c>
      <c r="G4617" s="191" t="str">
        <f>IF('IWP11'!J$553=0,"",'IWP11'!J$553)</f>
        <v/>
      </c>
      <c r="H4617" s="211">
        <f>'IWP11'!K$553</f>
        <v>0</v>
      </c>
      <c r="I4617" s="211">
        <f>'IWP11'!L$553</f>
        <v>0</v>
      </c>
      <c r="J4617" s="212">
        <f>'IWP11'!M$553</f>
        <v>0</v>
      </c>
      <c r="K4617" s="106"/>
      <c r="L4617" s="106"/>
      <c r="M4617" s="129"/>
    </row>
    <row r="4618" spans="1:13" s="146" customFormat="1">
      <c r="A4618" s="193" t="s">
        <v>509</v>
      </c>
      <c r="B4618" s="210">
        <v>13</v>
      </c>
      <c r="C4618" s="191" t="str">
        <f>IF('IWP11'!E$554=0,"",'IWP11'!E$554)</f>
        <v/>
      </c>
      <c r="D4618" s="211">
        <f>'IWP11'!G$554</f>
        <v>0</v>
      </c>
      <c r="E4618" s="211">
        <f>'IWP11'!H$554</f>
        <v>0</v>
      </c>
      <c r="F4618" s="211">
        <f>'IWP11'!I$554</f>
        <v>0</v>
      </c>
      <c r="G4618" s="191" t="str">
        <f>IF('IWP11'!J$554=0,"",'IWP11'!J$554)</f>
        <v/>
      </c>
      <c r="H4618" s="211">
        <f>'IWP11'!K$554</f>
        <v>0</v>
      </c>
      <c r="I4618" s="211">
        <f>'IWP11'!L$554</f>
        <v>0</v>
      </c>
      <c r="J4618" s="212">
        <f>'IWP11'!M$554</f>
        <v>0</v>
      </c>
      <c r="K4618" s="106"/>
      <c r="L4618" s="106"/>
      <c r="M4618" s="129"/>
    </row>
    <row r="4619" spans="1:13" s="146" customFormat="1">
      <c r="A4619" s="193" t="s">
        <v>509</v>
      </c>
      <c r="B4619" s="210">
        <v>13</v>
      </c>
      <c r="C4619" s="191" t="str">
        <f>IF('IWP11'!E$555=0,"",'IWP11'!E$555)</f>
        <v/>
      </c>
      <c r="D4619" s="211">
        <f>'IWP11'!G$555</f>
        <v>0</v>
      </c>
      <c r="E4619" s="211">
        <f>'IWP11'!H$555</f>
        <v>0</v>
      </c>
      <c r="F4619" s="211">
        <f>'IWP11'!I$555</f>
        <v>0</v>
      </c>
      <c r="G4619" s="191" t="str">
        <f>IF('IWP11'!J$555=0,"",'IWP11'!J$555)</f>
        <v/>
      </c>
      <c r="H4619" s="211">
        <f>'IWP11'!K$555</f>
        <v>0</v>
      </c>
      <c r="I4619" s="211">
        <f>'IWP11'!L$555</f>
        <v>0</v>
      </c>
      <c r="J4619" s="212">
        <f>'IWP11'!M$555</f>
        <v>0</v>
      </c>
      <c r="K4619" s="106"/>
      <c r="L4619" s="106"/>
      <c r="M4619" s="129"/>
    </row>
    <row r="4620" spans="1:13" s="146" customFormat="1">
      <c r="A4620" s="193" t="s">
        <v>509</v>
      </c>
      <c r="B4620" s="210">
        <v>13</v>
      </c>
      <c r="C4620" s="191" t="str">
        <f>IF('IWP11'!E$556=0,"",'IWP11'!E$556)</f>
        <v/>
      </c>
      <c r="D4620" s="211">
        <f>'IWP11'!G$556</f>
        <v>0</v>
      </c>
      <c r="E4620" s="211">
        <f>'IWP11'!H$556</f>
        <v>0</v>
      </c>
      <c r="F4620" s="211">
        <f>'IWP11'!I$556</f>
        <v>0</v>
      </c>
      <c r="G4620" s="191" t="str">
        <f>IF('IWP11'!J$556=0,"",'IWP11'!J$556)</f>
        <v/>
      </c>
      <c r="H4620" s="211">
        <f>'IWP11'!K$556</f>
        <v>0</v>
      </c>
      <c r="I4620" s="211">
        <f>'IWP11'!L$556</f>
        <v>0</v>
      </c>
      <c r="J4620" s="212">
        <f>'IWP11'!M$556</f>
        <v>0</v>
      </c>
      <c r="K4620" s="106"/>
      <c r="L4620" s="106"/>
      <c r="M4620" s="129"/>
    </row>
    <row r="4621" spans="1:13" s="146" customFormat="1">
      <c r="A4621" s="193" t="s">
        <v>509</v>
      </c>
      <c r="B4621" s="210">
        <v>14</v>
      </c>
      <c r="C4621" s="191" t="str">
        <f>IF('IWP11'!E$563=0,"",'IWP11'!E$563)</f>
        <v>Subtotal column D.</v>
      </c>
      <c r="D4621" s="211">
        <f>'IWP11'!G$563</f>
        <v>0</v>
      </c>
      <c r="E4621" s="211">
        <f>'IWP11'!H$563</f>
        <v>0</v>
      </c>
      <c r="F4621" s="211">
        <f>'IWP11'!I$563</f>
        <v>0</v>
      </c>
      <c r="G4621" s="191" t="str">
        <f>IF('IWP11'!J$563=0,"",'IWP11'!J$563)</f>
        <v/>
      </c>
      <c r="H4621" s="211">
        <f>'IWP11'!K$563</f>
        <v>0</v>
      </c>
      <c r="I4621" s="211">
        <f>'IWP11'!L$563</f>
        <v>0</v>
      </c>
      <c r="J4621" s="212">
        <f>'IWP11'!M$563</f>
        <v>0</v>
      </c>
      <c r="K4621" s="106"/>
      <c r="L4621" s="106"/>
      <c r="M4621" s="129"/>
    </row>
    <row r="4622" spans="1:13" s="146" customFormat="1">
      <c r="A4622" s="193" t="s">
        <v>509</v>
      </c>
      <c r="B4622" s="210">
        <v>14</v>
      </c>
      <c r="C4622" s="191" t="str">
        <f>IF('IWP11'!E$564=0,"",'IWP11'!E$564)</f>
        <v>Unverified/Undocumented (Subtotal D - C)</v>
      </c>
      <c r="D4622" s="211">
        <f>'IWP11'!G$564</f>
        <v>0</v>
      </c>
      <c r="E4622" s="211">
        <f>'IWP11'!H$564</f>
        <v>0</v>
      </c>
      <c r="F4622" s="211">
        <f>'IWP11'!I$564</f>
        <v>0</v>
      </c>
      <c r="G4622" s="191" t="str">
        <f>IF('IWP11'!J$564=0,"",'IWP11'!J$564)</f>
        <v/>
      </c>
      <c r="H4622" s="211">
        <f>'IWP11'!K$564</f>
        <v>0</v>
      </c>
      <c r="I4622" s="211">
        <f>'IWP11'!L$564</f>
        <v>0</v>
      </c>
      <c r="J4622" s="212">
        <f>'IWP11'!M$564</f>
        <v>0</v>
      </c>
      <c r="K4622" s="106"/>
      <c r="L4622" s="106"/>
      <c r="M4622" s="129"/>
    </row>
    <row r="4623" spans="1:13" s="146" customFormat="1">
      <c r="A4623" s="193" t="s">
        <v>509</v>
      </c>
      <c r="B4623" s="210">
        <v>14</v>
      </c>
      <c r="C4623" s="191" t="str">
        <f>IF('IWP11'!E$565=0,"",'IWP11'!E$565)</f>
        <v>J. Billing Period Total</v>
      </c>
      <c r="D4623" s="211">
        <f>'IWP11'!G$565</f>
        <v>0</v>
      </c>
      <c r="E4623" s="211">
        <f>'IWP11'!H$565</f>
        <v>0</v>
      </c>
      <c r="F4623" s="211">
        <f>'IWP11'!I$565</f>
        <v>0</v>
      </c>
      <c r="G4623" s="191" t="str">
        <f>IF('IWP11'!J$565=0,"",'IWP11'!J$565)</f>
        <v/>
      </c>
      <c r="H4623" s="211">
        <f>'IWP11'!K$565</f>
        <v>0</v>
      </c>
      <c r="I4623" s="211">
        <f>'IWP11'!L$565</f>
        <v>0</v>
      </c>
      <c r="J4623" s="212">
        <f>'IWP11'!M$565</f>
        <v>0</v>
      </c>
      <c r="K4623" s="106"/>
      <c r="L4623" s="106"/>
      <c r="M4623" s="129"/>
    </row>
    <row r="4624" spans="1:13" s="146" customFormat="1">
      <c r="A4624" s="193" t="s">
        <v>509</v>
      </c>
      <c r="B4624" s="210">
        <v>14</v>
      </c>
      <c r="C4624" s="191" t="str">
        <f>IF('IWP11'!E$566=0,"",'IWP11'!E$566)</f>
        <v>D.</v>
      </c>
      <c r="D4624" s="211">
        <f>'IWP11'!G$566</f>
        <v>0</v>
      </c>
      <c r="E4624" s="211" t="str">
        <f>'IWP11'!H$566</f>
        <v>E.</v>
      </c>
      <c r="F4624" s="211" t="str">
        <f>'IWP11'!I$566</f>
        <v>F.</v>
      </c>
      <c r="G4624" s="191" t="str">
        <f>IF('IWP11'!J$566=0,"",'IWP11'!J$566)</f>
        <v>G.</v>
      </c>
      <c r="H4624" s="211">
        <f>'IWP11'!K$566</f>
        <v>0</v>
      </c>
      <c r="I4624" s="211" t="str">
        <f>'IWP11'!L$566</f>
        <v>H.</v>
      </c>
      <c r="J4624" s="212" t="str">
        <f>'IWP11'!M$566</f>
        <v>I.</v>
      </c>
      <c r="K4624" s="106"/>
      <c r="L4624" s="106"/>
      <c r="M4624" s="129"/>
    </row>
    <row r="4625" spans="1:13" s="146" customFormat="1">
      <c r="A4625" s="193" t="s">
        <v>509</v>
      </c>
      <c r="B4625" s="210">
        <v>14</v>
      </c>
      <c r="C4625" s="191" t="str">
        <f>IF('IWP11'!E$567=0,"",'IWP11'!E$567)</f>
        <v xml:space="preserve">Items/Services Related to Billing Period </v>
      </c>
      <c r="D4625" s="211">
        <f>'IWP11'!G$567</f>
        <v>0</v>
      </c>
      <c r="E4625" s="211" t="str">
        <f>'IWP11'!H$567</f>
        <v xml:space="preserve">Item/
Service Verified Amounts
</v>
      </c>
      <c r="F4625" s="211" t="str">
        <f>'IWP11'!I$567</f>
        <v>Amount Due to DADS (E. - D.)</v>
      </c>
      <c r="G4625" s="191" t="str">
        <f>IF('IWP11'!J$567=0,"",'IWP11'!J$567)</f>
        <v>Amount Reimbursed to 
Employee(s)/Employer</v>
      </c>
      <c r="H4625" s="211">
        <f>'IWP11'!K$567</f>
        <v>0</v>
      </c>
      <c r="I4625" s="211" t="str">
        <f>'IWP11'!L$567</f>
        <v>Amount Due to Employee(s) (G. - E.)</v>
      </c>
      <c r="J4625" s="212" t="str">
        <f>'IWP11'!M$567</f>
        <v>Amount Due to Employer (G. - E.)</v>
      </c>
      <c r="K4625" s="106"/>
      <c r="L4625" s="106"/>
      <c r="M4625" s="129"/>
    </row>
    <row r="4626" spans="1:13" s="146" customFormat="1">
      <c r="A4626" s="193" t="s">
        <v>509</v>
      </c>
      <c r="B4626" s="210">
        <v>14</v>
      </c>
      <c r="C4626" s="191" t="str">
        <f>IF('IWP11'!E$568=0,"",'IWP11'!E$568)</f>
        <v>Item/Service</v>
      </c>
      <c r="D4626" s="211" t="str">
        <f>'IWP11'!G$568</f>
        <v>Itemized Amount Paid by DADS</v>
      </c>
      <c r="E4626" s="211">
        <f>'IWP11'!H$568</f>
        <v>0</v>
      </c>
      <c r="F4626" s="211">
        <f>'IWP11'!I$568</f>
        <v>0</v>
      </c>
      <c r="G4626" s="191" t="str">
        <f>IF('IWP11'!J$568=0,"",'IWP11'!J$568)</f>
        <v/>
      </c>
      <c r="H4626" s="211">
        <f>'IWP11'!K$568</f>
        <v>0</v>
      </c>
      <c r="I4626" s="211">
        <f>'IWP11'!L$568</f>
        <v>0</v>
      </c>
      <c r="J4626" s="212">
        <f>'IWP11'!M$568</f>
        <v>0</v>
      </c>
      <c r="K4626" s="106"/>
      <c r="L4626" s="106"/>
      <c r="M4626" s="129"/>
    </row>
    <row r="4627" spans="1:13" s="146" customFormat="1">
      <c r="A4627" s="193" t="s">
        <v>509</v>
      </c>
      <c r="B4627" s="210">
        <v>14</v>
      </c>
      <c r="C4627" s="191" t="str">
        <f>IF('IWP11'!E$569=0,"",'IWP11'!E$569)</f>
        <v/>
      </c>
      <c r="D4627" s="211">
        <f>'IWP11'!G$569</f>
        <v>0</v>
      </c>
      <c r="E4627" s="211">
        <f>'IWP11'!H$569</f>
        <v>0</v>
      </c>
      <c r="F4627" s="211">
        <f>'IWP11'!I$569</f>
        <v>0</v>
      </c>
      <c r="G4627" s="191" t="str">
        <f>IF('IWP11'!J$569=0,"",'IWP11'!J$569)</f>
        <v/>
      </c>
      <c r="H4627" s="211">
        <f>'IWP11'!K$569</f>
        <v>0</v>
      </c>
      <c r="I4627" s="211">
        <f>'IWP11'!L$569</f>
        <v>0</v>
      </c>
      <c r="J4627" s="212">
        <f>'IWP11'!M$569</f>
        <v>0</v>
      </c>
      <c r="K4627" s="106"/>
      <c r="L4627" s="106"/>
      <c r="M4627" s="129"/>
    </row>
    <row r="4628" spans="1:13" s="146" customFormat="1">
      <c r="A4628" s="193" t="s">
        <v>509</v>
      </c>
      <c r="B4628" s="210">
        <v>14</v>
      </c>
      <c r="C4628" s="191" t="str">
        <f>IF('IWP11'!E$570=0,"",'IWP11'!E$570)</f>
        <v/>
      </c>
      <c r="D4628" s="211">
        <f>'IWP11'!G$570</f>
        <v>0</v>
      </c>
      <c r="E4628" s="211">
        <f>'IWP11'!H$570</f>
        <v>0</v>
      </c>
      <c r="F4628" s="211">
        <f>'IWP11'!I$570</f>
        <v>0</v>
      </c>
      <c r="G4628" s="191" t="str">
        <f>IF('IWP11'!J$570=0,"",'IWP11'!J$570)</f>
        <v/>
      </c>
      <c r="H4628" s="211">
        <f>'IWP11'!K$570</f>
        <v>0</v>
      </c>
      <c r="I4628" s="211">
        <f>'IWP11'!L$570</f>
        <v>0</v>
      </c>
      <c r="J4628" s="212">
        <f>'IWP11'!M$570</f>
        <v>0</v>
      </c>
      <c r="K4628" s="106"/>
      <c r="L4628" s="106"/>
      <c r="M4628" s="129"/>
    </row>
    <row r="4629" spans="1:13" s="146" customFormat="1">
      <c r="A4629" s="193" t="s">
        <v>509</v>
      </c>
      <c r="B4629" s="210">
        <v>14</v>
      </c>
      <c r="C4629" s="191" t="str">
        <f>IF('IWP11'!E$571=0,"",'IWP11'!E$571)</f>
        <v/>
      </c>
      <c r="D4629" s="211">
        <f>'IWP11'!G$571</f>
        <v>0</v>
      </c>
      <c r="E4629" s="211">
        <f>'IWP11'!H$571</f>
        <v>0</v>
      </c>
      <c r="F4629" s="211">
        <f>'IWP11'!I$571</f>
        <v>0</v>
      </c>
      <c r="G4629" s="191" t="str">
        <f>IF('IWP11'!J$571=0,"",'IWP11'!J$571)</f>
        <v/>
      </c>
      <c r="H4629" s="211">
        <f>'IWP11'!K$571</f>
        <v>0</v>
      </c>
      <c r="I4629" s="211">
        <f>'IWP11'!L$571</f>
        <v>0</v>
      </c>
      <c r="J4629" s="212">
        <f>'IWP11'!M$571</f>
        <v>0</v>
      </c>
      <c r="K4629" s="106"/>
      <c r="L4629" s="106"/>
      <c r="M4629" s="129"/>
    </row>
    <row r="4630" spans="1:13" s="146" customFormat="1">
      <c r="A4630" s="193" t="s">
        <v>509</v>
      </c>
      <c r="B4630" s="210">
        <v>14</v>
      </c>
      <c r="C4630" s="191" t="str">
        <f>IF('IWP11'!E$572=0,"",'IWP11'!E$572)</f>
        <v/>
      </c>
      <c r="D4630" s="211">
        <f>'IWP11'!G$572</f>
        <v>0</v>
      </c>
      <c r="E4630" s="211">
        <f>'IWP11'!H$572</f>
        <v>0</v>
      </c>
      <c r="F4630" s="211">
        <f>'IWP11'!I$572</f>
        <v>0</v>
      </c>
      <c r="G4630" s="191" t="str">
        <f>IF('IWP11'!J$572=0,"",'IWP11'!J$572)</f>
        <v/>
      </c>
      <c r="H4630" s="211">
        <f>'IWP11'!K$572</f>
        <v>0</v>
      </c>
      <c r="I4630" s="211">
        <f>'IWP11'!L$572</f>
        <v>0</v>
      </c>
      <c r="J4630" s="212">
        <f>'IWP11'!M$572</f>
        <v>0</v>
      </c>
      <c r="K4630" s="106"/>
      <c r="L4630" s="106"/>
      <c r="M4630" s="129"/>
    </row>
    <row r="4631" spans="1:13" s="146" customFormat="1">
      <c r="A4631" s="193" t="s">
        <v>509</v>
      </c>
      <c r="B4631" s="210">
        <v>15</v>
      </c>
      <c r="C4631" s="191" t="str">
        <f>IF('IWP11'!E$579=0,"",'IWP11'!E$579)</f>
        <v>Subtotal column D.</v>
      </c>
      <c r="D4631" s="211">
        <f>'IWP11'!G$579</f>
        <v>0</v>
      </c>
      <c r="E4631" s="211">
        <f>'IWP11'!H$579</f>
        <v>0</v>
      </c>
      <c r="F4631" s="211">
        <f>'IWP11'!I$579</f>
        <v>0</v>
      </c>
      <c r="G4631" s="191" t="str">
        <f>IF('IWP11'!J$579=0,"",'IWP11'!J$579)</f>
        <v/>
      </c>
      <c r="H4631" s="211">
        <f>'IWP11'!K$579</f>
        <v>0</v>
      </c>
      <c r="I4631" s="211">
        <f>'IWP11'!L$579</f>
        <v>0</v>
      </c>
      <c r="J4631" s="212">
        <f>'IWP11'!M$579</f>
        <v>0</v>
      </c>
      <c r="K4631" s="106"/>
      <c r="L4631" s="106"/>
      <c r="M4631" s="129"/>
    </row>
    <row r="4632" spans="1:13" s="146" customFormat="1">
      <c r="A4632" s="193" t="s">
        <v>509</v>
      </c>
      <c r="B4632" s="210">
        <v>15</v>
      </c>
      <c r="C4632" s="191" t="str">
        <f>IF('IWP11'!E$580=0,"",'IWP11'!E$580)</f>
        <v>Unverified/Undocumented (Subtotal D - C)</v>
      </c>
      <c r="D4632" s="211">
        <f>'IWP11'!G$580</f>
        <v>0</v>
      </c>
      <c r="E4632" s="211">
        <f>'IWP11'!H$580</f>
        <v>0</v>
      </c>
      <c r="F4632" s="211">
        <f>'IWP11'!I$580</f>
        <v>0</v>
      </c>
      <c r="G4632" s="191" t="str">
        <f>IF('IWP11'!J$580=0,"",'IWP11'!J$580)</f>
        <v/>
      </c>
      <c r="H4632" s="211">
        <f>'IWP11'!K$580</f>
        <v>0</v>
      </c>
      <c r="I4632" s="211">
        <f>'IWP11'!L$580</f>
        <v>0</v>
      </c>
      <c r="J4632" s="212">
        <f>'IWP11'!M$580</f>
        <v>0</v>
      </c>
      <c r="K4632" s="106"/>
      <c r="L4632" s="106"/>
      <c r="M4632" s="129"/>
    </row>
    <row r="4633" spans="1:13" s="146" customFormat="1">
      <c r="A4633" s="193" t="s">
        <v>509</v>
      </c>
      <c r="B4633" s="210">
        <v>15</v>
      </c>
      <c r="C4633" s="191" t="str">
        <f>IF('IWP11'!E$581=0,"",'IWP11'!E$581)</f>
        <v>J. Billing Period Total</v>
      </c>
      <c r="D4633" s="211">
        <f>'IWP11'!G$581</f>
        <v>0</v>
      </c>
      <c r="E4633" s="211">
        <f>'IWP11'!H$581</f>
        <v>0</v>
      </c>
      <c r="F4633" s="211">
        <f>'IWP11'!I$581</f>
        <v>0</v>
      </c>
      <c r="G4633" s="191" t="str">
        <f>IF('IWP11'!J$581=0,"",'IWP11'!J$581)</f>
        <v/>
      </c>
      <c r="H4633" s="211">
        <f>'IWP11'!K$581</f>
        <v>0</v>
      </c>
      <c r="I4633" s="211">
        <f>'IWP11'!L$581</f>
        <v>0</v>
      </c>
      <c r="J4633" s="212">
        <f>'IWP11'!M$581</f>
        <v>0</v>
      </c>
      <c r="K4633" s="106"/>
      <c r="L4633" s="106"/>
      <c r="M4633" s="129"/>
    </row>
    <row r="4634" spans="1:13" s="146" customFormat="1">
      <c r="A4634" s="193" t="s">
        <v>509</v>
      </c>
      <c r="B4634" s="210">
        <v>15</v>
      </c>
      <c r="C4634" s="191" t="str">
        <f>IF('IWP11'!E$582=0,"",'IWP11'!E$582)</f>
        <v>D.</v>
      </c>
      <c r="D4634" s="211">
        <f>'IWP11'!G$582</f>
        <v>0</v>
      </c>
      <c r="E4634" s="211" t="str">
        <f>'IWP11'!H$582</f>
        <v>E.</v>
      </c>
      <c r="F4634" s="211" t="str">
        <f>'IWP11'!I$582</f>
        <v>F.</v>
      </c>
      <c r="G4634" s="191" t="str">
        <f>IF('IWP11'!J$582=0,"",'IWP11'!J$582)</f>
        <v>G.</v>
      </c>
      <c r="H4634" s="211">
        <f>'IWP11'!K$582</f>
        <v>0</v>
      </c>
      <c r="I4634" s="211" t="str">
        <f>'IWP11'!L$582</f>
        <v>H.</v>
      </c>
      <c r="J4634" s="212" t="str">
        <f>'IWP11'!M$582</f>
        <v>I.</v>
      </c>
      <c r="K4634" s="106"/>
      <c r="L4634" s="106"/>
      <c r="M4634" s="129"/>
    </row>
    <row r="4635" spans="1:13" s="146" customFormat="1">
      <c r="A4635" s="193" t="s">
        <v>509</v>
      </c>
      <c r="B4635" s="210">
        <v>15</v>
      </c>
      <c r="C4635" s="191" t="str">
        <f>IF('IWP11'!E$583=0,"",'IWP11'!E$583)</f>
        <v xml:space="preserve">Items/Services Related to Billing Period </v>
      </c>
      <c r="D4635" s="211">
        <f>'IWP11'!G$583</f>
        <v>0</v>
      </c>
      <c r="E4635" s="211" t="str">
        <f>'IWP11'!H$583</f>
        <v xml:space="preserve">Item/
Service Verified Amounts
</v>
      </c>
      <c r="F4635" s="211" t="str">
        <f>'IWP11'!I$583</f>
        <v>Amount Due to DADS (E. - D.)</v>
      </c>
      <c r="G4635" s="191" t="str">
        <f>IF('IWP11'!J$583=0,"",'IWP11'!J$583)</f>
        <v>Amount Reimbursed to 
Employee(s)/Employer</v>
      </c>
      <c r="H4635" s="211">
        <f>'IWP11'!K$583</f>
        <v>0</v>
      </c>
      <c r="I4635" s="211" t="str">
        <f>'IWP11'!L$583</f>
        <v>Amount Due to Employee(s) (G. - E.)</v>
      </c>
      <c r="J4635" s="212" t="str">
        <f>'IWP11'!M$583</f>
        <v>Amount Due to Employer (G. - E.)</v>
      </c>
      <c r="K4635" s="106"/>
      <c r="L4635" s="106"/>
      <c r="M4635" s="129"/>
    </row>
    <row r="4636" spans="1:13" s="146" customFormat="1">
      <c r="A4636" s="193" t="s">
        <v>509</v>
      </c>
      <c r="B4636" s="210">
        <v>15</v>
      </c>
      <c r="C4636" s="191" t="str">
        <f>IF('IWP11'!E$584=0,"",'IWP11'!E$584)</f>
        <v>Item/Service</v>
      </c>
      <c r="D4636" s="211" t="str">
        <f>'IWP11'!G$584</f>
        <v>Itemized Amount Paid by DADS</v>
      </c>
      <c r="E4636" s="211">
        <f>'IWP11'!H$584</f>
        <v>0</v>
      </c>
      <c r="F4636" s="211">
        <f>'IWP11'!I$584</f>
        <v>0</v>
      </c>
      <c r="G4636" s="191" t="str">
        <f>IF('IWP11'!J$584=0,"",'IWP11'!J$584)</f>
        <v/>
      </c>
      <c r="H4636" s="211">
        <f>'IWP11'!K$584</f>
        <v>0</v>
      </c>
      <c r="I4636" s="211">
        <f>'IWP11'!L$584</f>
        <v>0</v>
      </c>
      <c r="J4636" s="212">
        <f>'IWP11'!M$584</f>
        <v>0</v>
      </c>
      <c r="K4636" s="106"/>
      <c r="L4636" s="106"/>
      <c r="M4636" s="129"/>
    </row>
    <row r="4637" spans="1:13" s="146" customFormat="1">
      <c r="A4637" s="193" t="s">
        <v>509</v>
      </c>
      <c r="B4637" s="210">
        <v>15</v>
      </c>
      <c r="C4637" s="191" t="str">
        <f>IF('IWP11'!E$585=0,"",'IWP11'!E$585)</f>
        <v/>
      </c>
      <c r="D4637" s="211">
        <f>'IWP11'!G$585</f>
        <v>0</v>
      </c>
      <c r="E4637" s="211">
        <f>'IWP11'!H$585</f>
        <v>0</v>
      </c>
      <c r="F4637" s="211">
        <f>'IWP11'!I$585</f>
        <v>0</v>
      </c>
      <c r="G4637" s="191" t="str">
        <f>IF('IWP11'!J$585=0,"",'IWP11'!J$585)</f>
        <v/>
      </c>
      <c r="H4637" s="211">
        <f>'IWP11'!K$585</f>
        <v>0</v>
      </c>
      <c r="I4637" s="211">
        <f>'IWP11'!L$585</f>
        <v>0</v>
      </c>
      <c r="J4637" s="212">
        <f>'IWP11'!M$585</f>
        <v>0</v>
      </c>
      <c r="K4637" s="106"/>
      <c r="L4637" s="106"/>
      <c r="M4637" s="129"/>
    </row>
    <row r="4638" spans="1:13" s="146" customFormat="1">
      <c r="A4638" s="193" t="s">
        <v>509</v>
      </c>
      <c r="B4638" s="210">
        <v>15</v>
      </c>
      <c r="C4638" s="191" t="str">
        <f>IF('IWP11'!E$586=0,"",'IWP11'!E$586)</f>
        <v/>
      </c>
      <c r="D4638" s="211">
        <f>'IWP11'!G$586</f>
        <v>0</v>
      </c>
      <c r="E4638" s="211">
        <f>'IWP11'!H$586</f>
        <v>0</v>
      </c>
      <c r="F4638" s="211">
        <f>'IWP11'!I$586</f>
        <v>0</v>
      </c>
      <c r="G4638" s="191" t="str">
        <f>IF('IWP11'!J$586=0,"",'IWP11'!J$586)</f>
        <v/>
      </c>
      <c r="H4638" s="211">
        <f>'IWP11'!K$586</f>
        <v>0</v>
      </c>
      <c r="I4638" s="211">
        <f>'IWP11'!L$586</f>
        <v>0</v>
      </c>
      <c r="J4638" s="212">
        <f>'IWP11'!M$586</f>
        <v>0</v>
      </c>
      <c r="K4638" s="106"/>
      <c r="L4638" s="106"/>
      <c r="M4638" s="129"/>
    </row>
    <row r="4639" spans="1:13" s="146" customFormat="1">
      <c r="A4639" s="193" t="s">
        <v>509</v>
      </c>
      <c r="B4639" s="210">
        <v>15</v>
      </c>
      <c r="C4639" s="191" t="str">
        <f>IF('IWP11'!E$587=0,"",'IWP11'!E$587)</f>
        <v/>
      </c>
      <c r="D4639" s="211">
        <f>'IWP11'!G$587</f>
        <v>0</v>
      </c>
      <c r="E4639" s="211">
        <f>'IWP11'!H$587</f>
        <v>0</v>
      </c>
      <c r="F4639" s="211">
        <f>'IWP11'!I$587</f>
        <v>0</v>
      </c>
      <c r="G4639" s="191" t="str">
        <f>IF('IWP11'!J$587=0,"",'IWP11'!J$587)</f>
        <v/>
      </c>
      <c r="H4639" s="211">
        <f>'IWP11'!K$587</f>
        <v>0</v>
      </c>
      <c r="I4639" s="211">
        <f>'IWP11'!L$587</f>
        <v>0</v>
      </c>
      <c r="J4639" s="212">
        <f>'IWP11'!M$587</f>
        <v>0</v>
      </c>
      <c r="K4639" s="106"/>
      <c r="L4639" s="106"/>
      <c r="M4639" s="129"/>
    </row>
    <row r="4640" spans="1:13" s="146" customFormat="1">
      <c r="A4640" s="193" t="s">
        <v>509</v>
      </c>
      <c r="B4640" s="210">
        <v>15</v>
      </c>
      <c r="C4640" s="191" t="str">
        <f>IF('IWP11'!E$588=0,"",'IWP11'!E$588)</f>
        <v/>
      </c>
      <c r="D4640" s="211">
        <f>'IWP11'!G$588</f>
        <v>0</v>
      </c>
      <c r="E4640" s="211">
        <f>'IWP11'!H$588</f>
        <v>0</v>
      </c>
      <c r="F4640" s="211">
        <f>'IWP11'!I$588</f>
        <v>0</v>
      </c>
      <c r="G4640" s="191" t="str">
        <f>IF('IWP11'!J$588=0,"",'IWP11'!J$588)</f>
        <v/>
      </c>
      <c r="H4640" s="211">
        <f>'IWP11'!K$588</f>
        <v>0</v>
      </c>
      <c r="I4640" s="211">
        <f>'IWP11'!L$588</f>
        <v>0</v>
      </c>
      <c r="J4640" s="212">
        <f>'IWP11'!M$588</f>
        <v>0</v>
      </c>
      <c r="K4640" s="106"/>
      <c r="L4640" s="106"/>
      <c r="M4640" s="129"/>
    </row>
    <row r="4641" spans="1:13" s="146" customFormat="1">
      <c r="A4641" s="193" t="s">
        <v>509</v>
      </c>
      <c r="B4641" s="210">
        <v>16</v>
      </c>
      <c r="C4641" s="191" t="str">
        <f>IF('IWP11'!E$595=0,"",'IWP11'!E$595)</f>
        <v>Subtotal column D.</v>
      </c>
      <c r="D4641" s="211">
        <f>'IWP11'!G$595</f>
        <v>0</v>
      </c>
      <c r="E4641" s="211">
        <f>'IWP11'!H$595</f>
        <v>0</v>
      </c>
      <c r="F4641" s="211">
        <f>'IWP11'!I$595</f>
        <v>0</v>
      </c>
      <c r="G4641" s="191" t="str">
        <f>IF('IWP11'!J$595=0,"",'IWP11'!J$595)</f>
        <v/>
      </c>
      <c r="H4641" s="211">
        <f>'IWP11'!K$595</f>
        <v>0</v>
      </c>
      <c r="I4641" s="211">
        <f>'IWP11'!L$595</f>
        <v>0</v>
      </c>
      <c r="J4641" s="212">
        <f>'IWP11'!M$595</f>
        <v>0</v>
      </c>
      <c r="K4641" s="106"/>
      <c r="L4641" s="106"/>
      <c r="M4641" s="129"/>
    </row>
    <row r="4642" spans="1:13" s="146" customFormat="1">
      <c r="A4642" s="193" t="s">
        <v>509</v>
      </c>
      <c r="B4642" s="210">
        <v>16</v>
      </c>
      <c r="C4642" s="191" t="str">
        <f>IF('IWP11'!E$596=0,"",'IWP11'!E$596)</f>
        <v>Unverified/Undocumented (Subtotal D - C)</v>
      </c>
      <c r="D4642" s="211">
        <f>'IWP11'!G$596</f>
        <v>0</v>
      </c>
      <c r="E4642" s="211">
        <f>'IWP11'!H$596</f>
        <v>0</v>
      </c>
      <c r="F4642" s="211">
        <f>'IWP11'!I$596</f>
        <v>0</v>
      </c>
      <c r="G4642" s="191" t="str">
        <f>IF('IWP11'!J$596=0,"",'IWP11'!J$596)</f>
        <v/>
      </c>
      <c r="H4642" s="211">
        <f>'IWP11'!K$596</f>
        <v>0</v>
      </c>
      <c r="I4642" s="211">
        <f>'IWP11'!L$596</f>
        <v>0</v>
      </c>
      <c r="J4642" s="212">
        <f>'IWP11'!M$596</f>
        <v>0</v>
      </c>
      <c r="K4642" s="106"/>
      <c r="L4642" s="106"/>
      <c r="M4642" s="129"/>
    </row>
    <row r="4643" spans="1:13" s="146" customFormat="1">
      <c r="A4643" s="193" t="s">
        <v>509</v>
      </c>
      <c r="B4643" s="210">
        <v>16</v>
      </c>
      <c r="C4643" s="191" t="str">
        <f>IF('IWP11'!E$597=0,"",'IWP11'!E$597)</f>
        <v>J. Billing Period Total</v>
      </c>
      <c r="D4643" s="211">
        <f>'IWP11'!G$597</f>
        <v>0</v>
      </c>
      <c r="E4643" s="211">
        <f>'IWP11'!H$597</f>
        <v>0</v>
      </c>
      <c r="F4643" s="211">
        <f>'IWP11'!I$597</f>
        <v>0</v>
      </c>
      <c r="G4643" s="191" t="str">
        <f>IF('IWP11'!J$597=0,"",'IWP11'!J$597)</f>
        <v/>
      </c>
      <c r="H4643" s="211">
        <f>'IWP11'!K$597</f>
        <v>0</v>
      </c>
      <c r="I4643" s="211">
        <f>'IWP11'!L$597</f>
        <v>0</v>
      </c>
      <c r="J4643" s="212">
        <f>'IWP11'!M$597</f>
        <v>0</v>
      </c>
      <c r="K4643" s="106"/>
      <c r="L4643" s="106"/>
      <c r="M4643" s="129"/>
    </row>
    <row r="4644" spans="1:13" s="146" customFormat="1">
      <c r="A4644" s="193" t="s">
        <v>509</v>
      </c>
      <c r="B4644" s="210">
        <v>16</v>
      </c>
      <c r="C4644" s="191" t="str">
        <f>IF('IWP11'!E$598=0,"",'IWP11'!E$598)</f>
        <v>D.</v>
      </c>
      <c r="D4644" s="211">
        <f>'IWP11'!G$598</f>
        <v>0</v>
      </c>
      <c r="E4644" s="211" t="str">
        <f>'IWP11'!H$598</f>
        <v>E.</v>
      </c>
      <c r="F4644" s="211" t="str">
        <f>'IWP11'!I$598</f>
        <v>F.</v>
      </c>
      <c r="G4644" s="191" t="str">
        <f>IF('IWP11'!J$598=0,"",'IWP11'!J$598)</f>
        <v>G.</v>
      </c>
      <c r="H4644" s="211">
        <f>'IWP11'!K$598</f>
        <v>0</v>
      </c>
      <c r="I4644" s="211" t="str">
        <f>'IWP11'!L$598</f>
        <v>H.</v>
      </c>
      <c r="J4644" s="212" t="str">
        <f>'IWP11'!M$598</f>
        <v>I.</v>
      </c>
      <c r="K4644" s="106"/>
      <c r="L4644" s="106"/>
      <c r="M4644" s="129"/>
    </row>
    <row r="4645" spans="1:13" s="146" customFormat="1">
      <c r="A4645" s="193" t="s">
        <v>509</v>
      </c>
      <c r="B4645" s="210">
        <v>16</v>
      </c>
      <c r="C4645" s="191" t="str">
        <f>IF('IWP11'!E$599=0,"",'IWP11'!E$599)</f>
        <v xml:space="preserve">Items/Services Related to Billing Period </v>
      </c>
      <c r="D4645" s="211">
        <f>'IWP11'!G$599</f>
        <v>0</v>
      </c>
      <c r="E4645" s="211" t="str">
        <f>'IWP11'!H$599</f>
        <v xml:space="preserve">Item/
Service Verified Amounts
</v>
      </c>
      <c r="F4645" s="211" t="str">
        <f>'IWP11'!I$599</f>
        <v>Amount Due to DADS (E. - D.)</v>
      </c>
      <c r="G4645" s="191" t="str">
        <f>IF('IWP11'!J$599=0,"",'IWP11'!J$599)</f>
        <v>Amount Reimbursed to 
Employee(s)/Employer</v>
      </c>
      <c r="H4645" s="211">
        <f>'IWP11'!K$599</f>
        <v>0</v>
      </c>
      <c r="I4645" s="211" t="str">
        <f>'IWP11'!L$599</f>
        <v>Amount Due to Employee(s) (G. - E.)</v>
      </c>
      <c r="J4645" s="212" t="str">
        <f>'IWP11'!M$599</f>
        <v>Amount Due to Employer (G. - E.)</v>
      </c>
      <c r="K4645" s="106"/>
      <c r="L4645" s="106"/>
      <c r="M4645" s="129"/>
    </row>
    <row r="4646" spans="1:13" s="146" customFormat="1">
      <c r="A4646" s="193" t="s">
        <v>509</v>
      </c>
      <c r="B4646" s="210">
        <v>16</v>
      </c>
      <c r="C4646" s="191" t="str">
        <f>IF('IWP11'!E$600=0,"",'IWP11'!E$600)</f>
        <v>Item/Service</v>
      </c>
      <c r="D4646" s="211" t="str">
        <f>'IWP11'!G$600</f>
        <v>Itemized Amount Paid by DADS</v>
      </c>
      <c r="E4646" s="211">
        <f>'IWP11'!H$600</f>
        <v>0</v>
      </c>
      <c r="F4646" s="211">
        <f>'IWP11'!I$600</f>
        <v>0</v>
      </c>
      <c r="G4646" s="191" t="str">
        <f>IF('IWP11'!J$600=0,"",'IWP11'!J$600)</f>
        <v/>
      </c>
      <c r="H4646" s="211">
        <f>'IWP11'!K$600</f>
        <v>0</v>
      </c>
      <c r="I4646" s="211">
        <f>'IWP11'!L$600</f>
        <v>0</v>
      </c>
      <c r="J4646" s="212">
        <f>'IWP11'!M$600</f>
        <v>0</v>
      </c>
      <c r="K4646" s="106"/>
      <c r="L4646" s="106"/>
      <c r="M4646" s="129"/>
    </row>
    <row r="4647" spans="1:13" s="146" customFormat="1">
      <c r="A4647" s="193" t="s">
        <v>509</v>
      </c>
      <c r="B4647" s="210">
        <v>16</v>
      </c>
      <c r="C4647" s="191" t="str">
        <f>IF('IWP11'!E$601=0,"",'IWP11'!E$601)</f>
        <v/>
      </c>
      <c r="D4647" s="211">
        <f>'IWP11'!G$601</f>
        <v>0</v>
      </c>
      <c r="E4647" s="211">
        <f>'IWP11'!H$601</f>
        <v>0</v>
      </c>
      <c r="F4647" s="211">
        <f>'IWP11'!I$601</f>
        <v>0</v>
      </c>
      <c r="G4647" s="191" t="str">
        <f>IF('IWP11'!J$601=0,"",'IWP11'!J$601)</f>
        <v/>
      </c>
      <c r="H4647" s="211">
        <f>'IWP11'!K$601</f>
        <v>0</v>
      </c>
      <c r="I4647" s="211">
        <f>'IWP11'!L$601</f>
        <v>0</v>
      </c>
      <c r="J4647" s="212">
        <f>'IWP11'!M$601</f>
        <v>0</v>
      </c>
      <c r="K4647" s="106"/>
      <c r="L4647" s="106"/>
      <c r="M4647" s="129"/>
    </row>
    <row r="4648" spans="1:13" s="146" customFormat="1">
      <c r="A4648" s="193" t="s">
        <v>509</v>
      </c>
      <c r="B4648" s="210">
        <v>16</v>
      </c>
      <c r="C4648" s="191" t="str">
        <f>IF('IWP11'!E$602=0,"",'IWP11'!E$602)</f>
        <v/>
      </c>
      <c r="D4648" s="211">
        <f>'IWP11'!G$602</f>
        <v>0</v>
      </c>
      <c r="E4648" s="211">
        <f>'IWP11'!H$602</f>
        <v>0</v>
      </c>
      <c r="F4648" s="211">
        <f>'IWP11'!I$602</f>
        <v>0</v>
      </c>
      <c r="G4648" s="191" t="str">
        <f>IF('IWP11'!J$602=0,"",'IWP11'!J$602)</f>
        <v/>
      </c>
      <c r="H4648" s="211">
        <f>'IWP11'!K$602</f>
        <v>0</v>
      </c>
      <c r="I4648" s="211">
        <f>'IWP11'!L$602</f>
        <v>0</v>
      </c>
      <c r="J4648" s="212">
        <f>'IWP11'!M$602</f>
        <v>0</v>
      </c>
      <c r="K4648" s="106"/>
      <c r="L4648" s="106"/>
      <c r="M4648" s="129"/>
    </row>
    <row r="4649" spans="1:13" s="146" customFormat="1">
      <c r="A4649" s="193" t="s">
        <v>509</v>
      </c>
      <c r="B4649" s="210">
        <v>16</v>
      </c>
      <c r="C4649" s="191" t="str">
        <f>IF('IWP11'!E$603=0,"",'IWP11'!E$603)</f>
        <v/>
      </c>
      <c r="D4649" s="211">
        <f>'IWP11'!G$603</f>
        <v>0</v>
      </c>
      <c r="E4649" s="211">
        <f>'IWP11'!H$603</f>
        <v>0</v>
      </c>
      <c r="F4649" s="211">
        <f>'IWP11'!I$603</f>
        <v>0</v>
      </c>
      <c r="G4649" s="191" t="str">
        <f>IF('IWP11'!J$603=0,"",'IWP11'!J$603)</f>
        <v/>
      </c>
      <c r="H4649" s="211">
        <f>'IWP11'!K$603</f>
        <v>0</v>
      </c>
      <c r="I4649" s="211">
        <f>'IWP11'!L$603</f>
        <v>0</v>
      </c>
      <c r="J4649" s="212">
        <f>'IWP11'!M$603</f>
        <v>0</v>
      </c>
      <c r="K4649" s="106"/>
      <c r="L4649" s="106"/>
      <c r="M4649" s="129"/>
    </row>
    <row r="4650" spans="1:13" s="146" customFormat="1">
      <c r="A4650" s="193" t="s">
        <v>509</v>
      </c>
      <c r="B4650" s="210">
        <v>16</v>
      </c>
      <c r="C4650" s="191" t="str">
        <f>IF('IWP11'!E$604=0,"",'IWP11'!E$604)</f>
        <v/>
      </c>
      <c r="D4650" s="211">
        <f>'IWP11'!G$604</f>
        <v>0</v>
      </c>
      <c r="E4650" s="211">
        <f>'IWP11'!H$604</f>
        <v>0</v>
      </c>
      <c r="F4650" s="211">
        <f>'IWP11'!I$604</f>
        <v>0</v>
      </c>
      <c r="G4650" s="191" t="str">
        <f>IF('IWP11'!J$604=0,"",'IWP11'!J$604)</f>
        <v/>
      </c>
      <c r="H4650" s="211">
        <f>'IWP11'!K$604</f>
        <v>0</v>
      </c>
      <c r="I4650" s="211">
        <f>'IWP11'!L$604</f>
        <v>0</v>
      </c>
      <c r="J4650" s="212">
        <f>'IWP11'!M$604</f>
        <v>0</v>
      </c>
      <c r="K4650" s="106"/>
      <c r="L4650" s="106"/>
      <c r="M4650" s="129"/>
    </row>
    <row r="4651" spans="1:13" s="146" customFormat="1">
      <c r="A4651" s="193" t="s">
        <v>509</v>
      </c>
      <c r="B4651" s="210">
        <v>17</v>
      </c>
      <c r="C4651" s="191" t="str">
        <f>IF('IWP11'!E$611=0,"",'IWP11'!E$611)</f>
        <v>Subtotal column D.</v>
      </c>
      <c r="D4651" s="211">
        <f>'IWP11'!G$611</f>
        <v>0</v>
      </c>
      <c r="E4651" s="211">
        <f>'IWP11'!H$611</f>
        <v>0</v>
      </c>
      <c r="F4651" s="211">
        <f>'IWP11'!I$611</f>
        <v>0</v>
      </c>
      <c r="G4651" s="191" t="str">
        <f>IF('IWP11'!J$611=0,"",'IWP11'!J$611)</f>
        <v/>
      </c>
      <c r="H4651" s="211">
        <f>'IWP11'!K$611</f>
        <v>0</v>
      </c>
      <c r="I4651" s="211">
        <f>'IWP11'!L$611</f>
        <v>0</v>
      </c>
      <c r="J4651" s="212">
        <f>'IWP11'!M$611</f>
        <v>0</v>
      </c>
      <c r="K4651" s="106"/>
      <c r="L4651" s="106"/>
      <c r="M4651" s="129"/>
    </row>
    <row r="4652" spans="1:13" s="146" customFormat="1">
      <c r="A4652" s="193" t="s">
        <v>509</v>
      </c>
      <c r="B4652" s="210">
        <v>17</v>
      </c>
      <c r="C4652" s="191" t="str">
        <f>IF('IWP11'!E$612=0,"",'IWP11'!E$612)</f>
        <v>Unverified/Undocumented (Subtotal D - C)</v>
      </c>
      <c r="D4652" s="211">
        <f>'IWP11'!G$612</f>
        <v>0</v>
      </c>
      <c r="E4652" s="211">
        <f>'IWP11'!H$612</f>
        <v>0</v>
      </c>
      <c r="F4652" s="211">
        <f>'IWP11'!I$612</f>
        <v>0</v>
      </c>
      <c r="G4652" s="191" t="str">
        <f>IF('IWP11'!J$612=0,"",'IWP11'!J$612)</f>
        <v/>
      </c>
      <c r="H4652" s="211">
        <f>'IWP11'!K$612</f>
        <v>0</v>
      </c>
      <c r="I4652" s="211">
        <f>'IWP11'!L$612</f>
        <v>0</v>
      </c>
      <c r="J4652" s="212">
        <f>'IWP11'!M$612</f>
        <v>0</v>
      </c>
      <c r="K4652" s="106"/>
      <c r="L4652" s="106"/>
      <c r="M4652" s="129"/>
    </row>
    <row r="4653" spans="1:13" s="146" customFormat="1">
      <c r="A4653" s="193" t="s">
        <v>509</v>
      </c>
      <c r="B4653" s="210">
        <v>17</v>
      </c>
      <c r="C4653" s="191" t="str">
        <f>IF('IWP11'!E$613=0,"",'IWP11'!E$613)</f>
        <v>J. Billing Period Total</v>
      </c>
      <c r="D4653" s="211">
        <f>'IWP11'!G$613</f>
        <v>0</v>
      </c>
      <c r="E4653" s="211">
        <f>'IWP11'!H$613</f>
        <v>0</v>
      </c>
      <c r="F4653" s="211">
        <f>'IWP11'!I$613</f>
        <v>0</v>
      </c>
      <c r="G4653" s="191" t="str">
        <f>IF('IWP11'!J$613=0,"",'IWP11'!J$613)</f>
        <v/>
      </c>
      <c r="H4653" s="211">
        <f>'IWP11'!K$613</f>
        <v>0</v>
      </c>
      <c r="I4653" s="211">
        <f>'IWP11'!L$613</f>
        <v>0</v>
      </c>
      <c r="J4653" s="212">
        <f>'IWP11'!M$613</f>
        <v>0</v>
      </c>
      <c r="K4653" s="106"/>
      <c r="L4653" s="106"/>
      <c r="M4653" s="129"/>
    </row>
    <row r="4654" spans="1:13" s="146" customFormat="1">
      <c r="A4654" s="193" t="s">
        <v>509</v>
      </c>
      <c r="B4654" s="210">
        <v>17</v>
      </c>
      <c r="C4654" s="191" t="str">
        <f>IF('IWP11'!E$614=0,"",'IWP11'!E$614)</f>
        <v/>
      </c>
      <c r="D4654" s="211">
        <f>'IWP11'!G$614</f>
        <v>0</v>
      </c>
      <c r="E4654" s="211">
        <f>'IWP11'!H$614</f>
        <v>0</v>
      </c>
      <c r="F4654" s="211">
        <f>'IWP11'!I$614</f>
        <v>0</v>
      </c>
      <c r="G4654" s="191" t="str">
        <f>IF('IWP11'!J$614=0,"",'IWP11'!J$614)</f>
        <v/>
      </c>
      <c r="H4654" s="211">
        <f>'IWP11'!K$614</f>
        <v>0</v>
      </c>
      <c r="I4654" s="211">
        <f>'IWP11'!L$614</f>
        <v>0</v>
      </c>
      <c r="J4654" s="212">
        <f>'IWP11'!M$614</f>
        <v>0</v>
      </c>
      <c r="K4654" s="106"/>
      <c r="L4654" s="106"/>
      <c r="M4654" s="129"/>
    </row>
    <row r="4655" spans="1:13" s="146" customFormat="1">
      <c r="A4655" s="193" t="s">
        <v>509</v>
      </c>
      <c r="B4655" s="210">
        <v>17</v>
      </c>
      <c r="C4655" s="191" t="str">
        <f>IF('IWP11'!E$615=0,"",'IWP11'!E$615)</f>
        <v/>
      </c>
      <c r="D4655" s="211">
        <f>'IWP11'!G$615</f>
        <v>0</v>
      </c>
      <c r="E4655" s="211">
        <f>'IWP11'!H$615</f>
        <v>0</v>
      </c>
      <c r="F4655" s="211">
        <f>'IWP11'!I$615</f>
        <v>0</v>
      </c>
      <c r="G4655" s="191" t="str">
        <f>IF('IWP11'!J$615=0,"",'IWP11'!J$615)</f>
        <v/>
      </c>
      <c r="H4655" s="211">
        <f>'IWP11'!K$615</f>
        <v>0</v>
      </c>
      <c r="I4655" s="211">
        <f>'IWP11'!L$615</f>
        <v>0</v>
      </c>
      <c r="J4655" s="212">
        <f>'IWP11'!M$615</f>
        <v>0</v>
      </c>
      <c r="K4655" s="106"/>
      <c r="L4655" s="106"/>
      <c r="M4655" s="129"/>
    </row>
    <row r="4656" spans="1:13" s="146" customFormat="1">
      <c r="A4656" s="193" t="s">
        <v>509</v>
      </c>
      <c r="B4656" s="210">
        <v>17</v>
      </c>
      <c r="C4656" s="191" t="str">
        <f>IF('IWP11'!E$616=0,"",'IWP11'!E$616)</f>
        <v/>
      </c>
      <c r="D4656" s="211">
        <f>'IWP11'!G$616</f>
        <v>0</v>
      </c>
      <c r="E4656" s="211">
        <f>'IWP11'!H$616</f>
        <v>0</v>
      </c>
      <c r="F4656" s="211">
        <f>'IWP11'!I$616</f>
        <v>0</v>
      </c>
      <c r="G4656" s="191" t="str">
        <f>IF('IWP11'!J$616=0,"",'IWP11'!J$616)</f>
        <v/>
      </c>
      <c r="H4656" s="211">
        <f>'IWP11'!K$616</f>
        <v>0</v>
      </c>
      <c r="I4656" s="211">
        <f>'IWP11'!L$616</f>
        <v>0</v>
      </c>
      <c r="J4656" s="212">
        <f>'IWP11'!M$616</f>
        <v>0</v>
      </c>
      <c r="K4656" s="106"/>
      <c r="L4656" s="106"/>
      <c r="M4656" s="129"/>
    </row>
    <row r="4657" spans="1:13" s="146" customFormat="1">
      <c r="A4657" s="193" t="s">
        <v>509</v>
      </c>
      <c r="B4657" s="210">
        <v>17</v>
      </c>
      <c r="C4657" s="191" t="str">
        <f>IF('IWP11'!E$617=0,"",'IWP11'!E$617)</f>
        <v/>
      </c>
      <c r="D4657" s="211">
        <f>'IWP11'!G$617</f>
        <v>0</v>
      </c>
      <c r="E4657" s="211">
        <f>'IWP11'!H$617</f>
        <v>0</v>
      </c>
      <c r="F4657" s="211">
        <f>'IWP11'!I$617</f>
        <v>0</v>
      </c>
      <c r="G4657" s="191" t="str">
        <f>IF('IWP11'!J$617=0,"",'IWP11'!J$617)</f>
        <v/>
      </c>
      <c r="H4657" s="211">
        <f>'IWP11'!K$617</f>
        <v>0</v>
      </c>
      <c r="I4657" s="211">
        <f>'IWP11'!L$617</f>
        <v>0</v>
      </c>
      <c r="J4657" s="212">
        <f>'IWP11'!M$617</f>
        <v>0</v>
      </c>
      <c r="K4657" s="106"/>
      <c r="L4657" s="106"/>
      <c r="M4657" s="129"/>
    </row>
    <row r="4658" spans="1:13" s="146" customFormat="1">
      <c r="A4658" s="193" t="s">
        <v>509</v>
      </c>
      <c r="B4658" s="210">
        <v>17</v>
      </c>
      <c r="C4658" s="191" t="str">
        <f>IF('IWP11'!E$618=0,"",'IWP11'!E$618)</f>
        <v/>
      </c>
      <c r="D4658" s="211">
        <f>'IWP11'!G$618</f>
        <v>0</v>
      </c>
      <c r="E4658" s="211">
        <f>'IWP11'!H$618</f>
        <v>0</v>
      </c>
      <c r="F4658" s="211">
        <f>'IWP11'!I$618</f>
        <v>0</v>
      </c>
      <c r="G4658" s="191" t="str">
        <f>IF('IWP11'!J$618=0,"",'IWP11'!J$618)</f>
        <v/>
      </c>
      <c r="H4658" s="211">
        <f>'IWP11'!K$618</f>
        <v>0</v>
      </c>
      <c r="I4658" s="211">
        <f>'IWP11'!L$618</f>
        <v>0</v>
      </c>
      <c r="J4658" s="212">
        <f>'IWP11'!M$618</f>
        <v>0</v>
      </c>
      <c r="K4658" s="106"/>
      <c r="L4658" s="106"/>
      <c r="M4658" s="129"/>
    </row>
    <row r="4659" spans="1:13" s="146" customFormat="1">
      <c r="A4659" s="193" t="s">
        <v>509</v>
      </c>
      <c r="B4659" s="210">
        <v>17</v>
      </c>
      <c r="C4659" s="191" t="str">
        <f>IF('IWP11'!E$619=0,"",'IWP11'!E$619)</f>
        <v/>
      </c>
      <c r="D4659" s="211">
        <f>'IWP11'!G$619</f>
        <v>0</v>
      </c>
      <c r="E4659" s="211">
        <f>'IWP11'!H$619</f>
        <v>0</v>
      </c>
      <c r="F4659" s="211">
        <f>'IWP11'!I$619</f>
        <v>0</v>
      </c>
      <c r="G4659" s="191" t="str">
        <f>IF('IWP11'!J$619=0,"",'IWP11'!J$619)</f>
        <v/>
      </c>
      <c r="H4659" s="211">
        <f>'IWP11'!K$619</f>
        <v>0</v>
      </c>
      <c r="I4659" s="211">
        <f>'IWP11'!L$619</f>
        <v>0</v>
      </c>
      <c r="J4659" s="212">
        <f>'IWP11'!M$619</f>
        <v>0</v>
      </c>
      <c r="K4659" s="106"/>
      <c r="L4659" s="106"/>
      <c r="M4659" s="129"/>
    </row>
    <row r="4660" spans="1:13" s="146" customFormat="1">
      <c r="A4660" s="193" t="s">
        <v>509</v>
      </c>
      <c r="B4660" s="210">
        <v>17</v>
      </c>
      <c r="C4660" s="191" t="str">
        <f>IF('IWP11'!E$620=0,"",'IWP11'!E$620)</f>
        <v/>
      </c>
      <c r="D4660" s="211">
        <f>'IWP11'!G$620</f>
        <v>0</v>
      </c>
      <c r="E4660" s="211">
        <f>'IWP11'!H$620</f>
        <v>0</v>
      </c>
      <c r="F4660" s="211">
        <f>'IWP11'!I$620</f>
        <v>0</v>
      </c>
      <c r="G4660" s="191" t="str">
        <f>IF('IWP11'!J$620=0,"",'IWP11'!J$620)</f>
        <v/>
      </c>
      <c r="H4660" s="211">
        <f>'IWP11'!K$620</f>
        <v>0</v>
      </c>
      <c r="I4660" s="211">
        <f>'IWP11'!L$620</f>
        <v>0</v>
      </c>
      <c r="J4660" s="212">
        <f>'IWP11'!M$620</f>
        <v>0</v>
      </c>
      <c r="K4660" s="106"/>
      <c r="L4660" s="106"/>
      <c r="M4660" s="129"/>
    </row>
    <row r="4661" spans="1:13" s="146" customFormat="1">
      <c r="A4661" s="193" t="s">
        <v>509</v>
      </c>
      <c r="B4661" s="210">
        <v>18</v>
      </c>
      <c r="C4661" s="191" t="str">
        <f>IF('IWP11'!E$627=0,"",'IWP11'!E$627)</f>
        <v/>
      </c>
      <c r="D4661" s="211">
        <f>'IWP11'!G$627</f>
        <v>0</v>
      </c>
      <c r="E4661" s="211">
        <f>'IWP11'!H$627</f>
        <v>0</v>
      </c>
      <c r="F4661" s="211">
        <f>'IWP11'!I$627</f>
        <v>0</v>
      </c>
      <c r="G4661" s="191" t="str">
        <f>IF('IWP11'!J$627=0,"",'IWP11'!J$627)</f>
        <v/>
      </c>
      <c r="H4661" s="211">
        <f>'IWP11'!K$627</f>
        <v>0</v>
      </c>
      <c r="I4661" s="211">
        <f>'IWP11'!L$627</f>
        <v>0</v>
      </c>
      <c r="J4661" s="212">
        <f>'IWP11'!M$627</f>
        <v>0</v>
      </c>
      <c r="K4661" s="106"/>
      <c r="L4661" s="106"/>
      <c r="M4661" s="129"/>
    </row>
    <row r="4662" spans="1:13" s="146" customFormat="1">
      <c r="A4662" s="193" t="s">
        <v>509</v>
      </c>
      <c r="B4662" s="210">
        <v>18</v>
      </c>
      <c r="C4662" s="191" t="str">
        <f>IF('IWP11'!E$628=0,"",'IWP11'!E$628)</f>
        <v/>
      </c>
      <c r="D4662" s="211">
        <f>'IWP11'!G$628</f>
        <v>0</v>
      </c>
      <c r="E4662" s="211">
        <f>'IWP11'!H$628</f>
        <v>0</v>
      </c>
      <c r="F4662" s="211">
        <f>'IWP11'!I$628</f>
        <v>0</v>
      </c>
      <c r="G4662" s="191" t="str">
        <f>IF('IWP11'!J$628=0,"",'IWP11'!J$628)</f>
        <v/>
      </c>
      <c r="H4662" s="211">
        <f>'IWP11'!K$628</f>
        <v>0</v>
      </c>
      <c r="I4662" s="211">
        <f>'IWP11'!L$628</f>
        <v>0</v>
      </c>
      <c r="J4662" s="212">
        <f>'IWP11'!M$628</f>
        <v>0</v>
      </c>
      <c r="K4662" s="106"/>
      <c r="L4662" s="106"/>
      <c r="M4662" s="129"/>
    </row>
    <row r="4663" spans="1:13" s="146" customFormat="1">
      <c r="A4663" s="193" t="s">
        <v>509</v>
      </c>
      <c r="B4663" s="210">
        <v>18</v>
      </c>
      <c r="C4663" s="191" t="str">
        <f>IF('IWP11'!E$629=0,"",'IWP11'!E$629)</f>
        <v/>
      </c>
      <c r="D4663" s="211">
        <f>'IWP11'!G$629</f>
        <v>0</v>
      </c>
      <c r="E4663" s="211">
        <f>'IWP11'!H$629</f>
        <v>0</v>
      </c>
      <c r="F4663" s="211">
        <f>'IWP11'!I$629</f>
        <v>0</v>
      </c>
      <c r="G4663" s="191" t="str">
        <f>IF('IWP11'!J$629=0,"",'IWP11'!J$629)</f>
        <v/>
      </c>
      <c r="H4663" s="211">
        <f>'IWP11'!K$629</f>
        <v>0</v>
      </c>
      <c r="I4663" s="211">
        <f>'IWP11'!L$629</f>
        <v>0</v>
      </c>
      <c r="J4663" s="212">
        <f>'IWP11'!M$629</f>
        <v>0</v>
      </c>
      <c r="K4663" s="106"/>
      <c r="L4663" s="106"/>
      <c r="M4663" s="129"/>
    </row>
    <row r="4664" spans="1:13" s="146" customFormat="1">
      <c r="A4664" s="193" t="s">
        <v>509</v>
      </c>
      <c r="B4664" s="210">
        <v>18</v>
      </c>
      <c r="C4664" s="191" t="str">
        <f>IF('IWP11'!E$630=0,"",'IWP11'!E$630)</f>
        <v/>
      </c>
      <c r="D4664" s="211">
        <f>'IWP11'!G$630</f>
        <v>0</v>
      </c>
      <c r="E4664" s="211">
        <f>'IWP11'!H$630</f>
        <v>0</v>
      </c>
      <c r="F4664" s="211">
        <f>'IWP11'!I$630</f>
        <v>0</v>
      </c>
      <c r="G4664" s="191" t="str">
        <f>IF('IWP11'!J$630=0,"",'IWP11'!J$630)</f>
        <v/>
      </c>
      <c r="H4664" s="211">
        <f>'IWP11'!K$630</f>
        <v>0</v>
      </c>
      <c r="I4664" s="211">
        <f>'IWP11'!L$630</f>
        <v>0</v>
      </c>
      <c r="J4664" s="212">
        <f>'IWP11'!M$630</f>
        <v>0</v>
      </c>
      <c r="K4664" s="106"/>
      <c r="L4664" s="106"/>
      <c r="M4664" s="129"/>
    </row>
    <row r="4665" spans="1:13" s="146" customFormat="1">
      <c r="A4665" s="193" t="s">
        <v>509</v>
      </c>
      <c r="B4665" s="210">
        <v>18</v>
      </c>
      <c r="C4665" s="191" t="str">
        <f>IF('IWP11'!E$631=0,"",'IWP11'!E$631)</f>
        <v/>
      </c>
      <c r="D4665" s="211">
        <f>'IWP11'!G$631</f>
        <v>0</v>
      </c>
      <c r="E4665" s="211">
        <f>'IWP11'!H$631</f>
        <v>0</v>
      </c>
      <c r="F4665" s="211">
        <f>'IWP11'!I$631</f>
        <v>0</v>
      </c>
      <c r="G4665" s="191" t="str">
        <f>IF('IWP11'!J$631=0,"",'IWP11'!J$631)</f>
        <v/>
      </c>
      <c r="H4665" s="211">
        <f>'IWP11'!K$631</f>
        <v>0</v>
      </c>
      <c r="I4665" s="211">
        <f>'IWP11'!L$631</f>
        <v>0</v>
      </c>
      <c r="J4665" s="212">
        <f>'IWP11'!M$631</f>
        <v>0</v>
      </c>
      <c r="K4665" s="106"/>
      <c r="L4665" s="106"/>
      <c r="M4665" s="129"/>
    </row>
    <row r="4666" spans="1:13" s="146" customFormat="1">
      <c r="A4666" s="193" t="s">
        <v>509</v>
      </c>
      <c r="B4666" s="210">
        <v>18</v>
      </c>
      <c r="C4666" s="191" t="str">
        <f>IF('IWP11'!E$632=0,"",'IWP11'!E$632)</f>
        <v/>
      </c>
      <c r="D4666" s="211">
        <f>'IWP11'!G$632</f>
        <v>0</v>
      </c>
      <c r="E4666" s="211">
        <f>'IWP11'!H$632</f>
        <v>0</v>
      </c>
      <c r="F4666" s="211">
        <f>'IWP11'!I$632</f>
        <v>0</v>
      </c>
      <c r="G4666" s="191" t="str">
        <f>IF('IWP11'!J$632=0,"",'IWP11'!J$632)</f>
        <v/>
      </c>
      <c r="H4666" s="211">
        <f>'IWP11'!K$632</f>
        <v>0</v>
      </c>
      <c r="I4666" s="211">
        <f>'IWP11'!L$632</f>
        <v>0</v>
      </c>
      <c r="J4666" s="212">
        <f>'IWP11'!M$632</f>
        <v>0</v>
      </c>
      <c r="K4666" s="106"/>
      <c r="L4666" s="106"/>
      <c r="M4666" s="129"/>
    </row>
    <row r="4667" spans="1:13" s="146" customFormat="1">
      <c r="A4667" s="193" t="s">
        <v>509</v>
      </c>
      <c r="B4667" s="210">
        <v>18</v>
      </c>
      <c r="C4667" s="191" t="str">
        <f>IF('IWP11'!E$633=0,"",'IWP11'!E$633)</f>
        <v/>
      </c>
      <c r="D4667" s="211">
        <f>'IWP11'!G$633</f>
        <v>0</v>
      </c>
      <c r="E4667" s="211">
        <f>'IWP11'!H$633</f>
        <v>0</v>
      </c>
      <c r="F4667" s="211">
        <f>'IWP11'!I$633</f>
        <v>0</v>
      </c>
      <c r="G4667" s="191" t="str">
        <f>IF('IWP11'!J$633=0,"",'IWP11'!J$633)</f>
        <v/>
      </c>
      <c r="H4667" s="211">
        <f>'IWP11'!K$633</f>
        <v>0</v>
      </c>
      <c r="I4667" s="211">
        <f>'IWP11'!L$633</f>
        <v>0</v>
      </c>
      <c r="J4667" s="212">
        <f>'IWP11'!M$633</f>
        <v>0</v>
      </c>
      <c r="K4667" s="106"/>
      <c r="L4667" s="106"/>
      <c r="M4667" s="129"/>
    </row>
    <row r="4668" spans="1:13" s="146" customFormat="1">
      <c r="A4668" s="193" t="s">
        <v>509</v>
      </c>
      <c r="B4668" s="210">
        <v>18</v>
      </c>
      <c r="C4668" s="191" t="str">
        <f>IF('IWP11'!E$634=0,"",'IWP11'!E$634)</f>
        <v/>
      </c>
      <c r="D4668" s="211">
        <f>'IWP11'!G$634</f>
        <v>0</v>
      </c>
      <c r="E4668" s="211">
        <f>'IWP11'!H$634</f>
        <v>0</v>
      </c>
      <c r="F4668" s="211">
        <f>'IWP11'!I$634</f>
        <v>0</v>
      </c>
      <c r="G4668" s="191" t="str">
        <f>IF('IWP11'!J$634=0,"",'IWP11'!J$634)</f>
        <v/>
      </c>
      <c r="H4668" s="211">
        <f>'IWP11'!K$634</f>
        <v>0</v>
      </c>
      <c r="I4668" s="211">
        <f>'IWP11'!L$634</f>
        <v>0</v>
      </c>
      <c r="J4668" s="212">
        <f>'IWP11'!M$634</f>
        <v>0</v>
      </c>
      <c r="K4668" s="106"/>
      <c r="L4668" s="106"/>
      <c r="M4668" s="129"/>
    </row>
    <row r="4669" spans="1:13" s="146" customFormat="1">
      <c r="A4669" s="193" t="s">
        <v>509</v>
      </c>
      <c r="B4669" s="210">
        <v>18</v>
      </c>
      <c r="C4669" s="191" t="str">
        <f>IF('IWP11'!E$635=0,"",'IWP11'!E$635)</f>
        <v/>
      </c>
      <c r="D4669" s="211">
        <f>'IWP11'!G$635</f>
        <v>0</v>
      </c>
      <c r="E4669" s="211">
        <f>'IWP11'!H$635</f>
        <v>0</v>
      </c>
      <c r="F4669" s="211">
        <f>'IWP11'!I$635</f>
        <v>0</v>
      </c>
      <c r="G4669" s="191" t="str">
        <f>IF('IWP11'!J$635=0,"",'IWP11'!J$635)</f>
        <v/>
      </c>
      <c r="H4669" s="211">
        <f>'IWP11'!K$635</f>
        <v>0</v>
      </c>
      <c r="I4669" s="211">
        <f>'IWP11'!L$635</f>
        <v>0</v>
      </c>
      <c r="J4669" s="212">
        <f>'IWP11'!M$635</f>
        <v>0</v>
      </c>
      <c r="K4669" s="106"/>
      <c r="L4669" s="106"/>
      <c r="M4669" s="129"/>
    </row>
    <row r="4670" spans="1:13" s="146" customFormat="1">
      <c r="A4670" s="193" t="s">
        <v>509</v>
      </c>
      <c r="B4670" s="210">
        <v>18</v>
      </c>
      <c r="C4670" s="191" t="str">
        <f>IF('IWP11'!E$636=0,"",'IWP11'!E$636)</f>
        <v/>
      </c>
      <c r="D4670" s="211">
        <f>'IWP11'!G$636</f>
        <v>0</v>
      </c>
      <c r="E4670" s="211">
        <f>'IWP11'!H$636</f>
        <v>0</v>
      </c>
      <c r="F4670" s="211">
        <f>'IWP11'!I$636</f>
        <v>0</v>
      </c>
      <c r="G4670" s="191" t="str">
        <f>IF('IWP11'!J$636=0,"",'IWP11'!J$636)</f>
        <v/>
      </c>
      <c r="H4670" s="211">
        <f>'IWP11'!K$636</f>
        <v>0</v>
      </c>
      <c r="I4670" s="211">
        <f>'IWP11'!L$636</f>
        <v>0</v>
      </c>
      <c r="J4670" s="212">
        <f>'IWP11'!M$636</f>
        <v>0</v>
      </c>
      <c r="K4670" s="106"/>
      <c r="L4670" s="106"/>
      <c r="M4670" s="129"/>
    </row>
    <row r="4671" spans="1:13" s="146" customFormat="1">
      <c r="A4671" s="193" t="s">
        <v>510</v>
      </c>
      <c r="B4671" s="210">
        <v>1</v>
      </c>
      <c r="C4671" s="191" t="str">
        <f>IF('IWP12'!E$355=0,"",'IWP12'!E$355)</f>
        <v>Subtotal column D.</v>
      </c>
      <c r="D4671" s="211">
        <f>'IWP12'!G$355</f>
        <v>0</v>
      </c>
      <c r="E4671" s="211">
        <f>'IWP12'!H$355</f>
        <v>0</v>
      </c>
      <c r="F4671" s="211">
        <f>'IWP12'!I$355</f>
        <v>0</v>
      </c>
      <c r="G4671" s="191" t="str">
        <f>IF('IWP12'!J$355=0,"",'IWP12'!J$355)</f>
        <v/>
      </c>
      <c r="H4671" s="211">
        <f>'IWP12'!K$355</f>
        <v>0</v>
      </c>
      <c r="I4671" s="211">
        <f>'IWP12'!L$355</f>
        <v>0</v>
      </c>
      <c r="J4671" s="212">
        <f>'IWP12'!M$355</f>
        <v>0</v>
      </c>
      <c r="K4671" s="106"/>
      <c r="L4671" s="106"/>
      <c r="M4671" s="129"/>
    </row>
    <row r="4672" spans="1:13" s="146" customFormat="1">
      <c r="A4672" s="193" t="s">
        <v>510</v>
      </c>
      <c r="B4672" s="210">
        <v>1</v>
      </c>
      <c r="C4672" s="191" t="str">
        <f>IF('IWP12'!E$356=0,"",'IWP12'!E$356)</f>
        <v>Unverified/Undocumented (Subtotall D - C)</v>
      </c>
      <c r="D4672" s="211">
        <f>'IWP12'!G$356</f>
        <v>0</v>
      </c>
      <c r="E4672" s="211">
        <f>'IWP12'!H$356</f>
        <v>0</v>
      </c>
      <c r="F4672" s="211">
        <f>'IWP12'!I$356</f>
        <v>0</v>
      </c>
      <c r="G4672" s="191" t="str">
        <f>IF('IWP12'!J$356=0,"",'IWP12'!J$356)</f>
        <v/>
      </c>
      <c r="H4672" s="211">
        <f>'IWP12'!K$356</f>
        <v>0</v>
      </c>
      <c r="I4672" s="211">
        <f>'IWP12'!L$356</f>
        <v>0</v>
      </c>
      <c r="J4672" s="212">
        <f>'IWP12'!M$356</f>
        <v>0</v>
      </c>
      <c r="K4672" s="106"/>
      <c r="L4672" s="106"/>
      <c r="M4672" s="129"/>
    </row>
    <row r="4673" spans="1:13" s="146" customFormat="1">
      <c r="A4673" s="193" t="s">
        <v>510</v>
      </c>
      <c r="B4673" s="210">
        <v>1</v>
      </c>
      <c r="C4673" s="191" t="str">
        <f>IF('IWP12'!E$357=0,"",'IWP12'!E$357)</f>
        <v>J. Billing Period Total</v>
      </c>
      <c r="D4673" s="211">
        <f>'IWP12'!G$357</f>
        <v>0</v>
      </c>
      <c r="E4673" s="211">
        <f>'IWP12'!H$357</f>
        <v>0</v>
      </c>
      <c r="F4673" s="211">
        <f>'IWP12'!I$357</f>
        <v>0</v>
      </c>
      <c r="G4673" s="191" t="str">
        <f>IF('IWP12'!J$357=0,"",'IWP12'!J$357)</f>
        <v/>
      </c>
      <c r="H4673" s="211">
        <f>'IWP12'!K$357</f>
        <v>0</v>
      </c>
      <c r="I4673" s="211">
        <f>'IWP12'!L$357</f>
        <v>0</v>
      </c>
      <c r="J4673" s="212">
        <f>'IWP12'!M$357</f>
        <v>0</v>
      </c>
      <c r="K4673" s="106"/>
      <c r="L4673" s="106"/>
      <c r="M4673" s="129"/>
    </row>
    <row r="4674" spans="1:13" s="146" customFormat="1">
      <c r="A4674" s="193" t="s">
        <v>510</v>
      </c>
      <c r="B4674" s="210">
        <v>1</v>
      </c>
      <c r="C4674" s="191" t="str">
        <f>IF('IWP12'!E$358=0,"",'IWP12'!E$358)</f>
        <v>D.</v>
      </c>
      <c r="D4674" s="211">
        <f>'IWP12'!G$358</f>
        <v>0</v>
      </c>
      <c r="E4674" s="211" t="str">
        <f>'IWP12'!H$358</f>
        <v>E.</v>
      </c>
      <c r="F4674" s="211" t="str">
        <f>'IWP12'!I$358</f>
        <v>F.</v>
      </c>
      <c r="G4674" s="191" t="str">
        <f>IF('IWP12'!J$358=0,"",'IWP12'!J$358)</f>
        <v>G.</v>
      </c>
      <c r="H4674" s="211">
        <f>'IWP12'!K$358</f>
        <v>0</v>
      </c>
      <c r="I4674" s="211" t="str">
        <f>'IWP12'!L$358</f>
        <v>H.</v>
      </c>
      <c r="J4674" s="212" t="str">
        <f>'IWP12'!M$358</f>
        <v>I.</v>
      </c>
      <c r="K4674" s="106"/>
      <c r="L4674" s="106"/>
      <c r="M4674" s="129"/>
    </row>
    <row r="4675" spans="1:13" s="146" customFormat="1">
      <c r="A4675" s="193" t="s">
        <v>510</v>
      </c>
      <c r="B4675" s="210">
        <v>1</v>
      </c>
      <c r="C4675" s="191" t="str">
        <f>IF('IWP12'!E$359=0,"",'IWP12'!E$359)</f>
        <v xml:space="preserve">Items/Services Related to Billing Period </v>
      </c>
      <c r="D4675" s="211">
        <f>'IWP12'!G$359</f>
        <v>0</v>
      </c>
      <c r="E4675" s="211" t="str">
        <f>'IWP12'!H$359</f>
        <v xml:space="preserve">Item/
Service Verified Amounts
</v>
      </c>
      <c r="F4675" s="211" t="str">
        <f>'IWP12'!I$359</f>
        <v>Amount Due to DADS (E. - D.)</v>
      </c>
      <c r="G4675" s="191" t="str">
        <f>IF('IWP12'!J$359=0,"",'IWP12'!J$359)</f>
        <v>Amount Reimbursed to 
Employee(s)/Employer</v>
      </c>
      <c r="H4675" s="211">
        <f>'IWP12'!K$359</f>
        <v>0</v>
      </c>
      <c r="I4675" s="211" t="str">
        <f>'IWP12'!L$359</f>
        <v>Amount Due to Employee(s) (G. - E.)</v>
      </c>
      <c r="J4675" s="212" t="str">
        <f>'IWP12'!M$359</f>
        <v>Amount Due to Employer (G. - E.)</v>
      </c>
      <c r="K4675" s="106"/>
      <c r="L4675" s="106"/>
      <c r="M4675" s="129"/>
    </row>
    <row r="4676" spans="1:13" s="146" customFormat="1">
      <c r="A4676" s="193" t="s">
        <v>510</v>
      </c>
      <c r="B4676" s="210">
        <v>1</v>
      </c>
      <c r="C4676" s="191" t="str">
        <f>IF('IWP12'!E$360=0,"",'IWP12'!E$360)</f>
        <v>Item/Service</v>
      </c>
      <c r="D4676" s="211" t="str">
        <f>'IWP12'!G$360</f>
        <v>Itemized Amount Paid by DADS</v>
      </c>
      <c r="E4676" s="211">
        <f>'IWP12'!H$360</f>
        <v>0</v>
      </c>
      <c r="F4676" s="211">
        <f>'IWP12'!I$360</f>
        <v>0</v>
      </c>
      <c r="G4676" s="191" t="str">
        <f>IF('IWP12'!J$360=0,"",'IWP12'!J$360)</f>
        <v/>
      </c>
      <c r="H4676" s="211">
        <f>'IWP12'!K$360</f>
        <v>0</v>
      </c>
      <c r="I4676" s="211">
        <f>'IWP12'!L$360</f>
        <v>0</v>
      </c>
      <c r="J4676" s="212">
        <f>'IWP12'!M$360</f>
        <v>0</v>
      </c>
      <c r="K4676" s="106"/>
      <c r="L4676" s="106"/>
      <c r="M4676" s="129"/>
    </row>
    <row r="4677" spans="1:13" s="146" customFormat="1">
      <c r="A4677" s="193" t="s">
        <v>510</v>
      </c>
      <c r="B4677" s="210">
        <v>1</v>
      </c>
      <c r="C4677" s="191" t="str">
        <f>IF('IWP12'!E$361=0,"",'IWP12'!E$361)</f>
        <v/>
      </c>
      <c r="D4677" s="211">
        <f>'IWP12'!G$361</f>
        <v>0</v>
      </c>
      <c r="E4677" s="211">
        <f>'IWP12'!H$361</f>
        <v>0</v>
      </c>
      <c r="F4677" s="211">
        <f>'IWP12'!I$361</f>
        <v>0</v>
      </c>
      <c r="G4677" s="191" t="str">
        <f>IF('IWP12'!J$361=0,"",'IWP12'!J$361)</f>
        <v/>
      </c>
      <c r="H4677" s="211">
        <f>'IWP12'!K$361</f>
        <v>0</v>
      </c>
      <c r="I4677" s="211">
        <f>'IWP12'!L$361</f>
        <v>0</v>
      </c>
      <c r="J4677" s="212">
        <f>'IWP12'!M$361</f>
        <v>0</v>
      </c>
      <c r="K4677" s="106"/>
      <c r="L4677" s="106"/>
      <c r="M4677" s="129"/>
    </row>
    <row r="4678" spans="1:13" s="146" customFormat="1">
      <c r="A4678" s="193" t="s">
        <v>510</v>
      </c>
      <c r="B4678" s="210">
        <v>1</v>
      </c>
      <c r="C4678" s="191" t="str">
        <f>IF('IWP12'!E$362=0,"",'IWP12'!E$362)</f>
        <v/>
      </c>
      <c r="D4678" s="211">
        <f>'IWP12'!G$362</f>
        <v>0</v>
      </c>
      <c r="E4678" s="211">
        <f>'IWP12'!H$362</f>
        <v>0</v>
      </c>
      <c r="F4678" s="211">
        <f>'IWP12'!I$362</f>
        <v>0</v>
      </c>
      <c r="G4678" s="191" t="str">
        <f>IF('IWP12'!J$362=0,"",'IWP12'!J$362)</f>
        <v/>
      </c>
      <c r="H4678" s="211">
        <f>'IWP12'!K$362</f>
        <v>0</v>
      </c>
      <c r="I4678" s="211">
        <f>'IWP12'!L$362</f>
        <v>0</v>
      </c>
      <c r="J4678" s="212">
        <f>'IWP12'!M$362</f>
        <v>0</v>
      </c>
      <c r="K4678" s="106"/>
      <c r="L4678" s="106"/>
      <c r="M4678" s="129"/>
    </row>
    <row r="4679" spans="1:13" s="146" customFormat="1">
      <c r="A4679" s="193" t="s">
        <v>510</v>
      </c>
      <c r="B4679" s="210">
        <v>1</v>
      </c>
      <c r="C4679" s="191" t="str">
        <f>IF('IWP12'!E$363=0,"",'IWP12'!E$363)</f>
        <v/>
      </c>
      <c r="D4679" s="211">
        <f>'IWP12'!G$363</f>
        <v>0</v>
      </c>
      <c r="E4679" s="211">
        <f>'IWP12'!H$363</f>
        <v>0</v>
      </c>
      <c r="F4679" s="211">
        <f>'IWP12'!I$363</f>
        <v>0</v>
      </c>
      <c r="G4679" s="191" t="str">
        <f>IF('IWP12'!J$363=0,"",'IWP12'!J$363)</f>
        <v/>
      </c>
      <c r="H4679" s="211">
        <f>'IWP12'!K$363</f>
        <v>0</v>
      </c>
      <c r="I4679" s="211">
        <f>'IWP12'!L$363</f>
        <v>0</v>
      </c>
      <c r="J4679" s="212">
        <f>'IWP12'!M$363</f>
        <v>0</v>
      </c>
      <c r="K4679" s="106"/>
      <c r="L4679" s="106"/>
      <c r="M4679" s="129"/>
    </row>
    <row r="4680" spans="1:13" s="146" customFormat="1">
      <c r="A4680" s="193" t="s">
        <v>510</v>
      </c>
      <c r="B4680" s="210">
        <v>1</v>
      </c>
      <c r="C4680" s="191" t="str">
        <f>IF('IWP12'!E$364=0,"",'IWP12'!E$364)</f>
        <v/>
      </c>
      <c r="D4680" s="211">
        <f>'IWP12'!G$364</f>
        <v>0</v>
      </c>
      <c r="E4680" s="211">
        <f>'IWP12'!H$364</f>
        <v>0</v>
      </c>
      <c r="F4680" s="211">
        <f>'IWP12'!I$364</f>
        <v>0</v>
      </c>
      <c r="G4680" s="191" t="str">
        <f>IF('IWP12'!J$364=0,"",'IWP12'!J$364)</f>
        <v/>
      </c>
      <c r="H4680" s="211">
        <f>'IWP12'!K$364</f>
        <v>0</v>
      </c>
      <c r="I4680" s="211">
        <f>'IWP12'!L$364</f>
        <v>0</v>
      </c>
      <c r="J4680" s="212">
        <f>'IWP12'!M$364</f>
        <v>0</v>
      </c>
      <c r="K4680" s="106"/>
      <c r="L4680" s="106"/>
      <c r="M4680" s="129"/>
    </row>
    <row r="4681" spans="1:13" s="146" customFormat="1">
      <c r="A4681" s="193" t="s">
        <v>510</v>
      </c>
      <c r="B4681" s="210">
        <v>2</v>
      </c>
      <c r="C4681" s="191" t="str">
        <f>IF('IWP12'!E$371=0,"",'IWP12'!E$371)</f>
        <v>Subtotal column D.</v>
      </c>
      <c r="D4681" s="211">
        <f>'IWP12'!G$371</f>
        <v>0</v>
      </c>
      <c r="E4681" s="211">
        <f>'IWP12'!H$371</f>
        <v>0</v>
      </c>
      <c r="F4681" s="211">
        <f>'IWP12'!I$371</f>
        <v>0</v>
      </c>
      <c r="G4681" s="191" t="str">
        <f>IF('IWP12'!J$371=0,"",'IWP12'!J$371)</f>
        <v/>
      </c>
      <c r="H4681" s="211">
        <f>'IWP12'!K$371</f>
        <v>0</v>
      </c>
      <c r="I4681" s="211">
        <f>'IWP12'!L$371</f>
        <v>0</v>
      </c>
      <c r="J4681" s="212">
        <f>'IWP12'!M$371</f>
        <v>0</v>
      </c>
      <c r="K4681" s="106"/>
      <c r="L4681" s="106"/>
      <c r="M4681" s="129"/>
    </row>
    <row r="4682" spans="1:13" s="146" customFormat="1">
      <c r="A4682" s="193" t="s">
        <v>510</v>
      </c>
      <c r="B4682" s="210">
        <v>2</v>
      </c>
      <c r="C4682" s="191" t="str">
        <f>IF('IWP12'!E$372=0,"",'IWP12'!E$372)</f>
        <v>Unverified/Undocumented (Subtotal D - C)</v>
      </c>
      <c r="D4682" s="211">
        <f>'IWP12'!G$372</f>
        <v>0</v>
      </c>
      <c r="E4682" s="211">
        <f>'IWP12'!H$372</f>
        <v>0</v>
      </c>
      <c r="F4682" s="211">
        <f>'IWP12'!I$372</f>
        <v>0</v>
      </c>
      <c r="G4682" s="191" t="str">
        <f>IF('IWP12'!J$372=0,"",'IWP12'!J$372)</f>
        <v/>
      </c>
      <c r="H4682" s="211">
        <f>'IWP12'!K$372</f>
        <v>0</v>
      </c>
      <c r="I4682" s="211">
        <f>'IWP12'!L$372</f>
        <v>0</v>
      </c>
      <c r="J4682" s="212">
        <f>'IWP12'!M$372</f>
        <v>0</v>
      </c>
      <c r="K4682" s="106"/>
      <c r="L4682" s="106"/>
      <c r="M4682" s="129"/>
    </row>
    <row r="4683" spans="1:13" s="146" customFormat="1">
      <c r="A4683" s="193" t="s">
        <v>510</v>
      </c>
      <c r="B4683" s="210">
        <v>2</v>
      </c>
      <c r="C4683" s="191" t="str">
        <f>IF('IWP12'!E$373=0,"",'IWP12'!E$373)</f>
        <v>J. Billing Period Total</v>
      </c>
      <c r="D4683" s="211">
        <f>'IWP12'!G$373</f>
        <v>0</v>
      </c>
      <c r="E4683" s="211">
        <f>'IWP12'!H$373</f>
        <v>0</v>
      </c>
      <c r="F4683" s="211">
        <f>'IWP12'!I$373</f>
        <v>0</v>
      </c>
      <c r="G4683" s="191" t="str">
        <f>IF('IWP12'!J$373=0,"",'IWP12'!J$373)</f>
        <v/>
      </c>
      <c r="H4683" s="211">
        <f>'IWP12'!K$373</f>
        <v>0</v>
      </c>
      <c r="I4683" s="211">
        <f>'IWP12'!L$373</f>
        <v>0</v>
      </c>
      <c r="J4683" s="212">
        <f>'IWP12'!M$373</f>
        <v>0</v>
      </c>
      <c r="K4683" s="106"/>
      <c r="L4683" s="106"/>
      <c r="M4683" s="129"/>
    </row>
    <row r="4684" spans="1:13" s="146" customFormat="1">
      <c r="A4684" s="193" t="s">
        <v>510</v>
      </c>
      <c r="B4684" s="210">
        <v>2</v>
      </c>
      <c r="C4684" s="191" t="str">
        <f>IF('IWP12'!E$374=0,"",'IWP12'!E$374)</f>
        <v>D.</v>
      </c>
      <c r="D4684" s="211">
        <f>'IWP12'!G$374</f>
        <v>0</v>
      </c>
      <c r="E4684" s="211" t="str">
        <f>'IWP12'!H$374</f>
        <v>E.</v>
      </c>
      <c r="F4684" s="211" t="str">
        <f>'IWP12'!I$374</f>
        <v>F.</v>
      </c>
      <c r="G4684" s="191" t="str">
        <f>IF('IWP12'!J$374=0,"",'IWP12'!J$374)</f>
        <v>G.</v>
      </c>
      <c r="H4684" s="211">
        <f>'IWP12'!K$374</f>
        <v>0</v>
      </c>
      <c r="I4684" s="211" t="str">
        <f>'IWP12'!L$374</f>
        <v>H.</v>
      </c>
      <c r="J4684" s="212" t="str">
        <f>'IWP12'!M$374</f>
        <v>I.</v>
      </c>
      <c r="K4684" s="106"/>
      <c r="L4684" s="106"/>
      <c r="M4684" s="129"/>
    </row>
    <row r="4685" spans="1:13" s="146" customFormat="1">
      <c r="A4685" s="193" t="s">
        <v>510</v>
      </c>
      <c r="B4685" s="210">
        <v>2</v>
      </c>
      <c r="C4685" s="191" t="str">
        <f>IF('IWP12'!E$375=0,"",'IWP12'!E$375)</f>
        <v xml:space="preserve">Items/Services Related to Billing Period </v>
      </c>
      <c r="D4685" s="211">
        <f>'IWP12'!G$375</f>
        <v>0</v>
      </c>
      <c r="E4685" s="211" t="str">
        <f>'IWP12'!H$375</f>
        <v xml:space="preserve">Item/
Service Verified Amounts
</v>
      </c>
      <c r="F4685" s="211" t="str">
        <f>'IWP12'!I$375</f>
        <v>Amount Due to DADS (E. - D.)</v>
      </c>
      <c r="G4685" s="191" t="str">
        <f>IF('IWP12'!J$375=0,"",'IWP12'!J$375)</f>
        <v>Amount Reimbursed to 
Employee(s)/Employer</v>
      </c>
      <c r="H4685" s="211">
        <f>'IWP12'!K$375</f>
        <v>0</v>
      </c>
      <c r="I4685" s="211" t="str">
        <f>'IWP12'!L$375</f>
        <v>Amount Due to Employee(s) (G. - E.)</v>
      </c>
      <c r="J4685" s="212" t="str">
        <f>'IWP12'!M$375</f>
        <v>Amount Due to Employer (G. - E.)</v>
      </c>
      <c r="K4685" s="106"/>
      <c r="L4685" s="106"/>
      <c r="M4685" s="129"/>
    </row>
    <row r="4686" spans="1:13" s="146" customFormat="1">
      <c r="A4686" s="193" t="s">
        <v>510</v>
      </c>
      <c r="B4686" s="210">
        <v>2</v>
      </c>
      <c r="C4686" s="191" t="str">
        <f>IF('IWP12'!E$376=0,"",'IWP12'!E$376)</f>
        <v>Item/Service</v>
      </c>
      <c r="D4686" s="211" t="str">
        <f>'IWP12'!G$376</f>
        <v>Itemized Amount Paid by DADS</v>
      </c>
      <c r="E4686" s="211">
        <f>'IWP12'!H$376</f>
        <v>0</v>
      </c>
      <c r="F4686" s="211">
        <f>'IWP12'!I$376</f>
        <v>0</v>
      </c>
      <c r="G4686" s="191" t="str">
        <f>IF('IWP12'!J$376=0,"",'IWP12'!J$376)</f>
        <v/>
      </c>
      <c r="H4686" s="211">
        <f>'IWP12'!K$376</f>
        <v>0</v>
      </c>
      <c r="I4686" s="211">
        <f>'IWP12'!L$376</f>
        <v>0</v>
      </c>
      <c r="J4686" s="212">
        <f>'IWP12'!M$376</f>
        <v>0</v>
      </c>
      <c r="K4686" s="106"/>
      <c r="L4686" s="106"/>
      <c r="M4686" s="129"/>
    </row>
    <row r="4687" spans="1:13" s="146" customFormat="1">
      <c r="A4687" s="193" t="s">
        <v>510</v>
      </c>
      <c r="B4687" s="210">
        <v>2</v>
      </c>
      <c r="C4687" s="191" t="str">
        <f>IF('IWP12'!E$377=0,"",'IWP12'!E$377)</f>
        <v/>
      </c>
      <c r="D4687" s="211">
        <f>'IWP12'!G$377</f>
        <v>0</v>
      </c>
      <c r="E4687" s="211">
        <f>'IWP12'!H$377</f>
        <v>0</v>
      </c>
      <c r="F4687" s="211">
        <f>'IWP12'!I$377</f>
        <v>0</v>
      </c>
      <c r="G4687" s="191" t="str">
        <f>IF('IWP12'!J$377=0,"",'IWP12'!J$377)</f>
        <v/>
      </c>
      <c r="H4687" s="211">
        <f>'IWP12'!K$377</f>
        <v>0</v>
      </c>
      <c r="I4687" s="211">
        <f>'IWP12'!L$377</f>
        <v>0</v>
      </c>
      <c r="J4687" s="212">
        <f>'IWP12'!M$377</f>
        <v>0</v>
      </c>
      <c r="K4687" s="106"/>
      <c r="L4687" s="106"/>
      <c r="M4687" s="129"/>
    </row>
    <row r="4688" spans="1:13" s="146" customFormat="1">
      <c r="A4688" s="193" t="s">
        <v>510</v>
      </c>
      <c r="B4688" s="210">
        <v>2</v>
      </c>
      <c r="C4688" s="191" t="str">
        <f>IF('IWP12'!E$378=0,"",'IWP12'!E$378)</f>
        <v/>
      </c>
      <c r="D4688" s="211">
        <f>'IWP12'!G$378</f>
        <v>0</v>
      </c>
      <c r="E4688" s="211">
        <f>'IWP12'!H$378</f>
        <v>0</v>
      </c>
      <c r="F4688" s="211">
        <f>'IWP12'!I$378</f>
        <v>0</v>
      </c>
      <c r="G4688" s="191" t="str">
        <f>IF('IWP12'!J$378=0,"",'IWP12'!J$378)</f>
        <v/>
      </c>
      <c r="H4688" s="211">
        <f>'IWP12'!K$378</f>
        <v>0</v>
      </c>
      <c r="I4688" s="211">
        <f>'IWP12'!L$378</f>
        <v>0</v>
      </c>
      <c r="J4688" s="212">
        <f>'IWP12'!M$378</f>
        <v>0</v>
      </c>
      <c r="K4688" s="106"/>
      <c r="L4688" s="106"/>
      <c r="M4688" s="129"/>
    </row>
    <row r="4689" spans="1:13" s="146" customFormat="1">
      <c r="A4689" s="193" t="s">
        <v>510</v>
      </c>
      <c r="B4689" s="210">
        <v>2</v>
      </c>
      <c r="C4689" s="191" t="str">
        <f>IF('IWP12'!E$379=0,"",'IWP12'!E$379)</f>
        <v/>
      </c>
      <c r="D4689" s="211">
        <f>'IWP12'!G$379</f>
        <v>0</v>
      </c>
      <c r="E4689" s="211">
        <f>'IWP12'!H$379</f>
        <v>0</v>
      </c>
      <c r="F4689" s="211">
        <f>'IWP12'!I$379</f>
        <v>0</v>
      </c>
      <c r="G4689" s="191" t="str">
        <f>IF('IWP12'!J$379=0,"",'IWP12'!J$379)</f>
        <v/>
      </c>
      <c r="H4689" s="211">
        <f>'IWP12'!K$379</f>
        <v>0</v>
      </c>
      <c r="I4689" s="211">
        <f>'IWP12'!L$379</f>
        <v>0</v>
      </c>
      <c r="J4689" s="212">
        <f>'IWP12'!M$379</f>
        <v>0</v>
      </c>
      <c r="K4689" s="106"/>
      <c r="L4689" s="106"/>
      <c r="M4689" s="129"/>
    </row>
    <row r="4690" spans="1:13" s="146" customFormat="1">
      <c r="A4690" s="193" t="s">
        <v>510</v>
      </c>
      <c r="B4690" s="210">
        <v>2</v>
      </c>
      <c r="C4690" s="191" t="str">
        <f>IF('IWP12'!E$380=0,"",'IWP12'!E$380)</f>
        <v/>
      </c>
      <c r="D4690" s="211">
        <f>'IWP12'!G$380</f>
        <v>0</v>
      </c>
      <c r="E4690" s="211">
        <f>'IWP12'!H$380</f>
        <v>0</v>
      </c>
      <c r="F4690" s="211">
        <f>'IWP12'!I$380</f>
        <v>0</v>
      </c>
      <c r="G4690" s="191" t="str">
        <f>IF('IWP12'!J$380=0,"",'IWP12'!J$380)</f>
        <v/>
      </c>
      <c r="H4690" s="211">
        <f>'IWP12'!K$380</f>
        <v>0</v>
      </c>
      <c r="I4690" s="211">
        <f>'IWP12'!L$380</f>
        <v>0</v>
      </c>
      <c r="J4690" s="212">
        <f>'IWP12'!M$380</f>
        <v>0</v>
      </c>
      <c r="K4690" s="106"/>
      <c r="L4690" s="106"/>
      <c r="M4690" s="129"/>
    </row>
    <row r="4691" spans="1:13" s="146" customFormat="1">
      <c r="A4691" s="193" t="s">
        <v>510</v>
      </c>
      <c r="B4691" s="210">
        <v>3</v>
      </c>
      <c r="C4691" s="191" t="str">
        <f>IF('IWP12'!E$387=0,"",'IWP12'!E$387)</f>
        <v>Subtotal column D.</v>
      </c>
      <c r="D4691" s="211">
        <f>'IWP12'!G$387</f>
        <v>0</v>
      </c>
      <c r="E4691" s="211">
        <f>'IWP12'!H$387</f>
        <v>0</v>
      </c>
      <c r="F4691" s="211">
        <f>'IWP12'!I$387</f>
        <v>0</v>
      </c>
      <c r="G4691" s="191" t="str">
        <f>IF('IWP12'!J$387=0,"",'IWP12'!J$387)</f>
        <v/>
      </c>
      <c r="H4691" s="211">
        <f>'IWP12'!K$387</f>
        <v>0</v>
      </c>
      <c r="I4691" s="211">
        <f>'IWP12'!L$387</f>
        <v>0</v>
      </c>
      <c r="J4691" s="212">
        <f>'IWP12'!M$387</f>
        <v>0</v>
      </c>
      <c r="K4691" s="106"/>
      <c r="L4691" s="106"/>
      <c r="M4691" s="129"/>
    </row>
    <row r="4692" spans="1:13" s="146" customFormat="1">
      <c r="A4692" s="193" t="s">
        <v>510</v>
      </c>
      <c r="B4692" s="210">
        <v>3</v>
      </c>
      <c r="C4692" s="191" t="str">
        <f>IF('IWP12'!E$388=0,"",'IWP12'!E$388)</f>
        <v>Unverified/Undocumented (Subtotal D - C)</v>
      </c>
      <c r="D4692" s="211">
        <f>'IWP12'!G$388</f>
        <v>0</v>
      </c>
      <c r="E4692" s="211">
        <f>'IWP12'!H$388</f>
        <v>0</v>
      </c>
      <c r="F4692" s="211">
        <f>'IWP12'!I$388</f>
        <v>0</v>
      </c>
      <c r="G4692" s="191" t="str">
        <f>IF('IWP12'!J$388=0,"",'IWP12'!J$388)</f>
        <v/>
      </c>
      <c r="H4692" s="211">
        <f>'IWP12'!K$388</f>
        <v>0</v>
      </c>
      <c r="I4692" s="211">
        <f>'IWP12'!L$388</f>
        <v>0</v>
      </c>
      <c r="J4692" s="212">
        <f>'IWP12'!M$388</f>
        <v>0</v>
      </c>
      <c r="K4692" s="106"/>
      <c r="L4692" s="106"/>
      <c r="M4692" s="129"/>
    </row>
    <row r="4693" spans="1:13" s="146" customFormat="1">
      <c r="A4693" s="193" t="s">
        <v>510</v>
      </c>
      <c r="B4693" s="210">
        <v>3</v>
      </c>
      <c r="C4693" s="191" t="str">
        <f>IF('IWP12'!E$389=0,"",'IWP12'!E$389)</f>
        <v>J. Billing Period Total</v>
      </c>
      <c r="D4693" s="211">
        <f>'IWP12'!G$389</f>
        <v>0</v>
      </c>
      <c r="E4693" s="211">
        <f>'IWP12'!H$389</f>
        <v>0</v>
      </c>
      <c r="F4693" s="211">
        <f>'IWP12'!I$389</f>
        <v>0</v>
      </c>
      <c r="G4693" s="191" t="str">
        <f>IF('IWP12'!J$389=0,"",'IWP12'!J$389)</f>
        <v/>
      </c>
      <c r="H4693" s="211">
        <f>'IWP12'!K$389</f>
        <v>0</v>
      </c>
      <c r="I4693" s="211">
        <f>'IWP12'!L$389</f>
        <v>0</v>
      </c>
      <c r="J4693" s="212">
        <f>'IWP12'!M$389</f>
        <v>0</v>
      </c>
      <c r="K4693" s="106"/>
      <c r="L4693" s="106"/>
      <c r="M4693" s="129"/>
    </row>
    <row r="4694" spans="1:13" s="146" customFormat="1">
      <c r="A4694" s="193" t="s">
        <v>510</v>
      </c>
      <c r="B4694" s="210">
        <v>3</v>
      </c>
      <c r="C4694" s="191" t="str">
        <f>IF('IWP12'!E$390=0,"",'IWP12'!E$390)</f>
        <v>D.</v>
      </c>
      <c r="D4694" s="211">
        <f>'IWP12'!G$390</f>
        <v>0</v>
      </c>
      <c r="E4694" s="211" t="str">
        <f>'IWP12'!H$390</f>
        <v>E.</v>
      </c>
      <c r="F4694" s="211" t="str">
        <f>'IWP12'!I$390</f>
        <v>F.</v>
      </c>
      <c r="G4694" s="191" t="str">
        <f>IF('IWP12'!J$390=0,"",'IWP12'!J$390)</f>
        <v>G.</v>
      </c>
      <c r="H4694" s="211">
        <f>'IWP12'!K$390</f>
        <v>0</v>
      </c>
      <c r="I4694" s="211" t="str">
        <f>'IWP12'!L$390</f>
        <v>H.</v>
      </c>
      <c r="J4694" s="212" t="str">
        <f>'IWP12'!M$390</f>
        <v>I.</v>
      </c>
      <c r="K4694" s="106"/>
      <c r="L4694" s="106"/>
      <c r="M4694" s="129"/>
    </row>
    <row r="4695" spans="1:13" s="146" customFormat="1">
      <c r="A4695" s="193" t="s">
        <v>510</v>
      </c>
      <c r="B4695" s="210">
        <v>3</v>
      </c>
      <c r="C4695" s="191" t="str">
        <f>IF('IWP12'!E$391=0,"",'IWP12'!E$391)</f>
        <v xml:space="preserve">Items/Services Related to Billing Period </v>
      </c>
      <c r="D4695" s="211">
        <f>'IWP12'!G$391</f>
        <v>0</v>
      </c>
      <c r="E4695" s="211" t="str">
        <f>'IWP12'!H$391</f>
        <v xml:space="preserve">Item/
Service Verified Amounts
</v>
      </c>
      <c r="F4695" s="211" t="str">
        <f>'IWP12'!I$391</f>
        <v>Amount Due to DADS (E. - D.)</v>
      </c>
      <c r="G4695" s="191" t="str">
        <f>IF('IWP12'!J$391=0,"",'IWP12'!J$391)</f>
        <v>Amount Reimbursed to 
Employee(s)/Employer</v>
      </c>
      <c r="H4695" s="211">
        <f>'IWP12'!K$391</f>
        <v>0</v>
      </c>
      <c r="I4695" s="211" t="str">
        <f>'IWP12'!L$391</f>
        <v>Amount Due to Employee(s) (G. - E.)</v>
      </c>
      <c r="J4695" s="212" t="str">
        <f>'IWP12'!M$391</f>
        <v>Amount Due to Employer (G. - E.)</v>
      </c>
      <c r="K4695" s="106"/>
      <c r="L4695" s="106"/>
      <c r="M4695" s="129"/>
    </row>
    <row r="4696" spans="1:13" s="146" customFormat="1">
      <c r="A4696" s="193" t="s">
        <v>510</v>
      </c>
      <c r="B4696" s="210">
        <v>3</v>
      </c>
      <c r="C4696" s="191" t="str">
        <f>IF('IWP12'!E$392=0,"",'IWP12'!E$392)</f>
        <v>Item/Service</v>
      </c>
      <c r="D4696" s="211" t="str">
        <f>'IWP12'!G$392</f>
        <v>Itemized Amount Paid by DADS</v>
      </c>
      <c r="E4696" s="211">
        <f>'IWP12'!H$392</f>
        <v>0</v>
      </c>
      <c r="F4696" s="211">
        <f>'IWP12'!I$392</f>
        <v>0</v>
      </c>
      <c r="G4696" s="191" t="str">
        <f>IF('IWP12'!J$392=0,"",'IWP12'!J$392)</f>
        <v/>
      </c>
      <c r="H4696" s="211">
        <f>'IWP12'!K$392</f>
        <v>0</v>
      </c>
      <c r="I4696" s="211">
        <f>'IWP12'!L$392</f>
        <v>0</v>
      </c>
      <c r="J4696" s="212">
        <f>'IWP12'!M$392</f>
        <v>0</v>
      </c>
      <c r="K4696" s="106"/>
      <c r="L4696" s="106"/>
      <c r="M4696" s="129"/>
    </row>
    <row r="4697" spans="1:13" s="146" customFormat="1">
      <c r="A4697" s="193" t="s">
        <v>510</v>
      </c>
      <c r="B4697" s="210">
        <v>3</v>
      </c>
      <c r="C4697" s="191" t="str">
        <f>IF('IWP12'!E$393=0,"",'IWP12'!E$393)</f>
        <v/>
      </c>
      <c r="D4697" s="211">
        <f>'IWP12'!G$393</f>
        <v>0</v>
      </c>
      <c r="E4697" s="211">
        <f>'IWP12'!H$393</f>
        <v>0</v>
      </c>
      <c r="F4697" s="211">
        <f>'IWP12'!I$393</f>
        <v>0</v>
      </c>
      <c r="G4697" s="191" t="str">
        <f>IF('IWP12'!J$393=0,"",'IWP12'!J$393)</f>
        <v/>
      </c>
      <c r="H4697" s="211">
        <f>'IWP12'!K$393</f>
        <v>0</v>
      </c>
      <c r="I4697" s="211">
        <f>'IWP12'!L$393</f>
        <v>0</v>
      </c>
      <c r="J4697" s="212">
        <f>'IWP12'!M$393</f>
        <v>0</v>
      </c>
      <c r="K4697" s="106"/>
      <c r="L4697" s="106"/>
      <c r="M4697" s="129"/>
    </row>
    <row r="4698" spans="1:13" s="146" customFormat="1">
      <c r="A4698" s="193" t="s">
        <v>510</v>
      </c>
      <c r="B4698" s="210">
        <v>3</v>
      </c>
      <c r="C4698" s="191" t="str">
        <f>IF('IWP12'!E$394=0,"",'IWP12'!E$394)</f>
        <v/>
      </c>
      <c r="D4698" s="211">
        <f>'IWP12'!G$394</f>
        <v>0</v>
      </c>
      <c r="E4698" s="211">
        <f>'IWP12'!H$394</f>
        <v>0</v>
      </c>
      <c r="F4698" s="211">
        <f>'IWP12'!I$394</f>
        <v>0</v>
      </c>
      <c r="G4698" s="191" t="str">
        <f>IF('IWP12'!J$394=0,"",'IWP12'!J$394)</f>
        <v/>
      </c>
      <c r="H4698" s="211">
        <f>'IWP12'!K$394</f>
        <v>0</v>
      </c>
      <c r="I4698" s="211">
        <f>'IWP12'!L$394</f>
        <v>0</v>
      </c>
      <c r="J4698" s="212">
        <f>'IWP12'!M$394</f>
        <v>0</v>
      </c>
      <c r="K4698" s="106"/>
      <c r="L4698" s="106"/>
      <c r="M4698" s="129"/>
    </row>
    <row r="4699" spans="1:13" s="146" customFormat="1">
      <c r="A4699" s="193" t="s">
        <v>510</v>
      </c>
      <c r="B4699" s="210">
        <v>3</v>
      </c>
      <c r="C4699" s="191" t="str">
        <f>IF('IWP12'!E$395=0,"",'IWP12'!E$395)</f>
        <v/>
      </c>
      <c r="D4699" s="211">
        <f>'IWP12'!G$395</f>
        <v>0</v>
      </c>
      <c r="E4699" s="211">
        <f>'IWP12'!H$395</f>
        <v>0</v>
      </c>
      <c r="F4699" s="211">
        <f>'IWP12'!I$395</f>
        <v>0</v>
      </c>
      <c r="G4699" s="191" t="str">
        <f>IF('IWP12'!J$395=0,"",'IWP12'!J$395)</f>
        <v/>
      </c>
      <c r="H4699" s="211">
        <f>'IWP12'!K$395</f>
        <v>0</v>
      </c>
      <c r="I4699" s="211">
        <f>'IWP12'!L$395</f>
        <v>0</v>
      </c>
      <c r="J4699" s="212">
        <f>'IWP12'!M$395</f>
        <v>0</v>
      </c>
      <c r="K4699" s="106"/>
      <c r="L4699" s="106"/>
      <c r="M4699" s="129"/>
    </row>
    <row r="4700" spans="1:13" s="146" customFormat="1">
      <c r="A4700" s="193" t="s">
        <v>510</v>
      </c>
      <c r="B4700" s="210">
        <v>3</v>
      </c>
      <c r="C4700" s="191" t="str">
        <f>IF('IWP12'!E$396=0,"",'IWP12'!E$396)</f>
        <v/>
      </c>
      <c r="D4700" s="211">
        <f>'IWP12'!G$396</f>
        <v>0</v>
      </c>
      <c r="E4700" s="211">
        <f>'IWP12'!H$396</f>
        <v>0</v>
      </c>
      <c r="F4700" s="211">
        <f>'IWP12'!I$396</f>
        <v>0</v>
      </c>
      <c r="G4700" s="191" t="str">
        <f>IF('IWP12'!J$396=0,"",'IWP12'!J$396)</f>
        <v/>
      </c>
      <c r="H4700" s="211">
        <f>'IWP12'!K$396</f>
        <v>0</v>
      </c>
      <c r="I4700" s="211">
        <f>'IWP12'!L$396</f>
        <v>0</v>
      </c>
      <c r="J4700" s="212">
        <f>'IWP12'!M$396</f>
        <v>0</v>
      </c>
      <c r="K4700" s="106"/>
      <c r="L4700" s="106"/>
      <c r="M4700" s="129"/>
    </row>
    <row r="4701" spans="1:13" s="146" customFormat="1">
      <c r="A4701" s="193" t="s">
        <v>510</v>
      </c>
      <c r="B4701" s="210">
        <v>4</v>
      </c>
      <c r="C4701" s="191" t="str">
        <f>IF('IWP12'!E$403=0,"",'IWP12'!E$403)</f>
        <v>Subtotal column D.</v>
      </c>
      <c r="D4701" s="211">
        <f>'IWP12'!G$403</f>
        <v>0</v>
      </c>
      <c r="E4701" s="211">
        <f>'IWP12'!H$403</f>
        <v>0</v>
      </c>
      <c r="F4701" s="211">
        <f>'IWP12'!I$403</f>
        <v>0</v>
      </c>
      <c r="G4701" s="191" t="str">
        <f>IF('IWP12'!J$403=0,"",'IWP12'!J$403)</f>
        <v/>
      </c>
      <c r="H4701" s="211">
        <f>'IWP12'!K$403</f>
        <v>0</v>
      </c>
      <c r="I4701" s="211">
        <f>'IWP12'!L$403</f>
        <v>0</v>
      </c>
      <c r="J4701" s="212">
        <f>'IWP12'!M$403</f>
        <v>0</v>
      </c>
      <c r="K4701" s="106"/>
      <c r="L4701" s="106"/>
      <c r="M4701" s="129"/>
    </row>
    <row r="4702" spans="1:13" s="146" customFormat="1">
      <c r="A4702" s="193" t="s">
        <v>510</v>
      </c>
      <c r="B4702" s="210">
        <v>4</v>
      </c>
      <c r="C4702" s="191" t="str">
        <f>IF('IWP12'!E$404=0,"",'IWP12'!E$404)</f>
        <v>Unverified/Undocumented (Subtotal D - C)</v>
      </c>
      <c r="D4702" s="211">
        <f>'IWP12'!G$404</f>
        <v>0</v>
      </c>
      <c r="E4702" s="211">
        <f>'IWP12'!H$404</f>
        <v>0</v>
      </c>
      <c r="F4702" s="211">
        <f>'IWP12'!I$404</f>
        <v>0</v>
      </c>
      <c r="G4702" s="191" t="str">
        <f>IF('IWP12'!J$404=0,"",'IWP12'!J$404)</f>
        <v/>
      </c>
      <c r="H4702" s="211">
        <f>'IWP12'!K$404</f>
        <v>0</v>
      </c>
      <c r="I4702" s="211">
        <f>'IWP12'!L$404</f>
        <v>0</v>
      </c>
      <c r="J4702" s="212">
        <f>'IWP12'!M$404</f>
        <v>0</v>
      </c>
      <c r="K4702" s="106"/>
      <c r="L4702" s="106"/>
      <c r="M4702" s="129"/>
    </row>
    <row r="4703" spans="1:13" s="146" customFormat="1">
      <c r="A4703" s="193" t="s">
        <v>510</v>
      </c>
      <c r="B4703" s="210">
        <v>4</v>
      </c>
      <c r="C4703" s="191" t="str">
        <f>IF('IWP12'!E$405=0,"",'IWP12'!E$405)</f>
        <v>J. Billing Period Total</v>
      </c>
      <c r="D4703" s="211">
        <f>'IWP12'!G$405</f>
        <v>0</v>
      </c>
      <c r="E4703" s="211">
        <f>'IWP12'!H$405</f>
        <v>0</v>
      </c>
      <c r="F4703" s="211">
        <f>'IWP12'!I$405</f>
        <v>0</v>
      </c>
      <c r="G4703" s="191" t="str">
        <f>IF('IWP12'!J$405=0,"",'IWP12'!J$405)</f>
        <v/>
      </c>
      <c r="H4703" s="211">
        <f>'IWP12'!K$405</f>
        <v>0</v>
      </c>
      <c r="I4703" s="211">
        <f>'IWP12'!L$405</f>
        <v>0</v>
      </c>
      <c r="J4703" s="212">
        <f>'IWP12'!M$405</f>
        <v>0</v>
      </c>
      <c r="K4703" s="106"/>
      <c r="L4703" s="106"/>
      <c r="M4703" s="129"/>
    </row>
    <row r="4704" spans="1:13" s="146" customFormat="1">
      <c r="A4704" s="193" t="s">
        <v>510</v>
      </c>
      <c r="B4704" s="210">
        <v>4</v>
      </c>
      <c r="C4704" s="191" t="str">
        <f>IF('IWP12'!E$406=0,"",'IWP12'!E$406)</f>
        <v>D.</v>
      </c>
      <c r="D4704" s="211">
        <f>'IWP12'!G$406</f>
        <v>0</v>
      </c>
      <c r="E4704" s="211" t="str">
        <f>'IWP12'!H$406</f>
        <v>E.</v>
      </c>
      <c r="F4704" s="211" t="str">
        <f>'IWP12'!I$406</f>
        <v>F.</v>
      </c>
      <c r="G4704" s="191" t="str">
        <f>IF('IWP12'!J$406=0,"",'IWP12'!J$406)</f>
        <v>G.</v>
      </c>
      <c r="H4704" s="211">
        <f>'IWP12'!K$406</f>
        <v>0</v>
      </c>
      <c r="I4704" s="211" t="str">
        <f>'IWP12'!L$406</f>
        <v>H.</v>
      </c>
      <c r="J4704" s="212" t="str">
        <f>'IWP12'!M$406</f>
        <v>I.</v>
      </c>
      <c r="K4704" s="106"/>
      <c r="L4704" s="106"/>
      <c r="M4704" s="129"/>
    </row>
    <row r="4705" spans="1:13" s="146" customFormat="1">
      <c r="A4705" s="193" t="s">
        <v>510</v>
      </c>
      <c r="B4705" s="210">
        <v>4</v>
      </c>
      <c r="C4705" s="191" t="str">
        <f>IF('IWP12'!E$407=0,"",'IWP12'!E$407)</f>
        <v xml:space="preserve">Items/Services Related to Billing Period </v>
      </c>
      <c r="D4705" s="211">
        <f>'IWP12'!G$407</f>
        <v>0</v>
      </c>
      <c r="E4705" s="211" t="str">
        <f>'IWP12'!H$407</f>
        <v xml:space="preserve">Item/
Service Verified Amounts
</v>
      </c>
      <c r="F4705" s="211" t="str">
        <f>'IWP12'!I$407</f>
        <v>Amount Due to DADS (E. - D.)</v>
      </c>
      <c r="G4705" s="191" t="str">
        <f>IF('IWP12'!J$407=0,"",'IWP12'!J$407)</f>
        <v>Amount Reimbursed to 
Employee(s)/Employer</v>
      </c>
      <c r="H4705" s="211">
        <f>'IWP12'!K$407</f>
        <v>0</v>
      </c>
      <c r="I4705" s="211" t="str">
        <f>'IWP12'!L$407</f>
        <v>Amount Due to Employee(s) (G. - E.)</v>
      </c>
      <c r="J4705" s="212" t="str">
        <f>'IWP12'!M$407</f>
        <v>Amount Due to Employer (G. - E.)</v>
      </c>
      <c r="K4705" s="106"/>
      <c r="L4705" s="106"/>
      <c r="M4705" s="129"/>
    </row>
    <row r="4706" spans="1:13" s="146" customFormat="1">
      <c r="A4706" s="193" t="s">
        <v>510</v>
      </c>
      <c r="B4706" s="210">
        <v>4</v>
      </c>
      <c r="C4706" s="191" t="str">
        <f>IF('IWP12'!E$408=0,"",'IWP12'!E$408)</f>
        <v>Item/Service</v>
      </c>
      <c r="D4706" s="211" t="str">
        <f>'IWP12'!G$408</f>
        <v>Itemized Amount Paid by DADS</v>
      </c>
      <c r="E4706" s="211">
        <f>'IWP12'!H$408</f>
        <v>0</v>
      </c>
      <c r="F4706" s="211">
        <f>'IWP12'!I$408</f>
        <v>0</v>
      </c>
      <c r="G4706" s="191" t="str">
        <f>IF('IWP12'!J$408=0,"",'IWP12'!J$408)</f>
        <v/>
      </c>
      <c r="H4706" s="211">
        <f>'IWP12'!K$408</f>
        <v>0</v>
      </c>
      <c r="I4706" s="211">
        <f>'IWP12'!L$408</f>
        <v>0</v>
      </c>
      <c r="J4706" s="212">
        <f>'IWP12'!M$408</f>
        <v>0</v>
      </c>
      <c r="K4706" s="106"/>
      <c r="L4706" s="106"/>
      <c r="M4706" s="129"/>
    </row>
    <row r="4707" spans="1:13" s="146" customFormat="1">
      <c r="A4707" s="193" t="s">
        <v>510</v>
      </c>
      <c r="B4707" s="210">
        <v>4</v>
      </c>
      <c r="C4707" s="191" t="str">
        <f>IF('IWP12'!E$409=0,"",'IWP12'!E$409)</f>
        <v/>
      </c>
      <c r="D4707" s="211">
        <f>'IWP12'!G$409</f>
        <v>0</v>
      </c>
      <c r="E4707" s="211">
        <f>'IWP12'!H$409</f>
        <v>0</v>
      </c>
      <c r="F4707" s="211">
        <f>'IWP12'!I$409</f>
        <v>0</v>
      </c>
      <c r="G4707" s="191" t="str">
        <f>IF('IWP12'!J$409=0,"",'IWP12'!J$409)</f>
        <v/>
      </c>
      <c r="H4707" s="211">
        <f>'IWP12'!K$409</f>
        <v>0</v>
      </c>
      <c r="I4707" s="211">
        <f>'IWP12'!L$409</f>
        <v>0</v>
      </c>
      <c r="J4707" s="212">
        <f>'IWP12'!M$409</f>
        <v>0</v>
      </c>
      <c r="K4707" s="106"/>
      <c r="L4707" s="106"/>
      <c r="M4707" s="129"/>
    </row>
    <row r="4708" spans="1:13" s="146" customFormat="1">
      <c r="A4708" s="193" t="s">
        <v>510</v>
      </c>
      <c r="B4708" s="210">
        <v>4</v>
      </c>
      <c r="C4708" s="191" t="str">
        <f>IF('IWP12'!E$410=0,"",'IWP12'!E$410)</f>
        <v/>
      </c>
      <c r="D4708" s="211">
        <f>'IWP12'!G$410</f>
        <v>0</v>
      </c>
      <c r="E4708" s="211">
        <f>'IWP12'!H$410</f>
        <v>0</v>
      </c>
      <c r="F4708" s="211">
        <f>'IWP12'!I$410</f>
        <v>0</v>
      </c>
      <c r="G4708" s="191" t="str">
        <f>IF('IWP12'!J$410=0,"",'IWP12'!J$410)</f>
        <v/>
      </c>
      <c r="H4708" s="211">
        <f>'IWP12'!K$410</f>
        <v>0</v>
      </c>
      <c r="I4708" s="211">
        <f>'IWP12'!L$410</f>
        <v>0</v>
      </c>
      <c r="J4708" s="212">
        <f>'IWP12'!M$410</f>
        <v>0</v>
      </c>
      <c r="K4708" s="106"/>
      <c r="L4708" s="106"/>
      <c r="M4708" s="129"/>
    </row>
    <row r="4709" spans="1:13" s="146" customFormat="1">
      <c r="A4709" s="193" t="s">
        <v>510</v>
      </c>
      <c r="B4709" s="210">
        <v>4</v>
      </c>
      <c r="C4709" s="191" t="str">
        <f>IF('IWP12'!E$411=0,"",'IWP12'!E$411)</f>
        <v/>
      </c>
      <c r="D4709" s="211">
        <f>'IWP12'!G$411</f>
        <v>0</v>
      </c>
      <c r="E4709" s="211">
        <f>'IWP12'!H$411</f>
        <v>0</v>
      </c>
      <c r="F4709" s="211">
        <f>'IWP12'!I$411</f>
        <v>0</v>
      </c>
      <c r="G4709" s="191" t="str">
        <f>IF('IWP12'!J$411=0,"",'IWP12'!J$411)</f>
        <v/>
      </c>
      <c r="H4709" s="211">
        <f>'IWP12'!K$411</f>
        <v>0</v>
      </c>
      <c r="I4709" s="211">
        <f>'IWP12'!L$411</f>
        <v>0</v>
      </c>
      <c r="J4709" s="212">
        <f>'IWP12'!M$411</f>
        <v>0</v>
      </c>
      <c r="K4709" s="106"/>
      <c r="L4709" s="106"/>
      <c r="M4709" s="129"/>
    </row>
    <row r="4710" spans="1:13" s="146" customFormat="1">
      <c r="A4710" s="193" t="s">
        <v>510</v>
      </c>
      <c r="B4710" s="210">
        <v>4</v>
      </c>
      <c r="C4710" s="191" t="str">
        <f>IF('IWP12'!E$412=0,"",'IWP12'!E$412)</f>
        <v/>
      </c>
      <c r="D4710" s="211">
        <f>'IWP12'!G$412</f>
        <v>0</v>
      </c>
      <c r="E4710" s="211">
        <f>'IWP12'!H$412</f>
        <v>0</v>
      </c>
      <c r="F4710" s="211">
        <f>'IWP12'!I$412</f>
        <v>0</v>
      </c>
      <c r="G4710" s="191" t="str">
        <f>IF('IWP12'!J$412=0,"",'IWP12'!J$412)</f>
        <v/>
      </c>
      <c r="H4710" s="211">
        <f>'IWP12'!K$412</f>
        <v>0</v>
      </c>
      <c r="I4710" s="211">
        <f>'IWP12'!L$412</f>
        <v>0</v>
      </c>
      <c r="J4710" s="212">
        <f>'IWP12'!M$412</f>
        <v>0</v>
      </c>
      <c r="K4710" s="106"/>
      <c r="L4710" s="106"/>
      <c r="M4710" s="129"/>
    </row>
    <row r="4711" spans="1:13" s="146" customFormat="1">
      <c r="A4711" s="193" t="s">
        <v>510</v>
      </c>
      <c r="B4711" s="210">
        <v>5</v>
      </c>
      <c r="C4711" s="191" t="str">
        <f>IF('IWP12'!E$419=0,"",'IWP12'!E$419)</f>
        <v>Subtotal column D.</v>
      </c>
      <c r="D4711" s="211">
        <f>'IWP12'!G$419</f>
        <v>0</v>
      </c>
      <c r="E4711" s="211">
        <f>'IWP12'!H$419</f>
        <v>0</v>
      </c>
      <c r="F4711" s="211">
        <f>'IWP12'!I$419</f>
        <v>0</v>
      </c>
      <c r="G4711" s="191" t="str">
        <f>IF('IWP12'!J$419=0,"",'IWP12'!J$419)</f>
        <v/>
      </c>
      <c r="H4711" s="211">
        <f>'IWP12'!K$419</f>
        <v>0</v>
      </c>
      <c r="I4711" s="211">
        <f>'IWP12'!L$419</f>
        <v>0</v>
      </c>
      <c r="J4711" s="212">
        <f>'IWP12'!M$419</f>
        <v>0</v>
      </c>
      <c r="K4711" s="106"/>
      <c r="L4711" s="106"/>
      <c r="M4711" s="129"/>
    </row>
    <row r="4712" spans="1:13" s="146" customFormat="1">
      <c r="A4712" s="193" t="s">
        <v>510</v>
      </c>
      <c r="B4712" s="210">
        <v>5</v>
      </c>
      <c r="C4712" s="191" t="str">
        <f>IF('IWP12'!E$420=0,"",'IWP12'!E$420)</f>
        <v>Unverified/Undocumented (Subtotal D - C)</v>
      </c>
      <c r="D4712" s="211">
        <f>'IWP12'!G$420</f>
        <v>0</v>
      </c>
      <c r="E4712" s="211">
        <f>'IWP12'!H$420</f>
        <v>0</v>
      </c>
      <c r="F4712" s="211">
        <f>'IWP12'!I$420</f>
        <v>0</v>
      </c>
      <c r="G4712" s="191" t="str">
        <f>IF('IWP12'!J$420=0,"",'IWP12'!J$420)</f>
        <v/>
      </c>
      <c r="H4712" s="211">
        <f>'IWP12'!K$420</f>
        <v>0</v>
      </c>
      <c r="I4712" s="211">
        <f>'IWP12'!L$420</f>
        <v>0</v>
      </c>
      <c r="J4712" s="212">
        <f>'IWP12'!M$420</f>
        <v>0</v>
      </c>
      <c r="K4712" s="106"/>
      <c r="L4712" s="106"/>
      <c r="M4712" s="129"/>
    </row>
    <row r="4713" spans="1:13" s="146" customFormat="1">
      <c r="A4713" s="193" t="s">
        <v>510</v>
      </c>
      <c r="B4713" s="210">
        <v>5</v>
      </c>
      <c r="C4713" s="191" t="str">
        <f>IF('IWP12'!E$421=0,"",'IWP12'!E$421)</f>
        <v>J. Billing Period Total</v>
      </c>
      <c r="D4713" s="211">
        <f>'IWP12'!G$421</f>
        <v>0</v>
      </c>
      <c r="E4713" s="211">
        <f>'IWP12'!H$421</f>
        <v>0</v>
      </c>
      <c r="F4713" s="211">
        <f>'IWP12'!I$421</f>
        <v>0</v>
      </c>
      <c r="G4713" s="191" t="str">
        <f>IF('IWP12'!J$421=0,"",'IWP12'!J$421)</f>
        <v/>
      </c>
      <c r="H4713" s="211">
        <f>'IWP12'!K$421</f>
        <v>0</v>
      </c>
      <c r="I4713" s="211">
        <f>'IWP12'!L$421</f>
        <v>0</v>
      </c>
      <c r="J4713" s="212">
        <f>'IWP12'!M$421</f>
        <v>0</v>
      </c>
      <c r="K4713" s="106"/>
      <c r="L4713" s="106"/>
      <c r="M4713" s="129"/>
    </row>
    <row r="4714" spans="1:13" s="146" customFormat="1">
      <c r="A4714" s="193" t="s">
        <v>510</v>
      </c>
      <c r="B4714" s="210">
        <v>5</v>
      </c>
      <c r="C4714" s="191" t="str">
        <f>IF('IWP12'!E$422=0,"",'IWP12'!E$422)</f>
        <v>D.</v>
      </c>
      <c r="D4714" s="211">
        <f>'IWP12'!G$422</f>
        <v>0</v>
      </c>
      <c r="E4714" s="211" t="str">
        <f>'IWP12'!H$422</f>
        <v>E.</v>
      </c>
      <c r="F4714" s="211" t="str">
        <f>'IWP12'!I$422</f>
        <v>F.</v>
      </c>
      <c r="G4714" s="191" t="str">
        <f>IF('IWP12'!J$422=0,"",'IWP12'!J$422)</f>
        <v>G.</v>
      </c>
      <c r="H4714" s="211">
        <f>'IWP12'!K$422</f>
        <v>0</v>
      </c>
      <c r="I4714" s="211" t="str">
        <f>'IWP12'!L$422</f>
        <v>H.</v>
      </c>
      <c r="J4714" s="212" t="str">
        <f>'IWP12'!M$422</f>
        <v>I.</v>
      </c>
      <c r="K4714" s="106"/>
      <c r="L4714" s="106"/>
      <c r="M4714" s="129"/>
    </row>
    <row r="4715" spans="1:13" s="146" customFormat="1">
      <c r="A4715" s="193" t="s">
        <v>510</v>
      </c>
      <c r="B4715" s="210">
        <v>5</v>
      </c>
      <c r="C4715" s="191" t="str">
        <f>IF('IWP12'!E$423=0,"",'IWP12'!E$423)</f>
        <v xml:space="preserve">Items/Services Related to Billing Period </v>
      </c>
      <c r="D4715" s="211">
        <f>'IWP12'!G$423</f>
        <v>0</v>
      </c>
      <c r="E4715" s="211" t="str">
        <f>'IWP12'!H$423</f>
        <v xml:space="preserve">Item/
Service Verified Amounts
</v>
      </c>
      <c r="F4715" s="211" t="str">
        <f>'IWP12'!I$423</f>
        <v>Amount Due to DADS (E. - D.)</v>
      </c>
      <c r="G4715" s="191" t="str">
        <f>IF('IWP12'!J$423=0,"",'IWP12'!J$423)</f>
        <v>Amount Reimbursed to 
Employee(s)/Employer</v>
      </c>
      <c r="H4715" s="211">
        <f>'IWP12'!K$423</f>
        <v>0</v>
      </c>
      <c r="I4715" s="211" t="str">
        <f>'IWP12'!L$423</f>
        <v>Amount Due to Employee(s) (G. - E.)</v>
      </c>
      <c r="J4715" s="212" t="str">
        <f>'IWP12'!M$423</f>
        <v>Amount Due to Employer (G. - E.)</v>
      </c>
      <c r="K4715" s="106"/>
      <c r="L4715" s="106"/>
      <c r="M4715" s="129"/>
    </row>
    <row r="4716" spans="1:13" s="146" customFormat="1">
      <c r="A4716" s="193" t="s">
        <v>510</v>
      </c>
      <c r="B4716" s="210">
        <v>5</v>
      </c>
      <c r="C4716" s="191" t="str">
        <f>IF('IWP12'!E$424=0,"",'IWP12'!E$424)</f>
        <v>Item/Service</v>
      </c>
      <c r="D4716" s="211" t="str">
        <f>'IWP12'!G$424</f>
        <v>Itemized Amount Paid by DADS</v>
      </c>
      <c r="E4716" s="211">
        <f>'IWP12'!H$424</f>
        <v>0</v>
      </c>
      <c r="F4716" s="211">
        <f>'IWP12'!I$424</f>
        <v>0</v>
      </c>
      <c r="G4716" s="191" t="str">
        <f>IF('IWP12'!J$424=0,"",'IWP12'!J$424)</f>
        <v/>
      </c>
      <c r="H4716" s="211">
        <f>'IWP12'!K$424</f>
        <v>0</v>
      </c>
      <c r="I4716" s="211">
        <f>'IWP12'!L$424</f>
        <v>0</v>
      </c>
      <c r="J4716" s="212">
        <f>'IWP12'!M$424</f>
        <v>0</v>
      </c>
      <c r="K4716" s="106"/>
      <c r="L4716" s="106"/>
      <c r="M4716" s="129"/>
    </row>
    <row r="4717" spans="1:13" s="146" customFormat="1">
      <c r="A4717" s="193" t="s">
        <v>510</v>
      </c>
      <c r="B4717" s="210">
        <v>5</v>
      </c>
      <c r="C4717" s="191" t="str">
        <f>IF('IWP12'!E$425=0,"",'IWP12'!E$425)</f>
        <v/>
      </c>
      <c r="D4717" s="211">
        <f>'IWP12'!G$425</f>
        <v>0</v>
      </c>
      <c r="E4717" s="211">
        <f>'IWP12'!H$425</f>
        <v>0</v>
      </c>
      <c r="F4717" s="211">
        <f>'IWP12'!I$425</f>
        <v>0</v>
      </c>
      <c r="G4717" s="191" t="str">
        <f>IF('IWP12'!J$425=0,"",'IWP12'!J$425)</f>
        <v/>
      </c>
      <c r="H4717" s="211">
        <f>'IWP12'!K$425</f>
        <v>0</v>
      </c>
      <c r="I4717" s="211">
        <f>'IWP12'!L$425</f>
        <v>0</v>
      </c>
      <c r="J4717" s="212">
        <f>'IWP12'!M$425</f>
        <v>0</v>
      </c>
      <c r="K4717" s="106"/>
      <c r="L4717" s="106"/>
      <c r="M4717" s="129"/>
    </row>
    <row r="4718" spans="1:13" s="146" customFormat="1">
      <c r="A4718" s="193" t="s">
        <v>510</v>
      </c>
      <c r="B4718" s="210">
        <v>5</v>
      </c>
      <c r="C4718" s="191" t="str">
        <f>IF('IWP12'!E$426=0,"",'IWP12'!E$426)</f>
        <v/>
      </c>
      <c r="D4718" s="211">
        <f>'IWP12'!G$426</f>
        <v>0</v>
      </c>
      <c r="E4718" s="211">
        <f>'IWP12'!H$426</f>
        <v>0</v>
      </c>
      <c r="F4718" s="211">
        <f>'IWP12'!I$426</f>
        <v>0</v>
      </c>
      <c r="G4718" s="191" t="str">
        <f>IF('IWP12'!J$426=0,"",'IWP12'!J$426)</f>
        <v/>
      </c>
      <c r="H4718" s="211">
        <f>'IWP12'!K$426</f>
        <v>0</v>
      </c>
      <c r="I4718" s="211">
        <f>'IWP12'!L$426</f>
        <v>0</v>
      </c>
      <c r="J4718" s="212">
        <f>'IWP12'!M$426</f>
        <v>0</v>
      </c>
      <c r="K4718" s="106"/>
      <c r="L4718" s="106"/>
      <c r="M4718" s="129"/>
    </row>
    <row r="4719" spans="1:13" s="146" customFormat="1">
      <c r="A4719" s="193" t="s">
        <v>510</v>
      </c>
      <c r="B4719" s="210">
        <v>5</v>
      </c>
      <c r="C4719" s="191" t="str">
        <f>IF('IWP12'!E$427=0,"",'IWP12'!E$427)</f>
        <v/>
      </c>
      <c r="D4719" s="211">
        <f>'IWP12'!G$427</f>
        <v>0</v>
      </c>
      <c r="E4719" s="211">
        <f>'IWP12'!H$427</f>
        <v>0</v>
      </c>
      <c r="F4719" s="211">
        <f>'IWP12'!I$427</f>
        <v>0</v>
      </c>
      <c r="G4719" s="191" t="str">
        <f>IF('IWP12'!J$427=0,"",'IWP12'!J$427)</f>
        <v/>
      </c>
      <c r="H4719" s="211">
        <f>'IWP12'!K$427</f>
        <v>0</v>
      </c>
      <c r="I4719" s="211">
        <f>'IWP12'!L$427</f>
        <v>0</v>
      </c>
      <c r="J4719" s="212">
        <f>'IWP12'!M$427</f>
        <v>0</v>
      </c>
      <c r="K4719" s="106"/>
      <c r="L4719" s="106"/>
      <c r="M4719" s="129"/>
    </row>
    <row r="4720" spans="1:13" s="146" customFormat="1">
      <c r="A4720" s="193" t="s">
        <v>510</v>
      </c>
      <c r="B4720" s="210">
        <v>5</v>
      </c>
      <c r="C4720" s="191" t="str">
        <f>IF('IWP12'!E$428=0,"",'IWP12'!E$428)</f>
        <v/>
      </c>
      <c r="D4720" s="211">
        <f>'IWP12'!G$428</f>
        <v>0</v>
      </c>
      <c r="E4720" s="211">
        <f>'IWP12'!H$428</f>
        <v>0</v>
      </c>
      <c r="F4720" s="211">
        <f>'IWP12'!I$428</f>
        <v>0</v>
      </c>
      <c r="G4720" s="191" t="str">
        <f>IF('IWP12'!J$428=0,"",'IWP12'!J$428)</f>
        <v/>
      </c>
      <c r="H4720" s="211">
        <f>'IWP12'!K$428</f>
        <v>0</v>
      </c>
      <c r="I4720" s="211">
        <f>'IWP12'!L$428</f>
        <v>0</v>
      </c>
      <c r="J4720" s="212">
        <f>'IWP12'!M$428</f>
        <v>0</v>
      </c>
      <c r="K4720" s="106"/>
      <c r="L4720" s="106"/>
      <c r="M4720" s="129"/>
    </row>
    <row r="4721" spans="1:13" s="146" customFormat="1">
      <c r="A4721" s="193" t="s">
        <v>510</v>
      </c>
      <c r="B4721" s="210">
        <v>6</v>
      </c>
      <c r="C4721" s="191" t="str">
        <f>IF('IWP12'!E$435=0,"",'IWP12'!E$435)</f>
        <v>Subtotal column D.</v>
      </c>
      <c r="D4721" s="211">
        <f>'IWP12'!G$435</f>
        <v>0</v>
      </c>
      <c r="E4721" s="211">
        <f>'IWP12'!H$435</f>
        <v>0</v>
      </c>
      <c r="F4721" s="211">
        <f>'IWP12'!I$435</f>
        <v>0</v>
      </c>
      <c r="G4721" s="191" t="str">
        <f>IF('IWP12'!J$435=0,"",'IWP12'!J$435)</f>
        <v/>
      </c>
      <c r="H4721" s="211">
        <f>'IWP12'!K$435</f>
        <v>0</v>
      </c>
      <c r="I4721" s="211">
        <f>'IWP12'!L$435</f>
        <v>0</v>
      </c>
      <c r="J4721" s="212">
        <f>'IWP12'!M$435</f>
        <v>0</v>
      </c>
      <c r="K4721" s="106"/>
      <c r="L4721" s="106"/>
      <c r="M4721" s="129"/>
    </row>
    <row r="4722" spans="1:13" s="146" customFormat="1">
      <c r="A4722" s="193" t="s">
        <v>510</v>
      </c>
      <c r="B4722" s="210">
        <v>6</v>
      </c>
      <c r="C4722" s="191" t="str">
        <f>IF('IWP12'!E$436=0,"",'IWP12'!E$436)</f>
        <v>Unverified/Undocumented (Subtotal D - C)</v>
      </c>
      <c r="D4722" s="211">
        <f>'IWP12'!G$436</f>
        <v>0</v>
      </c>
      <c r="E4722" s="211">
        <f>'IWP12'!H$436</f>
        <v>0</v>
      </c>
      <c r="F4722" s="211">
        <f>'IWP12'!I$436</f>
        <v>0</v>
      </c>
      <c r="G4722" s="191" t="str">
        <f>IF('IWP12'!J$436=0,"",'IWP12'!J$436)</f>
        <v/>
      </c>
      <c r="H4722" s="211">
        <f>'IWP12'!K$436</f>
        <v>0</v>
      </c>
      <c r="I4722" s="211">
        <f>'IWP12'!L$436</f>
        <v>0</v>
      </c>
      <c r="J4722" s="212">
        <f>'IWP12'!M$436</f>
        <v>0</v>
      </c>
      <c r="K4722" s="106"/>
      <c r="L4722" s="106"/>
      <c r="M4722" s="129"/>
    </row>
    <row r="4723" spans="1:13" s="146" customFormat="1">
      <c r="A4723" s="193" t="s">
        <v>510</v>
      </c>
      <c r="B4723" s="210">
        <v>6</v>
      </c>
      <c r="C4723" s="191" t="str">
        <f>IF('IWP12'!E$437=0,"",'IWP12'!E$437)</f>
        <v>J. Billing Period Total</v>
      </c>
      <c r="D4723" s="211">
        <f>'IWP12'!G$437</f>
        <v>0</v>
      </c>
      <c r="E4723" s="211">
        <f>'IWP12'!H$437</f>
        <v>0</v>
      </c>
      <c r="F4723" s="211">
        <f>'IWP12'!I$437</f>
        <v>0</v>
      </c>
      <c r="G4723" s="191" t="str">
        <f>IF('IWP12'!J$437=0,"",'IWP12'!J$437)</f>
        <v/>
      </c>
      <c r="H4723" s="211">
        <f>'IWP12'!K$437</f>
        <v>0</v>
      </c>
      <c r="I4723" s="211">
        <f>'IWP12'!L$437</f>
        <v>0</v>
      </c>
      <c r="J4723" s="212">
        <f>'IWP12'!M$437</f>
        <v>0</v>
      </c>
      <c r="K4723" s="106"/>
      <c r="L4723" s="106"/>
      <c r="M4723" s="129"/>
    </row>
    <row r="4724" spans="1:13" s="146" customFormat="1">
      <c r="A4724" s="193" t="s">
        <v>510</v>
      </c>
      <c r="B4724" s="210">
        <v>6</v>
      </c>
      <c r="C4724" s="191" t="str">
        <f>IF('IWP12'!E$438=0,"",'IWP12'!E$438)</f>
        <v>D.</v>
      </c>
      <c r="D4724" s="211">
        <f>'IWP12'!G$438</f>
        <v>0</v>
      </c>
      <c r="E4724" s="211" t="str">
        <f>'IWP12'!H$438</f>
        <v>E.</v>
      </c>
      <c r="F4724" s="211" t="str">
        <f>'IWP12'!I$438</f>
        <v>F.</v>
      </c>
      <c r="G4724" s="191" t="str">
        <f>IF('IWP12'!J$438=0,"",'IWP12'!J$438)</f>
        <v>G.</v>
      </c>
      <c r="H4724" s="211">
        <f>'IWP12'!K$438</f>
        <v>0</v>
      </c>
      <c r="I4724" s="211" t="str">
        <f>'IWP12'!L$438</f>
        <v>H.</v>
      </c>
      <c r="J4724" s="212" t="str">
        <f>'IWP12'!M$438</f>
        <v>I.</v>
      </c>
      <c r="K4724" s="106"/>
      <c r="L4724" s="106"/>
      <c r="M4724" s="129"/>
    </row>
    <row r="4725" spans="1:13" s="146" customFormat="1">
      <c r="A4725" s="193" t="s">
        <v>510</v>
      </c>
      <c r="B4725" s="210">
        <v>6</v>
      </c>
      <c r="C4725" s="191" t="str">
        <f>IF('IWP12'!E$439=0,"",'IWP12'!E$439)</f>
        <v xml:space="preserve">Items/Services Related to Billing Period </v>
      </c>
      <c r="D4725" s="211">
        <f>'IWP12'!G$439</f>
        <v>0</v>
      </c>
      <c r="E4725" s="211" t="str">
        <f>'IWP12'!H$439</f>
        <v xml:space="preserve">Item/
Service Verified Amounts
</v>
      </c>
      <c r="F4725" s="211" t="str">
        <f>'IWP12'!I$439</f>
        <v>Amount Due to DADS (E. - D.)</v>
      </c>
      <c r="G4725" s="191" t="str">
        <f>IF('IWP12'!J$439=0,"",'IWP12'!J$439)</f>
        <v>Amount Reimbursed to 
Employee(s)/Employer</v>
      </c>
      <c r="H4725" s="211">
        <f>'IWP12'!K$439</f>
        <v>0</v>
      </c>
      <c r="I4725" s="211" t="str">
        <f>'IWP12'!L$439</f>
        <v>Amount Due to Employee(s) (G. - E.)</v>
      </c>
      <c r="J4725" s="212" t="str">
        <f>'IWP12'!M$439</f>
        <v>Amount Due to Employer (G. - E.)</v>
      </c>
      <c r="K4725" s="106"/>
      <c r="L4725" s="106"/>
      <c r="M4725" s="129"/>
    </row>
    <row r="4726" spans="1:13" s="146" customFormat="1">
      <c r="A4726" s="193" t="s">
        <v>510</v>
      </c>
      <c r="B4726" s="210">
        <v>6</v>
      </c>
      <c r="C4726" s="191" t="str">
        <f>IF('IWP12'!E$440=0,"",'IWP12'!E$440)</f>
        <v>Item/Service</v>
      </c>
      <c r="D4726" s="211" t="str">
        <f>'IWP12'!G$440</f>
        <v>Itemized Amount Paid by DADS</v>
      </c>
      <c r="E4726" s="211">
        <f>'IWP12'!H$440</f>
        <v>0</v>
      </c>
      <c r="F4726" s="211">
        <f>'IWP12'!I$440</f>
        <v>0</v>
      </c>
      <c r="G4726" s="191" t="str">
        <f>IF('IWP12'!J$440=0,"",'IWP12'!J$440)</f>
        <v/>
      </c>
      <c r="H4726" s="211">
        <f>'IWP12'!K$440</f>
        <v>0</v>
      </c>
      <c r="I4726" s="211">
        <f>'IWP12'!L$440</f>
        <v>0</v>
      </c>
      <c r="J4726" s="212">
        <f>'IWP12'!M$440</f>
        <v>0</v>
      </c>
      <c r="K4726" s="106"/>
      <c r="L4726" s="106"/>
      <c r="M4726" s="129"/>
    </row>
    <row r="4727" spans="1:13" s="146" customFormat="1">
      <c r="A4727" s="193" t="s">
        <v>510</v>
      </c>
      <c r="B4727" s="210">
        <v>6</v>
      </c>
      <c r="C4727" s="191" t="str">
        <f>IF('IWP12'!E$441=0,"",'IWP12'!E$441)</f>
        <v/>
      </c>
      <c r="D4727" s="211">
        <f>'IWP12'!G$441</f>
        <v>0</v>
      </c>
      <c r="E4727" s="211">
        <f>'IWP12'!H$441</f>
        <v>0</v>
      </c>
      <c r="F4727" s="211">
        <f>'IWP12'!I$441</f>
        <v>0</v>
      </c>
      <c r="G4727" s="191" t="str">
        <f>IF('IWP12'!J$441=0,"",'IWP12'!J$441)</f>
        <v/>
      </c>
      <c r="H4727" s="211">
        <f>'IWP12'!K$441</f>
        <v>0</v>
      </c>
      <c r="I4727" s="211">
        <f>'IWP12'!L$441</f>
        <v>0</v>
      </c>
      <c r="J4727" s="212">
        <f>'IWP12'!M$441</f>
        <v>0</v>
      </c>
      <c r="K4727" s="106"/>
      <c r="L4727" s="106"/>
      <c r="M4727" s="129"/>
    </row>
    <row r="4728" spans="1:13" s="146" customFormat="1">
      <c r="A4728" s="193" t="s">
        <v>510</v>
      </c>
      <c r="B4728" s="210">
        <v>6</v>
      </c>
      <c r="C4728" s="191" t="str">
        <f>IF('IWP12'!E$442=0,"",'IWP12'!E$442)</f>
        <v/>
      </c>
      <c r="D4728" s="211">
        <f>'IWP12'!G$442</f>
        <v>0</v>
      </c>
      <c r="E4728" s="211">
        <f>'IWP12'!H$442</f>
        <v>0</v>
      </c>
      <c r="F4728" s="211">
        <f>'IWP12'!I$442</f>
        <v>0</v>
      </c>
      <c r="G4728" s="191" t="str">
        <f>IF('IWP12'!J$442=0,"",'IWP12'!J$442)</f>
        <v/>
      </c>
      <c r="H4728" s="211">
        <f>'IWP12'!K$442</f>
        <v>0</v>
      </c>
      <c r="I4728" s="211">
        <f>'IWP12'!L$442</f>
        <v>0</v>
      </c>
      <c r="J4728" s="212">
        <f>'IWP12'!M$442</f>
        <v>0</v>
      </c>
      <c r="K4728" s="106"/>
      <c r="L4728" s="106"/>
      <c r="M4728" s="129"/>
    </row>
    <row r="4729" spans="1:13" s="146" customFormat="1">
      <c r="A4729" s="193" t="s">
        <v>510</v>
      </c>
      <c r="B4729" s="210">
        <v>6</v>
      </c>
      <c r="C4729" s="191" t="str">
        <f>IF('IWP12'!E$443=0,"",'IWP12'!E$443)</f>
        <v/>
      </c>
      <c r="D4729" s="211">
        <f>'IWP12'!G$443</f>
        <v>0</v>
      </c>
      <c r="E4729" s="211">
        <f>'IWP12'!H$443</f>
        <v>0</v>
      </c>
      <c r="F4729" s="211">
        <f>'IWP12'!I$443</f>
        <v>0</v>
      </c>
      <c r="G4729" s="191" t="str">
        <f>IF('IWP12'!J$443=0,"",'IWP12'!J$443)</f>
        <v/>
      </c>
      <c r="H4729" s="211">
        <f>'IWP12'!K$443</f>
        <v>0</v>
      </c>
      <c r="I4729" s="211">
        <f>'IWP12'!L$443</f>
        <v>0</v>
      </c>
      <c r="J4729" s="212">
        <f>'IWP12'!M$443</f>
        <v>0</v>
      </c>
      <c r="K4729" s="106"/>
      <c r="L4729" s="106"/>
      <c r="M4729" s="129"/>
    </row>
    <row r="4730" spans="1:13" s="146" customFormat="1">
      <c r="A4730" s="193" t="s">
        <v>510</v>
      </c>
      <c r="B4730" s="210">
        <v>6</v>
      </c>
      <c r="C4730" s="191" t="str">
        <f>IF('IWP12'!E$444=0,"",'IWP12'!E$444)</f>
        <v/>
      </c>
      <c r="D4730" s="211">
        <f>'IWP12'!G$444</f>
        <v>0</v>
      </c>
      <c r="E4730" s="211">
        <f>'IWP12'!H$444</f>
        <v>0</v>
      </c>
      <c r="F4730" s="211">
        <f>'IWP12'!I$444</f>
        <v>0</v>
      </c>
      <c r="G4730" s="191" t="str">
        <f>IF('IWP12'!J$444=0,"",'IWP12'!J$444)</f>
        <v/>
      </c>
      <c r="H4730" s="211">
        <f>'IWP12'!K$444</f>
        <v>0</v>
      </c>
      <c r="I4730" s="211">
        <f>'IWP12'!L$444</f>
        <v>0</v>
      </c>
      <c r="J4730" s="212">
        <f>'IWP12'!M$444</f>
        <v>0</v>
      </c>
      <c r="K4730" s="106"/>
      <c r="L4730" s="106"/>
      <c r="M4730" s="129"/>
    </row>
    <row r="4731" spans="1:13" s="146" customFormat="1">
      <c r="A4731" s="193" t="s">
        <v>510</v>
      </c>
      <c r="B4731" s="210">
        <v>7</v>
      </c>
      <c r="C4731" s="191" t="str">
        <f>IF('IWP12'!E$451=0,"",'IWP12'!E$451)</f>
        <v>Subtotal column D.</v>
      </c>
      <c r="D4731" s="211">
        <f>'IWP12'!G$451</f>
        <v>0</v>
      </c>
      <c r="E4731" s="211">
        <f>'IWP12'!H$451</f>
        <v>0</v>
      </c>
      <c r="F4731" s="211">
        <f>'IWP12'!I$451</f>
        <v>0</v>
      </c>
      <c r="G4731" s="191" t="str">
        <f>IF('IWP12'!J$451=0,"",'IWP12'!J$451)</f>
        <v/>
      </c>
      <c r="H4731" s="211">
        <f>'IWP12'!K$451</f>
        <v>0</v>
      </c>
      <c r="I4731" s="211">
        <f>'IWP12'!L$451</f>
        <v>0</v>
      </c>
      <c r="J4731" s="212">
        <f>'IWP12'!M$451</f>
        <v>0</v>
      </c>
      <c r="K4731" s="106"/>
      <c r="L4731" s="106"/>
      <c r="M4731" s="129"/>
    </row>
    <row r="4732" spans="1:13" s="146" customFormat="1">
      <c r="A4732" s="193" t="s">
        <v>510</v>
      </c>
      <c r="B4732" s="210">
        <v>7</v>
      </c>
      <c r="C4732" s="191" t="str">
        <f>IF('IWP12'!E$452=0,"",'IWP12'!E$452)</f>
        <v>Unverified/Undocumented (Subtotal D - C)</v>
      </c>
      <c r="D4732" s="211">
        <f>'IWP12'!G$452</f>
        <v>0</v>
      </c>
      <c r="E4732" s="211">
        <f>'IWP12'!H$452</f>
        <v>0</v>
      </c>
      <c r="F4732" s="211">
        <f>'IWP12'!I$452</f>
        <v>0</v>
      </c>
      <c r="G4732" s="191" t="str">
        <f>IF('IWP12'!J$452=0,"",'IWP12'!J$452)</f>
        <v/>
      </c>
      <c r="H4732" s="211">
        <f>'IWP12'!K$452</f>
        <v>0</v>
      </c>
      <c r="I4732" s="211">
        <f>'IWP12'!L$452</f>
        <v>0</v>
      </c>
      <c r="J4732" s="212">
        <f>'IWP12'!M$452</f>
        <v>0</v>
      </c>
      <c r="K4732" s="106"/>
      <c r="L4732" s="106"/>
      <c r="M4732" s="129"/>
    </row>
    <row r="4733" spans="1:13" s="146" customFormat="1">
      <c r="A4733" s="193" t="s">
        <v>510</v>
      </c>
      <c r="B4733" s="210">
        <v>7</v>
      </c>
      <c r="C4733" s="191" t="str">
        <f>IF('IWP12'!E$453=0,"",'IWP12'!E$453)</f>
        <v>J. Billing Period Total</v>
      </c>
      <c r="D4733" s="211">
        <f>'IWP12'!G$453</f>
        <v>0</v>
      </c>
      <c r="E4733" s="211">
        <f>'IWP12'!H$453</f>
        <v>0</v>
      </c>
      <c r="F4733" s="211">
        <f>'IWP12'!I$453</f>
        <v>0</v>
      </c>
      <c r="G4733" s="191" t="str">
        <f>IF('IWP12'!J$453=0,"",'IWP12'!J$453)</f>
        <v/>
      </c>
      <c r="H4733" s="211">
        <f>'IWP12'!K$453</f>
        <v>0</v>
      </c>
      <c r="I4733" s="211">
        <f>'IWP12'!L$453</f>
        <v>0</v>
      </c>
      <c r="J4733" s="212">
        <f>'IWP12'!M$453</f>
        <v>0</v>
      </c>
      <c r="K4733" s="106"/>
      <c r="L4733" s="106"/>
      <c r="M4733" s="129"/>
    </row>
    <row r="4734" spans="1:13" s="146" customFormat="1">
      <c r="A4734" s="193" t="s">
        <v>510</v>
      </c>
      <c r="B4734" s="210">
        <v>7</v>
      </c>
      <c r="C4734" s="191" t="str">
        <f>IF('IWP12'!E$454=0,"",'IWP12'!E$454)</f>
        <v>D.</v>
      </c>
      <c r="D4734" s="211">
        <f>'IWP12'!G$454</f>
        <v>0</v>
      </c>
      <c r="E4734" s="211" t="str">
        <f>'IWP12'!H$454</f>
        <v>E.</v>
      </c>
      <c r="F4734" s="211" t="str">
        <f>'IWP12'!I$454</f>
        <v>F.</v>
      </c>
      <c r="G4734" s="191" t="str">
        <f>IF('IWP12'!J$454=0,"",'IWP12'!J$454)</f>
        <v>G.</v>
      </c>
      <c r="H4734" s="211">
        <f>'IWP12'!K$454</f>
        <v>0</v>
      </c>
      <c r="I4734" s="211" t="str">
        <f>'IWP12'!L$454</f>
        <v>H.</v>
      </c>
      <c r="J4734" s="212" t="str">
        <f>'IWP12'!M$454</f>
        <v>I.</v>
      </c>
      <c r="K4734" s="106"/>
      <c r="L4734" s="106"/>
      <c r="M4734" s="129"/>
    </row>
    <row r="4735" spans="1:13" s="146" customFormat="1">
      <c r="A4735" s="193" t="s">
        <v>510</v>
      </c>
      <c r="B4735" s="210">
        <v>7</v>
      </c>
      <c r="C4735" s="191" t="str">
        <f>IF('IWP12'!E$455=0,"",'IWP12'!E$455)</f>
        <v xml:space="preserve">Items/Services Related to Billing Period </v>
      </c>
      <c r="D4735" s="211">
        <f>'IWP12'!G$455</f>
        <v>0</v>
      </c>
      <c r="E4735" s="211" t="str">
        <f>'IWP12'!H$455</f>
        <v xml:space="preserve">Item/
Service Verified Amounts
</v>
      </c>
      <c r="F4735" s="211" t="str">
        <f>'IWP12'!I$455</f>
        <v>Amount Due to DADS (E. - D.)</v>
      </c>
      <c r="G4735" s="191" t="str">
        <f>IF('IWP12'!J$455=0,"",'IWP12'!J$455)</f>
        <v>Amount Reimbursed to 
Employee(s)/Employer</v>
      </c>
      <c r="H4735" s="211">
        <f>'IWP12'!K$455</f>
        <v>0</v>
      </c>
      <c r="I4735" s="211" t="str">
        <f>'IWP12'!L$455</f>
        <v>Amount Due to Employee(s) (G. - E.)</v>
      </c>
      <c r="J4735" s="212" t="str">
        <f>'IWP12'!M$455</f>
        <v>Amount Due to Employer (G. - E.)</v>
      </c>
      <c r="K4735" s="106"/>
      <c r="L4735" s="106"/>
      <c r="M4735" s="129"/>
    </row>
    <row r="4736" spans="1:13" s="146" customFormat="1">
      <c r="A4736" s="193" t="s">
        <v>510</v>
      </c>
      <c r="B4736" s="210">
        <v>7</v>
      </c>
      <c r="C4736" s="191" t="str">
        <f>IF('IWP12'!E$456=0,"",'IWP12'!E$456)</f>
        <v>Item/Service</v>
      </c>
      <c r="D4736" s="211" t="str">
        <f>'IWP12'!G$456</f>
        <v>Itemized Amount Paid by DADS</v>
      </c>
      <c r="E4736" s="211">
        <f>'IWP12'!H$456</f>
        <v>0</v>
      </c>
      <c r="F4736" s="211">
        <f>'IWP12'!I$456</f>
        <v>0</v>
      </c>
      <c r="G4736" s="191" t="str">
        <f>IF('IWP12'!J$456=0,"",'IWP12'!J$456)</f>
        <v/>
      </c>
      <c r="H4736" s="211">
        <f>'IWP12'!K$456</f>
        <v>0</v>
      </c>
      <c r="I4736" s="211">
        <f>'IWP12'!L$456</f>
        <v>0</v>
      </c>
      <c r="J4736" s="212">
        <f>'IWP12'!M$456</f>
        <v>0</v>
      </c>
      <c r="K4736" s="106"/>
      <c r="L4736" s="106"/>
      <c r="M4736" s="129"/>
    </row>
    <row r="4737" spans="1:13" s="146" customFormat="1">
      <c r="A4737" s="193" t="s">
        <v>510</v>
      </c>
      <c r="B4737" s="210">
        <v>7</v>
      </c>
      <c r="C4737" s="191" t="str">
        <f>IF('IWP12'!E$457=0,"",'IWP12'!E$457)</f>
        <v/>
      </c>
      <c r="D4737" s="211">
        <f>'IWP12'!G$457</f>
        <v>0</v>
      </c>
      <c r="E4737" s="211">
        <f>'IWP12'!H$457</f>
        <v>0</v>
      </c>
      <c r="F4737" s="211">
        <f>'IWP12'!I$457</f>
        <v>0</v>
      </c>
      <c r="G4737" s="191" t="str">
        <f>IF('IWP12'!J$457=0,"",'IWP12'!J$457)</f>
        <v/>
      </c>
      <c r="H4737" s="211">
        <f>'IWP12'!K$457</f>
        <v>0</v>
      </c>
      <c r="I4737" s="211">
        <f>'IWP12'!L$457</f>
        <v>0</v>
      </c>
      <c r="J4737" s="212">
        <f>'IWP12'!M$457</f>
        <v>0</v>
      </c>
      <c r="K4737" s="106"/>
      <c r="L4737" s="106"/>
      <c r="M4737" s="129"/>
    </row>
    <row r="4738" spans="1:13" s="146" customFormat="1">
      <c r="A4738" s="193" t="s">
        <v>510</v>
      </c>
      <c r="B4738" s="210">
        <v>7</v>
      </c>
      <c r="C4738" s="191" t="str">
        <f>IF('IWP12'!E$458=0,"",'IWP12'!E$458)</f>
        <v/>
      </c>
      <c r="D4738" s="211">
        <f>'IWP12'!G$458</f>
        <v>0</v>
      </c>
      <c r="E4738" s="211">
        <f>'IWP12'!H$458</f>
        <v>0</v>
      </c>
      <c r="F4738" s="211">
        <f>'IWP12'!I$458</f>
        <v>0</v>
      </c>
      <c r="G4738" s="191" t="str">
        <f>IF('IWP12'!J$458=0,"",'IWP12'!J$458)</f>
        <v/>
      </c>
      <c r="H4738" s="211">
        <f>'IWP12'!K$458</f>
        <v>0</v>
      </c>
      <c r="I4738" s="211">
        <f>'IWP12'!L$458</f>
        <v>0</v>
      </c>
      <c r="J4738" s="212">
        <f>'IWP12'!M$458</f>
        <v>0</v>
      </c>
      <c r="K4738" s="106"/>
      <c r="L4738" s="106"/>
      <c r="M4738" s="129"/>
    </row>
    <row r="4739" spans="1:13" s="146" customFormat="1">
      <c r="A4739" s="193" t="s">
        <v>510</v>
      </c>
      <c r="B4739" s="210">
        <v>7</v>
      </c>
      <c r="C4739" s="191" t="str">
        <f>IF('IWP12'!E$459=0,"",'IWP12'!E$459)</f>
        <v/>
      </c>
      <c r="D4739" s="211">
        <f>'IWP12'!G$459</f>
        <v>0</v>
      </c>
      <c r="E4739" s="211">
        <f>'IWP12'!H$459</f>
        <v>0</v>
      </c>
      <c r="F4739" s="211">
        <f>'IWP12'!I$459</f>
        <v>0</v>
      </c>
      <c r="G4739" s="191" t="str">
        <f>IF('IWP12'!J$459=0,"",'IWP12'!J$459)</f>
        <v/>
      </c>
      <c r="H4739" s="211">
        <f>'IWP12'!K$459</f>
        <v>0</v>
      </c>
      <c r="I4739" s="211">
        <f>'IWP12'!L$459</f>
        <v>0</v>
      </c>
      <c r="J4739" s="212">
        <f>'IWP12'!M$459</f>
        <v>0</v>
      </c>
      <c r="K4739" s="106"/>
      <c r="L4739" s="106"/>
      <c r="M4739" s="129"/>
    </row>
    <row r="4740" spans="1:13" s="146" customFormat="1">
      <c r="A4740" s="193" t="s">
        <v>510</v>
      </c>
      <c r="B4740" s="210">
        <v>7</v>
      </c>
      <c r="C4740" s="191" t="str">
        <f>IF('IWP12'!E$460=0,"",'IWP12'!E$460)</f>
        <v/>
      </c>
      <c r="D4740" s="211">
        <f>'IWP12'!G$460</f>
        <v>0</v>
      </c>
      <c r="E4740" s="211">
        <f>'IWP12'!H$460</f>
        <v>0</v>
      </c>
      <c r="F4740" s="211">
        <f>'IWP12'!I$460</f>
        <v>0</v>
      </c>
      <c r="G4740" s="191" t="str">
        <f>IF('IWP12'!J$460=0,"",'IWP12'!J$460)</f>
        <v/>
      </c>
      <c r="H4740" s="211">
        <f>'IWP12'!K$460</f>
        <v>0</v>
      </c>
      <c r="I4740" s="211">
        <f>'IWP12'!L$460</f>
        <v>0</v>
      </c>
      <c r="J4740" s="212">
        <f>'IWP12'!M$460</f>
        <v>0</v>
      </c>
      <c r="K4740" s="106"/>
      <c r="L4740" s="106"/>
      <c r="M4740" s="129"/>
    </row>
    <row r="4741" spans="1:13" s="146" customFormat="1">
      <c r="A4741" s="193" t="s">
        <v>510</v>
      </c>
      <c r="B4741" s="210">
        <v>8</v>
      </c>
      <c r="C4741" s="191" t="str">
        <f>IF('IWP12'!E$467=0,"",'IWP12'!E$467)</f>
        <v>Subtotal column D.</v>
      </c>
      <c r="D4741" s="211">
        <f>'IWP12'!G$467</f>
        <v>0</v>
      </c>
      <c r="E4741" s="211">
        <f>'IWP12'!H$467</f>
        <v>0</v>
      </c>
      <c r="F4741" s="211">
        <f>'IWP12'!I$467</f>
        <v>0</v>
      </c>
      <c r="G4741" s="191" t="str">
        <f>IF('IWP12'!J$467=0,"",'IWP12'!J$467)</f>
        <v/>
      </c>
      <c r="H4741" s="211">
        <f>'IWP12'!K$467</f>
        <v>0</v>
      </c>
      <c r="I4741" s="211">
        <f>'IWP12'!L$467</f>
        <v>0</v>
      </c>
      <c r="J4741" s="212">
        <f>'IWP12'!M$467</f>
        <v>0</v>
      </c>
      <c r="K4741" s="106"/>
      <c r="L4741" s="106"/>
      <c r="M4741" s="129"/>
    </row>
    <row r="4742" spans="1:13" s="146" customFormat="1">
      <c r="A4742" s="193" t="s">
        <v>510</v>
      </c>
      <c r="B4742" s="210">
        <v>8</v>
      </c>
      <c r="C4742" s="191" t="str">
        <f>IF('IWP12'!E$468=0,"",'IWP12'!E$468)</f>
        <v>Unverified/Undocumented (Subtotal D - C)</v>
      </c>
      <c r="D4742" s="211">
        <f>'IWP12'!G$468</f>
        <v>0</v>
      </c>
      <c r="E4742" s="211">
        <f>'IWP12'!H$468</f>
        <v>0</v>
      </c>
      <c r="F4742" s="211">
        <f>'IWP12'!I$468</f>
        <v>0</v>
      </c>
      <c r="G4742" s="191" t="str">
        <f>IF('IWP12'!J$468=0,"",'IWP12'!J$468)</f>
        <v/>
      </c>
      <c r="H4742" s="211">
        <f>'IWP12'!K$468</f>
        <v>0</v>
      </c>
      <c r="I4742" s="211">
        <f>'IWP12'!L$468</f>
        <v>0</v>
      </c>
      <c r="J4742" s="212">
        <f>'IWP12'!M$468</f>
        <v>0</v>
      </c>
      <c r="K4742" s="106"/>
      <c r="L4742" s="106"/>
      <c r="M4742" s="129"/>
    </row>
    <row r="4743" spans="1:13" s="146" customFormat="1">
      <c r="A4743" s="193" t="s">
        <v>510</v>
      </c>
      <c r="B4743" s="210">
        <v>8</v>
      </c>
      <c r="C4743" s="191" t="str">
        <f>IF('IWP12'!E$469=0,"",'IWP12'!E$469)</f>
        <v>J. Billing Period Total</v>
      </c>
      <c r="D4743" s="211">
        <f>'IWP12'!G$469</f>
        <v>0</v>
      </c>
      <c r="E4743" s="211">
        <f>'IWP12'!H$469</f>
        <v>0</v>
      </c>
      <c r="F4743" s="211">
        <f>'IWP12'!I$469</f>
        <v>0</v>
      </c>
      <c r="G4743" s="191" t="str">
        <f>IF('IWP12'!J$469=0,"",'IWP12'!J$469)</f>
        <v/>
      </c>
      <c r="H4743" s="211">
        <f>'IWP12'!K$469</f>
        <v>0</v>
      </c>
      <c r="I4743" s="211">
        <f>'IWP12'!L$469</f>
        <v>0</v>
      </c>
      <c r="J4743" s="212">
        <f>'IWP12'!M$469</f>
        <v>0</v>
      </c>
      <c r="K4743" s="106"/>
      <c r="L4743" s="106"/>
      <c r="M4743" s="129"/>
    </row>
    <row r="4744" spans="1:13" s="146" customFormat="1">
      <c r="A4744" s="193" t="s">
        <v>510</v>
      </c>
      <c r="B4744" s="210">
        <v>8</v>
      </c>
      <c r="C4744" s="191" t="str">
        <f>IF('IWP12'!E$470=0,"",'IWP12'!E$470)</f>
        <v>D.</v>
      </c>
      <c r="D4744" s="211">
        <f>'IWP12'!G$470</f>
        <v>0</v>
      </c>
      <c r="E4744" s="211" t="str">
        <f>'IWP12'!H$470</f>
        <v>E.</v>
      </c>
      <c r="F4744" s="211" t="str">
        <f>'IWP12'!I$470</f>
        <v>F.</v>
      </c>
      <c r="G4744" s="191" t="str">
        <f>IF('IWP12'!J$470=0,"",'IWP12'!J$470)</f>
        <v>G.</v>
      </c>
      <c r="H4744" s="211">
        <f>'IWP12'!K$470</f>
        <v>0</v>
      </c>
      <c r="I4744" s="211" t="str">
        <f>'IWP12'!L$470</f>
        <v>H.</v>
      </c>
      <c r="J4744" s="212" t="str">
        <f>'IWP12'!M$470</f>
        <v>I.</v>
      </c>
      <c r="K4744" s="106"/>
      <c r="L4744" s="106"/>
      <c r="M4744" s="129"/>
    </row>
    <row r="4745" spans="1:13" s="146" customFormat="1">
      <c r="A4745" s="193" t="s">
        <v>510</v>
      </c>
      <c r="B4745" s="210">
        <v>8</v>
      </c>
      <c r="C4745" s="191" t="str">
        <f>IF('IWP12'!E$471=0,"",'IWP12'!E$471)</f>
        <v xml:space="preserve">Items/Services Related to Billing Period </v>
      </c>
      <c r="D4745" s="211">
        <f>'IWP12'!G$471</f>
        <v>0</v>
      </c>
      <c r="E4745" s="211" t="str">
        <f>'IWP12'!H$471</f>
        <v xml:space="preserve">Item/
Service Verified Amounts
</v>
      </c>
      <c r="F4745" s="211" t="str">
        <f>'IWP12'!I$471</f>
        <v>Amount Due to DADS (E. - D.)</v>
      </c>
      <c r="G4745" s="191" t="str">
        <f>IF('IWP12'!J$471=0,"",'IWP12'!J$471)</f>
        <v>Amount Reimbursed to 
Employee(s)/Employer</v>
      </c>
      <c r="H4745" s="211">
        <f>'IWP12'!K$471</f>
        <v>0</v>
      </c>
      <c r="I4745" s="211" t="str">
        <f>'IWP12'!L$471</f>
        <v>Amount Due to Employee(s) (G. - E.)</v>
      </c>
      <c r="J4745" s="212" t="str">
        <f>'IWP12'!M$471</f>
        <v>Amount Due to Employer (G. - E.)</v>
      </c>
      <c r="K4745" s="106"/>
      <c r="L4745" s="106"/>
      <c r="M4745" s="129"/>
    </row>
    <row r="4746" spans="1:13" s="146" customFormat="1">
      <c r="A4746" s="193" t="s">
        <v>510</v>
      </c>
      <c r="B4746" s="210">
        <v>8</v>
      </c>
      <c r="C4746" s="191" t="str">
        <f>IF('IWP12'!E$472=0,"",'IWP12'!E$472)</f>
        <v>Item/Service</v>
      </c>
      <c r="D4746" s="211" t="str">
        <f>'IWP12'!G$472</f>
        <v>Itemized Amount Paid by DADS</v>
      </c>
      <c r="E4746" s="211">
        <f>'IWP12'!H$472</f>
        <v>0</v>
      </c>
      <c r="F4746" s="211">
        <f>'IWP12'!I$472</f>
        <v>0</v>
      </c>
      <c r="G4746" s="191" t="str">
        <f>IF('IWP12'!J$472=0,"",'IWP12'!J$472)</f>
        <v/>
      </c>
      <c r="H4746" s="211">
        <f>'IWP12'!K$472</f>
        <v>0</v>
      </c>
      <c r="I4746" s="211">
        <f>'IWP12'!L$472</f>
        <v>0</v>
      </c>
      <c r="J4746" s="212">
        <f>'IWP12'!M$472</f>
        <v>0</v>
      </c>
      <c r="K4746" s="106"/>
      <c r="L4746" s="106"/>
      <c r="M4746" s="129"/>
    </row>
    <row r="4747" spans="1:13" s="146" customFormat="1">
      <c r="A4747" s="193" t="s">
        <v>510</v>
      </c>
      <c r="B4747" s="210">
        <v>8</v>
      </c>
      <c r="C4747" s="191" t="str">
        <f>IF('IWP12'!E$473=0,"",'IWP12'!E$473)</f>
        <v/>
      </c>
      <c r="D4747" s="211">
        <f>'IWP12'!G$473</f>
        <v>0</v>
      </c>
      <c r="E4747" s="211">
        <f>'IWP12'!H$473</f>
        <v>0</v>
      </c>
      <c r="F4747" s="211">
        <f>'IWP12'!I$473</f>
        <v>0</v>
      </c>
      <c r="G4747" s="191" t="str">
        <f>IF('IWP12'!J$473=0,"",'IWP12'!J$473)</f>
        <v/>
      </c>
      <c r="H4747" s="211">
        <f>'IWP12'!K$473</f>
        <v>0</v>
      </c>
      <c r="I4747" s="211">
        <f>'IWP12'!L$473</f>
        <v>0</v>
      </c>
      <c r="J4747" s="212">
        <f>'IWP12'!M$473</f>
        <v>0</v>
      </c>
      <c r="K4747" s="106"/>
      <c r="L4747" s="106"/>
      <c r="M4747" s="129"/>
    </row>
    <row r="4748" spans="1:13" s="146" customFormat="1">
      <c r="A4748" s="193" t="s">
        <v>510</v>
      </c>
      <c r="B4748" s="210">
        <v>8</v>
      </c>
      <c r="C4748" s="191" t="str">
        <f>IF('IWP12'!E$474=0,"",'IWP12'!E$474)</f>
        <v/>
      </c>
      <c r="D4748" s="211">
        <f>'IWP12'!G$474</f>
        <v>0</v>
      </c>
      <c r="E4748" s="211">
        <f>'IWP12'!H$474</f>
        <v>0</v>
      </c>
      <c r="F4748" s="211">
        <f>'IWP12'!I$474</f>
        <v>0</v>
      </c>
      <c r="G4748" s="191" t="str">
        <f>IF('IWP12'!J$474=0,"",'IWP12'!J$474)</f>
        <v/>
      </c>
      <c r="H4748" s="211">
        <f>'IWP12'!K$474</f>
        <v>0</v>
      </c>
      <c r="I4748" s="211">
        <f>'IWP12'!L$474</f>
        <v>0</v>
      </c>
      <c r="J4748" s="212">
        <f>'IWP12'!M$474</f>
        <v>0</v>
      </c>
      <c r="K4748" s="106"/>
      <c r="L4748" s="106"/>
      <c r="M4748" s="129"/>
    </row>
    <row r="4749" spans="1:13" s="146" customFormat="1">
      <c r="A4749" s="193" t="s">
        <v>510</v>
      </c>
      <c r="B4749" s="210">
        <v>8</v>
      </c>
      <c r="C4749" s="191" t="str">
        <f>IF('IWP12'!E$475=0,"",'IWP12'!E$475)</f>
        <v/>
      </c>
      <c r="D4749" s="211">
        <f>'IWP12'!G$475</f>
        <v>0</v>
      </c>
      <c r="E4749" s="211">
        <f>'IWP12'!H$475</f>
        <v>0</v>
      </c>
      <c r="F4749" s="211">
        <f>'IWP12'!I$475</f>
        <v>0</v>
      </c>
      <c r="G4749" s="191" t="str">
        <f>IF('IWP12'!J$475=0,"",'IWP12'!J$475)</f>
        <v/>
      </c>
      <c r="H4749" s="211">
        <f>'IWP12'!K$475</f>
        <v>0</v>
      </c>
      <c r="I4749" s="211">
        <f>'IWP12'!L$475</f>
        <v>0</v>
      </c>
      <c r="J4749" s="212">
        <f>'IWP12'!M$475</f>
        <v>0</v>
      </c>
      <c r="K4749" s="106"/>
      <c r="L4749" s="106"/>
      <c r="M4749" s="129"/>
    </row>
    <row r="4750" spans="1:13" s="146" customFormat="1">
      <c r="A4750" s="193" t="s">
        <v>510</v>
      </c>
      <c r="B4750" s="210">
        <v>8</v>
      </c>
      <c r="C4750" s="191" t="str">
        <f>IF('IWP12'!E$476=0,"",'IWP12'!E$476)</f>
        <v/>
      </c>
      <c r="D4750" s="211">
        <f>'IWP12'!G$476</f>
        <v>0</v>
      </c>
      <c r="E4750" s="211">
        <f>'IWP12'!H$476</f>
        <v>0</v>
      </c>
      <c r="F4750" s="211">
        <f>'IWP12'!I$476</f>
        <v>0</v>
      </c>
      <c r="G4750" s="191" t="str">
        <f>IF('IWP12'!J$476=0,"",'IWP12'!J$476)</f>
        <v/>
      </c>
      <c r="H4750" s="211">
        <f>'IWP12'!K$476</f>
        <v>0</v>
      </c>
      <c r="I4750" s="211">
        <f>'IWP12'!L$476</f>
        <v>0</v>
      </c>
      <c r="J4750" s="212">
        <f>'IWP12'!M$476</f>
        <v>0</v>
      </c>
      <c r="K4750" s="106"/>
      <c r="L4750" s="106"/>
      <c r="M4750" s="129"/>
    </row>
    <row r="4751" spans="1:13" s="146" customFormat="1">
      <c r="A4751" s="193" t="s">
        <v>510</v>
      </c>
      <c r="B4751" s="210">
        <v>9</v>
      </c>
      <c r="C4751" s="191" t="str">
        <f>IF('IWP12'!E$483=0,"",'IWP12'!E$483)</f>
        <v>Subtotal column D.</v>
      </c>
      <c r="D4751" s="211">
        <f>'IWP12'!G$483</f>
        <v>0</v>
      </c>
      <c r="E4751" s="211">
        <f>'IWP12'!H$483</f>
        <v>0</v>
      </c>
      <c r="F4751" s="211">
        <f>'IWP12'!I$483</f>
        <v>0</v>
      </c>
      <c r="G4751" s="191" t="str">
        <f>IF('IWP12'!J$483=0,"",'IWP12'!J$483)</f>
        <v/>
      </c>
      <c r="H4751" s="211">
        <f>'IWP12'!K$483</f>
        <v>0</v>
      </c>
      <c r="I4751" s="211">
        <f>'IWP12'!L$483</f>
        <v>0</v>
      </c>
      <c r="J4751" s="212">
        <f>'IWP12'!M$483</f>
        <v>0</v>
      </c>
      <c r="K4751" s="106"/>
      <c r="L4751" s="106"/>
      <c r="M4751" s="129"/>
    </row>
    <row r="4752" spans="1:13" s="146" customFormat="1">
      <c r="A4752" s="193" t="s">
        <v>510</v>
      </c>
      <c r="B4752" s="210">
        <v>9</v>
      </c>
      <c r="C4752" s="191" t="str">
        <f>IF('IWP12'!E$484=0,"",'IWP12'!E$484)</f>
        <v>Unverified/Undocumented (Subtotal D - C)</v>
      </c>
      <c r="D4752" s="211">
        <f>'IWP12'!G$484</f>
        <v>0</v>
      </c>
      <c r="E4752" s="211">
        <f>'IWP12'!H$484</f>
        <v>0</v>
      </c>
      <c r="F4752" s="211">
        <f>'IWP12'!I$484</f>
        <v>0</v>
      </c>
      <c r="G4752" s="191" t="str">
        <f>IF('IWP12'!J$484=0,"",'IWP12'!J$484)</f>
        <v/>
      </c>
      <c r="H4752" s="211">
        <f>'IWP12'!K$484</f>
        <v>0</v>
      </c>
      <c r="I4752" s="211">
        <f>'IWP12'!L$484</f>
        <v>0</v>
      </c>
      <c r="J4752" s="212">
        <f>'IWP12'!M$484</f>
        <v>0</v>
      </c>
      <c r="K4752" s="106"/>
      <c r="L4752" s="106"/>
      <c r="M4752" s="129"/>
    </row>
    <row r="4753" spans="1:13" s="146" customFormat="1">
      <c r="A4753" s="193" t="s">
        <v>510</v>
      </c>
      <c r="B4753" s="210">
        <v>9</v>
      </c>
      <c r="C4753" s="191" t="str">
        <f>IF('IWP12'!E$485=0,"",'IWP12'!E$485)</f>
        <v>J. Billing Period Total</v>
      </c>
      <c r="D4753" s="211">
        <f>'IWP12'!G$485</f>
        <v>0</v>
      </c>
      <c r="E4753" s="211">
        <f>'IWP12'!H$485</f>
        <v>0</v>
      </c>
      <c r="F4753" s="211">
        <f>'IWP12'!I$485</f>
        <v>0</v>
      </c>
      <c r="G4753" s="191" t="str">
        <f>IF('IWP12'!J$485=0,"",'IWP12'!J$485)</f>
        <v/>
      </c>
      <c r="H4753" s="211">
        <f>'IWP12'!K$485</f>
        <v>0</v>
      </c>
      <c r="I4753" s="211">
        <f>'IWP12'!L$485</f>
        <v>0</v>
      </c>
      <c r="J4753" s="212">
        <f>'IWP12'!M$485</f>
        <v>0</v>
      </c>
      <c r="K4753" s="106"/>
      <c r="L4753" s="106"/>
      <c r="M4753" s="129"/>
    </row>
    <row r="4754" spans="1:13" s="146" customFormat="1">
      <c r="A4754" s="193" t="s">
        <v>510</v>
      </c>
      <c r="B4754" s="210">
        <v>9</v>
      </c>
      <c r="C4754" s="191" t="str">
        <f>IF('IWP12'!E$486=0,"",'IWP12'!E$486)</f>
        <v>D.</v>
      </c>
      <c r="D4754" s="211">
        <f>'IWP12'!G$486</f>
        <v>0</v>
      </c>
      <c r="E4754" s="211" t="str">
        <f>'IWP12'!H$486</f>
        <v>E.</v>
      </c>
      <c r="F4754" s="211" t="str">
        <f>'IWP12'!I$486</f>
        <v>F.</v>
      </c>
      <c r="G4754" s="191" t="str">
        <f>IF('IWP12'!J$486=0,"",'IWP12'!J$486)</f>
        <v>G.</v>
      </c>
      <c r="H4754" s="211">
        <f>'IWP12'!K$486</f>
        <v>0</v>
      </c>
      <c r="I4754" s="211" t="str">
        <f>'IWP12'!L$486</f>
        <v>H.</v>
      </c>
      <c r="J4754" s="212" t="str">
        <f>'IWP12'!M$486</f>
        <v>I.</v>
      </c>
      <c r="K4754" s="106"/>
      <c r="L4754" s="106"/>
      <c r="M4754" s="129"/>
    </row>
    <row r="4755" spans="1:13" s="146" customFormat="1">
      <c r="A4755" s="193" t="s">
        <v>510</v>
      </c>
      <c r="B4755" s="210">
        <v>9</v>
      </c>
      <c r="C4755" s="191" t="str">
        <f>IF('IWP12'!E$487=0,"",'IWP12'!E$487)</f>
        <v xml:space="preserve">Items/Services Related to Billing Period </v>
      </c>
      <c r="D4755" s="211">
        <f>'IWP12'!G$487</f>
        <v>0</v>
      </c>
      <c r="E4755" s="211" t="str">
        <f>'IWP12'!H$487</f>
        <v xml:space="preserve">Item/
Service Verified Amounts
</v>
      </c>
      <c r="F4755" s="211" t="str">
        <f>'IWP12'!I$487</f>
        <v>Amount Due to DADS (E. - D.)</v>
      </c>
      <c r="G4755" s="191" t="str">
        <f>IF('IWP12'!J$487=0,"",'IWP12'!J$487)</f>
        <v>Amount Reimbursed to 
Employee(s)/Employer</v>
      </c>
      <c r="H4755" s="211">
        <f>'IWP12'!K$487</f>
        <v>0</v>
      </c>
      <c r="I4755" s="211" t="str">
        <f>'IWP12'!L$487</f>
        <v>Amount Due to Employee(s) (G. - E.)</v>
      </c>
      <c r="J4755" s="212" t="str">
        <f>'IWP12'!M$487</f>
        <v>Amount Due to Employer (G. - E.)</v>
      </c>
      <c r="K4755" s="106"/>
      <c r="L4755" s="106"/>
      <c r="M4755" s="129"/>
    </row>
    <row r="4756" spans="1:13" s="146" customFormat="1">
      <c r="A4756" s="193" t="s">
        <v>510</v>
      </c>
      <c r="B4756" s="210">
        <v>9</v>
      </c>
      <c r="C4756" s="191" t="str">
        <f>IF('IWP12'!E$488=0,"",'IWP12'!E$488)</f>
        <v>Item/Service</v>
      </c>
      <c r="D4756" s="211" t="str">
        <f>'IWP12'!G$488</f>
        <v>Itemized Amount Paid by DADS</v>
      </c>
      <c r="E4756" s="211">
        <f>'IWP12'!H$488</f>
        <v>0</v>
      </c>
      <c r="F4756" s="211">
        <f>'IWP12'!I$488</f>
        <v>0</v>
      </c>
      <c r="G4756" s="191" t="str">
        <f>IF('IWP12'!J$488=0,"",'IWP12'!J$488)</f>
        <v/>
      </c>
      <c r="H4756" s="211">
        <f>'IWP12'!K$488</f>
        <v>0</v>
      </c>
      <c r="I4756" s="211">
        <f>'IWP12'!L$488</f>
        <v>0</v>
      </c>
      <c r="J4756" s="212">
        <f>'IWP12'!M$488</f>
        <v>0</v>
      </c>
      <c r="K4756" s="106"/>
      <c r="L4756" s="106"/>
      <c r="M4756" s="129"/>
    </row>
    <row r="4757" spans="1:13" s="146" customFormat="1">
      <c r="A4757" s="193" t="s">
        <v>510</v>
      </c>
      <c r="B4757" s="210">
        <v>9</v>
      </c>
      <c r="C4757" s="191" t="str">
        <f>IF('IWP12'!E$489=0,"",'IWP12'!E$489)</f>
        <v/>
      </c>
      <c r="D4757" s="211">
        <f>'IWP12'!G$489</f>
        <v>0</v>
      </c>
      <c r="E4757" s="211">
        <f>'IWP12'!H$489</f>
        <v>0</v>
      </c>
      <c r="F4757" s="211">
        <f>'IWP12'!I$489</f>
        <v>0</v>
      </c>
      <c r="G4757" s="191" t="str">
        <f>IF('IWP12'!J$489=0,"",'IWP12'!J$489)</f>
        <v/>
      </c>
      <c r="H4757" s="211">
        <f>'IWP12'!K$489</f>
        <v>0</v>
      </c>
      <c r="I4757" s="211">
        <f>'IWP12'!L$489</f>
        <v>0</v>
      </c>
      <c r="J4757" s="212">
        <f>'IWP12'!M$489</f>
        <v>0</v>
      </c>
      <c r="K4757" s="106"/>
      <c r="L4757" s="106"/>
      <c r="M4757" s="129"/>
    </row>
    <row r="4758" spans="1:13" s="146" customFormat="1">
      <c r="A4758" s="193" t="s">
        <v>510</v>
      </c>
      <c r="B4758" s="210">
        <v>9</v>
      </c>
      <c r="C4758" s="191" t="str">
        <f>IF('IWP12'!E$490=0,"",'IWP12'!E$490)</f>
        <v/>
      </c>
      <c r="D4758" s="211">
        <f>'IWP12'!G$490</f>
        <v>0</v>
      </c>
      <c r="E4758" s="211">
        <f>'IWP12'!H$490</f>
        <v>0</v>
      </c>
      <c r="F4758" s="211">
        <f>'IWP12'!I$490</f>
        <v>0</v>
      </c>
      <c r="G4758" s="191" t="str">
        <f>IF('IWP12'!J$490=0,"",'IWP12'!J$490)</f>
        <v/>
      </c>
      <c r="H4758" s="211">
        <f>'IWP12'!K$490</f>
        <v>0</v>
      </c>
      <c r="I4758" s="211">
        <f>'IWP12'!L$490</f>
        <v>0</v>
      </c>
      <c r="J4758" s="212">
        <f>'IWP12'!M$490</f>
        <v>0</v>
      </c>
      <c r="K4758" s="106"/>
      <c r="L4758" s="106"/>
      <c r="M4758" s="129"/>
    </row>
    <row r="4759" spans="1:13" s="146" customFormat="1">
      <c r="A4759" s="193" t="s">
        <v>510</v>
      </c>
      <c r="B4759" s="210">
        <v>9</v>
      </c>
      <c r="C4759" s="191" t="str">
        <f>IF('IWP12'!E$491=0,"",'IWP12'!E$491)</f>
        <v/>
      </c>
      <c r="D4759" s="211">
        <f>'IWP12'!G$491</f>
        <v>0</v>
      </c>
      <c r="E4759" s="211">
        <f>'IWP12'!H$491</f>
        <v>0</v>
      </c>
      <c r="F4759" s="211">
        <f>'IWP12'!I$491</f>
        <v>0</v>
      </c>
      <c r="G4759" s="191" t="str">
        <f>IF('IWP12'!J$491=0,"",'IWP12'!J$491)</f>
        <v/>
      </c>
      <c r="H4759" s="211">
        <f>'IWP12'!K$491</f>
        <v>0</v>
      </c>
      <c r="I4759" s="211">
        <f>'IWP12'!L$491</f>
        <v>0</v>
      </c>
      <c r="J4759" s="212">
        <f>'IWP12'!M$491</f>
        <v>0</v>
      </c>
      <c r="K4759" s="106"/>
      <c r="L4759" s="106"/>
      <c r="M4759" s="129"/>
    </row>
    <row r="4760" spans="1:13" s="146" customFormat="1">
      <c r="A4760" s="193" t="s">
        <v>510</v>
      </c>
      <c r="B4760" s="210">
        <v>9</v>
      </c>
      <c r="C4760" s="191" t="str">
        <f>IF('IWP12'!E$492=0,"",'IWP12'!E$492)</f>
        <v/>
      </c>
      <c r="D4760" s="211">
        <f>'IWP12'!G$492</f>
        <v>0</v>
      </c>
      <c r="E4760" s="211">
        <f>'IWP12'!H$492</f>
        <v>0</v>
      </c>
      <c r="F4760" s="211">
        <f>'IWP12'!I$492</f>
        <v>0</v>
      </c>
      <c r="G4760" s="191" t="str">
        <f>IF('IWP12'!J$492=0,"",'IWP12'!J$492)</f>
        <v/>
      </c>
      <c r="H4760" s="211">
        <f>'IWP12'!K$492</f>
        <v>0</v>
      </c>
      <c r="I4760" s="211">
        <f>'IWP12'!L$492</f>
        <v>0</v>
      </c>
      <c r="J4760" s="212">
        <f>'IWP12'!M$492</f>
        <v>0</v>
      </c>
      <c r="K4760" s="106"/>
      <c r="L4760" s="106"/>
      <c r="M4760" s="129"/>
    </row>
    <row r="4761" spans="1:13" s="146" customFormat="1">
      <c r="A4761" s="193" t="s">
        <v>510</v>
      </c>
      <c r="B4761" s="210">
        <v>10</v>
      </c>
      <c r="C4761" s="191" t="str">
        <f>IF('IWP12'!E$499=0,"",'IWP12'!E$499)</f>
        <v>Subtotal column D.</v>
      </c>
      <c r="D4761" s="211">
        <f>'IWP12'!G$499</f>
        <v>0</v>
      </c>
      <c r="E4761" s="211">
        <f>'IWP12'!H$499</f>
        <v>0</v>
      </c>
      <c r="F4761" s="211">
        <f>'IWP12'!I$499</f>
        <v>0</v>
      </c>
      <c r="G4761" s="191" t="str">
        <f>IF('IWP12'!J$499=0,"",'IWP12'!J$499)</f>
        <v/>
      </c>
      <c r="H4761" s="211">
        <f>'IWP12'!K$499</f>
        <v>0</v>
      </c>
      <c r="I4761" s="211">
        <f>'IWP12'!L$499</f>
        <v>0</v>
      </c>
      <c r="J4761" s="212">
        <f>'IWP12'!M$499</f>
        <v>0</v>
      </c>
      <c r="K4761" s="106"/>
      <c r="L4761" s="106"/>
      <c r="M4761" s="129"/>
    </row>
    <row r="4762" spans="1:13" s="146" customFormat="1">
      <c r="A4762" s="193" t="s">
        <v>510</v>
      </c>
      <c r="B4762" s="210">
        <v>10</v>
      </c>
      <c r="C4762" s="191" t="str">
        <f>IF('IWP12'!E$500=0,"",'IWP12'!E$500)</f>
        <v>Unverified/Undocumented (Subtotal D - C)</v>
      </c>
      <c r="D4762" s="211">
        <f>'IWP12'!G$500</f>
        <v>0</v>
      </c>
      <c r="E4762" s="211">
        <f>'IWP12'!H$500</f>
        <v>0</v>
      </c>
      <c r="F4762" s="211">
        <f>'IWP12'!I$500</f>
        <v>0</v>
      </c>
      <c r="G4762" s="191" t="str">
        <f>IF('IWP12'!J$500=0,"",'IWP12'!J$500)</f>
        <v/>
      </c>
      <c r="H4762" s="211">
        <f>'IWP12'!K$500</f>
        <v>0</v>
      </c>
      <c r="I4762" s="211">
        <f>'IWP12'!L$500</f>
        <v>0</v>
      </c>
      <c r="J4762" s="212">
        <f>'IWP12'!M$500</f>
        <v>0</v>
      </c>
      <c r="K4762" s="106"/>
      <c r="L4762" s="106"/>
      <c r="M4762" s="129"/>
    </row>
    <row r="4763" spans="1:13" s="146" customFormat="1">
      <c r="A4763" s="193" t="s">
        <v>510</v>
      </c>
      <c r="B4763" s="210">
        <v>10</v>
      </c>
      <c r="C4763" s="191" t="str">
        <f>IF('IWP12'!E$501=0,"",'IWP12'!E$501)</f>
        <v>J. Billing Period Total</v>
      </c>
      <c r="D4763" s="211">
        <f>'IWP12'!G$501</f>
        <v>0</v>
      </c>
      <c r="E4763" s="211">
        <f>'IWP12'!H$501</f>
        <v>0</v>
      </c>
      <c r="F4763" s="211">
        <f>'IWP12'!I$501</f>
        <v>0</v>
      </c>
      <c r="G4763" s="191" t="str">
        <f>IF('IWP12'!J$501=0,"",'IWP12'!J$501)</f>
        <v/>
      </c>
      <c r="H4763" s="211">
        <f>'IWP12'!K$501</f>
        <v>0</v>
      </c>
      <c r="I4763" s="211">
        <f>'IWP12'!L$501</f>
        <v>0</v>
      </c>
      <c r="J4763" s="212">
        <f>'IWP12'!M$501</f>
        <v>0</v>
      </c>
      <c r="K4763" s="106"/>
      <c r="L4763" s="106"/>
      <c r="M4763" s="129"/>
    </row>
    <row r="4764" spans="1:13" s="146" customFormat="1">
      <c r="A4764" s="193" t="s">
        <v>510</v>
      </c>
      <c r="B4764" s="210">
        <v>10</v>
      </c>
      <c r="C4764" s="191" t="str">
        <f>IF('IWP12'!E$502=0,"",'IWP12'!E$502)</f>
        <v>D.</v>
      </c>
      <c r="D4764" s="211">
        <f>'IWP12'!G$502</f>
        <v>0</v>
      </c>
      <c r="E4764" s="211" t="str">
        <f>'IWP12'!H$502</f>
        <v>E.</v>
      </c>
      <c r="F4764" s="211" t="str">
        <f>'IWP12'!I$502</f>
        <v>F.</v>
      </c>
      <c r="G4764" s="191" t="str">
        <f>IF('IWP12'!J$502=0,"",'IWP12'!J$502)</f>
        <v>G.</v>
      </c>
      <c r="H4764" s="211">
        <f>'IWP12'!K$502</f>
        <v>0</v>
      </c>
      <c r="I4764" s="211" t="str">
        <f>'IWP12'!L$502</f>
        <v>H.</v>
      </c>
      <c r="J4764" s="212" t="str">
        <f>'IWP12'!M$502</f>
        <v>I.</v>
      </c>
      <c r="K4764" s="106"/>
      <c r="L4764" s="106"/>
      <c r="M4764" s="129"/>
    </row>
    <row r="4765" spans="1:13" s="146" customFormat="1">
      <c r="A4765" s="193" t="s">
        <v>510</v>
      </c>
      <c r="B4765" s="210">
        <v>10</v>
      </c>
      <c r="C4765" s="191" t="str">
        <f>IF('IWP12'!E$503=0,"",'IWP12'!E$503)</f>
        <v xml:space="preserve">Items/Services Related to Billing Period </v>
      </c>
      <c r="D4765" s="211">
        <f>'IWP12'!G$503</f>
        <v>0</v>
      </c>
      <c r="E4765" s="211" t="str">
        <f>'IWP12'!H$503</f>
        <v xml:space="preserve">Item/
Service Verified Amounts
</v>
      </c>
      <c r="F4765" s="211" t="str">
        <f>'IWP12'!I$503</f>
        <v>Amount Due to DADS (E. - D.)</v>
      </c>
      <c r="G4765" s="191" t="str">
        <f>IF('IWP12'!J$503=0,"",'IWP12'!J$503)</f>
        <v>Amount Reimbursed to 
Employee(s)/Employer</v>
      </c>
      <c r="H4765" s="211">
        <f>'IWP12'!K$503</f>
        <v>0</v>
      </c>
      <c r="I4765" s="211" t="str">
        <f>'IWP12'!L$503</f>
        <v>Amount Due to Employee(s) (G. - E.)</v>
      </c>
      <c r="J4765" s="212" t="str">
        <f>'IWP12'!M$503</f>
        <v>Amount Due to Employer (G. - E.)</v>
      </c>
      <c r="K4765" s="106"/>
      <c r="L4765" s="106"/>
      <c r="M4765" s="129"/>
    </row>
    <row r="4766" spans="1:13" s="146" customFormat="1">
      <c r="A4766" s="193" t="s">
        <v>510</v>
      </c>
      <c r="B4766" s="210">
        <v>10</v>
      </c>
      <c r="C4766" s="191" t="str">
        <f>IF('IWP12'!E$504=0,"",'IWP12'!E$504)</f>
        <v>Item/Service</v>
      </c>
      <c r="D4766" s="211" t="str">
        <f>'IWP12'!G$504</f>
        <v>Itemized Amount Paid by DADS</v>
      </c>
      <c r="E4766" s="211">
        <f>'IWP12'!H$504</f>
        <v>0</v>
      </c>
      <c r="F4766" s="211">
        <f>'IWP12'!I$504</f>
        <v>0</v>
      </c>
      <c r="G4766" s="191" t="str">
        <f>IF('IWP12'!J$504=0,"",'IWP12'!J$504)</f>
        <v/>
      </c>
      <c r="H4766" s="211">
        <f>'IWP12'!K$504</f>
        <v>0</v>
      </c>
      <c r="I4766" s="211">
        <f>'IWP12'!L$504</f>
        <v>0</v>
      </c>
      <c r="J4766" s="212">
        <f>'IWP12'!M$504</f>
        <v>0</v>
      </c>
      <c r="K4766" s="106"/>
      <c r="L4766" s="106"/>
      <c r="M4766" s="129"/>
    </row>
    <row r="4767" spans="1:13" s="146" customFormat="1">
      <c r="A4767" s="193" t="s">
        <v>510</v>
      </c>
      <c r="B4767" s="210">
        <v>10</v>
      </c>
      <c r="C4767" s="191" t="str">
        <f>IF('IWP12'!E$505=0,"",'IWP12'!E$505)</f>
        <v/>
      </c>
      <c r="D4767" s="211">
        <f>'IWP12'!G$505</f>
        <v>0</v>
      </c>
      <c r="E4767" s="211">
        <f>'IWP12'!H$505</f>
        <v>0</v>
      </c>
      <c r="F4767" s="211">
        <f>'IWP12'!I$505</f>
        <v>0</v>
      </c>
      <c r="G4767" s="191" t="str">
        <f>IF('IWP12'!J$505=0,"",'IWP12'!J$505)</f>
        <v/>
      </c>
      <c r="H4767" s="211">
        <f>'IWP12'!K$505</f>
        <v>0</v>
      </c>
      <c r="I4767" s="211">
        <f>'IWP12'!L$505</f>
        <v>0</v>
      </c>
      <c r="J4767" s="212">
        <f>'IWP12'!M$505</f>
        <v>0</v>
      </c>
      <c r="K4767" s="106"/>
      <c r="L4767" s="106"/>
      <c r="M4767" s="129"/>
    </row>
    <row r="4768" spans="1:13" s="146" customFormat="1">
      <c r="A4768" s="193" t="s">
        <v>510</v>
      </c>
      <c r="B4768" s="210">
        <v>10</v>
      </c>
      <c r="C4768" s="191" t="str">
        <f>IF('IWP12'!E$506=0,"",'IWP12'!E$506)</f>
        <v/>
      </c>
      <c r="D4768" s="211">
        <f>'IWP12'!G$506</f>
        <v>0</v>
      </c>
      <c r="E4768" s="211">
        <f>'IWP12'!H$506</f>
        <v>0</v>
      </c>
      <c r="F4768" s="211">
        <f>'IWP12'!I$506</f>
        <v>0</v>
      </c>
      <c r="G4768" s="191" t="str">
        <f>IF('IWP12'!J$506=0,"",'IWP12'!J$506)</f>
        <v/>
      </c>
      <c r="H4768" s="211">
        <f>'IWP12'!K$506</f>
        <v>0</v>
      </c>
      <c r="I4768" s="211">
        <f>'IWP12'!L$506</f>
        <v>0</v>
      </c>
      <c r="J4768" s="212">
        <f>'IWP12'!M$506</f>
        <v>0</v>
      </c>
      <c r="K4768" s="106"/>
      <c r="L4768" s="106"/>
      <c r="M4768" s="129"/>
    </row>
    <row r="4769" spans="1:13" s="146" customFormat="1">
      <c r="A4769" s="193" t="s">
        <v>510</v>
      </c>
      <c r="B4769" s="210">
        <v>10</v>
      </c>
      <c r="C4769" s="191" t="str">
        <f>IF('IWP12'!E$507=0,"",'IWP12'!E$507)</f>
        <v/>
      </c>
      <c r="D4769" s="211">
        <f>'IWP12'!G$507</f>
        <v>0</v>
      </c>
      <c r="E4769" s="211">
        <f>'IWP12'!H$507</f>
        <v>0</v>
      </c>
      <c r="F4769" s="211">
        <f>'IWP12'!I$507</f>
        <v>0</v>
      </c>
      <c r="G4769" s="191" t="str">
        <f>IF('IWP12'!J$507=0,"",'IWP12'!J$507)</f>
        <v/>
      </c>
      <c r="H4769" s="211">
        <f>'IWP12'!K$507</f>
        <v>0</v>
      </c>
      <c r="I4769" s="211">
        <f>'IWP12'!L$507</f>
        <v>0</v>
      </c>
      <c r="J4769" s="212">
        <f>'IWP12'!M$507</f>
        <v>0</v>
      </c>
      <c r="K4769" s="106"/>
      <c r="L4769" s="106"/>
      <c r="M4769" s="129"/>
    </row>
    <row r="4770" spans="1:13" s="146" customFormat="1">
      <c r="A4770" s="193" t="s">
        <v>510</v>
      </c>
      <c r="B4770" s="210">
        <v>10</v>
      </c>
      <c r="C4770" s="191" t="str">
        <f>IF('IWP12'!E$508=0,"",'IWP12'!E$508)</f>
        <v/>
      </c>
      <c r="D4770" s="211">
        <f>'IWP12'!G$508</f>
        <v>0</v>
      </c>
      <c r="E4770" s="211">
        <f>'IWP12'!H$508</f>
        <v>0</v>
      </c>
      <c r="F4770" s="211">
        <f>'IWP12'!I$508</f>
        <v>0</v>
      </c>
      <c r="G4770" s="191" t="str">
        <f>IF('IWP12'!J$508=0,"",'IWP12'!J$508)</f>
        <v/>
      </c>
      <c r="H4770" s="211">
        <f>'IWP12'!K$508</f>
        <v>0</v>
      </c>
      <c r="I4770" s="211">
        <f>'IWP12'!L$508</f>
        <v>0</v>
      </c>
      <c r="J4770" s="212">
        <f>'IWP12'!M$508</f>
        <v>0</v>
      </c>
      <c r="K4770" s="106"/>
      <c r="L4770" s="106"/>
      <c r="M4770" s="129"/>
    </row>
    <row r="4771" spans="1:13" s="146" customFormat="1">
      <c r="A4771" s="193" t="s">
        <v>510</v>
      </c>
      <c r="B4771" s="210">
        <v>11</v>
      </c>
      <c r="C4771" s="191" t="str">
        <f>IF('IWP12'!E$515=0,"",'IWP12'!E$515)</f>
        <v>Subtotal column D.</v>
      </c>
      <c r="D4771" s="211">
        <f>'IWP12'!G$515</f>
        <v>0</v>
      </c>
      <c r="E4771" s="211">
        <f>'IWP12'!H$515</f>
        <v>0</v>
      </c>
      <c r="F4771" s="211">
        <f>'IWP12'!I$515</f>
        <v>0</v>
      </c>
      <c r="G4771" s="191" t="str">
        <f>IF('IWP12'!J$515=0,"",'IWP12'!J$515)</f>
        <v/>
      </c>
      <c r="H4771" s="211">
        <f>'IWP12'!K$515</f>
        <v>0</v>
      </c>
      <c r="I4771" s="211">
        <f>'IWP12'!L$515</f>
        <v>0</v>
      </c>
      <c r="J4771" s="212">
        <f>'IWP12'!M$515</f>
        <v>0</v>
      </c>
      <c r="K4771" s="106"/>
      <c r="L4771" s="106"/>
      <c r="M4771" s="129"/>
    </row>
    <row r="4772" spans="1:13" s="146" customFormat="1">
      <c r="A4772" s="193" t="s">
        <v>510</v>
      </c>
      <c r="B4772" s="210">
        <v>11</v>
      </c>
      <c r="C4772" s="191" t="str">
        <f>IF('IWP12'!E$516=0,"",'IWP12'!E$516)</f>
        <v>Unverified/Undocumented (Subtotal D - C)</v>
      </c>
      <c r="D4772" s="211">
        <f>'IWP12'!G$516</f>
        <v>0</v>
      </c>
      <c r="E4772" s="211">
        <f>'IWP12'!H$516</f>
        <v>0</v>
      </c>
      <c r="F4772" s="211">
        <f>'IWP12'!I$516</f>
        <v>0</v>
      </c>
      <c r="G4772" s="191" t="str">
        <f>IF('IWP12'!J$516=0,"",'IWP12'!J$516)</f>
        <v/>
      </c>
      <c r="H4772" s="211">
        <f>'IWP12'!K$516</f>
        <v>0</v>
      </c>
      <c r="I4772" s="211">
        <f>'IWP12'!L$516</f>
        <v>0</v>
      </c>
      <c r="J4772" s="212">
        <f>'IWP12'!M$516</f>
        <v>0</v>
      </c>
      <c r="K4772" s="106"/>
      <c r="L4772" s="106"/>
      <c r="M4772" s="129"/>
    </row>
    <row r="4773" spans="1:13" s="146" customFormat="1">
      <c r="A4773" s="193" t="s">
        <v>510</v>
      </c>
      <c r="B4773" s="210">
        <v>11</v>
      </c>
      <c r="C4773" s="191" t="str">
        <f>IF('IWP12'!E$517=0,"",'IWP12'!E$517)</f>
        <v>J. Billing Period Total</v>
      </c>
      <c r="D4773" s="211">
        <f>'IWP12'!G$517</f>
        <v>0</v>
      </c>
      <c r="E4773" s="211">
        <f>'IWP12'!H$517</f>
        <v>0</v>
      </c>
      <c r="F4773" s="211">
        <f>'IWP12'!I$517</f>
        <v>0</v>
      </c>
      <c r="G4773" s="191" t="str">
        <f>IF('IWP12'!J$517=0,"",'IWP12'!J$517)</f>
        <v/>
      </c>
      <c r="H4773" s="211">
        <f>'IWP12'!K$517</f>
        <v>0</v>
      </c>
      <c r="I4773" s="211">
        <f>'IWP12'!L$517</f>
        <v>0</v>
      </c>
      <c r="J4773" s="212">
        <f>'IWP12'!M$517</f>
        <v>0</v>
      </c>
      <c r="K4773" s="106"/>
      <c r="L4773" s="106"/>
      <c r="M4773" s="129"/>
    </row>
    <row r="4774" spans="1:13" s="146" customFormat="1">
      <c r="A4774" s="193" t="s">
        <v>510</v>
      </c>
      <c r="B4774" s="210">
        <v>11</v>
      </c>
      <c r="C4774" s="191" t="str">
        <f>IF('IWP12'!E$518=0,"",'IWP12'!E$518)</f>
        <v>D.</v>
      </c>
      <c r="D4774" s="211">
        <f>'IWP12'!G$518</f>
        <v>0</v>
      </c>
      <c r="E4774" s="211" t="str">
        <f>'IWP12'!H$518</f>
        <v>E.</v>
      </c>
      <c r="F4774" s="211" t="str">
        <f>'IWP12'!I$518</f>
        <v>F.</v>
      </c>
      <c r="G4774" s="191" t="str">
        <f>IF('IWP12'!J$518=0,"",'IWP12'!J$518)</f>
        <v>G.</v>
      </c>
      <c r="H4774" s="211">
        <f>'IWP12'!K$518</f>
        <v>0</v>
      </c>
      <c r="I4774" s="211" t="str">
        <f>'IWP12'!L$518</f>
        <v>H.</v>
      </c>
      <c r="J4774" s="212" t="str">
        <f>'IWP12'!M$518</f>
        <v>I.</v>
      </c>
      <c r="K4774" s="106"/>
      <c r="L4774" s="106"/>
      <c r="M4774" s="129"/>
    </row>
    <row r="4775" spans="1:13" s="146" customFormat="1">
      <c r="A4775" s="193" t="s">
        <v>510</v>
      </c>
      <c r="B4775" s="210">
        <v>11</v>
      </c>
      <c r="C4775" s="191" t="str">
        <f>IF('IWP12'!E$519=0,"",'IWP12'!E$519)</f>
        <v xml:space="preserve">Items/Services Related to Billing Period </v>
      </c>
      <c r="D4775" s="211">
        <f>'IWP12'!G$519</f>
        <v>0</v>
      </c>
      <c r="E4775" s="211" t="str">
        <f>'IWP12'!H$519</f>
        <v xml:space="preserve">Item/
Service Verified Amounts
</v>
      </c>
      <c r="F4775" s="211" t="str">
        <f>'IWP12'!I$519</f>
        <v>Amount Due to DADS (E. - D.)</v>
      </c>
      <c r="G4775" s="191" t="str">
        <f>IF('IWP12'!J$519=0,"",'IWP12'!J$519)</f>
        <v>Amount Reimbursed to 
Employee(s)/Employer</v>
      </c>
      <c r="H4775" s="211">
        <f>'IWP12'!K$519</f>
        <v>0</v>
      </c>
      <c r="I4775" s="211" t="str">
        <f>'IWP12'!L$519</f>
        <v>Amount Due to Employee(s) (G. - E.)</v>
      </c>
      <c r="J4775" s="212" t="str">
        <f>'IWP12'!M$519</f>
        <v>Amount Due to Employer (G. - E.)</v>
      </c>
      <c r="K4775" s="106"/>
      <c r="L4775" s="106"/>
      <c r="M4775" s="129"/>
    </row>
    <row r="4776" spans="1:13" s="146" customFormat="1">
      <c r="A4776" s="193" t="s">
        <v>510</v>
      </c>
      <c r="B4776" s="210">
        <v>11</v>
      </c>
      <c r="C4776" s="191" t="str">
        <f>IF('IWP12'!E$520=0,"",'IWP12'!E$520)</f>
        <v>Item/Service</v>
      </c>
      <c r="D4776" s="211" t="str">
        <f>'IWP12'!G$520</f>
        <v>Itemized Amount Paid by DADS</v>
      </c>
      <c r="E4776" s="211">
        <f>'IWP12'!H$520</f>
        <v>0</v>
      </c>
      <c r="F4776" s="211">
        <f>'IWP12'!I$520</f>
        <v>0</v>
      </c>
      <c r="G4776" s="191" t="str">
        <f>IF('IWP12'!J$520=0,"",'IWP12'!J$520)</f>
        <v/>
      </c>
      <c r="H4776" s="211">
        <f>'IWP12'!K$520</f>
        <v>0</v>
      </c>
      <c r="I4776" s="211">
        <f>'IWP12'!L$520</f>
        <v>0</v>
      </c>
      <c r="J4776" s="212">
        <f>'IWP12'!M$520</f>
        <v>0</v>
      </c>
      <c r="K4776" s="106"/>
      <c r="L4776" s="106"/>
      <c r="M4776" s="129"/>
    </row>
    <row r="4777" spans="1:13" s="146" customFormat="1">
      <c r="A4777" s="193" t="s">
        <v>510</v>
      </c>
      <c r="B4777" s="210">
        <v>11</v>
      </c>
      <c r="C4777" s="191" t="str">
        <f>IF('IWP12'!E$521=0,"",'IWP12'!E$521)</f>
        <v/>
      </c>
      <c r="D4777" s="211">
        <f>'IWP12'!G$521</f>
        <v>0</v>
      </c>
      <c r="E4777" s="211">
        <f>'IWP12'!H$521</f>
        <v>0</v>
      </c>
      <c r="F4777" s="211">
        <f>'IWP12'!I$521</f>
        <v>0</v>
      </c>
      <c r="G4777" s="191" t="str">
        <f>IF('IWP12'!J$521=0,"",'IWP12'!J$521)</f>
        <v/>
      </c>
      <c r="H4777" s="211">
        <f>'IWP12'!K$521</f>
        <v>0</v>
      </c>
      <c r="I4777" s="211">
        <f>'IWP12'!L$521</f>
        <v>0</v>
      </c>
      <c r="J4777" s="212">
        <f>'IWP12'!M$521</f>
        <v>0</v>
      </c>
      <c r="K4777" s="106"/>
      <c r="L4777" s="106"/>
      <c r="M4777" s="129"/>
    </row>
    <row r="4778" spans="1:13" s="146" customFormat="1">
      <c r="A4778" s="193" t="s">
        <v>510</v>
      </c>
      <c r="B4778" s="210">
        <v>11</v>
      </c>
      <c r="C4778" s="191" t="str">
        <f>IF('IWP12'!E$522=0,"",'IWP12'!E$522)</f>
        <v/>
      </c>
      <c r="D4778" s="211">
        <f>'IWP12'!G$522</f>
        <v>0</v>
      </c>
      <c r="E4778" s="211">
        <f>'IWP12'!H$522</f>
        <v>0</v>
      </c>
      <c r="F4778" s="211">
        <f>'IWP12'!I$522</f>
        <v>0</v>
      </c>
      <c r="G4778" s="191" t="str">
        <f>IF('IWP12'!J$522=0,"",'IWP12'!J$522)</f>
        <v/>
      </c>
      <c r="H4778" s="211">
        <f>'IWP12'!K$522</f>
        <v>0</v>
      </c>
      <c r="I4778" s="211">
        <f>'IWP12'!L$522</f>
        <v>0</v>
      </c>
      <c r="J4778" s="212">
        <f>'IWP12'!M$522</f>
        <v>0</v>
      </c>
      <c r="K4778" s="106"/>
      <c r="L4778" s="106"/>
      <c r="M4778" s="129"/>
    </row>
    <row r="4779" spans="1:13" s="146" customFormat="1">
      <c r="A4779" s="193" t="s">
        <v>510</v>
      </c>
      <c r="B4779" s="210">
        <v>11</v>
      </c>
      <c r="C4779" s="191" t="str">
        <f>IF('IWP12'!E$523=0,"",'IWP12'!E$523)</f>
        <v/>
      </c>
      <c r="D4779" s="211">
        <f>'IWP12'!G$523</f>
        <v>0</v>
      </c>
      <c r="E4779" s="211">
        <f>'IWP12'!H$523</f>
        <v>0</v>
      </c>
      <c r="F4779" s="211">
        <f>'IWP12'!I$523</f>
        <v>0</v>
      </c>
      <c r="G4779" s="191" t="str">
        <f>IF('IWP12'!J$523=0,"",'IWP12'!J$523)</f>
        <v/>
      </c>
      <c r="H4779" s="211">
        <f>'IWP12'!K$523</f>
        <v>0</v>
      </c>
      <c r="I4779" s="211">
        <f>'IWP12'!L$523</f>
        <v>0</v>
      </c>
      <c r="J4779" s="212">
        <f>'IWP12'!M$523</f>
        <v>0</v>
      </c>
      <c r="K4779" s="106"/>
      <c r="L4779" s="106"/>
      <c r="M4779" s="129"/>
    </row>
    <row r="4780" spans="1:13" s="146" customFormat="1">
      <c r="A4780" s="193" t="s">
        <v>510</v>
      </c>
      <c r="B4780" s="210">
        <v>11</v>
      </c>
      <c r="C4780" s="191" t="str">
        <f>IF('IWP12'!E$524=0,"",'IWP12'!E$524)</f>
        <v/>
      </c>
      <c r="D4780" s="211">
        <f>'IWP12'!G$524</f>
        <v>0</v>
      </c>
      <c r="E4780" s="211">
        <f>'IWP12'!H$524</f>
        <v>0</v>
      </c>
      <c r="F4780" s="211">
        <f>'IWP12'!I$524</f>
        <v>0</v>
      </c>
      <c r="G4780" s="191" t="str">
        <f>IF('IWP12'!J$524=0,"",'IWP12'!J$524)</f>
        <v/>
      </c>
      <c r="H4780" s="211">
        <f>'IWP12'!K$524</f>
        <v>0</v>
      </c>
      <c r="I4780" s="211">
        <f>'IWP12'!L$524</f>
        <v>0</v>
      </c>
      <c r="J4780" s="212">
        <f>'IWP12'!M$524</f>
        <v>0</v>
      </c>
      <c r="K4780" s="106"/>
      <c r="L4780" s="106"/>
      <c r="M4780" s="129"/>
    </row>
    <row r="4781" spans="1:13" s="146" customFormat="1">
      <c r="A4781" s="193" t="s">
        <v>510</v>
      </c>
      <c r="B4781" s="210">
        <v>12</v>
      </c>
      <c r="C4781" s="191" t="str">
        <f>IF('IWP12'!E$531=0,"",'IWP12'!E$531)</f>
        <v>Subtotal column D.</v>
      </c>
      <c r="D4781" s="211">
        <f>'IWP12'!G$531</f>
        <v>0</v>
      </c>
      <c r="E4781" s="211">
        <f>'IWP12'!H$531</f>
        <v>0</v>
      </c>
      <c r="F4781" s="211">
        <f>'IWP12'!I$531</f>
        <v>0</v>
      </c>
      <c r="G4781" s="191" t="str">
        <f>IF('IWP12'!J$531=0,"",'IWP12'!J$531)</f>
        <v/>
      </c>
      <c r="H4781" s="211">
        <f>'IWP12'!K$531</f>
        <v>0</v>
      </c>
      <c r="I4781" s="211">
        <f>'IWP12'!L$531</f>
        <v>0</v>
      </c>
      <c r="J4781" s="212">
        <f>'IWP12'!M$531</f>
        <v>0</v>
      </c>
      <c r="K4781" s="106"/>
      <c r="L4781" s="106"/>
      <c r="M4781" s="129"/>
    </row>
    <row r="4782" spans="1:13" s="146" customFormat="1">
      <c r="A4782" s="193" t="s">
        <v>510</v>
      </c>
      <c r="B4782" s="210">
        <v>12</v>
      </c>
      <c r="C4782" s="191" t="str">
        <f>IF('IWP12'!E$532=0,"",'IWP12'!E$532)</f>
        <v>Unverified/Undocumented (Subtotal D - C)</v>
      </c>
      <c r="D4782" s="211">
        <f>'IWP12'!G$532</f>
        <v>0</v>
      </c>
      <c r="E4782" s="211">
        <f>'IWP12'!H$532</f>
        <v>0</v>
      </c>
      <c r="F4782" s="211">
        <f>'IWP12'!I$532</f>
        <v>0</v>
      </c>
      <c r="G4782" s="191" t="str">
        <f>IF('IWP12'!J$532=0,"",'IWP12'!J$532)</f>
        <v/>
      </c>
      <c r="H4782" s="211">
        <f>'IWP12'!K$532</f>
        <v>0</v>
      </c>
      <c r="I4782" s="211">
        <f>'IWP12'!L$532</f>
        <v>0</v>
      </c>
      <c r="J4782" s="212">
        <f>'IWP12'!M$532</f>
        <v>0</v>
      </c>
      <c r="K4782" s="106"/>
      <c r="L4782" s="106"/>
      <c r="M4782" s="129"/>
    </row>
    <row r="4783" spans="1:13" s="146" customFormat="1">
      <c r="A4783" s="193" t="s">
        <v>510</v>
      </c>
      <c r="B4783" s="210">
        <v>12</v>
      </c>
      <c r="C4783" s="191" t="str">
        <f>IF('IWP12'!E$533=0,"",'IWP12'!E$533)</f>
        <v>J. Billing Period Total</v>
      </c>
      <c r="D4783" s="211">
        <f>'IWP12'!G$533</f>
        <v>0</v>
      </c>
      <c r="E4783" s="211">
        <f>'IWP12'!H$533</f>
        <v>0</v>
      </c>
      <c r="F4783" s="211">
        <f>'IWP12'!I$533</f>
        <v>0</v>
      </c>
      <c r="G4783" s="191" t="str">
        <f>IF('IWP12'!J$533=0,"",'IWP12'!J$533)</f>
        <v/>
      </c>
      <c r="H4783" s="211">
        <f>'IWP12'!K$533</f>
        <v>0</v>
      </c>
      <c r="I4783" s="211">
        <f>'IWP12'!L$533</f>
        <v>0</v>
      </c>
      <c r="J4783" s="212">
        <f>'IWP12'!M$533</f>
        <v>0</v>
      </c>
      <c r="K4783" s="106"/>
      <c r="L4783" s="106"/>
      <c r="M4783" s="129"/>
    </row>
    <row r="4784" spans="1:13" s="146" customFormat="1">
      <c r="A4784" s="193" t="s">
        <v>510</v>
      </c>
      <c r="B4784" s="210">
        <v>12</v>
      </c>
      <c r="C4784" s="191" t="str">
        <f>IF('IWP12'!E$534=0,"",'IWP12'!E$534)</f>
        <v>D.</v>
      </c>
      <c r="D4784" s="211">
        <f>'IWP12'!G$534</f>
        <v>0</v>
      </c>
      <c r="E4784" s="211" t="str">
        <f>'IWP12'!H$534</f>
        <v>E.</v>
      </c>
      <c r="F4784" s="211" t="str">
        <f>'IWP12'!I$534</f>
        <v>F.</v>
      </c>
      <c r="G4784" s="191" t="str">
        <f>IF('IWP12'!J$534=0,"",'IWP12'!J$534)</f>
        <v>G.</v>
      </c>
      <c r="H4784" s="211">
        <f>'IWP12'!K$534</f>
        <v>0</v>
      </c>
      <c r="I4784" s="211" t="str">
        <f>'IWP12'!L$534</f>
        <v>H.</v>
      </c>
      <c r="J4784" s="212" t="str">
        <f>'IWP12'!M$534</f>
        <v>I.</v>
      </c>
      <c r="K4784" s="106"/>
      <c r="L4784" s="106"/>
      <c r="M4784" s="129"/>
    </row>
    <row r="4785" spans="1:13" s="146" customFormat="1">
      <c r="A4785" s="193" t="s">
        <v>510</v>
      </c>
      <c r="B4785" s="210">
        <v>12</v>
      </c>
      <c r="C4785" s="191" t="str">
        <f>IF('IWP12'!E$535=0,"",'IWP12'!E$535)</f>
        <v xml:space="preserve">Items/Services Related to Billing Period </v>
      </c>
      <c r="D4785" s="211">
        <f>'IWP12'!G$535</f>
        <v>0</v>
      </c>
      <c r="E4785" s="211" t="str">
        <f>'IWP12'!H$535</f>
        <v xml:space="preserve">Item/
Service Verified Amounts
</v>
      </c>
      <c r="F4785" s="211" t="str">
        <f>'IWP12'!I$535</f>
        <v>Amount Due to DADS (E. - D.)</v>
      </c>
      <c r="G4785" s="191" t="str">
        <f>IF('IWP12'!J$535=0,"",'IWP12'!J$535)</f>
        <v>Amount Reimbursed to 
Employee(s)/Employer</v>
      </c>
      <c r="H4785" s="211">
        <f>'IWP12'!K$535</f>
        <v>0</v>
      </c>
      <c r="I4785" s="211" t="str">
        <f>'IWP12'!L$535</f>
        <v>Amount Due to Employee(s) (G. - E.)</v>
      </c>
      <c r="J4785" s="212" t="str">
        <f>'IWP12'!M$535</f>
        <v>Amount Due to Employer (G. - E.)</v>
      </c>
      <c r="K4785" s="106"/>
      <c r="L4785" s="106"/>
      <c r="M4785" s="129"/>
    </row>
    <row r="4786" spans="1:13" s="146" customFormat="1">
      <c r="A4786" s="193" t="s">
        <v>510</v>
      </c>
      <c r="B4786" s="210">
        <v>12</v>
      </c>
      <c r="C4786" s="191" t="str">
        <f>IF('IWP12'!E$536=0,"",'IWP12'!E$536)</f>
        <v>Item/Service</v>
      </c>
      <c r="D4786" s="211" t="str">
        <f>'IWP12'!G$536</f>
        <v>Itemized Amount Paid by DADS</v>
      </c>
      <c r="E4786" s="211">
        <f>'IWP12'!H$536</f>
        <v>0</v>
      </c>
      <c r="F4786" s="211">
        <f>'IWP12'!I$536</f>
        <v>0</v>
      </c>
      <c r="G4786" s="191" t="str">
        <f>IF('IWP12'!J$536=0,"",'IWP12'!J$536)</f>
        <v/>
      </c>
      <c r="H4786" s="211">
        <f>'IWP12'!K$536</f>
        <v>0</v>
      </c>
      <c r="I4786" s="211">
        <f>'IWP12'!L$536</f>
        <v>0</v>
      </c>
      <c r="J4786" s="212">
        <f>'IWP12'!M$536</f>
        <v>0</v>
      </c>
      <c r="K4786" s="106"/>
      <c r="L4786" s="106"/>
      <c r="M4786" s="129"/>
    </row>
    <row r="4787" spans="1:13" s="146" customFormat="1">
      <c r="A4787" s="193" t="s">
        <v>510</v>
      </c>
      <c r="B4787" s="210">
        <v>12</v>
      </c>
      <c r="C4787" s="191" t="str">
        <f>IF('IWP12'!E$537=0,"",'IWP12'!E$537)</f>
        <v/>
      </c>
      <c r="D4787" s="211">
        <f>'IWP12'!G$537</f>
        <v>0</v>
      </c>
      <c r="E4787" s="211">
        <f>'IWP12'!H$537</f>
        <v>0</v>
      </c>
      <c r="F4787" s="211">
        <f>'IWP12'!I$537</f>
        <v>0</v>
      </c>
      <c r="G4787" s="191" t="str">
        <f>IF('IWP12'!J$537=0,"",'IWP12'!J$537)</f>
        <v/>
      </c>
      <c r="H4787" s="211">
        <f>'IWP12'!K$537</f>
        <v>0</v>
      </c>
      <c r="I4787" s="211">
        <f>'IWP12'!L$537</f>
        <v>0</v>
      </c>
      <c r="J4787" s="212">
        <f>'IWP12'!M$537</f>
        <v>0</v>
      </c>
      <c r="K4787" s="106"/>
      <c r="L4787" s="106"/>
      <c r="M4787" s="129"/>
    </row>
    <row r="4788" spans="1:13" s="146" customFormat="1">
      <c r="A4788" s="193" t="s">
        <v>510</v>
      </c>
      <c r="B4788" s="210">
        <v>12</v>
      </c>
      <c r="C4788" s="191" t="str">
        <f>IF('IWP12'!E$538=0,"",'IWP12'!E$538)</f>
        <v/>
      </c>
      <c r="D4788" s="211">
        <f>'IWP12'!G$538</f>
        <v>0</v>
      </c>
      <c r="E4788" s="211">
        <f>'IWP12'!H$538</f>
        <v>0</v>
      </c>
      <c r="F4788" s="211">
        <f>'IWP12'!I$538</f>
        <v>0</v>
      </c>
      <c r="G4788" s="191" t="str">
        <f>IF('IWP12'!J$538=0,"",'IWP12'!J$538)</f>
        <v/>
      </c>
      <c r="H4788" s="211">
        <f>'IWP12'!K$538</f>
        <v>0</v>
      </c>
      <c r="I4788" s="211">
        <f>'IWP12'!L$538</f>
        <v>0</v>
      </c>
      <c r="J4788" s="212">
        <f>'IWP12'!M$538</f>
        <v>0</v>
      </c>
      <c r="K4788" s="106"/>
      <c r="L4788" s="106"/>
      <c r="M4788" s="129"/>
    </row>
    <row r="4789" spans="1:13" s="146" customFormat="1">
      <c r="A4789" s="193" t="s">
        <v>510</v>
      </c>
      <c r="B4789" s="210">
        <v>12</v>
      </c>
      <c r="C4789" s="191" t="str">
        <f>IF('IWP12'!E$539=0,"",'IWP12'!E$539)</f>
        <v/>
      </c>
      <c r="D4789" s="211">
        <f>'IWP12'!G$539</f>
        <v>0</v>
      </c>
      <c r="E4789" s="211">
        <f>'IWP12'!H$539</f>
        <v>0</v>
      </c>
      <c r="F4789" s="211">
        <f>'IWP12'!I$539</f>
        <v>0</v>
      </c>
      <c r="G4789" s="191" t="str">
        <f>IF('IWP12'!J$539=0,"",'IWP12'!J$539)</f>
        <v/>
      </c>
      <c r="H4789" s="211">
        <f>'IWP12'!K$539</f>
        <v>0</v>
      </c>
      <c r="I4789" s="211">
        <f>'IWP12'!L$539</f>
        <v>0</v>
      </c>
      <c r="J4789" s="212">
        <f>'IWP12'!M$539</f>
        <v>0</v>
      </c>
      <c r="K4789" s="106"/>
      <c r="L4789" s="106"/>
      <c r="M4789" s="129"/>
    </row>
    <row r="4790" spans="1:13" s="146" customFormat="1">
      <c r="A4790" s="193" t="s">
        <v>510</v>
      </c>
      <c r="B4790" s="210">
        <v>12</v>
      </c>
      <c r="C4790" s="191" t="str">
        <f>IF('IWP12'!E$540=0,"",'IWP12'!E$540)</f>
        <v/>
      </c>
      <c r="D4790" s="211">
        <f>'IWP12'!G$540</f>
        <v>0</v>
      </c>
      <c r="E4790" s="211">
        <f>'IWP12'!H$540</f>
        <v>0</v>
      </c>
      <c r="F4790" s="211">
        <f>'IWP12'!I$540</f>
        <v>0</v>
      </c>
      <c r="G4790" s="191" t="str">
        <f>IF('IWP12'!J$540=0,"",'IWP12'!J$540)</f>
        <v/>
      </c>
      <c r="H4790" s="211">
        <f>'IWP12'!K$540</f>
        <v>0</v>
      </c>
      <c r="I4790" s="211">
        <f>'IWP12'!L$540</f>
        <v>0</v>
      </c>
      <c r="J4790" s="212">
        <f>'IWP12'!M$540</f>
        <v>0</v>
      </c>
      <c r="K4790" s="106"/>
      <c r="L4790" s="106"/>
      <c r="M4790" s="129"/>
    </row>
    <row r="4791" spans="1:13" s="146" customFormat="1">
      <c r="A4791" s="193" t="s">
        <v>510</v>
      </c>
      <c r="B4791" s="210">
        <v>13</v>
      </c>
      <c r="C4791" s="191" t="str">
        <f>IF('IWP12'!E$547=0,"",'IWP12'!E$547)</f>
        <v>Subtotal column D.</v>
      </c>
      <c r="D4791" s="211">
        <f>'IWP12'!G$547</f>
        <v>0</v>
      </c>
      <c r="E4791" s="211">
        <f>'IWP12'!H$547</f>
        <v>0</v>
      </c>
      <c r="F4791" s="211">
        <f>'IWP12'!I$547</f>
        <v>0</v>
      </c>
      <c r="G4791" s="191" t="str">
        <f>IF('IWP12'!J$547=0,"",'IWP12'!J$547)</f>
        <v/>
      </c>
      <c r="H4791" s="211">
        <f>'IWP12'!K$547</f>
        <v>0</v>
      </c>
      <c r="I4791" s="211">
        <f>'IWP12'!L$547</f>
        <v>0</v>
      </c>
      <c r="J4791" s="212">
        <f>'IWP12'!M$547</f>
        <v>0</v>
      </c>
      <c r="K4791" s="106"/>
      <c r="L4791" s="106"/>
      <c r="M4791" s="129"/>
    </row>
    <row r="4792" spans="1:13" s="146" customFormat="1">
      <c r="A4792" s="193" t="s">
        <v>510</v>
      </c>
      <c r="B4792" s="210">
        <v>13</v>
      </c>
      <c r="C4792" s="191" t="str">
        <f>IF('IWP12'!E$548=0,"",'IWP12'!E$548)</f>
        <v>Unverified/Undocumented (Subtotal D - C)</v>
      </c>
      <c r="D4792" s="211">
        <f>'IWP12'!G$548</f>
        <v>0</v>
      </c>
      <c r="E4792" s="211">
        <f>'IWP12'!H$548</f>
        <v>0</v>
      </c>
      <c r="F4792" s="211">
        <f>'IWP12'!I$548</f>
        <v>0</v>
      </c>
      <c r="G4792" s="191" t="str">
        <f>IF('IWP12'!J$548=0,"",'IWP12'!J$548)</f>
        <v/>
      </c>
      <c r="H4792" s="211">
        <f>'IWP12'!K$548</f>
        <v>0</v>
      </c>
      <c r="I4792" s="211">
        <f>'IWP12'!L$548</f>
        <v>0</v>
      </c>
      <c r="J4792" s="212">
        <f>'IWP12'!M$548</f>
        <v>0</v>
      </c>
      <c r="K4792" s="106"/>
      <c r="L4792" s="106"/>
      <c r="M4792" s="129"/>
    </row>
    <row r="4793" spans="1:13" s="146" customFormat="1">
      <c r="A4793" s="193" t="s">
        <v>510</v>
      </c>
      <c r="B4793" s="210">
        <v>13</v>
      </c>
      <c r="C4793" s="191" t="str">
        <f>IF('IWP12'!E$549=0,"",'IWP12'!E$549)</f>
        <v>J. Billing Period Total</v>
      </c>
      <c r="D4793" s="211">
        <f>'IWP12'!G$549</f>
        <v>0</v>
      </c>
      <c r="E4793" s="211">
        <f>'IWP12'!H$549</f>
        <v>0</v>
      </c>
      <c r="F4793" s="211">
        <f>'IWP12'!I$549</f>
        <v>0</v>
      </c>
      <c r="G4793" s="191" t="str">
        <f>IF('IWP12'!J$549=0,"",'IWP12'!J$549)</f>
        <v/>
      </c>
      <c r="H4793" s="211">
        <f>'IWP12'!K$549</f>
        <v>0</v>
      </c>
      <c r="I4793" s="211">
        <f>'IWP12'!L$549</f>
        <v>0</v>
      </c>
      <c r="J4793" s="212">
        <f>'IWP12'!M$549</f>
        <v>0</v>
      </c>
      <c r="K4793" s="106"/>
      <c r="L4793" s="106"/>
      <c r="M4793" s="129"/>
    </row>
    <row r="4794" spans="1:13" s="146" customFormat="1">
      <c r="A4794" s="193" t="s">
        <v>510</v>
      </c>
      <c r="B4794" s="210">
        <v>13</v>
      </c>
      <c r="C4794" s="191" t="str">
        <f>IF('IWP12'!E$550=0,"",'IWP12'!E$550)</f>
        <v>D.</v>
      </c>
      <c r="D4794" s="211">
        <f>'IWP12'!G$550</f>
        <v>0</v>
      </c>
      <c r="E4794" s="211" t="str">
        <f>'IWP12'!H$550</f>
        <v>E.</v>
      </c>
      <c r="F4794" s="211" t="str">
        <f>'IWP12'!I$550</f>
        <v>F.</v>
      </c>
      <c r="G4794" s="191" t="str">
        <f>IF('IWP12'!J$550=0,"",'IWP12'!J$550)</f>
        <v>G.</v>
      </c>
      <c r="H4794" s="211">
        <f>'IWP12'!K$550</f>
        <v>0</v>
      </c>
      <c r="I4794" s="211" t="str">
        <f>'IWP12'!L$550</f>
        <v>H.</v>
      </c>
      <c r="J4794" s="212" t="str">
        <f>'IWP12'!M$550</f>
        <v>I.</v>
      </c>
      <c r="K4794" s="106"/>
      <c r="L4794" s="106"/>
      <c r="M4794" s="129"/>
    </row>
    <row r="4795" spans="1:13" s="146" customFormat="1">
      <c r="A4795" s="193" t="s">
        <v>510</v>
      </c>
      <c r="B4795" s="210">
        <v>13</v>
      </c>
      <c r="C4795" s="191" t="str">
        <f>IF('IWP12'!E$551=0,"",'IWP12'!E$551)</f>
        <v xml:space="preserve">Items/Services Related to Billing Period </v>
      </c>
      <c r="D4795" s="211">
        <f>'IWP12'!G$551</f>
        <v>0</v>
      </c>
      <c r="E4795" s="211" t="str">
        <f>'IWP12'!H$551</f>
        <v xml:space="preserve">Item/
Service Verified Amounts
</v>
      </c>
      <c r="F4795" s="211" t="str">
        <f>'IWP12'!I$551</f>
        <v>Amount Due to DADS (E. - D.)</v>
      </c>
      <c r="G4795" s="191" t="str">
        <f>IF('IWP12'!J$551=0,"",'IWP12'!J$551)</f>
        <v>Amount Reimbursed to 
Employee(s)/Employer</v>
      </c>
      <c r="H4795" s="211">
        <f>'IWP12'!K$551</f>
        <v>0</v>
      </c>
      <c r="I4795" s="211" t="str">
        <f>'IWP12'!L$551</f>
        <v>Amount Due to Employee(s) (G. - E.)</v>
      </c>
      <c r="J4795" s="212" t="str">
        <f>'IWP12'!M$551</f>
        <v>Amount Due to Employer (G. - E.)</v>
      </c>
      <c r="K4795" s="106"/>
      <c r="L4795" s="106"/>
      <c r="M4795" s="129"/>
    </row>
    <row r="4796" spans="1:13" s="146" customFormat="1">
      <c r="A4796" s="193" t="s">
        <v>510</v>
      </c>
      <c r="B4796" s="210">
        <v>13</v>
      </c>
      <c r="C4796" s="191" t="str">
        <f>IF('IWP12'!E$552=0,"",'IWP12'!E$552)</f>
        <v>Item/Service</v>
      </c>
      <c r="D4796" s="211" t="str">
        <f>'IWP12'!G$552</f>
        <v>Itemized Amount Paid by DADS</v>
      </c>
      <c r="E4796" s="211">
        <f>'IWP12'!H$552</f>
        <v>0</v>
      </c>
      <c r="F4796" s="211">
        <f>'IWP12'!I$552</f>
        <v>0</v>
      </c>
      <c r="G4796" s="191" t="str">
        <f>IF('IWP12'!J$552=0,"",'IWP12'!J$552)</f>
        <v/>
      </c>
      <c r="H4796" s="211">
        <f>'IWP12'!K$552</f>
        <v>0</v>
      </c>
      <c r="I4796" s="211">
        <f>'IWP12'!L$552</f>
        <v>0</v>
      </c>
      <c r="J4796" s="212">
        <f>'IWP12'!M$552</f>
        <v>0</v>
      </c>
      <c r="K4796" s="106"/>
      <c r="L4796" s="106"/>
      <c r="M4796" s="129"/>
    </row>
    <row r="4797" spans="1:13" s="146" customFormat="1">
      <c r="A4797" s="193" t="s">
        <v>510</v>
      </c>
      <c r="B4797" s="210">
        <v>13</v>
      </c>
      <c r="C4797" s="191" t="str">
        <f>IF('IWP12'!E$553=0,"",'IWP12'!E$553)</f>
        <v/>
      </c>
      <c r="D4797" s="211">
        <f>'IWP12'!G$553</f>
        <v>0</v>
      </c>
      <c r="E4797" s="211">
        <f>'IWP12'!H$553</f>
        <v>0</v>
      </c>
      <c r="F4797" s="211">
        <f>'IWP12'!I$553</f>
        <v>0</v>
      </c>
      <c r="G4797" s="191" t="str">
        <f>IF('IWP12'!J$553=0,"",'IWP12'!J$553)</f>
        <v/>
      </c>
      <c r="H4797" s="211">
        <f>'IWP12'!K$553</f>
        <v>0</v>
      </c>
      <c r="I4797" s="211">
        <f>'IWP12'!L$553</f>
        <v>0</v>
      </c>
      <c r="J4797" s="212">
        <f>'IWP12'!M$553</f>
        <v>0</v>
      </c>
      <c r="K4797" s="106"/>
      <c r="L4797" s="106"/>
      <c r="M4797" s="129"/>
    </row>
    <row r="4798" spans="1:13" s="146" customFormat="1">
      <c r="A4798" s="193" t="s">
        <v>510</v>
      </c>
      <c r="B4798" s="210">
        <v>13</v>
      </c>
      <c r="C4798" s="191" t="str">
        <f>IF('IWP12'!E$554=0,"",'IWP12'!E$554)</f>
        <v/>
      </c>
      <c r="D4798" s="211">
        <f>'IWP12'!G$554</f>
        <v>0</v>
      </c>
      <c r="E4798" s="211">
        <f>'IWP12'!H$554</f>
        <v>0</v>
      </c>
      <c r="F4798" s="211">
        <f>'IWP12'!I$554</f>
        <v>0</v>
      </c>
      <c r="G4798" s="191" t="str">
        <f>IF('IWP12'!J$554=0,"",'IWP12'!J$554)</f>
        <v/>
      </c>
      <c r="H4798" s="211">
        <f>'IWP12'!K$554</f>
        <v>0</v>
      </c>
      <c r="I4798" s="211">
        <f>'IWP12'!L$554</f>
        <v>0</v>
      </c>
      <c r="J4798" s="212">
        <f>'IWP12'!M$554</f>
        <v>0</v>
      </c>
      <c r="K4798" s="106"/>
      <c r="L4798" s="106"/>
      <c r="M4798" s="129"/>
    </row>
    <row r="4799" spans="1:13" s="146" customFormat="1">
      <c r="A4799" s="193" t="s">
        <v>510</v>
      </c>
      <c r="B4799" s="210">
        <v>13</v>
      </c>
      <c r="C4799" s="191" t="str">
        <f>IF('IWP12'!E$555=0,"",'IWP12'!E$555)</f>
        <v/>
      </c>
      <c r="D4799" s="211">
        <f>'IWP12'!G$555</f>
        <v>0</v>
      </c>
      <c r="E4799" s="211">
        <f>'IWP12'!H$555</f>
        <v>0</v>
      </c>
      <c r="F4799" s="211">
        <f>'IWP12'!I$555</f>
        <v>0</v>
      </c>
      <c r="G4799" s="191" t="str">
        <f>IF('IWP12'!J$555=0,"",'IWP12'!J$555)</f>
        <v/>
      </c>
      <c r="H4799" s="211">
        <f>'IWP12'!K$555</f>
        <v>0</v>
      </c>
      <c r="I4799" s="211">
        <f>'IWP12'!L$555</f>
        <v>0</v>
      </c>
      <c r="J4799" s="212">
        <f>'IWP12'!M$555</f>
        <v>0</v>
      </c>
      <c r="K4799" s="106"/>
      <c r="L4799" s="106"/>
      <c r="M4799" s="129"/>
    </row>
    <row r="4800" spans="1:13" s="146" customFormat="1">
      <c r="A4800" s="193" t="s">
        <v>510</v>
      </c>
      <c r="B4800" s="210">
        <v>13</v>
      </c>
      <c r="C4800" s="191" t="str">
        <f>IF('IWP12'!E$556=0,"",'IWP12'!E$556)</f>
        <v/>
      </c>
      <c r="D4800" s="211">
        <f>'IWP12'!G$556</f>
        <v>0</v>
      </c>
      <c r="E4800" s="211">
        <f>'IWP12'!H$556</f>
        <v>0</v>
      </c>
      <c r="F4800" s="211">
        <f>'IWP12'!I$556</f>
        <v>0</v>
      </c>
      <c r="G4800" s="191" t="str">
        <f>IF('IWP12'!J$556=0,"",'IWP12'!J$556)</f>
        <v/>
      </c>
      <c r="H4800" s="211">
        <f>'IWP12'!K$556</f>
        <v>0</v>
      </c>
      <c r="I4800" s="211">
        <f>'IWP12'!L$556</f>
        <v>0</v>
      </c>
      <c r="J4800" s="212">
        <f>'IWP12'!M$556</f>
        <v>0</v>
      </c>
      <c r="K4800" s="106"/>
      <c r="L4800" s="106"/>
      <c r="M4800" s="129"/>
    </row>
    <row r="4801" spans="1:13" s="146" customFormat="1">
      <c r="A4801" s="193" t="s">
        <v>510</v>
      </c>
      <c r="B4801" s="210">
        <v>14</v>
      </c>
      <c r="C4801" s="191" t="str">
        <f>IF('IWP12'!E$563=0,"",'IWP12'!E$563)</f>
        <v>Subtotal column D.</v>
      </c>
      <c r="D4801" s="211">
        <f>'IWP12'!G$563</f>
        <v>0</v>
      </c>
      <c r="E4801" s="211">
        <f>'IWP12'!H$563</f>
        <v>0</v>
      </c>
      <c r="F4801" s="211">
        <f>'IWP12'!I$563</f>
        <v>0</v>
      </c>
      <c r="G4801" s="191" t="str">
        <f>IF('IWP12'!J$563=0,"",'IWP12'!J$563)</f>
        <v/>
      </c>
      <c r="H4801" s="211">
        <f>'IWP12'!K$563</f>
        <v>0</v>
      </c>
      <c r="I4801" s="211">
        <f>'IWP12'!L$563</f>
        <v>0</v>
      </c>
      <c r="J4801" s="212">
        <f>'IWP12'!M$563</f>
        <v>0</v>
      </c>
      <c r="K4801" s="106"/>
      <c r="L4801" s="106"/>
      <c r="M4801" s="129"/>
    </row>
    <row r="4802" spans="1:13" s="146" customFormat="1">
      <c r="A4802" s="193" t="s">
        <v>510</v>
      </c>
      <c r="B4802" s="210">
        <v>14</v>
      </c>
      <c r="C4802" s="191" t="str">
        <f>IF('IWP12'!E$564=0,"",'IWP12'!E$564)</f>
        <v>Unverified/Undocumented (Subtotal D - C)</v>
      </c>
      <c r="D4802" s="211">
        <f>'IWP12'!G$564</f>
        <v>0</v>
      </c>
      <c r="E4802" s="211">
        <f>'IWP12'!H$564</f>
        <v>0</v>
      </c>
      <c r="F4802" s="211">
        <f>'IWP12'!I$564</f>
        <v>0</v>
      </c>
      <c r="G4802" s="191" t="str">
        <f>IF('IWP12'!J$564=0,"",'IWP12'!J$564)</f>
        <v/>
      </c>
      <c r="H4802" s="211">
        <f>'IWP12'!K$564</f>
        <v>0</v>
      </c>
      <c r="I4802" s="211">
        <f>'IWP12'!L$564</f>
        <v>0</v>
      </c>
      <c r="J4802" s="212">
        <f>'IWP12'!M$564</f>
        <v>0</v>
      </c>
      <c r="K4802" s="106"/>
      <c r="L4802" s="106"/>
      <c r="M4802" s="129"/>
    </row>
    <row r="4803" spans="1:13" s="146" customFormat="1">
      <c r="A4803" s="193" t="s">
        <v>510</v>
      </c>
      <c r="B4803" s="210">
        <v>14</v>
      </c>
      <c r="C4803" s="191" t="str">
        <f>IF('IWP12'!E$565=0,"",'IWP12'!E$565)</f>
        <v>J. Billing Period Total</v>
      </c>
      <c r="D4803" s="211">
        <f>'IWP12'!G$565</f>
        <v>0</v>
      </c>
      <c r="E4803" s="211">
        <f>'IWP12'!H$565</f>
        <v>0</v>
      </c>
      <c r="F4803" s="211">
        <f>'IWP12'!I$565</f>
        <v>0</v>
      </c>
      <c r="G4803" s="191" t="str">
        <f>IF('IWP12'!J$565=0,"",'IWP12'!J$565)</f>
        <v/>
      </c>
      <c r="H4803" s="211">
        <f>'IWP12'!K$565</f>
        <v>0</v>
      </c>
      <c r="I4803" s="211">
        <f>'IWP12'!L$565</f>
        <v>0</v>
      </c>
      <c r="J4803" s="212">
        <f>'IWP12'!M$565</f>
        <v>0</v>
      </c>
      <c r="K4803" s="106"/>
      <c r="L4803" s="106"/>
      <c r="M4803" s="129"/>
    </row>
    <row r="4804" spans="1:13" s="146" customFormat="1">
      <c r="A4804" s="193" t="s">
        <v>510</v>
      </c>
      <c r="B4804" s="210">
        <v>14</v>
      </c>
      <c r="C4804" s="191" t="str">
        <f>IF('IWP12'!E$566=0,"",'IWP12'!E$566)</f>
        <v>D.</v>
      </c>
      <c r="D4804" s="211">
        <f>'IWP12'!G$566</f>
        <v>0</v>
      </c>
      <c r="E4804" s="211" t="str">
        <f>'IWP12'!H$566</f>
        <v>E.</v>
      </c>
      <c r="F4804" s="211" t="str">
        <f>'IWP12'!I$566</f>
        <v>F.</v>
      </c>
      <c r="G4804" s="191" t="str">
        <f>IF('IWP12'!J$566=0,"",'IWP12'!J$566)</f>
        <v>G.</v>
      </c>
      <c r="H4804" s="211">
        <f>'IWP12'!K$566</f>
        <v>0</v>
      </c>
      <c r="I4804" s="211" t="str">
        <f>'IWP12'!L$566</f>
        <v>H.</v>
      </c>
      <c r="J4804" s="212" t="str">
        <f>'IWP12'!M$566</f>
        <v>I.</v>
      </c>
      <c r="K4804" s="106"/>
      <c r="L4804" s="106"/>
      <c r="M4804" s="129"/>
    </row>
    <row r="4805" spans="1:13" s="146" customFormat="1">
      <c r="A4805" s="193" t="s">
        <v>510</v>
      </c>
      <c r="B4805" s="210">
        <v>14</v>
      </c>
      <c r="C4805" s="191" t="str">
        <f>IF('IWP12'!E$567=0,"",'IWP12'!E$567)</f>
        <v xml:space="preserve">Items/Services Related to Billing Period </v>
      </c>
      <c r="D4805" s="211">
        <f>'IWP12'!G$567</f>
        <v>0</v>
      </c>
      <c r="E4805" s="211" t="str">
        <f>'IWP12'!H$567</f>
        <v xml:space="preserve">Item/
Service Verified Amounts
</v>
      </c>
      <c r="F4805" s="211" t="str">
        <f>'IWP12'!I$567</f>
        <v>Amount Due to DADS (E. - D.)</v>
      </c>
      <c r="G4805" s="191" t="str">
        <f>IF('IWP12'!J$567=0,"",'IWP12'!J$567)</f>
        <v>Amount Reimbursed to 
Employee(s)/Employer</v>
      </c>
      <c r="H4805" s="211">
        <f>'IWP12'!K$567</f>
        <v>0</v>
      </c>
      <c r="I4805" s="211" t="str">
        <f>'IWP12'!L$567</f>
        <v>Amount Due to Employee(s) (G. - E.)</v>
      </c>
      <c r="J4805" s="212" t="str">
        <f>'IWP12'!M$567</f>
        <v>Amount Due to Employer (G. - E.)</v>
      </c>
      <c r="K4805" s="106"/>
      <c r="L4805" s="106"/>
      <c r="M4805" s="129"/>
    </row>
    <row r="4806" spans="1:13" s="146" customFormat="1">
      <c r="A4806" s="193" t="s">
        <v>510</v>
      </c>
      <c r="B4806" s="210">
        <v>14</v>
      </c>
      <c r="C4806" s="191" t="str">
        <f>IF('IWP12'!E$568=0,"",'IWP12'!E$568)</f>
        <v>Item/Service</v>
      </c>
      <c r="D4806" s="211" t="str">
        <f>'IWP12'!G$568</f>
        <v>Itemized Amount Paid by DADS</v>
      </c>
      <c r="E4806" s="211">
        <f>'IWP12'!H$568</f>
        <v>0</v>
      </c>
      <c r="F4806" s="211">
        <f>'IWP12'!I$568</f>
        <v>0</v>
      </c>
      <c r="G4806" s="191" t="str">
        <f>IF('IWP12'!J$568=0,"",'IWP12'!J$568)</f>
        <v/>
      </c>
      <c r="H4806" s="211">
        <f>'IWP12'!K$568</f>
        <v>0</v>
      </c>
      <c r="I4806" s="211">
        <f>'IWP12'!L$568</f>
        <v>0</v>
      </c>
      <c r="J4806" s="212">
        <f>'IWP12'!M$568</f>
        <v>0</v>
      </c>
      <c r="K4806" s="106"/>
      <c r="L4806" s="106"/>
      <c r="M4806" s="129"/>
    </row>
    <row r="4807" spans="1:13" s="146" customFormat="1">
      <c r="A4807" s="193" t="s">
        <v>510</v>
      </c>
      <c r="B4807" s="210">
        <v>14</v>
      </c>
      <c r="C4807" s="191" t="str">
        <f>IF('IWP12'!E$569=0,"",'IWP12'!E$569)</f>
        <v/>
      </c>
      <c r="D4807" s="211">
        <f>'IWP12'!G$569</f>
        <v>0</v>
      </c>
      <c r="E4807" s="211">
        <f>'IWP12'!H$569</f>
        <v>0</v>
      </c>
      <c r="F4807" s="211">
        <f>'IWP12'!I$569</f>
        <v>0</v>
      </c>
      <c r="G4807" s="191" t="str">
        <f>IF('IWP12'!J$569=0,"",'IWP12'!J$569)</f>
        <v/>
      </c>
      <c r="H4807" s="211">
        <f>'IWP12'!K$569</f>
        <v>0</v>
      </c>
      <c r="I4807" s="211">
        <f>'IWP12'!L$569</f>
        <v>0</v>
      </c>
      <c r="J4807" s="212">
        <f>'IWP12'!M$569</f>
        <v>0</v>
      </c>
      <c r="K4807" s="106"/>
      <c r="L4807" s="106"/>
      <c r="M4807" s="129"/>
    </row>
    <row r="4808" spans="1:13" s="146" customFormat="1">
      <c r="A4808" s="193" t="s">
        <v>510</v>
      </c>
      <c r="B4808" s="210">
        <v>14</v>
      </c>
      <c r="C4808" s="191" t="str">
        <f>IF('IWP12'!E$570=0,"",'IWP12'!E$570)</f>
        <v/>
      </c>
      <c r="D4808" s="211">
        <f>'IWP12'!G$570</f>
        <v>0</v>
      </c>
      <c r="E4808" s="211">
        <f>'IWP12'!H$570</f>
        <v>0</v>
      </c>
      <c r="F4808" s="211">
        <f>'IWP12'!I$570</f>
        <v>0</v>
      </c>
      <c r="G4808" s="191" t="str">
        <f>IF('IWP12'!J$570=0,"",'IWP12'!J$570)</f>
        <v/>
      </c>
      <c r="H4808" s="211">
        <f>'IWP12'!K$570</f>
        <v>0</v>
      </c>
      <c r="I4808" s="211">
        <f>'IWP12'!L$570</f>
        <v>0</v>
      </c>
      <c r="J4808" s="212">
        <f>'IWP12'!M$570</f>
        <v>0</v>
      </c>
      <c r="K4808" s="106"/>
      <c r="L4808" s="106"/>
      <c r="M4808" s="129"/>
    </row>
    <row r="4809" spans="1:13" s="146" customFormat="1">
      <c r="A4809" s="193" t="s">
        <v>510</v>
      </c>
      <c r="B4809" s="210">
        <v>14</v>
      </c>
      <c r="C4809" s="191" t="str">
        <f>IF('IWP12'!E$571=0,"",'IWP12'!E$571)</f>
        <v/>
      </c>
      <c r="D4809" s="211">
        <f>'IWP12'!G$571</f>
        <v>0</v>
      </c>
      <c r="E4809" s="211">
        <f>'IWP12'!H$571</f>
        <v>0</v>
      </c>
      <c r="F4809" s="211">
        <f>'IWP12'!I$571</f>
        <v>0</v>
      </c>
      <c r="G4809" s="191" t="str">
        <f>IF('IWP12'!J$571=0,"",'IWP12'!J$571)</f>
        <v/>
      </c>
      <c r="H4809" s="211">
        <f>'IWP12'!K$571</f>
        <v>0</v>
      </c>
      <c r="I4809" s="211">
        <f>'IWP12'!L$571</f>
        <v>0</v>
      </c>
      <c r="J4809" s="212">
        <f>'IWP12'!M$571</f>
        <v>0</v>
      </c>
      <c r="K4809" s="106"/>
      <c r="L4809" s="106"/>
      <c r="M4809" s="129"/>
    </row>
    <row r="4810" spans="1:13" s="146" customFormat="1">
      <c r="A4810" s="193" t="s">
        <v>510</v>
      </c>
      <c r="B4810" s="210">
        <v>14</v>
      </c>
      <c r="C4810" s="191" t="str">
        <f>IF('IWP12'!E$572=0,"",'IWP12'!E$572)</f>
        <v/>
      </c>
      <c r="D4810" s="211">
        <f>'IWP12'!G$572</f>
        <v>0</v>
      </c>
      <c r="E4810" s="211">
        <f>'IWP12'!H$572</f>
        <v>0</v>
      </c>
      <c r="F4810" s="211">
        <f>'IWP12'!I$572</f>
        <v>0</v>
      </c>
      <c r="G4810" s="191" t="str">
        <f>IF('IWP12'!J$572=0,"",'IWP12'!J$572)</f>
        <v/>
      </c>
      <c r="H4810" s="211">
        <f>'IWP12'!K$572</f>
        <v>0</v>
      </c>
      <c r="I4810" s="211">
        <f>'IWP12'!L$572</f>
        <v>0</v>
      </c>
      <c r="J4810" s="212">
        <f>'IWP12'!M$572</f>
        <v>0</v>
      </c>
      <c r="K4810" s="106"/>
      <c r="L4810" s="106"/>
      <c r="M4810" s="129"/>
    </row>
    <row r="4811" spans="1:13" s="146" customFormat="1">
      <c r="A4811" s="193" t="s">
        <v>510</v>
      </c>
      <c r="B4811" s="210">
        <v>15</v>
      </c>
      <c r="C4811" s="191" t="str">
        <f>IF('IWP12'!E$579=0,"",'IWP12'!E$579)</f>
        <v>Subtotal column D.</v>
      </c>
      <c r="D4811" s="211">
        <f>'IWP12'!G$579</f>
        <v>0</v>
      </c>
      <c r="E4811" s="211">
        <f>'IWP12'!H$579</f>
        <v>0</v>
      </c>
      <c r="F4811" s="211">
        <f>'IWP12'!I$579</f>
        <v>0</v>
      </c>
      <c r="G4811" s="191" t="str">
        <f>IF('IWP12'!J$579=0,"",'IWP12'!J$579)</f>
        <v/>
      </c>
      <c r="H4811" s="211">
        <f>'IWP12'!K$579</f>
        <v>0</v>
      </c>
      <c r="I4811" s="211">
        <f>'IWP12'!L$579</f>
        <v>0</v>
      </c>
      <c r="J4811" s="212">
        <f>'IWP12'!M$579</f>
        <v>0</v>
      </c>
      <c r="K4811" s="106"/>
      <c r="L4811" s="106"/>
      <c r="M4811" s="129"/>
    </row>
    <row r="4812" spans="1:13" s="146" customFormat="1">
      <c r="A4812" s="193" t="s">
        <v>510</v>
      </c>
      <c r="B4812" s="210">
        <v>15</v>
      </c>
      <c r="C4812" s="191" t="str">
        <f>IF('IWP12'!E$580=0,"",'IWP12'!E$580)</f>
        <v>Unverified/Undocumented (Subtotal D - C)</v>
      </c>
      <c r="D4812" s="211">
        <f>'IWP12'!G$580</f>
        <v>0</v>
      </c>
      <c r="E4812" s="211">
        <f>'IWP12'!H$580</f>
        <v>0</v>
      </c>
      <c r="F4812" s="211">
        <f>'IWP12'!I$580</f>
        <v>0</v>
      </c>
      <c r="G4812" s="191" t="str">
        <f>IF('IWP12'!J$580=0,"",'IWP12'!J$580)</f>
        <v/>
      </c>
      <c r="H4812" s="211">
        <f>'IWP12'!K$580</f>
        <v>0</v>
      </c>
      <c r="I4812" s="211">
        <f>'IWP12'!L$580</f>
        <v>0</v>
      </c>
      <c r="J4812" s="212">
        <f>'IWP12'!M$580</f>
        <v>0</v>
      </c>
      <c r="K4812" s="106"/>
      <c r="L4812" s="106"/>
      <c r="M4812" s="129"/>
    </row>
    <row r="4813" spans="1:13" s="146" customFormat="1">
      <c r="A4813" s="193" t="s">
        <v>510</v>
      </c>
      <c r="B4813" s="210">
        <v>15</v>
      </c>
      <c r="C4813" s="191" t="str">
        <f>IF('IWP12'!E$581=0,"",'IWP12'!E$581)</f>
        <v>J. Billing Period Total</v>
      </c>
      <c r="D4813" s="211">
        <f>'IWP12'!G$581</f>
        <v>0</v>
      </c>
      <c r="E4813" s="211">
        <f>'IWP12'!H$581</f>
        <v>0</v>
      </c>
      <c r="F4813" s="211">
        <f>'IWP12'!I$581</f>
        <v>0</v>
      </c>
      <c r="G4813" s="191" t="str">
        <f>IF('IWP12'!J$581=0,"",'IWP12'!J$581)</f>
        <v/>
      </c>
      <c r="H4813" s="211">
        <f>'IWP12'!K$581</f>
        <v>0</v>
      </c>
      <c r="I4813" s="211">
        <f>'IWP12'!L$581</f>
        <v>0</v>
      </c>
      <c r="J4813" s="212">
        <f>'IWP12'!M$581</f>
        <v>0</v>
      </c>
      <c r="K4813" s="106"/>
      <c r="L4813" s="106"/>
      <c r="M4813" s="129"/>
    </row>
    <row r="4814" spans="1:13" s="146" customFormat="1">
      <c r="A4814" s="193" t="s">
        <v>510</v>
      </c>
      <c r="B4814" s="210">
        <v>15</v>
      </c>
      <c r="C4814" s="191" t="str">
        <f>IF('IWP12'!E$582=0,"",'IWP12'!E$582)</f>
        <v>D.</v>
      </c>
      <c r="D4814" s="211">
        <f>'IWP12'!G$582</f>
        <v>0</v>
      </c>
      <c r="E4814" s="211" t="str">
        <f>'IWP12'!H$582</f>
        <v>E.</v>
      </c>
      <c r="F4814" s="211" t="str">
        <f>'IWP12'!I$582</f>
        <v>F.</v>
      </c>
      <c r="G4814" s="191" t="str">
        <f>IF('IWP12'!J$582=0,"",'IWP12'!J$582)</f>
        <v>G.</v>
      </c>
      <c r="H4814" s="211">
        <f>'IWP12'!K$582</f>
        <v>0</v>
      </c>
      <c r="I4814" s="211" t="str">
        <f>'IWP12'!L$582</f>
        <v>H.</v>
      </c>
      <c r="J4814" s="212" t="str">
        <f>'IWP12'!M$582</f>
        <v>I.</v>
      </c>
      <c r="K4814" s="106"/>
      <c r="L4814" s="106"/>
      <c r="M4814" s="129"/>
    </row>
    <row r="4815" spans="1:13" s="146" customFormat="1">
      <c r="A4815" s="193" t="s">
        <v>510</v>
      </c>
      <c r="B4815" s="210">
        <v>15</v>
      </c>
      <c r="C4815" s="191" t="str">
        <f>IF('IWP12'!E$583=0,"",'IWP12'!E$583)</f>
        <v xml:space="preserve">Items/Services Related to Billing Period </v>
      </c>
      <c r="D4815" s="211">
        <f>'IWP12'!G$583</f>
        <v>0</v>
      </c>
      <c r="E4815" s="211" t="str">
        <f>'IWP12'!H$583</f>
        <v xml:space="preserve">Item/
Service Verified Amounts
</v>
      </c>
      <c r="F4815" s="211" t="str">
        <f>'IWP12'!I$583</f>
        <v>Amount Due to DADS (E. - D.)</v>
      </c>
      <c r="G4815" s="191" t="str">
        <f>IF('IWP12'!J$583=0,"",'IWP12'!J$583)</f>
        <v>Amount Reimbursed to 
Employee(s)/Employer</v>
      </c>
      <c r="H4815" s="211">
        <f>'IWP12'!K$583</f>
        <v>0</v>
      </c>
      <c r="I4815" s="211" t="str">
        <f>'IWP12'!L$583</f>
        <v>Amount Due to Employee(s) (G. - E.)</v>
      </c>
      <c r="J4815" s="212" t="str">
        <f>'IWP12'!M$583</f>
        <v>Amount Due to Employer (G. - E.)</v>
      </c>
      <c r="K4815" s="106"/>
      <c r="L4815" s="106"/>
      <c r="M4815" s="129"/>
    </row>
    <row r="4816" spans="1:13" s="146" customFormat="1">
      <c r="A4816" s="193" t="s">
        <v>510</v>
      </c>
      <c r="B4816" s="210">
        <v>15</v>
      </c>
      <c r="C4816" s="191" t="str">
        <f>IF('IWP12'!E$584=0,"",'IWP12'!E$584)</f>
        <v>Item/Service</v>
      </c>
      <c r="D4816" s="211" t="str">
        <f>'IWP12'!G$584</f>
        <v>Itemized Amount Paid by DADS</v>
      </c>
      <c r="E4816" s="211">
        <f>'IWP12'!H$584</f>
        <v>0</v>
      </c>
      <c r="F4816" s="211">
        <f>'IWP12'!I$584</f>
        <v>0</v>
      </c>
      <c r="G4816" s="191" t="str">
        <f>IF('IWP12'!J$584=0,"",'IWP12'!J$584)</f>
        <v/>
      </c>
      <c r="H4816" s="211">
        <f>'IWP12'!K$584</f>
        <v>0</v>
      </c>
      <c r="I4816" s="211">
        <f>'IWP12'!L$584</f>
        <v>0</v>
      </c>
      <c r="J4816" s="212">
        <f>'IWP12'!M$584</f>
        <v>0</v>
      </c>
      <c r="K4816" s="106"/>
      <c r="L4816" s="106"/>
      <c r="M4816" s="129"/>
    </row>
    <row r="4817" spans="1:13" s="146" customFormat="1">
      <c r="A4817" s="193" t="s">
        <v>510</v>
      </c>
      <c r="B4817" s="210">
        <v>15</v>
      </c>
      <c r="C4817" s="191" t="str">
        <f>IF('IWP12'!E$585=0,"",'IWP12'!E$585)</f>
        <v/>
      </c>
      <c r="D4817" s="211">
        <f>'IWP12'!G$585</f>
        <v>0</v>
      </c>
      <c r="E4817" s="211">
        <f>'IWP12'!H$585</f>
        <v>0</v>
      </c>
      <c r="F4817" s="211">
        <f>'IWP12'!I$585</f>
        <v>0</v>
      </c>
      <c r="G4817" s="191" t="str">
        <f>IF('IWP12'!J$585=0,"",'IWP12'!J$585)</f>
        <v/>
      </c>
      <c r="H4817" s="211">
        <f>'IWP12'!K$585</f>
        <v>0</v>
      </c>
      <c r="I4817" s="211">
        <f>'IWP12'!L$585</f>
        <v>0</v>
      </c>
      <c r="J4817" s="212">
        <f>'IWP12'!M$585</f>
        <v>0</v>
      </c>
      <c r="K4817" s="106"/>
      <c r="L4817" s="106"/>
      <c r="M4817" s="129"/>
    </row>
    <row r="4818" spans="1:13" s="146" customFormat="1">
      <c r="A4818" s="193" t="s">
        <v>510</v>
      </c>
      <c r="B4818" s="210">
        <v>15</v>
      </c>
      <c r="C4818" s="191" t="str">
        <f>IF('IWP12'!E$586=0,"",'IWP12'!E$586)</f>
        <v/>
      </c>
      <c r="D4818" s="211">
        <f>'IWP12'!G$586</f>
        <v>0</v>
      </c>
      <c r="E4818" s="211">
        <f>'IWP12'!H$586</f>
        <v>0</v>
      </c>
      <c r="F4818" s="211">
        <f>'IWP12'!I$586</f>
        <v>0</v>
      </c>
      <c r="G4818" s="191" t="str">
        <f>IF('IWP12'!J$586=0,"",'IWP12'!J$586)</f>
        <v/>
      </c>
      <c r="H4818" s="211">
        <f>'IWP12'!K$586</f>
        <v>0</v>
      </c>
      <c r="I4818" s="211">
        <f>'IWP12'!L$586</f>
        <v>0</v>
      </c>
      <c r="J4818" s="212">
        <f>'IWP12'!M$586</f>
        <v>0</v>
      </c>
      <c r="K4818" s="106"/>
      <c r="L4818" s="106"/>
      <c r="M4818" s="129"/>
    </row>
    <row r="4819" spans="1:13" s="146" customFormat="1">
      <c r="A4819" s="193" t="s">
        <v>510</v>
      </c>
      <c r="B4819" s="210">
        <v>15</v>
      </c>
      <c r="C4819" s="191" t="str">
        <f>IF('IWP12'!E$587=0,"",'IWP12'!E$587)</f>
        <v/>
      </c>
      <c r="D4819" s="211">
        <f>'IWP12'!G$587</f>
        <v>0</v>
      </c>
      <c r="E4819" s="211">
        <f>'IWP12'!H$587</f>
        <v>0</v>
      </c>
      <c r="F4819" s="211">
        <f>'IWP12'!I$587</f>
        <v>0</v>
      </c>
      <c r="G4819" s="191" t="str">
        <f>IF('IWP12'!J$587=0,"",'IWP12'!J$587)</f>
        <v/>
      </c>
      <c r="H4819" s="211">
        <f>'IWP12'!K$587</f>
        <v>0</v>
      </c>
      <c r="I4819" s="211">
        <f>'IWP12'!L$587</f>
        <v>0</v>
      </c>
      <c r="J4819" s="212">
        <f>'IWP12'!M$587</f>
        <v>0</v>
      </c>
      <c r="K4819" s="106"/>
      <c r="L4819" s="106"/>
      <c r="M4819" s="129"/>
    </row>
    <row r="4820" spans="1:13" s="146" customFormat="1">
      <c r="A4820" s="193" t="s">
        <v>510</v>
      </c>
      <c r="B4820" s="210">
        <v>15</v>
      </c>
      <c r="C4820" s="191" t="str">
        <f>IF('IWP12'!E$588=0,"",'IWP12'!E$588)</f>
        <v/>
      </c>
      <c r="D4820" s="211">
        <f>'IWP12'!G$588</f>
        <v>0</v>
      </c>
      <c r="E4820" s="211">
        <f>'IWP12'!H$588</f>
        <v>0</v>
      </c>
      <c r="F4820" s="211">
        <f>'IWP12'!I$588</f>
        <v>0</v>
      </c>
      <c r="G4820" s="191" t="str">
        <f>IF('IWP12'!J$588=0,"",'IWP12'!J$588)</f>
        <v/>
      </c>
      <c r="H4820" s="211">
        <f>'IWP12'!K$588</f>
        <v>0</v>
      </c>
      <c r="I4820" s="211">
        <f>'IWP12'!L$588</f>
        <v>0</v>
      </c>
      <c r="J4820" s="212">
        <f>'IWP12'!M$588</f>
        <v>0</v>
      </c>
      <c r="K4820" s="106"/>
      <c r="L4820" s="106"/>
      <c r="M4820" s="129"/>
    </row>
    <row r="4821" spans="1:13" s="146" customFormat="1">
      <c r="A4821" s="193" t="s">
        <v>510</v>
      </c>
      <c r="B4821" s="210">
        <v>16</v>
      </c>
      <c r="C4821" s="191" t="str">
        <f>IF('IWP12'!E$595=0,"",'IWP12'!E$595)</f>
        <v>Subtotal column D.</v>
      </c>
      <c r="D4821" s="211">
        <f>'IWP12'!G$595</f>
        <v>0</v>
      </c>
      <c r="E4821" s="211">
        <f>'IWP12'!H$595</f>
        <v>0</v>
      </c>
      <c r="F4821" s="211">
        <f>'IWP12'!I$595</f>
        <v>0</v>
      </c>
      <c r="G4821" s="191" t="str">
        <f>IF('IWP12'!J$595=0,"",'IWP12'!J$595)</f>
        <v/>
      </c>
      <c r="H4821" s="211">
        <f>'IWP12'!K$595</f>
        <v>0</v>
      </c>
      <c r="I4821" s="211">
        <f>'IWP12'!L$595</f>
        <v>0</v>
      </c>
      <c r="J4821" s="212">
        <f>'IWP12'!M$595</f>
        <v>0</v>
      </c>
      <c r="K4821" s="106"/>
      <c r="L4821" s="106"/>
      <c r="M4821" s="129"/>
    </row>
    <row r="4822" spans="1:13" s="146" customFormat="1">
      <c r="A4822" s="193" t="s">
        <v>510</v>
      </c>
      <c r="B4822" s="210">
        <v>16</v>
      </c>
      <c r="C4822" s="191" t="str">
        <f>IF('IWP12'!E$596=0,"",'IWP12'!E$596)</f>
        <v>Unverified/Undocumented (Subtotal D - C)</v>
      </c>
      <c r="D4822" s="211">
        <f>'IWP12'!G$596</f>
        <v>0</v>
      </c>
      <c r="E4822" s="211">
        <f>'IWP12'!H$596</f>
        <v>0</v>
      </c>
      <c r="F4822" s="211">
        <f>'IWP12'!I$596</f>
        <v>0</v>
      </c>
      <c r="G4822" s="191" t="str">
        <f>IF('IWP12'!J$596=0,"",'IWP12'!J$596)</f>
        <v/>
      </c>
      <c r="H4822" s="211">
        <f>'IWP12'!K$596</f>
        <v>0</v>
      </c>
      <c r="I4822" s="211">
        <f>'IWP12'!L$596</f>
        <v>0</v>
      </c>
      <c r="J4822" s="212">
        <f>'IWP12'!M$596</f>
        <v>0</v>
      </c>
      <c r="K4822" s="106"/>
      <c r="L4822" s="106"/>
      <c r="M4822" s="129"/>
    </row>
    <row r="4823" spans="1:13" s="146" customFormat="1">
      <c r="A4823" s="193" t="s">
        <v>510</v>
      </c>
      <c r="B4823" s="210">
        <v>16</v>
      </c>
      <c r="C4823" s="191" t="str">
        <f>IF('IWP12'!E$597=0,"",'IWP12'!E$597)</f>
        <v>J. Billing Period Total</v>
      </c>
      <c r="D4823" s="211">
        <f>'IWP12'!G$597</f>
        <v>0</v>
      </c>
      <c r="E4823" s="211">
        <f>'IWP12'!H$597</f>
        <v>0</v>
      </c>
      <c r="F4823" s="211">
        <f>'IWP12'!I$597</f>
        <v>0</v>
      </c>
      <c r="G4823" s="191" t="str">
        <f>IF('IWP12'!J$597=0,"",'IWP12'!J$597)</f>
        <v/>
      </c>
      <c r="H4823" s="211">
        <f>'IWP12'!K$597</f>
        <v>0</v>
      </c>
      <c r="I4823" s="211">
        <f>'IWP12'!L$597</f>
        <v>0</v>
      </c>
      <c r="J4823" s="212">
        <f>'IWP12'!M$597</f>
        <v>0</v>
      </c>
      <c r="K4823" s="106"/>
      <c r="L4823" s="106"/>
      <c r="M4823" s="129"/>
    </row>
    <row r="4824" spans="1:13" s="146" customFormat="1">
      <c r="A4824" s="193" t="s">
        <v>510</v>
      </c>
      <c r="B4824" s="210">
        <v>16</v>
      </c>
      <c r="C4824" s="191" t="str">
        <f>IF('IWP12'!E$598=0,"",'IWP12'!E$598)</f>
        <v>D.</v>
      </c>
      <c r="D4824" s="211">
        <f>'IWP12'!G$598</f>
        <v>0</v>
      </c>
      <c r="E4824" s="211" t="str">
        <f>'IWP12'!H$598</f>
        <v>E.</v>
      </c>
      <c r="F4824" s="211" t="str">
        <f>'IWP12'!I$598</f>
        <v>F.</v>
      </c>
      <c r="G4824" s="191" t="str">
        <f>IF('IWP12'!J$598=0,"",'IWP12'!J$598)</f>
        <v>G.</v>
      </c>
      <c r="H4824" s="211">
        <f>'IWP12'!K$598</f>
        <v>0</v>
      </c>
      <c r="I4824" s="211" t="str">
        <f>'IWP12'!L$598</f>
        <v>H.</v>
      </c>
      <c r="J4824" s="212" t="str">
        <f>'IWP12'!M$598</f>
        <v>I.</v>
      </c>
      <c r="K4824" s="106"/>
      <c r="L4824" s="106"/>
      <c r="M4824" s="129"/>
    </row>
    <row r="4825" spans="1:13" s="146" customFormat="1">
      <c r="A4825" s="193" t="s">
        <v>510</v>
      </c>
      <c r="B4825" s="210">
        <v>16</v>
      </c>
      <c r="C4825" s="191" t="str">
        <f>IF('IWP12'!E$599=0,"",'IWP12'!E$599)</f>
        <v xml:space="preserve">Items/Services Related to Billing Period </v>
      </c>
      <c r="D4825" s="211">
        <f>'IWP12'!G$599</f>
        <v>0</v>
      </c>
      <c r="E4825" s="211" t="str">
        <f>'IWP12'!H$599</f>
        <v xml:space="preserve">Item/
Service Verified Amounts
</v>
      </c>
      <c r="F4825" s="211" t="str">
        <f>'IWP12'!I$599</f>
        <v>Amount Due to DADS (E. - D.)</v>
      </c>
      <c r="G4825" s="191" t="str">
        <f>IF('IWP12'!J$599=0,"",'IWP12'!J$599)</f>
        <v>Amount Reimbursed to 
Employee(s)/Employer</v>
      </c>
      <c r="H4825" s="211">
        <f>'IWP12'!K$599</f>
        <v>0</v>
      </c>
      <c r="I4825" s="211" t="str">
        <f>'IWP12'!L$599</f>
        <v>Amount Due to Employee(s) (G. - E.)</v>
      </c>
      <c r="J4825" s="212" t="str">
        <f>'IWP12'!M$599</f>
        <v>Amount Due to Employer (G. - E.)</v>
      </c>
      <c r="K4825" s="106"/>
      <c r="L4825" s="106"/>
      <c r="M4825" s="129"/>
    </row>
    <row r="4826" spans="1:13" s="146" customFormat="1">
      <c r="A4826" s="193" t="s">
        <v>510</v>
      </c>
      <c r="B4826" s="210">
        <v>16</v>
      </c>
      <c r="C4826" s="191" t="str">
        <f>IF('IWP12'!E$600=0,"",'IWP12'!E$600)</f>
        <v>Item/Service</v>
      </c>
      <c r="D4826" s="211" t="str">
        <f>'IWP12'!G$600</f>
        <v>Itemized Amount Paid by DADS</v>
      </c>
      <c r="E4826" s="211">
        <f>'IWP12'!H$600</f>
        <v>0</v>
      </c>
      <c r="F4826" s="211">
        <f>'IWP12'!I$600</f>
        <v>0</v>
      </c>
      <c r="G4826" s="191" t="str">
        <f>IF('IWP12'!J$600=0,"",'IWP12'!J$600)</f>
        <v/>
      </c>
      <c r="H4826" s="211">
        <f>'IWP12'!K$600</f>
        <v>0</v>
      </c>
      <c r="I4826" s="211">
        <f>'IWP12'!L$600</f>
        <v>0</v>
      </c>
      <c r="J4826" s="212">
        <f>'IWP12'!M$600</f>
        <v>0</v>
      </c>
      <c r="K4826" s="106"/>
      <c r="L4826" s="106"/>
      <c r="M4826" s="129"/>
    </row>
    <row r="4827" spans="1:13" s="146" customFormat="1">
      <c r="A4827" s="193" t="s">
        <v>510</v>
      </c>
      <c r="B4827" s="210">
        <v>16</v>
      </c>
      <c r="C4827" s="191" t="str">
        <f>IF('IWP12'!E$601=0,"",'IWP12'!E$601)</f>
        <v/>
      </c>
      <c r="D4827" s="211">
        <f>'IWP12'!G$601</f>
        <v>0</v>
      </c>
      <c r="E4827" s="211">
        <f>'IWP12'!H$601</f>
        <v>0</v>
      </c>
      <c r="F4827" s="211">
        <f>'IWP12'!I$601</f>
        <v>0</v>
      </c>
      <c r="G4827" s="191" t="str">
        <f>IF('IWP12'!J$601=0,"",'IWP12'!J$601)</f>
        <v/>
      </c>
      <c r="H4827" s="211">
        <f>'IWP12'!K$601</f>
        <v>0</v>
      </c>
      <c r="I4827" s="211">
        <f>'IWP12'!L$601</f>
        <v>0</v>
      </c>
      <c r="J4827" s="212">
        <f>'IWP12'!M$601</f>
        <v>0</v>
      </c>
      <c r="K4827" s="106"/>
      <c r="L4827" s="106"/>
      <c r="M4827" s="129"/>
    </row>
    <row r="4828" spans="1:13" s="146" customFormat="1">
      <c r="A4828" s="193" t="s">
        <v>510</v>
      </c>
      <c r="B4828" s="210">
        <v>16</v>
      </c>
      <c r="C4828" s="191" t="str">
        <f>IF('IWP12'!E$602=0,"",'IWP12'!E$602)</f>
        <v/>
      </c>
      <c r="D4828" s="211">
        <f>'IWP12'!G$602</f>
        <v>0</v>
      </c>
      <c r="E4828" s="211">
        <f>'IWP12'!H$602</f>
        <v>0</v>
      </c>
      <c r="F4828" s="211">
        <f>'IWP12'!I$602</f>
        <v>0</v>
      </c>
      <c r="G4828" s="191" t="str">
        <f>IF('IWP12'!J$602=0,"",'IWP12'!J$602)</f>
        <v/>
      </c>
      <c r="H4828" s="211">
        <f>'IWP12'!K$602</f>
        <v>0</v>
      </c>
      <c r="I4828" s="211">
        <f>'IWP12'!L$602</f>
        <v>0</v>
      </c>
      <c r="J4828" s="212">
        <f>'IWP12'!M$602</f>
        <v>0</v>
      </c>
      <c r="K4828" s="106"/>
      <c r="L4828" s="106"/>
      <c r="M4828" s="129"/>
    </row>
    <row r="4829" spans="1:13" s="146" customFormat="1">
      <c r="A4829" s="193" t="s">
        <v>510</v>
      </c>
      <c r="B4829" s="210">
        <v>16</v>
      </c>
      <c r="C4829" s="191" t="str">
        <f>IF('IWP12'!E$603=0,"",'IWP12'!E$603)</f>
        <v/>
      </c>
      <c r="D4829" s="211">
        <f>'IWP12'!G$603</f>
        <v>0</v>
      </c>
      <c r="E4829" s="211">
        <f>'IWP12'!H$603</f>
        <v>0</v>
      </c>
      <c r="F4829" s="211">
        <f>'IWP12'!I$603</f>
        <v>0</v>
      </c>
      <c r="G4829" s="191" t="str">
        <f>IF('IWP12'!J$603=0,"",'IWP12'!J$603)</f>
        <v/>
      </c>
      <c r="H4829" s="211">
        <f>'IWP12'!K$603</f>
        <v>0</v>
      </c>
      <c r="I4829" s="211">
        <f>'IWP12'!L$603</f>
        <v>0</v>
      </c>
      <c r="J4829" s="212">
        <f>'IWP12'!M$603</f>
        <v>0</v>
      </c>
      <c r="K4829" s="106"/>
      <c r="L4829" s="106"/>
      <c r="M4829" s="129"/>
    </row>
    <row r="4830" spans="1:13" s="146" customFormat="1">
      <c r="A4830" s="193" t="s">
        <v>510</v>
      </c>
      <c r="B4830" s="210">
        <v>16</v>
      </c>
      <c r="C4830" s="191" t="str">
        <f>IF('IWP12'!E$604=0,"",'IWP12'!E$604)</f>
        <v/>
      </c>
      <c r="D4830" s="211">
        <f>'IWP12'!G$604</f>
        <v>0</v>
      </c>
      <c r="E4830" s="211">
        <f>'IWP12'!H$604</f>
        <v>0</v>
      </c>
      <c r="F4830" s="211">
        <f>'IWP12'!I$604</f>
        <v>0</v>
      </c>
      <c r="G4830" s="191" t="str">
        <f>IF('IWP12'!J$604=0,"",'IWP12'!J$604)</f>
        <v/>
      </c>
      <c r="H4830" s="211">
        <f>'IWP12'!K$604</f>
        <v>0</v>
      </c>
      <c r="I4830" s="211">
        <f>'IWP12'!L$604</f>
        <v>0</v>
      </c>
      <c r="J4830" s="212">
        <f>'IWP12'!M$604</f>
        <v>0</v>
      </c>
      <c r="K4830" s="106"/>
      <c r="L4830" s="106"/>
      <c r="M4830" s="129"/>
    </row>
    <row r="4831" spans="1:13" s="146" customFormat="1">
      <c r="A4831" s="193" t="s">
        <v>510</v>
      </c>
      <c r="B4831" s="210">
        <v>17</v>
      </c>
      <c r="C4831" s="191" t="str">
        <f>IF('IWP12'!E$611=0,"",'IWP12'!E$611)</f>
        <v>Subtotal column D.</v>
      </c>
      <c r="D4831" s="211">
        <f>'IWP12'!G$611</f>
        <v>0</v>
      </c>
      <c r="E4831" s="211">
        <f>'IWP12'!H$611</f>
        <v>0</v>
      </c>
      <c r="F4831" s="211">
        <f>'IWP12'!I$611</f>
        <v>0</v>
      </c>
      <c r="G4831" s="191" t="str">
        <f>IF('IWP12'!J$611=0,"",'IWP12'!J$611)</f>
        <v/>
      </c>
      <c r="H4831" s="211">
        <f>'IWP12'!K$611</f>
        <v>0</v>
      </c>
      <c r="I4831" s="211">
        <f>'IWP12'!L$611</f>
        <v>0</v>
      </c>
      <c r="J4831" s="212">
        <f>'IWP12'!M$611</f>
        <v>0</v>
      </c>
      <c r="K4831" s="106"/>
      <c r="L4831" s="106"/>
      <c r="M4831" s="129"/>
    </row>
    <row r="4832" spans="1:13" s="146" customFormat="1">
      <c r="A4832" s="193" t="s">
        <v>510</v>
      </c>
      <c r="B4832" s="210">
        <v>17</v>
      </c>
      <c r="C4832" s="191" t="str">
        <f>IF('IWP12'!E$612=0,"",'IWP12'!E$612)</f>
        <v>Unverified/Undocumented (Subtotal D - C)</v>
      </c>
      <c r="D4832" s="211">
        <f>'IWP12'!G$612</f>
        <v>0</v>
      </c>
      <c r="E4832" s="211">
        <f>'IWP12'!H$612</f>
        <v>0</v>
      </c>
      <c r="F4832" s="211">
        <f>'IWP12'!I$612</f>
        <v>0</v>
      </c>
      <c r="G4832" s="191" t="str">
        <f>IF('IWP12'!J$612=0,"",'IWP12'!J$612)</f>
        <v/>
      </c>
      <c r="H4832" s="211">
        <f>'IWP12'!K$612</f>
        <v>0</v>
      </c>
      <c r="I4832" s="211">
        <f>'IWP12'!L$612</f>
        <v>0</v>
      </c>
      <c r="J4832" s="212">
        <f>'IWP12'!M$612</f>
        <v>0</v>
      </c>
      <c r="K4832" s="106"/>
      <c r="L4832" s="106"/>
      <c r="M4832" s="129"/>
    </row>
    <row r="4833" spans="1:13" s="146" customFormat="1">
      <c r="A4833" s="193" t="s">
        <v>510</v>
      </c>
      <c r="B4833" s="210">
        <v>17</v>
      </c>
      <c r="C4833" s="191" t="str">
        <f>IF('IWP12'!E$613=0,"",'IWP12'!E$613)</f>
        <v>J. Billing Period Total</v>
      </c>
      <c r="D4833" s="211">
        <f>'IWP12'!G$613</f>
        <v>0</v>
      </c>
      <c r="E4833" s="211">
        <f>'IWP12'!H$613</f>
        <v>0</v>
      </c>
      <c r="F4833" s="211">
        <f>'IWP12'!I$613</f>
        <v>0</v>
      </c>
      <c r="G4833" s="191" t="str">
        <f>IF('IWP12'!J$613=0,"",'IWP12'!J$613)</f>
        <v/>
      </c>
      <c r="H4833" s="211">
        <f>'IWP12'!K$613</f>
        <v>0</v>
      </c>
      <c r="I4833" s="211">
        <f>'IWP12'!L$613</f>
        <v>0</v>
      </c>
      <c r="J4833" s="212">
        <f>'IWP12'!M$613</f>
        <v>0</v>
      </c>
      <c r="K4833" s="106"/>
      <c r="L4833" s="106"/>
      <c r="M4833" s="129"/>
    </row>
    <row r="4834" spans="1:13" s="146" customFormat="1">
      <c r="A4834" s="193" t="s">
        <v>510</v>
      </c>
      <c r="B4834" s="210">
        <v>17</v>
      </c>
      <c r="C4834" s="191" t="str">
        <f>IF('IWP12'!E$614=0,"",'IWP12'!E$614)</f>
        <v/>
      </c>
      <c r="D4834" s="211">
        <f>'IWP12'!G$614</f>
        <v>0</v>
      </c>
      <c r="E4834" s="211">
        <f>'IWP12'!H$614</f>
        <v>0</v>
      </c>
      <c r="F4834" s="211">
        <f>'IWP12'!I$614</f>
        <v>0</v>
      </c>
      <c r="G4834" s="191" t="str">
        <f>IF('IWP12'!J$614=0,"",'IWP12'!J$614)</f>
        <v/>
      </c>
      <c r="H4834" s="211">
        <f>'IWP12'!K$614</f>
        <v>0</v>
      </c>
      <c r="I4834" s="211">
        <f>'IWP12'!L$614</f>
        <v>0</v>
      </c>
      <c r="J4834" s="212">
        <f>'IWP12'!M$614</f>
        <v>0</v>
      </c>
      <c r="K4834" s="106"/>
      <c r="L4834" s="106"/>
      <c r="M4834" s="129"/>
    </row>
    <row r="4835" spans="1:13" s="146" customFormat="1">
      <c r="A4835" s="193" t="s">
        <v>510</v>
      </c>
      <c r="B4835" s="210">
        <v>17</v>
      </c>
      <c r="C4835" s="191" t="str">
        <f>IF('IWP12'!E$615=0,"",'IWP12'!E$615)</f>
        <v/>
      </c>
      <c r="D4835" s="211">
        <f>'IWP12'!G$615</f>
        <v>0</v>
      </c>
      <c r="E4835" s="211">
        <f>'IWP12'!H$615</f>
        <v>0</v>
      </c>
      <c r="F4835" s="211">
        <f>'IWP12'!I$615</f>
        <v>0</v>
      </c>
      <c r="G4835" s="191" t="str">
        <f>IF('IWP12'!J$615=0,"",'IWP12'!J$615)</f>
        <v/>
      </c>
      <c r="H4835" s="211">
        <f>'IWP12'!K$615</f>
        <v>0</v>
      </c>
      <c r="I4835" s="211">
        <f>'IWP12'!L$615</f>
        <v>0</v>
      </c>
      <c r="J4835" s="212">
        <f>'IWP12'!M$615</f>
        <v>0</v>
      </c>
      <c r="K4835" s="106"/>
      <c r="L4835" s="106"/>
      <c r="M4835" s="129"/>
    </row>
    <row r="4836" spans="1:13" s="146" customFormat="1">
      <c r="A4836" s="193" t="s">
        <v>510</v>
      </c>
      <c r="B4836" s="210">
        <v>17</v>
      </c>
      <c r="C4836" s="191" t="str">
        <f>IF('IWP12'!E$616=0,"",'IWP12'!E$616)</f>
        <v/>
      </c>
      <c r="D4836" s="211">
        <f>'IWP12'!G$616</f>
        <v>0</v>
      </c>
      <c r="E4836" s="211">
        <f>'IWP12'!H$616</f>
        <v>0</v>
      </c>
      <c r="F4836" s="211">
        <f>'IWP12'!I$616</f>
        <v>0</v>
      </c>
      <c r="G4836" s="191" t="str">
        <f>IF('IWP12'!J$616=0,"",'IWP12'!J$616)</f>
        <v/>
      </c>
      <c r="H4836" s="211">
        <f>'IWP12'!K$616</f>
        <v>0</v>
      </c>
      <c r="I4836" s="211">
        <f>'IWP12'!L$616</f>
        <v>0</v>
      </c>
      <c r="J4836" s="212">
        <f>'IWP12'!M$616</f>
        <v>0</v>
      </c>
      <c r="K4836" s="106"/>
      <c r="L4836" s="106"/>
      <c r="M4836" s="129"/>
    </row>
    <row r="4837" spans="1:13" s="146" customFormat="1">
      <c r="A4837" s="193" t="s">
        <v>510</v>
      </c>
      <c r="B4837" s="210">
        <v>17</v>
      </c>
      <c r="C4837" s="191" t="str">
        <f>IF('IWP12'!E$617=0,"",'IWP12'!E$617)</f>
        <v/>
      </c>
      <c r="D4837" s="211">
        <f>'IWP12'!G$617</f>
        <v>0</v>
      </c>
      <c r="E4837" s="211">
        <f>'IWP12'!H$617</f>
        <v>0</v>
      </c>
      <c r="F4837" s="211">
        <f>'IWP12'!I$617</f>
        <v>0</v>
      </c>
      <c r="G4837" s="191" t="str">
        <f>IF('IWP12'!J$617=0,"",'IWP12'!J$617)</f>
        <v/>
      </c>
      <c r="H4837" s="211">
        <f>'IWP12'!K$617</f>
        <v>0</v>
      </c>
      <c r="I4837" s="211">
        <f>'IWP12'!L$617</f>
        <v>0</v>
      </c>
      <c r="J4837" s="212">
        <f>'IWP12'!M$617</f>
        <v>0</v>
      </c>
      <c r="K4837" s="106"/>
      <c r="L4837" s="106"/>
      <c r="M4837" s="129"/>
    </row>
    <row r="4838" spans="1:13" s="146" customFormat="1">
      <c r="A4838" s="193" t="s">
        <v>510</v>
      </c>
      <c r="B4838" s="210">
        <v>17</v>
      </c>
      <c r="C4838" s="191" t="str">
        <f>IF('IWP12'!E$618=0,"",'IWP12'!E$618)</f>
        <v/>
      </c>
      <c r="D4838" s="211">
        <f>'IWP12'!G$618</f>
        <v>0</v>
      </c>
      <c r="E4838" s="211">
        <f>'IWP12'!H$618</f>
        <v>0</v>
      </c>
      <c r="F4838" s="211">
        <f>'IWP12'!I$618</f>
        <v>0</v>
      </c>
      <c r="G4838" s="191" t="str">
        <f>IF('IWP12'!J$618=0,"",'IWP12'!J$618)</f>
        <v/>
      </c>
      <c r="H4838" s="211">
        <f>'IWP12'!K$618</f>
        <v>0</v>
      </c>
      <c r="I4838" s="211">
        <f>'IWP12'!L$618</f>
        <v>0</v>
      </c>
      <c r="J4838" s="212">
        <f>'IWP12'!M$618</f>
        <v>0</v>
      </c>
      <c r="K4838" s="106"/>
      <c r="L4838" s="106"/>
      <c r="M4838" s="129"/>
    </row>
    <row r="4839" spans="1:13" s="146" customFormat="1">
      <c r="A4839" s="193" t="s">
        <v>510</v>
      </c>
      <c r="B4839" s="210">
        <v>17</v>
      </c>
      <c r="C4839" s="191" t="str">
        <f>IF('IWP12'!E$619=0,"",'IWP12'!E$619)</f>
        <v/>
      </c>
      <c r="D4839" s="211">
        <f>'IWP12'!G$619</f>
        <v>0</v>
      </c>
      <c r="E4839" s="211">
        <f>'IWP12'!H$619</f>
        <v>0</v>
      </c>
      <c r="F4839" s="211">
        <f>'IWP12'!I$619</f>
        <v>0</v>
      </c>
      <c r="G4839" s="191" t="str">
        <f>IF('IWP12'!J$619=0,"",'IWP12'!J$619)</f>
        <v/>
      </c>
      <c r="H4839" s="211">
        <f>'IWP12'!K$619</f>
        <v>0</v>
      </c>
      <c r="I4839" s="211">
        <f>'IWP12'!L$619</f>
        <v>0</v>
      </c>
      <c r="J4839" s="212">
        <f>'IWP12'!M$619</f>
        <v>0</v>
      </c>
      <c r="K4839" s="106"/>
      <c r="L4839" s="106"/>
      <c r="M4839" s="129"/>
    </row>
    <row r="4840" spans="1:13" s="146" customFormat="1">
      <c r="A4840" s="193" t="s">
        <v>510</v>
      </c>
      <c r="B4840" s="210">
        <v>17</v>
      </c>
      <c r="C4840" s="191" t="str">
        <f>IF('IWP12'!E$620=0,"",'IWP12'!E$620)</f>
        <v/>
      </c>
      <c r="D4840" s="211">
        <f>'IWP12'!G$620</f>
        <v>0</v>
      </c>
      <c r="E4840" s="211">
        <f>'IWP12'!H$620</f>
        <v>0</v>
      </c>
      <c r="F4840" s="211">
        <f>'IWP12'!I$620</f>
        <v>0</v>
      </c>
      <c r="G4840" s="191" t="str">
        <f>IF('IWP12'!J$620=0,"",'IWP12'!J$620)</f>
        <v/>
      </c>
      <c r="H4840" s="211">
        <f>'IWP12'!K$620</f>
        <v>0</v>
      </c>
      <c r="I4840" s="211">
        <f>'IWP12'!L$620</f>
        <v>0</v>
      </c>
      <c r="J4840" s="212">
        <f>'IWP12'!M$620</f>
        <v>0</v>
      </c>
      <c r="K4840" s="106"/>
      <c r="L4840" s="106"/>
      <c r="M4840" s="129"/>
    </row>
    <row r="4841" spans="1:13" s="146" customFormat="1">
      <c r="A4841" s="193" t="s">
        <v>510</v>
      </c>
      <c r="B4841" s="210">
        <v>18</v>
      </c>
      <c r="C4841" s="191" t="str">
        <f>IF('IWP12'!E$627=0,"",'IWP12'!E$627)</f>
        <v/>
      </c>
      <c r="D4841" s="211">
        <f>'IWP12'!G$627</f>
        <v>0</v>
      </c>
      <c r="E4841" s="211">
        <f>'IWP12'!H$627</f>
        <v>0</v>
      </c>
      <c r="F4841" s="211">
        <f>'IWP12'!I$627</f>
        <v>0</v>
      </c>
      <c r="G4841" s="191" t="str">
        <f>IF('IWP12'!J$627=0,"",'IWP12'!J$627)</f>
        <v/>
      </c>
      <c r="H4841" s="211">
        <f>'IWP12'!K$627</f>
        <v>0</v>
      </c>
      <c r="I4841" s="211">
        <f>'IWP12'!L$627</f>
        <v>0</v>
      </c>
      <c r="J4841" s="212">
        <f>'IWP12'!M$627</f>
        <v>0</v>
      </c>
      <c r="K4841" s="106"/>
      <c r="L4841" s="106"/>
      <c r="M4841" s="129"/>
    </row>
    <row r="4842" spans="1:13" s="146" customFormat="1">
      <c r="A4842" s="193" t="s">
        <v>510</v>
      </c>
      <c r="B4842" s="210">
        <v>18</v>
      </c>
      <c r="C4842" s="191" t="str">
        <f>IF('IWP12'!E$628=0,"",'IWP12'!E$628)</f>
        <v/>
      </c>
      <c r="D4842" s="211">
        <f>'IWP12'!G$628</f>
        <v>0</v>
      </c>
      <c r="E4842" s="211">
        <f>'IWP12'!H$628</f>
        <v>0</v>
      </c>
      <c r="F4842" s="211">
        <f>'IWP12'!I$628</f>
        <v>0</v>
      </c>
      <c r="G4842" s="191" t="str">
        <f>IF('IWP12'!J$628=0,"",'IWP12'!J$628)</f>
        <v/>
      </c>
      <c r="H4842" s="211">
        <f>'IWP12'!K$628</f>
        <v>0</v>
      </c>
      <c r="I4842" s="211">
        <f>'IWP12'!L$628</f>
        <v>0</v>
      </c>
      <c r="J4842" s="212">
        <f>'IWP12'!M$628</f>
        <v>0</v>
      </c>
      <c r="K4842" s="106"/>
      <c r="L4842" s="106"/>
      <c r="M4842" s="129"/>
    </row>
    <row r="4843" spans="1:13" s="146" customFormat="1">
      <c r="A4843" s="193" t="s">
        <v>510</v>
      </c>
      <c r="B4843" s="210">
        <v>18</v>
      </c>
      <c r="C4843" s="191" t="str">
        <f>IF('IWP12'!E$629=0,"",'IWP12'!E$629)</f>
        <v/>
      </c>
      <c r="D4843" s="211">
        <f>'IWP12'!G$629</f>
        <v>0</v>
      </c>
      <c r="E4843" s="211">
        <f>'IWP12'!H$629</f>
        <v>0</v>
      </c>
      <c r="F4843" s="211">
        <f>'IWP12'!I$629</f>
        <v>0</v>
      </c>
      <c r="G4843" s="191" t="str">
        <f>IF('IWP12'!J$629=0,"",'IWP12'!J$629)</f>
        <v/>
      </c>
      <c r="H4843" s="211">
        <f>'IWP12'!K$629</f>
        <v>0</v>
      </c>
      <c r="I4843" s="211">
        <f>'IWP12'!L$629</f>
        <v>0</v>
      </c>
      <c r="J4843" s="212">
        <f>'IWP12'!M$629</f>
        <v>0</v>
      </c>
      <c r="K4843" s="106"/>
      <c r="L4843" s="106"/>
      <c r="M4843" s="129"/>
    </row>
    <row r="4844" spans="1:13" s="146" customFormat="1">
      <c r="A4844" s="193" t="s">
        <v>510</v>
      </c>
      <c r="B4844" s="210">
        <v>18</v>
      </c>
      <c r="C4844" s="191" t="str">
        <f>IF('IWP12'!E$630=0,"",'IWP12'!E$630)</f>
        <v/>
      </c>
      <c r="D4844" s="211">
        <f>'IWP12'!G$630</f>
        <v>0</v>
      </c>
      <c r="E4844" s="211">
        <f>'IWP12'!H$630</f>
        <v>0</v>
      </c>
      <c r="F4844" s="211">
        <f>'IWP12'!I$630</f>
        <v>0</v>
      </c>
      <c r="G4844" s="191" t="str">
        <f>IF('IWP12'!J$630=0,"",'IWP12'!J$630)</f>
        <v/>
      </c>
      <c r="H4844" s="211">
        <f>'IWP12'!K$630</f>
        <v>0</v>
      </c>
      <c r="I4844" s="211">
        <f>'IWP12'!L$630</f>
        <v>0</v>
      </c>
      <c r="J4844" s="212">
        <f>'IWP12'!M$630</f>
        <v>0</v>
      </c>
      <c r="K4844" s="106"/>
      <c r="L4844" s="106"/>
      <c r="M4844" s="129"/>
    </row>
    <row r="4845" spans="1:13" s="146" customFormat="1">
      <c r="A4845" s="193" t="s">
        <v>510</v>
      </c>
      <c r="B4845" s="210">
        <v>18</v>
      </c>
      <c r="C4845" s="191" t="str">
        <f>IF('IWP12'!E$631=0,"",'IWP12'!E$631)</f>
        <v/>
      </c>
      <c r="D4845" s="211">
        <f>'IWP12'!G$631</f>
        <v>0</v>
      </c>
      <c r="E4845" s="211">
        <f>'IWP12'!H$631</f>
        <v>0</v>
      </c>
      <c r="F4845" s="211">
        <f>'IWP12'!I$631</f>
        <v>0</v>
      </c>
      <c r="G4845" s="191" t="str">
        <f>IF('IWP12'!J$631=0,"",'IWP12'!J$631)</f>
        <v/>
      </c>
      <c r="H4845" s="211">
        <f>'IWP12'!K$631</f>
        <v>0</v>
      </c>
      <c r="I4845" s="211">
        <f>'IWP12'!L$631</f>
        <v>0</v>
      </c>
      <c r="J4845" s="212">
        <f>'IWP12'!M$631</f>
        <v>0</v>
      </c>
      <c r="K4845" s="106"/>
      <c r="L4845" s="106"/>
      <c r="M4845" s="129"/>
    </row>
    <row r="4846" spans="1:13" s="146" customFormat="1">
      <c r="A4846" s="193" t="s">
        <v>510</v>
      </c>
      <c r="B4846" s="210">
        <v>18</v>
      </c>
      <c r="C4846" s="191" t="str">
        <f>IF('IWP12'!E$632=0,"",'IWP12'!E$632)</f>
        <v/>
      </c>
      <c r="D4846" s="211">
        <f>'IWP12'!G$632</f>
        <v>0</v>
      </c>
      <c r="E4846" s="211">
        <f>'IWP12'!H$632</f>
        <v>0</v>
      </c>
      <c r="F4846" s="211">
        <f>'IWP12'!I$632</f>
        <v>0</v>
      </c>
      <c r="G4846" s="191" t="str">
        <f>IF('IWP12'!J$632=0,"",'IWP12'!J$632)</f>
        <v/>
      </c>
      <c r="H4846" s="211">
        <f>'IWP12'!K$632</f>
        <v>0</v>
      </c>
      <c r="I4846" s="211">
        <f>'IWP12'!L$632</f>
        <v>0</v>
      </c>
      <c r="J4846" s="212">
        <f>'IWP12'!M$632</f>
        <v>0</v>
      </c>
      <c r="K4846" s="106"/>
      <c r="L4846" s="106"/>
      <c r="M4846" s="129"/>
    </row>
    <row r="4847" spans="1:13" s="146" customFormat="1">
      <c r="A4847" s="193" t="s">
        <v>510</v>
      </c>
      <c r="B4847" s="210">
        <v>18</v>
      </c>
      <c r="C4847" s="191" t="str">
        <f>IF('IWP12'!E$633=0,"",'IWP12'!E$633)</f>
        <v/>
      </c>
      <c r="D4847" s="211">
        <f>'IWP12'!G$633</f>
        <v>0</v>
      </c>
      <c r="E4847" s="211">
        <f>'IWP12'!H$633</f>
        <v>0</v>
      </c>
      <c r="F4847" s="211">
        <f>'IWP12'!I$633</f>
        <v>0</v>
      </c>
      <c r="G4847" s="191" t="str">
        <f>IF('IWP12'!J$633=0,"",'IWP12'!J$633)</f>
        <v/>
      </c>
      <c r="H4847" s="211">
        <f>'IWP12'!K$633</f>
        <v>0</v>
      </c>
      <c r="I4847" s="211">
        <f>'IWP12'!L$633</f>
        <v>0</v>
      </c>
      <c r="J4847" s="212">
        <f>'IWP12'!M$633</f>
        <v>0</v>
      </c>
      <c r="K4847" s="106"/>
      <c r="L4847" s="106"/>
      <c r="M4847" s="129"/>
    </row>
    <row r="4848" spans="1:13" s="146" customFormat="1">
      <c r="A4848" s="193" t="s">
        <v>510</v>
      </c>
      <c r="B4848" s="210">
        <v>18</v>
      </c>
      <c r="C4848" s="191" t="str">
        <f>IF('IWP12'!E$634=0,"",'IWP12'!E$634)</f>
        <v/>
      </c>
      <c r="D4848" s="211">
        <f>'IWP12'!G$634</f>
        <v>0</v>
      </c>
      <c r="E4848" s="211">
        <f>'IWP12'!H$634</f>
        <v>0</v>
      </c>
      <c r="F4848" s="211">
        <f>'IWP12'!I$634</f>
        <v>0</v>
      </c>
      <c r="G4848" s="191" t="str">
        <f>IF('IWP12'!J$634=0,"",'IWP12'!J$634)</f>
        <v/>
      </c>
      <c r="H4848" s="211">
        <f>'IWP12'!K$634</f>
        <v>0</v>
      </c>
      <c r="I4848" s="211">
        <f>'IWP12'!L$634</f>
        <v>0</v>
      </c>
      <c r="J4848" s="212">
        <f>'IWP12'!M$634</f>
        <v>0</v>
      </c>
      <c r="K4848" s="106"/>
      <c r="L4848" s="106"/>
      <c r="M4848" s="129"/>
    </row>
    <row r="4849" spans="1:13" s="146" customFormat="1">
      <c r="A4849" s="193" t="s">
        <v>510</v>
      </c>
      <c r="B4849" s="210">
        <v>18</v>
      </c>
      <c r="C4849" s="191" t="str">
        <f>IF('IWP12'!E$635=0,"",'IWP12'!E$635)</f>
        <v/>
      </c>
      <c r="D4849" s="211">
        <f>'IWP12'!G$635</f>
        <v>0</v>
      </c>
      <c r="E4849" s="211">
        <f>'IWP12'!H$635</f>
        <v>0</v>
      </c>
      <c r="F4849" s="211">
        <f>'IWP12'!I$635</f>
        <v>0</v>
      </c>
      <c r="G4849" s="191" t="str">
        <f>IF('IWP12'!J$635=0,"",'IWP12'!J$635)</f>
        <v/>
      </c>
      <c r="H4849" s="211">
        <f>'IWP12'!K$635</f>
        <v>0</v>
      </c>
      <c r="I4849" s="211">
        <f>'IWP12'!L$635</f>
        <v>0</v>
      </c>
      <c r="J4849" s="212">
        <f>'IWP12'!M$635</f>
        <v>0</v>
      </c>
      <c r="K4849" s="106"/>
      <c r="L4849" s="106"/>
      <c r="M4849" s="129"/>
    </row>
    <row r="4850" spans="1:13" s="146" customFormat="1">
      <c r="A4850" s="193" t="s">
        <v>510</v>
      </c>
      <c r="B4850" s="210">
        <v>18</v>
      </c>
      <c r="C4850" s="191" t="str">
        <f>IF('IWP12'!E$636=0,"",'IWP12'!E$636)</f>
        <v/>
      </c>
      <c r="D4850" s="211">
        <f>'IWP12'!G$636</f>
        <v>0</v>
      </c>
      <c r="E4850" s="211">
        <f>'IWP12'!H$636</f>
        <v>0</v>
      </c>
      <c r="F4850" s="211">
        <f>'IWP12'!I$636</f>
        <v>0</v>
      </c>
      <c r="G4850" s="191" t="str">
        <f>IF('IWP12'!J$636=0,"",'IWP12'!J$636)</f>
        <v/>
      </c>
      <c r="H4850" s="211">
        <f>'IWP12'!K$636</f>
        <v>0</v>
      </c>
      <c r="I4850" s="211">
        <f>'IWP12'!L$636</f>
        <v>0</v>
      </c>
      <c r="J4850" s="212">
        <f>'IWP12'!M$636</f>
        <v>0</v>
      </c>
      <c r="K4850" s="106"/>
      <c r="L4850" s="106"/>
      <c r="M4850" s="129"/>
    </row>
    <row r="4851" spans="1:13" s="146" customFormat="1">
      <c r="A4851" s="193" t="s">
        <v>511</v>
      </c>
      <c r="B4851" s="210">
        <v>1</v>
      </c>
      <c r="C4851" s="191" t="str">
        <f>IF('IWP13'!E$355=0,"",'IWP13'!E$355)</f>
        <v>Subtotal column D.</v>
      </c>
      <c r="D4851" s="211">
        <f>'IWP13'!G$355</f>
        <v>0</v>
      </c>
      <c r="E4851" s="211">
        <f>'IWP13'!H$355</f>
        <v>0</v>
      </c>
      <c r="F4851" s="211">
        <f>'IWP13'!I$355</f>
        <v>0</v>
      </c>
      <c r="G4851" s="191" t="str">
        <f>IF('IWP13'!J$355=0,"",'IWP13'!J$355)</f>
        <v/>
      </c>
      <c r="H4851" s="211">
        <f>'IWP13'!K$355</f>
        <v>0</v>
      </c>
      <c r="I4851" s="211">
        <f>'IWP13'!L$355</f>
        <v>0</v>
      </c>
      <c r="J4851" s="212">
        <f>'IWP13'!M$355</f>
        <v>0</v>
      </c>
      <c r="K4851" s="106"/>
      <c r="L4851" s="106"/>
      <c r="M4851" s="129"/>
    </row>
    <row r="4852" spans="1:13" s="146" customFormat="1">
      <c r="A4852" s="193" t="s">
        <v>511</v>
      </c>
      <c r="B4852" s="210">
        <v>1</v>
      </c>
      <c r="C4852" s="191" t="str">
        <f>IF('IWP13'!E$356=0,"",'IWP13'!E$356)</f>
        <v>Unverified/Undocumented (Subtotall D - C)</v>
      </c>
      <c r="D4852" s="211">
        <f>'IWP13'!G$356</f>
        <v>0</v>
      </c>
      <c r="E4852" s="211">
        <f>'IWP13'!H$356</f>
        <v>0</v>
      </c>
      <c r="F4852" s="211">
        <f>'IWP13'!I$356</f>
        <v>0</v>
      </c>
      <c r="G4852" s="191" t="str">
        <f>IF('IWP13'!J$356=0,"",'IWP13'!J$356)</f>
        <v/>
      </c>
      <c r="H4852" s="211">
        <f>'IWP13'!K$356</f>
        <v>0</v>
      </c>
      <c r="I4852" s="211">
        <f>'IWP13'!L$356</f>
        <v>0</v>
      </c>
      <c r="J4852" s="212">
        <f>'IWP13'!M$356</f>
        <v>0</v>
      </c>
      <c r="K4852" s="106"/>
      <c r="L4852" s="106"/>
      <c r="M4852" s="129"/>
    </row>
    <row r="4853" spans="1:13" s="146" customFormat="1">
      <c r="A4853" s="193" t="s">
        <v>511</v>
      </c>
      <c r="B4853" s="210">
        <v>1</v>
      </c>
      <c r="C4853" s="191" t="str">
        <f>IF('IWP13'!E$357=0,"",'IWP13'!E$357)</f>
        <v>J. Billing Period Total</v>
      </c>
      <c r="D4853" s="211">
        <f>'IWP13'!G$357</f>
        <v>0</v>
      </c>
      <c r="E4853" s="211">
        <f>'IWP13'!H$357</f>
        <v>0</v>
      </c>
      <c r="F4853" s="211">
        <f>'IWP13'!I$357</f>
        <v>0</v>
      </c>
      <c r="G4853" s="191" t="str">
        <f>IF('IWP13'!J$357=0,"",'IWP13'!J$357)</f>
        <v/>
      </c>
      <c r="H4853" s="211">
        <f>'IWP13'!K$357</f>
        <v>0</v>
      </c>
      <c r="I4853" s="211">
        <f>'IWP13'!L$357</f>
        <v>0</v>
      </c>
      <c r="J4853" s="212">
        <f>'IWP13'!M$357</f>
        <v>0</v>
      </c>
      <c r="K4853" s="106"/>
      <c r="L4853" s="106"/>
      <c r="M4853" s="129"/>
    </row>
    <row r="4854" spans="1:13" s="146" customFormat="1">
      <c r="A4854" s="193" t="s">
        <v>511</v>
      </c>
      <c r="B4854" s="210">
        <v>1</v>
      </c>
      <c r="C4854" s="191" t="str">
        <f>IF('IWP13'!E$358=0,"",'IWP13'!E$358)</f>
        <v>D.</v>
      </c>
      <c r="D4854" s="211">
        <f>'IWP13'!G$358</f>
        <v>0</v>
      </c>
      <c r="E4854" s="211" t="str">
        <f>'IWP13'!H$358</f>
        <v>E.</v>
      </c>
      <c r="F4854" s="211" t="str">
        <f>'IWP13'!I$358</f>
        <v>F.</v>
      </c>
      <c r="G4854" s="191" t="str">
        <f>IF('IWP13'!J$358=0,"",'IWP13'!J$358)</f>
        <v>G.</v>
      </c>
      <c r="H4854" s="211">
        <f>'IWP13'!K$358</f>
        <v>0</v>
      </c>
      <c r="I4854" s="211" t="str">
        <f>'IWP13'!L$358</f>
        <v>H.</v>
      </c>
      <c r="J4854" s="212" t="str">
        <f>'IWP13'!M$358</f>
        <v>I.</v>
      </c>
      <c r="K4854" s="106"/>
      <c r="L4854" s="106"/>
      <c r="M4854" s="129"/>
    </row>
    <row r="4855" spans="1:13" s="146" customFormat="1">
      <c r="A4855" s="193" t="s">
        <v>511</v>
      </c>
      <c r="B4855" s="210">
        <v>1</v>
      </c>
      <c r="C4855" s="191" t="str">
        <f>IF('IWP13'!E$359=0,"",'IWP13'!E$359)</f>
        <v xml:space="preserve">Items/Services Related to Billing Period </v>
      </c>
      <c r="D4855" s="211">
        <f>'IWP13'!G$359</f>
        <v>0</v>
      </c>
      <c r="E4855" s="211" t="str">
        <f>'IWP13'!H$359</f>
        <v xml:space="preserve">Item/
Service Verified Amounts
</v>
      </c>
      <c r="F4855" s="211" t="str">
        <f>'IWP13'!I$359</f>
        <v>Amount Due to DADS (E. - D.)</v>
      </c>
      <c r="G4855" s="191" t="str">
        <f>IF('IWP13'!J$359=0,"",'IWP13'!J$359)</f>
        <v>Amount Reimbursed to 
Employee(s)/Employer</v>
      </c>
      <c r="H4855" s="211">
        <f>'IWP13'!K$359</f>
        <v>0</v>
      </c>
      <c r="I4855" s="211" t="str">
        <f>'IWP13'!L$359</f>
        <v>Amount Due to Employee(s) (G. - E.)</v>
      </c>
      <c r="J4855" s="212" t="str">
        <f>'IWP13'!M$359</f>
        <v>Amount Due to Employer (G. - E.)</v>
      </c>
      <c r="K4855" s="106"/>
      <c r="L4855" s="106"/>
      <c r="M4855" s="129"/>
    </row>
    <row r="4856" spans="1:13" s="146" customFormat="1">
      <c r="A4856" s="193" t="s">
        <v>511</v>
      </c>
      <c r="B4856" s="210">
        <v>1</v>
      </c>
      <c r="C4856" s="191" t="str">
        <f>IF('IWP13'!E$360=0,"",'IWP13'!E$360)</f>
        <v>Item/Service</v>
      </c>
      <c r="D4856" s="211" t="str">
        <f>'IWP13'!G$360</f>
        <v>Itemized Amount Paid by DADS</v>
      </c>
      <c r="E4856" s="211">
        <f>'IWP13'!H$360</f>
        <v>0</v>
      </c>
      <c r="F4856" s="211">
        <f>'IWP13'!I$360</f>
        <v>0</v>
      </c>
      <c r="G4856" s="191" t="str">
        <f>IF('IWP13'!J$360=0,"",'IWP13'!J$360)</f>
        <v/>
      </c>
      <c r="H4856" s="211">
        <f>'IWP13'!K$360</f>
        <v>0</v>
      </c>
      <c r="I4856" s="211">
        <f>'IWP13'!L$360</f>
        <v>0</v>
      </c>
      <c r="J4856" s="212">
        <f>'IWP13'!M$360</f>
        <v>0</v>
      </c>
      <c r="K4856" s="106"/>
      <c r="L4856" s="106"/>
      <c r="M4856" s="129"/>
    </row>
    <row r="4857" spans="1:13" s="146" customFormat="1">
      <c r="A4857" s="193" t="s">
        <v>511</v>
      </c>
      <c r="B4857" s="210">
        <v>1</v>
      </c>
      <c r="C4857" s="191" t="str">
        <f>IF('IWP13'!E$361=0,"",'IWP13'!E$361)</f>
        <v/>
      </c>
      <c r="D4857" s="211">
        <f>'IWP13'!G$361</f>
        <v>0</v>
      </c>
      <c r="E4857" s="211">
        <f>'IWP13'!H$361</f>
        <v>0</v>
      </c>
      <c r="F4857" s="211">
        <f>'IWP13'!I$361</f>
        <v>0</v>
      </c>
      <c r="G4857" s="191" t="str">
        <f>IF('IWP13'!J$361=0,"",'IWP13'!J$361)</f>
        <v/>
      </c>
      <c r="H4857" s="211">
        <f>'IWP13'!K$361</f>
        <v>0</v>
      </c>
      <c r="I4857" s="211">
        <f>'IWP13'!L$361</f>
        <v>0</v>
      </c>
      <c r="J4857" s="212">
        <f>'IWP13'!M$361</f>
        <v>0</v>
      </c>
      <c r="K4857" s="106"/>
      <c r="L4857" s="106"/>
      <c r="M4857" s="129"/>
    </row>
    <row r="4858" spans="1:13" s="146" customFormat="1">
      <c r="A4858" s="193" t="s">
        <v>511</v>
      </c>
      <c r="B4858" s="210">
        <v>1</v>
      </c>
      <c r="C4858" s="191" t="str">
        <f>IF('IWP13'!E$362=0,"",'IWP13'!E$362)</f>
        <v/>
      </c>
      <c r="D4858" s="211">
        <f>'IWP13'!G$362</f>
        <v>0</v>
      </c>
      <c r="E4858" s="211">
        <f>'IWP13'!H$362</f>
        <v>0</v>
      </c>
      <c r="F4858" s="211">
        <f>'IWP13'!I$362</f>
        <v>0</v>
      </c>
      <c r="G4858" s="191" t="str">
        <f>IF('IWP13'!J$362=0,"",'IWP13'!J$362)</f>
        <v/>
      </c>
      <c r="H4858" s="211">
        <f>'IWP13'!K$362</f>
        <v>0</v>
      </c>
      <c r="I4858" s="211">
        <f>'IWP13'!L$362</f>
        <v>0</v>
      </c>
      <c r="J4858" s="212">
        <f>'IWP13'!M$362</f>
        <v>0</v>
      </c>
      <c r="K4858" s="106"/>
      <c r="L4858" s="106"/>
      <c r="M4858" s="129"/>
    </row>
    <row r="4859" spans="1:13" s="146" customFormat="1">
      <c r="A4859" s="193" t="s">
        <v>511</v>
      </c>
      <c r="B4859" s="210">
        <v>1</v>
      </c>
      <c r="C4859" s="191" t="str">
        <f>IF('IWP13'!E$363=0,"",'IWP13'!E$363)</f>
        <v/>
      </c>
      <c r="D4859" s="211">
        <f>'IWP13'!G$363</f>
        <v>0</v>
      </c>
      <c r="E4859" s="211">
        <f>'IWP13'!H$363</f>
        <v>0</v>
      </c>
      <c r="F4859" s="211">
        <f>'IWP13'!I$363</f>
        <v>0</v>
      </c>
      <c r="G4859" s="191" t="str">
        <f>IF('IWP13'!J$363=0,"",'IWP13'!J$363)</f>
        <v/>
      </c>
      <c r="H4859" s="211">
        <f>'IWP13'!K$363</f>
        <v>0</v>
      </c>
      <c r="I4859" s="211">
        <f>'IWP13'!L$363</f>
        <v>0</v>
      </c>
      <c r="J4859" s="212">
        <f>'IWP13'!M$363</f>
        <v>0</v>
      </c>
      <c r="K4859" s="106"/>
      <c r="L4859" s="106"/>
      <c r="M4859" s="129"/>
    </row>
    <row r="4860" spans="1:13" s="146" customFormat="1">
      <c r="A4860" s="193" t="s">
        <v>511</v>
      </c>
      <c r="B4860" s="210">
        <v>1</v>
      </c>
      <c r="C4860" s="191" t="str">
        <f>IF('IWP13'!E$364=0,"",'IWP13'!E$364)</f>
        <v/>
      </c>
      <c r="D4860" s="211">
        <f>'IWP13'!G$364</f>
        <v>0</v>
      </c>
      <c r="E4860" s="211">
        <f>'IWP13'!H$364</f>
        <v>0</v>
      </c>
      <c r="F4860" s="211">
        <f>'IWP13'!I$364</f>
        <v>0</v>
      </c>
      <c r="G4860" s="191" t="str">
        <f>IF('IWP13'!J$364=0,"",'IWP13'!J$364)</f>
        <v/>
      </c>
      <c r="H4860" s="211">
        <f>'IWP13'!K$364</f>
        <v>0</v>
      </c>
      <c r="I4860" s="211">
        <f>'IWP13'!L$364</f>
        <v>0</v>
      </c>
      <c r="J4860" s="212">
        <f>'IWP13'!M$364</f>
        <v>0</v>
      </c>
      <c r="K4860" s="106"/>
      <c r="L4860" s="106"/>
      <c r="M4860" s="129"/>
    </row>
    <row r="4861" spans="1:13" s="146" customFormat="1">
      <c r="A4861" s="193" t="s">
        <v>511</v>
      </c>
      <c r="B4861" s="210">
        <v>2</v>
      </c>
      <c r="C4861" s="191" t="str">
        <f>IF('IWP13'!E$371=0,"",'IWP13'!E$371)</f>
        <v>Subtotal column D.</v>
      </c>
      <c r="D4861" s="211">
        <f>'IWP13'!G$371</f>
        <v>0</v>
      </c>
      <c r="E4861" s="211">
        <f>'IWP13'!H$371</f>
        <v>0</v>
      </c>
      <c r="F4861" s="211">
        <f>'IWP13'!I$371</f>
        <v>0</v>
      </c>
      <c r="G4861" s="191" t="str">
        <f>IF('IWP13'!J$371=0,"",'IWP13'!J$371)</f>
        <v/>
      </c>
      <c r="H4861" s="211">
        <f>'IWP13'!K$371</f>
        <v>0</v>
      </c>
      <c r="I4861" s="211">
        <f>'IWP13'!L$371</f>
        <v>0</v>
      </c>
      <c r="J4861" s="212">
        <f>'IWP13'!M$371</f>
        <v>0</v>
      </c>
      <c r="K4861" s="106"/>
      <c r="L4861" s="106"/>
      <c r="M4861" s="129"/>
    </row>
    <row r="4862" spans="1:13" s="146" customFormat="1">
      <c r="A4862" s="193" t="s">
        <v>511</v>
      </c>
      <c r="B4862" s="210">
        <v>2</v>
      </c>
      <c r="C4862" s="191" t="str">
        <f>IF('IWP13'!E$372=0,"",'IWP13'!E$372)</f>
        <v>Unverified/Undocumented (Subtotal D - C)</v>
      </c>
      <c r="D4862" s="211">
        <f>'IWP13'!G$372</f>
        <v>0</v>
      </c>
      <c r="E4862" s="211">
        <f>'IWP13'!H$372</f>
        <v>0</v>
      </c>
      <c r="F4862" s="211">
        <f>'IWP13'!I$372</f>
        <v>0</v>
      </c>
      <c r="G4862" s="191" t="str">
        <f>IF('IWP13'!J$372=0,"",'IWP13'!J$372)</f>
        <v/>
      </c>
      <c r="H4862" s="211">
        <f>'IWP13'!K$372</f>
        <v>0</v>
      </c>
      <c r="I4862" s="211">
        <f>'IWP13'!L$372</f>
        <v>0</v>
      </c>
      <c r="J4862" s="212">
        <f>'IWP13'!M$372</f>
        <v>0</v>
      </c>
      <c r="K4862" s="106"/>
      <c r="L4862" s="106"/>
      <c r="M4862" s="129"/>
    </row>
    <row r="4863" spans="1:13" s="146" customFormat="1">
      <c r="A4863" s="193" t="s">
        <v>511</v>
      </c>
      <c r="B4863" s="210">
        <v>2</v>
      </c>
      <c r="C4863" s="191" t="str">
        <f>IF('IWP13'!E$373=0,"",'IWP13'!E$373)</f>
        <v>J. Billing Period Total</v>
      </c>
      <c r="D4863" s="211">
        <f>'IWP13'!G$373</f>
        <v>0</v>
      </c>
      <c r="E4863" s="211">
        <f>'IWP13'!H$373</f>
        <v>0</v>
      </c>
      <c r="F4863" s="211">
        <f>'IWP13'!I$373</f>
        <v>0</v>
      </c>
      <c r="G4863" s="191" t="str">
        <f>IF('IWP13'!J$373=0,"",'IWP13'!J$373)</f>
        <v/>
      </c>
      <c r="H4863" s="211">
        <f>'IWP13'!K$373</f>
        <v>0</v>
      </c>
      <c r="I4863" s="211">
        <f>'IWP13'!L$373</f>
        <v>0</v>
      </c>
      <c r="J4863" s="212">
        <f>'IWP13'!M$373</f>
        <v>0</v>
      </c>
      <c r="K4863" s="106"/>
      <c r="L4863" s="106"/>
      <c r="M4863" s="129"/>
    </row>
    <row r="4864" spans="1:13" s="146" customFormat="1">
      <c r="A4864" s="193" t="s">
        <v>511</v>
      </c>
      <c r="B4864" s="210">
        <v>2</v>
      </c>
      <c r="C4864" s="191" t="str">
        <f>IF('IWP13'!E$374=0,"",'IWP13'!E$374)</f>
        <v>D.</v>
      </c>
      <c r="D4864" s="211">
        <f>'IWP13'!G$374</f>
        <v>0</v>
      </c>
      <c r="E4864" s="211" t="str">
        <f>'IWP13'!H$374</f>
        <v>E.</v>
      </c>
      <c r="F4864" s="211" t="str">
        <f>'IWP13'!I$374</f>
        <v>F.</v>
      </c>
      <c r="G4864" s="191" t="str">
        <f>IF('IWP13'!J$374=0,"",'IWP13'!J$374)</f>
        <v>G.</v>
      </c>
      <c r="H4864" s="211">
        <f>'IWP13'!K$374</f>
        <v>0</v>
      </c>
      <c r="I4864" s="211" t="str">
        <f>'IWP13'!L$374</f>
        <v>H.</v>
      </c>
      <c r="J4864" s="212" t="str">
        <f>'IWP13'!M$374</f>
        <v>I.</v>
      </c>
      <c r="K4864" s="106"/>
      <c r="L4864" s="106"/>
      <c r="M4864" s="129"/>
    </row>
    <row r="4865" spans="1:13" s="146" customFormat="1">
      <c r="A4865" s="193" t="s">
        <v>511</v>
      </c>
      <c r="B4865" s="210">
        <v>2</v>
      </c>
      <c r="C4865" s="191" t="str">
        <f>IF('IWP13'!E$375=0,"",'IWP13'!E$375)</f>
        <v xml:space="preserve">Items/Services Related to Billing Period </v>
      </c>
      <c r="D4865" s="211">
        <f>'IWP13'!G$375</f>
        <v>0</v>
      </c>
      <c r="E4865" s="211" t="str">
        <f>'IWP13'!H$375</f>
        <v xml:space="preserve">Item/
Service Verified Amounts
</v>
      </c>
      <c r="F4865" s="211" t="str">
        <f>'IWP13'!I$375</f>
        <v>Amount Due to DADS (E. - D.)</v>
      </c>
      <c r="G4865" s="191" t="str">
        <f>IF('IWP13'!J$375=0,"",'IWP13'!J$375)</f>
        <v>Amount Reimbursed to 
Employee(s)/Employer</v>
      </c>
      <c r="H4865" s="211">
        <f>'IWP13'!K$375</f>
        <v>0</v>
      </c>
      <c r="I4865" s="211" t="str">
        <f>'IWP13'!L$375</f>
        <v>Amount Due to Employee(s) (G. - E.)</v>
      </c>
      <c r="J4865" s="212" t="str">
        <f>'IWP13'!M$375</f>
        <v>Amount Due to Employer (G. - E.)</v>
      </c>
      <c r="K4865" s="106"/>
      <c r="L4865" s="106"/>
      <c r="M4865" s="129"/>
    </row>
    <row r="4866" spans="1:13" s="146" customFormat="1">
      <c r="A4866" s="193" t="s">
        <v>511</v>
      </c>
      <c r="B4866" s="210">
        <v>2</v>
      </c>
      <c r="C4866" s="191" t="str">
        <f>IF('IWP13'!E$376=0,"",'IWP13'!E$376)</f>
        <v>Item/Service</v>
      </c>
      <c r="D4866" s="211" t="str">
        <f>'IWP13'!G$376</f>
        <v>Itemized Amount Paid by DADS</v>
      </c>
      <c r="E4866" s="211">
        <f>'IWP13'!H$376</f>
        <v>0</v>
      </c>
      <c r="F4866" s="211">
        <f>'IWP13'!I$376</f>
        <v>0</v>
      </c>
      <c r="G4866" s="191" t="str">
        <f>IF('IWP13'!J$376=0,"",'IWP13'!J$376)</f>
        <v/>
      </c>
      <c r="H4866" s="211">
        <f>'IWP13'!K$376</f>
        <v>0</v>
      </c>
      <c r="I4866" s="211">
        <f>'IWP13'!L$376</f>
        <v>0</v>
      </c>
      <c r="J4866" s="212">
        <f>'IWP13'!M$376</f>
        <v>0</v>
      </c>
      <c r="K4866" s="106"/>
      <c r="L4866" s="106"/>
      <c r="M4866" s="129"/>
    </row>
    <row r="4867" spans="1:13" s="146" customFormat="1">
      <c r="A4867" s="193" t="s">
        <v>511</v>
      </c>
      <c r="B4867" s="210">
        <v>2</v>
      </c>
      <c r="C4867" s="191" t="str">
        <f>IF('IWP13'!E$377=0,"",'IWP13'!E$377)</f>
        <v/>
      </c>
      <c r="D4867" s="211">
        <f>'IWP13'!G$377</f>
        <v>0</v>
      </c>
      <c r="E4867" s="211">
        <f>'IWP13'!H$377</f>
        <v>0</v>
      </c>
      <c r="F4867" s="211">
        <f>'IWP13'!I$377</f>
        <v>0</v>
      </c>
      <c r="G4867" s="191" t="str">
        <f>IF('IWP13'!J$377=0,"",'IWP13'!J$377)</f>
        <v/>
      </c>
      <c r="H4867" s="211">
        <f>'IWP13'!K$377</f>
        <v>0</v>
      </c>
      <c r="I4867" s="211">
        <f>'IWP13'!L$377</f>
        <v>0</v>
      </c>
      <c r="J4867" s="212">
        <f>'IWP13'!M$377</f>
        <v>0</v>
      </c>
      <c r="K4867" s="106"/>
      <c r="L4867" s="106"/>
      <c r="M4867" s="129"/>
    </row>
    <row r="4868" spans="1:13" s="146" customFormat="1">
      <c r="A4868" s="193" t="s">
        <v>511</v>
      </c>
      <c r="B4868" s="210">
        <v>2</v>
      </c>
      <c r="C4868" s="191" t="str">
        <f>IF('IWP13'!E$378=0,"",'IWP13'!E$378)</f>
        <v/>
      </c>
      <c r="D4868" s="211">
        <f>'IWP13'!G$378</f>
        <v>0</v>
      </c>
      <c r="E4868" s="211">
        <f>'IWP13'!H$378</f>
        <v>0</v>
      </c>
      <c r="F4868" s="211">
        <f>'IWP13'!I$378</f>
        <v>0</v>
      </c>
      <c r="G4868" s="191" t="str">
        <f>IF('IWP13'!J$378=0,"",'IWP13'!J$378)</f>
        <v/>
      </c>
      <c r="H4868" s="211">
        <f>'IWP13'!K$378</f>
        <v>0</v>
      </c>
      <c r="I4868" s="211">
        <f>'IWP13'!L$378</f>
        <v>0</v>
      </c>
      <c r="J4868" s="212">
        <f>'IWP13'!M$378</f>
        <v>0</v>
      </c>
      <c r="K4868" s="106"/>
      <c r="L4868" s="106"/>
      <c r="M4868" s="129"/>
    </row>
    <row r="4869" spans="1:13" s="146" customFormat="1">
      <c r="A4869" s="193" t="s">
        <v>511</v>
      </c>
      <c r="B4869" s="210">
        <v>2</v>
      </c>
      <c r="C4869" s="191" t="str">
        <f>IF('IWP13'!E$379=0,"",'IWP13'!E$379)</f>
        <v/>
      </c>
      <c r="D4869" s="211">
        <f>'IWP13'!G$379</f>
        <v>0</v>
      </c>
      <c r="E4869" s="211">
        <f>'IWP13'!H$379</f>
        <v>0</v>
      </c>
      <c r="F4869" s="211">
        <f>'IWP13'!I$379</f>
        <v>0</v>
      </c>
      <c r="G4869" s="191" t="str">
        <f>IF('IWP13'!J$379=0,"",'IWP13'!J$379)</f>
        <v/>
      </c>
      <c r="H4869" s="211">
        <f>'IWP13'!K$379</f>
        <v>0</v>
      </c>
      <c r="I4869" s="211">
        <f>'IWP13'!L$379</f>
        <v>0</v>
      </c>
      <c r="J4869" s="212">
        <f>'IWP13'!M$379</f>
        <v>0</v>
      </c>
      <c r="K4869" s="106"/>
      <c r="L4869" s="106"/>
      <c r="M4869" s="129"/>
    </row>
    <row r="4870" spans="1:13" s="146" customFormat="1">
      <c r="A4870" s="193" t="s">
        <v>511</v>
      </c>
      <c r="B4870" s="210">
        <v>2</v>
      </c>
      <c r="C4870" s="191" t="str">
        <f>IF('IWP13'!E$380=0,"",'IWP13'!E$380)</f>
        <v/>
      </c>
      <c r="D4870" s="211">
        <f>'IWP13'!G$380</f>
        <v>0</v>
      </c>
      <c r="E4870" s="211">
        <f>'IWP13'!H$380</f>
        <v>0</v>
      </c>
      <c r="F4870" s="211">
        <f>'IWP13'!I$380</f>
        <v>0</v>
      </c>
      <c r="G4870" s="191" t="str">
        <f>IF('IWP13'!J$380=0,"",'IWP13'!J$380)</f>
        <v/>
      </c>
      <c r="H4870" s="211">
        <f>'IWP13'!K$380</f>
        <v>0</v>
      </c>
      <c r="I4870" s="211">
        <f>'IWP13'!L$380</f>
        <v>0</v>
      </c>
      <c r="J4870" s="212">
        <f>'IWP13'!M$380</f>
        <v>0</v>
      </c>
      <c r="K4870" s="106"/>
      <c r="L4870" s="106"/>
      <c r="M4870" s="129"/>
    </row>
    <row r="4871" spans="1:13" s="146" customFormat="1">
      <c r="A4871" s="193" t="s">
        <v>511</v>
      </c>
      <c r="B4871" s="210">
        <v>3</v>
      </c>
      <c r="C4871" s="191" t="str">
        <f>IF('IWP13'!E$387=0,"",'IWP13'!E$387)</f>
        <v>Subtotal column D.</v>
      </c>
      <c r="D4871" s="211">
        <f>'IWP13'!G$387</f>
        <v>0</v>
      </c>
      <c r="E4871" s="211">
        <f>'IWP13'!H$387</f>
        <v>0</v>
      </c>
      <c r="F4871" s="211">
        <f>'IWP13'!I$387</f>
        <v>0</v>
      </c>
      <c r="G4871" s="191" t="str">
        <f>IF('IWP13'!J$387=0,"",'IWP13'!J$387)</f>
        <v/>
      </c>
      <c r="H4871" s="211">
        <f>'IWP13'!K$387</f>
        <v>0</v>
      </c>
      <c r="I4871" s="211">
        <f>'IWP13'!L$387</f>
        <v>0</v>
      </c>
      <c r="J4871" s="212">
        <f>'IWP13'!M$387</f>
        <v>0</v>
      </c>
      <c r="K4871" s="106"/>
      <c r="L4871" s="106"/>
      <c r="M4871" s="129"/>
    </row>
    <row r="4872" spans="1:13" s="146" customFormat="1">
      <c r="A4872" s="193" t="s">
        <v>511</v>
      </c>
      <c r="B4872" s="210">
        <v>3</v>
      </c>
      <c r="C4872" s="191" t="str">
        <f>IF('IWP13'!E$388=0,"",'IWP13'!E$388)</f>
        <v>Unverified/Undocumented (Subtotal D - C)</v>
      </c>
      <c r="D4872" s="211">
        <f>'IWP13'!G$388</f>
        <v>0</v>
      </c>
      <c r="E4872" s="211">
        <f>'IWP13'!H$388</f>
        <v>0</v>
      </c>
      <c r="F4872" s="211">
        <f>'IWP13'!I$388</f>
        <v>0</v>
      </c>
      <c r="G4872" s="191" t="str">
        <f>IF('IWP13'!J$388=0,"",'IWP13'!J$388)</f>
        <v/>
      </c>
      <c r="H4872" s="211">
        <f>'IWP13'!K$388</f>
        <v>0</v>
      </c>
      <c r="I4872" s="211">
        <f>'IWP13'!L$388</f>
        <v>0</v>
      </c>
      <c r="J4872" s="212">
        <f>'IWP13'!M$388</f>
        <v>0</v>
      </c>
      <c r="K4872" s="106"/>
      <c r="L4872" s="106"/>
      <c r="M4872" s="129"/>
    </row>
    <row r="4873" spans="1:13" s="146" customFormat="1">
      <c r="A4873" s="193" t="s">
        <v>511</v>
      </c>
      <c r="B4873" s="210">
        <v>3</v>
      </c>
      <c r="C4873" s="191" t="str">
        <f>IF('IWP13'!E$389=0,"",'IWP13'!E$389)</f>
        <v>J. Billing Period Total</v>
      </c>
      <c r="D4873" s="211">
        <f>'IWP13'!G$389</f>
        <v>0</v>
      </c>
      <c r="E4873" s="211">
        <f>'IWP13'!H$389</f>
        <v>0</v>
      </c>
      <c r="F4873" s="211">
        <f>'IWP13'!I$389</f>
        <v>0</v>
      </c>
      <c r="G4873" s="191" t="str">
        <f>IF('IWP13'!J$389=0,"",'IWP13'!J$389)</f>
        <v/>
      </c>
      <c r="H4873" s="211">
        <f>'IWP13'!K$389</f>
        <v>0</v>
      </c>
      <c r="I4873" s="211">
        <f>'IWP13'!L$389</f>
        <v>0</v>
      </c>
      <c r="J4873" s="212">
        <f>'IWP13'!M$389</f>
        <v>0</v>
      </c>
      <c r="K4873" s="106"/>
      <c r="L4873" s="106"/>
      <c r="M4873" s="129"/>
    </row>
    <row r="4874" spans="1:13" s="146" customFormat="1">
      <c r="A4874" s="193" t="s">
        <v>511</v>
      </c>
      <c r="B4874" s="210">
        <v>3</v>
      </c>
      <c r="C4874" s="191" t="str">
        <f>IF('IWP13'!E$390=0,"",'IWP13'!E$390)</f>
        <v>D.</v>
      </c>
      <c r="D4874" s="211">
        <f>'IWP13'!G$390</f>
        <v>0</v>
      </c>
      <c r="E4874" s="211" t="str">
        <f>'IWP13'!H$390</f>
        <v>E.</v>
      </c>
      <c r="F4874" s="211" t="str">
        <f>'IWP13'!I$390</f>
        <v>F.</v>
      </c>
      <c r="G4874" s="191" t="str">
        <f>IF('IWP13'!J$390=0,"",'IWP13'!J$390)</f>
        <v>G.</v>
      </c>
      <c r="H4874" s="211">
        <f>'IWP13'!K$390</f>
        <v>0</v>
      </c>
      <c r="I4874" s="211" t="str">
        <f>'IWP13'!L$390</f>
        <v>H.</v>
      </c>
      <c r="J4874" s="212" t="str">
        <f>'IWP13'!M$390</f>
        <v>I.</v>
      </c>
      <c r="K4874" s="106"/>
      <c r="L4874" s="106"/>
      <c r="M4874" s="129"/>
    </row>
    <row r="4875" spans="1:13" s="146" customFormat="1">
      <c r="A4875" s="193" t="s">
        <v>511</v>
      </c>
      <c r="B4875" s="210">
        <v>3</v>
      </c>
      <c r="C4875" s="191" t="str">
        <f>IF('IWP13'!E$391=0,"",'IWP13'!E$391)</f>
        <v xml:space="preserve">Items/Services Related to Billing Period </v>
      </c>
      <c r="D4875" s="211">
        <f>'IWP13'!G$391</f>
        <v>0</v>
      </c>
      <c r="E4875" s="211" t="str">
        <f>'IWP13'!H$391</f>
        <v xml:space="preserve">Item/
Service Verified Amounts
</v>
      </c>
      <c r="F4875" s="211" t="str">
        <f>'IWP13'!I$391</f>
        <v>Amount Due to DADS (E. - D.)</v>
      </c>
      <c r="G4875" s="191" t="str">
        <f>IF('IWP13'!J$391=0,"",'IWP13'!J$391)</f>
        <v>Amount Reimbursed to 
Employee(s)/Employer</v>
      </c>
      <c r="H4875" s="211">
        <f>'IWP13'!K$391</f>
        <v>0</v>
      </c>
      <c r="I4875" s="211" t="str">
        <f>'IWP13'!L$391</f>
        <v>Amount Due to Employee(s) (G. - E.)</v>
      </c>
      <c r="J4875" s="212" t="str">
        <f>'IWP13'!M$391</f>
        <v>Amount Due to Employer (G. - E.)</v>
      </c>
      <c r="K4875" s="106"/>
      <c r="L4875" s="106"/>
      <c r="M4875" s="129"/>
    </row>
    <row r="4876" spans="1:13" s="146" customFormat="1">
      <c r="A4876" s="193" t="s">
        <v>511</v>
      </c>
      <c r="B4876" s="210">
        <v>3</v>
      </c>
      <c r="C4876" s="191" t="str">
        <f>IF('IWP13'!E$392=0,"",'IWP13'!E$392)</f>
        <v>Item/Service</v>
      </c>
      <c r="D4876" s="211" t="str">
        <f>'IWP13'!G$392</f>
        <v>Itemized Amount Paid by DADS</v>
      </c>
      <c r="E4876" s="211">
        <f>'IWP13'!H$392</f>
        <v>0</v>
      </c>
      <c r="F4876" s="211">
        <f>'IWP13'!I$392</f>
        <v>0</v>
      </c>
      <c r="G4876" s="191" t="str">
        <f>IF('IWP13'!J$392=0,"",'IWP13'!J$392)</f>
        <v/>
      </c>
      <c r="H4876" s="211">
        <f>'IWP13'!K$392</f>
        <v>0</v>
      </c>
      <c r="I4876" s="211">
        <f>'IWP13'!L$392</f>
        <v>0</v>
      </c>
      <c r="J4876" s="212">
        <f>'IWP13'!M$392</f>
        <v>0</v>
      </c>
      <c r="K4876" s="106"/>
      <c r="L4876" s="106"/>
      <c r="M4876" s="129"/>
    </row>
    <row r="4877" spans="1:13" s="146" customFormat="1">
      <c r="A4877" s="193" t="s">
        <v>511</v>
      </c>
      <c r="B4877" s="210">
        <v>3</v>
      </c>
      <c r="C4877" s="191" t="str">
        <f>IF('IWP13'!E$393=0,"",'IWP13'!E$393)</f>
        <v/>
      </c>
      <c r="D4877" s="211">
        <f>'IWP13'!G$393</f>
        <v>0</v>
      </c>
      <c r="E4877" s="211">
        <f>'IWP13'!H$393</f>
        <v>0</v>
      </c>
      <c r="F4877" s="211">
        <f>'IWP13'!I$393</f>
        <v>0</v>
      </c>
      <c r="G4877" s="191" t="str">
        <f>IF('IWP13'!J$393=0,"",'IWP13'!J$393)</f>
        <v/>
      </c>
      <c r="H4877" s="211">
        <f>'IWP13'!K$393</f>
        <v>0</v>
      </c>
      <c r="I4877" s="211">
        <f>'IWP13'!L$393</f>
        <v>0</v>
      </c>
      <c r="J4877" s="212">
        <f>'IWP13'!M$393</f>
        <v>0</v>
      </c>
      <c r="K4877" s="106"/>
      <c r="L4877" s="106"/>
      <c r="M4877" s="129"/>
    </row>
    <row r="4878" spans="1:13" s="146" customFormat="1">
      <c r="A4878" s="193" t="s">
        <v>511</v>
      </c>
      <c r="B4878" s="210">
        <v>3</v>
      </c>
      <c r="C4878" s="191" t="str">
        <f>IF('IWP13'!E$394=0,"",'IWP13'!E$394)</f>
        <v/>
      </c>
      <c r="D4878" s="211">
        <f>'IWP13'!G$394</f>
        <v>0</v>
      </c>
      <c r="E4878" s="211">
        <f>'IWP13'!H$394</f>
        <v>0</v>
      </c>
      <c r="F4878" s="211">
        <f>'IWP13'!I$394</f>
        <v>0</v>
      </c>
      <c r="G4878" s="191" t="str">
        <f>IF('IWP13'!J$394=0,"",'IWP13'!J$394)</f>
        <v/>
      </c>
      <c r="H4878" s="211">
        <f>'IWP13'!K$394</f>
        <v>0</v>
      </c>
      <c r="I4878" s="211">
        <f>'IWP13'!L$394</f>
        <v>0</v>
      </c>
      <c r="J4878" s="212">
        <f>'IWP13'!M$394</f>
        <v>0</v>
      </c>
      <c r="K4878" s="106"/>
      <c r="L4878" s="106"/>
      <c r="M4878" s="129"/>
    </row>
    <row r="4879" spans="1:13" s="146" customFormat="1">
      <c r="A4879" s="193" t="s">
        <v>511</v>
      </c>
      <c r="B4879" s="210">
        <v>3</v>
      </c>
      <c r="C4879" s="191" t="str">
        <f>IF('IWP13'!E$395=0,"",'IWP13'!E$395)</f>
        <v/>
      </c>
      <c r="D4879" s="211">
        <f>'IWP13'!G$395</f>
        <v>0</v>
      </c>
      <c r="E4879" s="211">
        <f>'IWP13'!H$395</f>
        <v>0</v>
      </c>
      <c r="F4879" s="211">
        <f>'IWP13'!I$395</f>
        <v>0</v>
      </c>
      <c r="G4879" s="191" t="str">
        <f>IF('IWP13'!J$395=0,"",'IWP13'!J$395)</f>
        <v/>
      </c>
      <c r="H4879" s="211">
        <f>'IWP13'!K$395</f>
        <v>0</v>
      </c>
      <c r="I4879" s="211">
        <f>'IWP13'!L$395</f>
        <v>0</v>
      </c>
      <c r="J4879" s="212">
        <f>'IWP13'!M$395</f>
        <v>0</v>
      </c>
      <c r="K4879" s="106"/>
      <c r="L4879" s="106"/>
      <c r="M4879" s="129"/>
    </row>
    <row r="4880" spans="1:13" s="146" customFormat="1">
      <c r="A4880" s="193" t="s">
        <v>511</v>
      </c>
      <c r="B4880" s="210">
        <v>3</v>
      </c>
      <c r="C4880" s="191" t="str">
        <f>IF('IWP13'!E$396=0,"",'IWP13'!E$396)</f>
        <v/>
      </c>
      <c r="D4880" s="211">
        <f>'IWP13'!G$396</f>
        <v>0</v>
      </c>
      <c r="E4880" s="211">
        <f>'IWP13'!H$396</f>
        <v>0</v>
      </c>
      <c r="F4880" s="211">
        <f>'IWP13'!I$396</f>
        <v>0</v>
      </c>
      <c r="G4880" s="191" t="str">
        <f>IF('IWP13'!J$396=0,"",'IWP13'!J$396)</f>
        <v/>
      </c>
      <c r="H4880" s="211">
        <f>'IWP13'!K$396</f>
        <v>0</v>
      </c>
      <c r="I4880" s="211">
        <f>'IWP13'!L$396</f>
        <v>0</v>
      </c>
      <c r="J4880" s="212">
        <f>'IWP13'!M$396</f>
        <v>0</v>
      </c>
      <c r="K4880" s="106"/>
      <c r="L4880" s="106"/>
      <c r="M4880" s="129"/>
    </row>
    <row r="4881" spans="1:13" s="146" customFormat="1">
      <c r="A4881" s="193" t="s">
        <v>511</v>
      </c>
      <c r="B4881" s="210">
        <v>4</v>
      </c>
      <c r="C4881" s="191" t="str">
        <f>IF('IWP13'!E$403=0,"",'IWP13'!E$403)</f>
        <v>Subtotal column D.</v>
      </c>
      <c r="D4881" s="211">
        <f>'IWP13'!G$403</f>
        <v>0</v>
      </c>
      <c r="E4881" s="211">
        <f>'IWP13'!H$403</f>
        <v>0</v>
      </c>
      <c r="F4881" s="211">
        <f>'IWP13'!I$403</f>
        <v>0</v>
      </c>
      <c r="G4881" s="191" t="str">
        <f>IF('IWP13'!J$403=0,"",'IWP13'!J$403)</f>
        <v/>
      </c>
      <c r="H4881" s="211">
        <f>'IWP13'!K$403</f>
        <v>0</v>
      </c>
      <c r="I4881" s="211">
        <f>'IWP13'!L$403</f>
        <v>0</v>
      </c>
      <c r="J4881" s="212">
        <f>'IWP13'!M$403</f>
        <v>0</v>
      </c>
      <c r="K4881" s="106"/>
      <c r="L4881" s="106"/>
      <c r="M4881" s="129"/>
    </row>
    <row r="4882" spans="1:13" s="146" customFormat="1">
      <c r="A4882" s="193" t="s">
        <v>511</v>
      </c>
      <c r="B4882" s="210">
        <v>4</v>
      </c>
      <c r="C4882" s="191" t="str">
        <f>IF('IWP13'!E$404=0,"",'IWP13'!E$404)</f>
        <v>Unverified/Undocumented (Subtotal D - C)</v>
      </c>
      <c r="D4882" s="211">
        <f>'IWP13'!G$404</f>
        <v>0</v>
      </c>
      <c r="E4882" s="211">
        <f>'IWP13'!H$404</f>
        <v>0</v>
      </c>
      <c r="F4882" s="211">
        <f>'IWP13'!I$404</f>
        <v>0</v>
      </c>
      <c r="G4882" s="191" t="str">
        <f>IF('IWP13'!J$404=0,"",'IWP13'!J$404)</f>
        <v/>
      </c>
      <c r="H4882" s="211">
        <f>'IWP13'!K$404</f>
        <v>0</v>
      </c>
      <c r="I4882" s="211">
        <f>'IWP13'!L$404</f>
        <v>0</v>
      </c>
      <c r="J4882" s="212">
        <f>'IWP13'!M$404</f>
        <v>0</v>
      </c>
      <c r="K4882" s="106"/>
      <c r="L4882" s="106"/>
      <c r="M4882" s="129"/>
    </row>
    <row r="4883" spans="1:13" s="146" customFormat="1">
      <c r="A4883" s="193" t="s">
        <v>511</v>
      </c>
      <c r="B4883" s="210">
        <v>4</v>
      </c>
      <c r="C4883" s="191" t="str">
        <f>IF('IWP13'!E$405=0,"",'IWP13'!E$405)</f>
        <v>J. Billing Period Total</v>
      </c>
      <c r="D4883" s="211">
        <f>'IWP13'!G$405</f>
        <v>0</v>
      </c>
      <c r="E4883" s="211">
        <f>'IWP13'!H$405</f>
        <v>0</v>
      </c>
      <c r="F4883" s="211">
        <f>'IWP13'!I$405</f>
        <v>0</v>
      </c>
      <c r="G4883" s="191" t="str">
        <f>IF('IWP13'!J$405=0,"",'IWP13'!J$405)</f>
        <v/>
      </c>
      <c r="H4883" s="211">
        <f>'IWP13'!K$405</f>
        <v>0</v>
      </c>
      <c r="I4883" s="211">
        <f>'IWP13'!L$405</f>
        <v>0</v>
      </c>
      <c r="J4883" s="212">
        <f>'IWP13'!M$405</f>
        <v>0</v>
      </c>
      <c r="K4883" s="106"/>
      <c r="L4883" s="106"/>
      <c r="M4883" s="129"/>
    </row>
    <row r="4884" spans="1:13" s="146" customFormat="1">
      <c r="A4884" s="193" t="s">
        <v>511</v>
      </c>
      <c r="B4884" s="210">
        <v>4</v>
      </c>
      <c r="C4884" s="191" t="str">
        <f>IF('IWP13'!E$406=0,"",'IWP13'!E$406)</f>
        <v>D.</v>
      </c>
      <c r="D4884" s="211">
        <f>'IWP13'!G$406</f>
        <v>0</v>
      </c>
      <c r="E4884" s="211" t="str">
        <f>'IWP13'!H$406</f>
        <v>E.</v>
      </c>
      <c r="F4884" s="211" t="str">
        <f>'IWP13'!I$406</f>
        <v>F.</v>
      </c>
      <c r="G4884" s="191" t="str">
        <f>IF('IWP13'!J$406=0,"",'IWP13'!J$406)</f>
        <v>G.</v>
      </c>
      <c r="H4884" s="211">
        <f>'IWP13'!K$406</f>
        <v>0</v>
      </c>
      <c r="I4884" s="211" t="str">
        <f>'IWP13'!L$406</f>
        <v>H.</v>
      </c>
      <c r="J4884" s="212" t="str">
        <f>'IWP13'!M$406</f>
        <v>I.</v>
      </c>
      <c r="K4884" s="106"/>
      <c r="L4884" s="106"/>
      <c r="M4884" s="129"/>
    </row>
    <row r="4885" spans="1:13" s="146" customFormat="1">
      <c r="A4885" s="193" t="s">
        <v>511</v>
      </c>
      <c r="B4885" s="210">
        <v>4</v>
      </c>
      <c r="C4885" s="191" t="str">
        <f>IF('IWP13'!E$407=0,"",'IWP13'!E$407)</f>
        <v xml:space="preserve">Items/Services Related to Billing Period </v>
      </c>
      <c r="D4885" s="211">
        <f>'IWP13'!G$407</f>
        <v>0</v>
      </c>
      <c r="E4885" s="211" t="str">
        <f>'IWP13'!H$407</f>
        <v xml:space="preserve">Item/
Service Verified Amounts
</v>
      </c>
      <c r="F4885" s="211" t="str">
        <f>'IWP13'!I$407</f>
        <v>Amount Due to DADS (E. - D.)</v>
      </c>
      <c r="G4885" s="191" t="str">
        <f>IF('IWP13'!J$407=0,"",'IWP13'!J$407)</f>
        <v>Amount Reimbursed to 
Employee(s)/Employer</v>
      </c>
      <c r="H4885" s="211">
        <f>'IWP13'!K$407</f>
        <v>0</v>
      </c>
      <c r="I4885" s="211" t="str">
        <f>'IWP13'!L$407</f>
        <v>Amount Due to Employee(s) (G. - E.)</v>
      </c>
      <c r="J4885" s="212" t="str">
        <f>'IWP13'!M$407</f>
        <v>Amount Due to Employer (G. - E.)</v>
      </c>
      <c r="K4885" s="106"/>
      <c r="L4885" s="106"/>
      <c r="M4885" s="129"/>
    </row>
    <row r="4886" spans="1:13" s="146" customFormat="1">
      <c r="A4886" s="193" t="s">
        <v>511</v>
      </c>
      <c r="B4886" s="210">
        <v>4</v>
      </c>
      <c r="C4886" s="191" t="str">
        <f>IF('IWP13'!E$408=0,"",'IWP13'!E$408)</f>
        <v>Item/Service</v>
      </c>
      <c r="D4886" s="211" t="str">
        <f>'IWP13'!G$408</f>
        <v>Itemized Amount Paid by DADS</v>
      </c>
      <c r="E4886" s="211">
        <f>'IWP13'!H$408</f>
        <v>0</v>
      </c>
      <c r="F4886" s="211">
        <f>'IWP13'!I$408</f>
        <v>0</v>
      </c>
      <c r="G4886" s="191" t="str">
        <f>IF('IWP13'!J$408=0,"",'IWP13'!J$408)</f>
        <v/>
      </c>
      <c r="H4886" s="211">
        <f>'IWP13'!K$408</f>
        <v>0</v>
      </c>
      <c r="I4886" s="211">
        <f>'IWP13'!L$408</f>
        <v>0</v>
      </c>
      <c r="J4886" s="212">
        <f>'IWP13'!M$408</f>
        <v>0</v>
      </c>
      <c r="K4886" s="106"/>
      <c r="L4886" s="106"/>
      <c r="M4886" s="129"/>
    </row>
    <row r="4887" spans="1:13" s="146" customFormat="1">
      <c r="A4887" s="193" t="s">
        <v>511</v>
      </c>
      <c r="B4887" s="210">
        <v>4</v>
      </c>
      <c r="C4887" s="191" t="str">
        <f>IF('IWP13'!E$409=0,"",'IWP13'!E$409)</f>
        <v/>
      </c>
      <c r="D4887" s="211">
        <f>'IWP13'!G$409</f>
        <v>0</v>
      </c>
      <c r="E4887" s="211">
        <f>'IWP13'!H$409</f>
        <v>0</v>
      </c>
      <c r="F4887" s="211">
        <f>'IWP13'!I$409</f>
        <v>0</v>
      </c>
      <c r="G4887" s="191" t="str">
        <f>IF('IWP13'!J$409=0,"",'IWP13'!J$409)</f>
        <v/>
      </c>
      <c r="H4887" s="211">
        <f>'IWP13'!K$409</f>
        <v>0</v>
      </c>
      <c r="I4887" s="211">
        <f>'IWP13'!L$409</f>
        <v>0</v>
      </c>
      <c r="J4887" s="212">
        <f>'IWP13'!M$409</f>
        <v>0</v>
      </c>
      <c r="K4887" s="106"/>
      <c r="L4887" s="106"/>
      <c r="M4887" s="129"/>
    </row>
    <row r="4888" spans="1:13" s="146" customFormat="1">
      <c r="A4888" s="193" t="s">
        <v>511</v>
      </c>
      <c r="B4888" s="210">
        <v>4</v>
      </c>
      <c r="C4888" s="191" t="str">
        <f>IF('IWP13'!E$410=0,"",'IWP13'!E$410)</f>
        <v/>
      </c>
      <c r="D4888" s="211">
        <f>'IWP13'!G$410</f>
        <v>0</v>
      </c>
      <c r="E4888" s="211">
        <f>'IWP13'!H$410</f>
        <v>0</v>
      </c>
      <c r="F4888" s="211">
        <f>'IWP13'!I$410</f>
        <v>0</v>
      </c>
      <c r="G4888" s="191" t="str">
        <f>IF('IWP13'!J$410=0,"",'IWP13'!J$410)</f>
        <v/>
      </c>
      <c r="H4888" s="211">
        <f>'IWP13'!K$410</f>
        <v>0</v>
      </c>
      <c r="I4888" s="211">
        <f>'IWP13'!L$410</f>
        <v>0</v>
      </c>
      <c r="J4888" s="212">
        <f>'IWP13'!M$410</f>
        <v>0</v>
      </c>
      <c r="K4888" s="106"/>
      <c r="L4888" s="106"/>
      <c r="M4888" s="129"/>
    </row>
    <row r="4889" spans="1:13" s="146" customFormat="1">
      <c r="A4889" s="193" t="s">
        <v>511</v>
      </c>
      <c r="B4889" s="210">
        <v>4</v>
      </c>
      <c r="C4889" s="191" t="str">
        <f>IF('IWP13'!E$411=0,"",'IWP13'!E$411)</f>
        <v/>
      </c>
      <c r="D4889" s="211">
        <f>'IWP13'!G$411</f>
        <v>0</v>
      </c>
      <c r="E4889" s="211">
        <f>'IWP13'!H$411</f>
        <v>0</v>
      </c>
      <c r="F4889" s="211">
        <f>'IWP13'!I$411</f>
        <v>0</v>
      </c>
      <c r="G4889" s="191" t="str">
        <f>IF('IWP13'!J$411=0,"",'IWP13'!J$411)</f>
        <v/>
      </c>
      <c r="H4889" s="211">
        <f>'IWP13'!K$411</f>
        <v>0</v>
      </c>
      <c r="I4889" s="211">
        <f>'IWP13'!L$411</f>
        <v>0</v>
      </c>
      <c r="J4889" s="212">
        <f>'IWP13'!M$411</f>
        <v>0</v>
      </c>
      <c r="K4889" s="106"/>
      <c r="L4889" s="106"/>
      <c r="M4889" s="129"/>
    </row>
    <row r="4890" spans="1:13" s="146" customFormat="1">
      <c r="A4890" s="193" t="s">
        <v>511</v>
      </c>
      <c r="B4890" s="210">
        <v>4</v>
      </c>
      <c r="C4890" s="191" t="str">
        <f>IF('IWP13'!E$412=0,"",'IWP13'!E$412)</f>
        <v/>
      </c>
      <c r="D4890" s="211">
        <f>'IWP13'!G$412</f>
        <v>0</v>
      </c>
      <c r="E4890" s="211">
        <f>'IWP13'!H$412</f>
        <v>0</v>
      </c>
      <c r="F4890" s="211">
        <f>'IWP13'!I$412</f>
        <v>0</v>
      </c>
      <c r="G4890" s="191" t="str">
        <f>IF('IWP13'!J$412=0,"",'IWP13'!J$412)</f>
        <v/>
      </c>
      <c r="H4890" s="211">
        <f>'IWP13'!K$412</f>
        <v>0</v>
      </c>
      <c r="I4890" s="211">
        <f>'IWP13'!L$412</f>
        <v>0</v>
      </c>
      <c r="J4890" s="212">
        <f>'IWP13'!M$412</f>
        <v>0</v>
      </c>
      <c r="K4890" s="106"/>
      <c r="L4890" s="106"/>
      <c r="M4890" s="129"/>
    </row>
    <row r="4891" spans="1:13" s="146" customFormat="1">
      <c r="A4891" s="193" t="s">
        <v>511</v>
      </c>
      <c r="B4891" s="210">
        <v>5</v>
      </c>
      <c r="C4891" s="191" t="str">
        <f>IF('IWP13'!E$419=0,"",'IWP13'!E$419)</f>
        <v>Subtotal column D.</v>
      </c>
      <c r="D4891" s="211">
        <f>'IWP13'!G$419</f>
        <v>0</v>
      </c>
      <c r="E4891" s="211">
        <f>'IWP13'!H$419</f>
        <v>0</v>
      </c>
      <c r="F4891" s="211">
        <f>'IWP13'!I$419</f>
        <v>0</v>
      </c>
      <c r="G4891" s="191" t="str">
        <f>IF('IWP13'!J$419=0,"",'IWP13'!J$419)</f>
        <v/>
      </c>
      <c r="H4891" s="211">
        <f>'IWP13'!K$419</f>
        <v>0</v>
      </c>
      <c r="I4891" s="211">
        <f>'IWP13'!L$419</f>
        <v>0</v>
      </c>
      <c r="J4891" s="212">
        <f>'IWP13'!M$419</f>
        <v>0</v>
      </c>
      <c r="K4891" s="106"/>
      <c r="L4891" s="106"/>
      <c r="M4891" s="129"/>
    </row>
    <row r="4892" spans="1:13" s="146" customFormat="1">
      <c r="A4892" s="193" t="s">
        <v>511</v>
      </c>
      <c r="B4892" s="210">
        <v>5</v>
      </c>
      <c r="C4892" s="191" t="str">
        <f>IF('IWP13'!E$420=0,"",'IWP13'!E$420)</f>
        <v>Unverified/Undocumented (Subtotal D - C)</v>
      </c>
      <c r="D4892" s="211">
        <f>'IWP13'!G$420</f>
        <v>0</v>
      </c>
      <c r="E4892" s="211">
        <f>'IWP13'!H$420</f>
        <v>0</v>
      </c>
      <c r="F4892" s="211">
        <f>'IWP13'!I$420</f>
        <v>0</v>
      </c>
      <c r="G4892" s="191" t="str">
        <f>IF('IWP13'!J$420=0,"",'IWP13'!J$420)</f>
        <v/>
      </c>
      <c r="H4892" s="211">
        <f>'IWP13'!K$420</f>
        <v>0</v>
      </c>
      <c r="I4892" s="211">
        <f>'IWP13'!L$420</f>
        <v>0</v>
      </c>
      <c r="J4892" s="212">
        <f>'IWP13'!M$420</f>
        <v>0</v>
      </c>
      <c r="K4892" s="106"/>
      <c r="L4892" s="106"/>
      <c r="M4892" s="129"/>
    </row>
    <row r="4893" spans="1:13" s="146" customFormat="1">
      <c r="A4893" s="193" t="s">
        <v>511</v>
      </c>
      <c r="B4893" s="210">
        <v>5</v>
      </c>
      <c r="C4893" s="191" t="str">
        <f>IF('IWP13'!E$421=0,"",'IWP13'!E$421)</f>
        <v>J. Billing Period Total</v>
      </c>
      <c r="D4893" s="211">
        <f>'IWP13'!G$421</f>
        <v>0</v>
      </c>
      <c r="E4893" s="211">
        <f>'IWP13'!H$421</f>
        <v>0</v>
      </c>
      <c r="F4893" s="211">
        <f>'IWP13'!I$421</f>
        <v>0</v>
      </c>
      <c r="G4893" s="191" t="str">
        <f>IF('IWP13'!J$421=0,"",'IWP13'!J$421)</f>
        <v/>
      </c>
      <c r="H4893" s="211">
        <f>'IWP13'!K$421</f>
        <v>0</v>
      </c>
      <c r="I4893" s="211">
        <f>'IWP13'!L$421</f>
        <v>0</v>
      </c>
      <c r="J4893" s="212">
        <f>'IWP13'!M$421</f>
        <v>0</v>
      </c>
      <c r="K4893" s="106"/>
      <c r="L4893" s="106"/>
      <c r="M4893" s="129"/>
    </row>
    <row r="4894" spans="1:13" s="146" customFormat="1">
      <c r="A4894" s="193" t="s">
        <v>511</v>
      </c>
      <c r="B4894" s="210">
        <v>5</v>
      </c>
      <c r="C4894" s="191" t="str">
        <f>IF('IWP13'!E$422=0,"",'IWP13'!E$422)</f>
        <v>D.</v>
      </c>
      <c r="D4894" s="211">
        <f>'IWP13'!G$422</f>
        <v>0</v>
      </c>
      <c r="E4894" s="211" t="str">
        <f>'IWP13'!H$422</f>
        <v>E.</v>
      </c>
      <c r="F4894" s="211" t="str">
        <f>'IWP13'!I$422</f>
        <v>F.</v>
      </c>
      <c r="G4894" s="191" t="str">
        <f>IF('IWP13'!J$422=0,"",'IWP13'!J$422)</f>
        <v>G.</v>
      </c>
      <c r="H4894" s="211">
        <f>'IWP13'!K$422</f>
        <v>0</v>
      </c>
      <c r="I4894" s="211" t="str">
        <f>'IWP13'!L$422</f>
        <v>H.</v>
      </c>
      <c r="J4894" s="212" t="str">
        <f>'IWP13'!M$422</f>
        <v>I.</v>
      </c>
      <c r="K4894" s="106"/>
      <c r="L4894" s="106"/>
      <c r="M4894" s="129"/>
    </row>
    <row r="4895" spans="1:13" s="146" customFormat="1">
      <c r="A4895" s="193" t="s">
        <v>511</v>
      </c>
      <c r="B4895" s="210">
        <v>5</v>
      </c>
      <c r="C4895" s="191" t="str">
        <f>IF('IWP13'!E$423=0,"",'IWP13'!E$423)</f>
        <v xml:space="preserve">Items/Services Related to Billing Period </v>
      </c>
      <c r="D4895" s="211">
        <f>'IWP13'!G$423</f>
        <v>0</v>
      </c>
      <c r="E4895" s="211" t="str">
        <f>'IWP13'!H$423</f>
        <v xml:space="preserve">Item/
Service Verified Amounts
</v>
      </c>
      <c r="F4895" s="211" t="str">
        <f>'IWP13'!I$423</f>
        <v>Amount Due to DADS (E. - D.)</v>
      </c>
      <c r="G4895" s="191" t="str">
        <f>IF('IWP13'!J$423=0,"",'IWP13'!J$423)</f>
        <v>Amount Reimbursed to 
Employee(s)/Employer</v>
      </c>
      <c r="H4895" s="211">
        <f>'IWP13'!K$423</f>
        <v>0</v>
      </c>
      <c r="I4895" s="211" t="str">
        <f>'IWP13'!L$423</f>
        <v>Amount Due to Employee(s) (G. - E.)</v>
      </c>
      <c r="J4895" s="212" t="str">
        <f>'IWP13'!M$423</f>
        <v>Amount Due to Employer (G. - E.)</v>
      </c>
      <c r="K4895" s="106"/>
      <c r="L4895" s="106"/>
      <c r="M4895" s="129"/>
    </row>
    <row r="4896" spans="1:13" s="146" customFormat="1">
      <c r="A4896" s="193" t="s">
        <v>511</v>
      </c>
      <c r="B4896" s="210">
        <v>5</v>
      </c>
      <c r="C4896" s="191" t="str">
        <f>IF('IWP13'!E$424=0,"",'IWP13'!E$424)</f>
        <v>Item/Service</v>
      </c>
      <c r="D4896" s="211" t="str">
        <f>'IWP13'!G$424</f>
        <v>Itemized Amount Paid by DADS</v>
      </c>
      <c r="E4896" s="211">
        <f>'IWP13'!H$424</f>
        <v>0</v>
      </c>
      <c r="F4896" s="211">
        <f>'IWP13'!I$424</f>
        <v>0</v>
      </c>
      <c r="G4896" s="191" t="str">
        <f>IF('IWP13'!J$424=0,"",'IWP13'!J$424)</f>
        <v/>
      </c>
      <c r="H4896" s="211">
        <f>'IWP13'!K$424</f>
        <v>0</v>
      </c>
      <c r="I4896" s="211">
        <f>'IWP13'!L$424</f>
        <v>0</v>
      </c>
      <c r="J4896" s="212">
        <f>'IWP13'!M$424</f>
        <v>0</v>
      </c>
      <c r="K4896" s="106"/>
      <c r="L4896" s="106"/>
      <c r="M4896" s="129"/>
    </row>
    <row r="4897" spans="1:13" s="146" customFormat="1">
      <c r="A4897" s="193" t="s">
        <v>511</v>
      </c>
      <c r="B4897" s="210">
        <v>5</v>
      </c>
      <c r="C4897" s="191" t="str">
        <f>IF('IWP13'!E$425=0,"",'IWP13'!E$425)</f>
        <v/>
      </c>
      <c r="D4897" s="211">
        <f>'IWP13'!G$425</f>
        <v>0</v>
      </c>
      <c r="E4897" s="211">
        <f>'IWP13'!H$425</f>
        <v>0</v>
      </c>
      <c r="F4897" s="211">
        <f>'IWP13'!I$425</f>
        <v>0</v>
      </c>
      <c r="G4897" s="191" t="str">
        <f>IF('IWP13'!J$425=0,"",'IWP13'!J$425)</f>
        <v/>
      </c>
      <c r="H4897" s="211">
        <f>'IWP13'!K$425</f>
        <v>0</v>
      </c>
      <c r="I4897" s="211">
        <f>'IWP13'!L$425</f>
        <v>0</v>
      </c>
      <c r="J4897" s="212">
        <f>'IWP13'!M$425</f>
        <v>0</v>
      </c>
      <c r="K4897" s="106"/>
      <c r="L4897" s="106"/>
      <c r="M4897" s="129"/>
    </row>
    <row r="4898" spans="1:13" s="146" customFormat="1">
      <c r="A4898" s="193" t="s">
        <v>511</v>
      </c>
      <c r="B4898" s="210">
        <v>5</v>
      </c>
      <c r="C4898" s="191" t="str">
        <f>IF('IWP13'!E$426=0,"",'IWP13'!E$426)</f>
        <v/>
      </c>
      <c r="D4898" s="211">
        <f>'IWP13'!G$426</f>
        <v>0</v>
      </c>
      <c r="E4898" s="211">
        <f>'IWP13'!H$426</f>
        <v>0</v>
      </c>
      <c r="F4898" s="211">
        <f>'IWP13'!I$426</f>
        <v>0</v>
      </c>
      <c r="G4898" s="191" t="str">
        <f>IF('IWP13'!J$426=0,"",'IWP13'!J$426)</f>
        <v/>
      </c>
      <c r="H4898" s="211">
        <f>'IWP13'!K$426</f>
        <v>0</v>
      </c>
      <c r="I4898" s="211">
        <f>'IWP13'!L$426</f>
        <v>0</v>
      </c>
      <c r="J4898" s="212">
        <f>'IWP13'!M$426</f>
        <v>0</v>
      </c>
      <c r="K4898" s="106"/>
      <c r="L4898" s="106"/>
      <c r="M4898" s="129"/>
    </row>
    <row r="4899" spans="1:13" s="146" customFormat="1">
      <c r="A4899" s="193" t="s">
        <v>511</v>
      </c>
      <c r="B4899" s="210">
        <v>5</v>
      </c>
      <c r="C4899" s="191" t="str">
        <f>IF('IWP13'!E$427=0,"",'IWP13'!E$427)</f>
        <v/>
      </c>
      <c r="D4899" s="211">
        <f>'IWP13'!G$427</f>
        <v>0</v>
      </c>
      <c r="E4899" s="211">
        <f>'IWP13'!H$427</f>
        <v>0</v>
      </c>
      <c r="F4899" s="211">
        <f>'IWP13'!I$427</f>
        <v>0</v>
      </c>
      <c r="G4899" s="191" t="str">
        <f>IF('IWP13'!J$427=0,"",'IWP13'!J$427)</f>
        <v/>
      </c>
      <c r="H4899" s="211">
        <f>'IWP13'!K$427</f>
        <v>0</v>
      </c>
      <c r="I4899" s="211">
        <f>'IWP13'!L$427</f>
        <v>0</v>
      </c>
      <c r="J4899" s="212">
        <f>'IWP13'!M$427</f>
        <v>0</v>
      </c>
      <c r="K4899" s="106"/>
      <c r="L4899" s="106"/>
      <c r="M4899" s="129"/>
    </row>
    <row r="4900" spans="1:13" s="146" customFormat="1">
      <c r="A4900" s="193" t="s">
        <v>511</v>
      </c>
      <c r="B4900" s="210">
        <v>5</v>
      </c>
      <c r="C4900" s="191" t="str">
        <f>IF('IWP13'!E$428=0,"",'IWP13'!E$428)</f>
        <v/>
      </c>
      <c r="D4900" s="211">
        <f>'IWP13'!G$428</f>
        <v>0</v>
      </c>
      <c r="E4900" s="211">
        <f>'IWP13'!H$428</f>
        <v>0</v>
      </c>
      <c r="F4900" s="211">
        <f>'IWP13'!I$428</f>
        <v>0</v>
      </c>
      <c r="G4900" s="191" t="str">
        <f>IF('IWP13'!J$428=0,"",'IWP13'!J$428)</f>
        <v/>
      </c>
      <c r="H4900" s="211">
        <f>'IWP13'!K$428</f>
        <v>0</v>
      </c>
      <c r="I4900" s="211">
        <f>'IWP13'!L$428</f>
        <v>0</v>
      </c>
      <c r="J4900" s="212">
        <f>'IWP13'!M$428</f>
        <v>0</v>
      </c>
      <c r="K4900" s="106"/>
      <c r="L4900" s="106"/>
      <c r="M4900" s="129"/>
    </row>
    <row r="4901" spans="1:13" s="146" customFormat="1">
      <c r="A4901" s="193" t="s">
        <v>511</v>
      </c>
      <c r="B4901" s="210">
        <v>6</v>
      </c>
      <c r="C4901" s="191" t="str">
        <f>IF('IWP13'!E$435=0,"",'IWP13'!E$435)</f>
        <v>Subtotal column D.</v>
      </c>
      <c r="D4901" s="211">
        <f>'IWP13'!G$435</f>
        <v>0</v>
      </c>
      <c r="E4901" s="211">
        <f>'IWP13'!H$435</f>
        <v>0</v>
      </c>
      <c r="F4901" s="211">
        <f>'IWP13'!I$435</f>
        <v>0</v>
      </c>
      <c r="G4901" s="191" t="str">
        <f>IF('IWP13'!J$435=0,"",'IWP13'!J$435)</f>
        <v/>
      </c>
      <c r="H4901" s="211">
        <f>'IWP13'!K$435</f>
        <v>0</v>
      </c>
      <c r="I4901" s="211">
        <f>'IWP13'!L$435</f>
        <v>0</v>
      </c>
      <c r="J4901" s="212">
        <f>'IWP13'!M$435</f>
        <v>0</v>
      </c>
      <c r="K4901" s="106"/>
      <c r="L4901" s="106"/>
      <c r="M4901" s="129"/>
    </row>
    <row r="4902" spans="1:13" s="146" customFormat="1">
      <c r="A4902" s="193" t="s">
        <v>511</v>
      </c>
      <c r="B4902" s="210">
        <v>6</v>
      </c>
      <c r="C4902" s="191" t="str">
        <f>IF('IWP13'!E$436=0,"",'IWP13'!E$436)</f>
        <v>Unverified/Undocumented (Subtotal D - C)</v>
      </c>
      <c r="D4902" s="211">
        <f>'IWP13'!G$436</f>
        <v>0</v>
      </c>
      <c r="E4902" s="211">
        <f>'IWP13'!H$436</f>
        <v>0</v>
      </c>
      <c r="F4902" s="211">
        <f>'IWP13'!I$436</f>
        <v>0</v>
      </c>
      <c r="G4902" s="191" t="str">
        <f>IF('IWP13'!J$436=0,"",'IWP13'!J$436)</f>
        <v/>
      </c>
      <c r="H4902" s="211">
        <f>'IWP13'!K$436</f>
        <v>0</v>
      </c>
      <c r="I4902" s="211">
        <f>'IWP13'!L$436</f>
        <v>0</v>
      </c>
      <c r="J4902" s="212">
        <f>'IWP13'!M$436</f>
        <v>0</v>
      </c>
      <c r="K4902" s="106"/>
      <c r="L4902" s="106"/>
      <c r="M4902" s="129"/>
    </row>
    <row r="4903" spans="1:13" s="146" customFormat="1">
      <c r="A4903" s="193" t="s">
        <v>511</v>
      </c>
      <c r="B4903" s="210">
        <v>6</v>
      </c>
      <c r="C4903" s="191" t="str">
        <f>IF('IWP13'!E$437=0,"",'IWP13'!E$437)</f>
        <v>J. Billing Period Total</v>
      </c>
      <c r="D4903" s="211">
        <f>'IWP13'!G$437</f>
        <v>0</v>
      </c>
      <c r="E4903" s="211">
        <f>'IWP13'!H$437</f>
        <v>0</v>
      </c>
      <c r="F4903" s="211">
        <f>'IWP13'!I$437</f>
        <v>0</v>
      </c>
      <c r="G4903" s="191" t="str">
        <f>IF('IWP13'!J$437=0,"",'IWP13'!J$437)</f>
        <v/>
      </c>
      <c r="H4903" s="211">
        <f>'IWP13'!K$437</f>
        <v>0</v>
      </c>
      <c r="I4903" s="211">
        <f>'IWP13'!L$437</f>
        <v>0</v>
      </c>
      <c r="J4903" s="212">
        <f>'IWP13'!M$437</f>
        <v>0</v>
      </c>
      <c r="K4903" s="106"/>
      <c r="L4903" s="106"/>
      <c r="M4903" s="129"/>
    </row>
    <row r="4904" spans="1:13" s="146" customFormat="1">
      <c r="A4904" s="193" t="s">
        <v>511</v>
      </c>
      <c r="B4904" s="210">
        <v>6</v>
      </c>
      <c r="C4904" s="191" t="str">
        <f>IF('IWP13'!E$438=0,"",'IWP13'!E$438)</f>
        <v>D.</v>
      </c>
      <c r="D4904" s="211">
        <f>'IWP13'!G$438</f>
        <v>0</v>
      </c>
      <c r="E4904" s="211" t="str">
        <f>'IWP13'!H$438</f>
        <v>E.</v>
      </c>
      <c r="F4904" s="211" t="str">
        <f>'IWP13'!I$438</f>
        <v>F.</v>
      </c>
      <c r="G4904" s="191" t="str">
        <f>IF('IWP13'!J$438=0,"",'IWP13'!J$438)</f>
        <v>G.</v>
      </c>
      <c r="H4904" s="211">
        <f>'IWP13'!K$438</f>
        <v>0</v>
      </c>
      <c r="I4904" s="211" t="str">
        <f>'IWP13'!L$438</f>
        <v>H.</v>
      </c>
      <c r="J4904" s="212" t="str">
        <f>'IWP13'!M$438</f>
        <v>I.</v>
      </c>
      <c r="K4904" s="106"/>
      <c r="L4904" s="106"/>
      <c r="M4904" s="129"/>
    </row>
    <row r="4905" spans="1:13" s="146" customFormat="1">
      <c r="A4905" s="193" t="s">
        <v>511</v>
      </c>
      <c r="B4905" s="210">
        <v>6</v>
      </c>
      <c r="C4905" s="191" t="str">
        <f>IF('IWP13'!E$439=0,"",'IWP13'!E$439)</f>
        <v xml:space="preserve">Items/Services Related to Billing Period </v>
      </c>
      <c r="D4905" s="211">
        <f>'IWP13'!G$439</f>
        <v>0</v>
      </c>
      <c r="E4905" s="211" t="str">
        <f>'IWP13'!H$439</f>
        <v xml:space="preserve">Item/
Service Verified Amounts
</v>
      </c>
      <c r="F4905" s="211" t="str">
        <f>'IWP13'!I$439</f>
        <v>Amount Due to DADS (E. - D.)</v>
      </c>
      <c r="G4905" s="191" t="str">
        <f>IF('IWP13'!J$439=0,"",'IWP13'!J$439)</f>
        <v>Amount Reimbursed to 
Employee(s)/Employer</v>
      </c>
      <c r="H4905" s="211">
        <f>'IWP13'!K$439</f>
        <v>0</v>
      </c>
      <c r="I4905" s="211" t="str">
        <f>'IWP13'!L$439</f>
        <v>Amount Due to Employee(s) (G. - E.)</v>
      </c>
      <c r="J4905" s="212" t="str">
        <f>'IWP13'!M$439</f>
        <v>Amount Due to Employer (G. - E.)</v>
      </c>
      <c r="K4905" s="106"/>
      <c r="L4905" s="106"/>
      <c r="M4905" s="129"/>
    </row>
    <row r="4906" spans="1:13" s="146" customFormat="1">
      <c r="A4906" s="193" t="s">
        <v>511</v>
      </c>
      <c r="B4906" s="210">
        <v>6</v>
      </c>
      <c r="C4906" s="191" t="str">
        <f>IF('IWP13'!E$440=0,"",'IWP13'!E$440)</f>
        <v>Item/Service</v>
      </c>
      <c r="D4906" s="211" t="str">
        <f>'IWP13'!G$440</f>
        <v>Itemized Amount Paid by DADS</v>
      </c>
      <c r="E4906" s="211">
        <f>'IWP13'!H$440</f>
        <v>0</v>
      </c>
      <c r="F4906" s="211">
        <f>'IWP13'!I$440</f>
        <v>0</v>
      </c>
      <c r="G4906" s="191" t="str">
        <f>IF('IWP13'!J$440=0,"",'IWP13'!J$440)</f>
        <v/>
      </c>
      <c r="H4906" s="211">
        <f>'IWP13'!K$440</f>
        <v>0</v>
      </c>
      <c r="I4906" s="211">
        <f>'IWP13'!L$440</f>
        <v>0</v>
      </c>
      <c r="J4906" s="212">
        <f>'IWP13'!M$440</f>
        <v>0</v>
      </c>
      <c r="K4906" s="106"/>
      <c r="L4906" s="106"/>
      <c r="M4906" s="129"/>
    </row>
    <row r="4907" spans="1:13" s="146" customFormat="1">
      <c r="A4907" s="193" t="s">
        <v>511</v>
      </c>
      <c r="B4907" s="210">
        <v>6</v>
      </c>
      <c r="C4907" s="191" t="str">
        <f>IF('IWP13'!E$441=0,"",'IWP13'!E$441)</f>
        <v/>
      </c>
      <c r="D4907" s="211">
        <f>'IWP13'!G$441</f>
        <v>0</v>
      </c>
      <c r="E4907" s="211">
        <f>'IWP13'!H$441</f>
        <v>0</v>
      </c>
      <c r="F4907" s="211">
        <f>'IWP13'!I$441</f>
        <v>0</v>
      </c>
      <c r="G4907" s="191" t="str">
        <f>IF('IWP13'!J$441=0,"",'IWP13'!J$441)</f>
        <v/>
      </c>
      <c r="H4907" s="211">
        <f>'IWP13'!K$441</f>
        <v>0</v>
      </c>
      <c r="I4907" s="211">
        <f>'IWP13'!L$441</f>
        <v>0</v>
      </c>
      <c r="J4907" s="212">
        <f>'IWP13'!M$441</f>
        <v>0</v>
      </c>
      <c r="K4907" s="106"/>
      <c r="L4907" s="106"/>
      <c r="M4907" s="129"/>
    </row>
    <row r="4908" spans="1:13" s="146" customFormat="1">
      <c r="A4908" s="193" t="s">
        <v>511</v>
      </c>
      <c r="B4908" s="210">
        <v>6</v>
      </c>
      <c r="C4908" s="191" t="str">
        <f>IF('IWP13'!E$442=0,"",'IWP13'!E$442)</f>
        <v/>
      </c>
      <c r="D4908" s="211">
        <f>'IWP13'!G$442</f>
        <v>0</v>
      </c>
      <c r="E4908" s="211">
        <f>'IWP13'!H$442</f>
        <v>0</v>
      </c>
      <c r="F4908" s="211">
        <f>'IWP13'!I$442</f>
        <v>0</v>
      </c>
      <c r="G4908" s="191" t="str">
        <f>IF('IWP13'!J$442=0,"",'IWP13'!J$442)</f>
        <v/>
      </c>
      <c r="H4908" s="211">
        <f>'IWP13'!K$442</f>
        <v>0</v>
      </c>
      <c r="I4908" s="211">
        <f>'IWP13'!L$442</f>
        <v>0</v>
      </c>
      <c r="J4908" s="212">
        <f>'IWP13'!M$442</f>
        <v>0</v>
      </c>
      <c r="K4908" s="106"/>
      <c r="L4908" s="106"/>
      <c r="M4908" s="129"/>
    </row>
    <row r="4909" spans="1:13" s="146" customFormat="1">
      <c r="A4909" s="193" t="s">
        <v>511</v>
      </c>
      <c r="B4909" s="210">
        <v>6</v>
      </c>
      <c r="C4909" s="191" t="str">
        <f>IF('IWP13'!E$443=0,"",'IWP13'!E$443)</f>
        <v/>
      </c>
      <c r="D4909" s="211">
        <f>'IWP13'!G$443</f>
        <v>0</v>
      </c>
      <c r="E4909" s="211">
        <f>'IWP13'!H$443</f>
        <v>0</v>
      </c>
      <c r="F4909" s="211">
        <f>'IWP13'!I$443</f>
        <v>0</v>
      </c>
      <c r="G4909" s="191" t="str">
        <f>IF('IWP13'!J$443=0,"",'IWP13'!J$443)</f>
        <v/>
      </c>
      <c r="H4909" s="211">
        <f>'IWP13'!K$443</f>
        <v>0</v>
      </c>
      <c r="I4909" s="211">
        <f>'IWP13'!L$443</f>
        <v>0</v>
      </c>
      <c r="J4909" s="212">
        <f>'IWP13'!M$443</f>
        <v>0</v>
      </c>
      <c r="K4909" s="106"/>
      <c r="L4909" s="106"/>
      <c r="M4909" s="129"/>
    </row>
    <row r="4910" spans="1:13" s="146" customFormat="1">
      <c r="A4910" s="193" t="s">
        <v>511</v>
      </c>
      <c r="B4910" s="210">
        <v>6</v>
      </c>
      <c r="C4910" s="191" t="str">
        <f>IF('IWP13'!E$444=0,"",'IWP13'!E$444)</f>
        <v/>
      </c>
      <c r="D4910" s="211">
        <f>'IWP13'!G$444</f>
        <v>0</v>
      </c>
      <c r="E4910" s="211">
        <f>'IWP13'!H$444</f>
        <v>0</v>
      </c>
      <c r="F4910" s="211">
        <f>'IWP13'!I$444</f>
        <v>0</v>
      </c>
      <c r="G4910" s="191" t="str">
        <f>IF('IWP13'!J$444=0,"",'IWP13'!J$444)</f>
        <v/>
      </c>
      <c r="H4910" s="211">
        <f>'IWP13'!K$444</f>
        <v>0</v>
      </c>
      <c r="I4910" s="211">
        <f>'IWP13'!L$444</f>
        <v>0</v>
      </c>
      <c r="J4910" s="212">
        <f>'IWP13'!M$444</f>
        <v>0</v>
      </c>
      <c r="K4910" s="106"/>
      <c r="L4910" s="106"/>
      <c r="M4910" s="129"/>
    </row>
    <row r="4911" spans="1:13" s="146" customFormat="1">
      <c r="A4911" s="193" t="s">
        <v>511</v>
      </c>
      <c r="B4911" s="210">
        <v>7</v>
      </c>
      <c r="C4911" s="191" t="str">
        <f>IF('IWP13'!E$451=0,"",'IWP13'!E$451)</f>
        <v>Subtotal column D.</v>
      </c>
      <c r="D4911" s="211">
        <f>'IWP13'!G$451</f>
        <v>0</v>
      </c>
      <c r="E4911" s="211">
        <f>'IWP13'!H$451</f>
        <v>0</v>
      </c>
      <c r="F4911" s="211">
        <f>'IWP13'!I$451</f>
        <v>0</v>
      </c>
      <c r="G4911" s="191" t="str">
        <f>IF('IWP13'!J$451=0,"",'IWP13'!J$451)</f>
        <v/>
      </c>
      <c r="H4911" s="211">
        <f>'IWP13'!K$451</f>
        <v>0</v>
      </c>
      <c r="I4911" s="211">
        <f>'IWP13'!L$451</f>
        <v>0</v>
      </c>
      <c r="J4911" s="212">
        <f>'IWP13'!M$451</f>
        <v>0</v>
      </c>
      <c r="K4911" s="106"/>
      <c r="L4911" s="106"/>
      <c r="M4911" s="129"/>
    </row>
    <row r="4912" spans="1:13" s="146" customFormat="1">
      <c r="A4912" s="193" t="s">
        <v>511</v>
      </c>
      <c r="B4912" s="210">
        <v>7</v>
      </c>
      <c r="C4912" s="191" t="str">
        <f>IF('IWP13'!E$452=0,"",'IWP13'!E$452)</f>
        <v>Unverified/Undocumented (Subtotal D - C)</v>
      </c>
      <c r="D4912" s="211">
        <f>'IWP13'!G$452</f>
        <v>0</v>
      </c>
      <c r="E4912" s="211">
        <f>'IWP13'!H$452</f>
        <v>0</v>
      </c>
      <c r="F4912" s="211">
        <f>'IWP13'!I$452</f>
        <v>0</v>
      </c>
      <c r="G4912" s="191" t="str">
        <f>IF('IWP13'!J$452=0,"",'IWP13'!J$452)</f>
        <v/>
      </c>
      <c r="H4912" s="211">
        <f>'IWP13'!K$452</f>
        <v>0</v>
      </c>
      <c r="I4912" s="211">
        <f>'IWP13'!L$452</f>
        <v>0</v>
      </c>
      <c r="J4912" s="212">
        <f>'IWP13'!M$452</f>
        <v>0</v>
      </c>
      <c r="K4912" s="106"/>
      <c r="L4912" s="106"/>
      <c r="M4912" s="129"/>
    </row>
    <row r="4913" spans="1:13" s="146" customFormat="1">
      <c r="A4913" s="193" t="s">
        <v>511</v>
      </c>
      <c r="B4913" s="210">
        <v>7</v>
      </c>
      <c r="C4913" s="191" t="str">
        <f>IF('IWP13'!E$453=0,"",'IWP13'!E$453)</f>
        <v>J. Billing Period Total</v>
      </c>
      <c r="D4913" s="211">
        <f>'IWP13'!G$453</f>
        <v>0</v>
      </c>
      <c r="E4913" s="211">
        <f>'IWP13'!H$453</f>
        <v>0</v>
      </c>
      <c r="F4913" s="211">
        <f>'IWP13'!I$453</f>
        <v>0</v>
      </c>
      <c r="G4913" s="191" t="str">
        <f>IF('IWP13'!J$453=0,"",'IWP13'!J$453)</f>
        <v/>
      </c>
      <c r="H4913" s="211">
        <f>'IWP13'!K$453</f>
        <v>0</v>
      </c>
      <c r="I4913" s="211">
        <f>'IWP13'!L$453</f>
        <v>0</v>
      </c>
      <c r="J4913" s="212">
        <f>'IWP13'!M$453</f>
        <v>0</v>
      </c>
      <c r="K4913" s="106"/>
      <c r="L4913" s="106"/>
      <c r="M4913" s="129"/>
    </row>
    <row r="4914" spans="1:13" s="146" customFormat="1">
      <c r="A4914" s="193" t="s">
        <v>511</v>
      </c>
      <c r="B4914" s="210">
        <v>7</v>
      </c>
      <c r="C4914" s="191" t="str">
        <f>IF('IWP13'!E$454=0,"",'IWP13'!E$454)</f>
        <v>D.</v>
      </c>
      <c r="D4914" s="211">
        <f>'IWP13'!G$454</f>
        <v>0</v>
      </c>
      <c r="E4914" s="211" t="str">
        <f>'IWP13'!H$454</f>
        <v>E.</v>
      </c>
      <c r="F4914" s="211" t="str">
        <f>'IWP13'!I$454</f>
        <v>F.</v>
      </c>
      <c r="G4914" s="191" t="str">
        <f>IF('IWP13'!J$454=0,"",'IWP13'!J$454)</f>
        <v>G.</v>
      </c>
      <c r="H4914" s="211">
        <f>'IWP13'!K$454</f>
        <v>0</v>
      </c>
      <c r="I4914" s="211" t="str">
        <f>'IWP13'!L$454</f>
        <v>H.</v>
      </c>
      <c r="J4914" s="212" t="str">
        <f>'IWP13'!M$454</f>
        <v>I.</v>
      </c>
      <c r="K4914" s="106"/>
      <c r="L4914" s="106"/>
      <c r="M4914" s="129"/>
    </row>
    <row r="4915" spans="1:13" s="146" customFormat="1">
      <c r="A4915" s="193" t="s">
        <v>511</v>
      </c>
      <c r="B4915" s="210">
        <v>7</v>
      </c>
      <c r="C4915" s="191" t="str">
        <f>IF('IWP13'!E$455=0,"",'IWP13'!E$455)</f>
        <v xml:space="preserve">Items/Services Related to Billing Period </v>
      </c>
      <c r="D4915" s="211">
        <f>'IWP13'!G$455</f>
        <v>0</v>
      </c>
      <c r="E4915" s="211" t="str">
        <f>'IWP13'!H$455</f>
        <v xml:space="preserve">Item/
Service Verified Amounts
</v>
      </c>
      <c r="F4915" s="211" t="str">
        <f>'IWP13'!I$455</f>
        <v>Amount Due to DADS (E. - D.)</v>
      </c>
      <c r="G4915" s="191" t="str">
        <f>IF('IWP13'!J$455=0,"",'IWP13'!J$455)</f>
        <v>Amount Reimbursed to 
Employee(s)/Employer</v>
      </c>
      <c r="H4915" s="211">
        <f>'IWP13'!K$455</f>
        <v>0</v>
      </c>
      <c r="I4915" s="211" t="str">
        <f>'IWP13'!L$455</f>
        <v>Amount Due to Employee(s) (G. - E.)</v>
      </c>
      <c r="J4915" s="212" t="str">
        <f>'IWP13'!M$455</f>
        <v>Amount Due to Employer (G. - E.)</v>
      </c>
      <c r="K4915" s="106"/>
      <c r="L4915" s="106"/>
      <c r="M4915" s="129"/>
    </row>
    <row r="4916" spans="1:13" s="146" customFormat="1">
      <c r="A4916" s="193" t="s">
        <v>511</v>
      </c>
      <c r="B4916" s="210">
        <v>7</v>
      </c>
      <c r="C4916" s="191" t="str">
        <f>IF('IWP13'!E$456=0,"",'IWP13'!E$456)</f>
        <v>Item/Service</v>
      </c>
      <c r="D4916" s="211" t="str">
        <f>'IWP13'!G$456</f>
        <v>Itemized Amount Paid by DADS</v>
      </c>
      <c r="E4916" s="211">
        <f>'IWP13'!H$456</f>
        <v>0</v>
      </c>
      <c r="F4916" s="211">
        <f>'IWP13'!I$456</f>
        <v>0</v>
      </c>
      <c r="G4916" s="191" t="str">
        <f>IF('IWP13'!J$456=0,"",'IWP13'!J$456)</f>
        <v/>
      </c>
      <c r="H4916" s="211">
        <f>'IWP13'!K$456</f>
        <v>0</v>
      </c>
      <c r="I4916" s="211">
        <f>'IWP13'!L$456</f>
        <v>0</v>
      </c>
      <c r="J4916" s="212">
        <f>'IWP13'!M$456</f>
        <v>0</v>
      </c>
      <c r="K4916" s="106"/>
      <c r="L4916" s="106"/>
      <c r="M4916" s="129"/>
    </row>
    <row r="4917" spans="1:13" s="146" customFormat="1">
      <c r="A4917" s="193" t="s">
        <v>511</v>
      </c>
      <c r="B4917" s="210">
        <v>7</v>
      </c>
      <c r="C4917" s="191" t="str">
        <f>IF('IWP13'!E$457=0,"",'IWP13'!E$457)</f>
        <v/>
      </c>
      <c r="D4917" s="211">
        <f>'IWP13'!G$457</f>
        <v>0</v>
      </c>
      <c r="E4917" s="211">
        <f>'IWP13'!H$457</f>
        <v>0</v>
      </c>
      <c r="F4917" s="211">
        <f>'IWP13'!I$457</f>
        <v>0</v>
      </c>
      <c r="G4917" s="191" t="str">
        <f>IF('IWP13'!J$457=0,"",'IWP13'!J$457)</f>
        <v/>
      </c>
      <c r="H4917" s="211">
        <f>'IWP13'!K$457</f>
        <v>0</v>
      </c>
      <c r="I4917" s="211">
        <f>'IWP13'!L$457</f>
        <v>0</v>
      </c>
      <c r="J4917" s="212">
        <f>'IWP13'!M$457</f>
        <v>0</v>
      </c>
      <c r="K4917" s="106"/>
      <c r="L4917" s="106"/>
      <c r="M4917" s="129"/>
    </row>
    <row r="4918" spans="1:13" s="146" customFormat="1">
      <c r="A4918" s="193" t="s">
        <v>511</v>
      </c>
      <c r="B4918" s="210">
        <v>7</v>
      </c>
      <c r="C4918" s="191" t="str">
        <f>IF('IWP13'!E$458=0,"",'IWP13'!E$458)</f>
        <v/>
      </c>
      <c r="D4918" s="211">
        <f>'IWP13'!G$458</f>
        <v>0</v>
      </c>
      <c r="E4918" s="211">
        <f>'IWP13'!H$458</f>
        <v>0</v>
      </c>
      <c r="F4918" s="211">
        <f>'IWP13'!I$458</f>
        <v>0</v>
      </c>
      <c r="G4918" s="191" t="str">
        <f>IF('IWP13'!J$458=0,"",'IWP13'!J$458)</f>
        <v/>
      </c>
      <c r="H4918" s="211">
        <f>'IWP13'!K$458</f>
        <v>0</v>
      </c>
      <c r="I4918" s="211">
        <f>'IWP13'!L$458</f>
        <v>0</v>
      </c>
      <c r="J4918" s="212">
        <f>'IWP13'!M$458</f>
        <v>0</v>
      </c>
      <c r="K4918" s="106"/>
      <c r="L4918" s="106"/>
      <c r="M4918" s="129"/>
    </row>
    <row r="4919" spans="1:13" s="146" customFormat="1">
      <c r="A4919" s="193" t="s">
        <v>511</v>
      </c>
      <c r="B4919" s="210">
        <v>7</v>
      </c>
      <c r="C4919" s="191" t="str">
        <f>IF('IWP13'!E$459=0,"",'IWP13'!E$459)</f>
        <v/>
      </c>
      <c r="D4919" s="211">
        <f>'IWP13'!G$459</f>
        <v>0</v>
      </c>
      <c r="E4919" s="211">
        <f>'IWP13'!H$459</f>
        <v>0</v>
      </c>
      <c r="F4919" s="211">
        <f>'IWP13'!I$459</f>
        <v>0</v>
      </c>
      <c r="G4919" s="191" t="str">
        <f>IF('IWP13'!J$459=0,"",'IWP13'!J$459)</f>
        <v/>
      </c>
      <c r="H4919" s="211">
        <f>'IWP13'!K$459</f>
        <v>0</v>
      </c>
      <c r="I4919" s="211">
        <f>'IWP13'!L$459</f>
        <v>0</v>
      </c>
      <c r="J4919" s="212">
        <f>'IWP13'!M$459</f>
        <v>0</v>
      </c>
      <c r="K4919" s="106"/>
      <c r="L4919" s="106"/>
      <c r="M4919" s="129"/>
    </row>
    <row r="4920" spans="1:13" s="146" customFormat="1">
      <c r="A4920" s="193" t="s">
        <v>511</v>
      </c>
      <c r="B4920" s="210">
        <v>7</v>
      </c>
      <c r="C4920" s="191" t="str">
        <f>IF('IWP13'!E$460=0,"",'IWP13'!E$460)</f>
        <v/>
      </c>
      <c r="D4920" s="211">
        <f>'IWP13'!G$460</f>
        <v>0</v>
      </c>
      <c r="E4920" s="211">
        <f>'IWP13'!H$460</f>
        <v>0</v>
      </c>
      <c r="F4920" s="211">
        <f>'IWP13'!I$460</f>
        <v>0</v>
      </c>
      <c r="G4920" s="191" t="str">
        <f>IF('IWP13'!J$460=0,"",'IWP13'!J$460)</f>
        <v/>
      </c>
      <c r="H4920" s="211">
        <f>'IWP13'!K$460</f>
        <v>0</v>
      </c>
      <c r="I4920" s="211">
        <f>'IWP13'!L$460</f>
        <v>0</v>
      </c>
      <c r="J4920" s="212">
        <f>'IWP13'!M$460</f>
        <v>0</v>
      </c>
      <c r="K4920" s="106"/>
      <c r="L4920" s="106"/>
      <c r="M4920" s="129"/>
    </row>
    <row r="4921" spans="1:13" s="146" customFormat="1">
      <c r="A4921" s="193" t="s">
        <v>511</v>
      </c>
      <c r="B4921" s="210">
        <v>8</v>
      </c>
      <c r="C4921" s="191" t="str">
        <f>IF('IWP13'!E$467=0,"",'IWP13'!E$467)</f>
        <v>Subtotal column D.</v>
      </c>
      <c r="D4921" s="211">
        <f>'IWP13'!G$467</f>
        <v>0</v>
      </c>
      <c r="E4921" s="211">
        <f>'IWP13'!H$467</f>
        <v>0</v>
      </c>
      <c r="F4921" s="211">
        <f>'IWP13'!I$467</f>
        <v>0</v>
      </c>
      <c r="G4921" s="191" t="str">
        <f>IF('IWP13'!J$467=0,"",'IWP13'!J$467)</f>
        <v/>
      </c>
      <c r="H4921" s="211">
        <f>'IWP13'!K$467</f>
        <v>0</v>
      </c>
      <c r="I4921" s="211">
        <f>'IWP13'!L$467</f>
        <v>0</v>
      </c>
      <c r="J4921" s="212">
        <f>'IWP13'!M$467</f>
        <v>0</v>
      </c>
      <c r="K4921" s="106"/>
      <c r="L4921" s="106"/>
      <c r="M4921" s="129"/>
    </row>
    <row r="4922" spans="1:13" s="146" customFormat="1">
      <c r="A4922" s="193" t="s">
        <v>511</v>
      </c>
      <c r="B4922" s="210">
        <v>8</v>
      </c>
      <c r="C4922" s="191" t="str">
        <f>IF('IWP13'!E$468=0,"",'IWP13'!E$468)</f>
        <v>Unverified/Undocumented (Subtotal D - C)</v>
      </c>
      <c r="D4922" s="211">
        <f>'IWP13'!G$468</f>
        <v>0</v>
      </c>
      <c r="E4922" s="211">
        <f>'IWP13'!H$468</f>
        <v>0</v>
      </c>
      <c r="F4922" s="211">
        <f>'IWP13'!I$468</f>
        <v>0</v>
      </c>
      <c r="G4922" s="191" t="str">
        <f>IF('IWP13'!J$468=0,"",'IWP13'!J$468)</f>
        <v/>
      </c>
      <c r="H4922" s="211">
        <f>'IWP13'!K$468</f>
        <v>0</v>
      </c>
      <c r="I4922" s="211">
        <f>'IWP13'!L$468</f>
        <v>0</v>
      </c>
      <c r="J4922" s="212">
        <f>'IWP13'!M$468</f>
        <v>0</v>
      </c>
      <c r="K4922" s="106"/>
      <c r="L4922" s="106"/>
      <c r="M4922" s="129"/>
    </row>
    <row r="4923" spans="1:13" s="146" customFormat="1">
      <c r="A4923" s="193" t="s">
        <v>511</v>
      </c>
      <c r="B4923" s="210">
        <v>8</v>
      </c>
      <c r="C4923" s="191" t="str">
        <f>IF('IWP13'!E$469=0,"",'IWP13'!E$469)</f>
        <v>J. Billing Period Total</v>
      </c>
      <c r="D4923" s="211">
        <f>'IWP13'!G$469</f>
        <v>0</v>
      </c>
      <c r="E4923" s="211">
        <f>'IWP13'!H$469</f>
        <v>0</v>
      </c>
      <c r="F4923" s="211">
        <f>'IWP13'!I$469</f>
        <v>0</v>
      </c>
      <c r="G4923" s="191" t="str">
        <f>IF('IWP13'!J$469=0,"",'IWP13'!J$469)</f>
        <v/>
      </c>
      <c r="H4923" s="211">
        <f>'IWP13'!K$469</f>
        <v>0</v>
      </c>
      <c r="I4923" s="211">
        <f>'IWP13'!L$469</f>
        <v>0</v>
      </c>
      <c r="J4923" s="212">
        <f>'IWP13'!M$469</f>
        <v>0</v>
      </c>
      <c r="K4923" s="106"/>
      <c r="L4923" s="106"/>
      <c r="M4923" s="129"/>
    </row>
    <row r="4924" spans="1:13" s="146" customFormat="1">
      <c r="A4924" s="193" t="s">
        <v>511</v>
      </c>
      <c r="B4924" s="210">
        <v>8</v>
      </c>
      <c r="C4924" s="191" t="str">
        <f>IF('IWP13'!E$470=0,"",'IWP13'!E$470)</f>
        <v>D.</v>
      </c>
      <c r="D4924" s="211">
        <f>'IWP13'!G$470</f>
        <v>0</v>
      </c>
      <c r="E4924" s="211" t="str">
        <f>'IWP13'!H$470</f>
        <v>E.</v>
      </c>
      <c r="F4924" s="211" t="str">
        <f>'IWP13'!I$470</f>
        <v>F.</v>
      </c>
      <c r="G4924" s="191" t="str">
        <f>IF('IWP13'!J$470=0,"",'IWP13'!J$470)</f>
        <v>G.</v>
      </c>
      <c r="H4924" s="211">
        <f>'IWP13'!K$470</f>
        <v>0</v>
      </c>
      <c r="I4924" s="211" t="str">
        <f>'IWP13'!L$470</f>
        <v>H.</v>
      </c>
      <c r="J4924" s="212" t="str">
        <f>'IWP13'!M$470</f>
        <v>I.</v>
      </c>
      <c r="K4924" s="106"/>
      <c r="L4924" s="106"/>
      <c r="M4924" s="129"/>
    </row>
    <row r="4925" spans="1:13" s="146" customFormat="1">
      <c r="A4925" s="193" t="s">
        <v>511</v>
      </c>
      <c r="B4925" s="210">
        <v>8</v>
      </c>
      <c r="C4925" s="191" t="str">
        <f>IF('IWP13'!E$471=0,"",'IWP13'!E$471)</f>
        <v xml:space="preserve">Items/Services Related to Billing Period </v>
      </c>
      <c r="D4925" s="211">
        <f>'IWP13'!G$471</f>
        <v>0</v>
      </c>
      <c r="E4925" s="211" t="str">
        <f>'IWP13'!H$471</f>
        <v xml:space="preserve">Item/
Service Verified Amounts
</v>
      </c>
      <c r="F4925" s="211" t="str">
        <f>'IWP13'!I$471</f>
        <v>Amount Due to DADS (E. - D.)</v>
      </c>
      <c r="G4925" s="191" t="str">
        <f>IF('IWP13'!J$471=0,"",'IWP13'!J$471)</f>
        <v>Amount Reimbursed to 
Employee(s)/Employer</v>
      </c>
      <c r="H4925" s="211">
        <f>'IWP13'!K$471</f>
        <v>0</v>
      </c>
      <c r="I4925" s="211" t="str">
        <f>'IWP13'!L$471</f>
        <v>Amount Due to Employee(s) (G. - E.)</v>
      </c>
      <c r="J4925" s="212" t="str">
        <f>'IWP13'!M$471</f>
        <v>Amount Due to Employer (G. - E.)</v>
      </c>
      <c r="K4925" s="106"/>
      <c r="L4925" s="106"/>
      <c r="M4925" s="129"/>
    </row>
    <row r="4926" spans="1:13" s="146" customFormat="1">
      <c r="A4926" s="193" t="s">
        <v>511</v>
      </c>
      <c r="B4926" s="210">
        <v>8</v>
      </c>
      <c r="C4926" s="191" t="str">
        <f>IF('IWP13'!E$472=0,"",'IWP13'!E$472)</f>
        <v>Item/Service</v>
      </c>
      <c r="D4926" s="211" t="str">
        <f>'IWP13'!G$472</f>
        <v>Itemized Amount Paid by DADS</v>
      </c>
      <c r="E4926" s="211">
        <f>'IWP13'!H$472</f>
        <v>0</v>
      </c>
      <c r="F4926" s="211">
        <f>'IWP13'!I$472</f>
        <v>0</v>
      </c>
      <c r="G4926" s="191" t="str">
        <f>IF('IWP13'!J$472=0,"",'IWP13'!J$472)</f>
        <v/>
      </c>
      <c r="H4926" s="211">
        <f>'IWP13'!K$472</f>
        <v>0</v>
      </c>
      <c r="I4926" s="211">
        <f>'IWP13'!L$472</f>
        <v>0</v>
      </c>
      <c r="J4926" s="212">
        <f>'IWP13'!M$472</f>
        <v>0</v>
      </c>
      <c r="K4926" s="106"/>
      <c r="L4926" s="106"/>
      <c r="M4926" s="129"/>
    </row>
    <row r="4927" spans="1:13" s="146" customFormat="1">
      <c r="A4927" s="193" t="s">
        <v>511</v>
      </c>
      <c r="B4927" s="210">
        <v>8</v>
      </c>
      <c r="C4927" s="191" t="str">
        <f>IF('IWP13'!E$473=0,"",'IWP13'!E$473)</f>
        <v/>
      </c>
      <c r="D4927" s="211">
        <f>'IWP13'!G$473</f>
        <v>0</v>
      </c>
      <c r="E4927" s="211">
        <f>'IWP13'!H$473</f>
        <v>0</v>
      </c>
      <c r="F4927" s="211">
        <f>'IWP13'!I$473</f>
        <v>0</v>
      </c>
      <c r="G4927" s="191" t="str">
        <f>IF('IWP13'!J$473=0,"",'IWP13'!J$473)</f>
        <v/>
      </c>
      <c r="H4927" s="211">
        <f>'IWP13'!K$473</f>
        <v>0</v>
      </c>
      <c r="I4927" s="211">
        <f>'IWP13'!L$473</f>
        <v>0</v>
      </c>
      <c r="J4927" s="212">
        <f>'IWP13'!M$473</f>
        <v>0</v>
      </c>
      <c r="K4927" s="106"/>
      <c r="L4927" s="106"/>
      <c r="M4927" s="129"/>
    </row>
    <row r="4928" spans="1:13" s="146" customFormat="1">
      <c r="A4928" s="193" t="s">
        <v>511</v>
      </c>
      <c r="B4928" s="210">
        <v>8</v>
      </c>
      <c r="C4928" s="191" t="str">
        <f>IF('IWP13'!E$474=0,"",'IWP13'!E$474)</f>
        <v/>
      </c>
      <c r="D4928" s="211">
        <f>'IWP13'!G$474</f>
        <v>0</v>
      </c>
      <c r="E4928" s="211">
        <f>'IWP13'!H$474</f>
        <v>0</v>
      </c>
      <c r="F4928" s="211">
        <f>'IWP13'!I$474</f>
        <v>0</v>
      </c>
      <c r="G4928" s="191" t="str">
        <f>IF('IWP13'!J$474=0,"",'IWP13'!J$474)</f>
        <v/>
      </c>
      <c r="H4928" s="211">
        <f>'IWP13'!K$474</f>
        <v>0</v>
      </c>
      <c r="I4928" s="211">
        <f>'IWP13'!L$474</f>
        <v>0</v>
      </c>
      <c r="J4928" s="212">
        <f>'IWP13'!M$474</f>
        <v>0</v>
      </c>
      <c r="K4928" s="106"/>
      <c r="L4928" s="106"/>
      <c r="M4928" s="129"/>
    </row>
    <row r="4929" spans="1:13" s="146" customFormat="1">
      <c r="A4929" s="193" t="s">
        <v>511</v>
      </c>
      <c r="B4929" s="210">
        <v>8</v>
      </c>
      <c r="C4929" s="191" t="str">
        <f>IF('IWP13'!E$475=0,"",'IWP13'!E$475)</f>
        <v/>
      </c>
      <c r="D4929" s="211">
        <f>'IWP13'!G$475</f>
        <v>0</v>
      </c>
      <c r="E4929" s="211">
        <f>'IWP13'!H$475</f>
        <v>0</v>
      </c>
      <c r="F4929" s="211">
        <f>'IWP13'!I$475</f>
        <v>0</v>
      </c>
      <c r="G4929" s="191" t="str">
        <f>IF('IWP13'!J$475=0,"",'IWP13'!J$475)</f>
        <v/>
      </c>
      <c r="H4929" s="211">
        <f>'IWP13'!K$475</f>
        <v>0</v>
      </c>
      <c r="I4929" s="211">
        <f>'IWP13'!L$475</f>
        <v>0</v>
      </c>
      <c r="J4929" s="212">
        <f>'IWP13'!M$475</f>
        <v>0</v>
      </c>
      <c r="K4929" s="106"/>
      <c r="L4929" s="106"/>
      <c r="M4929" s="129"/>
    </row>
    <row r="4930" spans="1:13" s="146" customFormat="1">
      <c r="A4930" s="193" t="s">
        <v>511</v>
      </c>
      <c r="B4930" s="210">
        <v>8</v>
      </c>
      <c r="C4930" s="191" t="str">
        <f>IF('IWP13'!E$476=0,"",'IWP13'!E$476)</f>
        <v/>
      </c>
      <c r="D4930" s="211">
        <f>'IWP13'!G$476</f>
        <v>0</v>
      </c>
      <c r="E4930" s="211">
        <f>'IWP13'!H$476</f>
        <v>0</v>
      </c>
      <c r="F4930" s="211">
        <f>'IWP13'!I$476</f>
        <v>0</v>
      </c>
      <c r="G4930" s="191" t="str">
        <f>IF('IWP13'!J$476=0,"",'IWP13'!J$476)</f>
        <v/>
      </c>
      <c r="H4930" s="211">
        <f>'IWP13'!K$476</f>
        <v>0</v>
      </c>
      <c r="I4930" s="211">
        <f>'IWP13'!L$476</f>
        <v>0</v>
      </c>
      <c r="J4930" s="212">
        <f>'IWP13'!M$476</f>
        <v>0</v>
      </c>
      <c r="K4930" s="106"/>
      <c r="L4930" s="106"/>
      <c r="M4930" s="129"/>
    </row>
    <row r="4931" spans="1:13" s="146" customFormat="1">
      <c r="A4931" s="193" t="s">
        <v>511</v>
      </c>
      <c r="B4931" s="210">
        <v>9</v>
      </c>
      <c r="C4931" s="191" t="str">
        <f>IF('IWP13'!E$483=0,"",'IWP13'!E$483)</f>
        <v>Subtotal column D.</v>
      </c>
      <c r="D4931" s="211">
        <f>'IWP13'!G$483</f>
        <v>0</v>
      </c>
      <c r="E4931" s="211">
        <f>'IWP13'!H$483</f>
        <v>0</v>
      </c>
      <c r="F4931" s="211">
        <f>'IWP13'!I$483</f>
        <v>0</v>
      </c>
      <c r="G4931" s="191" t="str">
        <f>IF('IWP13'!J$483=0,"",'IWP13'!J$483)</f>
        <v/>
      </c>
      <c r="H4931" s="211">
        <f>'IWP13'!K$483</f>
        <v>0</v>
      </c>
      <c r="I4931" s="211">
        <f>'IWP13'!L$483</f>
        <v>0</v>
      </c>
      <c r="J4931" s="212">
        <f>'IWP13'!M$483</f>
        <v>0</v>
      </c>
      <c r="K4931" s="106"/>
      <c r="L4931" s="106"/>
      <c r="M4931" s="129"/>
    </row>
    <row r="4932" spans="1:13" s="146" customFormat="1">
      <c r="A4932" s="193" t="s">
        <v>511</v>
      </c>
      <c r="B4932" s="210">
        <v>9</v>
      </c>
      <c r="C4932" s="191" t="str">
        <f>IF('IWP13'!E$484=0,"",'IWP13'!E$484)</f>
        <v>Unverified/Undocumented (Subtotal D - C)</v>
      </c>
      <c r="D4932" s="211">
        <f>'IWP13'!G$484</f>
        <v>0</v>
      </c>
      <c r="E4932" s="211">
        <f>'IWP13'!H$484</f>
        <v>0</v>
      </c>
      <c r="F4932" s="211">
        <f>'IWP13'!I$484</f>
        <v>0</v>
      </c>
      <c r="G4932" s="191" t="str">
        <f>IF('IWP13'!J$484=0,"",'IWP13'!J$484)</f>
        <v/>
      </c>
      <c r="H4932" s="211">
        <f>'IWP13'!K$484</f>
        <v>0</v>
      </c>
      <c r="I4932" s="211">
        <f>'IWP13'!L$484</f>
        <v>0</v>
      </c>
      <c r="J4932" s="212">
        <f>'IWP13'!M$484</f>
        <v>0</v>
      </c>
      <c r="K4932" s="106"/>
      <c r="L4932" s="106"/>
      <c r="M4932" s="129"/>
    </row>
    <row r="4933" spans="1:13" s="146" customFormat="1">
      <c r="A4933" s="193" t="s">
        <v>511</v>
      </c>
      <c r="B4933" s="210">
        <v>9</v>
      </c>
      <c r="C4933" s="191" t="str">
        <f>IF('IWP13'!E$485=0,"",'IWP13'!E$485)</f>
        <v>J. Billing Period Total</v>
      </c>
      <c r="D4933" s="211">
        <f>'IWP13'!G$485</f>
        <v>0</v>
      </c>
      <c r="E4933" s="211">
        <f>'IWP13'!H$485</f>
        <v>0</v>
      </c>
      <c r="F4933" s="211">
        <f>'IWP13'!I$485</f>
        <v>0</v>
      </c>
      <c r="G4933" s="191" t="str">
        <f>IF('IWP13'!J$485=0,"",'IWP13'!J$485)</f>
        <v/>
      </c>
      <c r="H4933" s="211">
        <f>'IWP13'!K$485</f>
        <v>0</v>
      </c>
      <c r="I4933" s="211">
        <f>'IWP13'!L$485</f>
        <v>0</v>
      </c>
      <c r="J4933" s="212">
        <f>'IWP13'!M$485</f>
        <v>0</v>
      </c>
      <c r="K4933" s="106"/>
      <c r="L4933" s="106"/>
      <c r="M4933" s="129"/>
    </row>
    <row r="4934" spans="1:13" s="146" customFormat="1">
      <c r="A4934" s="193" t="s">
        <v>511</v>
      </c>
      <c r="B4934" s="210">
        <v>9</v>
      </c>
      <c r="C4934" s="191" t="str">
        <f>IF('IWP13'!E$486=0,"",'IWP13'!E$486)</f>
        <v>D.</v>
      </c>
      <c r="D4934" s="211">
        <f>'IWP13'!G$486</f>
        <v>0</v>
      </c>
      <c r="E4934" s="211" t="str">
        <f>'IWP13'!H$486</f>
        <v>E.</v>
      </c>
      <c r="F4934" s="211" t="str">
        <f>'IWP13'!I$486</f>
        <v>F.</v>
      </c>
      <c r="G4934" s="191" t="str">
        <f>IF('IWP13'!J$486=0,"",'IWP13'!J$486)</f>
        <v>G.</v>
      </c>
      <c r="H4934" s="211">
        <f>'IWP13'!K$486</f>
        <v>0</v>
      </c>
      <c r="I4934" s="211" t="str">
        <f>'IWP13'!L$486</f>
        <v>H.</v>
      </c>
      <c r="J4934" s="212" t="str">
        <f>'IWP13'!M$486</f>
        <v>I.</v>
      </c>
      <c r="K4934" s="106"/>
      <c r="L4934" s="106"/>
      <c r="M4934" s="129"/>
    </row>
    <row r="4935" spans="1:13" s="146" customFormat="1">
      <c r="A4935" s="193" t="s">
        <v>511</v>
      </c>
      <c r="B4935" s="210">
        <v>9</v>
      </c>
      <c r="C4935" s="191" t="str">
        <f>IF('IWP13'!E$487=0,"",'IWP13'!E$487)</f>
        <v xml:space="preserve">Items/Services Related to Billing Period </v>
      </c>
      <c r="D4935" s="211">
        <f>'IWP13'!G$487</f>
        <v>0</v>
      </c>
      <c r="E4935" s="211" t="str">
        <f>'IWP13'!H$487</f>
        <v xml:space="preserve">Item/
Service Verified Amounts
</v>
      </c>
      <c r="F4935" s="211" t="str">
        <f>'IWP13'!I$487</f>
        <v>Amount Due to DADS (E. - D.)</v>
      </c>
      <c r="G4935" s="191" t="str">
        <f>IF('IWP13'!J$487=0,"",'IWP13'!J$487)</f>
        <v>Amount Reimbursed to 
Employee(s)/Employer</v>
      </c>
      <c r="H4935" s="211">
        <f>'IWP13'!K$487</f>
        <v>0</v>
      </c>
      <c r="I4935" s="211" t="str">
        <f>'IWP13'!L$487</f>
        <v>Amount Due to Employee(s) (G. - E.)</v>
      </c>
      <c r="J4935" s="212" t="str">
        <f>'IWP13'!M$487</f>
        <v>Amount Due to Employer (G. - E.)</v>
      </c>
      <c r="K4935" s="106"/>
      <c r="L4935" s="106"/>
      <c r="M4935" s="129"/>
    </row>
    <row r="4936" spans="1:13" s="146" customFormat="1">
      <c r="A4936" s="193" t="s">
        <v>511</v>
      </c>
      <c r="B4936" s="210">
        <v>9</v>
      </c>
      <c r="C4936" s="191" t="str">
        <f>IF('IWP13'!E$488=0,"",'IWP13'!E$488)</f>
        <v>Item/Service</v>
      </c>
      <c r="D4936" s="211" t="str">
        <f>'IWP13'!G$488</f>
        <v>Itemized Amount Paid by DADS</v>
      </c>
      <c r="E4936" s="211">
        <f>'IWP13'!H$488</f>
        <v>0</v>
      </c>
      <c r="F4936" s="211">
        <f>'IWP13'!I$488</f>
        <v>0</v>
      </c>
      <c r="G4936" s="191" t="str">
        <f>IF('IWP13'!J$488=0,"",'IWP13'!J$488)</f>
        <v/>
      </c>
      <c r="H4936" s="211">
        <f>'IWP13'!K$488</f>
        <v>0</v>
      </c>
      <c r="I4936" s="211">
        <f>'IWP13'!L$488</f>
        <v>0</v>
      </c>
      <c r="J4936" s="212">
        <f>'IWP13'!M$488</f>
        <v>0</v>
      </c>
      <c r="K4936" s="106"/>
      <c r="L4936" s="106"/>
      <c r="M4936" s="129"/>
    </row>
    <row r="4937" spans="1:13" s="146" customFormat="1">
      <c r="A4937" s="193" t="s">
        <v>511</v>
      </c>
      <c r="B4937" s="210">
        <v>9</v>
      </c>
      <c r="C4937" s="191" t="str">
        <f>IF('IWP13'!E$489=0,"",'IWP13'!E$489)</f>
        <v/>
      </c>
      <c r="D4937" s="211">
        <f>'IWP13'!G$489</f>
        <v>0</v>
      </c>
      <c r="E4937" s="211">
        <f>'IWP13'!H$489</f>
        <v>0</v>
      </c>
      <c r="F4937" s="211">
        <f>'IWP13'!I$489</f>
        <v>0</v>
      </c>
      <c r="G4937" s="191" t="str">
        <f>IF('IWP13'!J$489=0,"",'IWP13'!J$489)</f>
        <v/>
      </c>
      <c r="H4937" s="211">
        <f>'IWP13'!K$489</f>
        <v>0</v>
      </c>
      <c r="I4937" s="211">
        <f>'IWP13'!L$489</f>
        <v>0</v>
      </c>
      <c r="J4937" s="212">
        <f>'IWP13'!M$489</f>
        <v>0</v>
      </c>
      <c r="K4937" s="106"/>
      <c r="L4937" s="106"/>
      <c r="M4937" s="129"/>
    </row>
    <row r="4938" spans="1:13" s="146" customFormat="1">
      <c r="A4938" s="193" t="s">
        <v>511</v>
      </c>
      <c r="B4938" s="210">
        <v>9</v>
      </c>
      <c r="C4938" s="191" t="str">
        <f>IF('IWP13'!E$490=0,"",'IWP13'!E$490)</f>
        <v/>
      </c>
      <c r="D4938" s="211">
        <f>'IWP13'!G$490</f>
        <v>0</v>
      </c>
      <c r="E4938" s="211">
        <f>'IWP13'!H$490</f>
        <v>0</v>
      </c>
      <c r="F4938" s="211">
        <f>'IWP13'!I$490</f>
        <v>0</v>
      </c>
      <c r="G4938" s="191" t="str">
        <f>IF('IWP13'!J$490=0,"",'IWP13'!J$490)</f>
        <v/>
      </c>
      <c r="H4938" s="211">
        <f>'IWP13'!K$490</f>
        <v>0</v>
      </c>
      <c r="I4938" s="211">
        <f>'IWP13'!L$490</f>
        <v>0</v>
      </c>
      <c r="J4938" s="212">
        <f>'IWP13'!M$490</f>
        <v>0</v>
      </c>
      <c r="K4938" s="106"/>
      <c r="L4938" s="106"/>
      <c r="M4938" s="129"/>
    </row>
    <row r="4939" spans="1:13" s="146" customFormat="1">
      <c r="A4939" s="193" t="s">
        <v>511</v>
      </c>
      <c r="B4939" s="210">
        <v>9</v>
      </c>
      <c r="C4939" s="191" t="str">
        <f>IF('IWP13'!E$491=0,"",'IWP13'!E$491)</f>
        <v/>
      </c>
      <c r="D4939" s="211">
        <f>'IWP13'!G$491</f>
        <v>0</v>
      </c>
      <c r="E4939" s="211">
        <f>'IWP13'!H$491</f>
        <v>0</v>
      </c>
      <c r="F4939" s="211">
        <f>'IWP13'!I$491</f>
        <v>0</v>
      </c>
      <c r="G4939" s="191" t="str">
        <f>IF('IWP13'!J$491=0,"",'IWP13'!J$491)</f>
        <v/>
      </c>
      <c r="H4939" s="211">
        <f>'IWP13'!K$491</f>
        <v>0</v>
      </c>
      <c r="I4939" s="211">
        <f>'IWP13'!L$491</f>
        <v>0</v>
      </c>
      <c r="J4939" s="212">
        <f>'IWP13'!M$491</f>
        <v>0</v>
      </c>
      <c r="K4939" s="106"/>
      <c r="L4939" s="106"/>
      <c r="M4939" s="129"/>
    </row>
    <row r="4940" spans="1:13" s="146" customFormat="1">
      <c r="A4940" s="193" t="s">
        <v>511</v>
      </c>
      <c r="B4940" s="210">
        <v>9</v>
      </c>
      <c r="C4940" s="191" t="str">
        <f>IF('IWP13'!E$492=0,"",'IWP13'!E$492)</f>
        <v/>
      </c>
      <c r="D4940" s="211">
        <f>'IWP13'!G$492</f>
        <v>0</v>
      </c>
      <c r="E4940" s="211">
        <f>'IWP13'!H$492</f>
        <v>0</v>
      </c>
      <c r="F4940" s="211">
        <f>'IWP13'!I$492</f>
        <v>0</v>
      </c>
      <c r="G4940" s="191" t="str">
        <f>IF('IWP13'!J$492=0,"",'IWP13'!J$492)</f>
        <v/>
      </c>
      <c r="H4940" s="211">
        <f>'IWP13'!K$492</f>
        <v>0</v>
      </c>
      <c r="I4940" s="211">
        <f>'IWP13'!L$492</f>
        <v>0</v>
      </c>
      <c r="J4940" s="212">
        <f>'IWP13'!M$492</f>
        <v>0</v>
      </c>
      <c r="K4940" s="106"/>
      <c r="L4940" s="106"/>
      <c r="M4940" s="129"/>
    </row>
    <row r="4941" spans="1:13" s="146" customFormat="1">
      <c r="A4941" s="193" t="s">
        <v>511</v>
      </c>
      <c r="B4941" s="210">
        <v>10</v>
      </c>
      <c r="C4941" s="191" t="str">
        <f>IF('IWP13'!E$499=0,"",'IWP13'!E$499)</f>
        <v>Subtotal column D.</v>
      </c>
      <c r="D4941" s="211">
        <f>'IWP13'!G$499</f>
        <v>0</v>
      </c>
      <c r="E4941" s="211">
        <f>'IWP13'!H$499</f>
        <v>0</v>
      </c>
      <c r="F4941" s="211">
        <f>'IWP13'!I$499</f>
        <v>0</v>
      </c>
      <c r="G4941" s="191" t="str">
        <f>IF('IWP13'!J$499=0,"",'IWP13'!J$499)</f>
        <v/>
      </c>
      <c r="H4941" s="211">
        <f>'IWP13'!K$499</f>
        <v>0</v>
      </c>
      <c r="I4941" s="211">
        <f>'IWP13'!L$499</f>
        <v>0</v>
      </c>
      <c r="J4941" s="212">
        <f>'IWP13'!M$499</f>
        <v>0</v>
      </c>
      <c r="K4941" s="106"/>
      <c r="L4941" s="106"/>
      <c r="M4941" s="129"/>
    </row>
    <row r="4942" spans="1:13" s="146" customFormat="1">
      <c r="A4942" s="193" t="s">
        <v>511</v>
      </c>
      <c r="B4942" s="210">
        <v>10</v>
      </c>
      <c r="C4942" s="191" t="str">
        <f>IF('IWP13'!E$500=0,"",'IWP13'!E$500)</f>
        <v>Unverified/Undocumented (Subtotal D - C)</v>
      </c>
      <c r="D4942" s="211">
        <f>'IWP13'!G$500</f>
        <v>0</v>
      </c>
      <c r="E4942" s="211">
        <f>'IWP13'!H$500</f>
        <v>0</v>
      </c>
      <c r="F4942" s="211">
        <f>'IWP13'!I$500</f>
        <v>0</v>
      </c>
      <c r="G4942" s="191" t="str">
        <f>IF('IWP13'!J$500=0,"",'IWP13'!J$500)</f>
        <v/>
      </c>
      <c r="H4942" s="211">
        <f>'IWP13'!K$500</f>
        <v>0</v>
      </c>
      <c r="I4942" s="211">
        <f>'IWP13'!L$500</f>
        <v>0</v>
      </c>
      <c r="J4942" s="212">
        <f>'IWP13'!M$500</f>
        <v>0</v>
      </c>
      <c r="K4942" s="106"/>
      <c r="L4942" s="106"/>
      <c r="M4942" s="129"/>
    </row>
    <row r="4943" spans="1:13" s="146" customFormat="1">
      <c r="A4943" s="193" t="s">
        <v>511</v>
      </c>
      <c r="B4943" s="210">
        <v>10</v>
      </c>
      <c r="C4943" s="191" t="str">
        <f>IF('IWP13'!E$501=0,"",'IWP13'!E$501)</f>
        <v>J. Billing Period Total</v>
      </c>
      <c r="D4943" s="211">
        <f>'IWP13'!G$501</f>
        <v>0</v>
      </c>
      <c r="E4943" s="211">
        <f>'IWP13'!H$501</f>
        <v>0</v>
      </c>
      <c r="F4943" s="211">
        <f>'IWP13'!I$501</f>
        <v>0</v>
      </c>
      <c r="G4943" s="191" t="str">
        <f>IF('IWP13'!J$501=0,"",'IWP13'!J$501)</f>
        <v/>
      </c>
      <c r="H4943" s="211">
        <f>'IWP13'!K$501</f>
        <v>0</v>
      </c>
      <c r="I4943" s="211">
        <f>'IWP13'!L$501</f>
        <v>0</v>
      </c>
      <c r="J4943" s="212">
        <f>'IWP13'!M$501</f>
        <v>0</v>
      </c>
      <c r="K4943" s="106"/>
      <c r="L4943" s="106"/>
      <c r="M4943" s="129"/>
    </row>
    <row r="4944" spans="1:13" s="146" customFormat="1">
      <c r="A4944" s="193" t="s">
        <v>511</v>
      </c>
      <c r="B4944" s="210">
        <v>10</v>
      </c>
      <c r="C4944" s="191" t="str">
        <f>IF('IWP13'!E$502=0,"",'IWP13'!E$502)</f>
        <v>D.</v>
      </c>
      <c r="D4944" s="211">
        <f>'IWP13'!G$502</f>
        <v>0</v>
      </c>
      <c r="E4944" s="211" t="str">
        <f>'IWP13'!H$502</f>
        <v>E.</v>
      </c>
      <c r="F4944" s="211" t="str">
        <f>'IWP13'!I$502</f>
        <v>F.</v>
      </c>
      <c r="G4944" s="191" t="str">
        <f>IF('IWP13'!J$502=0,"",'IWP13'!J$502)</f>
        <v>G.</v>
      </c>
      <c r="H4944" s="211">
        <f>'IWP13'!K$502</f>
        <v>0</v>
      </c>
      <c r="I4944" s="211" t="str">
        <f>'IWP13'!L$502</f>
        <v>H.</v>
      </c>
      <c r="J4944" s="212" t="str">
        <f>'IWP13'!M$502</f>
        <v>I.</v>
      </c>
      <c r="K4944" s="106"/>
      <c r="L4944" s="106"/>
      <c r="M4944" s="129"/>
    </row>
    <row r="4945" spans="1:13" s="146" customFormat="1">
      <c r="A4945" s="193" t="s">
        <v>511</v>
      </c>
      <c r="B4945" s="210">
        <v>10</v>
      </c>
      <c r="C4945" s="191" t="str">
        <f>IF('IWP13'!E$503=0,"",'IWP13'!E$503)</f>
        <v xml:space="preserve">Items/Services Related to Billing Period </v>
      </c>
      <c r="D4945" s="211">
        <f>'IWP13'!G$503</f>
        <v>0</v>
      </c>
      <c r="E4945" s="211" t="str">
        <f>'IWP13'!H$503</f>
        <v xml:space="preserve">Item/
Service Verified Amounts
</v>
      </c>
      <c r="F4945" s="211" t="str">
        <f>'IWP13'!I$503</f>
        <v>Amount Due to DADS (E. - D.)</v>
      </c>
      <c r="G4945" s="191" t="str">
        <f>IF('IWP13'!J$503=0,"",'IWP13'!J$503)</f>
        <v>Amount Reimbursed to 
Employee(s)/Employer</v>
      </c>
      <c r="H4945" s="211">
        <f>'IWP13'!K$503</f>
        <v>0</v>
      </c>
      <c r="I4945" s="211" t="str">
        <f>'IWP13'!L$503</f>
        <v>Amount Due to Employee(s) (G. - E.)</v>
      </c>
      <c r="J4945" s="212" t="str">
        <f>'IWP13'!M$503</f>
        <v>Amount Due to Employer (G. - E.)</v>
      </c>
      <c r="K4945" s="106"/>
      <c r="L4945" s="106"/>
      <c r="M4945" s="129"/>
    </row>
    <row r="4946" spans="1:13" s="146" customFormat="1">
      <c r="A4946" s="193" t="s">
        <v>511</v>
      </c>
      <c r="B4946" s="210">
        <v>10</v>
      </c>
      <c r="C4946" s="191" t="str">
        <f>IF('IWP13'!E$504=0,"",'IWP13'!E$504)</f>
        <v>Item/Service</v>
      </c>
      <c r="D4946" s="211" t="str">
        <f>'IWP13'!G$504</f>
        <v>Itemized Amount Paid by DADS</v>
      </c>
      <c r="E4946" s="211">
        <f>'IWP13'!H$504</f>
        <v>0</v>
      </c>
      <c r="F4946" s="211">
        <f>'IWP13'!I$504</f>
        <v>0</v>
      </c>
      <c r="G4946" s="191" t="str">
        <f>IF('IWP13'!J$504=0,"",'IWP13'!J$504)</f>
        <v/>
      </c>
      <c r="H4946" s="211">
        <f>'IWP13'!K$504</f>
        <v>0</v>
      </c>
      <c r="I4946" s="211">
        <f>'IWP13'!L$504</f>
        <v>0</v>
      </c>
      <c r="J4946" s="212">
        <f>'IWP13'!M$504</f>
        <v>0</v>
      </c>
      <c r="K4946" s="106"/>
      <c r="L4946" s="106"/>
      <c r="M4946" s="129"/>
    </row>
    <row r="4947" spans="1:13" s="146" customFormat="1">
      <c r="A4947" s="193" t="s">
        <v>511</v>
      </c>
      <c r="B4947" s="210">
        <v>10</v>
      </c>
      <c r="C4947" s="191" t="str">
        <f>IF('IWP13'!E$505=0,"",'IWP13'!E$505)</f>
        <v/>
      </c>
      <c r="D4947" s="211">
        <f>'IWP13'!G$505</f>
        <v>0</v>
      </c>
      <c r="E4947" s="211">
        <f>'IWP13'!H$505</f>
        <v>0</v>
      </c>
      <c r="F4947" s="211">
        <f>'IWP13'!I$505</f>
        <v>0</v>
      </c>
      <c r="G4947" s="191" t="str">
        <f>IF('IWP13'!J$505=0,"",'IWP13'!J$505)</f>
        <v/>
      </c>
      <c r="H4947" s="211">
        <f>'IWP13'!K$505</f>
        <v>0</v>
      </c>
      <c r="I4947" s="211">
        <f>'IWP13'!L$505</f>
        <v>0</v>
      </c>
      <c r="J4947" s="212">
        <f>'IWP13'!M$505</f>
        <v>0</v>
      </c>
      <c r="K4947" s="106"/>
      <c r="L4947" s="106"/>
      <c r="M4947" s="129"/>
    </row>
    <row r="4948" spans="1:13" s="146" customFormat="1">
      <c r="A4948" s="193" t="s">
        <v>511</v>
      </c>
      <c r="B4948" s="210">
        <v>10</v>
      </c>
      <c r="C4948" s="191" t="str">
        <f>IF('IWP13'!E$506=0,"",'IWP13'!E$506)</f>
        <v/>
      </c>
      <c r="D4948" s="211">
        <f>'IWP13'!G$506</f>
        <v>0</v>
      </c>
      <c r="E4948" s="211">
        <f>'IWP13'!H$506</f>
        <v>0</v>
      </c>
      <c r="F4948" s="211">
        <f>'IWP13'!I$506</f>
        <v>0</v>
      </c>
      <c r="G4948" s="191" t="str">
        <f>IF('IWP13'!J$506=0,"",'IWP13'!J$506)</f>
        <v/>
      </c>
      <c r="H4948" s="211">
        <f>'IWP13'!K$506</f>
        <v>0</v>
      </c>
      <c r="I4948" s="211">
        <f>'IWP13'!L$506</f>
        <v>0</v>
      </c>
      <c r="J4948" s="212">
        <f>'IWP13'!M$506</f>
        <v>0</v>
      </c>
      <c r="K4948" s="106"/>
      <c r="L4948" s="106"/>
      <c r="M4948" s="129"/>
    </row>
    <row r="4949" spans="1:13" s="146" customFormat="1">
      <c r="A4949" s="193" t="s">
        <v>511</v>
      </c>
      <c r="B4949" s="210">
        <v>10</v>
      </c>
      <c r="C4949" s="191" t="str">
        <f>IF('IWP13'!E$507=0,"",'IWP13'!E$507)</f>
        <v/>
      </c>
      <c r="D4949" s="211">
        <f>'IWP13'!G$507</f>
        <v>0</v>
      </c>
      <c r="E4949" s="211">
        <f>'IWP13'!H$507</f>
        <v>0</v>
      </c>
      <c r="F4949" s="211">
        <f>'IWP13'!I$507</f>
        <v>0</v>
      </c>
      <c r="G4949" s="191" t="str">
        <f>IF('IWP13'!J$507=0,"",'IWP13'!J$507)</f>
        <v/>
      </c>
      <c r="H4949" s="211">
        <f>'IWP13'!K$507</f>
        <v>0</v>
      </c>
      <c r="I4949" s="211">
        <f>'IWP13'!L$507</f>
        <v>0</v>
      </c>
      <c r="J4949" s="212">
        <f>'IWP13'!M$507</f>
        <v>0</v>
      </c>
      <c r="K4949" s="106"/>
      <c r="L4949" s="106"/>
      <c r="M4949" s="129"/>
    </row>
    <row r="4950" spans="1:13" s="146" customFormat="1">
      <c r="A4950" s="193" t="s">
        <v>511</v>
      </c>
      <c r="B4950" s="210">
        <v>10</v>
      </c>
      <c r="C4950" s="191" t="str">
        <f>IF('IWP13'!E$508=0,"",'IWP13'!E$508)</f>
        <v/>
      </c>
      <c r="D4950" s="211">
        <f>'IWP13'!G$508</f>
        <v>0</v>
      </c>
      <c r="E4950" s="211">
        <f>'IWP13'!H$508</f>
        <v>0</v>
      </c>
      <c r="F4950" s="211">
        <f>'IWP13'!I$508</f>
        <v>0</v>
      </c>
      <c r="G4950" s="191" t="str">
        <f>IF('IWP13'!J$508=0,"",'IWP13'!J$508)</f>
        <v/>
      </c>
      <c r="H4950" s="211">
        <f>'IWP13'!K$508</f>
        <v>0</v>
      </c>
      <c r="I4950" s="211">
        <f>'IWP13'!L$508</f>
        <v>0</v>
      </c>
      <c r="J4950" s="212">
        <f>'IWP13'!M$508</f>
        <v>0</v>
      </c>
      <c r="K4950" s="106"/>
      <c r="L4950" s="106"/>
      <c r="M4950" s="129"/>
    </row>
    <row r="4951" spans="1:13" s="146" customFormat="1">
      <c r="A4951" s="193" t="s">
        <v>511</v>
      </c>
      <c r="B4951" s="210">
        <v>11</v>
      </c>
      <c r="C4951" s="191" t="str">
        <f>IF('IWP13'!E$515=0,"",'IWP13'!E$515)</f>
        <v>Subtotal column D.</v>
      </c>
      <c r="D4951" s="211">
        <f>'IWP13'!G$515</f>
        <v>0</v>
      </c>
      <c r="E4951" s="211">
        <f>'IWP13'!H$515</f>
        <v>0</v>
      </c>
      <c r="F4951" s="211">
        <f>'IWP13'!I$515</f>
        <v>0</v>
      </c>
      <c r="G4951" s="191" t="str">
        <f>IF('IWP13'!J$515=0,"",'IWP13'!J$515)</f>
        <v/>
      </c>
      <c r="H4951" s="211">
        <f>'IWP13'!K$515</f>
        <v>0</v>
      </c>
      <c r="I4951" s="211">
        <f>'IWP13'!L$515</f>
        <v>0</v>
      </c>
      <c r="J4951" s="212">
        <f>'IWP13'!M$515</f>
        <v>0</v>
      </c>
      <c r="K4951" s="106"/>
      <c r="L4951" s="106"/>
      <c r="M4951" s="129"/>
    </row>
    <row r="4952" spans="1:13" s="146" customFormat="1">
      <c r="A4952" s="193" t="s">
        <v>511</v>
      </c>
      <c r="B4952" s="210">
        <v>11</v>
      </c>
      <c r="C4952" s="191" t="str">
        <f>IF('IWP13'!E$516=0,"",'IWP13'!E$516)</f>
        <v>Unverified/Undocumented (Subtotal D - C)</v>
      </c>
      <c r="D4952" s="211">
        <f>'IWP13'!G$516</f>
        <v>0</v>
      </c>
      <c r="E4952" s="211">
        <f>'IWP13'!H$516</f>
        <v>0</v>
      </c>
      <c r="F4952" s="211">
        <f>'IWP13'!I$516</f>
        <v>0</v>
      </c>
      <c r="G4952" s="191" t="str">
        <f>IF('IWP13'!J$516=0,"",'IWP13'!J$516)</f>
        <v/>
      </c>
      <c r="H4952" s="211">
        <f>'IWP13'!K$516</f>
        <v>0</v>
      </c>
      <c r="I4952" s="211">
        <f>'IWP13'!L$516</f>
        <v>0</v>
      </c>
      <c r="J4952" s="212">
        <f>'IWP13'!M$516</f>
        <v>0</v>
      </c>
      <c r="K4952" s="106"/>
      <c r="L4952" s="106"/>
      <c r="M4952" s="129"/>
    </row>
    <row r="4953" spans="1:13" s="146" customFormat="1">
      <c r="A4953" s="193" t="s">
        <v>511</v>
      </c>
      <c r="B4953" s="210">
        <v>11</v>
      </c>
      <c r="C4953" s="191" t="str">
        <f>IF('IWP13'!E$517=0,"",'IWP13'!E$517)</f>
        <v>J. Billing Period Total</v>
      </c>
      <c r="D4953" s="211">
        <f>'IWP13'!G$517</f>
        <v>0</v>
      </c>
      <c r="E4953" s="211">
        <f>'IWP13'!H$517</f>
        <v>0</v>
      </c>
      <c r="F4953" s="211">
        <f>'IWP13'!I$517</f>
        <v>0</v>
      </c>
      <c r="G4953" s="191" t="str">
        <f>IF('IWP13'!J$517=0,"",'IWP13'!J$517)</f>
        <v/>
      </c>
      <c r="H4953" s="211">
        <f>'IWP13'!K$517</f>
        <v>0</v>
      </c>
      <c r="I4953" s="211">
        <f>'IWP13'!L$517</f>
        <v>0</v>
      </c>
      <c r="J4953" s="212">
        <f>'IWP13'!M$517</f>
        <v>0</v>
      </c>
      <c r="K4953" s="106"/>
      <c r="L4953" s="106"/>
      <c r="M4953" s="129"/>
    </row>
    <row r="4954" spans="1:13" s="146" customFormat="1">
      <c r="A4954" s="193" t="s">
        <v>511</v>
      </c>
      <c r="B4954" s="210">
        <v>11</v>
      </c>
      <c r="C4954" s="191" t="str">
        <f>IF('IWP13'!E$518=0,"",'IWP13'!E$518)</f>
        <v>D.</v>
      </c>
      <c r="D4954" s="211">
        <f>'IWP13'!G$518</f>
        <v>0</v>
      </c>
      <c r="E4954" s="211" t="str">
        <f>'IWP13'!H$518</f>
        <v>E.</v>
      </c>
      <c r="F4954" s="211" t="str">
        <f>'IWP13'!I$518</f>
        <v>F.</v>
      </c>
      <c r="G4954" s="191" t="str">
        <f>IF('IWP13'!J$518=0,"",'IWP13'!J$518)</f>
        <v>G.</v>
      </c>
      <c r="H4954" s="211">
        <f>'IWP13'!K$518</f>
        <v>0</v>
      </c>
      <c r="I4954" s="211" t="str">
        <f>'IWP13'!L$518</f>
        <v>H.</v>
      </c>
      <c r="J4954" s="212" t="str">
        <f>'IWP13'!M$518</f>
        <v>I.</v>
      </c>
      <c r="K4954" s="106"/>
      <c r="L4954" s="106"/>
      <c r="M4954" s="129"/>
    </row>
    <row r="4955" spans="1:13" s="146" customFormat="1">
      <c r="A4955" s="193" t="s">
        <v>511</v>
      </c>
      <c r="B4955" s="210">
        <v>11</v>
      </c>
      <c r="C4955" s="191" t="str">
        <f>IF('IWP13'!E$519=0,"",'IWP13'!E$519)</f>
        <v xml:space="preserve">Items/Services Related to Billing Period </v>
      </c>
      <c r="D4955" s="211">
        <f>'IWP13'!G$519</f>
        <v>0</v>
      </c>
      <c r="E4955" s="211" t="str">
        <f>'IWP13'!H$519</f>
        <v xml:space="preserve">Item/
Service Verified Amounts
</v>
      </c>
      <c r="F4955" s="211" t="str">
        <f>'IWP13'!I$519</f>
        <v>Amount Due to DADS (E. - D.)</v>
      </c>
      <c r="G4955" s="191" t="str">
        <f>IF('IWP13'!J$519=0,"",'IWP13'!J$519)</f>
        <v>Amount Reimbursed to 
Employee(s)/Employer</v>
      </c>
      <c r="H4955" s="211">
        <f>'IWP13'!K$519</f>
        <v>0</v>
      </c>
      <c r="I4955" s="211" t="str">
        <f>'IWP13'!L$519</f>
        <v>Amount Due to Employee(s) (G. - E.)</v>
      </c>
      <c r="J4955" s="212" t="str">
        <f>'IWP13'!M$519</f>
        <v>Amount Due to Employer (G. - E.)</v>
      </c>
      <c r="K4955" s="106"/>
      <c r="L4955" s="106"/>
      <c r="M4955" s="129"/>
    </row>
    <row r="4956" spans="1:13" s="146" customFormat="1">
      <c r="A4956" s="193" t="s">
        <v>511</v>
      </c>
      <c r="B4956" s="210">
        <v>11</v>
      </c>
      <c r="C4956" s="191" t="str">
        <f>IF('IWP13'!E$520=0,"",'IWP13'!E$520)</f>
        <v>Item/Service</v>
      </c>
      <c r="D4956" s="211" t="str">
        <f>'IWP13'!G$520</f>
        <v>Itemized Amount Paid by DADS</v>
      </c>
      <c r="E4956" s="211">
        <f>'IWP13'!H$520</f>
        <v>0</v>
      </c>
      <c r="F4956" s="211">
        <f>'IWP13'!I$520</f>
        <v>0</v>
      </c>
      <c r="G4956" s="191" t="str">
        <f>IF('IWP13'!J$520=0,"",'IWP13'!J$520)</f>
        <v/>
      </c>
      <c r="H4956" s="211">
        <f>'IWP13'!K$520</f>
        <v>0</v>
      </c>
      <c r="I4956" s="211">
        <f>'IWP13'!L$520</f>
        <v>0</v>
      </c>
      <c r="J4956" s="212">
        <f>'IWP13'!M$520</f>
        <v>0</v>
      </c>
      <c r="K4956" s="106"/>
      <c r="L4956" s="106"/>
      <c r="M4956" s="129"/>
    </row>
    <row r="4957" spans="1:13" s="146" customFormat="1">
      <c r="A4957" s="193" t="s">
        <v>511</v>
      </c>
      <c r="B4957" s="210">
        <v>11</v>
      </c>
      <c r="C4957" s="191" t="str">
        <f>IF('IWP13'!E$521=0,"",'IWP13'!E$521)</f>
        <v/>
      </c>
      <c r="D4957" s="211">
        <f>'IWP13'!G$521</f>
        <v>0</v>
      </c>
      <c r="E4957" s="211">
        <f>'IWP13'!H$521</f>
        <v>0</v>
      </c>
      <c r="F4957" s="211">
        <f>'IWP13'!I$521</f>
        <v>0</v>
      </c>
      <c r="G4957" s="191" t="str">
        <f>IF('IWP13'!J$521=0,"",'IWP13'!J$521)</f>
        <v/>
      </c>
      <c r="H4957" s="211">
        <f>'IWP13'!K$521</f>
        <v>0</v>
      </c>
      <c r="I4957" s="211">
        <f>'IWP13'!L$521</f>
        <v>0</v>
      </c>
      <c r="J4957" s="212">
        <f>'IWP13'!M$521</f>
        <v>0</v>
      </c>
      <c r="K4957" s="106"/>
      <c r="L4957" s="106"/>
      <c r="M4957" s="129"/>
    </row>
    <row r="4958" spans="1:13" s="146" customFormat="1">
      <c r="A4958" s="193" t="s">
        <v>511</v>
      </c>
      <c r="B4958" s="210">
        <v>11</v>
      </c>
      <c r="C4958" s="191" t="str">
        <f>IF('IWP13'!E$522=0,"",'IWP13'!E$522)</f>
        <v/>
      </c>
      <c r="D4958" s="211">
        <f>'IWP13'!G$522</f>
        <v>0</v>
      </c>
      <c r="E4958" s="211">
        <f>'IWP13'!H$522</f>
        <v>0</v>
      </c>
      <c r="F4958" s="211">
        <f>'IWP13'!I$522</f>
        <v>0</v>
      </c>
      <c r="G4958" s="191" t="str">
        <f>IF('IWP13'!J$522=0,"",'IWP13'!J$522)</f>
        <v/>
      </c>
      <c r="H4958" s="211">
        <f>'IWP13'!K$522</f>
        <v>0</v>
      </c>
      <c r="I4958" s="211">
        <f>'IWP13'!L$522</f>
        <v>0</v>
      </c>
      <c r="J4958" s="212">
        <f>'IWP13'!M$522</f>
        <v>0</v>
      </c>
      <c r="K4958" s="106"/>
      <c r="L4958" s="106"/>
      <c r="M4958" s="129"/>
    </row>
    <row r="4959" spans="1:13" s="146" customFormat="1">
      <c r="A4959" s="193" t="s">
        <v>511</v>
      </c>
      <c r="B4959" s="210">
        <v>11</v>
      </c>
      <c r="C4959" s="191" t="str">
        <f>IF('IWP13'!E$523=0,"",'IWP13'!E$523)</f>
        <v/>
      </c>
      <c r="D4959" s="211">
        <f>'IWP13'!G$523</f>
        <v>0</v>
      </c>
      <c r="E4959" s="211">
        <f>'IWP13'!H$523</f>
        <v>0</v>
      </c>
      <c r="F4959" s="211">
        <f>'IWP13'!I$523</f>
        <v>0</v>
      </c>
      <c r="G4959" s="191" t="str">
        <f>IF('IWP13'!J$523=0,"",'IWP13'!J$523)</f>
        <v/>
      </c>
      <c r="H4959" s="211">
        <f>'IWP13'!K$523</f>
        <v>0</v>
      </c>
      <c r="I4959" s="211">
        <f>'IWP13'!L$523</f>
        <v>0</v>
      </c>
      <c r="J4959" s="212">
        <f>'IWP13'!M$523</f>
        <v>0</v>
      </c>
      <c r="K4959" s="106"/>
      <c r="L4959" s="106"/>
      <c r="M4959" s="129"/>
    </row>
    <row r="4960" spans="1:13" s="146" customFormat="1">
      <c r="A4960" s="193" t="s">
        <v>511</v>
      </c>
      <c r="B4960" s="210">
        <v>11</v>
      </c>
      <c r="C4960" s="191" t="str">
        <f>IF('IWP13'!E$524=0,"",'IWP13'!E$524)</f>
        <v/>
      </c>
      <c r="D4960" s="211">
        <f>'IWP13'!G$524</f>
        <v>0</v>
      </c>
      <c r="E4960" s="211">
        <f>'IWP13'!H$524</f>
        <v>0</v>
      </c>
      <c r="F4960" s="211">
        <f>'IWP13'!I$524</f>
        <v>0</v>
      </c>
      <c r="G4960" s="191" t="str">
        <f>IF('IWP13'!J$524=0,"",'IWP13'!J$524)</f>
        <v/>
      </c>
      <c r="H4960" s="211">
        <f>'IWP13'!K$524</f>
        <v>0</v>
      </c>
      <c r="I4960" s="211">
        <f>'IWP13'!L$524</f>
        <v>0</v>
      </c>
      <c r="J4960" s="212">
        <f>'IWP13'!M$524</f>
        <v>0</v>
      </c>
      <c r="K4960" s="106"/>
      <c r="L4960" s="106"/>
      <c r="M4960" s="129"/>
    </row>
    <row r="4961" spans="1:13" s="146" customFormat="1">
      <c r="A4961" s="193" t="s">
        <v>511</v>
      </c>
      <c r="B4961" s="210">
        <v>12</v>
      </c>
      <c r="C4961" s="191" t="str">
        <f>IF('IWP13'!E$531=0,"",'IWP13'!E$531)</f>
        <v>Subtotal column D.</v>
      </c>
      <c r="D4961" s="211">
        <f>'IWP13'!G$531</f>
        <v>0</v>
      </c>
      <c r="E4961" s="211">
        <f>'IWP13'!H$531</f>
        <v>0</v>
      </c>
      <c r="F4961" s="211">
        <f>'IWP13'!I$531</f>
        <v>0</v>
      </c>
      <c r="G4961" s="191" t="str">
        <f>IF('IWP13'!J$531=0,"",'IWP13'!J$531)</f>
        <v/>
      </c>
      <c r="H4961" s="211">
        <f>'IWP13'!K$531</f>
        <v>0</v>
      </c>
      <c r="I4961" s="211">
        <f>'IWP13'!L$531</f>
        <v>0</v>
      </c>
      <c r="J4961" s="212">
        <f>'IWP13'!M$531</f>
        <v>0</v>
      </c>
      <c r="K4961" s="106"/>
      <c r="L4961" s="106"/>
      <c r="M4961" s="129"/>
    </row>
    <row r="4962" spans="1:13" s="146" customFormat="1">
      <c r="A4962" s="193" t="s">
        <v>511</v>
      </c>
      <c r="B4962" s="210">
        <v>12</v>
      </c>
      <c r="C4962" s="191" t="str">
        <f>IF('IWP13'!E$532=0,"",'IWP13'!E$532)</f>
        <v>Unverified/Undocumented (Subtotal D - C)</v>
      </c>
      <c r="D4962" s="211">
        <f>'IWP13'!G$532</f>
        <v>0</v>
      </c>
      <c r="E4962" s="211">
        <f>'IWP13'!H$532</f>
        <v>0</v>
      </c>
      <c r="F4962" s="211">
        <f>'IWP13'!I$532</f>
        <v>0</v>
      </c>
      <c r="G4962" s="191" t="str">
        <f>IF('IWP13'!J$532=0,"",'IWP13'!J$532)</f>
        <v/>
      </c>
      <c r="H4962" s="211">
        <f>'IWP13'!K$532</f>
        <v>0</v>
      </c>
      <c r="I4962" s="211">
        <f>'IWP13'!L$532</f>
        <v>0</v>
      </c>
      <c r="J4962" s="212">
        <f>'IWP13'!M$532</f>
        <v>0</v>
      </c>
      <c r="K4962" s="106"/>
      <c r="L4962" s="106"/>
      <c r="M4962" s="129"/>
    </row>
    <row r="4963" spans="1:13" s="146" customFormat="1">
      <c r="A4963" s="193" t="s">
        <v>511</v>
      </c>
      <c r="B4963" s="210">
        <v>12</v>
      </c>
      <c r="C4963" s="191" t="str">
        <f>IF('IWP13'!E$533=0,"",'IWP13'!E$533)</f>
        <v>J. Billing Period Total</v>
      </c>
      <c r="D4963" s="211">
        <f>'IWP13'!G$533</f>
        <v>0</v>
      </c>
      <c r="E4963" s="211">
        <f>'IWP13'!H$533</f>
        <v>0</v>
      </c>
      <c r="F4963" s="211">
        <f>'IWP13'!I$533</f>
        <v>0</v>
      </c>
      <c r="G4963" s="191" t="str">
        <f>IF('IWP13'!J$533=0,"",'IWP13'!J$533)</f>
        <v/>
      </c>
      <c r="H4963" s="211">
        <f>'IWP13'!K$533</f>
        <v>0</v>
      </c>
      <c r="I4963" s="211">
        <f>'IWP13'!L$533</f>
        <v>0</v>
      </c>
      <c r="J4963" s="212">
        <f>'IWP13'!M$533</f>
        <v>0</v>
      </c>
      <c r="K4963" s="106"/>
      <c r="L4963" s="106"/>
      <c r="M4963" s="129"/>
    </row>
    <row r="4964" spans="1:13" s="146" customFormat="1">
      <c r="A4964" s="193" t="s">
        <v>511</v>
      </c>
      <c r="B4964" s="210">
        <v>12</v>
      </c>
      <c r="C4964" s="191" t="str">
        <f>IF('IWP13'!E$534=0,"",'IWP13'!E$534)</f>
        <v>D.</v>
      </c>
      <c r="D4964" s="211">
        <f>'IWP13'!G$534</f>
        <v>0</v>
      </c>
      <c r="E4964" s="211" t="str">
        <f>'IWP13'!H$534</f>
        <v>E.</v>
      </c>
      <c r="F4964" s="211" t="str">
        <f>'IWP13'!I$534</f>
        <v>F.</v>
      </c>
      <c r="G4964" s="191" t="str">
        <f>IF('IWP13'!J$534=0,"",'IWP13'!J$534)</f>
        <v>G.</v>
      </c>
      <c r="H4964" s="211">
        <f>'IWP13'!K$534</f>
        <v>0</v>
      </c>
      <c r="I4964" s="211" t="str">
        <f>'IWP13'!L$534</f>
        <v>H.</v>
      </c>
      <c r="J4964" s="212" t="str">
        <f>'IWP13'!M$534</f>
        <v>I.</v>
      </c>
      <c r="K4964" s="106"/>
      <c r="L4964" s="106"/>
      <c r="M4964" s="129"/>
    </row>
    <row r="4965" spans="1:13" s="146" customFormat="1">
      <c r="A4965" s="193" t="s">
        <v>511</v>
      </c>
      <c r="B4965" s="210">
        <v>12</v>
      </c>
      <c r="C4965" s="191" t="str">
        <f>IF('IWP13'!E$535=0,"",'IWP13'!E$535)</f>
        <v xml:space="preserve">Items/Services Related to Billing Period </v>
      </c>
      <c r="D4965" s="211">
        <f>'IWP13'!G$535</f>
        <v>0</v>
      </c>
      <c r="E4965" s="211" t="str">
        <f>'IWP13'!H$535</f>
        <v xml:space="preserve">Item/
Service Verified Amounts
</v>
      </c>
      <c r="F4965" s="211" t="str">
        <f>'IWP13'!I$535</f>
        <v>Amount Due to DADS (E. - D.)</v>
      </c>
      <c r="G4965" s="191" t="str">
        <f>IF('IWP13'!J$535=0,"",'IWP13'!J$535)</f>
        <v>Amount Reimbursed to 
Employee(s)/Employer</v>
      </c>
      <c r="H4965" s="211">
        <f>'IWP13'!K$535</f>
        <v>0</v>
      </c>
      <c r="I4965" s="211" t="str">
        <f>'IWP13'!L$535</f>
        <v>Amount Due to Employee(s) (G. - E.)</v>
      </c>
      <c r="J4965" s="212" t="str">
        <f>'IWP13'!M$535</f>
        <v>Amount Due to Employer (G. - E.)</v>
      </c>
      <c r="K4965" s="106"/>
      <c r="L4965" s="106"/>
      <c r="M4965" s="129"/>
    </row>
    <row r="4966" spans="1:13" s="146" customFormat="1">
      <c r="A4966" s="193" t="s">
        <v>511</v>
      </c>
      <c r="B4966" s="210">
        <v>12</v>
      </c>
      <c r="C4966" s="191" t="str">
        <f>IF('IWP13'!E$536=0,"",'IWP13'!E$536)</f>
        <v>Item/Service</v>
      </c>
      <c r="D4966" s="211" t="str">
        <f>'IWP13'!G$536</f>
        <v>Itemized Amount Paid by DADS</v>
      </c>
      <c r="E4966" s="211">
        <f>'IWP13'!H$536</f>
        <v>0</v>
      </c>
      <c r="F4966" s="211">
        <f>'IWP13'!I$536</f>
        <v>0</v>
      </c>
      <c r="G4966" s="191" t="str">
        <f>IF('IWP13'!J$536=0,"",'IWP13'!J$536)</f>
        <v/>
      </c>
      <c r="H4966" s="211">
        <f>'IWP13'!K$536</f>
        <v>0</v>
      </c>
      <c r="I4966" s="211">
        <f>'IWP13'!L$536</f>
        <v>0</v>
      </c>
      <c r="J4966" s="212">
        <f>'IWP13'!M$536</f>
        <v>0</v>
      </c>
      <c r="K4966" s="106"/>
      <c r="L4966" s="106"/>
      <c r="M4966" s="129"/>
    </row>
    <row r="4967" spans="1:13" s="146" customFormat="1">
      <c r="A4967" s="193" t="s">
        <v>511</v>
      </c>
      <c r="B4967" s="210">
        <v>12</v>
      </c>
      <c r="C4967" s="191" t="str">
        <f>IF('IWP13'!E$537=0,"",'IWP13'!E$537)</f>
        <v/>
      </c>
      <c r="D4967" s="211">
        <f>'IWP13'!G$537</f>
        <v>0</v>
      </c>
      <c r="E4967" s="211">
        <f>'IWP13'!H$537</f>
        <v>0</v>
      </c>
      <c r="F4967" s="211">
        <f>'IWP13'!I$537</f>
        <v>0</v>
      </c>
      <c r="G4967" s="191" t="str">
        <f>IF('IWP13'!J$537=0,"",'IWP13'!J$537)</f>
        <v/>
      </c>
      <c r="H4967" s="211">
        <f>'IWP13'!K$537</f>
        <v>0</v>
      </c>
      <c r="I4967" s="211">
        <f>'IWP13'!L$537</f>
        <v>0</v>
      </c>
      <c r="J4967" s="212">
        <f>'IWP13'!M$537</f>
        <v>0</v>
      </c>
      <c r="K4967" s="106"/>
      <c r="L4967" s="106"/>
      <c r="M4967" s="129"/>
    </row>
    <row r="4968" spans="1:13" s="146" customFormat="1">
      <c r="A4968" s="193" t="s">
        <v>511</v>
      </c>
      <c r="B4968" s="210">
        <v>12</v>
      </c>
      <c r="C4968" s="191" t="str">
        <f>IF('IWP13'!E$538=0,"",'IWP13'!E$538)</f>
        <v/>
      </c>
      <c r="D4968" s="211">
        <f>'IWP13'!G$538</f>
        <v>0</v>
      </c>
      <c r="E4968" s="211">
        <f>'IWP13'!H$538</f>
        <v>0</v>
      </c>
      <c r="F4968" s="211">
        <f>'IWP13'!I$538</f>
        <v>0</v>
      </c>
      <c r="G4968" s="191" t="str">
        <f>IF('IWP13'!J$538=0,"",'IWP13'!J$538)</f>
        <v/>
      </c>
      <c r="H4968" s="211">
        <f>'IWP13'!K$538</f>
        <v>0</v>
      </c>
      <c r="I4968" s="211">
        <f>'IWP13'!L$538</f>
        <v>0</v>
      </c>
      <c r="J4968" s="212">
        <f>'IWP13'!M$538</f>
        <v>0</v>
      </c>
      <c r="K4968" s="106"/>
      <c r="L4968" s="106"/>
      <c r="M4968" s="129"/>
    </row>
    <row r="4969" spans="1:13" s="146" customFormat="1">
      <c r="A4969" s="193" t="s">
        <v>511</v>
      </c>
      <c r="B4969" s="210">
        <v>12</v>
      </c>
      <c r="C4969" s="191" t="str">
        <f>IF('IWP13'!E$539=0,"",'IWP13'!E$539)</f>
        <v/>
      </c>
      <c r="D4969" s="211">
        <f>'IWP13'!G$539</f>
        <v>0</v>
      </c>
      <c r="E4969" s="211">
        <f>'IWP13'!H$539</f>
        <v>0</v>
      </c>
      <c r="F4969" s="211">
        <f>'IWP13'!I$539</f>
        <v>0</v>
      </c>
      <c r="G4969" s="191" t="str">
        <f>IF('IWP13'!J$539=0,"",'IWP13'!J$539)</f>
        <v/>
      </c>
      <c r="H4969" s="211">
        <f>'IWP13'!K$539</f>
        <v>0</v>
      </c>
      <c r="I4969" s="211">
        <f>'IWP13'!L$539</f>
        <v>0</v>
      </c>
      <c r="J4969" s="212">
        <f>'IWP13'!M$539</f>
        <v>0</v>
      </c>
      <c r="K4969" s="106"/>
      <c r="L4969" s="106"/>
      <c r="M4969" s="129"/>
    </row>
    <row r="4970" spans="1:13" s="146" customFormat="1">
      <c r="A4970" s="193" t="s">
        <v>511</v>
      </c>
      <c r="B4970" s="210">
        <v>12</v>
      </c>
      <c r="C4970" s="191" t="str">
        <f>IF('IWP13'!E$540=0,"",'IWP13'!E$540)</f>
        <v/>
      </c>
      <c r="D4970" s="211">
        <f>'IWP13'!G$540</f>
        <v>0</v>
      </c>
      <c r="E4970" s="211">
        <f>'IWP13'!H$540</f>
        <v>0</v>
      </c>
      <c r="F4970" s="211">
        <f>'IWP13'!I$540</f>
        <v>0</v>
      </c>
      <c r="G4970" s="191" t="str">
        <f>IF('IWP13'!J$540=0,"",'IWP13'!J$540)</f>
        <v/>
      </c>
      <c r="H4970" s="211">
        <f>'IWP13'!K$540</f>
        <v>0</v>
      </c>
      <c r="I4970" s="211">
        <f>'IWP13'!L$540</f>
        <v>0</v>
      </c>
      <c r="J4970" s="212">
        <f>'IWP13'!M$540</f>
        <v>0</v>
      </c>
      <c r="K4970" s="106"/>
      <c r="L4970" s="106"/>
      <c r="M4970" s="129"/>
    </row>
    <row r="4971" spans="1:13" s="146" customFormat="1">
      <c r="A4971" s="193" t="s">
        <v>511</v>
      </c>
      <c r="B4971" s="210">
        <v>13</v>
      </c>
      <c r="C4971" s="191" t="str">
        <f>IF('IWP13'!E$547=0,"",'IWP13'!E$547)</f>
        <v>Subtotal column D.</v>
      </c>
      <c r="D4971" s="211">
        <f>'IWP13'!G$547</f>
        <v>0</v>
      </c>
      <c r="E4971" s="211">
        <f>'IWP13'!H$547</f>
        <v>0</v>
      </c>
      <c r="F4971" s="211">
        <f>'IWP13'!I$547</f>
        <v>0</v>
      </c>
      <c r="G4971" s="191" t="str">
        <f>IF('IWP13'!J$547=0,"",'IWP13'!J$547)</f>
        <v/>
      </c>
      <c r="H4971" s="211">
        <f>'IWP13'!K$547</f>
        <v>0</v>
      </c>
      <c r="I4971" s="211">
        <f>'IWP13'!L$547</f>
        <v>0</v>
      </c>
      <c r="J4971" s="212">
        <f>'IWP13'!M$547</f>
        <v>0</v>
      </c>
      <c r="K4971" s="106"/>
      <c r="L4971" s="106"/>
      <c r="M4971" s="129"/>
    </row>
    <row r="4972" spans="1:13" s="146" customFormat="1">
      <c r="A4972" s="193" t="s">
        <v>511</v>
      </c>
      <c r="B4972" s="210">
        <v>13</v>
      </c>
      <c r="C4972" s="191" t="str">
        <f>IF('IWP13'!E$548=0,"",'IWP13'!E$548)</f>
        <v>Unverified/Undocumented (Subtotal D - C)</v>
      </c>
      <c r="D4972" s="211">
        <f>'IWP13'!G$548</f>
        <v>0</v>
      </c>
      <c r="E4972" s="211">
        <f>'IWP13'!H$548</f>
        <v>0</v>
      </c>
      <c r="F4972" s="211">
        <f>'IWP13'!I$548</f>
        <v>0</v>
      </c>
      <c r="G4972" s="191" t="str">
        <f>IF('IWP13'!J$548=0,"",'IWP13'!J$548)</f>
        <v/>
      </c>
      <c r="H4972" s="211">
        <f>'IWP13'!K$548</f>
        <v>0</v>
      </c>
      <c r="I4972" s="211">
        <f>'IWP13'!L$548</f>
        <v>0</v>
      </c>
      <c r="J4972" s="212">
        <f>'IWP13'!M$548</f>
        <v>0</v>
      </c>
      <c r="K4972" s="106"/>
      <c r="L4972" s="106"/>
      <c r="M4972" s="129"/>
    </row>
    <row r="4973" spans="1:13" s="146" customFormat="1">
      <c r="A4973" s="193" t="s">
        <v>511</v>
      </c>
      <c r="B4973" s="210">
        <v>13</v>
      </c>
      <c r="C4973" s="191" t="str">
        <f>IF('IWP13'!E$549=0,"",'IWP13'!E$549)</f>
        <v>J. Billing Period Total</v>
      </c>
      <c r="D4973" s="211">
        <f>'IWP13'!G$549</f>
        <v>0</v>
      </c>
      <c r="E4973" s="211">
        <f>'IWP13'!H$549</f>
        <v>0</v>
      </c>
      <c r="F4973" s="211">
        <f>'IWP13'!I$549</f>
        <v>0</v>
      </c>
      <c r="G4973" s="191" t="str">
        <f>IF('IWP13'!J$549=0,"",'IWP13'!J$549)</f>
        <v/>
      </c>
      <c r="H4973" s="211">
        <f>'IWP13'!K$549</f>
        <v>0</v>
      </c>
      <c r="I4973" s="211">
        <f>'IWP13'!L$549</f>
        <v>0</v>
      </c>
      <c r="J4973" s="212">
        <f>'IWP13'!M$549</f>
        <v>0</v>
      </c>
      <c r="K4973" s="106"/>
      <c r="L4973" s="106"/>
      <c r="M4973" s="129"/>
    </row>
    <row r="4974" spans="1:13" s="146" customFormat="1">
      <c r="A4974" s="193" t="s">
        <v>511</v>
      </c>
      <c r="B4974" s="210">
        <v>13</v>
      </c>
      <c r="C4974" s="191" t="str">
        <f>IF('IWP13'!E$550=0,"",'IWP13'!E$550)</f>
        <v>D.</v>
      </c>
      <c r="D4974" s="211">
        <f>'IWP13'!G$550</f>
        <v>0</v>
      </c>
      <c r="E4974" s="211" t="str">
        <f>'IWP13'!H$550</f>
        <v>E.</v>
      </c>
      <c r="F4974" s="211" t="str">
        <f>'IWP13'!I$550</f>
        <v>F.</v>
      </c>
      <c r="G4974" s="191" t="str">
        <f>IF('IWP13'!J$550=0,"",'IWP13'!J$550)</f>
        <v>G.</v>
      </c>
      <c r="H4974" s="211">
        <f>'IWP13'!K$550</f>
        <v>0</v>
      </c>
      <c r="I4974" s="211" t="str">
        <f>'IWP13'!L$550</f>
        <v>H.</v>
      </c>
      <c r="J4974" s="212" t="str">
        <f>'IWP13'!M$550</f>
        <v>I.</v>
      </c>
      <c r="K4974" s="106"/>
      <c r="L4974" s="106"/>
      <c r="M4974" s="129"/>
    </row>
    <row r="4975" spans="1:13" s="146" customFormat="1">
      <c r="A4975" s="193" t="s">
        <v>511</v>
      </c>
      <c r="B4975" s="210">
        <v>13</v>
      </c>
      <c r="C4975" s="191" t="str">
        <f>IF('IWP13'!E$551=0,"",'IWP13'!E$551)</f>
        <v xml:space="preserve">Items/Services Related to Billing Period </v>
      </c>
      <c r="D4975" s="211">
        <f>'IWP13'!G$551</f>
        <v>0</v>
      </c>
      <c r="E4975" s="211" t="str">
        <f>'IWP13'!H$551</f>
        <v xml:space="preserve">Item/
Service Verified Amounts
</v>
      </c>
      <c r="F4975" s="211" t="str">
        <f>'IWP13'!I$551</f>
        <v>Amount Due to DADS (E. - D.)</v>
      </c>
      <c r="G4975" s="191" t="str">
        <f>IF('IWP13'!J$551=0,"",'IWP13'!J$551)</f>
        <v>Amount Reimbursed to 
Employee(s)/Employer</v>
      </c>
      <c r="H4975" s="211">
        <f>'IWP13'!K$551</f>
        <v>0</v>
      </c>
      <c r="I4975" s="211" t="str">
        <f>'IWP13'!L$551</f>
        <v>Amount Due to Employee(s) (G. - E.)</v>
      </c>
      <c r="J4975" s="212" t="str">
        <f>'IWP13'!M$551</f>
        <v>Amount Due to Employer (G. - E.)</v>
      </c>
      <c r="K4975" s="106"/>
      <c r="L4975" s="106"/>
      <c r="M4975" s="129"/>
    </row>
    <row r="4976" spans="1:13" s="146" customFormat="1">
      <c r="A4976" s="193" t="s">
        <v>511</v>
      </c>
      <c r="B4976" s="210">
        <v>13</v>
      </c>
      <c r="C4976" s="191" t="str">
        <f>IF('IWP13'!E$552=0,"",'IWP13'!E$552)</f>
        <v>Item/Service</v>
      </c>
      <c r="D4976" s="211" t="str">
        <f>'IWP13'!G$552</f>
        <v>Itemized Amount Paid by DADS</v>
      </c>
      <c r="E4976" s="211">
        <f>'IWP13'!H$552</f>
        <v>0</v>
      </c>
      <c r="F4976" s="211">
        <f>'IWP13'!I$552</f>
        <v>0</v>
      </c>
      <c r="G4976" s="191" t="str">
        <f>IF('IWP13'!J$552=0,"",'IWP13'!J$552)</f>
        <v/>
      </c>
      <c r="H4976" s="211">
        <f>'IWP13'!K$552</f>
        <v>0</v>
      </c>
      <c r="I4976" s="211">
        <f>'IWP13'!L$552</f>
        <v>0</v>
      </c>
      <c r="J4976" s="212">
        <f>'IWP13'!M$552</f>
        <v>0</v>
      </c>
      <c r="K4976" s="106"/>
      <c r="L4976" s="106"/>
      <c r="M4976" s="129"/>
    </row>
    <row r="4977" spans="1:13" s="146" customFormat="1">
      <c r="A4977" s="193" t="s">
        <v>511</v>
      </c>
      <c r="B4977" s="210">
        <v>13</v>
      </c>
      <c r="C4977" s="191" t="str">
        <f>IF('IWP13'!E$553=0,"",'IWP13'!E$553)</f>
        <v/>
      </c>
      <c r="D4977" s="211">
        <f>'IWP13'!G$553</f>
        <v>0</v>
      </c>
      <c r="E4977" s="211">
        <f>'IWP13'!H$553</f>
        <v>0</v>
      </c>
      <c r="F4977" s="211">
        <f>'IWP13'!I$553</f>
        <v>0</v>
      </c>
      <c r="G4977" s="191" t="str">
        <f>IF('IWP13'!J$553=0,"",'IWP13'!J$553)</f>
        <v/>
      </c>
      <c r="H4977" s="211">
        <f>'IWP13'!K$553</f>
        <v>0</v>
      </c>
      <c r="I4977" s="211">
        <f>'IWP13'!L$553</f>
        <v>0</v>
      </c>
      <c r="J4977" s="212">
        <f>'IWP13'!M$553</f>
        <v>0</v>
      </c>
      <c r="K4977" s="106"/>
      <c r="L4977" s="106"/>
      <c r="M4977" s="129"/>
    </row>
    <row r="4978" spans="1:13" s="146" customFormat="1">
      <c r="A4978" s="193" t="s">
        <v>511</v>
      </c>
      <c r="B4978" s="210">
        <v>13</v>
      </c>
      <c r="C4978" s="191" t="str">
        <f>IF('IWP13'!E$554=0,"",'IWP13'!E$554)</f>
        <v/>
      </c>
      <c r="D4978" s="211">
        <f>'IWP13'!G$554</f>
        <v>0</v>
      </c>
      <c r="E4978" s="211">
        <f>'IWP13'!H$554</f>
        <v>0</v>
      </c>
      <c r="F4978" s="211">
        <f>'IWP13'!I$554</f>
        <v>0</v>
      </c>
      <c r="G4978" s="191" t="str">
        <f>IF('IWP13'!J$554=0,"",'IWP13'!J$554)</f>
        <v/>
      </c>
      <c r="H4978" s="211">
        <f>'IWP13'!K$554</f>
        <v>0</v>
      </c>
      <c r="I4978" s="211">
        <f>'IWP13'!L$554</f>
        <v>0</v>
      </c>
      <c r="J4978" s="212">
        <f>'IWP13'!M$554</f>
        <v>0</v>
      </c>
      <c r="K4978" s="106"/>
      <c r="L4978" s="106"/>
      <c r="M4978" s="129"/>
    </row>
    <row r="4979" spans="1:13" s="146" customFormat="1">
      <c r="A4979" s="193" t="s">
        <v>511</v>
      </c>
      <c r="B4979" s="210">
        <v>13</v>
      </c>
      <c r="C4979" s="191" t="str">
        <f>IF('IWP13'!E$555=0,"",'IWP13'!E$555)</f>
        <v/>
      </c>
      <c r="D4979" s="211">
        <f>'IWP13'!G$555</f>
        <v>0</v>
      </c>
      <c r="E4979" s="211">
        <f>'IWP13'!H$555</f>
        <v>0</v>
      </c>
      <c r="F4979" s="211">
        <f>'IWP13'!I$555</f>
        <v>0</v>
      </c>
      <c r="G4979" s="191" t="str">
        <f>IF('IWP13'!J$555=0,"",'IWP13'!J$555)</f>
        <v/>
      </c>
      <c r="H4979" s="211">
        <f>'IWP13'!K$555</f>
        <v>0</v>
      </c>
      <c r="I4979" s="211">
        <f>'IWP13'!L$555</f>
        <v>0</v>
      </c>
      <c r="J4979" s="212">
        <f>'IWP13'!M$555</f>
        <v>0</v>
      </c>
      <c r="K4979" s="106"/>
      <c r="L4979" s="106"/>
      <c r="M4979" s="129"/>
    </row>
    <row r="4980" spans="1:13" s="146" customFormat="1">
      <c r="A4980" s="193" t="s">
        <v>511</v>
      </c>
      <c r="B4980" s="210">
        <v>13</v>
      </c>
      <c r="C4980" s="191" t="str">
        <f>IF('IWP13'!E$556=0,"",'IWP13'!E$556)</f>
        <v/>
      </c>
      <c r="D4980" s="211">
        <f>'IWP13'!G$556</f>
        <v>0</v>
      </c>
      <c r="E4980" s="211">
        <f>'IWP13'!H$556</f>
        <v>0</v>
      </c>
      <c r="F4980" s="211">
        <f>'IWP13'!I$556</f>
        <v>0</v>
      </c>
      <c r="G4980" s="191" t="str">
        <f>IF('IWP13'!J$556=0,"",'IWP13'!J$556)</f>
        <v/>
      </c>
      <c r="H4980" s="211">
        <f>'IWP13'!K$556</f>
        <v>0</v>
      </c>
      <c r="I4980" s="211">
        <f>'IWP13'!L$556</f>
        <v>0</v>
      </c>
      <c r="J4980" s="212">
        <f>'IWP13'!M$556</f>
        <v>0</v>
      </c>
      <c r="K4980" s="106"/>
      <c r="L4980" s="106"/>
      <c r="M4980" s="129"/>
    </row>
    <row r="4981" spans="1:13" s="146" customFormat="1">
      <c r="A4981" s="193" t="s">
        <v>511</v>
      </c>
      <c r="B4981" s="210">
        <v>14</v>
      </c>
      <c r="C4981" s="191" t="str">
        <f>IF('IWP13'!E$563=0,"",'IWP13'!E$563)</f>
        <v>Subtotal column D.</v>
      </c>
      <c r="D4981" s="211">
        <f>'IWP13'!G$563</f>
        <v>0</v>
      </c>
      <c r="E4981" s="211">
        <f>'IWP13'!H$563</f>
        <v>0</v>
      </c>
      <c r="F4981" s="211">
        <f>'IWP13'!I$563</f>
        <v>0</v>
      </c>
      <c r="G4981" s="191" t="str">
        <f>IF('IWP13'!J$563=0,"",'IWP13'!J$563)</f>
        <v/>
      </c>
      <c r="H4981" s="211">
        <f>'IWP13'!K$563</f>
        <v>0</v>
      </c>
      <c r="I4981" s="211">
        <f>'IWP13'!L$563</f>
        <v>0</v>
      </c>
      <c r="J4981" s="212">
        <f>'IWP13'!M$563</f>
        <v>0</v>
      </c>
      <c r="K4981" s="106"/>
      <c r="L4981" s="106"/>
      <c r="M4981" s="129"/>
    </row>
    <row r="4982" spans="1:13" s="146" customFormat="1">
      <c r="A4982" s="193" t="s">
        <v>511</v>
      </c>
      <c r="B4982" s="210">
        <v>14</v>
      </c>
      <c r="C4982" s="191" t="str">
        <f>IF('IWP13'!E$564=0,"",'IWP13'!E$564)</f>
        <v>Unverified/Undocumented (Subtotal D - C)</v>
      </c>
      <c r="D4982" s="211">
        <f>'IWP13'!G$564</f>
        <v>0</v>
      </c>
      <c r="E4982" s="211">
        <f>'IWP13'!H$564</f>
        <v>0</v>
      </c>
      <c r="F4982" s="211">
        <f>'IWP13'!I$564</f>
        <v>0</v>
      </c>
      <c r="G4982" s="191" t="str">
        <f>IF('IWP13'!J$564=0,"",'IWP13'!J$564)</f>
        <v/>
      </c>
      <c r="H4982" s="211">
        <f>'IWP13'!K$564</f>
        <v>0</v>
      </c>
      <c r="I4982" s="211">
        <f>'IWP13'!L$564</f>
        <v>0</v>
      </c>
      <c r="J4982" s="212">
        <f>'IWP13'!M$564</f>
        <v>0</v>
      </c>
      <c r="K4982" s="106"/>
      <c r="L4982" s="106"/>
      <c r="M4982" s="129"/>
    </row>
    <row r="4983" spans="1:13" s="146" customFormat="1">
      <c r="A4983" s="193" t="s">
        <v>511</v>
      </c>
      <c r="B4983" s="210">
        <v>14</v>
      </c>
      <c r="C4983" s="191" t="str">
        <f>IF('IWP13'!E$565=0,"",'IWP13'!E$565)</f>
        <v>J. Billing Period Total</v>
      </c>
      <c r="D4983" s="211">
        <f>'IWP13'!G$565</f>
        <v>0</v>
      </c>
      <c r="E4983" s="211">
        <f>'IWP13'!H$565</f>
        <v>0</v>
      </c>
      <c r="F4983" s="211">
        <f>'IWP13'!I$565</f>
        <v>0</v>
      </c>
      <c r="G4983" s="191" t="str">
        <f>IF('IWP13'!J$565=0,"",'IWP13'!J$565)</f>
        <v/>
      </c>
      <c r="H4983" s="211">
        <f>'IWP13'!K$565</f>
        <v>0</v>
      </c>
      <c r="I4983" s="211">
        <f>'IWP13'!L$565</f>
        <v>0</v>
      </c>
      <c r="J4983" s="212">
        <f>'IWP13'!M$565</f>
        <v>0</v>
      </c>
      <c r="K4983" s="106"/>
      <c r="L4983" s="106"/>
      <c r="M4983" s="129"/>
    </row>
    <row r="4984" spans="1:13" s="146" customFormat="1">
      <c r="A4984" s="193" t="s">
        <v>511</v>
      </c>
      <c r="B4984" s="210">
        <v>14</v>
      </c>
      <c r="C4984" s="191" t="str">
        <f>IF('IWP13'!E$566=0,"",'IWP13'!E$566)</f>
        <v>D.</v>
      </c>
      <c r="D4984" s="211">
        <f>'IWP13'!G$566</f>
        <v>0</v>
      </c>
      <c r="E4984" s="211" t="str">
        <f>'IWP13'!H$566</f>
        <v>E.</v>
      </c>
      <c r="F4984" s="211" t="str">
        <f>'IWP13'!I$566</f>
        <v>F.</v>
      </c>
      <c r="G4984" s="191" t="str">
        <f>IF('IWP13'!J$566=0,"",'IWP13'!J$566)</f>
        <v>G.</v>
      </c>
      <c r="H4984" s="211">
        <f>'IWP13'!K$566</f>
        <v>0</v>
      </c>
      <c r="I4984" s="211" t="str">
        <f>'IWP13'!L$566</f>
        <v>H.</v>
      </c>
      <c r="J4984" s="212" t="str">
        <f>'IWP13'!M$566</f>
        <v>I.</v>
      </c>
      <c r="K4984" s="106"/>
      <c r="L4984" s="106"/>
      <c r="M4984" s="129"/>
    </row>
    <row r="4985" spans="1:13" s="146" customFormat="1">
      <c r="A4985" s="193" t="s">
        <v>511</v>
      </c>
      <c r="B4985" s="210">
        <v>14</v>
      </c>
      <c r="C4985" s="191" t="str">
        <f>IF('IWP13'!E$567=0,"",'IWP13'!E$567)</f>
        <v xml:space="preserve">Items/Services Related to Billing Period </v>
      </c>
      <c r="D4985" s="211">
        <f>'IWP13'!G$567</f>
        <v>0</v>
      </c>
      <c r="E4985" s="211" t="str">
        <f>'IWP13'!H$567</f>
        <v xml:space="preserve">Item/
Service Verified Amounts
</v>
      </c>
      <c r="F4985" s="211" t="str">
        <f>'IWP13'!I$567</f>
        <v>Amount Due to DADS (E. - D.)</v>
      </c>
      <c r="G4985" s="191" t="str">
        <f>IF('IWP13'!J$567=0,"",'IWP13'!J$567)</f>
        <v>Amount Reimbursed to 
Employee(s)/Employer</v>
      </c>
      <c r="H4985" s="211">
        <f>'IWP13'!K$567</f>
        <v>0</v>
      </c>
      <c r="I4985" s="211" t="str">
        <f>'IWP13'!L$567</f>
        <v>Amount Due to Employee(s) (G. - E.)</v>
      </c>
      <c r="J4985" s="212" t="str">
        <f>'IWP13'!M$567</f>
        <v>Amount Due to Employer (G. - E.)</v>
      </c>
      <c r="K4985" s="106"/>
      <c r="L4985" s="106"/>
      <c r="M4985" s="129"/>
    </row>
    <row r="4986" spans="1:13" s="146" customFormat="1">
      <c r="A4986" s="193" t="s">
        <v>511</v>
      </c>
      <c r="B4986" s="210">
        <v>14</v>
      </c>
      <c r="C4986" s="191" t="str">
        <f>IF('IWP13'!E$568=0,"",'IWP13'!E$568)</f>
        <v>Item/Service</v>
      </c>
      <c r="D4986" s="211" t="str">
        <f>'IWP13'!G$568</f>
        <v>Itemized Amount Paid by DADS</v>
      </c>
      <c r="E4986" s="211">
        <f>'IWP13'!H$568</f>
        <v>0</v>
      </c>
      <c r="F4986" s="211">
        <f>'IWP13'!I$568</f>
        <v>0</v>
      </c>
      <c r="G4986" s="191" t="str">
        <f>IF('IWP13'!J$568=0,"",'IWP13'!J$568)</f>
        <v/>
      </c>
      <c r="H4986" s="211">
        <f>'IWP13'!K$568</f>
        <v>0</v>
      </c>
      <c r="I4986" s="211">
        <f>'IWP13'!L$568</f>
        <v>0</v>
      </c>
      <c r="J4986" s="212">
        <f>'IWP13'!M$568</f>
        <v>0</v>
      </c>
      <c r="K4986" s="106"/>
      <c r="L4986" s="106"/>
      <c r="M4986" s="129"/>
    </row>
    <row r="4987" spans="1:13" s="146" customFormat="1">
      <c r="A4987" s="193" t="s">
        <v>511</v>
      </c>
      <c r="B4987" s="210">
        <v>14</v>
      </c>
      <c r="C4987" s="191" t="str">
        <f>IF('IWP13'!E$569=0,"",'IWP13'!E$569)</f>
        <v/>
      </c>
      <c r="D4987" s="211">
        <f>'IWP13'!G$569</f>
        <v>0</v>
      </c>
      <c r="E4987" s="211">
        <f>'IWP13'!H$569</f>
        <v>0</v>
      </c>
      <c r="F4987" s="211">
        <f>'IWP13'!I$569</f>
        <v>0</v>
      </c>
      <c r="G4987" s="191" t="str">
        <f>IF('IWP13'!J$569=0,"",'IWP13'!J$569)</f>
        <v/>
      </c>
      <c r="H4987" s="211">
        <f>'IWP13'!K$569</f>
        <v>0</v>
      </c>
      <c r="I4987" s="211">
        <f>'IWP13'!L$569</f>
        <v>0</v>
      </c>
      <c r="J4987" s="212">
        <f>'IWP13'!M$569</f>
        <v>0</v>
      </c>
      <c r="K4987" s="106"/>
      <c r="L4987" s="106"/>
      <c r="M4987" s="129"/>
    </row>
    <row r="4988" spans="1:13" s="146" customFormat="1">
      <c r="A4988" s="193" t="s">
        <v>511</v>
      </c>
      <c r="B4988" s="210">
        <v>14</v>
      </c>
      <c r="C4988" s="191" t="str">
        <f>IF('IWP13'!E$570=0,"",'IWP13'!E$570)</f>
        <v/>
      </c>
      <c r="D4988" s="211">
        <f>'IWP13'!G$570</f>
        <v>0</v>
      </c>
      <c r="E4988" s="211">
        <f>'IWP13'!H$570</f>
        <v>0</v>
      </c>
      <c r="F4988" s="211">
        <f>'IWP13'!I$570</f>
        <v>0</v>
      </c>
      <c r="G4988" s="191" t="str">
        <f>IF('IWP13'!J$570=0,"",'IWP13'!J$570)</f>
        <v/>
      </c>
      <c r="H4988" s="211">
        <f>'IWP13'!K$570</f>
        <v>0</v>
      </c>
      <c r="I4988" s="211">
        <f>'IWP13'!L$570</f>
        <v>0</v>
      </c>
      <c r="J4988" s="212">
        <f>'IWP13'!M$570</f>
        <v>0</v>
      </c>
      <c r="K4988" s="106"/>
      <c r="L4988" s="106"/>
      <c r="M4988" s="129"/>
    </row>
    <row r="4989" spans="1:13" s="146" customFormat="1">
      <c r="A4989" s="193" t="s">
        <v>511</v>
      </c>
      <c r="B4989" s="210">
        <v>14</v>
      </c>
      <c r="C4989" s="191" t="str">
        <f>IF('IWP13'!E$571=0,"",'IWP13'!E$571)</f>
        <v/>
      </c>
      <c r="D4989" s="211">
        <f>'IWP13'!G$571</f>
        <v>0</v>
      </c>
      <c r="E4989" s="211">
        <f>'IWP13'!H$571</f>
        <v>0</v>
      </c>
      <c r="F4989" s="211">
        <f>'IWP13'!I$571</f>
        <v>0</v>
      </c>
      <c r="G4989" s="191" t="str">
        <f>IF('IWP13'!J$571=0,"",'IWP13'!J$571)</f>
        <v/>
      </c>
      <c r="H4989" s="211">
        <f>'IWP13'!K$571</f>
        <v>0</v>
      </c>
      <c r="I4989" s="211">
        <f>'IWP13'!L$571</f>
        <v>0</v>
      </c>
      <c r="J4989" s="212">
        <f>'IWP13'!M$571</f>
        <v>0</v>
      </c>
      <c r="K4989" s="106"/>
      <c r="L4989" s="106"/>
      <c r="M4989" s="129"/>
    </row>
    <row r="4990" spans="1:13" s="146" customFormat="1">
      <c r="A4990" s="193" t="s">
        <v>511</v>
      </c>
      <c r="B4990" s="210">
        <v>14</v>
      </c>
      <c r="C4990" s="191" t="str">
        <f>IF('IWP13'!E$572=0,"",'IWP13'!E$572)</f>
        <v/>
      </c>
      <c r="D4990" s="211">
        <f>'IWP13'!G$572</f>
        <v>0</v>
      </c>
      <c r="E4990" s="211">
        <f>'IWP13'!H$572</f>
        <v>0</v>
      </c>
      <c r="F4990" s="211">
        <f>'IWP13'!I$572</f>
        <v>0</v>
      </c>
      <c r="G4990" s="191" t="str">
        <f>IF('IWP13'!J$572=0,"",'IWP13'!J$572)</f>
        <v/>
      </c>
      <c r="H4990" s="211">
        <f>'IWP13'!K$572</f>
        <v>0</v>
      </c>
      <c r="I4990" s="211">
        <f>'IWP13'!L$572</f>
        <v>0</v>
      </c>
      <c r="J4990" s="212">
        <f>'IWP13'!M$572</f>
        <v>0</v>
      </c>
      <c r="K4990" s="106"/>
      <c r="L4990" s="106"/>
      <c r="M4990" s="129"/>
    </row>
    <row r="4991" spans="1:13" s="146" customFormat="1">
      <c r="A4991" s="193" t="s">
        <v>511</v>
      </c>
      <c r="B4991" s="210">
        <v>15</v>
      </c>
      <c r="C4991" s="191" t="str">
        <f>IF('IWP13'!E$579=0,"",'IWP13'!E$579)</f>
        <v>Subtotal column D.</v>
      </c>
      <c r="D4991" s="211">
        <f>'IWP13'!G$579</f>
        <v>0</v>
      </c>
      <c r="E4991" s="211">
        <f>'IWP13'!H$579</f>
        <v>0</v>
      </c>
      <c r="F4991" s="211">
        <f>'IWP13'!I$579</f>
        <v>0</v>
      </c>
      <c r="G4991" s="191" t="str">
        <f>IF('IWP13'!J$579=0,"",'IWP13'!J$579)</f>
        <v/>
      </c>
      <c r="H4991" s="211">
        <f>'IWP13'!K$579</f>
        <v>0</v>
      </c>
      <c r="I4991" s="211">
        <f>'IWP13'!L$579</f>
        <v>0</v>
      </c>
      <c r="J4991" s="212">
        <f>'IWP13'!M$579</f>
        <v>0</v>
      </c>
      <c r="K4991" s="106"/>
      <c r="L4991" s="106"/>
      <c r="M4991" s="129"/>
    </row>
    <row r="4992" spans="1:13" s="146" customFormat="1">
      <c r="A4992" s="193" t="s">
        <v>511</v>
      </c>
      <c r="B4992" s="210">
        <v>15</v>
      </c>
      <c r="C4992" s="191" t="str">
        <f>IF('IWP13'!E$580=0,"",'IWP13'!E$580)</f>
        <v>Unverified/Undocumented (Subtotal D - C)</v>
      </c>
      <c r="D4992" s="211">
        <f>'IWP13'!G$580</f>
        <v>0</v>
      </c>
      <c r="E4992" s="211">
        <f>'IWP13'!H$580</f>
        <v>0</v>
      </c>
      <c r="F4992" s="211">
        <f>'IWP13'!I$580</f>
        <v>0</v>
      </c>
      <c r="G4992" s="191" t="str">
        <f>IF('IWP13'!J$580=0,"",'IWP13'!J$580)</f>
        <v/>
      </c>
      <c r="H4992" s="211">
        <f>'IWP13'!K$580</f>
        <v>0</v>
      </c>
      <c r="I4992" s="211">
        <f>'IWP13'!L$580</f>
        <v>0</v>
      </c>
      <c r="J4992" s="212">
        <f>'IWP13'!M$580</f>
        <v>0</v>
      </c>
      <c r="K4992" s="106"/>
      <c r="L4992" s="106"/>
      <c r="M4992" s="129"/>
    </row>
    <row r="4993" spans="1:13" s="146" customFormat="1">
      <c r="A4993" s="193" t="s">
        <v>511</v>
      </c>
      <c r="B4993" s="210">
        <v>15</v>
      </c>
      <c r="C4993" s="191" t="str">
        <f>IF('IWP13'!E$581=0,"",'IWP13'!E$581)</f>
        <v>J. Billing Period Total</v>
      </c>
      <c r="D4993" s="211">
        <f>'IWP13'!G$581</f>
        <v>0</v>
      </c>
      <c r="E4993" s="211">
        <f>'IWP13'!H$581</f>
        <v>0</v>
      </c>
      <c r="F4993" s="211">
        <f>'IWP13'!I$581</f>
        <v>0</v>
      </c>
      <c r="G4993" s="191" t="str">
        <f>IF('IWP13'!J$581=0,"",'IWP13'!J$581)</f>
        <v/>
      </c>
      <c r="H4993" s="211">
        <f>'IWP13'!K$581</f>
        <v>0</v>
      </c>
      <c r="I4993" s="211">
        <f>'IWP13'!L$581</f>
        <v>0</v>
      </c>
      <c r="J4993" s="212">
        <f>'IWP13'!M$581</f>
        <v>0</v>
      </c>
      <c r="K4993" s="106"/>
      <c r="L4993" s="106"/>
      <c r="M4993" s="129"/>
    </row>
    <row r="4994" spans="1:13" s="146" customFormat="1">
      <c r="A4994" s="193" t="s">
        <v>511</v>
      </c>
      <c r="B4994" s="210">
        <v>15</v>
      </c>
      <c r="C4994" s="191" t="str">
        <f>IF('IWP13'!E$582=0,"",'IWP13'!E$582)</f>
        <v>D.</v>
      </c>
      <c r="D4994" s="211">
        <f>'IWP13'!G$582</f>
        <v>0</v>
      </c>
      <c r="E4994" s="211" t="str">
        <f>'IWP13'!H$582</f>
        <v>E.</v>
      </c>
      <c r="F4994" s="211" t="str">
        <f>'IWP13'!I$582</f>
        <v>F.</v>
      </c>
      <c r="G4994" s="191" t="str">
        <f>IF('IWP13'!J$582=0,"",'IWP13'!J$582)</f>
        <v>G.</v>
      </c>
      <c r="H4994" s="211">
        <f>'IWP13'!K$582</f>
        <v>0</v>
      </c>
      <c r="I4994" s="211" t="str">
        <f>'IWP13'!L$582</f>
        <v>H.</v>
      </c>
      <c r="J4994" s="212" t="str">
        <f>'IWP13'!M$582</f>
        <v>I.</v>
      </c>
      <c r="K4994" s="106"/>
      <c r="L4994" s="106"/>
      <c r="M4994" s="129"/>
    </row>
    <row r="4995" spans="1:13" s="146" customFormat="1">
      <c r="A4995" s="193" t="s">
        <v>511</v>
      </c>
      <c r="B4995" s="210">
        <v>15</v>
      </c>
      <c r="C4995" s="191" t="str">
        <f>IF('IWP13'!E$583=0,"",'IWP13'!E$583)</f>
        <v xml:space="preserve">Items/Services Related to Billing Period </v>
      </c>
      <c r="D4995" s="211">
        <f>'IWP13'!G$583</f>
        <v>0</v>
      </c>
      <c r="E4995" s="211" t="str">
        <f>'IWP13'!H$583</f>
        <v xml:space="preserve">Item/
Service Verified Amounts
</v>
      </c>
      <c r="F4995" s="211" t="str">
        <f>'IWP13'!I$583</f>
        <v>Amount Due to DADS (E. - D.)</v>
      </c>
      <c r="G4995" s="191" t="str">
        <f>IF('IWP13'!J$583=0,"",'IWP13'!J$583)</f>
        <v>Amount Reimbursed to 
Employee(s)/Employer</v>
      </c>
      <c r="H4995" s="211">
        <f>'IWP13'!K$583</f>
        <v>0</v>
      </c>
      <c r="I4995" s="211" t="str">
        <f>'IWP13'!L$583</f>
        <v>Amount Due to Employee(s) (G. - E.)</v>
      </c>
      <c r="J4995" s="212" t="str">
        <f>'IWP13'!M$583</f>
        <v>Amount Due to Employer (G. - E.)</v>
      </c>
      <c r="K4995" s="106"/>
      <c r="L4995" s="106"/>
      <c r="M4995" s="129"/>
    </row>
    <row r="4996" spans="1:13" s="146" customFormat="1">
      <c r="A4996" s="193" t="s">
        <v>511</v>
      </c>
      <c r="B4996" s="210">
        <v>15</v>
      </c>
      <c r="C4996" s="191" t="str">
        <f>IF('IWP13'!E$584=0,"",'IWP13'!E$584)</f>
        <v>Item/Service</v>
      </c>
      <c r="D4996" s="211" t="str">
        <f>'IWP13'!G$584</f>
        <v>Itemized Amount Paid by DADS</v>
      </c>
      <c r="E4996" s="211">
        <f>'IWP13'!H$584</f>
        <v>0</v>
      </c>
      <c r="F4996" s="211">
        <f>'IWP13'!I$584</f>
        <v>0</v>
      </c>
      <c r="G4996" s="191" t="str">
        <f>IF('IWP13'!J$584=0,"",'IWP13'!J$584)</f>
        <v/>
      </c>
      <c r="H4996" s="211">
        <f>'IWP13'!K$584</f>
        <v>0</v>
      </c>
      <c r="I4996" s="211">
        <f>'IWP13'!L$584</f>
        <v>0</v>
      </c>
      <c r="J4996" s="212">
        <f>'IWP13'!M$584</f>
        <v>0</v>
      </c>
      <c r="K4996" s="106"/>
      <c r="L4996" s="106"/>
      <c r="M4996" s="129"/>
    </row>
    <row r="4997" spans="1:13" s="146" customFormat="1">
      <c r="A4997" s="193" t="s">
        <v>511</v>
      </c>
      <c r="B4997" s="210">
        <v>15</v>
      </c>
      <c r="C4997" s="191" t="str">
        <f>IF('IWP13'!E$585=0,"",'IWP13'!E$585)</f>
        <v/>
      </c>
      <c r="D4997" s="211">
        <f>'IWP13'!G$585</f>
        <v>0</v>
      </c>
      <c r="E4997" s="211">
        <f>'IWP13'!H$585</f>
        <v>0</v>
      </c>
      <c r="F4997" s="211">
        <f>'IWP13'!I$585</f>
        <v>0</v>
      </c>
      <c r="G4997" s="191" t="str">
        <f>IF('IWP13'!J$585=0,"",'IWP13'!J$585)</f>
        <v/>
      </c>
      <c r="H4997" s="211">
        <f>'IWP13'!K$585</f>
        <v>0</v>
      </c>
      <c r="I4997" s="211">
        <f>'IWP13'!L$585</f>
        <v>0</v>
      </c>
      <c r="J4997" s="212">
        <f>'IWP13'!M$585</f>
        <v>0</v>
      </c>
      <c r="K4997" s="106"/>
      <c r="L4997" s="106"/>
      <c r="M4997" s="129"/>
    </row>
    <row r="4998" spans="1:13" s="146" customFormat="1">
      <c r="A4998" s="193" t="s">
        <v>511</v>
      </c>
      <c r="B4998" s="210">
        <v>15</v>
      </c>
      <c r="C4998" s="191" t="str">
        <f>IF('IWP13'!E$586=0,"",'IWP13'!E$586)</f>
        <v/>
      </c>
      <c r="D4998" s="211">
        <f>'IWP13'!G$586</f>
        <v>0</v>
      </c>
      <c r="E4998" s="211">
        <f>'IWP13'!H$586</f>
        <v>0</v>
      </c>
      <c r="F4998" s="211">
        <f>'IWP13'!I$586</f>
        <v>0</v>
      </c>
      <c r="G4998" s="191" t="str">
        <f>IF('IWP13'!J$586=0,"",'IWP13'!J$586)</f>
        <v/>
      </c>
      <c r="H4998" s="211">
        <f>'IWP13'!K$586</f>
        <v>0</v>
      </c>
      <c r="I4998" s="211">
        <f>'IWP13'!L$586</f>
        <v>0</v>
      </c>
      <c r="J4998" s="212">
        <f>'IWP13'!M$586</f>
        <v>0</v>
      </c>
      <c r="K4998" s="106"/>
      <c r="L4998" s="106"/>
      <c r="M4998" s="129"/>
    </row>
    <row r="4999" spans="1:13" s="146" customFormat="1">
      <c r="A4999" s="193" t="s">
        <v>511</v>
      </c>
      <c r="B4999" s="210">
        <v>15</v>
      </c>
      <c r="C4999" s="191" t="str">
        <f>IF('IWP13'!E$587=0,"",'IWP13'!E$587)</f>
        <v/>
      </c>
      <c r="D4999" s="211">
        <f>'IWP13'!G$587</f>
        <v>0</v>
      </c>
      <c r="E4999" s="211">
        <f>'IWP13'!H$587</f>
        <v>0</v>
      </c>
      <c r="F4999" s="211">
        <f>'IWP13'!I$587</f>
        <v>0</v>
      </c>
      <c r="G4999" s="191" t="str">
        <f>IF('IWP13'!J$587=0,"",'IWP13'!J$587)</f>
        <v/>
      </c>
      <c r="H4999" s="211">
        <f>'IWP13'!K$587</f>
        <v>0</v>
      </c>
      <c r="I4999" s="211">
        <f>'IWP13'!L$587</f>
        <v>0</v>
      </c>
      <c r="J4999" s="212">
        <f>'IWP13'!M$587</f>
        <v>0</v>
      </c>
      <c r="K4999" s="106"/>
      <c r="L4999" s="106"/>
      <c r="M4999" s="129"/>
    </row>
    <row r="5000" spans="1:13" s="146" customFormat="1">
      <c r="A5000" s="193" t="s">
        <v>511</v>
      </c>
      <c r="B5000" s="210">
        <v>15</v>
      </c>
      <c r="C5000" s="191" t="str">
        <f>IF('IWP13'!E$588=0,"",'IWP13'!E$588)</f>
        <v/>
      </c>
      <c r="D5000" s="211">
        <f>'IWP13'!G$588</f>
        <v>0</v>
      </c>
      <c r="E5000" s="211">
        <f>'IWP13'!H$588</f>
        <v>0</v>
      </c>
      <c r="F5000" s="211">
        <f>'IWP13'!I$588</f>
        <v>0</v>
      </c>
      <c r="G5000" s="191" t="str">
        <f>IF('IWP13'!J$588=0,"",'IWP13'!J$588)</f>
        <v/>
      </c>
      <c r="H5000" s="211">
        <f>'IWP13'!K$588</f>
        <v>0</v>
      </c>
      <c r="I5000" s="211">
        <f>'IWP13'!L$588</f>
        <v>0</v>
      </c>
      <c r="J5000" s="212">
        <f>'IWP13'!M$588</f>
        <v>0</v>
      </c>
      <c r="K5000" s="106"/>
      <c r="L5000" s="106"/>
      <c r="M5000" s="129"/>
    </row>
    <row r="5001" spans="1:13" s="146" customFormat="1">
      <c r="A5001" s="193" t="s">
        <v>511</v>
      </c>
      <c r="B5001" s="210">
        <v>16</v>
      </c>
      <c r="C5001" s="191" t="str">
        <f>IF('IWP13'!E$595=0,"",'IWP13'!E$595)</f>
        <v>Subtotal column D.</v>
      </c>
      <c r="D5001" s="211">
        <f>'IWP13'!G$595</f>
        <v>0</v>
      </c>
      <c r="E5001" s="211">
        <f>'IWP13'!H$595</f>
        <v>0</v>
      </c>
      <c r="F5001" s="211">
        <f>'IWP13'!I$595</f>
        <v>0</v>
      </c>
      <c r="G5001" s="191" t="str">
        <f>IF('IWP13'!J$595=0,"",'IWP13'!J$595)</f>
        <v/>
      </c>
      <c r="H5001" s="211">
        <f>'IWP13'!K$595</f>
        <v>0</v>
      </c>
      <c r="I5001" s="211">
        <f>'IWP13'!L$595</f>
        <v>0</v>
      </c>
      <c r="J5001" s="212">
        <f>'IWP13'!M$595</f>
        <v>0</v>
      </c>
      <c r="K5001" s="106"/>
      <c r="L5001" s="106"/>
      <c r="M5001" s="129"/>
    </row>
    <row r="5002" spans="1:13" s="146" customFormat="1">
      <c r="A5002" s="193" t="s">
        <v>511</v>
      </c>
      <c r="B5002" s="210">
        <v>16</v>
      </c>
      <c r="C5002" s="191" t="str">
        <f>IF('IWP13'!E$596=0,"",'IWP13'!E$596)</f>
        <v>Unverified/Undocumented (Subtotal D - C)</v>
      </c>
      <c r="D5002" s="211">
        <f>'IWP13'!G$596</f>
        <v>0</v>
      </c>
      <c r="E5002" s="211">
        <f>'IWP13'!H$596</f>
        <v>0</v>
      </c>
      <c r="F5002" s="211">
        <f>'IWP13'!I$596</f>
        <v>0</v>
      </c>
      <c r="G5002" s="191" t="str">
        <f>IF('IWP13'!J$596=0,"",'IWP13'!J$596)</f>
        <v/>
      </c>
      <c r="H5002" s="211">
        <f>'IWP13'!K$596</f>
        <v>0</v>
      </c>
      <c r="I5002" s="211">
        <f>'IWP13'!L$596</f>
        <v>0</v>
      </c>
      <c r="J5002" s="212">
        <f>'IWP13'!M$596</f>
        <v>0</v>
      </c>
      <c r="K5002" s="106"/>
      <c r="L5002" s="106"/>
      <c r="M5002" s="129"/>
    </row>
    <row r="5003" spans="1:13" s="146" customFormat="1">
      <c r="A5003" s="193" t="s">
        <v>511</v>
      </c>
      <c r="B5003" s="210">
        <v>16</v>
      </c>
      <c r="C5003" s="191" t="str">
        <f>IF('IWP13'!E$597=0,"",'IWP13'!E$597)</f>
        <v>J. Billing Period Total</v>
      </c>
      <c r="D5003" s="211">
        <f>'IWP13'!G$597</f>
        <v>0</v>
      </c>
      <c r="E5003" s="211">
        <f>'IWP13'!H$597</f>
        <v>0</v>
      </c>
      <c r="F5003" s="211">
        <f>'IWP13'!I$597</f>
        <v>0</v>
      </c>
      <c r="G5003" s="191" t="str">
        <f>IF('IWP13'!J$597=0,"",'IWP13'!J$597)</f>
        <v/>
      </c>
      <c r="H5003" s="211">
        <f>'IWP13'!K$597</f>
        <v>0</v>
      </c>
      <c r="I5003" s="211">
        <f>'IWP13'!L$597</f>
        <v>0</v>
      </c>
      <c r="J5003" s="212">
        <f>'IWP13'!M$597</f>
        <v>0</v>
      </c>
      <c r="K5003" s="106"/>
      <c r="L5003" s="106"/>
      <c r="M5003" s="129"/>
    </row>
    <row r="5004" spans="1:13" s="146" customFormat="1">
      <c r="A5004" s="193" t="s">
        <v>511</v>
      </c>
      <c r="B5004" s="210">
        <v>16</v>
      </c>
      <c r="C5004" s="191" t="str">
        <f>IF('IWP13'!E$598=0,"",'IWP13'!E$598)</f>
        <v>D.</v>
      </c>
      <c r="D5004" s="211">
        <f>'IWP13'!G$598</f>
        <v>0</v>
      </c>
      <c r="E5004" s="211" t="str">
        <f>'IWP13'!H$598</f>
        <v>E.</v>
      </c>
      <c r="F5004" s="211" t="str">
        <f>'IWP13'!I$598</f>
        <v>F.</v>
      </c>
      <c r="G5004" s="191" t="str">
        <f>IF('IWP13'!J$598=0,"",'IWP13'!J$598)</f>
        <v>G.</v>
      </c>
      <c r="H5004" s="211">
        <f>'IWP13'!K$598</f>
        <v>0</v>
      </c>
      <c r="I5004" s="211" t="str">
        <f>'IWP13'!L$598</f>
        <v>H.</v>
      </c>
      <c r="J5004" s="212" t="str">
        <f>'IWP13'!M$598</f>
        <v>I.</v>
      </c>
      <c r="K5004" s="106"/>
      <c r="L5004" s="106"/>
      <c r="M5004" s="129"/>
    </row>
    <row r="5005" spans="1:13" s="146" customFormat="1">
      <c r="A5005" s="193" t="s">
        <v>511</v>
      </c>
      <c r="B5005" s="210">
        <v>16</v>
      </c>
      <c r="C5005" s="191" t="str">
        <f>IF('IWP13'!E$599=0,"",'IWP13'!E$599)</f>
        <v xml:space="preserve">Items/Services Related to Billing Period </v>
      </c>
      <c r="D5005" s="211">
        <f>'IWP13'!G$599</f>
        <v>0</v>
      </c>
      <c r="E5005" s="211" t="str">
        <f>'IWP13'!H$599</f>
        <v xml:space="preserve">Item/
Service Verified Amounts
</v>
      </c>
      <c r="F5005" s="211" t="str">
        <f>'IWP13'!I$599</f>
        <v>Amount Due to DADS (E. - D.)</v>
      </c>
      <c r="G5005" s="191" t="str">
        <f>IF('IWP13'!J$599=0,"",'IWP13'!J$599)</f>
        <v>Amount Reimbursed to 
Employee(s)/Employer</v>
      </c>
      <c r="H5005" s="211">
        <f>'IWP13'!K$599</f>
        <v>0</v>
      </c>
      <c r="I5005" s="211" t="str">
        <f>'IWP13'!L$599</f>
        <v>Amount Due to Employee(s) (G. - E.)</v>
      </c>
      <c r="J5005" s="212" t="str">
        <f>'IWP13'!M$599</f>
        <v>Amount Due to Employer (G. - E.)</v>
      </c>
      <c r="K5005" s="106"/>
      <c r="L5005" s="106"/>
      <c r="M5005" s="129"/>
    </row>
    <row r="5006" spans="1:13" s="146" customFormat="1">
      <c r="A5006" s="193" t="s">
        <v>511</v>
      </c>
      <c r="B5006" s="210">
        <v>16</v>
      </c>
      <c r="C5006" s="191" t="str">
        <f>IF('IWP13'!E$600=0,"",'IWP13'!E$600)</f>
        <v>Item/Service</v>
      </c>
      <c r="D5006" s="211" t="str">
        <f>'IWP13'!G$600</f>
        <v>Itemized Amount Paid by DADS</v>
      </c>
      <c r="E5006" s="211">
        <f>'IWP13'!H$600</f>
        <v>0</v>
      </c>
      <c r="F5006" s="211">
        <f>'IWP13'!I$600</f>
        <v>0</v>
      </c>
      <c r="G5006" s="191" t="str">
        <f>IF('IWP13'!J$600=0,"",'IWP13'!J$600)</f>
        <v/>
      </c>
      <c r="H5006" s="211">
        <f>'IWP13'!K$600</f>
        <v>0</v>
      </c>
      <c r="I5006" s="211">
        <f>'IWP13'!L$600</f>
        <v>0</v>
      </c>
      <c r="J5006" s="212">
        <f>'IWP13'!M$600</f>
        <v>0</v>
      </c>
      <c r="K5006" s="106"/>
      <c r="L5006" s="106"/>
      <c r="M5006" s="129"/>
    </row>
    <row r="5007" spans="1:13" s="146" customFormat="1">
      <c r="A5007" s="193" t="s">
        <v>511</v>
      </c>
      <c r="B5007" s="210">
        <v>16</v>
      </c>
      <c r="C5007" s="191" t="str">
        <f>IF('IWP13'!E$601=0,"",'IWP13'!E$601)</f>
        <v/>
      </c>
      <c r="D5007" s="211">
        <f>'IWP13'!G$601</f>
        <v>0</v>
      </c>
      <c r="E5007" s="211">
        <f>'IWP13'!H$601</f>
        <v>0</v>
      </c>
      <c r="F5007" s="211">
        <f>'IWP13'!I$601</f>
        <v>0</v>
      </c>
      <c r="G5007" s="191" t="str">
        <f>IF('IWP13'!J$601=0,"",'IWP13'!J$601)</f>
        <v/>
      </c>
      <c r="H5007" s="211">
        <f>'IWP13'!K$601</f>
        <v>0</v>
      </c>
      <c r="I5007" s="211">
        <f>'IWP13'!L$601</f>
        <v>0</v>
      </c>
      <c r="J5007" s="212">
        <f>'IWP13'!M$601</f>
        <v>0</v>
      </c>
      <c r="K5007" s="106"/>
      <c r="L5007" s="106"/>
      <c r="M5007" s="129"/>
    </row>
    <row r="5008" spans="1:13" s="146" customFormat="1">
      <c r="A5008" s="193" t="s">
        <v>511</v>
      </c>
      <c r="B5008" s="210">
        <v>16</v>
      </c>
      <c r="C5008" s="191" t="str">
        <f>IF('IWP13'!E$602=0,"",'IWP13'!E$602)</f>
        <v/>
      </c>
      <c r="D5008" s="211">
        <f>'IWP13'!G$602</f>
        <v>0</v>
      </c>
      <c r="E5008" s="211">
        <f>'IWP13'!H$602</f>
        <v>0</v>
      </c>
      <c r="F5008" s="211">
        <f>'IWP13'!I$602</f>
        <v>0</v>
      </c>
      <c r="G5008" s="191" t="str">
        <f>IF('IWP13'!J$602=0,"",'IWP13'!J$602)</f>
        <v/>
      </c>
      <c r="H5008" s="211">
        <f>'IWP13'!K$602</f>
        <v>0</v>
      </c>
      <c r="I5008" s="211">
        <f>'IWP13'!L$602</f>
        <v>0</v>
      </c>
      <c r="J5008" s="212">
        <f>'IWP13'!M$602</f>
        <v>0</v>
      </c>
      <c r="K5008" s="106"/>
      <c r="L5008" s="106"/>
      <c r="M5008" s="129"/>
    </row>
    <row r="5009" spans="1:13" s="146" customFormat="1">
      <c r="A5009" s="193" t="s">
        <v>511</v>
      </c>
      <c r="B5009" s="210">
        <v>16</v>
      </c>
      <c r="C5009" s="191" t="str">
        <f>IF('IWP13'!E$603=0,"",'IWP13'!E$603)</f>
        <v/>
      </c>
      <c r="D5009" s="211">
        <f>'IWP13'!G$603</f>
        <v>0</v>
      </c>
      <c r="E5009" s="211">
        <f>'IWP13'!H$603</f>
        <v>0</v>
      </c>
      <c r="F5009" s="211">
        <f>'IWP13'!I$603</f>
        <v>0</v>
      </c>
      <c r="G5009" s="191" t="str">
        <f>IF('IWP13'!J$603=0,"",'IWP13'!J$603)</f>
        <v/>
      </c>
      <c r="H5009" s="211">
        <f>'IWP13'!K$603</f>
        <v>0</v>
      </c>
      <c r="I5009" s="211">
        <f>'IWP13'!L$603</f>
        <v>0</v>
      </c>
      <c r="J5009" s="212">
        <f>'IWP13'!M$603</f>
        <v>0</v>
      </c>
      <c r="K5009" s="106"/>
      <c r="L5009" s="106"/>
      <c r="M5009" s="129"/>
    </row>
    <row r="5010" spans="1:13" s="146" customFormat="1">
      <c r="A5010" s="193" t="s">
        <v>511</v>
      </c>
      <c r="B5010" s="210">
        <v>16</v>
      </c>
      <c r="C5010" s="191" t="str">
        <f>IF('IWP13'!E$604=0,"",'IWP13'!E$604)</f>
        <v/>
      </c>
      <c r="D5010" s="211">
        <f>'IWP13'!G$604</f>
        <v>0</v>
      </c>
      <c r="E5010" s="211">
        <f>'IWP13'!H$604</f>
        <v>0</v>
      </c>
      <c r="F5010" s="211">
        <f>'IWP13'!I$604</f>
        <v>0</v>
      </c>
      <c r="G5010" s="191" t="str">
        <f>IF('IWP13'!J$604=0,"",'IWP13'!J$604)</f>
        <v/>
      </c>
      <c r="H5010" s="211">
        <f>'IWP13'!K$604</f>
        <v>0</v>
      </c>
      <c r="I5010" s="211">
        <f>'IWP13'!L$604</f>
        <v>0</v>
      </c>
      <c r="J5010" s="212">
        <f>'IWP13'!M$604</f>
        <v>0</v>
      </c>
      <c r="K5010" s="106"/>
      <c r="L5010" s="106"/>
      <c r="M5010" s="129"/>
    </row>
    <row r="5011" spans="1:13" s="146" customFormat="1">
      <c r="A5011" s="193" t="s">
        <v>511</v>
      </c>
      <c r="B5011" s="210">
        <v>17</v>
      </c>
      <c r="C5011" s="191" t="str">
        <f>IF('IWP13'!E$611=0,"",'IWP13'!E$611)</f>
        <v>Subtotal column D.</v>
      </c>
      <c r="D5011" s="211">
        <f>'IWP13'!G$611</f>
        <v>0</v>
      </c>
      <c r="E5011" s="211">
        <f>'IWP13'!H$611</f>
        <v>0</v>
      </c>
      <c r="F5011" s="211">
        <f>'IWP13'!I$611</f>
        <v>0</v>
      </c>
      <c r="G5011" s="191" t="str">
        <f>IF('IWP13'!J$611=0,"",'IWP13'!J$611)</f>
        <v/>
      </c>
      <c r="H5011" s="211">
        <f>'IWP13'!K$611</f>
        <v>0</v>
      </c>
      <c r="I5011" s="211">
        <f>'IWP13'!L$611</f>
        <v>0</v>
      </c>
      <c r="J5011" s="212">
        <f>'IWP13'!M$611</f>
        <v>0</v>
      </c>
      <c r="K5011" s="106"/>
      <c r="L5011" s="106"/>
      <c r="M5011" s="129"/>
    </row>
    <row r="5012" spans="1:13" s="146" customFormat="1">
      <c r="A5012" s="193" t="s">
        <v>511</v>
      </c>
      <c r="B5012" s="210">
        <v>17</v>
      </c>
      <c r="C5012" s="191" t="str">
        <f>IF('IWP13'!E$612=0,"",'IWP13'!E$612)</f>
        <v>Unverified/Undocumented (Subtotal D - C)</v>
      </c>
      <c r="D5012" s="211">
        <f>'IWP13'!G$612</f>
        <v>0</v>
      </c>
      <c r="E5012" s="211">
        <f>'IWP13'!H$612</f>
        <v>0</v>
      </c>
      <c r="F5012" s="211">
        <f>'IWP13'!I$612</f>
        <v>0</v>
      </c>
      <c r="G5012" s="191" t="str">
        <f>IF('IWP13'!J$612=0,"",'IWP13'!J$612)</f>
        <v/>
      </c>
      <c r="H5012" s="211">
        <f>'IWP13'!K$612</f>
        <v>0</v>
      </c>
      <c r="I5012" s="211">
        <f>'IWP13'!L$612</f>
        <v>0</v>
      </c>
      <c r="J5012" s="212">
        <f>'IWP13'!M$612</f>
        <v>0</v>
      </c>
      <c r="K5012" s="106"/>
      <c r="L5012" s="106"/>
      <c r="M5012" s="129"/>
    </row>
    <row r="5013" spans="1:13" s="146" customFormat="1">
      <c r="A5013" s="193" t="s">
        <v>511</v>
      </c>
      <c r="B5013" s="210">
        <v>17</v>
      </c>
      <c r="C5013" s="191" t="str">
        <f>IF('IWP13'!E$613=0,"",'IWP13'!E$613)</f>
        <v>J. Billing Period Total</v>
      </c>
      <c r="D5013" s="211">
        <f>'IWP13'!G$613</f>
        <v>0</v>
      </c>
      <c r="E5013" s="211">
        <f>'IWP13'!H$613</f>
        <v>0</v>
      </c>
      <c r="F5013" s="211">
        <f>'IWP13'!I$613</f>
        <v>0</v>
      </c>
      <c r="G5013" s="191" t="str">
        <f>IF('IWP13'!J$613=0,"",'IWP13'!J$613)</f>
        <v/>
      </c>
      <c r="H5013" s="211">
        <f>'IWP13'!K$613</f>
        <v>0</v>
      </c>
      <c r="I5013" s="211">
        <f>'IWP13'!L$613</f>
        <v>0</v>
      </c>
      <c r="J5013" s="212">
        <f>'IWP13'!M$613</f>
        <v>0</v>
      </c>
      <c r="K5013" s="106"/>
      <c r="L5013" s="106"/>
      <c r="M5013" s="129"/>
    </row>
    <row r="5014" spans="1:13" s="146" customFormat="1">
      <c r="A5014" s="193" t="s">
        <v>511</v>
      </c>
      <c r="B5014" s="210">
        <v>17</v>
      </c>
      <c r="C5014" s="191" t="str">
        <f>IF('IWP13'!E$614=0,"",'IWP13'!E$614)</f>
        <v/>
      </c>
      <c r="D5014" s="211">
        <f>'IWP13'!G$614</f>
        <v>0</v>
      </c>
      <c r="E5014" s="211">
        <f>'IWP13'!H$614</f>
        <v>0</v>
      </c>
      <c r="F5014" s="211">
        <f>'IWP13'!I$614</f>
        <v>0</v>
      </c>
      <c r="G5014" s="191" t="str">
        <f>IF('IWP13'!J$614=0,"",'IWP13'!J$614)</f>
        <v/>
      </c>
      <c r="H5014" s="211">
        <f>'IWP13'!K$614</f>
        <v>0</v>
      </c>
      <c r="I5014" s="211">
        <f>'IWP13'!L$614</f>
        <v>0</v>
      </c>
      <c r="J5014" s="212">
        <f>'IWP13'!M$614</f>
        <v>0</v>
      </c>
      <c r="K5014" s="106"/>
      <c r="L5014" s="106"/>
      <c r="M5014" s="129"/>
    </row>
    <row r="5015" spans="1:13" s="146" customFormat="1">
      <c r="A5015" s="193" t="s">
        <v>511</v>
      </c>
      <c r="B5015" s="210">
        <v>17</v>
      </c>
      <c r="C5015" s="191" t="str">
        <f>IF('IWP13'!E$615=0,"",'IWP13'!E$615)</f>
        <v/>
      </c>
      <c r="D5015" s="211">
        <f>'IWP13'!G$615</f>
        <v>0</v>
      </c>
      <c r="E5015" s="211">
        <f>'IWP13'!H$615</f>
        <v>0</v>
      </c>
      <c r="F5015" s="211">
        <f>'IWP13'!I$615</f>
        <v>0</v>
      </c>
      <c r="G5015" s="191" t="str">
        <f>IF('IWP13'!J$615=0,"",'IWP13'!J$615)</f>
        <v/>
      </c>
      <c r="H5015" s="211">
        <f>'IWP13'!K$615</f>
        <v>0</v>
      </c>
      <c r="I5015" s="211">
        <f>'IWP13'!L$615</f>
        <v>0</v>
      </c>
      <c r="J5015" s="212">
        <f>'IWP13'!M$615</f>
        <v>0</v>
      </c>
      <c r="K5015" s="106"/>
      <c r="L5015" s="106"/>
      <c r="M5015" s="129"/>
    </row>
    <row r="5016" spans="1:13" s="146" customFormat="1">
      <c r="A5016" s="193" t="s">
        <v>511</v>
      </c>
      <c r="B5016" s="210">
        <v>17</v>
      </c>
      <c r="C5016" s="191" t="str">
        <f>IF('IWP13'!E$616=0,"",'IWP13'!E$616)</f>
        <v/>
      </c>
      <c r="D5016" s="211">
        <f>'IWP13'!G$616</f>
        <v>0</v>
      </c>
      <c r="E5016" s="211">
        <f>'IWP13'!H$616</f>
        <v>0</v>
      </c>
      <c r="F5016" s="211">
        <f>'IWP13'!I$616</f>
        <v>0</v>
      </c>
      <c r="G5016" s="191" t="str">
        <f>IF('IWP13'!J$616=0,"",'IWP13'!J$616)</f>
        <v/>
      </c>
      <c r="H5016" s="211">
        <f>'IWP13'!K$616</f>
        <v>0</v>
      </c>
      <c r="I5016" s="211">
        <f>'IWP13'!L$616</f>
        <v>0</v>
      </c>
      <c r="J5016" s="212">
        <f>'IWP13'!M$616</f>
        <v>0</v>
      </c>
      <c r="K5016" s="106"/>
      <c r="L5016" s="106"/>
      <c r="M5016" s="129"/>
    </row>
    <row r="5017" spans="1:13" s="146" customFormat="1">
      <c r="A5017" s="193" t="s">
        <v>511</v>
      </c>
      <c r="B5017" s="210">
        <v>17</v>
      </c>
      <c r="C5017" s="191" t="str">
        <f>IF('IWP13'!E$617=0,"",'IWP13'!E$617)</f>
        <v/>
      </c>
      <c r="D5017" s="211">
        <f>'IWP13'!G$617</f>
        <v>0</v>
      </c>
      <c r="E5017" s="211">
        <f>'IWP13'!H$617</f>
        <v>0</v>
      </c>
      <c r="F5017" s="211">
        <f>'IWP13'!I$617</f>
        <v>0</v>
      </c>
      <c r="G5017" s="191" t="str">
        <f>IF('IWP13'!J$617=0,"",'IWP13'!J$617)</f>
        <v/>
      </c>
      <c r="H5017" s="211">
        <f>'IWP13'!K$617</f>
        <v>0</v>
      </c>
      <c r="I5017" s="211">
        <f>'IWP13'!L$617</f>
        <v>0</v>
      </c>
      <c r="J5017" s="212">
        <f>'IWP13'!M$617</f>
        <v>0</v>
      </c>
      <c r="K5017" s="106"/>
      <c r="L5017" s="106"/>
      <c r="M5017" s="129"/>
    </row>
    <row r="5018" spans="1:13" s="146" customFormat="1">
      <c r="A5018" s="193" t="s">
        <v>511</v>
      </c>
      <c r="B5018" s="210">
        <v>17</v>
      </c>
      <c r="C5018" s="191" t="str">
        <f>IF('IWP13'!E$618=0,"",'IWP13'!E$618)</f>
        <v/>
      </c>
      <c r="D5018" s="211">
        <f>'IWP13'!G$618</f>
        <v>0</v>
      </c>
      <c r="E5018" s="211">
        <f>'IWP13'!H$618</f>
        <v>0</v>
      </c>
      <c r="F5018" s="211">
        <f>'IWP13'!I$618</f>
        <v>0</v>
      </c>
      <c r="G5018" s="191" t="str">
        <f>IF('IWP13'!J$618=0,"",'IWP13'!J$618)</f>
        <v/>
      </c>
      <c r="H5018" s="211">
        <f>'IWP13'!K$618</f>
        <v>0</v>
      </c>
      <c r="I5018" s="211">
        <f>'IWP13'!L$618</f>
        <v>0</v>
      </c>
      <c r="J5018" s="212">
        <f>'IWP13'!M$618</f>
        <v>0</v>
      </c>
      <c r="K5018" s="106"/>
      <c r="L5018" s="106"/>
      <c r="M5018" s="129"/>
    </row>
    <row r="5019" spans="1:13" s="146" customFormat="1">
      <c r="A5019" s="193" t="s">
        <v>511</v>
      </c>
      <c r="B5019" s="210">
        <v>17</v>
      </c>
      <c r="C5019" s="191" t="str">
        <f>IF('IWP13'!E$619=0,"",'IWP13'!E$619)</f>
        <v/>
      </c>
      <c r="D5019" s="211">
        <f>'IWP13'!G$619</f>
        <v>0</v>
      </c>
      <c r="E5019" s="211">
        <f>'IWP13'!H$619</f>
        <v>0</v>
      </c>
      <c r="F5019" s="211">
        <f>'IWP13'!I$619</f>
        <v>0</v>
      </c>
      <c r="G5019" s="191" t="str">
        <f>IF('IWP13'!J$619=0,"",'IWP13'!J$619)</f>
        <v/>
      </c>
      <c r="H5019" s="211">
        <f>'IWP13'!K$619</f>
        <v>0</v>
      </c>
      <c r="I5019" s="211">
        <f>'IWP13'!L$619</f>
        <v>0</v>
      </c>
      <c r="J5019" s="212">
        <f>'IWP13'!M$619</f>
        <v>0</v>
      </c>
      <c r="K5019" s="106"/>
      <c r="L5019" s="106"/>
      <c r="M5019" s="129"/>
    </row>
    <row r="5020" spans="1:13" s="146" customFormat="1">
      <c r="A5020" s="193" t="s">
        <v>511</v>
      </c>
      <c r="B5020" s="210">
        <v>17</v>
      </c>
      <c r="C5020" s="191" t="str">
        <f>IF('IWP13'!E$620=0,"",'IWP13'!E$620)</f>
        <v/>
      </c>
      <c r="D5020" s="211">
        <f>'IWP13'!G$620</f>
        <v>0</v>
      </c>
      <c r="E5020" s="211">
        <f>'IWP13'!H$620</f>
        <v>0</v>
      </c>
      <c r="F5020" s="211">
        <f>'IWP13'!I$620</f>
        <v>0</v>
      </c>
      <c r="G5020" s="191" t="str">
        <f>IF('IWP13'!J$620=0,"",'IWP13'!J$620)</f>
        <v/>
      </c>
      <c r="H5020" s="211">
        <f>'IWP13'!K$620</f>
        <v>0</v>
      </c>
      <c r="I5020" s="211">
        <f>'IWP13'!L$620</f>
        <v>0</v>
      </c>
      <c r="J5020" s="212">
        <f>'IWP13'!M$620</f>
        <v>0</v>
      </c>
      <c r="K5020" s="106"/>
      <c r="L5020" s="106"/>
      <c r="M5020" s="129"/>
    </row>
    <row r="5021" spans="1:13" s="146" customFormat="1">
      <c r="A5021" s="193" t="s">
        <v>511</v>
      </c>
      <c r="B5021" s="210">
        <v>18</v>
      </c>
      <c r="C5021" s="191" t="str">
        <f>IF('IWP13'!E$627=0,"",'IWP13'!E$627)</f>
        <v/>
      </c>
      <c r="D5021" s="211">
        <f>'IWP13'!G$627</f>
        <v>0</v>
      </c>
      <c r="E5021" s="211">
        <f>'IWP13'!H$627</f>
        <v>0</v>
      </c>
      <c r="F5021" s="211">
        <f>'IWP13'!I$627</f>
        <v>0</v>
      </c>
      <c r="G5021" s="191" t="str">
        <f>IF('IWP13'!J$627=0,"",'IWP13'!J$627)</f>
        <v/>
      </c>
      <c r="H5021" s="211">
        <f>'IWP13'!K$627</f>
        <v>0</v>
      </c>
      <c r="I5021" s="211">
        <f>'IWP13'!L$627</f>
        <v>0</v>
      </c>
      <c r="J5021" s="212">
        <f>'IWP13'!M$627</f>
        <v>0</v>
      </c>
      <c r="K5021" s="106"/>
      <c r="L5021" s="106"/>
      <c r="M5021" s="129"/>
    </row>
    <row r="5022" spans="1:13" s="146" customFormat="1">
      <c r="A5022" s="193" t="s">
        <v>511</v>
      </c>
      <c r="B5022" s="210">
        <v>18</v>
      </c>
      <c r="C5022" s="191" t="str">
        <f>IF('IWP13'!E$628=0,"",'IWP13'!E$628)</f>
        <v/>
      </c>
      <c r="D5022" s="211">
        <f>'IWP13'!G$628</f>
        <v>0</v>
      </c>
      <c r="E5022" s="211">
        <f>'IWP13'!H$628</f>
        <v>0</v>
      </c>
      <c r="F5022" s="211">
        <f>'IWP13'!I$628</f>
        <v>0</v>
      </c>
      <c r="G5022" s="191" t="str">
        <f>IF('IWP13'!J$628=0,"",'IWP13'!J$628)</f>
        <v/>
      </c>
      <c r="H5022" s="211">
        <f>'IWP13'!K$628</f>
        <v>0</v>
      </c>
      <c r="I5022" s="211">
        <f>'IWP13'!L$628</f>
        <v>0</v>
      </c>
      <c r="J5022" s="212">
        <f>'IWP13'!M$628</f>
        <v>0</v>
      </c>
      <c r="K5022" s="106"/>
      <c r="L5022" s="106"/>
      <c r="M5022" s="129"/>
    </row>
    <row r="5023" spans="1:13" s="146" customFormat="1">
      <c r="A5023" s="193" t="s">
        <v>511</v>
      </c>
      <c r="B5023" s="210">
        <v>18</v>
      </c>
      <c r="C5023" s="191" t="str">
        <f>IF('IWP13'!E$629=0,"",'IWP13'!E$629)</f>
        <v/>
      </c>
      <c r="D5023" s="211">
        <f>'IWP13'!G$629</f>
        <v>0</v>
      </c>
      <c r="E5023" s="211">
        <f>'IWP13'!H$629</f>
        <v>0</v>
      </c>
      <c r="F5023" s="211">
        <f>'IWP13'!I$629</f>
        <v>0</v>
      </c>
      <c r="G5023" s="191" t="str">
        <f>IF('IWP13'!J$629=0,"",'IWP13'!J$629)</f>
        <v/>
      </c>
      <c r="H5023" s="211">
        <f>'IWP13'!K$629</f>
        <v>0</v>
      </c>
      <c r="I5023" s="211">
        <f>'IWP13'!L$629</f>
        <v>0</v>
      </c>
      <c r="J5023" s="212">
        <f>'IWP13'!M$629</f>
        <v>0</v>
      </c>
      <c r="K5023" s="106"/>
      <c r="L5023" s="106"/>
      <c r="M5023" s="129"/>
    </row>
    <row r="5024" spans="1:13" s="146" customFormat="1">
      <c r="A5024" s="193" t="s">
        <v>511</v>
      </c>
      <c r="B5024" s="210">
        <v>18</v>
      </c>
      <c r="C5024" s="191" t="str">
        <f>IF('IWP13'!E$630=0,"",'IWP13'!E$630)</f>
        <v/>
      </c>
      <c r="D5024" s="211">
        <f>'IWP13'!G$630</f>
        <v>0</v>
      </c>
      <c r="E5024" s="211">
        <f>'IWP13'!H$630</f>
        <v>0</v>
      </c>
      <c r="F5024" s="211">
        <f>'IWP13'!I$630</f>
        <v>0</v>
      </c>
      <c r="G5024" s="191" t="str">
        <f>IF('IWP13'!J$630=0,"",'IWP13'!J$630)</f>
        <v/>
      </c>
      <c r="H5024" s="211">
        <f>'IWP13'!K$630</f>
        <v>0</v>
      </c>
      <c r="I5024" s="211">
        <f>'IWP13'!L$630</f>
        <v>0</v>
      </c>
      <c r="J5024" s="212">
        <f>'IWP13'!M$630</f>
        <v>0</v>
      </c>
      <c r="K5024" s="106"/>
      <c r="L5024" s="106"/>
      <c r="M5024" s="129"/>
    </row>
    <row r="5025" spans="1:13" s="146" customFormat="1">
      <c r="A5025" s="193" t="s">
        <v>511</v>
      </c>
      <c r="B5025" s="210">
        <v>18</v>
      </c>
      <c r="C5025" s="191" t="str">
        <f>IF('IWP13'!E$631=0,"",'IWP13'!E$631)</f>
        <v/>
      </c>
      <c r="D5025" s="211">
        <f>'IWP13'!G$631</f>
        <v>0</v>
      </c>
      <c r="E5025" s="211">
        <f>'IWP13'!H$631</f>
        <v>0</v>
      </c>
      <c r="F5025" s="211">
        <f>'IWP13'!I$631</f>
        <v>0</v>
      </c>
      <c r="G5025" s="191" t="str">
        <f>IF('IWP13'!J$631=0,"",'IWP13'!J$631)</f>
        <v/>
      </c>
      <c r="H5025" s="211">
        <f>'IWP13'!K$631</f>
        <v>0</v>
      </c>
      <c r="I5025" s="211">
        <f>'IWP13'!L$631</f>
        <v>0</v>
      </c>
      <c r="J5025" s="212">
        <f>'IWP13'!M$631</f>
        <v>0</v>
      </c>
      <c r="K5025" s="106"/>
      <c r="L5025" s="106"/>
      <c r="M5025" s="129"/>
    </row>
    <row r="5026" spans="1:13" s="146" customFormat="1">
      <c r="A5026" s="193" t="s">
        <v>511</v>
      </c>
      <c r="B5026" s="210">
        <v>18</v>
      </c>
      <c r="C5026" s="191" t="str">
        <f>IF('IWP13'!E$632=0,"",'IWP13'!E$632)</f>
        <v/>
      </c>
      <c r="D5026" s="211">
        <f>'IWP13'!G$632</f>
        <v>0</v>
      </c>
      <c r="E5026" s="211">
        <f>'IWP13'!H$632</f>
        <v>0</v>
      </c>
      <c r="F5026" s="211">
        <f>'IWP13'!I$632</f>
        <v>0</v>
      </c>
      <c r="G5026" s="191" t="str">
        <f>IF('IWP13'!J$632=0,"",'IWP13'!J$632)</f>
        <v/>
      </c>
      <c r="H5026" s="211">
        <f>'IWP13'!K$632</f>
        <v>0</v>
      </c>
      <c r="I5026" s="211">
        <f>'IWP13'!L$632</f>
        <v>0</v>
      </c>
      <c r="J5026" s="212">
        <f>'IWP13'!M$632</f>
        <v>0</v>
      </c>
      <c r="K5026" s="106"/>
      <c r="L5026" s="106"/>
      <c r="M5026" s="129"/>
    </row>
    <row r="5027" spans="1:13" s="146" customFormat="1">
      <c r="A5027" s="193" t="s">
        <v>511</v>
      </c>
      <c r="B5027" s="210">
        <v>18</v>
      </c>
      <c r="C5027" s="191" t="str">
        <f>IF('IWP13'!E$633=0,"",'IWP13'!E$633)</f>
        <v/>
      </c>
      <c r="D5027" s="211">
        <f>'IWP13'!G$633</f>
        <v>0</v>
      </c>
      <c r="E5027" s="211">
        <f>'IWP13'!H$633</f>
        <v>0</v>
      </c>
      <c r="F5027" s="211">
        <f>'IWP13'!I$633</f>
        <v>0</v>
      </c>
      <c r="G5027" s="191" t="str">
        <f>IF('IWP13'!J$633=0,"",'IWP13'!J$633)</f>
        <v/>
      </c>
      <c r="H5027" s="211">
        <f>'IWP13'!K$633</f>
        <v>0</v>
      </c>
      <c r="I5027" s="211">
        <f>'IWP13'!L$633</f>
        <v>0</v>
      </c>
      <c r="J5027" s="212">
        <f>'IWP13'!M$633</f>
        <v>0</v>
      </c>
      <c r="K5027" s="106"/>
      <c r="L5027" s="106"/>
      <c r="M5027" s="129"/>
    </row>
    <row r="5028" spans="1:13" s="146" customFormat="1">
      <c r="A5028" s="193" t="s">
        <v>511</v>
      </c>
      <c r="B5028" s="210">
        <v>18</v>
      </c>
      <c r="C5028" s="191" t="str">
        <f>IF('IWP13'!E$634=0,"",'IWP13'!E$634)</f>
        <v/>
      </c>
      <c r="D5028" s="211">
        <f>'IWP13'!G$634</f>
        <v>0</v>
      </c>
      <c r="E5028" s="211">
        <f>'IWP13'!H$634</f>
        <v>0</v>
      </c>
      <c r="F5028" s="211">
        <f>'IWP13'!I$634</f>
        <v>0</v>
      </c>
      <c r="G5028" s="191" t="str">
        <f>IF('IWP13'!J$634=0,"",'IWP13'!J$634)</f>
        <v/>
      </c>
      <c r="H5028" s="211">
        <f>'IWP13'!K$634</f>
        <v>0</v>
      </c>
      <c r="I5028" s="211">
        <f>'IWP13'!L$634</f>
        <v>0</v>
      </c>
      <c r="J5028" s="212">
        <f>'IWP13'!M$634</f>
        <v>0</v>
      </c>
      <c r="K5028" s="106"/>
      <c r="L5028" s="106"/>
      <c r="M5028" s="129"/>
    </row>
    <row r="5029" spans="1:13" s="146" customFormat="1">
      <c r="A5029" s="193" t="s">
        <v>511</v>
      </c>
      <c r="B5029" s="210">
        <v>18</v>
      </c>
      <c r="C5029" s="191" t="str">
        <f>IF('IWP13'!E$635=0,"",'IWP13'!E$635)</f>
        <v/>
      </c>
      <c r="D5029" s="211">
        <f>'IWP13'!G$635</f>
        <v>0</v>
      </c>
      <c r="E5029" s="211">
        <f>'IWP13'!H$635</f>
        <v>0</v>
      </c>
      <c r="F5029" s="211">
        <f>'IWP13'!I$635</f>
        <v>0</v>
      </c>
      <c r="G5029" s="191" t="str">
        <f>IF('IWP13'!J$635=0,"",'IWP13'!J$635)</f>
        <v/>
      </c>
      <c r="H5029" s="211">
        <f>'IWP13'!K$635</f>
        <v>0</v>
      </c>
      <c r="I5029" s="211">
        <f>'IWP13'!L$635</f>
        <v>0</v>
      </c>
      <c r="J5029" s="212">
        <f>'IWP13'!M$635</f>
        <v>0</v>
      </c>
      <c r="K5029" s="106"/>
      <c r="L5029" s="106"/>
      <c r="M5029" s="129"/>
    </row>
    <row r="5030" spans="1:13" s="146" customFormat="1">
      <c r="A5030" s="193" t="s">
        <v>511</v>
      </c>
      <c r="B5030" s="210">
        <v>18</v>
      </c>
      <c r="C5030" s="191" t="str">
        <f>IF('IWP13'!E$636=0,"",'IWP13'!E$636)</f>
        <v/>
      </c>
      <c r="D5030" s="211">
        <f>'IWP13'!G$636</f>
        <v>0</v>
      </c>
      <c r="E5030" s="211">
        <f>'IWP13'!H$636</f>
        <v>0</v>
      </c>
      <c r="F5030" s="211">
        <f>'IWP13'!I$636</f>
        <v>0</v>
      </c>
      <c r="G5030" s="191" t="str">
        <f>IF('IWP13'!J$636=0,"",'IWP13'!J$636)</f>
        <v/>
      </c>
      <c r="H5030" s="211">
        <f>'IWP13'!K$636</f>
        <v>0</v>
      </c>
      <c r="I5030" s="211">
        <f>'IWP13'!L$636</f>
        <v>0</v>
      </c>
      <c r="J5030" s="212">
        <f>'IWP13'!M$636</f>
        <v>0</v>
      </c>
      <c r="K5030" s="106"/>
      <c r="L5030" s="106"/>
      <c r="M5030" s="129"/>
    </row>
    <row r="5031" spans="1:13" s="146" customFormat="1">
      <c r="A5031" s="193" t="s">
        <v>512</v>
      </c>
      <c r="B5031" s="210">
        <v>1</v>
      </c>
      <c r="C5031" s="191" t="str">
        <f>IF('IWP14'!E$355=0,"",'IWP14'!E$355)</f>
        <v>Subtotal column D.</v>
      </c>
      <c r="D5031" s="211">
        <f>'IWP14'!G$355</f>
        <v>0</v>
      </c>
      <c r="E5031" s="211">
        <f>'IWP14'!H$355</f>
        <v>0</v>
      </c>
      <c r="F5031" s="211">
        <f>'IWP14'!I$355</f>
        <v>0</v>
      </c>
      <c r="G5031" s="191" t="str">
        <f>IF('IWP14'!J$355=0,"",'IWP14'!J$355)</f>
        <v/>
      </c>
      <c r="H5031" s="211">
        <f>'IWP14'!K$355</f>
        <v>0</v>
      </c>
      <c r="I5031" s="211">
        <f>'IWP14'!L$355</f>
        <v>0</v>
      </c>
      <c r="J5031" s="212">
        <f>'IWP14'!M$355</f>
        <v>0</v>
      </c>
      <c r="K5031" s="106"/>
      <c r="L5031" s="106"/>
      <c r="M5031" s="129"/>
    </row>
    <row r="5032" spans="1:13" s="146" customFormat="1">
      <c r="A5032" s="193" t="s">
        <v>512</v>
      </c>
      <c r="B5032" s="210">
        <v>1</v>
      </c>
      <c r="C5032" s="191" t="str">
        <f>IF('IWP14'!E$356=0,"",'IWP14'!E$356)</f>
        <v>Unverified/Undocumented (Subtotall D - C)</v>
      </c>
      <c r="D5032" s="211">
        <f>'IWP14'!G$356</f>
        <v>0</v>
      </c>
      <c r="E5032" s="211">
        <f>'IWP14'!H$356</f>
        <v>0</v>
      </c>
      <c r="F5032" s="211">
        <f>'IWP14'!I$356</f>
        <v>0</v>
      </c>
      <c r="G5032" s="191" t="str">
        <f>IF('IWP14'!J$356=0,"",'IWP14'!J$356)</f>
        <v/>
      </c>
      <c r="H5032" s="211">
        <f>'IWP14'!K$356</f>
        <v>0</v>
      </c>
      <c r="I5032" s="211">
        <f>'IWP14'!L$356</f>
        <v>0</v>
      </c>
      <c r="J5032" s="212">
        <f>'IWP14'!M$356</f>
        <v>0</v>
      </c>
      <c r="K5032" s="106"/>
      <c r="L5032" s="106"/>
      <c r="M5032" s="129"/>
    </row>
    <row r="5033" spans="1:13" s="146" customFormat="1">
      <c r="A5033" s="193" t="s">
        <v>512</v>
      </c>
      <c r="B5033" s="210">
        <v>1</v>
      </c>
      <c r="C5033" s="191" t="str">
        <f>IF('IWP14'!E$357=0,"",'IWP14'!E$357)</f>
        <v>J. Billing Period Total</v>
      </c>
      <c r="D5033" s="211">
        <f>'IWP14'!G$357</f>
        <v>0</v>
      </c>
      <c r="E5033" s="211">
        <f>'IWP14'!H$357</f>
        <v>0</v>
      </c>
      <c r="F5033" s="211">
        <f>'IWP14'!I$357</f>
        <v>0</v>
      </c>
      <c r="G5033" s="191" t="str">
        <f>IF('IWP14'!J$357=0,"",'IWP14'!J$357)</f>
        <v/>
      </c>
      <c r="H5033" s="211">
        <f>'IWP14'!K$357</f>
        <v>0</v>
      </c>
      <c r="I5033" s="211">
        <f>'IWP14'!L$357</f>
        <v>0</v>
      </c>
      <c r="J5033" s="212">
        <f>'IWP14'!M$357</f>
        <v>0</v>
      </c>
      <c r="K5033" s="106"/>
      <c r="L5033" s="106"/>
      <c r="M5033" s="129"/>
    </row>
    <row r="5034" spans="1:13" s="146" customFormat="1">
      <c r="A5034" s="193" t="s">
        <v>512</v>
      </c>
      <c r="B5034" s="210">
        <v>1</v>
      </c>
      <c r="C5034" s="191" t="str">
        <f>IF('IWP14'!E$358=0,"",'IWP14'!E$358)</f>
        <v>D.</v>
      </c>
      <c r="D5034" s="211">
        <f>'IWP14'!G$358</f>
        <v>0</v>
      </c>
      <c r="E5034" s="211" t="str">
        <f>'IWP14'!H$358</f>
        <v>E.</v>
      </c>
      <c r="F5034" s="211" t="str">
        <f>'IWP14'!I$358</f>
        <v>F.</v>
      </c>
      <c r="G5034" s="191" t="str">
        <f>IF('IWP14'!J$358=0,"",'IWP14'!J$358)</f>
        <v>G.</v>
      </c>
      <c r="H5034" s="211">
        <f>'IWP14'!K$358</f>
        <v>0</v>
      </c>
      <c r="I5034" s="211" t="str">
        <f>'IWP14'!L$358</f>
        <v>H.</v>
      </c>
      <c r="J5034" s="212" t="str">
        <f>'IWP14'!M$358</f>
        <v>I.</v>
      </c>
      <c r="K5034" s="106"/>
      <c r="L5034" s="106"/>
      <c r="M5034" s="129"/>
    </row>
    <row r="5035" spans="1:13" s="146" customFormat="1">
      <c r="A5035" s="193" t="s">
        <v>512</v>
      </c>
      <c r="B5035" s="210">
        <v>1</v>
      </c>
      <c r="C5035" s="191" t="str">
        <f>IF('IWP14'!E$359=0,"",'IWP14'!E$359)</f>
        <v xml:space="preserve">Items/Services Related to Billing Period </v>
      </c>
      <c r="D5035" s="211">
        <f>'IWP14'!G$359</f>
        <v>0</v>
      </c>
      <c r="E5035" s="211" t="str">
        <f>'IWP14'!H$359</f>
        <v xml:space="preserve">Item/
Service Verified Amounts
</v>
      </c>
      <c r="F5035" s="211" t="str">
        <f>'IWP14'!I$359</f>
        <v>Amount Due to DADS (E. - D.)</v>
      </c>
      <c r="G5035" s="191" t="str">
        <f>IF('IWP14'!J$359=0,"",'IWP14'!J$359)</f>
        <v>Amount Reimbursed to 
Employee(s)/Employer</v>
      </c>
      <c r="H5035" s="211">
        <f>'IWP14'!K$359</f>
        <v>0</v>
      </c>
      <c r="I5035" s="211" t="str">
        <f>'IWP14'!L$359</f>
        <v>Amount Due to Employee(s) (G. - E.)</v>
      </c>
      <c r="J5035" s="212" t="str">
        <f>'IWP14'!M$359</f>
        <v>Amount Due to Employer (G. - E.)</v>
      </c>
      <c r="K5035" s="106"/>
      <c r="L5035" s="106"/>
      <c r="M5035" s="129"/>
    </row>
    <row r="5036" spans="1:13" s="146" customFormat="1">
      <c r="A5036" s="193" t="s">
        <v>512</v>
      </c>
      <c r="B5036" s="210">
        <v>1</v>
      </c>
      <c r="C5036" s="191" t="str">
        <f>IF('IWP14'!E$360=0,"",'IWP14'!E$360)</f>
        <v>Item/Service</v>
      </c>
      <c r="D5036" s="211" t="str">
        <f>'IWP14'!G$360</f>
        <v>Itemized Amount Paid by DADS</v>
      </c>
      <c r="E5036" s="211">
        <f>'IWP14'!H$360</f>
        <v>0</v>
      </c>
      <c r="F5036" s="211">
        <f>'IWP14'!I$360</f>
        <v>0</v>
      </c>
      <c r="G5036" s="191" t="str">
        <f>IF('IWP14'!J$360=0,"",'IWP14'!J$360)</f>
        <v/>
      </c>
      <c r="H5036" s="211">
        <f>'IWP14'!K$360</f>
        <v>0</v>
      </c>
      <c r="I5036" s="211">
        <f>'IWP14'!L$360</f>
        <v>0</v>
      </c>
      <c r="J5036" s="212">
        <f>'IWP14'!M$360</f>
        <v>0</v>
      </c>
      <c r="K5036" s="106"/>
      <c r="L5036" s="106"/>
      <c r="M5036" s="129"/>
    </row>
    <row r="5037" spans="1:13" s="146" customFormat="1">
      <c r="A5037" s="193" t="s">
        <v>512</v>
      </c>
      <c r="B5037" s="210">
        <v>1</v>
      </c>
      <c r="C5037" s="191" t="str">
        <f>IF('IWP14'!E$361=0,"",'IWP14'!E$361)</f>
        <v/>
      </c>
      <c r="D5037" s="211">
        <f>'IWP14'!G$361</f>
        <v>0</v>
      </c>
      <c r="E5037" s="211">
        <f>'IWP14'!H$361</f>
        <v>0</v>
      </c>
      <c r="F5037" s="211">
        <f>'IWP14'!I$361</f>
        <v>0</v>
      </c>
      <c r="G5037" s="191" t="str">
        <f>IF('IWP14'!J$361=0,"",'IWP14'!J$361)</f>
        <v/>
      </c>
      <c r="H5037" s="211">
        <f>'IWP14'!K$361</f>
        <v>0</v>
      </c>
      <c r="I5037" s="211">
        <f>'IWP14'!L$361</f>
        <v>0</v>
      </c>
      <c r="J5037" s="212">
        <f>'IWP14'!M$361</f>
        <v>0</v>
      </c>
      <c r="K5037" s="106"/>
      <c r="L5037" s="106"/>
      <c r="M5037" s="129"/>
    </row>
    <row r="5038" spans="1:13" s="146" customFormat="1">
      <c r="A5038" s="193" t="s">
        <v>512</v>
      </c>
      <c r="B5038" s="210">
        <v>1</v>
      </c>
      <c r="C5038" s="191" t="str">
        <f>IF('IWP14'!E$362=0,"",'IWP14'!E$362)</f>
        <v/>
      </c>
      <c r="D5038" s="211">
        <f>'IWP14'!G$362</f>
        <v>0</v>
      </c>
      <c r="E5038" s="211">
        <f>'IWP14'!H$362</f>
        <v>0</v>
      </c>
      <c r="F5038" s="211">
        <f>'IWP14'!I$362</f>
        <v>0</v>
      </c>
      <c r="G5038" s="191" t="str">
        <f>IF('IWP14'!J$362=0,"",'IWP14'!J$362)</f>
        <v/>
      </c>
      <c r="H5038" s="211">
        <f>'IWP14'!K$362</f>
        <v>0</v>
      </c>
      <c r="I5038" s="211">
        <f>'IWP14'!L$362</f>
        <v>0</v>
      </c>
      <c r="J5038" s="212">
        <f>'IWP14'!M$362</f>
        <v>0</v>
      </c>
      <c r="K5038" s="106"/>
      <c r="L5038" s="106"/>
      <c r="M5038" s="129"/>
    </row>
    <row r="5039" spans="1:13" s="146" customFormat="1">
      <c r="A5039" s="193" t="s">
        <v>512</v>
      </c>
      <c r="B5039" s="210">
        <v>1</v>
      </c>
      <c r="C5039" s="191" t="str">
        <f>IF('IWP14'!E$363=0,"",'IWP14'!E$363)</f>
        <v/>
      </c>
      <c r="D5039" s="211">
        <f>'IWP14'!G$363</f>
        <v>0</v>
      </c>
      <c r="E5039" s="211">
        <f>'IWP14'!H$363</f>
        <v>0</v>
      </c>
      <c r="F5039" s="211">
        <f>'IWP14'!I$363</f>
        <v>0</v>
      </c>
      <c r="G5039" s="191" t="str">
        <f>IF('IWP14'!J$363=0,"",'IWP14'!J$363)</f>
        <v/>
      </c>
      <c r="H5039" s="211">
        <f>'IWP14'!K$363</f>
        <v>0</v>
      </c>
      <c r="I5039" s="211">
        <f>'IWP14'!L$363</f>
        <v>0</v>
      </c>
      <c r="J5039" s="212">
        <f>'IWP14'!M$363</f>
        <v>0</v>
      </c>
      <c r="K5039" s="106"/>
      <c r="L5039" s="106"/>
      <c r="M5039" s="129"/>
    </row>
    <row r="5040" spans="1:13" s="146" customFormat="1">
      <c r="A5040" s="193" t="s">
        <v>512</v>
      </c>
      <c r="B5040" s="210">
        <v>1</v>
      </c>
      <c r="C5040" s="191" t="str">
        <f>IF('IWP14'!E$364=0,"",'IWP14'!E$364)</f>
        <v/>
      </c>
      <c r="D5040" s="211">
        <f>'IWP14'!G$364</f>
        <v>0</v>
      </c>
      <c r="E5040" s="211">
        <f>'IWP14'!H$364</f>
        <v>0</v>
      </c>
      <c r="F5040" s="211">
        <f>'IWP14'!I$364</f>
        <v>0</v>
      </c>
      <c r="G5040" s="191" t="str">
        <f>IF('IWP14'!J$364=0,"",'IWP14'!J$364)</f>
        <v/>
      </c>
      <c r="H5040" s="211">
        <f>'IWP14'!K$364</f>
        <v>0</v>
      </c>
      <c r="I5040" s="211">
        <f>'IWP14'!L$364</f>
        <v>0</v>
      </c>
      <c r="J5040" s="212">
        <f>'IWP14'!M$364</f>
        <v>0</v>
      </c>
      <c r="K5040" s="106"/>
      <c r="L5040" s="106"/>
      <c r="M5040" s="129"/>
    </row>
    <row r="5041" spans="1:13" s="146" customFormat="1">
      <c r="A5041" s="193" t="s">
        <v>512</v>
      </c>
      <c r="B5041" s="210">
        <v>2</v>
      </c>
      <c r="C5041" s="191" t="str">
        <f>IF('IWP14'!E$371=0,"",'IWP14'!E$371)</f>
        <v>Subtotal column D.</v>
      </c>
      <c r="D5041" s="211">
        <f>'IWP14'!G$371</f>
        <v>0</v>
      </c>
      <c r="E5041" s="211">
        <f>'IWP14'!H$371</f>
        <v>0</v>
      </c>
      <c r="F5041" s="211">
        <f>'IWP14'!I$371</f>
        <v>0</v>
      </c>
      <c r="G5041" s="191" t="str">
        <f>IF('IWP14'!J$371=0,"",'IWP14'!J$371)</f>
        <v/>
      </c>
      <c r="H5041" s="211">
        <f>'IWP14'!K$371</f>
        <v>0</v>
      </c>
      <c r="I5041" s="211">
        <f>'IWP14'!L$371</f>
        <v>0</v>
      </c>
      <c r="J5041" s="212">
        <f>'IWP14'!M$371</f>
        <v>0</v>
      </c>
      <c r="K5041" s="106"/>
      <c r="L5041" s="106"/>
      <c r="M5041" s="129"/>
    </row>
    <row r="5042" spans="1:13" s="146" customFormat="1">
      <c r="A5042" s="193" t="s">
        <v>512</v>
      </c>
      <c r="B5042" s="210">
        <v>2</v>
      </c>
      <c r="C5042" s="191" t="str">
        <f>IF('IWP14'!E$372=0,"",'IWP14'!E$372)</f>
        <v>Unverified/Undocumented (Subtotal D - C)</v>
      </c>
      <c r="D5042" s="211">
        <f>'IWP14'!G$372</f>
        <v>0</v>
      </c>
      <c r="E5042" s="211">
        <f>'IWP14'!H$372</f>
        <v>0</v>
      </c>
      <c r="F5042" s="211">
        <f>'IWP14'!I$372</f>
        <v>0</v>
      </c>
      <c r="G5042" s="191" t="str">
        <f>IF('IWP14'!J$372=0,"",'IWP14'!J$372)</f>
        <v/>
      </c>
      <c r="H5042" s="211">
        <f>'IWP14'!K$372</f>
        <v>0</v>
      </c>
      <c r="I5042" s="211">
        <f>'IWP14'!L$372</f>
        <v>0</v>
      </c>
      <c r="J5042" s="212">
        <f>'IWP14'!M$372</f>
        <v>0</v>
      </c>
      <c r="K5042" s="106"/>
      <c r="L5042" s="106"/>
      <c r="M5042" s="129"/>
    </row>
    <row r="5043" spans="1:13" s="146" customFormat="1">
      <c r="A5043" s="193" t="s">
        <v>512</v>
      </c>
      <c r="B5043" s="210">
        <v>2</v>
      </c>
      <c r="C5043" s="191" t="str">
        <f>IF('IWP14'!E$373=0,"",'IWP14'!E$373)</f>
        <v>J. Billing Period Total</v>
      </c>
      <c r="D5043" s="211">
        <f>'IWP14'!G$373</f>
        <v>0</v>
      </c>
      <c r="E5043" s="211">
        <f>'IWP14'!H$373</f>
        <v>0</v>
      </c>
      <c r="F5043" s="211">
        <f>'IWP14'!I$373</f>
        <v>0</v>
      </c>
      <c r="G5043" s="191" t="str">
        <f>IF('IWP14'!J$373=0,"",'IWP14'!J$373)</f>
        <v/>
      </c>
      <c r="H5043" s="211">
        <f>'IWP14'!K$373</f>
        <v>0</v>
      </c>
      <c r="I5043" s="211">
        <f>'IWP14'!L$373</f>
        <v>0</v>
      </c>
      <c r="J5043" s="212">
        <f>'IWP14'!M$373</f>
        <v>0</v>
      </c>
      <c r="K5043" s="106"/>
      <c r="L5043" s="106"/>
      <c r="M5043" s="129"/>
    </row>
    <row r="5044" spans="1:13" s="146" customFormat="1">
      <c r="A5044" s="193" t="s">
        <v>512</v>
      </c>
      <c r="B5044" s="210">
        <v>2</v>
      </c>
      <c r="C5044" s="191" t="str">
        <f>IF('IWP14'!E$374=0,"",'IWP14'!E$374)</f>
        <v>D.</v>
      </c>
      <c r="D5044" s="211">
        <f>'IWP14'!G$374</f>
        <v>0</v>
      </c>
      <c r="E5044" s="211" t="str">
        <f>'IWP14'!H$374</f>
        <v>E.</v>
      </c>
      <c r="F5044" s="211" t="str">
        <f>'IWP14'!I$374</f>
        <v>F.</v>
      </c>
      <c r="G5044" s="191" t="str">
        <f>IF('IWP14'!J$374=0,"",'IWP14'!J$374)</f>
        <v>G.</v>
      </c>
      <c r="H5044" s="211">
        <f>'IWP14'!K$374</f>
        <v>0</v>
      </c>
      <c r="I5044" s="211" t="str">
        <f>'IWP14'!L$374</f>
        <v>H.</v>
      </c>
      <c r="J5044" s="212" t="str">
        <f>'IWP14'!M$374</f>
        <v>I.</v>
      </c>
      <c r="K5044" s="106"/>
      <c r="L5044" s="106"/>
      <c r="M5044" s="129"/>
    </row>
    <row r="5045" spans="1:13" s="146" customFormat="1">
      <c r="A5045" s="193" t="s">
        <v>512</v>
      </c>
      <c r="B5045" s="210">
        <v>2</v>
      </c>
      <c r="C5045" s="191" t="str">
        <f>IF('IWP14'!E$375=0,"",'IWP14'!E$375)</f>
        <v xml:space="preserve">Items/Services Related to Billing Period </v>
      </c>
      <c r="D5045" s="211">
        <f>'IWP14'!G$375</f>
        <v>0</v>
      </c>
      <c r="E5045" s="211" t="str">
        <f>'IWP14'!H$375</f>
        <v xml:space="preserve">Item/
Service Verified Amounts
</v>
      </c>
      <c r="F5045" s="211" t="str">
        <f>'IWP14'!I$375</f>
        <v>Amount Due to DADS (E. - D.)</v>
      </c>
      <c r="G5045" s="191" t="str">
        <f>IF('IWP14'!J$375=0,"",'IWP14'!J$375)</f>
        <v>Amount Reimbursed to 
Employee(s)/Employer</v>
      </c>
      <c r="H5045" s="211">
        <f>'IWP14'!K$375</f>
        <v>0</v>
      </c>
      <c r="I5045" s="211" t="str">
        <f>'IWP14'!L$375</f>
        <v>Amount Due to Employee(s) (G. - E.)</v>
      </c>
      <c r="J5045" s="212" t="str">
        <f>'IWP14'!M$375</f>
        <v>Amount Due to Employer (G. - E.)</v>
      </c>
      <c r="K5045" s="106"/>
      <c r="L5045" s="106"/>
      <c r="M5045" s="129"/>
    </row>
    <row r="5046" spans="1:13" s="146" customFormat="1">
      <c r="A5046" s="193" t="s">
        <v>512</v>
      </c>
      <c r="B5046" s="210">
        <v>2</v>
      </c>
      <c r="C5046" s="191" t="str">
        <f>IF('IWP14'!E$376=0,"",'IWP14'!E$376)</f>
        <v>Item/Service</v>
      </c>
      <c r="D5046" s="211" t="str">
        <f>'IWP14'!G$376</f>
        <v>Itemized Amount Paid by DADS</v>
      </c>
      <c r="E5046" s="211">
        <f>'IWP14'!H$376</f>
        <v>0</v>
      </c>
      <c r="F5046" s="211">
        <f>'IWP14'!I$376</f>
        <v>0</v>
      </c>
      <c r="G5046" s="191" t="str">
        <f>IF('IWP14'!J$376=0,"",'IWP14'!J$376)</f>
        <v/>
      </c>
      <c r="H5046" s="211">
        <f>'IWP14'!K$376</f>
        <v>0</v>
      </c>
      <c r="I5046" s="211">
        <f>'IWP14'!L$376</f>
        <v>0</v>
      </c>
      <c r="J5046" s="212">
        <f>'IWP14'!M$376</f>
        <v>0</v>
      </c>
      <c r="K5046" s="106"/>
      <c r="L5046" s="106"/>
      <c r="M5046" s="129"/>
    </row>
    <row r="5047" spans="1:13" s="146" customFormat="1">
      <c r="A5047" s="193" t="s">
        <v>512</v>
      </c>
      <c r="B5047" s="210">
        <v>2</v>
      </c>
      <c r="C5047" s="191" t="str">
        <f>IF('IWP14'!E$377=0,"",'IWP14'!E$377)</f>
        <v/>
      </c>
      <c r="D5047" s="211">
        <f>'IWP14'!G$377</f>
        <v>0</v>
      </c>
      <c r="E5047" s="211">
        <f>'IWP14'!H$377</f>
        <v>0</v>
      </c>
      <c r="F5047" s="211">
        <f>'IWP14'!I$377</f>
        <v>0</v>
      </c>
      <c r="G5047" s="191" t="str">
        <f>IF('IWP14'!J$377=0,"",'IWP14'!J$377)</f>
        <v/>
      </c>
      <c r="H5047" s="211">
        <f>'IWP14'!K$377</f>
        <v>0</v>
      </c>
      <c r="I5047" s="211">
        <f>'IWP14'!L$377</f>
        <v>0</v>
      </c>
      <c r="J5047" s="212">
        <f>'IWP14'!M$377</f>
        <v>0</v>
      </c>
      <c r="K5047" s="106"/>
      <c r="L5047" s="106"/>
      <c r="M5047" s="129"/>
    </row>
    <row r="5048" spans="1:13" s="146" customFormat="1">
      <c r="A5048" s="193" t="s">
        <v>512</v>
      </c>
      <c r="B5048" s="210">
        <v>2</v>
      </c>
      <c r="C5048" s="191" t="str">
        <f>IF('IWP14'!E$378=0,"",'IWP14'!E$378)</f>
        <v/>
      </c>
      <c r="D5048" s="211">
        <f>'IWP14'!G$378</f>
        <v>0</v>
      </c>
      <c r="E5048" s="211">
        <f>'IWP14'!H$378</f>
        <v>0</v>
      </c>
      <c r="F5048" s="211">
        <f>'IWP14'!I$378</f>
        <v>0</v>
      </c>
      <c r="G5048" s="191" t="str">
        <f>IF('IWP14'!J$378=0,"",'IWP14'!J$378)</f>
        <v/>
      </c>
      <c r="H5048" s="211">
        <f>'IWP14'!K$378</f>
        <v>0</v>
      </c>
      <c r="I5048" s="211">
        <f>'IWP14'!L$378</f>
        <v>0</v>
      </c>
      <c r="J5048" s="212">
        <f>'IWP14'!M$378</f>
        <v>0</v>
      </c>
      <c r="K5048" s="106"/>
      <c r="L5048" s="106"/>
      <c r="M5048" s="129"/>
    </row>
    <row r="5049" spans="1:13" s="146" customFormat="1">
      <c r="A5049" s="193" t="s">
        <v>512</v>
      </c>
      <c r="B5049" s="210">
        <v>2</v>
      </c>
      <c r="C5049" s="191" t="str">
        <f>IF('IWP14'!E$379=0,"",'IWP14'!E$379)</f>
        <v/>
      </c>
      <c r="D5049" s="211">
        <f>'IWP14'!G$379</f>
        <v>0</v>
      </c>
      <c r="E5049" s="211">
        <f>'IWP14'!H$379</f>
        <v>0</v>
      </c>
      <c r="F5049" s="211">
        <f>'IWP14'!I$379</f>
        <v>0</v>
      </c>
      <c r="G5049" s="191" t="str">
        <f>IF('IWP14'!J$379=0,"",'IWP14'!J$379)</f>
        <v/>
      </c>
      <c r="H5049" s="211">
        <f>'IWP14'!K$379</f>
        <v>0</v>
      </c>
      <c r="I5049" s="211">
        <f>'IWP14'!L$379</f>
        <v>0</v>
      </c>
      <c r="J5049" s="212">
        <f>'IWP14'!M$379</f>
        <v>0</v>
      </c>
      <c r="K5049" s="106"/>
      <c r="L5049" s="106"/>
      <c r="M5049" s="129"/>
    </row>
    <row r="5050" spans="1:13" s="146" customFormat="1">
      <c r="A5050" s="193" t="s">
        <v>512</v>
      </c>
      <c r="B5050" s="210">
        <v>2</v>
      </c>
      <c r="C5050" s="191" t="str">
        <f>IF('IWP14'!E$380=0,"",'IWP14'!E$380)</f>
        <v/>
      </c>
      <c r="D5050" s="211">
        <f>'IWP14'!G$380</f>
        <v>0</v>
      </c>
      <c r="E5050" s="211">
        <f>'IWP14'!H$380</f>
        <v>0</v>
      </c>
      <c r="F5050" s="211">
        <f>'IWP14'!I$380</f>
        <v>0</v>
      </c>
      <c r="G5050" s="191" t="str">
        <f>IF('IWP14'!J$380=0,"",'IWP14'!J$380)</f>
        <v/>
      </c>
      <c r="H5050" s="211">
        <f>'IWP14'!K$380</f>
        <v>0</v>
      </c>
      <c r="I5050" s="211">
        <f>'IWP14'!L$380</f>
        <v>0</v>
      </c>
      <c r="J5050" s="212">
        <f>'IWP14'!M$380</f>
        <v>0</v>
      </c>
      <c r="K5050" s="106"/>
      <c r="L5050" s="106"/>
      <c r="M5050" s="129"/>
    </row>
    <row r="5051" spans="1:13" s="146" customFormat="1">
      <c r="A5051" s="193" t="s">
        <v>512</v>
      </c>
      <c r="B5051" s="210">
        <v>3</v>
      </c>
      <c r="C5051" s="191" t="str">
        <f>IF('IWP14'!E$387=0,"",'IWP14'!E$387)</f>
        <v>Subtotal column D.</v>
      </c>
      <c r="D5051" s="211">
        <f>'IWP14'!G$387</f>
        <v>0</v>
      </c>
      <c r="E5051" s="211">
        <f>'IWP14'!H$387</f>
        <v>0</v>
      </c>
      <c r="F5051" s="211">
        <f>'IWP14'!I$387</f>
        <v>0</v>
      </c>
      <c r="G5051" s="191" t="str">
        <f>IF('IWP14'!J$387=0,"",'IWP14'!J$387)</f>
        <v/>
      </c>
      <c r="H5051" s="211">
        <f>'IWP14'!K$387</f>
        <v>0</v>
      </c>
      <c r="I5051" s="211">
        <f>'IWP14'!L$387</f>
        <v>0</v>
      </c>
      <c r="J5051" s="212">
        <f>'IWP14'!M$387</f>
        <v>0</v>
      </c>
      <c r="K5051" s="106"/>
      <c r="L5051" s="106"/>
      <c r="M5051" s="129"/>
    </row>
    <row r="5052" spans="1:13" s="146" customFormat="1">
      <c r="A5052" s="193" t="s">
        <v>512</v>
      </c>
      <c r="B5052" s="210">
        <v>3</v>
      </c>
      <c r="C5052" s="191" t="str">
        <f>IF('IWP14'!E$388=0,"",'IWP14'!E$388)</f>
        <v>Unverified/Undocumented (Subtotal D - C)</v>
      </c>
      <c r="D5052" s="211">
        <f>'IWP14'!G$388</f>
        <v>0</v>
      </c>
      <c r="E5052" s="211">
        <f>'IWP14'!H$388</f>
        <v>0</v>
      </c>
      <c r="F5052" s="211">
        <f>'IWP14'!I$388</f>
        <v>0</v>
      </c>
      <c r="G5052" s="191" t="str">
        <f>IF('IWP14'!J$388=0,"",'IWP14'!J$388)</f>
        <v/>
      </c>
      <c r="H5052" s="211">
        <f>'IWP14'!K$388</f>
        <v>0</v>
      </c>
      <c r="I5052" s="211">
        <f>'IWP14'!L$388</f>
        <v>0</v>
      </c>
      <c r="J5052" s="212">
        <f>'IWP14'!M$388</f>
        <v>0</v>
      </c>
      <c r="K5052" s="106"/>
      <c r="L5052" s="106"/>
      <c r="M5052" s="129"/>
    </row>
    <row r="5053" spans="1:13" s="146" customFormat="1">
      <c r="A5053" s="193" t="s">
        <v>512</v>
      </c>
      <c r="B5053" s="210">
        <v>3</v>
      </c>
      <c r="C5053" s="191" t="str">
        <f>IF('IWP14'!E$389=0,"",'IWP14'!E$389)</f>
        <v>J. Billing Period Total</v>
      </c>
      <c r="D5053" s="211">
        <f>'IWP14'!G$389</f>
        <v>0</v>
      </c>
      <c r="E5053" s="211">
        <f>'IWP14'!H$389</f>
        <v>0</v>
      </c>
      <c r="F5053" s="211">
        <f>'IWP14'!I$389</f>
        <v>0</v>
      </c>
      <c r="G5053" s="191" t="str">
        <f>IF('IWP14'!J$389=0,"",'IWP14'!J$389)</f>
        <v/>
      </c>
      <c r="H5053" s="211">
        <f>'IWP14'!K$389</f>
        <v>0</v>
      </c>
      <c r="I5053" s="211">
        <f>'IWP14'!L$389</f>
        <v>0</v>
      </c>
      <c r="J5053" s="212">
        <f>'IWP14'!M$389</f>
        <v>0</v>
      </c>
      <c r="K5053" s="106"/>
      <c r="L5053" s="106"/>
      <c r="M5053" s="129"/>
    </row>
    <row r="5054" spans="1:13" s="146" customFormat="1">
      <c r="A5054" s="193" t="s">
        <v>512</v>
      </c>
      <c r="B5054" s="210">
        <v>3</v>
      </c>
      <c r="C5054" s="191" t="str">
        <f>IF('IWP14'!E$390=0,"",'IWP14'!E$390)</f>
        <v>D.</v>
      </c>
      <c r="D5054" s="211">
        <f>'IWP14'!G$390</f>
        <v>0</v>
      </c>
      <c r="E5054" s="211" t="str">
        <f>'IWP14'!H$390</f>
        <v>E.</v>
      </c>
      <c r="F5054" s="211" t="str">
        <f>'IWP14'!I$390</f>
        <v>F.</v>
      </c>
      <c r="G5054" s="191" t="str">
        <f>IF('IWP14'!J$390=0,"",'IWP14'!J$390)</f>
        <v>G.</v>
      </c>
      <c r="H5054" s="211">
        <f>'IWP14'!K$390</f>
        <v>0</v>
      </c>
      <c r="I5054" s="211" t="str">
        <f>'IWP14'!L$390</f>
        <v>H.</v>
      </c>
      <c r="J5054" s="212" t="str">
        <f>'IWP14'!M$390</f>
        <v>I.</v>
      </c>
      <c r="K5054" s="106"/>
      <c r="L5054" s="106"/>
      <c r="M5054" s="129"/>
    </row>
    <row r="5055" spans="1:13" s="146" customFormat="1">
      <c r="A5055" s="193" t="s">
        <v>512</v>
      </c>
      <c r="B5055" s="210">
        <v>3</v>
      </c>
      <c r="C5055" s="191" t="str">
        <f>IF('IWP14'!E$391=0,"",'IWP14'!E$391)</f>
        <v xml:space="preserve">Items/Services Related to Billing Period </v>
      </c>
      <c r="D5055" s="211">
        <f>'IWP14'!G$391</f>
        <v>0</v>
      </c>
      <c r="E5055" s="211" t="str">
        <f>'IWP14'!H$391</f>
        <v xml:space="preserve">Item/
Service Verified Amounts
</v>
      </c>
      <c r="F5055" s="211" t="str">
        <f>'IWP14'!I$391</f>
        <v>Amount Due to DADS (E. - D.)</v>
      </c>
      <c r="G5055" s="191" t="str">
        <f>IF('IWP14'!J$391=0,"",'IWP14'!J$391)</f>
        <v>Amount Reimbursed to 
Employee(s)/Employer</v>
      </c>
      <c r="H5055" s="211">
        <f>'IWP14'!K$391</f>
        <v>0</v>
      </c>
      <c r="I5055" s="211" t="str">
        <f>'IWP14'!L$391</f>
        <v>Amount Due to Employee(s) (G. - E.)</v>
      </c>
      <c r="J5055" s="212" t="str">
        <f>'IWP14'!M$391</f>
        <v>Amount Due to Employer (G. - E.)</v>
      </c>
      <c r="K5055" s="106"/>
      <c r="L5055" s="106"/>
      <c r="M5055" s="129"/>
    </row>
    <row r="5056" spans="1:13" s="146" customFormat="1">
      <c r="A5056" s="193" t="s">
        <v>512</v>
      </c>
      <c r="B5056" s="210">
        <v>3</v>
      </c>
      <c r="C5056" s="191" t="str">
        <f>IF('IWP14'!E$392=0,"",'IWP14'!E$392)</f>
        <v>Item/Service</v>
      </c>
      <c r="D5056" s="211" t="str">
        <f>'IWP14'!G$392</f>
        <v>Itemized Amount Paid by DADS</v>
      </c>
      <c r="E5056" s="211">
        <f>'IWP14'!H$392</f>
        <v>0</v>
      </c>
      <c r="F5056" s="211">
        <f>'IWP14'!I$392</f>
        <v>0</v>
      </c>
      <c r="G5056" s="191" t="str">
        <f>IF('IWP14'!J$392=0,"",'IWP14'!J$392)</f>
        <v/>
      </c>
      <c r="H5056" s="211">
        <f>'IWP14'!K$392</f>
        <v>0</v>
      </c>
      <c r="I5056" s="211">
        <f>'IWP14'!L$392</f>
        <v>0</v>
      </c>
      <c r="J5056" s="212">
        <f>'IWP14'!M$392</f>
        <v>0</v>
      </c>
      <c r="K5056" s="106"/>
      <c r="L5056" s="106"/>
      <c r="M5056" s="129"/>
    </row>
    <row r="5057" spans="1:13" s="146" customFormat="1">
      <c r="A5057" s="193" t="s">
        <v>512</v>
      </c>
      <c r="B5057" s="210">
        <v>3</v>
      </c>
      <c r="C5057" s="191" t="str">
        <f>IF('IWP14'!E$393=0,"",'IWP14'!E$393)</f>
        <v/>
      </c>
      <c r="D5057" s="211">
        <f>'IWP14'!G$393</f>
        <v>0</v>
      </c>
      <c r="E5057" s="211">
        <f>'IWP14'!H$393</f>
        <v>0</v>
      </c>
      <c r="F5057" s="211">
        <f>'IWP14'!I$393</f>
        <v>0</v>
      </c>
      <c r="G5057" s="191" t="str">
        <f>IF('IWP14'!J$393=0,"",'IWP14'!J$393)</f>
        <v/>
      </c>
      <c r="H5057" s="211">
        <f>'IWP14'!K$393</f>
        <v>0</v>
      </c>
      <c r="I5057" s="211">
        <f>'IWP14'!L$393</f>
        <v>0</v>
      </c>
      <c r="J5057" s="212">
        <f>'IWP14'!M$393</f>
        <v>0</v>
      </c>
      <c r="K5057" s="106"/>
      <c r="L5057" s="106"/>
      <c r="M5057" s="129"/>
    </row>
    <row r="5058" spans="1:13" s="146" customFormat="1">
      <c r="A5058" s="193" t="s">
        <v>512</v>
      </c>
      <c r="B5058" s="210">
        <v>3</v>
      </c>
      <c r="C5058" s="191" t="str">
        <f>IF('IWP14'!E$394=0,"",'IWP14'!E$394)</f>
        <v/>
      </c>
      <c r="D5058" s="211">
        <f>'IWP14'!G$394</f>
        <v>0</v>
      </c>
      <c r="E5058" s="211">
        <f>'IWP14'!H$394</f>
        <v>0</v>
      </c>
      <c r="F5058" s="211">
        <f>'IWP14'!I$394</f>
        <v>0</v>
      </c>
      <c r="G5058" s="191" t="str">
        <f>IF('IWP14'!J$394=0,"",'IWP14'!J$394)</f>
        <v/>
      </c>
      <c r="H5058" s="211">
        <f>'IWP14'!K$394</f>
        <v>0</v>
      </c>
      <c r="I5058" s="211">
        <f>'IWP14'!L$394</f>
        <v>0</v>
      </c>
      <c r="J5058" s="212">
        <f>'IWP14'!M$394</f>
        <v>0</v>
      </c>
      <c r="K5058" s="106"/>
      <c r="L5058" s="106"/>
      <c r="M5058" s="129"/>
    </row>
    <row r="5059" spans="1:13" s="146" customFormat="1">
      <c r="A5059" s="193" t="s">
        <v>512</v>
      </c>
      <c r="B5059" s="210">
        <v>3</v>
      </c>
      <c r="C5059" s="191" t="str">
        <f>IF('IWP14'!E$395=0,"",'IWP14'!E$395)</f>
        <v/>
      </c>
      <c r="D5059" s="211">
        <f>'IWP14'!G$395</f>
        <v>0</v>
      </c>
      <c r="E5059" s="211">
        <f>'IWP14'!H$395</f>
        <v>0</v>
      </c>
      <c r="F5059" s="211">
        <f>'IWP14'!I$395</f>
        <v>0</v>
      </c>
      <c r="G5059" s="191" t="str">
        <f>IF('IWP14'!J$395=0,"",'IWP14'!J$395)</f>
        <v/>
      </c>
      <c r="H5059" s="211">
        <f>'IWP14'!K$395</f>
        <v>0</v>
      </c>
      <c r="I5059" s="211">
        <f>'IWP14'!L$395</f>
        <v>0</v>
      </c>
      <c r="J5059" s="212">
        <f>'IWP14'!M$395</f>
        <v>0</v>
      </c>
      <c r="K5059" s="106"/>
      <c r="L5059" s="106"/>
      <c r="M5059" s="129"/>
    </row>
    <row r="5060" spans="1:13" s="146" customFormat="1">
      <c r="A5060" s="193" t="s">
        <v>512</v>
      </c>
      <c r="B5060" s="210">
        <v>3</v>
      </c>
      <c r="C5060" s="191" t="str">
        <f>IF('IWP14'!E$396=0,"",'IWP14'!E$396)</f>
        <v/>
      </c>
      <c r="D5060" s="211">
        <f>'IWP14'!G$396</f>
        <v>0</v>
      </c>
      <c r="E5060" s="211">
        <f>'IWP14'!H$396</f>
        <v>0</v>
      </c>
      <c r="F5060" s="211">
        <f>'IWP14'!I$396</f>
        <v>0</v>
      </c>
      <c r="G5060" s="191" t="str">
        <f>IF('IWP14'!J$396=0,"",'IWP14'!J$396)</f>
        <v/>
      </c>
      <c r="H5060" s="211">
        <f>'IWP14'!K$396</f>
        <v>0</v>
      </c>
      <c r="I5060" s="211">
        <f>'IWP14'!L$396</f>
        <v>0</v>
      </c>
      <c r="J5060" s="212">
        <f>'IWP14'!M$396</f>
        <v>0</v>
      </c>
      <c r="K5060" s="106"/>
      <c r="L5060" s="106"/>
      <c r="M5060" s="129"/>
    </row>
    <row r="5061" spans="1:13" s="146" customFormat="1">
      <c r="A5061" s="193" t="s">
        <v>512</v>
      </c>
      <c r="B5061" s="210">
        <v>4</v>
      </c>
      <c r="C5061" s="191" t="str">
        <f>IF('IWP14'!E$403=0,"",'IWP14'!E$403)</f>
        <v>Subtotal column D.</v>
      </c>
      <c r="D5061" s="211">
        <f>'IWP14'!G$403</f>
        <v>0</v>
      </c>
      <c r="E5061" s="211">
        <f>'IWP14'!H$403</f>
        <v>0</v>
      </c>
      <c r="F5061" s="211">
        <f>'IWP14'!I$403</f>
        <v>0</v>
      </c>
      <c r="G5061" s="191" t="str">
        <f>IF('IWP14'!J$403=0,"",'IWP14'!J$403)</f>
        <v/>
      </c>
      <c r="H5061" s="211">
        <f>'IWP14'!K$403</f>
        <v>0</v>
      </c>
      <c r="I5061" s="211">
        <f>'IWP14'!L$403</f>
        <v>0</v>
      </c>
      <c r="J5061" s="212">
        <f>'IWP14'!M$403</f>
        <v>0</v>
      </c>
      <c r="K5061" s="106"/>
      <c r="L5061" s="106"/>
      <c r="M5061" s="129"/>
    </row>
    <row r="5062" spans="1:13" s="146" customFormat="1">
      <c r="A5062" s="193" t="s">
        <v>512</v>
      </c>
      <c r="B5062" s="210">
        <v>4</v>
      </c>
      <c r="C5062" s="191" t="str">
        <f>IF('IWP14'!E$404=0,"",'IWP14'!E$404)</f>
        <v>Unverified/Undocumented (Subtotal D - C)</v>
      </c>
      <c r="D5062" s="211">
        <f>'IWP14'!G$404</f>
        <v>0</v>
      </c>
      <c r="E5062" s="211">
        <f>'IWP14'!H$404</f>
        <v>0</v>
      </c>
      <c r="F5062" s="211">
        <f>'IWP14'!I$404</f>
        <v>0</v>
      </c>
      <c r="G5062" s="191" t="str">
        <f>IF('IWP14'!J$404=0,"",'IWP14'!J$404)</f>
        <v/>
      </c>
      <c r="H5062" s="211">
        <f>'IWP14'!K$404</f>
        <v>0</v>
      </c>
      <c r="I5062" s="211">
        <f>'IWP14'!L$404</f>
        <v>0</v>
      </c>
      <c r="J5062" s="212">
        <f>'IWP14'!M$404</f>
        <v>0</v>
      </c>
      <c r="K5062" s="106"/>
      <c r="L5062" s="106"/>
      <c r="M5062" s="129"/>
    </row>
    <row r="5063" spans="1:13" s="146" customFormat="1">
      <c r="A5063" s="193" t="s">
        <v>512</v>
      </c>
      <c r="B5063" s="210">
        <v>4</v>
      </c>
      <c r="C5063" s="191" t="str">
        <f>IF('IWP14'!E$405=0,"",'IWP14'!E$405)</f>
        <v>J. Billing Period Total</v>
      </c>
      <c r="D5063" s="211">
        <f>'IWP14'!G$405</f>
        <v>0</v>
      </c>
      <c r="E5063" s="211">
        <f>'IWP14'!H$405</f>
        <v>0</v>
      </c>
      <c r="F5063" s="211">
        <f>'IWP14'!I$405</f>
        <v>0</v>
      </c>
      <c r="G5063" s="191" t="str">
        <f>IF('IWP14'!J$405=0,"",'IWP14'!J$405)</f>
        <v/>
      </c>
      <c r="H5063" s="211">
        <f>'IWP14'!K$405</f>
        <v>0</v>
      </c>
      <c r="I5063" s="211">
        <f>'IWP14'!L$405</f>
        <v>0</v>
      </c>
      <c r="J5063" s="212">
        <f>'IWP14'!M$405</f>
        <v>0</v>
      </c>
      <c r="K5063" s="106"/>
      <c r="L5063" s="106"/>
      <c r="M5063" s="129"/>
    </row>
    <row r="5064" spans="1:13" s="146" customFormat="1">
      <c r="A5064" s="193" t="s">
        <v>512</v>
      </c>
      <c r="B5064" s="210">
        <v>4</v>
      </c>
      <c r="C5064" s="191" t="str">
        <f>IF('IWP14'!E$406=0,"",'IWP14'!E$406)</f>
        <v>D.</v>
      </c>
      <c r="D5064" s="211">
        <f>'IWP14'!G$406</f>
        <v>0</v>
      </c>
      <c r="E5064" s="211" t="str">
        <f>'IWP14'!H$406</f>
        <v>E.</v>
      </c>
      <c r="F5064" s="211" t="str">
        <f>'IWP14'!I$406</f>
        <v>F.</v>
      </c>
      <c r="G5064" s="191" t="str">
        <f>IF('IWP14'!J$406=0,"",'IWP14'!J$406)</f>
        <v>G.</v>
      </c>
      <c r="H5064" s="211">
        <f>'IWP14'!K$406</f>
        <v>0</v>
      </c>
      <c r="I5064" s="211" t="str">
        <f>'IWP14'!L$406</f>
        <v>H.</v>
      </c>
      <c r="J5064" s="212" t="str">
        <f>'IWP14'!M$406</f>
        <v>I.</v>
      </c>
      <c r="K5064" s="106"/>
      <c r="L5064" s="106"/>
      <c r="M5064" s="129"/>
    </row>
    <row r="5065" spans="1:13" s="146" customFormat="1">
      <c r="A5065" s="193" t="s">
        <v>512</v>
      </c>
      <c r="B5065" s="210">
        <v>4</v>
      </c>
      <c r="C5065" s="191" t="str">
        <f>IF('IWP14'!E$407=0,"",'IWP14'!E$407)</f>
        <v xml:space="preserve">Items/Services Related to Billing Period </v>
      </c>
      <c r="D5065" s="211">
        <f>'IWP14'!G$407</f>
        <v>0</v>
      </c>
      <c r="E5065" s="211" t="str">
        <f>'IWP14'!H$407</f>
        <v xml:space="preserve">Item/
Service Verified Amounts
</v>
      </c>
      <c r="F5065" s="211" t="str">
        <f>'IWP14'!I$407</f>
        <v>Amount Due to DADS (E. - D.)</v>
      </c>
      <c r="G5065" s="191" t="str">
        <f>IF('IWP14'!J$407=0,"",'IWP14'!J$407)</f>
        <v>Amount Reimbursed to 
Employee(s)/Employer</v>
      </c>
      <c r="H5065" s="211">
        <f>'IWP14'!K$407</f>
        <v>0</v>
      </c>
      <c r="I5065" s="211" t="str">
        <f>'IWP14'!L$407</f>
        <v>Amount Due to Employee(s) (G. - E.)</v>
      </c>
      <c r="J5065" s="212" t="str">
        <f>'IWP14'!M$407</f>
        <v>Amount Due to Employer (G. - E.)</v>
      </c>
      <c r="K5065" s="106"/>
      <c r="L5065" s="106"/>
      <c r="M5065" s="129"/>
    </row>
    <row r="5066" spans="1:13" s="146" customFormat="1">
      <c r="A5066" s="193" t="s">
        <v>512</v>
      </c>
      <c r="B5066" s="210">
        <v>4</v>
      </c>
      <c r="C5066" s="191" t="str">
        <f>IF('IWP14'!E$408=0,"",'IWP14'!E$408)</f>
        <v>Item/Service</v>
      </c>
      <c r="D5066" s="211" t="str">
        <f>'IWP14'!G$408</f>
        <v>Itemized Amount Paid by DADS</v>
      </c>
      <c r="E5066" s="211">
        <f>'IWP14'!H$408</f>
        <v>0</v>
      </c>
      <c r="F5066" s="211">
        <f>'IWP14'!I$408</f>
        <v>0</v>
      </c>
      <c r="G5066" s="191" t="str">
        <f>IF('IWP14'!J$408=0,"",'IWP14'!J$408)</f>
        <v/>
      </c>
      <c r="H5066" s="211">
        <f>'IWP14'!K$408</f>
        <v>0</v>
      </c>
      <c r="I5066" s="211">
        <f>'IWP14'!L$408</f>
        <v>0</v>
      </c>
      <c r="J5066" s="212">
        <f>'IWP14'!M$408</f>
        <v>0</v>
      </c>
      <c r="K5066" s="106"/>
      <c r="L5066" s="106"/>
      <c r="M5066" s="129"/>
    </row>
    <row r="5067" spans="1:13" s="146" customFormat="1">
      <c r="A5067" s="193" t="s">
        <v>512</v>
      </c>
      <c r="B5067" s="210">
        <v>4</v>
      </c>
      <c r="C5067" s="191" t="str">
        <f>IF('IWP14'!E$409=0,"",'IWP14'!E$409)</f>
        <v/>
      </c>
      <c r="D5067" s="211">
        <f>'IWP14'!G$409</f>
        <v>0</v>
      </c>
      <c r="E5067" s="211">
        <f>'IWP14'!H$409</f>
        <v>0</v>
      </c>
      <c r="F5067" s="211">
        <f>'IWP14'!I$409</f>
        <v>0</v>
      </c>
      <c r="G5067" s="191" t="str">
        <f>IF('IWP14'!J$409=0,"",'IWP14'!J$409)</f>
        <v/>
      </c>
      <c r="H5067" s="211">
        <f>'IWP14'!K$409</f>
        <v>0</v>
      </c>
      <c r="I5067" s="211">
        <f>'IWP14'!L$409</f>
        <v>0</v>
      </c>
      <c r="J5067" s="212">
        <f>'IWP14'!M$409</f>
        <v>0</v>
      </c>
      <c r="K5067" s="106"/>
      <c r="L5067" s="106"/>
      <c r="M5067" s="129"/>
    </row>
    <row r="5068" spans="1:13" s="146" customFormat="1">
      <c r="A5068" s="193" t="s">
        <v>512</v>
      </c>
      <c r="B5068" s="210">
        <v>4</v>
      </c>
      <c r="C5068" s="191" t="str">
        <f>IF('IWP14'!E$410=0,"",'IWP14'!E$410)</f>
        <v/>
      </c>
      <c r="D5068" s="211">
        <f>'IWP14'!G$410</f>
        <v>0</v>
      </c>
      <c r="E5068" s="211">
        <f>'IWP14'!H$410</f>
        <v>0</v>
      </c>
      <c r="F5068" s="211">
        <f>'IWP14'!I$410</f>
        <v>0</v>
      </c>
      <c r="G5068" s="191" t="str">
        <f>IF('IWP14'!J$410=0,"",'IWP14'!J$410)</f>
        <v/>
      </c>
      <c r="H5068" s="211">
        <f>'IWP14'!K$410</f>
        <v>0</v>
      </c>
      <c r="I5068" s="211">
        <f>'IWP14'!L$410</f>
        <v>0</v>
      </c>
      <c r="J5068" s="212">
        <f>'IWP14'!M$410</f>
        <v>0</v>
      </c>
      <c r="K5068" s="106"/>
      <c r="L5068" s="106"/>
      <c r="M5068" s="129"/>
    </row>
    <row r="5069" spans="1:13" s="146" customFormat="1">
      <c r="A5069" s="193" t="s">
        <v>512</v>
      </c>
      <c r="B5069" s="210">
        <v>4</v>
      </c>
      <c r="C5069" s="191" t="str">
        <f>IF('IWP14'!E$411=0,"",'IWP14'!E$411)</f>
        <v/>
      </c>
      <c r="D5069" s="211">
        <f>'IWP14'!G$411</f>
        <v>0</v>
      </c>
      <c r="E5069" s="211">
        <f>'IWP14'!H$411</f>
        <v>0</v>
      </c>
      <c r="F5069" s="211">
        <f>'IWP14'!I$411</f>
        <v>0</v>
      </c>
      <c r="G5069" s="191" t="str">
        <f>IF('IWP14'!J$411=0,"",'IWP14'!J$411)</f>
        <v/>
      </c>
      <c r="H5069" s="211">
        <f>'IWP14'!K$411</f>
        <v>0</v>
      </c>
      <c r="I5069" s="211">
        <f>'IWP14'!L$411</f>
        <v>0</v>
      </c>
      <c r="J5069" s="212">
        <f>'IWP14'!M$411</f>
        <v>0</v>
      </c>
      <c r="K5069" s="106"/>
      <c r="L5069" s="106"/>
      <c r="M5069" s="129"/>
    </row>
    <row r="5070" spans="1:13" s="146" customFormat="1">
      <c r="A5070" s="193" t="s">
        <v>512</v>
      </c>
      <c r="B5070" s="210">
        <v>4</v>
      </c>
      <c r="C5070" s="191" t="str">
        <f>IF('IWP14'!E$412=0,"",'IWP14'!E$412)</f>
        <v/>
      </c>
      <c r="D5070" s="211">
        <f>'IWP14'!G$412</f>
        <v>0</v>
      </c>
      <c r="E5070" s="211">
        <f>'IWP14'!H$412</f>
        <v>0</v>
      </c>
      <c r="F5070" s="211">
        <f>'IWP14'!I$412</f>
        <v>0</v>
      </c>
      <c r="G5070" s="191" t="str">
        <f>IF('IWP14'!J$412=0,"",'IWP14'!J$412)</f>
        <v/>
      </c>
      <c r="H5070" s="211">
        <f>'IWP14'!K$412</f>
        <v>0</v>
      </c>
      <c r="I5070" s="211">
        <f>'IWP14'!L$412</f>
        <v>0</v>
      </c>
      <c r="J5070" s="212">
        <f>'IWP14'!M$412</f>
        <v>0</v>
      </c>
      <c r="K5070" s="106"/>
      <c r="L5070" s="106"/>
      <c r="M5070" s="129"/>
    </row>
    <row r="5071" spans="1:13" s="146" customFormat="1">
      <c r="A5071" s="193" t="s">
        <v>512</v>
      </c>
      <c r="B5071" s="210">
        <v>5</v>
      </c>
      <c r="C5071" s="191" t="str">
        <f>IF('IWP14'!E$419=0,"",'IWP14'!E$419)</f>
        <v>Subtotal column D.</v>
      </c>
      <c r="D5071" s="211">
        <f>'IWP14'!G$419</f>
        <v>0</v>
      </c>
      <c r="E5071" s="211">
        <f>'IWP14'!H$419</f>
        <v>0</v>
      </c>
      <c r="F5071" s="211">
        <f>'IWP14'!I$419</f>
        <v>0</v>
      </c>
      <c r="G5071" s="191" t="str">
        <f>IF('IWP14'!J$419=0,"",'IWP14'!J$419)</f>
        <v/>
      </c>
      <c r="H5071" s="211">
        <f>'IWP14'!K$419</f>
        <v>0</v>
      </c>
      <c r="I5071" s="211">
        <f>'IWP14'!L$419</f>
        <v>0</v>
      </c>
      <c r="J5071" s="212">
        <f>'IWP14'!M$419</f>
        <v>0</v>
      </c>
      <c r="K5071" s="106"/>
      <c r="L5071" s="106"/>
      <c r="M5071" s="129"/>
    </row>
    <row r="5072" spans="1:13" s="146" customFormat="1">
      <c r="A5072" s="193" t="s">
        <v>512</v>
      </c>
      <c r="B5072" s="210">
        <v>5</v>
      </c>
      <c r="C5072" s="191" t="str">
        <f>IF('IWP14'!E$420=0,"",'IWP14'!E$420)</f>
        <v>Unverified/Undocumented (Subtotal D - C)</v>
      </c>
      <c r="D5072" s="211">
        <f>'IWP14'!G$420</f>
        <v>0</v>
      </c>
      <c r="E5072" s="211">
        <f>'IWP14'!H$420</f>
        <v>0</v>
      </c>
      <c r="F5072" s="211">
        <f>'IWP14'!I$420</f>
        <v>0</v>
      </c>
      <c r="G5072" s="191" t="str">
        <f>IF('IWP14'!J$420=0,"",'IWP14'!J$420)</f>
        <v/>
      </c>
      <c r="H5072" s="211">
        <f>'IWP14'!K$420</f>
        <v>0</v>
      </c>
      <c r="I5072" s="211">
        <f>'IWP14'!L$420</f>
        <v>0</v>
      </c>
      <c r="J5072" s="212">
        <f>'IWP14'!M$420</f>
        <v>0</v>
      </c>
      <c r="K5072" s="106"/>
      <c r="L5072" s="106"/>
      <c r="M5072" s="129"/>
    </row>
    <row r="5073" spans="1:13" s="146" customFormat="1">
      <c r="A5073" s="193" t="s">
        <v>512</v>
      </c>
      <c r="B5073" s="210">
        <v>5</v>
      </c>
      <c r="C5073" s="191" t="str">
        <f>IF('IWP14'!E$421=0,"",'IWP14'!E$421)</f>
        <v>J. Billing Period Total</v>
      </c>
      <c r="D5073" s="211">
        <f>'IWP14'!G$421</f>
        <v>0</v>
      </c>
      <c r="E5073" s="211">
        <f>'IWP14'!H$421</f>
        <v>0</v>
      </c>
      <c r="F5073" s="211">
        <f>'IWP14'!I$421</f>
        <v>0</v>
      </c>
      <c r="G5073" s="191" t="str">
        <f>IF('IWP14'!J$421=0,"",'IWP14'!J$421)</f>
        <v/>
      </c>
      <c r="H5073" s="211">
        <f>'IWP14'!K$421</f>
        <v>0</v>
      </c>
      <c r="I5073" s="211">
        <f>'IWP14'!L$421</f>
        <v>0</v>
      </c>
      <c r="J5073" s="212">
        <f>'IWP14'!M$421</f>
        <v>0</v>
      </c>
      <c r="K5073" s="106"/>
      <c r="L5073" s="106"/>
      <c r="M5073" s="129"/>
    </row>
    <row r="5074" spans="1:13" s="146" customFormat="1">
      <c r="A5074" s="193" t="s">
        <v>512</v>
      </c>
      <c r="B5074" s="210">
        <v>5</v>
      </c>
      <c r="C5074" s="191" t="str">
        <f>IF('IWP14'!E$422=0,"",'IWP14'!E$422)</f>
        <v>D.</v>
      </c>
      <c r="D5074" s="211">
        <f>'IWP14'!G$422</f>
        <v>0</v>
      </c>
      <c r="E5074" s="211" t="str">
        <f>'IWP14'!H$422</f>
        <v>E.</v>
      </c>
      <c r="F5074" s="211" t="str">
        <f>'IWP14'!I$422</f>
        <v>F.</v>
      </c>
      <c r="G5074" s="191" t="str">
        <f>IF('IWP14'!J$422=0,"",'IWP14'!J$422)</f>
        <v>G.</v>
      </c>
      <c r="H5074" s="211">
        <f>'IWP14'!K$422</f>
        <v>0</v>
      </c>
      <c r="I5074" s="211" t="str">
        <f>'IWP14'!L$422</f>
        <v>H.</v>
      </c>
      <c r="J5074" s="212" t="str">
        <f>'IWP14'!M$422</f>
        <v>I.</v>
      </c>
      <c r="K5074" s="106"/>
      <c r="L5074" s="106"/>
      <c r="M5074" s="129"/>
    </row>
    <row r="5075" spans="1:13" s="146" customFormat="1">
      <c r="A5075" s="193" t="s">
        <v>512</v>
      </c>
      <c r="B5075" s="210">
        <v>5</v>
      </c>
      <c r="C5075" s="191" t="str">
        <f>IF('IWP14'!E$423=0,"",'IWP14'!E$423)</f>
        <v xml:space="preserve">Items/Services Related to Billing Period </v>
      </c>
      <c r="D5075" s="211">
        <f>'IWP14'!G$423</f>
        <v>0</v>
      </c>
      <c r="E5075" s="211" t="str">
        <f>'IWP14'!H$423</f>
        <v xml:space="preserve">Item/
Service Verified Amounts
</v>
      </c>
      <c r="F5075" s="211" t="str">
        <f>'IWP14'!I$423</f>
        <v>Amount Due to DADS (E. - D.)</v>
      </c>
      <c r="G5075" s="191" t="str">
        <f>IF('IWP14'!J$423=0,"",'IWP14'!J$423)</f>
        <v>Amount Reimbursed to 
Employee(s)/Employer</v>
      </c>
      <c r="H5075" s="211">
        <f>'IWP14'!K$423</f>
        <v>0</v>
      </c>
      <c r="I5075" s="211" t="str">
        <f>'IWP14'!L$423</f>
        <v>Amount Due to Employee(s) (G. - E.)</v>
      </c>
      <c r="J5075" s="212" t="str">
        <f>'IWP14'!M$423</f>
        <v>Amount Due to Employer (G. - E.)</v>
      </c>
      <c r="K5075" s="106"/>
      <c r="L5075" s="106"/>
      <c r="M5075" s="129"/>
    </row>
    <row r="5076" spans="1:13" s="146" customFormat="1">
      <c r="A5076" s="193" t="s">
        <v>512</v>
      </c>
      <c r="B5076" s="210">
        <v>5</v>
      </c>
      <c r="C5076" s="191" t="str">
        <f>IF('IWP14'!E$424=0,"",'IWP14'!E$424)</f>
        <v>Item/Service</v>
      </c>
      <c r="D5076" s="211" t="str">
        <f>'IWP14'!G$424</f>
        <v>Itemized Amount Paid by DADS</v>
      </c>
      <c r="E5076" s="211">
        <f>'IWP14'!H$424</f>
        <v>0</v>
      </c>
      <c r="F5076" s="211">
        <f>'IWP14'!I$424</f>
        <v>0</v>
      </c>
      <c r="G5076" s="191" t="str">
        <f>IF('IWP14'!J$424=0,"",'IWP14'!J$424)</f>
        <v/>
      </c>
      <c r="H5076" s="211">
        <f>'IWP14'!K$424</f>
        <v>0</v>
      </c>
      <c r="I5076" s="211">
        <f>'IWP14'!L$424</f>
        <v>0</v>
      </c>
      <c r="J5076" s="212">
        <f>'IWP14'!M$424</f>
        <v>0</v>
      </c>
      <c r="K5076" s="106"/>
      <c r="L5076" s="106"/>
      <c r="M5076" s="129"/>
    </row>
    <row r="5077" spans="1:13" s="146" customFormat="1">
      <c r="A5077" s="193" t="s">
        <v>512</v>
      </c>
      <c r="B5077" s="210">
        <v>5</v>
      </c>
      <c r="C5077" s="191" t="str">
        <f>IF('IWP14'!E$425=0,"",'IWP14'!E$425)</f>
        <v/>
      </c>
      <c r="D5077" s="211">
        <f>'IWP14'!G$425</f>
        <v>0</v>
      </c>
      <c r="E5077" s="211">
        <f>'IWP14'!H$425</f>
        <v>0</v>
      </c>
      <c r="F5077" s="211">
        <f>'IWP14'!I$425</f>
        <v>0</v>
      </c>
      <c r="G5077" s="191" t="str">
        <f>IF('IWP14'!J$425=0,"",'IWP14'!J$425)</f>
        <v/>
      </c>
      <c r="H5077" s="211">
        <f>'IWP14'!K$425</f>
        <v>0</v>
      </c>
      <c r="I5077" s="211">
        <f>'IWP14'!L$425</f>
        <v>0</v>
      </c>
      <c r="J5077" s="212">
        <f>'IWP14'!M$425</f>
        <v>0</v>
      </c>
      <c r="K5077" s="106"/>
      <c r="L5077" s="106"/>
      <c r="M5077" s="129"/>
    </row>
    <row r="5078" spans="1:13" s="146" customFormat="1">
      <c r="A5078" s="193" t="s">
        <v>512</v>
      </c>
      <c r="B5078" s="210">
        <v>5</v>
      </c>
      <c r="C5078" s="191" t="str">
        <f>IF('IWP14'!E$426=0,"",'IWP14'!E$426)</f>
        <v/>
      </c>
      <c r="D5078" s="211">
        <f>'IWP14'!G$426</f>
        <v>0</v>
      </c>
      <c r="E5078" s="211">
        <f>'IWP14'!H$426</f>
        <v>0</v>
      </c>
      <c r="F5078" s="211">
        <f>'IWP14'!I$426</f>
        <v>0</v>
      </c>
      <c r="G5078" s="191" t="str">
        <f>IF('IWP14'!J$426=0,"",'IWP14'!J$426)</f>
        <v/>
      </c>
      <c r="H5078" s="211">
        <f>'IWP14'!K$426</f>
        <v>0</v>
      </c>
      <c r="I5078" s="211">
        <f>'IWP14'!L$426</f>
        <v>0</v>
      </c>
      <c r="J5078" s="212">
        <f>'IWP14'!M$426</f>
        <v>0</v>
      </c>
      <c r="K5078" s="106"/>
      <c r="L5078" s="106"/>
      <c r="M5078" s="129"/>
    </row>
    <row r="5079" spans="1:13" s="146" customFormat="1">
      <c r="A5079" s="193" t="s">
        <v>512</v>
      </c>
      <c r="B5079" s="210">
        <v>5</v>
      </c>
      <c r="C5079" s="191" t="str">
        <f>IF('IWP14'!E$427=0,"",'IWP14'!E$427)</f>
        <v/>
      </c>
      <c r="D5079" s="211">
        <f>'IWP14'!G$427</f>
        <v>0</v>
      </c>
      <c r="E5079" s="211">
        <f>'IWP14'!H$427</f>
        <v>0</v>
      </c>
      <c r="F5079" s="211">
        <f>'IWP14'!I$427</f>
        <v>0</v>
      </c>
      <c r="G5079" s="191" t="str">
        <f>IF('IWP14'!J$427=0,"",'IWP14'!J$427)</f>
        <v/>
      </c>
      <c r="H5079" s="211">
        <f>'IWP14'!K$427</f>
        <v>0</v>
      </c>
      <c r="I5079" s="211">
        <f>'IWP14'!L$427</f>
        <v>0</v>
      </c>
      <c r="J5079" s="212">
        <f>'IWP14'!M$427</f>
        <v>0</v>
      </c>
      <c r="K5079" s="106"/>
      <c r="L5079" s="106"/>
      <c r="M5079" s="129"/>
    </row>
    <row r="5080" spans="1:13" s="146" customFormat="1">
      <c r="A5080" s="193" t="s">
        <v>512</v>
      </c>
      <c r="B5080" s="210">
        <v>5</v>
      </c>
      <c r="C5080" s="191" t="str">
        <f>IF('IWP14'!E$428=0,"",'IWP14'!E$428)</f>
        <v/>
      </c>
      <c r="D5080" s="211">
        <f>'IWP14'!G$428</f>
        <v>0</v>
      </c>
      <c r="E5080" s="211">
        <f>'IWP14'!H$428</f>
        <v>0</v>
      </c>
      <c r="F5080" s="211">
        <f>'IWP14'!I$428</f>
        <v>0</v>
      </c>
      <c r="G5080" s="191" t="str">
        <f>IF('IWP14'!J$428=0,"",'IWP14'!J$428)</f>
        <v/>
      </c>
      <c r="H5080" s="211">
        <f>'IWP14'!K$428</f>
        <v>0</v>
      </c>
      <c r="I5080" s="211">
        <f>'IWP14'!L$428</f>
        <v>0</v>
      </c>
      <c r="J5080" s="212">
        <f>'IWP14'!M$428</f>
        <v>0</v>
      </c>
      <c r="K5080" s="106"/>
      <c r="L5080" s="106"/>
      <c r="M5080" s="129"/>
    </row>
    <row r="5081" spans="1:13" s="146" customFormat="1">
      <c r="A5081" s="193" t="s">
        <v>512</v>
      </c>
      <c r="B5081" s="210">
        <v>6</v>
      </c>
      <c r="C5081" s="191" t="str">
        <f>IF('IWP14'!E$435=0,"",'IWP14'!E$435)</f>
        <v>Subtotal column D.</v>
      </c>
      <c r="D5081" s="211">
        <f>'IWP14'!G$435</f>
        <v>0</v>
      </c>
      <c r="E5081" s="211">
        <f>'IWP14'!H$435</f>
        <v>0</v>
      </c>
      <c r="F5081" s="211">
        <f>'IWP14'!I$435</f>
        <v>0</v>
      </c>
      <c r="G5081" s="191" t="str">
        <f>IF('IWP14'!J$435=0,"",'IWP14'!J$435)</f>
        <v/>
      </c>
      <c r="H5081" s="211">
        <f>'IWP14'!K$435</f>
        <v>0</v>
      </c>
      <c r="I5081" s="211">
        <f>'IWP14'!L$435</f>
        <v>0</v>
      </c>
      <c r="J5081" s="212">
        <f>'IWP14'!M$435</f>
        <v>0</v>
      </c>
      <c r="K5081" s="106"/>
      <c r="L5081" s="106"/>
      <c r="M5081" s="129"/>
    </row>
    <row r="5082" spans="1:13" s="146" customFormat="1">
      <c r="A5082" s="193" t="s">
        <v>512</v>
      </c>
      <c r="B5082" s="210">
        <v>6</v>
      </c>
      <c r="C5082" s="191" t="str">
        <f>IF('IWP14'!E$436=0,"",'IWP14'!E$436)</f>
        <v>Unverified/Undocumented (Subtotal D - C)</v>
      </c>
      <c r="D5082" s="211">
        <f>'IWP14'!G$436</f>
        <v>0</v>
      </c>
      <c r="E5082" s="211">
        <f>'IWP14'!H$436</f>
        <v>0</v>
      </c>
      <c r="F5082" s="211">
        <f>'IWP14'!I$436</f>
        <v>0</v>
      </c>
      <c r="G5082" s="191" t="str">
        <f>IF('IWP14'!J$436=0,"",'IWP14'!J$436)</f>
        <v/>
      </c>
      <c r="H5082" s="211">
        <f>'IWP14'!K$436</f>
        <v>0</v>
      </c>
      <c r="I5082" s="211">
        <f>'IWP14'!L$436</f>
        <v>0</v>
      </c>
      <c r="J5082" s="212">
        <f>'IWP14'!M$436</f>
        <v>0</v>
      </c>
      <c r="K5082" s="106"/>
      <c r="L5082" s="106"/>
      <c r="M5082" s="129"/>
    </row>
    <row r="5083" spans="1:13" s="146" customFormat="1">
      <c r="A5083" s="193" t="s">
        <v>512</v>
      </c>
      <c r="B5083" s="210">
        <v>6</v>
      </c>
      <c r="C5083" s="191" t="str">
        <f>IF('IWP14'!E$437=0,"",'IWP14'!E$437)</f>
        <v>J. Billing Period Total</v>
      </c>
      <c r="D5083" s="211">
        <f>'IWP14'!G$437</f>
        <v>0</v>
      </c>
      <c r="E5083" s="211">
        <f>'IWP14'!H$437</f>
        <v>0</v>
      </c>
      <c r="F5083" s="211">
        <f>'IWP14'!I$437</f>
        <v>0</v>
      </c>
      <c r="G5083" s="191" t="str">
        <f>IF('IWP14'!J$437=0,"",'IWP14'!J$437)</f>
        <v/>
      </c>
      <c r="H5083" s="211">
        <f>'IWP14'!K$437</f>
        <v>0</v>
      </c>
      <c r="I5083" s="211">
        <f>'IWP14'!L$437</f>
        <v>0</v>
      </c>
      <c r="J5083" s="212">
        <f>'IWP14'!M$437</f>
        <v>0</v>
      </c>
      <c r="K5083" s="106"/>
      <c r="L5083" s="106"/>
      <c r="M5083" s="129"/>
    </row>
    <row r="5084" spans="1:13" s="146" customFormat="1">
      <c r="A5084" s="193" t="s">
        <v>512</v>
      </c>
      <c r="B5084" s="210">
        <v>6</v>
      </c>
      <c r="C5084" s="191" t="str">
        <f>IF('IWP14'!E$438=0,"",'IWP14'!E$438)</f>
        <v>D.</v>
      </c>
      <c r="D5084" s="211">
        <f>'IWP14'!G$438</f>
        <v>0</v>
      </c>
      <c r="E5084" s="211" t="str">
        <f>'IWP14'!H$438</f>
        <v>E.</v>
      </c>
      <c r="F5084" s="211" t="str">
        <f>'IWP14'!I$438</f>
        <v>F.</v>
      </c>
      <c r="G5084" s="191" t="str">
        <f>IF('IWP14'!J$438=0,"",'IWP14'!J$438)</f>
        <v>G.</v>
      </c>
      <c r="H5084" s="211">
        <f>'IWP14'!K$438</f>
        <v>0</v>
      </c>
      <c r="I5084" s="211" t="str">
        <f>'IWP14'!L$438</f>
        <v>H.</v>
      </c>
      <c r="J5084" s="212" t="str">
        <f>'IWP14'!M$438</f>
        <v>I.</v>
      </c>
      <c r="K5084" s="106"/>
      <c r="L5084" s="106"/>
      <c r="M5084" s="129"/>
    </row>
    <row r="5085" spans="1:13" s="146" customFormat="1">
      <c r="A5085" s="193" t="s">
        <v>512</v>
      </c>
      <c r="B5085" s="210">
        <v>6</v>
      </c>
      <c r="C5085" s="191" t="str">
        <f>IF('IWP14'!E$439=0,"",'IWP14'!E$439)</f>
        <v xml:space="preserve">Items/Services Related to Billing Period </v>
      </c>
      <c r="D5085" s="211">
        <f>'IWP14'!G$439</f>
        <v>0</v>
      </c>
      <c r="E5085" s="211" t="str">
        <f>'IWP14'!H$439</f>
        <v xml:space="preserve">Item/
Service Verified Amounts
</v>
      </c>
      <c r="F5085" s="211" t="str">
        <f>'IWP14'!I$439</f>
        <v>Amount Due to DADS (E. - D.)</v>
      </c>
      <c r="G5085" s="191" t="str">
        <f>IF('IWP14'!J$439=0,"",'IWP14'!J$439)</f>
        <v>Amount Reimbursed to 
Employee(s)/Employer</v>
      </c>
      <c r="H5085" s="211">
        <f>'IWP14'!K$439</f>
        <v>0</v>
      </c>
      <c r="I5085" s="211" t="str">
        <f>'IWP14'!L$439</f>
        <v>Amount Due to Employee(s) (G. - E.)</v>
      </c>
      <c r="J5085" s="212" t="str">
        <f>'IWP14'!M$439</f>
        <v>Amount Due to Employer (G. - E.)</v>
      </c>
      <c r="K5085" s="106"/>
      <c r="L5085" s="106"/>
      <c r="M5085" s="129"/>
    </row>
    <row r="5086" spans="1:13" s="146" customFormat="1">
      <c r="A5086" s="193" t="s">
        <v>512</v>
      </c>
      <c r="B5086" s="210">
        <v>6</v>
      </c>
      <c r="C5086" s="191" t="str">
        <f>IF('IWP14'!E$440=0,"",'IWP14'!E$440)</f>
        <v>Item/Service</v>
      </c>
      <c r="D5086" s="211" t="str">
        <f>'IWP14'!G$440</f>
        <v>Itemized Amount Paid by DADS</v>
      </c>
      <c r="E5086" s="211">
        <f>'IWP14'!H$440</f>
        <v>0</v>
      </c>
      <c r="F5086" s="211">
        <f>'IWP14'!I$440</f>
        <v>0</v>
      </c>
      <c r="G5086" s="191" t="str">
        <f>IF('IWP14'!J$440=0,"",'IWP14'!J$440)</f>
        <v/>
      </c>
      <c r="H5086" s="211">
        <f>'IWP14'!K$440</f>
        <v>0</v>
      </c>
      <c r="I5086" s="211">
        <f>'IWP14'!L$440</f>
        <v>0</v>
      </c>
      <c r="J5086" s="212">
        <f>'IWP14'!M$440</f>
        <v>0</v>
      </c>
      <c r="K5086" s="106"/>
      <c r="L5086" s="106"/>
      <c r="M5086" s="129"/>
    </row>
    <row r="5087" spans="1:13" s="146" customFormat="1">
      <c r="A5087" s="193" t="s">
        <v>512</v>
      </c>
      <c r="B5087" s="210">
        <v>6</v>
      </c>
      <c r="C5087" s="191" t="str">
        <f>IF('IWP14'!E$441=0,"",'IWP14'!E$441)</f>
        <v/>
      </c>
      <c r="D5087" s="211">
        <f>'IWP14'!G$441</f>
        <v>0</v>
      </c>
      <c r="E5087" s="211">
        <f>'IWP14'!H$441</f>
        <v>0</v>
      </c>
      <c r="F5087" s="211">
        <f>'IWP14'!I$441</f>
        <v>0</v>
      </c>
      <c r="G5087" s="191" t="str">
        <f>IF('IWP14'!J$441=0,"",'IWP14'!J$441)</f>
        <v/>
      </c>
      <c r="H5087" s="211">
        <f>'IWP14'!K$441</f>
        <v>0</v>
      </c>
      <c r="I5087" s="211">
        <f>'IWP14'!L$441</f>
        <v>0</v>
      </c>
      <c r="J5087" s="212">
        <f>'IWP14'!M$441</f>
        <v>0</v>
      </c>
      <c r="K5087" s="106"/>
      <c r="L5087" s="106"/>
      <c r="M5087" s="129"/>
    </row>
    <row r="5088" spans="1:13" s="146" customFormat="1">
      <c r="A5088" s="193" t="s">
        <v>512</v>
      </c>
      <c r="B5088" s="210">
        <v>6</v>
      </c>
      <c r="C5088" s="191" t="str">
        <f>IF('IWP14'!E$442=0,"",'IWP14'!E$442)</f>
        <v/>
      </c>
      <c r="D5088" s="211">
        <f>'IWP14'!G$442</f>
        <v>0</v>
      </c>
      <c r="E5088" s="211">
        <f>'IWP14'!H$442</f>
        <v>0</v>
      </c>
      <c r="F5088" s="211">
        <f>'IWP14'!I$442</f>
        <v>0</v>
      </c>
      <c r="G5088" s="191" t="str">
        <f>IF('IWP14'!J$442=0,"",'IWP14'!J$442)</f>
        <v/>
      </c>
      <c r="H5088" s="211">
        <f>'IWP14'!K$442</f>
        <v>0</v>
      </c>
      <c r="I5088" s="211">
        <f>'IWP14'!L$442</f>
        <v>0</v>
      </c>
      <c r="J5088" s="212">
        <f>'IWP14'!M$442</f>
        <v>0</v>
      </c>
      <c r="K5088" s="106"/>
      <c r="L5088" s="106"/>
      <c r="M5088" s="129"/>
    </row>
    <row r="5089" spans="1:13" s="146" customFormat="1">
      <c r="A5089" s="193" t="s">
        <v>512</v>
      </c>
      <c r="B5089" s="210">
        <v>6</v>
      </c>
      <c r="C5089" s="191" t="str">
        <f>IF('IWP14'!E$443=0,"",'IWP14'!E$443)</f>
        <v/>
      </c>
      <c r="D5089" s="211">
        <f>'IWP14'!G$443</f>
        <v>0</v>
      </c>
      <c r="E5089" s="211">
        <f>'IWP14'!H$443</f>
        <v>0</v>
      </c>
      <c r="F5089" s="211">
        <f>'IWP14'!I$443</f>
        <v>0</v>
      </c>
      <c r="G5089" s="191" t="str">
        <f>IF('IWP14'!J$443=0,"",'IWP14'!J$443)</f>
        <v/>
      </c>
      <c r="H5089" s="211">
        <f>'IWP14'!K$443</f>
        <v>0</v>
      </c>
      <c r="I5089" s="211">
        <f>'IWP14'!L$443</f>
        <v>0</v>
      </c>
      <c r="J5089" s="212">
        <f>'IWP14'!M$443</f>
        <v>0</v>
      </c>
      <c r="K5089" s="106"/>
      <c r="L5089" s="106"/>
      <c r="M5089" s="129"/>
    </row>
    <row r="5090" spans="1:13" s="146" customFormat="1">
      <c r="A5090" s="193" t="s">
        <v>512</v>
      </c>
      <c r="B5090" s="210">
        <v>6</v>
      </c>
      <c r="C5090" s="191" t="str">
        <f>IF('IWP14'!E$444=0,"",'IWP14'!E$444)</f>
        <v/>
      </c>
      <c r="D5090" s="211">
        <f>'IWP14'!G$444</f>
        <v>0</v>
      </c>
      <c r="E5090" s="211">
        <f>'IWP14'!H$444</f>
        <v>0</v>
      </c>
      <c r="F5090" s="211">
        <f>'IWP14'!I$444</f>
        <v>0</v>
      </c>
      <c r="G5090" s="191" t="str">
        <f>IF('IWP14'!J$444=0,"",'IWP14'!J$444)</f>
        <v/>
      </c>
      <c r="H5090" s="211">
        <f>'IWP14'!K$444</f>
        <v>0</v>
      </c>
      <c r="I5090" s="211">
        <f>'IWP14'!L$444</f>
        <v>0</v>
      </c>
      <c r="J5090" s="212">
        <f>'IWP14'!M$444</f>
        <v>0</v>
      </c>
      <c r="K5090" s="106"/>
      <c r="L5090" s="106"/>
      <c r="M5090" s="129"/>
    </row>
    <row r="5091" spans="1:13" s="146" customFormat="1">
      <c r="A5091" s="193" t="s">
        <v>512</v>
      </c>
      <c r="B5091" s="210">
        <v>7</v>
      </c>
      <c r="C5091" s="191" t="str">
        <f>IF('IWP14'!E$451=0,"",'IWP14'!E$451)</f>
        <v>Subtotal column D.</v>
      </c>
      <c r="D5091" s="211">
        <f>'IWP14'!G$451</f>
        <v>0</v>
      </c>
      <c r="E5091" s="211">
        <f>'IWP14'!H$451</f>
        <v>0</v>
      </c>
      <c r="F5091" s="211">
        <f>'IWP14'!I$451</f>
        <v>0</v>
      </c>
      <c r="G5091" s="191" t="str">
        <f>IF('IWP14'!J$451=0,"",'IWP14'!J$451)</f>
        <v/>
      </c>
      <c r="H5091" s="211">
        <f>'IWP14'!K$451</f>
        <v>0</v>
      </c>
      <c r="I5091" s="211">
        <f>'IWP14'!L$451</f>
        <v>0</v>
      </c>
      <c r="J5091" s="212">
        <f>'IWP14'!M$451</f>
        <v>0</v>
      </c>
      <c r="K5091" s="106"/>
      <c r="L5091" s="106"/>
      <c r="M5091" s="129"/>
    </row>
    <row r="5092" spans="1:13" s="146" customFormat="1">
      <c r="A5092" s="193" t="s">
        <v>512</v>
      </c>
      <c r="B5092" s="210">
        <v>7</v>
      </c>
      <c r="C5092" s="191" t="str">
        <f>IF('IWP14'!E$452=0,"",'IWP14'!E$452)</f>
        <v>Unverified/Undocumented (Subtotal D - C)</v>
      </c>
      <c r="D5092" s="211">
        <f>'IWP14'!G$452</f>
        <v>0</v>
      </c>
      <c r="E5092" s="211">
        <f>'IWP14'!H$452</f>
        <v>0</v>
      </c>
      <c r="F5092" s="211">
        <f>'IWP14'!I$452</f>
        <v>0</v>
      </c>
      <c r="G5092" s="191" t="str">
        <f>IF('IWP14'!J$452=0,"",'IWP14'!J$452)</f>
        <v/>
      </c>
      <c r="H5092" s="211">
        <f>'IWP14'!K$452</f>
        <v>0</v>
      </c>
      <c r="I5092" s="211">
        <f>'IWP14'!L$452</f>
        <v>0</v>
      </c>
      <c r="J5092" s="212">
        <f>'IWP14'!M$452</f>
        <v>0</v>
      </c>
      <c r="K5092" s="106"/>
      <c r="L5092" s="106"/>
      <c r="M5092" s="129"/>
    </row>
    <row r="5093" spans="1:13" s="146" customFormat="1">
      <c r="A5093" s="193" t="s">
        <v>512</v>
      </c>
      <c r="B5093" s="210">
        <v>7</v>
      </c>
      <c r="C5093" s="191" t="str">
        <f>IF('IWP14'!E$453=0,"",'IWP14'!E$453)</f>
        <v>J. Billing Period Total</v>
      </c>
      <c r="D5093" s="211">
        <f>'IWP14'!G$453</f>
        <v>0</v>
      </c>
      <c r="E5093" s="211">
        <f>'IWP14'!H$453</f>
        <v>0</v>
      </c>
      <c r="F5093" s="211">
        <f>'IWP14'!I$453</f>
        <v>0</v>
      </c>
      <c r="G5093" s="191" t="str">
        <f>IF('IWP14'!J$453=0,"",'IWP14'!J$453)</f>
        <v/>
      </c>
      <c r="H5093" s="211">
        <f>'IWP14'!K$453</f>
        <v>0</v>
      </c>
      <c r="I5093" s="211">
        <f>'IWP14'!L$453</f>
        <v>0</v>
      </c>
      <c r="J5093" s="212">
        <f>'IWP14'!M$453</f>
        <v>0</v>
      </c>
      <c r="K5093" s="106"/>
      <c r="L5093" s="106"/>
      <c r="M5093" s="129"/>
    </row>
    <row r="5094" spans="1:13" s="146" customFormat="1">
      <c r="A5094" s="193" t="s">
        <v>512</v>
      </c>
      <c r="B5094" s="210">
        <v>7</v>
      </c>
      <c r="C5094" s="191" t="str">
        <f>IF('IWP14'!E$454=0,"",'IWP14'!E$454)</f>
        <v>D.</v>
      </c>
      <c r="D5094" s="211">
        <f>'IWP14'!G$454</f>
        <v>0</v>
      </c>
      <c r="E5094" s="211" t="str">
        <f>'IWP14'!H$454</f>
        <v>E.</v>
      </c>
      <c r="F5094" s="211" t="str">
        <f>'IWP14'!I$454</f>
        <v>F.</v>
      </c>
      <c r="G5094" s="191" t="str">
        <f>IF('IWP14'!J$454=0,"",'IWP14'!J$454)</f>
        <v>G.</v>
      </c>
      <c r="H5094" s="211">
        <f>'IWP14'!K$454</f>
        <v>0</v>
      </c>
      <c r="I5094" s="211" t="str">
        <f>'IWP14'!L$454</f>
        <v>H.</v>
      </c>
      <c r="J5094" s="212" t="str">
        <f>'IWP14'!M$454</f>
        <v>I.</v>
      </c>
      <c r="K5094" s="106"/>
      <c r="L5094" s="106"/>
      <c r="M5094" s="129"/>
    </row>
    <row r="5095" spans="1:13" s="146" customFormat="1">
      <c r="A5095" s="193" t="s">
        <v>512</v>
      </c>
      <c r="B5095" s="210">
        <v>7</v>
      </c>
      <c r="C5095" s="191" t="str">
        <f>IF('IWP14'!E$455=0,"",'IWP14'!E$455)</f>
        <v xml:space="preserve">Items/Services Related to Billing Period </v>
      </c>
      <c r="D5095" s="211">
        <f>'IWP14'!G$455</f>
        <v>0</v>
      </c>
      <c r="E5095" s="211" t="str">
        <f>'IWP14'!H$455</f>
        <v xml:space="preserve">Item/
Service Verified Amounts
</v>
      </c>
      <c r="F5095" s="211" t="str">
        <f>'IWP14'!I$455</f>
        <v>Amount Due to DADS (E. - D.)</v>
      </c>
      <c r="G5095" s="191" t="str">
        <f>IF('IWP14'!J$455=0,"",'IWP14'!J$455)</f>
        <v>Amount Reimbursed to 
Employee(s)/Employer</v>
      </c>
      <c r="H5095" s="211">
        <f>'IWP14'!K$455</f>
        <v>0</v>
      </c>
      <c r="I5095" s="211" t="str">
        <f>'IWP14'!L$455</f>
        <v>Amount Due to Employee(s) (G. - E.)</v>
      </c>
      <c r="J5095" s="212" t="str">
        <f>'IWP14'!M$455</f>
        <v>Amount Due to Employer (G. - E.)</v>
      </c>
      <c r="K5095" s="106"/>
      <c r="L5095" s="106"/>
      <c r="M5095" s="129"/>
    </row>
    <row r="5096" spans="1:13" s="146" customFormat="1">
      <c r="A5096" s="193" t="s">
        <v>512</v>
      </c>
      <c r="B5096" s="210">
        <v>7</v>
      </c>
      <c r="C5096" s="191" t="str">
        <f>IF('IWP14'!E$456=0,"",'IWP14'!E$456)</f>
        <v>Item/Service</v>
      </c>
      <c r="D5096" s="211" t="str">
        <f>'IWP14'!G$456</f>
        <v>Itemized Amount Paid by DADS</v>
      </c>
      <c r="E5096" s="211">
        <f>'IWP14'!H$456</f>
        <v>0</v>
      </c>
      <c r="F5096" s="211">
        <f>'IWP14'!I$456</f>
        <v>0</v>
      </c>
      <c r="G5096" s="191" t="str">
        <f>IF('IWP14'!J$456=0,"",'IWP14'!J$456)</f>
        <v/>
      </c>
      <c r="H5096" s="211">
        <f>'IWP14'!K$456</f>
        <v>0</v>
      </c>
      <c r="I5096" s="211">
        <f>'IWP14'!L$456</f>
        <v>0</v>
      </c>
      <c r="J5096" s="212">
        <f>'IWP14'!M$456</f>
        <v>0</v>
      </c>
      <c r="K5096" s="106"/>
      <c r="L5096" s="106"/>
      <c r="M5096" s="129"/>
    </row>
    <row r="5097" spans="1:13" s="146" customFormat="1">
      <c r="A5097" s="193" t="s">
        <v>512</v>
      </c>
      <c r="B5097" s="210">
        <v>7</v>
      </c>
      <c r="C5097" s="191" t="str">
        <f>IF('IWP14'!E$457=0,"",'IWP14'!E$457)</f>
        <v/>
      </c>
      <c r="D5097" s="211">
        <f>'IWP14'!G$457</f>
        <v>0</v>
      </c>
      <c r="E5097" s="211">
        <f>'IWP14'!H$457</f>
        <v>0</v>
      </c>
      <c r="F5097" s="211">
        <f>'IWP14'!I$457</f>
        <v>0</v>
      </c>
      <c r="G5097" s="191" t="str">
        <f>IF('IWP14'!J$457=0,"",'IWP14'!J$457)</f>
        <v/>
      </c>
      <c r="H5097" s="211">
        <f>'IWP14'!K$457</f>
        <v>0</v>
      </c>
      <c r="I5097" s="211">
        <f>'IWP14'!L$457</f>
        <v>0</v>
      </c>
      <c r="J5097" s="212">
        <f>'IWP14'!M$457</f>
        <v>0</v>
      </c>
      <c r="K5097" s="106"/>
      <c r="L5097" s="106"/>
      <c r="M5097" s="129"/>
    </row>
    <row r="5098" spans="1:13" s="146" customFormat="1">
      <c r="A5098" s="193" t="s">
        <v>512</v>
      </c>
      <c r="B5098" s="210">
        <v>7</v>
      </c>
      <c r="C5098" s="191" t="str">
        <f>IF('IWP14'!E$458=0,"",'IWP14'!E$458)</f>
        <v/>
      </c>
      <c r="D5098" s="211">
        <f>'IWP14'!G$458</f>
        <v>0</v>
      </c>
      <c r="E5098" s="211">
        <f>'IWP14'!H$458</f>
        <v>0</v>
      </c>
      <c r="F5098" s="211">
        <f>'IWP14'!I$458</f>
        <v>0</v>
      </c>
      <c r="G5098" s="191" t="str">
        <f>IF('IWP14'!J$458=0,"",'IWP14'!J$458)</f>
        <v/>
      </c>
      <c r="H5098" s="211">
        <f>'IWP14'!K$458</f>
        <v>0</v>
      </c>
      <c r="I5098" s="211">
        <f>'IWP14'!L$458</f>
        <v>0</v>
      </c>
      <c r="J5098" s="212">
        <f>'IWP14'!M$458</f>
        <v>0</v>
      </c>
      <c r="K5098" s="106"/>
      <c r="L5098" s="106"/>
      <c r="M5098" s="129"/>
    </row>
    <row r="5099" spans="1:13" s="146" customFormat="1">
      <c r="A5099" s="193" t="s">
        <v>512</v>
      </c>
      <c r="B5099" s="210">
        <v>7</v>
      </c>
      <c r="C5099" s="191" t="str">
        <f>IF('IWP14'!E$459=0,"",'IWP14'!E$459)</f>
        <v/>
      </c>
      <c r="D5099" s="211">
        <f>'IWP14'!G$459</f>
        <v>0</v>
      </c>
      <c r="E5099" s="211">
        <f>'IWP14'!H$459</f>
        <v>0</v>
      </c>
      <c r="F5099" s="211">
        <f>'IWP14'!I$459</f>
        <v>0</v>
      </c>
      <c r="G5099" s="191" t="str">
        <f>IF('IWP14'!J$459=0,"",'IWP14'!J$459)</f>
        <v/>
      </c>
      <c r="H5099" s="211">
        <f>'IWP14'!K$459</f>
        <v>0</v>
      </c>
      <c r="I5099" s="211">
        <f>'IWP14'!L$459</f>
        <v>0</v>
      </c>
      <c r="J5099" s="212">
        <f>'IWP14'!M$459</f>
        <v>0</v>
      </c>
      <c r="K5099" s="106"/>
      <c r="L5099" s="106"/>
      <c r="M5099" s="129"/>
    </row>
    <row r="5100" spans="1:13" s="146" customFormat="1">
      <c r="A5100" s="193" t="s">
        <v>512</v>
      </c>
      <c r="B5100" s="210">
        <v>7</v>
      </c>
      <c r="C5100" s="191" t="str">
        <f>IF('IWP14'!E$460=0,"",'IWP14'!E$460)</f>
        <v/>
      </c>
      <c r="D5100" s="211">
        <f>'IWP14'!G$460</f>
        <v>0</v>
      </c>
      <c r="E5100" s="211">
        <f>'IWP14'!H$460</f>
        <v>0</v>
      </c>
      <c r="F5100" s="211">
        <f>'IWP14'!I$460</f>
        <v>0</v>
      </c>
      <c r="G5100" s="191" t="str">
        <f>IF('IWP14'!J$460=0,"",'IWP14'!J$460)</f>
        <v/>
      </c>
      <c r="H5100" s="211">
        <f>'IWP14'!K$460</f>
        <v>0</v>
      </c>
      <c r="I5100" s="211">
        <f>'IWP14'!L$460</f>
        <v>0</v>
      </c>
      <c r="J5100" s="212">
        <f>'IWP14'!M$460</f>
        <v>0</v>
      </c>
      <c r="K5100" s="106"/>
      <c r="L5100" s="106"/>
      <c r="M5100" s="129"/>
    </row>
    <row r="5101" spans="1:13" s="146" customFormat="1">
      <c r="A5101" s="193" t="s">
        <v>512</v>
      </c>
      <c r="B5101" s="210">
        <v>8</v>
      </c>
      <c r="C5101" s="191" t="str">
        <f>IF('IWP14'!E$467=0,"",'IWP14'!E$467)</f>
        <v>Subtotal column D.</v>
      </c>
      <c r="D5101" s="211">
        <f>'IWP14'!G$467</f>
        <v>0</v>
      </c>
      <c r="E5101" s="211">
        <f>'IWP14'!H$467</f>
        <v>0</v>
      </c>
      <c r="F5101" s="211">
        <f>'IWP14'!I$467</f>
        <v>0</v>
      </c>
      <c r="G5101" s="191" t="str">
        <f>IF('IWP14'!J$467=0,"",'IWP14'!J$467)</f>
        <v/>
      </c>
      <c r="H5101" s="211">
        <f>'IWP14'!K$467</f>
        <v>0</v>
      </c>
      <c r="I5101" s="211">
        <f>'IWP14'!L$467</f>
        <v>0</v>
      </c>
      <c r="J5101" s="212">
        <f>'IWP14'!M$467</f>
        <v>0</v>
      </c>
      <c r="K5101" s="106"/>
      <c r="L5101" s="106"/>
      <c r="M5101" s="129"/>
    </row>
    <row r="5102" spans="1:13" s="146" customFormat="1">
      <c r="A5102" s="193" t="s">
        <v>512</v>
      </c>
      <c r="B5102" s="210">
        <v>8</v>
      </c>
      <c r="C5102" s="191" t="str">
        <f>IF('IWP14'!E$468=0,"",'IWP14'!E$468)</f>
        <v>Unverified/Undocumented (Subtotal D - C)</v>
      </c>
      <c r="D5102" s="211">
        <f>'IWP14'!G$468</f>
        <v>0</v>
      </c>
      <c r="E5102" s="211">
        <f>'IWP14'!H$468</f>
        <v>0</v>
      </c>
      <c r="F5102" s="211">
        <f>'IWP14'!I$468</f>
        <v>0</v>
      </c>
      <c r="G5102" s="191" t="str">
        <f>IF('IWP14'!J$468=0,"",'IWP14'!J$468)</f>
        <v/>
      </c>
      <c r="H5102" s="211">
        <f>'IWP14'!K$468</f>
        <v>0</v>
      </c>
      <c r="I5102" s="211">
        <f>'IWP14'!L$468</f>
        <v>0</v>
      </c>
      <c r="J5102" s="212">
        <f>'IWP14'!M$468</f>
        <v>0</v>
      </c>
      <c r="K5102" s="106"/>
      <c r="L5102" s="106"/>
      <c r="M5102" s="129"/>
    </row>
    <row r="5103" spans="1:13" s="146" customFormat="1">
      <c r="A5103" s="193" t="s">
        <v>512</v>
      </c>
      <c r="B5103" s="210">
        <v>8</v>
      </c>
      <c r="C5103" s="191" t="str">
        <f>IF('IWP14'!E$469=0,"",'IWP14'!E$469)</f>
        <v>J. Billing Period Total</v>
      </c>
      <c r="D5103" s="211">
        <f>'IWP14'!G$469</f>
        <v>0</v>
      </c>
      <c r="E5103" s="211">
        <f>'IWP14'!H$469</f>
        <v>0</v>
      </c>
      <c r="F5103" s="211">
        <f>'IWP14'!I$469</f>
        <v>0</v>
      </c>
      <c r="G5103" s="191" t="str">
        <f>IF('IWP14'!J$469=0,"",'IWP14'!J$469)</f>
        <v/>
      </c>
      <c r="H5103" s="211">
        <f>'IWP14'!K$469</f>
        <v>0</v>
      </c>
      <c r="I5103" s="211">
        <f>'IWP14'!L$469</f>
        <v>0</v>
      </c>
      <c r="J5103" s="212">
        <f>'IWP14'!M$469</f>
        <v>0</v>
      </c>
      <c r="K5103" s="106"/>
      <c r="L5103" s="106"/>
      <c r="M5103" s="129"/>
    </row>
    <row r="5104" spans="1:13" s="146" customFormat="1">
      <c r="A5104" s="193" t="s">
        <v>512</v>
      </c>
      <c r="B5104" s="210">
        <v>8</v>
      </c>
      <c r="C5104" s="191" t="str">
        <f>IF('IWP14'!E$470=0,"",'IWP14'!E$470)</f>
        <v>D.</v>
      </c>
      <c r="D5104" s="211">
        <f>'IWP14'!G$470</f>
        <v>0</v>
      </c>
      <c r="E5104" s="211" t="str">
        <f>'IWP14'!H$470</f>
        <v>E.</v>
      </c>
      <c r="F5104" s="211" t="str">
        <f>'IWP14'!I$470</f>
        <v>F.</v>
      </c>
      <c r="G5104" s="191" t="str">
        <f>IF('IWP14'!J$470=0,"",'IWP14'!J$470)</f>
        <v>G.</v>
      </c>
      <c r="H5104" s="211">
        <f>'IWP14'!K$470</f>
        <v>0</v>
      </c>
      <c r="I5104" s="211" t="str">
        <f>'IWP14'!L$470</f>
        <v>H.</v>
      </c>
      <c r="J5104" s="212" t="str">
        <f>'IWP14'!M$470</f>
        <v>I.</v>
      </c>
      <c r="K5104" s="106"/>
      <c r="L5104" s="106"/>
      <c r="M5104" s="129"/>
    </row>
    <row r="5105" spans="1:13" s="146" customFormat="1">
      <c r="A5105" s="193" t="s">
        <v>512</v>
      </c>
      <c r="B5105" s="210">
        <v>8</v>
      </c>
      <c r="C5105" s="191" t="str">
        <f>IF('IWP14'!E$471=0,"",'IWP14'!E$471)</f>
        <v xml:space="preserve">Items/Services Related to Billing Period </v>
      </c>
      <c r="D5105" s="211">
        <f>'IWP14'!G$471</f>
        <v>0</v>
      </c>
      <c r="E5105" s="211" t="str">
        <f>'IWP14'!H$471</f>
        <v xml:space="preserve">Item/
Service Verified Amounts
</v>
      </c>
      <c r="F5105" s="211" t="str">
        <f>'IWP14'!I$471</f>
        <v>Amount Due to DADS (E. - D.)</v>
      </c>
      <c r="G5105" s="191" t="str">
        <f>IF('IWP14'!J$471=0,"",'IWP14'!J$471)</f>
        <v>Amount Reimbursed to 
Employee(s)/Employer</v>
      </c>
      <c r="H5105" s="211">
        <f>'IWP14'!K$471</f>
        <v>0</v>
      </c>
      <c r="I5105" s="211" t="str">
        <f>'IWP14'!L$471</f>
        <v>Amount Due to Employee(s) (G. - E.)</v>
      </c>
      <c r="J5105" s="212" t="str">
        <f>'IWP14'!M$471</f>
        <v>Amount Due to Employer (G. - E.)</v>
      </c>
      <c r="K5105" s="106"/>
      <c r="L5105" s="106"/>
      <c r="M5105" s="129"/>
    </row>
    <row r="5106" spans="1:13" s="146" customFormat="1">
      <c r="A5106" s="193" t="s">
        <v>512</v>
      </c>
      <c r="B5106" s="210">
        <v>8</v>
      </c>
      <c r="C5106" s="191" t="str">
        <f>IF('IWP14'!E$472=0,"",'IWP14'!E$472)</f>
        <v>Item/Service</v>
      </c>
      <c r="D5106" s="211" t="str">
        <f>'IWP14'!G$472</f>
        <v>Itemized Amount Paid by DADS</v>
      </c>
      <c r="E5106" s="211">
        <f>'IWP14'!H$472</f>
        <v>0</v>
      </c>
      <c r="F5106" s="211">
        <f>'IWP14'!I$472</f>
        <v>0</v>
      </c>
      <c r="G5106" s="191" t="str">
        <f>IF('IWP14'!J$472=0,"",'IWP14'!J$472)</f>
        <v/>
      </c>
      <c r="H5106" s="211">
        <f>'IWP14'!K$472</f>
        <v>0</v>
      </c>
      <c r="I5106" s="211">
        <f>'IWP14'!L$472</f>
        <v>0</v>
      </c>
      <c r="J5106" s="212">
        <f>'IWP14'!M$472</f>
        <v>0</v>
      </c>
      <c r="K5106" s="106"/>
      <c r="L5106" s="106"/>
      <c r="M5106" s="129"/>
    </row>
    <row r="5107" spans="1:13" s="146" customFormat="1">
      <c r="A5107" s="193" t="s">
        <v>512</v>
      </c>
      <c r="B5107" s="210">
        <v>8</v>
      </c>
      <c r="C5107" s="191" t="str">
        <f>IF('IWP14'!E$473=0,"",'IWP14'!E$473)</f>
        <v/>
      </c>
      <c r="D5107" s="211">
        <f>'IWP14'!G$473</f>
        <v>0</v>
      </c>
      <c r="E5107" s="211">
        <f>'IWP14'!H$473</f>
        <v>0</v>
      </c>
      <c r="F5107" s="211">
        <f>'IWP14'!I$473</f>
        <v>0</v>
      </c>
      <c r="G5107" s="191" t="str">
        <f>IF('IWP14'!J$473=0,"",'IWP14'!J$473)</f>
        <v/>
      </c>
      <c r="H5107" s="211">
        <f>'IWP14'!K$473</f>
        <v>0</v>
      </c>
      <c r="I5107" s="211">
        <f>'IWP14'!L$473</f>
        <v>0</v>
      </c>
      <c r="J5107" s="212">
        <f>'IWP14'!M$473</f>
        <v>0</v>
      </c>
      <c r="K5107" s="106"/>
      <c r="L5107" s="106"/>
      <c r="M5107" s="129"/>
    </row>
    <row r="5108" spans="1:13" s="146" customFormat="1">
      <c r="A5108" s="193" t="s">
        <v>512</v>
      </c>
      <c r="B5108" s="210">
        <v>8</v>
      </c>
      <c r="C5108" s="191" t="str">
        <f>IF('IWP14'!E$474=0,"",'IWP14'!E$474)</f>
        <v/>
      </c>
      <c r="D5108" s="211">
        <f>'IWP14'!G$474</f>
        <v>0</v>
      </c>
      <c r="E5108" s="211">
        <f>'IWP14'!H$474</f>
        <v>0</v>
      </c>
      <c r="F5108" s="211">
        <f>'IWP14'!I$474</f>
        <v>0</v>
      </c>
      <c r="G5108" s="191" t="str">
        <f>IF('IWP14'!J$474=0,"",'IWP14'!J$474)</f>
        <v/>
      </c>
      <c r="H5108" s="211">
        <f>'IWP14'!K$474</f>
        <v>0</v>
      </c>
      <c r="I5108" s="211">
        <f>'IWP14'!L$474</f>
        <v>0</v>
      </c>
      <c r="J5108" s="212">
        <f>'IWP14'!M$474</f>
        <v>0</v>
      </c>
      <c r="K5108" s="106"/>
      <c r="L5108" s="106"/>
      <c r="M5108" s="129"/>
    </row>
    <row r="5109" spans="1:13" s="146" customFormat="1">
      <c r="A5109" s="193" t="s">
        <v>512</v>
      </c>
      <c r="B5109" s="210">
        <v>8</v>
      </c>
      <c r="C5109" s="191" t="str">
        <f>IF('IWP14'!E$475=0,"",'IWP14'!E$475)</f>
        <v/>
      </c>
      <c r="D5109" s="211">
        <f>'IWP14'!G$475</f>
        <v>0</v>
      </c>
      <c r="E5109" s="211">
        <f>'IWP14'!H$475</f>
        <v>0</v>
      </c>
      <c r="F5109" s="211">
        <f>'IWP14'!I$475</f>
        <v>0</v>
      </c>
      <c r="G5109" s="191" t="str">
        <f>IF('IWP14'!J$475=0,"",'IWP14'!J$475)</f>
        <v/>
      </c>
      <c r="H5109" s="211">
        <f>'IWP14'!K$475</f>
        <v>0</v>
      </c>
      <c r="I5109" s="211">
        <f>'IWP14'!L$475</f>
        <v>0</v>
      </c>
      <c r="J5109" s="212">
        <f>'IWP14'!M$475</f>
        <v>0</v>
      </c>
      <c r="K5109" s="106"/>
      <c r="L5109" s="106"/>
      <c r="M5109" s="129"/>
    </row>
    <row r="5110" spans="1:13" s="146" customFormat="1">
      <c r="A5110" s="193" t="s">
        <v>512</v>
      </c>
      <c r="B5110" s="210">
        <v>8</v>
      </c>
      <c r="C5110" s="191" t="str">
        <f>IF('IWP14'!E$476=0,"",'IWP14'!E$476)</f>
        <v/>
      </c>
      <c r="D5110" s="211">
        <f>'IWP14'!G$476</f>
        <v>0</v>
      </c>
      <c r="E5110" s="211">
        <f>'IWP14'!H$476</f>
        <v>0</v>
      </c>
      <c r="F5110" s="211">
        <f>'IWP14'!I$476</f>
        <v>0</v>
      </c>
      <c r="G5110" s="191" t="str">
        <f>IF('IWP14'!J$476=0,"",'IWP14'!J$476)</f>
        <v/>
      </c>
      <c r="H5110" s="211">
        <f>'IWP14'!K$476</f>
        <v>0</v>
      </c>
      <c r="I5110" s="211">
        <f>'IWP14'!L$476</f>
        <v>0</v>
      </c>
      <c r="J5110" s="212">
        <f>'IWP14'!M$476</f>
        <v>0</v>
      </c>
      <c r="K5110" s="106"/>
      <c r="L5110" s="106"/>
      <c r="M5110" s="129"/>
    </row>
    <row r="5111" spans="1:13" s="146" customFormat="1">
      <c r="A5111" s="193" t="s">
        <v>512</v>
      </c>
      <c r="B5111" s="210">
        <v>9</v>
      </c>
      <c r="C5111" s="191" t="str">
        <f>IF('IWP14'!E$483=0,"",'IWP14'!E$483)</f>
        <v>Subtotal column D.</v>
      </c>
      <c r="D5111" s="211">
        <f>'IWP14'!G$483</f>
        <v>0</v>
      </c>
      <c r="E5111" s="211">
        <f>'IWP14'!H$483</f>
        <v>0</v>
      </c>
      <c r="F5111" s="211">
        <f>'IWP14'!I$483</f>
        <v>0</v>
      </c>
      <c r="G5111" s="191" t="str">
        <f>IF('IWP14'!J$483=0,"",'IWP14'!J$483)</f>
        <v/>
      </c>
      <c r="H5111" s="211">
        <f>'IWP14'!K$483</f>
        <v>0</v>
      </c>
      <c r="I5111" s="211">
        <f>'IWP14'!L$483</f>
        <v>0</v>
      </c>
      <c r="J5111" s="212">
        <f>'IWP14'!M$483</f>
        <v>0</v>
      </c>
      <c r="K5111" s="106"/>
      <c r="L5111" s="106"/>
      <c r="M5111" s="129"/>
    </row>
    <row r="5112" spans="1:13" s="146" customFormat="1">
      <c r="A5112" s="193" t="s">
        <v>512</v>
      </c>
      <c r="B5112" s="210">
        <v>9</v>
      </c>
      <c r="C5112" s="191" t="str">
        <f>IF('IWP14'!E$484=0,"",'IWP14'!E$484)</f>
        <v>Unverified/Undocumented (Subtotal D - C)</v>
      </c>
      <c r="D5112" s="211">
        <f>'IWP14'!G$484</f>
        <v>0</v>
      </c>
      <c r="E5112" s="211">
        <f>'IWP14'!H$484</f>
        <v>0</v>
      </c>
      <c r="F5112" s="211">
        <f>'IWP14'!I$484</f>
        <v>0</v>
      </c>
      <c r="G5112" s="191" t="str">
        <f>IF('IWP14'!J$484=0,"",'IWP14'!J$484)</f>
        <v/>
      </c>
      <c r="H5112" s="211">
        <f>'IWP14'!K$484</f>
        <v>0</v>
      </c>
      <c r="I5112" s="211">
        <f>'IWP14'!L$484</f>
        <v>0</v>
      </c>
      <c r="J5112" s="212">
        <f>'IWP14'!M$484</f>
        <v>0</v>
      </c>
      <c r="K5112" s="106"/>
      <c r="L5112" s="106"/>
      <c r="M5112" s="129"/>
    </row>
    <row r="5113" spans="1:13" s="146" customFormat="1">
      <c r="A5113" s="193" t="s">
        <v>512</v>
      </c>
      <c r="B5113" s="210">
        <v>9</v>
      </c>
      <c r="C5113" s="191" t="str">
        <f>IF('IWP14'!E$485=0,"",'IWP14'!E$485)</f>
        <v>J. Billing Period Total</v>
      </c>
      <c r="D5113" s="211">
        <f>'IWP14'!G$485</f>
        <v>0</v>
      </c>
      <c r="E5113" s="211">
        <f>'IWP14'!H$485</f>
        <v>0</v>
      </c>
      <c r="F5113" s="211">
        <f>'IWP14'!I$485</f>
        <v>0</v>
      </c>
      <c r="G5113" s="191" t="str">
        <f>IF('IWP14'!J$485=0,"",'IWP14'!J$485)</f>
        <v/>
      </c>
      <c r="H5113" s="211">
        <f>'IWP14'!K$485</f>
        <v>0</v>
      </c>
      <c r="I5113" s="211">
        <f>'IWP14'!L$485</f>
        <v>0</v>
      </c>
      <c r="J5113" s="212">
        <f>'IWP14'!M$485</f>
        <v>0</v>
      </c>
      <c r="K5113" s="106"/>
      <c r="L5113" s="106"/>
      <c r="M5113" s="129"/>
    </row>
    <row r="5114" spans="1:13" s="146" customFormat="1">
      <c r="A5114" s="193" t="s">
        <v>512</v>
      </c>
      <c r="B5114" s="210">
        <v>9</v>
      </c>
      <c r="C5114" s="191" t="str">
        <f>IF('IWP14'!E$486=0,"",'IWP14'!E$486)</f>
        <v>D.</v>
      </c>
      <c r="D5114" s="211">
        <f>'IWP14'!G$486</f>
        <v>0</v>
      </c>
      <c r="E5114" s="211" t="str">
        <f>'IWP14'!H$486</f>
        <v>E.</v>
      </c>
      <c r="F5114" s="211" t="str">
        <f>'IWP14'!I$486</f>
        <v>F.</v>
      </c>
      <c r="G5114" s="191" t="str">
        <f>IF('IWP14'!J$486=0,"",'IWP14'!J$486)</f>
        <v>G.</v>
      </c>
      <c r="H5114" s="211">
        <f>'IWP14'!K$486</f>
        <v>0</v>
      </c>
      <c r="I5114" s="211" t="str">
        <f>'IWP14'!L$486</f>
        <v>H.</v>
      </c>
      <c r="J5114" s="212" t="str">
        <f>'IWP14'!M$486</f>
        <v>I.</v>
      </c>
      <c r="K5114" s="106"/>
      <c r="L5114" s="106"/>
      <c r="M5114" s="129"/>
    </row>
    <row r="5115" spans="1:13" s="146" customFormat="1">
      <c r="A5115" s="193" t="s">
        <v>512</v>
      </c>
      <c r="B5115" s="210">
        <v>9</v>
      </c>
      <c r="C5115" s="191" t="str">
        <f>IF('IWP14'!E$487=0,"",'IWP14'!E$487)</f>
        <v xml:space="preserve">Items/Services Related to Billing Period </v>
      </c>
      <c r="D5115" s="211">
        <f>'IWP14'!G$487</f>
        <v>0</v>
      </c>
      <c r="E5115" s="211" t="str">
        <f>'IWP14'!H$487</f>
        <v xml:space="preserve">Item/
Service Verified Amounts
</v>
      </c>
      <c r="F5115" s="211" t="str">
        <f>'IWP14'!I$487</f>
        <v>Amount Due to DADS (E. - D.)</v>
      </c>
      <c r="G5115" s="191" t="str">
        <f>IF('IWP14'!J$487=0,"",'IWP14'!J$487)</f>
        <v>Amount Reimbursed to 
Employee(s)/Employer</v>
      </c>
      <c r="H5115" s="211">
        <f>'IWP14'!K$487</f>
        <v>0</v>
      </c>
      <c r="I5115" s="211" t="str">
        <f>'IWP14'!L$487</f>
        <v>Amount Due to Employee(s) (G. - E.)</v>
      </c>
      <c r="J5115" s="212" t="str">
        <f>'IWP14'!M$487</f>
        <v>Amount Due to Employer (G. - E.)</v>
      </c>
      <c r="K5115" s="106"/>
      <c r="L5115" s="106"/>
      <c r="M5115" s="129"/>
    </row>
    <row r="5116" spans="1:13" s="146" customFormat="1">
      <c r="A5116" s="193" t="s">
        <v>512</v>
      </c>
      <c r="B5116" s="210">
        <v>9</v>
      </c>
      <c r="C5116" s="191" t="str">
        <f>IF('IWP14'!E$488=0,"",'IWP14'!E$488)</f>
        <v>Item/Service</v>
      </c>
      <c r="D5116" s="211" t="str">
        <f>'IWP14'!G$488</f>
        <v>Itemized Amount Paid by DADS</v>
      </c>
      <c r="E5116" s="211">
        <f>'IWP14'!H$488</f>
        <v>0</v>
      </c>
      <c r="F5116" s="211">
        <f>'IWP14'!I$488</f>
        <v>0</v>
      </c>
      <c r="G5116" s="191" t="str">
        <f>IF('IWP14'!J$488=0,"",'IWP14'!J$488)</f>
        <v/>
      </c>
      <c r="H5116" s="211">
        <f>'IWP14'!K$488</f>
        <v>0</v>
      </c>
      <c r="I5116" s="211">
        <f>'IWP14'!L$488</f>
        <v>0</v>
      </c>
      <c r="J5116" s="212">
        <f>'IWP14'!M$488</f>
        <v>0</v>
      </c>
      <c r="K5116" s="106"/>
      <c r="L5116" s="106"/>
      <c r="M5116" s="129"/>
    </row>
    <row r="5117" spans="1:13" s="146" customFormat="1">
      <c r="A5117" s="193" t="s">
        <v>512</v>
      </c>
      <c r="B5117" s="210">
        <v>9</v>
      </c>
      <c r="C5117" s="191" t="str">
        <f>IF('IWP14'!E$489=0,"",'IWP14'!E$489)</f>
        <v/>
      </c>
      <c r="D5117" s="211">
        <f>'IWP14'!G$489</f>
        <v>0</v>
      </c>
      <c r="E5117" s="211">
        <f>'IWP14'!H$489</f>
        <v>0</v>
      </c>
      <c r="F5117" s="211">
        <f>'IWP14'!I$489</f>
        <v>0</v>
      </c>
      <c r="G5117" s="191" t="str">
        <f>IF('IWP14'!J$489=0,"",'IWP14'!J$489)</f>
        <v/>
      </c>
      <c r="H5117" s="211">
        <f>'IWP14'!K$489</f>
        <v>0</v>
      </c>
      <c r="I5117" s="211">
        <f>'IWP14'!L$489</f>
        <v>0</v>
      </c>
      <c r="J5117" s="212">
        <f>'IWP14'!M$489</f>
        <v>0</v>
      </c>
      <c r="K5117" s="106"/>
      <c r="L5117" s="106"/>
      <c r="M5117" s="129"/>
    </row>
    <row r="5118" spans="1:13" s="146" customFormat="1">
      <c r="A5118" s="193" t="s">
        <v>512</v>
      </c>
      <c r="B5118" s="210">
        <v>9</v>
      </c>
      <c r="C5118" s="191" t="str">
        <f>IF('IWP14'!E$490=0,"",'IWP14'!E$490)</f>
        <v/>
      </c>
      <c r="D5118" s="211">
        <f>'IWP14'!G$490</f>
        <v>0</v>
      </c>
      <c r="E5118" s="211">
        <f>'IWP14'!H$490</f>
        <v>0</v>
      </c>
      <c r="F5118" s="211">
        <f>'IWP14'!I$490</f>
        <v>0</v>
      </c>
      <c r="G5118" s="191" t="str">
        <f>IF('IWP14'!J$490=0,"",'IWP14'!J$490)</f>
        <v/>
      </c>
      <c r="H5118" s="211">
        <f>'IWP14'!K$490</f>
        <v>0</v>
      </c>
      <c r="I5118" s="211">
        <f>'IWP14'!L$490</f>
        <v>0</v>
      </c>
      <c r="J5118" s="212">
        <f>'IWP14'!M$490</f>
        <v>0</v>
      </c>
      <c r="K5118" s="106"/>
      <c r="L5118" s="106"/>
      <c r="M5118" s="129"/>
    </row>
    <row r="5119" spans="1:13" s="146" customFormat="1">
      <c r="A5119" s="193" t="s">
        <v>512</v>
      </c>
      <c r="B5119" s="210">
        <v>9</v>
      </c>
      <c r="C5119" s="191" t="str">
        <f>IF('IWP14'!E$491=0,"",'IWP14'!E$491)</f>
        <v/>
      </c>
      <c r="D5119" s="211">
        <f>'IWP14'!G$491</f>
        <v>0</v>
      </c>
      <c r="E5119" s="211">
        <f>'IWP14'!H$491</f>
        <v>0</v>
      </c>
      <c r="F5119" s="211">
        <f>'IWP14'!I$491</f>
        <v>0</v>
      </c>
      <c r="G5119" s="191" t="str">
        <f>IF('IWP14'!J$491=0,"",'IWP14'!J$491)</f>
        <v/>
      </c>
      <c r="H5119" s="211">
        <f>'IWP14'!K$491</f>
        <v>0</v>
      </c>
      <c r="I5119" s="211">
        <f>'IWP14'!L$491</f>
        <v>0</v>
      </c>
      <c r="J5119" s="212">
        <f>'IWP14'!M$491</f>
        <v>0</v>
      </c>
      <c r="K5119" s="106"/>
      <c r="L5119" s="106"/>
      <c r="M5119" s="129"/>
    </row>
    <row r="5120" spans="1:13" s="146" customFormat="1">
      <c r="A5120" s="193" t="s">
        <v>512</v>
      </c>
      <c r="B5120" s="210">
        <v>9</v>
      </c>
      <c r="C5120" s="191" t="str">
        <f>IF('IWP14'!E$492=0,"",'IWP14'!E$492)</f>
        <v/>
      </c>
      <c r="D5120" s="211">
        <f>'IWP14'!G$492</f>
        <v>0</v>
      </c>
      <c r="E5120" s="211">
        <f>'IWP14'!H$492</f>
        <v>0</v>
      </c>
      <c r="F5120" s="211">
        <f>'IWP14'!I$492</f>
        <v>0</v>
      </c>
      <c r="G5120" s="191" t="str">
        <f>IF('IWP14'!J$492=0,"",'IWP14'!J$492)</f>
        <v/>
      </c>
      <c r="H5120" s="211">
        <f>'IWP14'!K$492</f>
        <v>0</v>
      </c>
      <c r="I5120" s="211">
        <f>'IWP14'!L$492</f>
        <v>0</v>
      </c>
      <c r="J5120" s="212">
        <f>'IWP14'!M$492</f>
        <v>0</v>
      </c>
      <c r="K5120" s="106"/>
      <c r="L5120" s="106"/>
      <c r="M5120" s="129"/>
    </row>
    <row r="5121" spans="1:13" s="146" customFormat="1">
      <c r="A5121" s="193" t="s">
        <v>512</v>
      </c>
      <c r="B5121" s="210">
        <v>10</v>
      </c>
      <c r="C5121" s="191" t="str">
        <f>IF('IWP14'!E$499=0,"",'IWP14'!E$499)</f>
        <v>Subtotal column D.</v>
      </c>
      <c r="D5121" s="211">
        <f>'IWP14'!G$499</f>
        <v>0</v>
      </c>
      <c r="E5121" s="211">
        <f>'IWP14'!H$499</f>
        <v>0</v>
      </c>
      <c r="F5121" s="211">
        <f>'IWP14'!I$499</f>
        <v>0</v>
      </c>
      <c r="G5121" s="191" t="str">
        <f>IF('IWP14'!J$499=0,"",'IWP14'!J$499)</f>
        <v/>
      </c>
      <c r="H5121" s="211">
        <f>'IWP14'!K$499</f>
        <v>0</v>
      </c>
      <c r="I5121" s="211">
        <f>'IWP14'!L$499</f>
        <v>0</v>
      </c>
      <c r="J5121" s="212">
        <f>'IWP14'!M$499</f>
        <v>0</v>
      </c>
      <c r="K5121" s="106"/>
      <c r="L5121" s="106"/>
      <c r="M5121" s="129"/>
    </row>
    <row r="5122" spans="1:13" s="146" customFormat="1">
      <c r="A5122" s="193" t="s">
        <v>512</v>
      </c>
      <c r="B5122" s="210">
        <v>10</v>
      </c>
      <c r="C5122" s="191" t="str">
        <f>IF('IWP14'!E$500=0,"",'IWP14'!E$500)</f>
        <v>Unverified/Undocumented (Subtotal D - C)</v>
      </c>
      <c r="D5122" s="211">
        <f>'IWP14'!G$500</f>
        <v>0</v>
      </c>
      <c r="E5122" s="211">
        <f>'IWP14'!H$500</f>
        <v>0</v>
      </c>
      <c r="F5122" s="211">
        <f>'IWP14'!I$500</f>
        <v>0</v>
      </c>
      <c r="G5122" s="191" t="str">
        <f>IF('IWP14'!J$500=0,"",'IWP14'!J$500)</f>
        <v/>
      </c>
      <c r="H5122" s="211">
        <f>'IWP14'!K$500</f>
        <v>0</v>
      </c>
      <c r="I5122" s="211">
        <f>'IWP14'!L$500</f>
        <v>0</v>
      </c>
      <c r="J5122" s="212">
        <f>'IWP14'!M$500</f>
        <v>0</v>
      </c>
      <c r="K5122" s="106"/>
      <c r="L5122" s="106"/>
      <c r="M5122" s="129"/>
    </row>
    <row r="5123" spans="1:13" s="146" customFormat="1">
      <c r="A5123" s="193" t="s">
        <v>512</v>
      </c>
      <c r="B5123" s="210">
        <v>10</v>
      </c>
      <c r="C5123" s="191" t="str">
        <f>IF('IWP14'!E$501=0,"",'IWP14'!E$501)</f>
        <v>J. Billing Period Total</v>
      </c>
      <c r="D5123" s="211">
        <f>'IWP14'!G$501</f>
        <v>0</v>
      </c>
      <c r="E5123" s="211">
        <f>'IWP14'!H$501</f>
        <v>0</v>
      </c>
      <c r="F5123" s="211">
        <f>'IWP14'!I$501</f>
        <v>0</v>
      </c>
      <c r="G5123" s="191" t="str">
        <f>IF('IWP14'!J$501=0,"",'IWP14'!J$501)</f>
        <v/>
      </c>
      <c r="H5123" s="211">
        <f>'IWP14'!K$501</f>
        <v>0</v>
      </c>
      <c r="I5123" s="211">
        <f>'IWP14'!L$501</f>
        <v>0</v>
      </c>
      <c r="J5123" s="212">
        <f>'IWP14'!M$501</f>
        <v>0</v>
      </c>
      <c r="K5123" s="106"/>
      <c r="L5123" s="106"/>
      <c r="M5123" s="129"/>
    </row>
    <row r="5124" spans="1:13" s="146" customFormat="1">
      <c r="A5124" s="193" t="s">
        <v>512</v>
      </c>
      <c r="B5124" s="210">
        <v>10</v>
      </c>
      <c r="C5124" s="191" t="str">
        <f>IF('IWP14'!E$502=0,"",'IWP14'!E$502)</f>
        <v>D.</v>
      </c>
      <c r="D5124" s="211">
        <f>'IWP14'!G$502</f>
        <v>0</v>
      </c>
      <c r="E5124" s="211" t="str">
        <f>'IWP14'!H$502</f>
        <v>E.</v>
      </c>
      <c r="F5124" s="211" t="str">
        <f>'IWP14'!I$502</f>
        <v>F.</v>
      </c>
      <c r="G5124" s="191" t="str">
        <f>IF('IWP14'!J$502=0,"",'IWP14'!J$502)</f>
        <v>G.</v>
      </c>
      <c r="H5124" s="211">
        <f>'IWP14'!K$502</f>
        <v>0</v>
      </c>
      <c r="I5124" s="211" t="str">
        <f>'IWP14'!L$502</f>
        <v>H.</v>
      </c>
      <c r="J5124" s="212" t="str">
        <f>'IWP14'!M$502</f>
        <v>I.</v>
      </c>
      <c r="K5124" s="106"/>
      <c r="L5124" s="106"/>
      <c r="M5124" s="129"/>
    </row>
    <row r="5125" spans="1:13" s="146" customFormat="1">
      <c r="A5125" s="193" t="s">
        <v>512</v>
      </c>
      <c r="B5125" s="210">
        <v>10</v>
      </c>
      <c r="C5125" s="191" t="str">
        <f>IF('IWP14'!E$503=0,"",'IWP14'!E$503)</f>
        <v xml:space="preserve">Items/Services Related to Billing Period </v>
      </c>
      <c r="D5125" s="211">
        <f>'IWP14'!G$503</f>
        <v>0</v>
      </c>
      <c r="E5125" s="211" t="str">
        <f>'IWP14'!H$503</f>
        <v xml:space="preserve">Item/
Service Verified Amounts
</v>
      </c>
      <c r="F5125" s="211" t="str">
        <f>'IWP14'!I$503</f>
        <v>Amount Due to DADS (E. - D.)</v>
      </c>
      <c r="G5125" s="191" t="str">
        <f>IF('IWP14'!J$503=0,"",'IWP14'!J$503)</f>
        <v>Amount Reimbursed to 
Employee(s)/Employer</v>
      </c>
      <c r="H5125" s="211">
        <f>'IWP14'!K$503</f>
        <v>0</v>
      </c>
      <c r="I5125" s="211" t="str">
        <f>'IWP14'!L$503</f>
        <v>Amount Due to Employee(s) (G. - E.)</v>
      </c>
      <c r="J5125" s="212" t="str">
        <f>'IWP14'!M$503</f>
        <v>Amount Due to Employer (G. - E.)</v>
      </c>
      <c r="K5125" s="106"/>
      <c r="L5125" s="106"/>
      <c r="M5125" s="129"/>
    </row>
    <row r="5126" spans="1:13" s="146" customFormat="1">
      <c r="A5126" s="193" t="s">
        <v>512</v>
      </c>
      <c r="B5126" s="210">
        <v>10</v>
      </c>
      <c r="C5126" s="191" t="str">
        <f>IF('IWP14'!E$504=0,"",'IWP14'!E$504)</f>
        <v>Item/Service</v>
      </c>
      <c r="D5126" s="211" t="str">
        <f>'IWP14'!G$504</f>
        <v>Itemized Amount Paid by DADS</v>
      </c>
      <c r="E5126" s="211">
        <f>'IWP14'!H$504</f>
        <v>0</v>
      </c>
      <c r="F5126" s="211">
        <f>'IWP14'!I$504</f>
        <v>0</v>
      </c>
      <c r="G5126" s="191" t="str">
        <f>IF('IWP14'!J$504=0,"",'IWP14'!J$504)</f>
        <v/>
      </c>
      <c r="H5126" s="211">
        <f>'IWP14'!K$504</f>
        <v>0</v>
      </c>
      <c r="I5126" s="211">
        <f>'IWP14'!L$504</f>
        <v>0</v>
      </c>
      <c r="J5126" s="212">
        <f>'IWP14'!M$504</f>
        <v>0</v>
      </c>
      <c r="K5126" s="106"/>
      <c r="L5126" s="106"/>
      <c r="M5126" s="129"/>
    </row>
    <row r="5127" spans="1:13" s="146" customFormat="1">
      <c r="A5127" s="193" t="s">
        <v>512</v>
      </c>
      <c r="B5127" s="210">
        <v>10</v>
      </c>
      <c r="C5127" s="191" t="str">
        <f>IF('IWP14'!E$505=0,"",'IWP14'!E$505)</f>
        <v/>
      </c>
      <c r="D5127" s="211">
        <f>'IWP14'!G$505</f>
        <v>0</v>
      </c>
      <c r="E5127" s="211">
        <f>'IWP14'!H$505</f>
        <v>0</v>
      </c>
      <c r="F5127" s="211">
        <f>'IWP14'!I$505</f>
        <v>0</v>
      </c>
      <c r="G5127" s="191" t="str">
        <f>IF('IWP14'!J$505=0,"",'IWP14'!J$505)</f>
        <v/>
      </c>
      <c r="H5127" s="211">
        <f>'IWP14'!K$505</f>
        <v>0</v>
      </c>
      <c r="I5127" s="211">
        <f>'IWP14'!L$505</f>
        <v>0</v>
      </c>
      <c r="J5127" s="212">
        <f>'IWP14'!M$505</f>
        <v>0</v>
      </c>
      <c r="K5127" s="106"/>
      <c r="L5127" s="106"/>
      <c r="M5127" s="129"/>
    </row>
    <row r="5128" spans="1:13" s="146" customFormat="1">
      <c r="A5128" s="193" t="s">
        <v>512</v>
      </c>
      <c r="B5128" s="210">
        <v>10</v>
      </c>
      <c r="C5128" s="191" t="str">
        <f>IF('IWP14'!E$506=0,"",'IWP14'!E$506)</f>
        <v/>
      </c>
      <c r="D5128" s="211">
        <f>'IWP14'!G$506</f>
        <v>0</v>
      </c>
      <c r="E5128" s="211">
        <f>'IWP14'!H$506</f>
        <v>0</v>
      </c>
      <c r="F5128" s="211">
        <f>'IWP14'!I$506</f>
        <v>0</v>
      </c>
      <c r="G5128" s="191" t="str">
        <f>IF('IWP14'!J$506=0,"",'IWP14'!J$506)</f>
        <v/>
      </c>
      <c r="H5128" s="211">
        <f>'IWP14'!K$506</f>
        <v>0</v>
      </c>
      <c r="I5128" s="211">
        <f>'IWP14'!L$506</f>
        <v>0</v>
      </c>
      <c r="J5128" s="212">
        <f>'IWP14'!M$506</f>
        <v>0</v>
      </c>
      <c r="K5128" s="106"/>
      <c r="L5128" s="106"/>
      <c r="M5128" s="129"/>
    </row>
    <row r="5129" spans="1:13" s="146" customFormat="1">
      <c r="A5129" s="193" t="s">
        <v>512</v>
      </c>
      <c r="B5129" s="210">
        <v>10</v>
      </c>
      <c r="C5129" s="191" t="str">
        <f>IF('IWP14'!E$507=0,"",'IWP14'!E$507)</f>
        <v/>
      </c>
      <c r="D5129" s="211">
        <f>'IWP14'!G$507</f>
        <v>0</v>
      </c>
      <c r="E5129" s="211">
        <f>'IWP14'!H$507</f>
        <v>0</v>
      </c>
      <c r="F5129" s="211">
        <f>'IWP14'!I$507</f>
        <v>0</v>
      </c>
      <c r="G5129" s="191" t="str">
        <f>IF('IWP14'!J$507=0,"",'IWP14'!J$507)</f>
        <v/>
      </c>
      <c r="H5129" s="211">
        <f>'IWP14'!K$507</f>
        <v>0</v>
      </c>
      <c r="I5129" s="211">
        <f>'IWP14'!L$507</f>
        <v>0</v>
      </c>
      <c r="J5129" s="212">
        <f>'IWP14'!M$507</f>
        <v>0</v>
      </c>
      <c r="K5129" s="106"/>
      <c r="L5129" s="106"/>
      <c r="M5129" s="129"/>
    </row>
    <row r="5130" spans="1:13" s="146" customFormat="1">
      <c r="A5130" s="193" t="s">
        <v>512</v>
      </c>
      <c r="B5130" s="210">
        <v>10</v>
      </c>
      <c r="C5130" s="191" t="str">
        <f>IF('IWP14'!E$508=0,"",'IWP14'!E$508)</f>
        <v/>
      </c>
      <c r="D5130" s="211">
        <f>'IWP14'!G$508</f>
        <v>0</v>
      </c>
      <c r="E5130" s="211">
        <f>'IWP14'!H$508</f>
        <v>0</v>
      </c>
      <c r="F5130" s="211">
        <f>'IWP14'!I$508</f>
        <v>0</v>
      </c>
      <c r="G5130" s="191" t="str">
        <f>IF('IWP14'!J$508=0,"",'IWP14'!J$508)</f>
        <v/>
      </c>
      <c r="H5130" s="211">
        <f>'IWP14'!K$508</f>
        <v>0</v>
      </c>
      <c r="I5130" s="211">
        <f>'IWP14'!L$508</f>
        <v>0</v>
      </c>
      <c r="J5130" s="212">
        <f>'IWP14'!M$508</f>
        <v>0</v>
      </c>
      <c r="K5130" s="106"/>
      <c r="L5130" s="106"/>
      <c r="M5130" s="129"/>
    </row>
    <row r="5131" spans="1:13" s="146" customFormat="1">
      <c r="A5131" s="193" t="s">
        <v>512</v>
      </c>
      <c r="B5131" s="210">
        <v>11</v>
      </c>
      <c r="C5131" s="191" t="str">
        <f>IF('IWP14'!E$515=0,"",'IWP14'!E$515)</f>
        <v>Subtotal column D.</v>
      </c>
      <c r="D5131" s="211">
        <f>'IWP14'!G$515</f>
        <v>0</v>
      </c>
      <c r="E5131" s="211">
        <f>'IWP14'!H$515</f>
        <v>0</v>
      </c>
      <c r="F5131" s="211">
        <f>'IWP14'!I$515</f>
        <v>0</v>
      </c>
      <c r="G5131" s="191" t="str">
        <f>IF('IWP14'!J$515=0,"",'IWP14'!J$515)</f>
        <v/>
      </c>
      <c r="H5131" s="211">
        <f>'IWP14'!K$515</f>
        <v>0</v>
      </c>
      <c r="I5131" s="211">
        <f>'IWP14'!L$515</f>
        <v>0</v>
      </c>
      <c r="J5131" s="212">
        <f>'IWP14'!M$515</f>
        <v>0</v>
      </c>
      <c r="K5131" s="106"/>
      <c r="L5131" s="106"/>
      <c r="M5131" s="129"/>
    </row>
    <row r="5132" spans="1:13" s="146" customFormat="1">
      <c r="A5132" s="193" t="s">
        <v>512</v>
      </c>
      <c r="B5132" s="210">
        <v>11</v>
      </c>
      <c r="C5132" s="191" t="str">
        <f>IF('IWP14'!E$516=0,"",'IWP14'!E$516)</f>
        <v>Unverified/Undocumented (Subtotal D - C)</v>
      </c>
      <c r="D5132" s="211">
        <f>'IWP14'!G$516</f>
        <v>0</v>
      </c>
      <c r="E5132" s="211">
        <f>'IWP14'!H$516</f>
        <v>0</v>
      </c>
      <c r="F5132" s="211">
        <f>'IWP14'!I$516</f>
        <v>0</v>
      </c>
      <c r="G5132" s="191" t="str">
        <f>IF('IWP14'!J$516=0,"",'IWP14'!J$516)</f>
        <v/>
      </c>
      <c r="H5132" s="211">
        <f>'IWP14'!K$516</f>
        <v>0</v>
      </c>
      <c r="I5132" s="211">
        <f>'IWP14'!L$516</f>
        <v>0</v>
      </c>
      <c r="J5132" s="212">
        <f>'IWP14'!M$516</f>
        <v>0</v>
      </c>
      <c r="K5132" s="106"/>
      <c r="L5132" s="106"/>
      <c r="M5132" s="129"/>
    </row>
    <row r="5133" spans="1:13" s="146" customFormat="1">
      <c r="A5133" s="193" t="s">
        <v>512</v>
      </c>
      <c r="B5133" s="210">
        <v>11</v>
      </c>
      <c r="C5133" s="191" t="str">
        <f>IF('IWP14'!E$517=0,"",'IWP14'!E$517)</f>
        <v>J. Billing Period Total</v>
      </c>
      <c r="D5133" s="211">
        <f>'IWP14'!G$517</f>
        <v>0</v>
      </c>
      <c r="E5133" s="211">
        <f>'IWP14'!H$517</f>
        <v>0</v>
      </c>
      <c r="F5133" s="211">
        <f>'IWP14'!I$517</f>
        <v>0</v>
      </c>
      <c r="G5133" s="191" t="str">
        <f>IF('IWP14'!J$517=0,"",'IWP14'!J$517)</f>
        <v/>
      </c>
      <c r="H5133" s="211">
        <f>'IWP14'!K$517</f>
        <v>0</v>
      </c>
      <c r="I5133" s="211">
        <f>'IWP14'!L$517</f>
        <v>0</v>
      </c>
      <c r="J5133" s="212">
        <f>'IWP14'!M$517</f>
        <v>0</v>
      </c>
      <c r="K5133" s="106"/>
      <c r="L5133" s="106"/>
      <c r="M5133" s="129"/>
    </row>
    <row r="5134" spans="1:13" s="146" customFormat="1">
      <c r="A5134" s="193" t="s">
        <v>512</v>
      </c>
      <c r="B5134" s="210">
        <v>11</v>
      </c>
      <c r="C5134" s="191" t="str">
        <f>IF('IWP14'!E$518=0,"",'IWP14'!E$518)</f>
        <v>D.</v>
      </c>
      <c r="D5134" s="211">
        <f>'IWP14'!G$518</f>
        <v>0</v>
      </c>
      <c r="E5134" s="211" t="str">
        <f>'IWP14'!H$518</f>
        <v>E.</v>
      </c>
      <c r="F5134" s="211" t="str">
        <f>'IWP14'!I$518</f>
        <v>F.</v>
      </c>
      <c r="G5134" s="191" t="str">
        <f>IF('IWP14'!J$518=0,"",'IWP14'!J$518)</f>
        <v>G.</v>
      </c>
      <c r="H5134" s="211">
        <f>'IWP14'!K$518</f>
        <v>0</v>
      </c>
      <c r="I5134" s="211" t="str">
        <f>'IWP14'!L$518</f>
        <v>H.</v>
      </c>
      <c r="J5134" s="212" t="str">
        <f>'IWP14'!M$518</f>
        <v>I.</v>
      </c>
      <c r="K5134" s="106"/>
      <c r="L5134" s="106"/>
      <c r="M5134" s="129"/>
    </row>
    <row r="5135" spans="1:13" s="146" customFormat="1">
      <c r="A5135" s="193" t="s">
        <v>512</v>
      </c>
      <c r="B5135" s="210">
        <v>11</v>
      </c>
      <c r="C5135" s="191" t="str">
        <f>IF('IWP14'!E$519=0,"",'IWP14'!E$519)</f>
        <v xml:space="preserve">Items/Services Related to Billing Period </v>
      </c>
      <c r="D5135" s="211">
        <f>'IWP14'!G$519</f>
        <v>0</v>
      </c>
      <c r="E5135" s="211" t="str">
        <f>'IWP14'!H$519</f>
        <v xml:space="preserve">Item/
Service Verified Amounts
</v>
      </c>
      <c r="F5135" s="211" t="str">
        <f>'IWP14'!I$519</f>
        <v>Amount Due to DADS (E. - D.)</v>
      </c>
      <c r="G5135" s="191" t="str">
        <f>IF('IWP14'!J$519=0,"",'IWP14'!J$519)</f>
        <v>Amount Reimbursed to 
Employee(s)/Employer</v>
      </c>
      <c r="H5135" s="211">
        <f>'IWP14'!K$519</f>
        <v>0</v>
      </c>
      <c r="I5135" s="211" t="str">
        <f>'IWP14'!L$519</f>
        <v>Amount Due to Employee(s) (G. - E.)</v>
      </c>
      <c r="J5135" s="212" t="str">
        <f>'IWP14'!M$519</f>
        <v>Amount Due to Employer (G. - E.)</v>
      </c>
      <c r="K5135" s="106"/>
      <c r="L5135" s="106"/>
      <c r="M5135" s="129"/>
    </row>
    <row r="5136" spans="1:13" s="146" customFormat="1">
      <c r="A5136" s="193" t="s">
        <v>512</v>
      </c>
      <c r="B5136" s="210">
        <v>11</v>
      </c>
      <c r="C5136" s="191" t="str">
        <f>IF('IWP14'!E$520=0,"",'IWP14'!E$520)</f>
        <v>Item/Service</v>
      </c>
      <c r="D5136" s="211" t="str">
        <f>'IWP14'!G$520</f>
        <v>Itemized Amount Paid by DADS</v>
      </c>
      <c r="E5136" s="211">
        <f>'IWP14'!H$520</f>
        <v>0</v>
      </c>
      <c r="F5136" s="211">
        <f>'IWP14'!I$520</f>
        <v>0</v>
      </c>
      <c r="G5136" s="191" t="str">
        <f>IF('IWP14'!J$520=0,"",'IWP14'!J$520)</f>
        <v/>
      </c>
      <c r="H5136" s="211">
        <f>'IWP14'!K$520</f>
        <v>0</v>
      </c>
      <c r="I5136" s="211">
        <f>'IWP14'!L$520</f>
        <v>0</v>
      </c>
      <c r="J5136" s="212">
        <f>'IWP14'!M$520</f>
        <v>0</v>
      </c>
      <c r="K5136" s="106"/>
      <c r="L5136" s="106"/>
      <c r="M5136" s="129"/>
    </row>
    <row r="5137" spans="1:13" s="146" customFormat="1">
      <c r="A5137" s="193" t="s">
        <v>512</v>
      </c>
      <c r="B5137" s="210">
        <v>11</v>
      </c>
      <c r="C5137" s="191" t="str">
        <f>IF('IWP14'!E$521=0,"",'IWP14'!E$521)</f>
        <v/>
      </c>
      <c r="D5137" s="211">
        <f>'IWP14'!G$521</f>
        <v>0</v>
      </c>
      <c r="E5137" s="211">
        <f>'IWP14'!H$521</f>
        <v>0</v>
      </c>
      <c r="F5137" s="211">
        <f>'IWP14'!I$521</f>
        <v>0</v>
      </c>
      <c r="G5137" s="191" t="str">
        <f>IF('IWP14'!J$521=0,"",'IWP14'!J$521)</f>
        <v/>
      </c>
      <c r="H5137" s="211">
        <f>'IWP14'!K$521</f>
        <v>0</v>
      </c>
      <c r="I5137" s="211">
        <f>'IWP14'!L$521</f>
        <v>0</v>
      </c>
      <c r="J5137" s="212">
        <f>'IWP14'!M$521</f>
        <v>0</v>
      </c>
      <c r="K5137" s="106"/>
      <c r="L5137" s="106"/>
      <c r="M5137" s="129"/>
    </row>
    <row r="5138" spans="1:13" s="146" customFormat="1">
      <c r="A5138" s="193" t="s">
        <v>512</v>
      </c>
      <c r="B5138" s="210">
        <v>11</v>
      </c>
      <c r="C5138" s="191" t="str">
        <f>IF('IWP14'!E$522=0,"",'IWP14'!E$522)</f>
        <v/>
      </c>
      <c r="D5138" s="211">
        <f>'IWP14'!G$522</f>
        <v>0</v>
      </c>
      <c r="E5138" s="211">
        <f>'IWP14'!H$522</f>
        <v>0</v>
      </c>
      <c r="F5138" s="211">
        <f>'IWP14'!I$522</f>
        <v>0</v>
      </c>
      <c r="G5138" s="191" t="str">
        <f>IF('IWP14'!J$522=0,"",'IWP14'!J$522)</f>
        <v/>
      </c>
      <c r="H5138" s="211">
        <f>'IWP14'!K$522</f>
        <v>0</v>
      </c>
      <c r="I5138" s="211">
        <f>'IWP14'!L$522</f>
        <v>0</v>
      </c>
      <c r="J5138" s="212">
        <f>'IWP14'!M$522</f>
        <v>0</v>
      </c>
      <c r="K5138" s="106"/>
      <c r="L5138" s="106"/>
      <c r="M5138" s="129"/>
    </row>
    <row r="5139" spans="1:13" s="146" customFormat="1">
      <c r="A5139" s="193" t="s">
        <v>512</v>
      </c>
      <c r="B5139" s="210">
        <v>11</v>
      </c>
      <c r="C5139" s="191" t="str">
        <f>IF('IWP14'!E$523=0,"",'IWP14'!E$523)</f>
        <v/>
      </c>
      <c r="D5139" s="211">
        <f>'IWP14'!G$523</f>
        <v>0</v>
      </c>
      <c r="E5139" s="211">
        <f>'IWP14'!H$523</f>
        <v>0</v>
      </c>
      <c r="F5139" s="211">
        <f>'IWP14'!I$523</f>
        <v>0</v>
      </c>
      <c r="G5139" s="191" t="str">
        <f>IF('IWP14'!J$523=0,"",'IWP14'!J$523)</f>
        <v/>
      </c>
      <c r="H5139" s="211">
        <f>'IWP14'!K$523</f>
        <v>0</v>
      </c>
      <c r="I5139" s="211">
        <f>'IWP14'!L$523</f>
        <v>0</v>
      </c>
      <c r="J5139" s="212">
        <f>'IWP14'!M$523</f>
        <v>0</v>
      </c>
      <c r="K5139" s="106"/>
      <c r="L5139" s="106"/>
      <c r="M5139" s="129"/>
    </row>
    <row r="5140" spans="1:13" s="146" customFormat="1">
      <c r="A5140" s="193" t="s">
        <v>512</v>
      </c>
      <c r="B5140" s="210">
        <v>11</v>
      </c>
      <c r="C5140" s="191" t="str">
        <f>IF('IWP14'!E$524=0,"",'IWP14'!E$524)</f>
        <v/>
      </c>
      <c r="D5140" s="211">
        <f>'IWP14'!G$524</f>
        <v>0</v>
      </c>
      <c r="E5140" s="211">
        <f>'IWP14'!H$524</f>
        <v>0</v>
      </c>
      <c r="F5140" s="211">
        <f>'IWP14'!I$524</f>
        <v>0</v>
      </c>
      <c r="G5140" s="191" t="str">
        <f>IF('IWP14'!J$524=0,"",'IWP14'!J$524)</f>
        <v/>
      </c>
      <c r="H5140" s="211">
        <f>'IWP14'!K$524</f>
        <v>0</v>
      </c>
      <c r="I5140" s="211">
        <f>'IWP14'!L$524</f>
        <v>0</v>
      </c>
      <c r="J5140" s="212">
        <f>'IWP14'!M$524</f>
        <v>0</v>
      </c>
      <c r="K5140" s="106"/>
      <c r="L5140" s="106"/>
      <c r="M5140" s="129"/>
    </row>
    <row r="5141" spans="1:13" s="146" customFormat="1">
      <c r="A5141" s="193" t="s">
        <v>512</v>
      </c>
      <c r="B5141" s="210">
        <v>12</v>
      </c>
      <c r="C5141" s="191" t="str">
        <f>IF('IWP14'!E$531=0,"",'IWP14'!E$531)</f>
        <v>Subtotal column D.</v>
      </c>
      <c r="D5141" s="211">
        <f>'IWP14'!G$531</f>
        <v>0</v>
      </c>
      <c r="E5141" s="211">
        <f>'IWP14'!H$531</f>
        <v>0</v>
      </c>
      <c r="F5141" s="211">
        <f>'IWP14'!I$531</f>
        <v>0</v>
      </c>
      <c r="G5141" s="191" t="str">
        <f>IF('IWP14'!J$531=0,"",'IWP14'!J$531)</f>
        <v/>
      </c>
      <c r="H5141" s="211">
        <f>'IWP14'!K$531</f>
        <v>0</v>
      </c>
      <c r="I5141" s="211">
        <f>'IWP14'!L$531</f>
        <v>0</v>
      </c>
      <c r="J5141" s="212">
        <f>'IWP14'!M$531</f>
        <v>0</v>
      </c>
      <c r="K5141" s="106"/>
      <c r="L5141" s="106"/>
      <c r="M5141" s="129"/>
    </row>
    <row r="5142" spans="1:13" s="146" customFormat="1">
      <c r="A5142" s="193" t="s">
        <v>512</v>
      </c>
      <c r="B5142" s="210">
        <v>12</v>
      </c>
      <c r="C5142" s="191" t="str">
        <f>IF('IWP14'!E$532=0,"",'IWP14'!E$532)</f>
        <v>Unverified/Undocumented (Subtotal D - C)</v>
      </c>
      <c r="D5142" s="211">
        <f>'IWP14'!G$532</f>
        <v>0</v>
      </c>
      <c r="E5142" s="211">
        <f>'IWP14'!H$532</f>
        <v>0</v>
      </c>
      <c r="F5142" s="211">
        <f>'IWP14'!I$532</f>
        <v>0</v>
      </c>
      <c r="G5142" s="191" t="str">
        <f>IF('IWP14'!J$532=0,"",'IWP14'!J$532)</f>
        <v/>
      </c>
      <c r="H5142" s="211">
        <f>'IWP14'!K$532</f>
        <v>0</v>
      </c>
      <c r="I5142" s="211">
        <f>'IWP14'!L$532</f>
        <v>0</v>
      </c>
      <c r="J5142" s="212">
        <f>'IWP14'!M$532</f>
        <v>0</v>
      </c>
      <c r="K5142" s="106"/>
      <c r="L5142" s="106"/>
      <c r="M5142" s="129"/>
    </row>
    <row r="5143" spans="1:13" s="146" customFormat="1">
      <c r="A5143" s="193" t="s">
        <v>512</v>
      </c>
      <c r="B5143" s="210">
        <v>12</v>
      </c>
      <c r="C5143" s="191" t="str">
        <f>IF('IWP14'!E$533=0,"",'IWP14'!E$533)</f>
        <v>J. Billing Period Total</v>
      </c>
      <c r="D5143" s="211">
        <f>'IWP14'!G$533</f>
        <v>0</v>
      </c>
      <c r="E5143" s="211">
        <f>'IWP14'!H$533</f>
        <v>0</v>
      </c>
      <c r="F5143" s="211">
        <f>'IWP14'!I$533</f>
        <v>0</v>
      </c>
      <c r="G5143" s="191" t="str">
        <f>IF('IWP14'!J$533=0,"",'IWP14'!J$533)</f>
        <v/>
      </c>
      <c r="H5143" s="211">
        <f>'IWP14'!K$533</f>
        <v>0</v>
      </c>
      <c r="I5143" s="211">
        <f>'IWP14'!L$533</f>
        <v>0</v>
      </c>
      <c r="J5143" s="212">
        <f>'IWP14'!M$533</f>
        <v>0</v>
      </c>
      <c r="K5143" s="106"/>
      <c r="L5143" s="106"/>
      <c r="M5143" s="129"/>
    </row>
    <row r="5144" spans="1:13" s="146" customFormat="1">
      <c r="A5144" s="193" t="s">
        <v>512</v>
      </c>
      <c r="B5144" s="210">
        <v>12</v>
      </c>
      <c r="C5144" s="191" t="str">
        <f>IF('IWP14'!E$534=0,"",'IWP14'!E$534)</f>
        <v>D.</v>
      </c>
      <c r="D5144" s="211">
        <f>'IWP14'!G$534</f>
        <v>0</v>
      </c>
      <c r="E5144" s="211" t="str">
        <f>'IWP14'!H$534</f>
        <v>E.</v>
      </c>
      <c r="F5144" s="211" t="str">
        <f>'IWP14'!I$534</f>
        <v>F.</v>
      </c>
      <c r="G5144" s="191" t="str">
        <f>IF('IWP14'!J$534=0,"",'IWP14'!J$534)</f>
        <v>G.</v>
      </c>
      <c r="H5144" s="211">
        <f>'IWP14'!K$534</f>
        <v>0</v>
      </c>
      <c r="I5144" s="211" t="str">
        <f>'IWP14'!L$534</f>
        <v>H.</v>
      </c>
      <c r="J5144" s="212" t="str">
        <f>'IWP14'!M$534</f>
        <v>I.</v>
      </c>
      <c r="K5144" s="106"/>
      <c r="L5144" s="106"/>
      <c r="M5144" s="129"/>
    </row>
    <row r="5145" spans="1:13" s="146" customFormat="1">
      <c r="A5145" s="193" t="s">
        <v>512</v>
      </c>
      <c r="B5145" s="210">
        <v>12</v>
      </c>
      <c r="C5145" s="191" t="str">
        <f>IF('IWP14'!E$535=0,"",'IWP14'!E$535)</f>
        <v xml:space="preserve">Items/Services Related to Billing Period </v>
      </c>
      <c r="D5145" s="211">
        <f>'IWP14'!G$535</f>
        <v>0</v>
      </c>
      <c r="E5145" s="211" t="str">
        <f>'IWP14'!H$535</f>
        <v xml:space="preserve">Item/
Service Verified Amounts
</v>
      </c>
      <c r="F5145" s="211" t="str">
        <f>'IWP14'!I$535</f>
        <v>Amount Due to DADS (E. - D.)</v>
      </c>
      <c r="G5145" s="191" t="str">
        <f>IF('IWP14'!J$535=0,"",'IWP14'!J$535)</f>
        <v>Amount Reimbursed to 
Employee(s)/Employer</v>
      </c>
      <c r="H5145" s="211">
        <f>'IWP14'!K$535</f>
        <v>0</v>
      </c>
      <c r="I5145" s="211" t="str">
        <f>'IWP14'!L$535</f>
        <v>Amount Due to Employee(s) (G. - E.)</v>
      </c>
      <c r="J5145" s="212" t="str">
        <f>'IWP14'!M$535</f>
        <v>Amount Due to Employer (G. - E.)</v>
      </c>
      <c r="K5145" s="106"/>
      <c r="L5145" s="106"/>
      <c r="M5145" s="129"/>
    </row>
    <row r="5146" spans="1:13" s="146" customFormat="1">
      <c r="A5146" s="193" t="s">
        <v>512</v>
      </c>
      <c r="B5146" s="210">
        <v>12</v>
      </c>
      <c r="C5146" s="191" t="str">
        <f>IF('IWP14'!E$536=0,"",'IWP14'!E$536)</f>
        <v>Item/Service</v>
      </c>
      <c r="D5146" s="211" t="str">
        <f>'IWP14'!G$536</f>
        <v>Itemized Amount Paid by DADS</v>
      </c>
      <c r="E5146" s="211">
        <f>'IWP14'!H$536</f>
        <v>0</v>
      </c>
      <c r="F5146" s="211">
        <f>'IWP14'!I$536</f>
        <v>0</v>
      </c>
      <c r="G5146" s="191" t="str">
        <f>IF('IWP14'!J$536=0,"",'IWP14'!J$536)</f>
        <v/>
      </c>
      <c r="H5146" s="211">
        <f>'IWP14'!K$536</f>
        <v>0</v>
      </c>
      <c r="I5146" s="211">
        <f>'IWP14'!L$536</f>
        <v>0</v>
      </c>
      <c r="J5146" s="212">
        <f>'IWP14'!M$536</f>
        <v>0</v>
      </c>
      <c r="K5146" s="106"/>
      <c r="L5146" s="106"/>
      <c r="M5146" s="129"/>
    </row>
    <row r="5147" spans="1:13" s="146" customFormat="1">
      <c r="A5147" s="193" t="s">
        <v>512</v>
      </c>
      <c r="B5147" s="210">
        <v>12</v>
      </c>
      <c r="C5147" s="191" t="str">
        <f>IF('IWP14'!E$537=0,"",'IWP14'!E$537)</f>
        <v/>
      </c>
      <c r="D5147" s="211">
        <f>'IWP14'!G$537</f>
        <v>0</v>
      </c>
      <c r="E5147" s="211">
        <f>'IWP14'!H$537</f>
        <v>0</v>
      </c>
      <c r="F5147" s="211">
        <f>'IWP14'!I$537</f>
        <v>0</v>
      </c>
      <c r="G5147" s="191" t="str">
        <f>IF('IWP14'!J$537=0,"",'IWP14'!J$537)</f>
        <v/>
      </c>
      <c r="H5147" s="211">
        <f>'IWP14'!K$537</f>
        <v>0</v>
      </c>
      <c r="I5147" s="211">
        <f>'IWP14'!L$537</f>
        <v>0</v>
      </c>
      <c r="J5147" s="212">
        <f>'IWP14'!M$537</f>
        <v>0</v>
      </c>
      <c r="K5147" s="106"/>
      <c r="L5147" s="106"/>
      <c r="M5147" s="129"/>
    </row>
    <row r="5148" spans="1:13" s="146" customFormat="1">
      <c r="A5148" s="193" t="s">
        <v>512</v>
      </c>
      <c r="B5148" s="210">
        <v>12</v>
      </c>
      <c r="C5148" s="191" t="str">
        <f>IF('IWP14'!E$538=0,"",'IWP14'!E$538)</f>
        <v/>
      </c>
      <c r="D5148" s="211">
        <f>'IWP14'!G$538</f>
        <v>0</v>
      </c>
      <c r="E5148" s="211">
        <f>'IWP14'!H$538</f>
        <v>0</v>
      </c>
      <c r="F5148" s="211">
        <f>'IWP14'!I$538</f>
        <v>0</v>
      </c>
      <c r="G5148" s="191" t="str">
        <f>IF('IWP14'!J$538=0,"",'IWP14'!J$538)</f>
        <v/>
      </c>
      <c r="H5148" s="211">
        <f>'IWP14'!K$538</f>
        <v>0</v>
      </c>
      <c r="I5148" s="211">
        <f>'IWP14'!L$538</f>
        <v>0</v>
      </c>
      <c r="J5148" s="212">
        <f>'IWP14'!M$538</f>
        <v>0</v>
      </c>
      <c r="K5148" s="106"/>
      <c r="L5148" s="106"/>
      <c r="M5148" s="129"/>
    </row>
    <row r="5149" spans="1:13" s="146" customFormat="1">
      <c r="A5149" s="193" t="s">
        <v>512</v>
      </c>
      <c r="B5149" s="210">
        <v>12</v>
      </c>
      <c r="C5149" s="191" t="str">
        <f>IF('IWP14'!E$539=0,"",'IWP14'!E$539)</f>
        <v/>
      </c>
      <c r="D5149" s="211">
        <f>'IWP14'!G$539</f>
        <v>0</v>
      </c>
      <c r="E5149" s="211">
        <f>'IWP14'!H$539</f>
        <v>0</v>
      </c>
      <c r="F5149" s="211">
        <f>'IWP14'!I$539</f>
        <v>0</v>
      </c>
      <c r="G5149" s="191" t="str">
        <f>IF('IWP14'!J$539=0,"",'IWP14'!J$539)</f>
        <v/>
      </c>
      <c r="H5149" s="211">
        <f>'IWP14'!K$539</f>
        <v>0</v>
      </c>
      <c r="I5149" s="211">
        <f>'IWP14'!L$539</f>
        <v>0</v>
      </c>
      <c r="J5149" s="212">
        <f>'IWP14'!M$539</f>
        <v>0</v>
      </c>
      <c r="K5149" s="106"/>
      <c r="L5149" s="106"/>
      <c r="M5149" s="129"/>
    </row>
    <row r="5150" spans="1:13" s="146" customFormat="1">
      <c r="A5150" s="193" t="s">
        <v>512</v>
      </c>
      <c r="B5150" s="210">
        <v>12</v>
      </c>
      <c r="C5150" s="191" t="str">
        <f>IF('IWP14'!E$540=0,"",'IWP14'!E$540)</f>
        <v/>
      </c>
      <c r="D5150" s="211">
        <f>'IWP14'!G$540</f>
        <v>0</v>
      </c>
      <c r="E5150" s="211">
        <f>'IWP14'!H$540</f>
        <v>0</v>
      </c>
      <c r="F5150" s="211">
        <f>'IWP14'!I$540</f>
        <v>0</v>
      </c>
      <c r="G5150" s="191" t="str">
        <f>IF('IWP14'!J$540=0,"",'IWP14'!J$540)</f>
        <v/>
      </c>
      <c r="H5150" s="211">
        <f>'IWP14'!K$540</f>
        <v>0</v>
      </c>
      <c r="I5150" s="211">
        <f>'IWP14'!L$540</f>
        <v>0</v>
      </c>
      <c r="J5150" s="212">
        <f>'IWP14'!M$540</f>
        <v>0</v>
      </c>
      <c r="K5150" s="106"/>
      <c r="L5150" s="106"/>
      <c r="M5150" s="129"/>
    </row>
    <row r="5151" spans="1:13" s="146" customFormat="1">
      <c r="A5151" s="193" t="s">
        <v>512</v>
      </c>
      <c r="B5151" s="210">
        <v>13</v>
      </c>
      <c r="C5151" s="191" t="str">
        <f>IF('IWP14'!E$547=0,"",'IWP14'!E$547)</f>
        <v>Subtotal column D.</v>
      </c>
      <c r="D5151" s="211">
        <f>'IWP14'!G$547</f>
        <v>0</v>
      </c>
      <c r="E5151" s="211">
        <f>'IWP14'!H$547</f>
        <v>0</v>
      </c>
      <c r="F5151" s="211">
        <f>'IWP14'!I$547</f>
        <v>0</v>
      </c>
      <c r="G5151" s="191" t="str">
        <f>IF('IWP14'!J$547=0,"",'IWP14'!J$547)</f>
        <v/>
      </c>
      <c r="H5151" s="211">
        <f>'IWP14'!K$547</f>
        <v>0</v>
      </c>
      <c r="I5151" s="211">
        <f>'IWP14'!L$547</f>
        <v>0</v>
      </c>
      <c r="J5151" s="212">
        <f>'IWP14'!M$547</f>
        <v>0</v>
      </c>
      <c r="K5151" s="106"/>
      <c r="L5151" s="106"/>
      <c r="M5151" s="129"/>
    </row>
    <row r="5152" spans="1:13" s="146" customFormat="1">
      <c r="A5152" s="193" t="s">
        <v>512</v>
      </c>
      <c r="B5152" s="210">
        <v>13</v>
      </c>
      <c r="C5152" s="191" t="str">
        <f>IF('IWP14'!E$548=0,"",'IWP14'!E$548)</f>
        <v>Unverified/Undocumented (Subtotal D - C)</v>
      </c>
      <c r="D5152" s="211">
        <f>'IWP14'!G$548</f>
        <v>0</v>
      </c>
      <c r="E5152" s="211">
        <f>'IWP14'!H$548</f>
        <v>0</v>
      </c>
      <c r="F5152" s="211">
        <f>'IWP14'!I$548</f>
        <v>0</v>
      </c>
      <c r="G5152" s="191" t="str">
        <f>IF('IWP14'!J$548=0,"",'IWP14'!J$548)</f>
        <v/>
      </c>
      <c r="H5152" s="211">
        <f>'IWP14'!K$548</f>
        <v>0</v>
      </c>
      <c r="I5152" s="211">
        <f>'IWP14'!L$548</f>
        <v>0</v>
      </c>
      <c r="J5152" s="212">
        <f>'IWP14'!M$548</f>
        <v>0</v>
      </c>
      <c r="K5152" s="106"/>
      <c r="L5152" s="106"/>
      <c r="M5152" s="129"/>
    </row>
    <row r="5153" spans="1:13" s="146" customFormat="1">
      <c r="A5153" s="193" t="s">
        <v>512</v>
      </c>
      <c r="B5153" s="210">
        <v>13</v>
      </c>
      <c r="C5153" s="191" t="str">
        <f>IF('IWP14'!E$549=0,"",'IWP14'!E$549)</f>
        <v>J. Billing Period Total</v>
      </c>
      <c r="D5153" s="211">
        <f>'IWP14'!G$549</f>
        <v>0</v>
      </c>
      <c r="E5153" s="211">
        <f>'IWP14'!H$549</f>
        <v>0</v>
      </c>
      <c r="F5153" s="211">
        <f>'IWP14'!I$549</f>
        <v>0</v>
      </c>
      <c r="G5153" s="191" t="str">
        <f>IF('IWP14'!J$549=0,"",'IWP14'!J$549)</f>
        <v/>
      </c>
      <c r="H5153" s="211">
        <f>'IWP14'!K$549</f>
        <v>0</v>
      </c>
      <c r="I5153" s="211">
        <f>'IWP14'!L$549</f>
        <v>0</v>
      </c>
      <c r="J5153" s="212">
        <f>'IWP14'!M$549</f>
        <v>0</v>
      </c>
      <c r="K5153" s="106"/>
      <c r="L5153" s="106"/>
      <c r="M5153" s="129"/>
    </row>
    <row r="5154" spans="1:13" s="146" customFormat="1">
      <c r="A5154" s="193" t="s">
        <v>512</v>
      </c>
      <c r="B5154" s="210">
        <v>13</v>
      </c>
      <c r="C5154" s="191" t="str">
        <f>IF('IWP14'!E$550=0,"",'IWP14'!E$550)</f>
        <v>D.</v>
      </c>
      <c r="D5154" s="211">
        <f>'IWP14'!G$550</f>
        <v>0</v>
      </c>
      <c r="E5154" s="211" t="str">
        <f>'IWP14'!H$550</f>
        <v>E.</v>
      </c>
      <c r="F5154" s="211" t="str">
        <f>'IWP14'!I$550</f>
        <v>F.</v>
      </c>
      <c r="G5154" s="191" t="str">
        <f>IF('IWP14'!J$550=0,"",'IWP14'!J$550)</f>
        <v>G.</v>
      </c>
      <c r="H5154" s="211">
        <f>'IWP14'!K$550</f>
        <v>0</v>
      </c>
      <c r="I5154" s="211" t="str">
        <f>'IWP14'!L$550</f>
        <v>H.</v>
      </c>
      <c r="J5154" s="212" t="str">
        <f>'IWP14'!M$550</f>
        <v>I.</v>
      </c>
      <c r="K5154" s="106"/>
      <c r="L5154" s="106"/>
      <c r="M5154" s="129"/>
    </row>
    <row r="5155" spans="1:13" s="146" customFormat="1">
      <c r="A5155" s="193" t="s">
        <v>512</v>
      </c>
      <c r="B5155" s="210">
        <v>13</v>
      </c>
      <c r="C5155" s="191" t="str">
        <f>IF('IWP14'!E$551=0,"",'IWP14'!E$551)</f>
        <v xml:space="preserve">Items/Services Related to Billing Period </v>
      </c>
      <c r="D5155" s="211">
        <f>'IWP14'!G$551</f>
        <v>0</v>
      </c>
      <c r="E5155" s="211" t="str">
        <f>'IWP14'!H$551</f>
        <v xml:space="preserve">Item/
Service Verified Amounts
</v>
      </c>
      <c r="F5155" s="211" t="str">
        <f>'IWP14'!I$551</f>
        <v>Amount Due to DADS (E. - D.)</v>
      </c>
      <c r="G5155" s="191" t="str">
        <f>IF('IWP14'!J$551=0,"",'IWP14'!J$551)</f>
        <v>Amount Reimbursed to 
Employee(s)/Employer</v>
      </c>
      <c r="H5155" s="211">
        <f>'IWP14'!K$551</f>
        <v>0</v>
      </c>
      <c r="I5155" s="211" t="str">
        <f>'IWP14'!L$551</f>
        <v>Amount Due to Employee(s) (G. - E.)</v>
      </c>
      <c r="J5155" s="212" t="str">
        <f>'IWP14'!M$551</f>
        <v>Amount Due to Employer (G. - E.)</v>
      </c>
      <c r="K5155" s="106"/>
      <c r="L5155" s="106"/>
      <c r="M5155" s="129"/>
    </row>
    <row r="5156" spans="1:13" s="146" customFormat="1">
      <c r="A5156" s="193" t="s">
        <v>512</v>
      </c>
      <c r="B5156" s="210">
        <v>13</v>
      </c>
      <c r="C5156" s="191" t="str">
        <f>IF('IWP14'!E$552=0,"",'IWP14'!E$552)</f>
        <v>Item/Service</v>
      </c>
      <c r="D5156" s="211" t="str">
        <f>'IWP14'!G$552</f>
        <v>Itemized Amount Paid by DADS</v>
      </c>
      <c r="E5156" s="211">
        <f>'IWP14'!H$552</f>
        <v>0</v>
      </c>
      <c r="F5156" s="211">
        <f>'IWP14'!I$552</f>
        <v>0</v>
      </c>
      <c r="G5156" s="191" t="str">
        <f>IF('IWP14'!J$552=0,"",'IWP14'!J$552)</f>
        <v/>
      </c>
      <c r="H5156" s="211">
        <f>'IWP14'!K$552</f>
        <v>0</v>
      </c>
      <c r="I5156" s="211">
        <f>'IWP14'!L$552</f>
        <v>0</v>
      </c>
      <c r="J5156" s="212">
        <f>'IWP14'!M$552</f>
        <v>0</v>
      </c>
      <c r="K5156" s="106"/>
      <c r="L5156" s="106"/>
      <c r="M5156" s="129"/>
    </row>
    <row r="5157" spans="1:13" s="146" customFormat="1">
      <c r="A5157" s="193" t="s">
        <v>512</v>
      </c>
      <c r="B5157" s="210">
        <v>13</v>
      </c>
      <c r="C5157" s="191" t="str">
        <f>IF('IWP14'!E$553=0,"",'IWP14'!E$553)</f>
        <v/>
      </c>
      <c r="D5157" s="211">
        <f>'IWP14'!G$553</f>
        <v>0</v>
      </c>
      <c r="E5157" s="211">
        <f>'IWP14'!H$553</f>
        <v>0</v>
      </c>
      <c r="F5157" s="211">
        <f>'IWP14'!I$553</f>
        <v>0</v>
      </c>
      <c r="G5157" s="191" t="str">
        <f>IF('IWP14'!J$553=0,"",'IWP14'!J$553)</f>
        <v/>
      </c>
      <c r="H5157" s="211">
        <f>'IWP14'!K$553</f>
        <v>0</v>
      </c>
      <c r="I5157" s="211">
        <f>'IWP14'!L$553</f>
        <v>0</v>
      </c>
      <c r="J5157" s="212">
        <f>'IWP14'!M$553</f>
        <v>0</v>
      </c>
      <c r="K5157" s="106"/>
      <c r="L5157" s="106"/>
      <c r="M5157" s="129"/>
    </row>
    <row r="5158" spans="1:13" s="146" customFormat="1">
      <c r="A5158" s="193" t="s">
        <v>512</v>
      </c>
      <c r="B5158" s="210">
        <v>13</v>
      </c>
      <c r="C5158" s="191" t="str">
        <f>IF('IWP14'!E$554=0,"",'IWP14'!E$554)</f>
        <v/>
      </c>
      <c r="D5158" s="211">
        <f>'IWP14'!G$554</f>
        <v>0</v>
      </c>
      <c r="E5158" s="211">
        <f>'IWP14'!H$554</f>
        <v>0</v>
      </c>
      <c r="F5158" s="211">
        <f>'IWP14'!I$554</f>
        <v>0</v>
      </c>
      <c r="G5158" s="191" t="str">
        <f>IF('IWP14'!J$554=0,"",'IWP14'!J$554)</f>
        <v/>
      </c>
      <c r="H5158" s="211">
        <f>'IWP14'!K$554</f>
        <v>0</v>
      </c>
      <c r="I5158" s="211">
        <f>'IWP14'!L$554</f>
        <v>0</v>
      </c>
      <c r="J5158" s="212">
        <f>'IWP14'!M$554</f>
        <v>0</v>
      </c>
      <c r="K5158" s="106"/>
      <c r="L5158" s="106"/>
      <c r="M5158" s="129"/>
    </row>
    <row r="5159" spans="1:13" s="146" customFormat="1">
      <c r="A5159" s="193" t="s">
        <v>512</v>
      </c>
      <c r="B5159" s="210">
        <v>13</v>
      </c>
      <c r="C5159" s="191" t="str">
        <f>IF('IWP14'!E$555=0,"",'IWP14'!E$555)</f>
        <v/>
      </c>
      <c r="D5159" s="211">
        <f>'IWP14'!G$555</f>
        <v>0</v>
      </c>
      <c r="E5159" s="211">
        <f>'IWP14'!H$555</f>
        <v>0</v>
      </c>
      <c r="F5159" s="211">
        <f>'IWP14'!I$555</f>
        <v>0</v>
      </c>
      <c r="G5159" s="191" t="str">
        <f>IF('IWP14'!J$555=0,"",'IWP14'!J$555)</f>
        <v/>
      </c>
      <c r="H5159" s="211">
        <f>'IWP14'!K$555</f>
        <v>0</v>
      </c>
      <c r="I5159" s="211">
        <f>'IWP14'!L$555</f>
        <v>0</v>
      </c>
      <c r="J5159" s="212">
        <f>'IWP14'!M$555</f>
        <v>0</v>
      </c>
      <c r="K5159" s="106"/>
      <c r="L5159" s="106"/>
      <c r="M5159" s="129"/>
    </row>
    <row r="5160" spans="1:13" s="146" customFormat="1">
      <c r="A5160" s="193" t="s">
        <v>512</v>
      </c>
      <c r="B5160" s="210">
        <v>13</v>
      </c>
      <c r="C5160" s="191" t="str">
        <f>IF('IWP14'!E$556=0,"",'IWP14'!E$556)</f>
        <v/>
      </c>
      <c r="D5160" s="211">
        <f>'IWP14'!G$556</f>
        <v>0</v>
      </c>
      <c r="E5160" s="211">
        <f>'IWP14'!H$556</f>
        <v>0</v>
      </c>
      <c r="F5160" s="211">
        <f>'IWP14'!I$556</f>
        <v>0</v>
      </c>
      <c r="G5160" s="191" t="str">
        <f>IF('IWP14'!J$556=0,"",'IWP14'!J$556)</f>
        <v/>
      </c>
      <c r="H5160" s="211">
        <f>'IWP14'!K$556</f>
        <v>0</v>
      </c>
      <c r="I5160" s="211">
        <f>'IWP14'!L$556</f>
        <v>0</v>
      </c>
      <c r="J5160" s="212">
        <f>'IWP14'!M$556</f>
        <v>0</v>
      </c>
      <c r="K5160" s="106"/>
      <c r="L5160" s="106"/>
      <c r="M5160" s="129"/>
    </row>
    <row r="5161" spans="1:13" s="146" customFormat="1">
      <c r="A5161" s="193" t="s">
        <v>512</v>
      </c>
      <c r="B5161" s="210">
        <v>14</v>
      </c>
      <c r="C5161" s="191" t="str">
        <f>IF('IWP14'!E$563=0,"",'IWP14'!E$563)</f>
        <v>Subtotal column D.</v>
      </c>
      <c r="D5161" s="211">
        <f>'IWP14'!G$563</f>
        <v>0</v>
      </c>
      <c r="E5161" s="211">
        <f>'IWP14'!H$563</f>
        <v>0</v>
      </c>
      <c r="F5161" s="211">
        <f>'IWP14'!I$563</f>
        <v>0</v>
      </c>
      <c r="G5161" s="191" t="str">
        <f>IF('IWP14'!J$563=0,"",'IWP14'!J$563)</f>
        <v/>
      </c>
      <c r="H5161" s="211">
        <f>'IWP14'!K$563</f>
        <v>0</v>
      </c>
      <c r="I5161" s="211">
        <f>'IWP14'!L$563</f>
        <v>0</v>
      </c>
      <c r="J5161" s="212">
        <f>'IWP14'!M$563</f>
        <v>0</v>
      </c>
      <c r="K5161" s="106"/>
      <c r="L5161" s="106"/>
      <c r="M5161" s="129"/>
    </row>
    <row r="5162" spans="1:13" s="146" customFormat="1">
      <c r="A5162" s="193" t="s">
        <v>512</v>
      </c>
      <c r="B5162" s="210">
        <v>14</v>
      </c>
      <c r="C5162" s="191" t="str">
        <f>IF('IWP14'!E$564=0,"",'IWP14'!E$564)</f>
        <v>Unverified/Undocumented (Subtotal D - C)</v>
      </c>
      <c r="D5162" s="211">
        <f>'IWP14'!G$564</f>
        <v>0</v>
      </c>
      <c r="E5162" s="211">
        <f>'IWP14'!H$564</f>
        <v>0</v>
      </c>
      <c r="F5162" s="211">
        <f>'IWP14'!I$564</f>
        <v>0</v>
      </c>
      <c r="G5162" s="191" t="str">
        <f>IF('IWP14'!J$564=0,"",'IWP14'!J$564)</f>
        <v/>
      </c>
      <c r="H5162" s="211">
        <f>'IWP14'!K$564</f>
        <v>0</v>
      </c>
      <c r="I5162" s="211">
        <f>'IWP14'!L$564</f>
        <v>0</v>
      </c>
      <c r="J5162" s="212">
        <f>'IWP14'!M$564</f>
        <v>0</v>
      </c>
      <c r="K5162" s="106"/>
      <c r="L5162" s="106"/>
      <c r="M5162" s="129"/>
    </row>
    <row r="5163" spans="1:13" s="146" customFormat="1">
      <c r="A5163" s="193" t="s">
        <v>512</v>
      </c>
      <c r="B5163" s="210">
        <v>14</v>
      </c>
      <c r="C5163" s="191" t="str">
        <f>IF('IWP14'!E$565=0,"",'IWP14'!E$565)</f>
        <v>J. Billing Period Total</v>
      </c>
      <c r="D5163" s="211">
        <f>'IWP14'!G$565</f>
        <v>0</v>
      </c>
      <c r="E5163" s="211">
        <f>'IWP14'!H$565</f>
        <v>0</v>
      </c>
      <c r="F5163" s="211">
        <f>'IWP14'!I$565</f>
        <v>0</v>
      </c>
      <c r="G5163" s="191" t="str">
        <f>IF('IWP14'!J$565=0,"",'IWP14'!J$565)</f>
        <v/>
      </c>
      <c r="H5163" s="211">
        <f>'IWP14'!K$565</f>
        <v>0</v>
      </c>
      <c r="I5163" s="211">
        <f>'IWP14'!L$565</f>
        <v>0</v>
      </c>
      <c r="J5163" s="212">
        <f>'IWP14'!M$565</f>
        <v>0</v>
      </c>
      <c r="K5163" s="106"/>
      <c r="L5163" s="106"/>
      <c r="M5163" s="129"/>
    </row>
    <row r="5164" spans="1:13" s="146" customFormat="1">
      <c r="A5164" s="193" t="s">
        <v>512</v>
      </c>
      <c r="B5164" s="210">
        <v>14</v>
      </c>
      <c r="C5164" s="191" t="str">
        <f>IF('IWP14'!E$566=0,"",'IWP14'!E$566)</f>
        <v>D.</v>
      </c>
      <c r="D5164" s="211">
        <f>'IWP14'!G$566</f>
        <v>0</v>
      </c>
      <c r="E5164" s="211" t="str">
        <f>'IWP14'!H$566</f>
        <v>E.</v>
      </c>
      <c r="F5164" s="211" t="str">
        <f>'IWP14'!I$566</f>
        <v>F.</v>
      </c>
      <c r="G5164" s="191" t="str">
        <f>IF('IWP14'!J$566=0,"",'IWP14'!J$566)</f>
        <v>G.</v>
      </c>
      <c r="H5164" s="211">
        <f>'IWP14'!K$566</f>
        <v>0</v>
      </c>
      <c r="I5164" s="211" t="str">
        <f>'IWP14'!L$566</f>
        <v>H.</v>
      </c>
      <c r="J5164" s="212" t="str">
        <f>'IWP14'!M$566</f>
        <v>I.</v>
      </c>
      <c r="K5164" s="106"/>
      <c r="L5164" s="106"/>
      <c r="M5164" s="129"/>
    </row>
    <row r="5165" spans="1:13" s="146" customFormat="1">
      <c r="A5165" s="193" t="s">
        <v>512</v>
      </c>
      <c r="B5165" s="210">
        <v>14</v>
      </c>
      <c r="C5165" s="191" t="str">
        <f>IF('IWP14'!E$567=0,"",'IWP14'!E$567)</f>
        <v xml:space="preserve">Items/Services Related to Billing Period </v>
      </c>
      <c r="D5165" s="211">
        <f>'IWP14'!G$567</f>
        <v>0</v>
      </c>
      <c r="E5165" s="211" t="str">
        <f>'IWP14'!H$567</f>
        <v xml:space="preserve">Item/
Service Verified Amounts
</v>
      </c>
      <c r="F5165" s="211" t="str">
        <f>'IWP14'!I$567</f>
        <v>Amount Due to DADS (E. - D.)</v>
      </c>
      <c r="G5165" s="191" t="str">
        <f>IF('IWP14'!J$567=0,"",'IWP14'!J$567)</f>
        <v>Amount Reimbursed to 
Employee(s)/Employer</v>
      </c>
      <c r="H5165" s="211">
        <f>'IWP14'!K$567</f>
        <v>0</v>
      </c>
      <c r="I5165" s="211" t="str">
        <f>'IWP14'!L$567</f>
        <v>Amount Due to Employee(s) (G. - E.)</v>
      </c>
      <c r="J5165" s="212" t="str">
        <f>'IWP14'!M$567</f>
        <v>Amount Due to Employer (G. - E.)</v>
      </c>
      <c r="K5165" s="106"/>
      <c r="L5165" s="106"/>
      <c r="M5165" s="129"/>
    </row>
    <row r="5166" spans="1:13" s="146" customFormat="1">
      <c r="A5166" s="193" t="s">
        <v>512</v>
      </c>
      <c r="B5166" s="210">
        <v>14</v>
      </c>
      <c r="C5166" s="191" t="str">
        <f>IF('IWP14'!E$568=0,"",'IWP14'!E$568)</f>
        <v>Item/Service</v>
      </c>
      <c r="D5166" s="211" t="str">
        <f>'IWP14'!G$568</f>
        <v>Itemized Amount Paid by DADS</v>
      </c>
      <c r="E5166" s="211">
        <f>'IWP14'!H$568</f>
        <v>0</v>
      </c>
      <c r="F5166" s="211">
        <f>'IWP14'!I$568</f>
        <v>0</v>
      </c>
      <c r="G5166" s="191" t="str">
        <f>IF('IWP14'!J$568=0,"",'IWP14'!J$568)</f>
        <v/>
      </c>
      <c r="H5166" s="211">
        <f>'IWP14'!K$568</f>
        <v>0</v>
      </c>
      <c r="I5166" s="211">
        <f>'IWP14'!L$568</f>
        <v>0</v>
      </c>
      <c r="J5166" s="212">
        <f>'IWP14'!M$568</f>
        <v>0</v>
      </c>
      <c r="K5166" s="106"/>
      <c r="L5166" s="106"/>
      <c r="M5166" s="129"/>
    </row>
    <row r="5167" spans="1:13" s="146" customFormat="1">
      <c r="A5167" s="193" t="s">
        <v>512</v>
      </c>
      <c r="B5167" s="210">
        <v>14</v>
      </c>
      <c r="C5167" s="191" t="str">
        <f>IF('IWP14'!E$569=0,"",'IWP14'!E$569)</f>
        <v/>
      </c>
      <c r="D5167" s="211">
        <f>'IWP14'!G$569</f>
        <v>0</v>
      </c>
      <c r="E5167" s="211">
        <f>'IWP14'!H$569</f>
        <v>0</v>
      </c>
      <c r="F5167" s="211">
        <f>'IWP14'!I$569</f>
        <v>0</v>
      </c>
      <c r="G5167" s="191" t="str">
        <f>IF('IWP14'!J$569=0,"",'IWP14'!J$569)</f>
        <v/>
      </c>
      <c r="H5167" s="211">
        <f>'IWP14'!K$569</f>
        <v>0</v>
      </c>
      <c r="I5167" s="211">
        <f>'IWP14'!L$569</f>
        <v>0</v>
      </c>
      <c r="J5167" s="212">
        <f>'IWP14'!M$569</f>
        <v>0</v>
      </c>
      <c r="K5167" s="106"/>
      <c r="L5167" s="106"/>
      <c r="M5167" s="129"/>
    </row>
    <row r="5168" spans="1:13" s="146" customFormat="1">
      <c r="A5168" s="193" t="s">
        <v>512</v>
      </c>
      <c r="B5168" s="210">
        <v>14</v>
      </c>
      <c r="C5168" s="191" t="str">
        <f>IF('IWP14'!E$570=0,"",'IWP14'!E$570)</f>
        <v/>
      </c>
      <c r="D5168" s="211">
        <f>'IWP14'!G$570</f>
        <v>0</v>
      </c>
      <c r="E5168" s="211">
        <f>'IWP14'!H$570</f>
        <v>0</v>
      </c>
      <c r="F5168" s="211">
        <f>'IWP14'!I$570</f>
        <v>0</v>
      </c>
      <c r="G5168" s="191" t="str">
        <f>IF('IWP14'!J$570=0,"",'IWP14'!J$570)</f>
        <v/>
      </c>
      <c r="H5168" s="211">
        <f>'IWP14'!K$570</f>
        <v>0</v>
      </c>
      <c r="I5168" s="211">
        <f>'IWP14'!L$570</f>
        <v>0</v>
      </c>
      <c r="J5168" s="212">
        <f>'IWP14'!M$570</f>
        <v>0</v>
      </c>
      <c r="K5168" s="106"/>
      <c r="L5168" s="106"/>
      <c r="M5168" s="129"/>
    </row>
    <row r="5169" spans="1:13" s="146" customFormat="1">
      <c r="A5169" s="193" t="s">
        <v>512</v>
      </c>
      <c r="B5169" s="210">
        <v>14</v>
      </c>
      <c r="C5169" s="191" t="str">
        <f>IF('IWP14'!E$571=0,"",'IWP14'!E$571)</f>
        <v/>
      </c>
      <c r="D5169" s="211">
        <f>'IWP14'!G$571</f>
        <v>0</v>
      </c>
      <c r="E5169" s="211">
        <f>'IWP14'!H$571</f>
        <v>0</v>
      </c>
      <c r="F5169" s="211">
        <f>'IWP14'!I$571</f>
        <v>0</v>
      </c>
      <c r="G5169" s="191" t="str">
        <f>IF('IWP14'!J$571=0,"",'IWP14'!J$571)</f>
        <v/>
      </c>
      <c r="H5169" s="211">
        <f>'IWP14'!K$571</f>
        <v>0</v>
      </c>
      <c r="I5169" s="211">
        <f>'IWP14'!L$571</f>
        <v>0</v>
      </c>
      <c r="J5169" s="212">
        <f>'IWP14'!M$571</f>
        <v>0</v>
      </c>
      <c r="K5169" s="106"/>
      <c r="L5169" s="106"/>
      <c r="M5169" s="129"/>
    </row>
    <row r="5170" spans="1:13" s="146" customFormat="1">
      <c r="A5170" s="193" t="s">
        <v>512</v>
      </c>
      <c r="B5170" s="210">
        <v>14</v>
      </c>
      <c r="C5170" s="191" t="str">
        <f>IF('IWP14'!E$572=0,"",'IWP14'!E$572)</f>
        <v/>
      </c>
      <c r="D5170" s="211">
        <f>'IWP14'!G$572</f>
        <v>0</v>
      </c>
      <c r="E5170" s="211">
        <f>'IWP14'!H$572</f>
        <v>0</v>
      </c>
      <c r="F5170" s="211">
        <f>'IWP14'!I$572</f>
        <v>0</v>
      </c>
      <c r="G5170" s="191" t="str">
        <f>IF('IWP14'!J$572=0,"",'IWP14'!J$572)</f>
        <v/>
      </c>
      <c r="H5170" s="211">
        <f>'IWP14'!K$572</f>
        <v>0</v>
      </c>
      <c r="I5170" s="211">
        <f>'IWP14'!L$572</f>
        <v>0</v>
      </c>
      <c r="J5170" s="212">
        <f>'IWP14'!M$572</f>
        <v>0</v>
      </c>
      <c r="K5170" s="106"/>
      <c r="L5170" s="106"/>
      <c r="M5170" s="129"/>
    </row>
    <row r="5171" spans="1:13" s="146" customFormat="1">
      <c r="A5171" s="193" t="s">
        <v>512</v>
      </c>
      <c r="B5171" s="210">
        <v>15</v>
      </c>
      <c r="C5171" s="191" t="str">
        <f>IF('IWP14'!E$579=0,"",'IWP14'!E$579)</f>
        <v>Subtotal column D.</v>
      </c>
      <c r="D5171" s="211">
        <f>'IWP14'!G$579</f>
        <v>0</v>
      </c>
      <c r="E5171" s="211">
        <f>'IWP14'!H$579</f>
        <v>0</v>
      </c>
      <c r="F5171" s="211">
        <f>'IWP14'!I$579</f>
        <v>0</v>
      </c>
      <c r="G5171" s="191" t="str">
        <f>IF('IWP14'!J$579=0,"",'IWP14'!J$579)</f>
        <v/>
      </c>
      <c r="H5171" s="211">
        <f>'IWP14'!K$579</f>
        <v>0</v>
      </c>
      <c r="I5171" s="211">
        <f>'IWP14'!L$579</f>
        <v>0</v>
      </c>
      <c r="J5171" s="212">
        <f>'IWP14'!M$579</f>
        <v>0</v>
      </c>
      <c r="K5171" s="106"/>
      <c r="L5171" s="106"/>
      <c r="M5171" s="129"/>
    </row>
    <row r="5172" spans="1:13" s="146" customFormat="1">
      <c r="A5172" s="193" t="s">
        <v>512</v>
      </c>
      <c r="B5172" s="210">
        <v>15</v>
      </c>
      <c r="C5172" s="191" t="str">
        <f>IF('IWP14'!E$580=0,"",'IWP14'!E$580)</f>
        <v>Unverified/Undocumented (Subtotal D - C)</v>
      </c>
      <c r="D5172" s="211">
        <f>'IWP14'!G$580</f>
        <v>0</v>
      </c>
      <c r="E5172" s="211">
        <f>'IWP14'!H$580</f>
        <v>0</v>
      </c>
      <c r="F5172" s="211">
        <f>'IWP14'!I$580</f>
        <v>0</v>
      </c>
      <c r="G5172" s="191" t="str">
        <f>IF('IWP14'!J$580=0,"",'IWP14'!J$580)</f>
        <v/>
      </c>
      <c r="H5172" s="211">
        <f>'IWP14'!K$580</f>
        <v>0</v>
      </c>
      <c r="I5172" s="211">
        <f>'IWP14'!L$580</f>
        <v>0</v>
      </c>
      <c r="J5172" s="212">
        <f>'IWP14'!M$580</f>
        <v>0</v>
      </c>
      <c r="K5172" s="106"/>
      <c r="L5172" s="106"/>
      <c r="M5172" s="129"/>
    </row>
    <row r="5173" spans="1:13" s="146" customFormat="1">
      <c r="A5173" s="193" t="s">
        <v>512</v>
      </c>
      <c r="B5173" s="210">
        <v>15</v>
      </c>
      <c r="C5173" s="191" t="str">
        <f>IF('IWP14'!E$581=0,"",'IWP14'!E$581)</f>
        <v>J. Billing Period Total</v>
      </c>
      <c r="D5173" s="211">
        <f>'IWP14'!G$581</f>
        <v>0</v>
      </c>
      <c r="E5173" s="211">
        <f>'IWP14'!H$581</f>
        <v>0</v>
      </c>
      <c r="F5173" s="211">
        <f>'IWP14'!I$581</f>
        <v>0</v>
      </c>
      <c r="G5173" s="191" t="str">
        <f>IF('IWP14'!J$581=0,"",'IWP14'!J$581)</f>
        <v/>
      </c>
      <c r="H5173" s="211">
        <f>'IWP14'!K$581</f>
        <v>0</v>
      </c>
      <c r="I5173" s="211">
        <f>'IWP14'!L$581</f>
        <v>0</v>
      </c>
      <c r="J5173" s="212">
        <f>'IWP14'!M$581</f>
        <v>0</v>
      </c>
      <c r="K5173" s="106"/>
      <c r="L5173" s="106"/>
      <c r="M5173" s="129"/>
    </row>
    <row r="5174" spans="1:13" s="146" customFormat="1">
      <c r="A5174" s="193" t="s">
        <v>512</v>
      </c>
      <c r="B5174" s="210">
        <v>15</v>
      </c>
      <c r="C5174" s="191" t="str">
        <f>IF('IWP14'!E$582=0,"",'IWP14'!E$582)</f>
        <v>D.</v>
      </c>
      <c r="D5174" s="211">
        <f>'IWP14'!G$582</f>
        <v>0</v>
      </c>
      <c r="E5174" s="211" t="str">
        <f>'IWP14'!H$582</f>
        <v>E.</v>
      </c>
      <c r="F5174" s="211" t="str">
        <f>'IWP14'!I$582</f>
        <v>F.</v>
      </c>
      <c r="G5174" s="191" t="str">
        <f>IF('IWP14'!J$582=0,"",'IWP14'!J$582)</f>
        <v>G.</v>
      </c>
      <c r="H5174" s="211">
        <f>'IWP14'!K$582</f>
        <v>0</v>
      </c>
      <c r="I5174" s="211" t="str">
        <f>'IWP14'!L$582</f>
        <v>H.</v>
      </c>
      <c r="J5174" s="212" t="str">
        <f>'IWP14'!M$582</f>
        <v>I.</v>
      </c>
      <c r="K5174" s="106"/>
      <c r="L5174" s="106"/>
      <c r="M5174" s="129"/>
    </row>
    <row r="5175" spans="1:13" s="146" customFormat="1">
      <c r="A5175" s="193" t="s">
        <v>512</v>
      </c>
      <c r="B5175" s="210">
        <v>15</v>
      </c>
      <c r="C5175" s="191" t="str">
        <f>IF('IWP14'!E$583=0,"",'IWP14'!E$583)</f>
        <v xml:space="preserve">Items/Services Related to Billing Period </v>
      </c>
      <c r="D5175" s="211">
        <f>'IWP14'!G$583</f>
        <v>0</v>
      </c>
      <c r="E5175" s="211" t="str">
        <f>'IWP14'!H$583</f>
        <v xml:space="preserve">Item/
Service Verified Amounts
</v>
      </c>
      <c r="F5175" s="211" t="str">
        <f>'IWP14'!I$583</f>
        <v>Amount Due to DADS (E. - D.)</v>
      </c>
      <c r="G5175" s="191" t="str">
        <f>IF('IWP14'!J$583=0,"",'IWP14'!J$583)</f>
        <v>Amount Reimbursed to 
Employee(s)/Employer</v>
      </c>
      <c r="H5175" s="211">
        <f>'IWP14'!K$583</f>
        <v>0</v>
      </c>
      <c r="I5175" s="211" t="str">
        <f>'IWP14'!L$583</f>
        <v>Amount Due to Employee(s) (G. - E.)</v>
      </c>
      <c r="J5175" s="212" t="str">
        <f>'IWP14'!M$583</f>
        <v>Amount Due to Employer (G. - E.)</v>
      </c>
      <c r="K5175" s="106"/>
      <c r="L5175" s="106"/>
      <c r="M5175" s="129"/>
    </row>
    <row r="5176" spans="1:13" s="146" customFormat="1">
      <c r="A5176" s="193" t="s">
        <v>512</v>
      </c>
      <c r="B5176" s="210">
        <v>15</v>
      </c>
      <c r="C5176" s="191" t="str">
        <f>IF('IWP14'!E$584=0,"",'IWP14'!E$584)</f>
        <v>Item/Service</v>
      </c>
      <c r="D5176" s="211" t="str">
        <f>'IWP14'!G$584</f>
        <v>Itemized Amount Paid by DADS</v>
      </c>
      <c r="E5176" s="211">
        <f>'IWP14'!H$584</f>
        <v>0</v>
      </c>
      <c r="F5176" s="211">
        <f>'IWP14'!I$584</f>
        <v>0</v>
      </c>
      <c r="G5176" s="191" t="str">
        <f>IF('IWP14'!J$584=0,"",'IWP14'!J$584)</f>
        <v/>
      </c>
      <c r="H5176" s="211">
        <f>'IWP14'!K$584</f>
        <v>0</v>
      </c>
      <c r="I5176" s="211">
        <f>'IWP14'!L$584</f>
        <v>0</v>
      </c>
      <c r="J5176" s="212">
        <f>'IWP14'!M$584</f>
        <v>0</v>
      </c>
      <c r="K5176" s="106"/>
      <c r="L5176" s="106"/>
      <c r="M5176" s="129"/>
    </row>
    <row r="5177" spans="1:13" s="146" customFormat="1">
      <c r="A5177" s="193" t="s">
        <v>512</v>
      </c>
      <c r="B5177" s="210">
        <v>15</v>
      </c>
      <c r="C5177" s="191" t="str">
        <f>IF('IWP14'!E$585=0,"",'IWP14'!E$585)</f>
        <v/>
      </c>
      <c r="D5177" s="211">
        <f>'IWP14'!G$585</f>
        <v>0</v>
      </c>
      <c r="E5177" s="211">
        <f>'IWP14'!H$585</f>
        <v>0</v>
      </c>
      <c r="F5177" s="211">
        <f>'IWP14'!I$585</f>
        <v>0</v>
      </c>
      <c r="G5177" s="191" t="str">
        <f>IF('IWP14'!J$585=0,"",'IWP14'!J$585)</f>
        <v/>
      </c>
      <c r="H5177" s="211">
        <f>'IWP14'!K$585</f>
        <v>0</v>
      </c>
      <c r="I5177" s="211">
        <f>'IWP14'!L$585</f>
        <v>0</v>
      </c>
      <c r="J5177" s="212">
        <f>'IWP14'!M$585</f>
        <v>0</v>
      </c>
      <c r="K5177" s="106"/>
      <c r="L5177" s="106"/>
      <c r="M5177" s="129"/>
    </row>
    <row r="5178" spans="1:13" s="146" customFormat="1">
      <c r="A5178" s="193" t="s">
        <v>512</v>
      </c>
      <c r="B5178" s="210">
        <v>15</v>
      </c>
      <c r="C5178" s="191" t="str">
        <f>IF('IWP14'!E$586=0,"",'IWP14'!E$586)</f>
        <v/>
      </c>
      <c r="D5178" s="211">
        <f>'IWP14'!G$586</f>
        <v>0</v>
      </c>
      <c r="E5178" s="211">
        <f>'IWP14'!H$586</f>
        <v>0</v>
      </c>
      <c r="F5178" s="211">
        <f>'IWP14'!I$586</f>
        <v>0</v>
      </c>
      <c r="G5178" s="191" t="str">
        <f>IF('IWP14'!J$586=0,"",'IWP14'!J$586)</f>
        <v/>
      </c>
      <c r="H5178" s="211">
        <f>'IWP14'!K$586</f>
        <v>0</v>
      </c>
      <c r="I5178" s="211">
        <f>'IWP14'!L$586</f>
        <v>0</v>
      </c>
      <c r="J5178" s="212">
        <f>'IWP14'!M$586</f>
        <v>0</v>
      </c>
      <c r="K5178" s="106"/>
      <c r="L5178" s="106"/>
      <c r="M5178" s="129"/>
    </row>
    <row r="5179" spans="1:13" s="146" customFormat="1">
      <c r="A5179" s="193" t="s">
        <v>512</v>
      </c>
      <c r="B5179" s="210">
        <v>15</v>
      </c>
      <c r="C5179" s="191" t="str">
        <f>IF('IWP14'!E$587=0,"",'IWP14'!E$587)</f>
        <v/>
      </c>
      <c r="D5179" s="211">
        <f>'IWP14'!G$587</f>
        <v>0</v>
      </c>
      <c r="E5179" s="211">
        <f>'IWP14'!H$587</f>
        <v>0</v>
      </c>
      <c r="F5179" s="211">
        <f>'IWP14'!I$587</f>
        <v>0</v>
      </c>
      <c r="G5179" s="191" t="str">
        <f>IF('IWP14'!J$587=0,"",'IWP14'!J$587)</f>
        <v/>
      </c>
      <c r="H5179" s="211">
        <f>'IWP14'!K$587</f>
        <v>0</v>
      </c>
      <c r="I5179" s="211">
        <f>'IWP14'!L$587</f>
        <v>0</v>
      </c>
      <c r="J5179" s="212">
        <f>'IWP14'!M$587</f>
        <v>0</v>
      </c>
      <c r="K5179" s="106"/>
      <c r="L5179" s="106"/>
      <c r="M5179" s="129"/>
    </row>
    <row r="5180" spans="1:13" s="146" customFormat="1">
      <c r="A5180" s="193" t="s">
        <v>512</v>
      </c>
      <c r="B5180" s="210">
        <v>15</v>
      </c>
      <c r="C5180" s="191" t="str">
        <f>IF('IWP14'!E$588=0,"",'IWP14'!E$588)</f>
        <v/>
      </c>
      <c r="D5180" s="211">
        <f>'IWP14'!G$588</f>
        <v>0</v>
      </c>
      <c r="E5180" s="211">
        <f>'IWP14'!H$588</f>
        <v>0</v>
      </c>
      <c r="F5180" s="211">
        <f>'IWP14'!I$588</f>
        <v>0</v>
      </c>
      <c r="G5180" s="191" t="str">
        <f>IF('IWP14'!J$588=0,"",'IWP14'!J$588)</f>
        <v/>
      </c>
      <c r="H5180" s="211">
        <f>'IWP14'!K$588</f>
        <v>0</v>
      </c>
      <c r="I5180" s="211">
        <f>'IWP14'!L$588</f>
        <v>0</v>
      </c>
      <c r="J5180" s="212">
        <f>'IWP14'!M$588</f>
        <v>0</v>
      </c>
      <c r="K5180" s="106"/>
      <c r="L5180" s="106"/>
      <c r="M5180" s="129"/>
    </row>
    <row r="5181" spans="1:13" s="146" customFormat="1">
      <c r="A5181" s="193" t="s">
        <v>512</v>
      </c>
      <c r="B5181" s="210">
        <v>16</v>
      </c>
      <c r="C5181" s="191" t="str">
        <f>IF('IWP14'!E$595=0,"",'IWP14'!E$595)</f>
        <v>Subtotal column D.</v>
      </c>
      <c r="D5181" s="211">
        <f>'IWP14'!G$595</f>
        <v>0</v>
      </c>
      <c r="E5181" s="211">
        <f>'IWP14'!H$595</f>
        <v>0</v>
      </c>
      <c r="F5181" s="211">
        <f>'IWP14'!I$595</f>
        <v>0</v>
      </c>
      <c r="G5181" s="191" t="str">
        <f>IF('IWP14'!J$595=0,"",'IWP14'!J$595)</f>
        <v/>
      </c>
      <c r="H5181" s="211">
        <f>'IWP14'!K$595</f>
        <v>0</v>
      </c>
      <c r="I5181" s="211">
        <f>'IWP14'!L$595</f>
        <v>0</v>
      </c>
      <c r="J5181" s="212">
        <f>'IWP14'!M$595</f>
        <v>0</v>
      </c>
      <c r="K5181" s="106"/>
      <c r="L5181" s="106"/>
      <c r="M5181" s="129"/>
    </row>
    <row r="5182" spans="1:13" s="146" customFormat="1">
      <c r="A5182" s="193" t="s">
        <v>512</v>
      </c>
      <c r="B5182" s="210">
        <v>16</v>
      </c>
      <c r="C5182" s="191" t="str">
        <f>IF('IWP14'!E$596=0,"",'IWP14'!E$596)</f>
        <v>Unverified/Undocumented (Subtotal D - C)</v>
      </c>
      <c r="D5182" s="211">
        <f>'IWP14'!G$596</f>
        <v>0</v>
      </c>
      <c r="E5182" s="211">
        <f>'IWP14'!H$596</f>
        <v>0</v>
      </c>
      <c r="F5182" s="211">
        <f>'IWP14'!I$596</f>
        <v>0</v>
      </c>
      <c r="G5182" s="191" t="str">
        <f>IF('IWP14'!J$596=0,"",'IWP14'!J$596)</f>
        <v/>
      </c>
      <c r="H5182" s="211">
        <f>'IWP14'!K$596</f>
        <v>0</v>
      </c>
      <c r="I5182" s="211">
        <f>'IWP14'!L$596</f>
        <v>0</v>
      </c>
      <c r="J5182" s="212">
        <f>'IWP14'!M$596</f>
        <v>0</v>
      </c>
      <c r="K5182" s="106"/>
      <c r="L5182" s="106"/>
      <c r="M5182" s="129"/>
    </row>
    <row r="5183" spans="1:13" s="146" customFormat="1">
      <c r="A5183" s="193" t="s">
        <v>512</v>
      </c>
      <c r="B5183" s="210">
        <v>16</v>
      </c>
      <c r="C5183" s="191" t="str">
        <f>IF('IWP14'!E$597=0,"",'IWP14'!E$597)</f>
        <v>J. Billing Period Total</v>
      </c>
      <c r="D5183" s="211">
        <f>'IWP14'!G$597</f>
        <v>0</v>
      </c>
      <c r="E5183" s="211">
        <f>'IWP14'!H$597</f>
        <v>0</v>
      </c>
      <c r="F5183" s="211">
        <f>'IWP14'!I$597</f>
        <v>0</v>
      </c>
      <c r="G5183" s="191" t="str">
        <f>IF('IWP14'!J$597=0,"",'IWP14'!J$597)</f>
        <v/>
      </c>
      <c r="H5183" s="211">
        <f>'IWP14'!K$597</f>
        <v>0</v>
      </c>
      <c r="I5183" s="211">
        <f>'IWP14'!L$597</f>
        <v>0</v>
      </c>
      <c r="J5183" s="212">
        <f>'IWP14'!M$597</f>
        <v>0</v>
      </c>
      <c r="K5183" s="106"/>
      <c r="L5183" s="106"/>
      <c r="M5183" s="129"/>
    </row>
    <row r="5184" spans="1:13" s="146" customFormat="1">
      <c r="A5184" s="193" t="s">
        <v>512</v>
      </c>
      <c r="B5184" s="210">
        <v>16</v>
      </c>
      <c r="C5184" s="191" t="str">
        <f>IF('IWP14'!E$598=0,"",'IWP14'!E$598)</f>
        <v>D.</v>
      </c>
      <c r="D5184" s="211">
        <f>'IWP14'!G$598</f>
        <v>0</v>
      </c>
      <c r="E5184" s="211" t="str">
        <f>'IWP14'!H$598</f>
        <v>E.</v>
      </c>
      <c r="F5184" s="211" t="str">
        <f>'IWP14'!I$598</f>
        <v>F.</v>
      </c>
      <c r="G5184" s="191" t="str">
        <f>IF('IWP14'!J$598=0,"",'IWP14'!J$598)</f>
        <v>G.</v>
      </c>
      <c r="H5184" s="211">
        <f>'IWP14'!K$598</f>
        <v>0</v>
      </c>
      <c r="I5184" s="211" t="str">
        <f>'IWP14'!L$598</f>
        <v>H.</v>
      </c>
      <c r="J5184" s="212" t="str">
        <f>'IWP14'!M$598</f>
        <v>I.</v>
      </c>
      <c r="K5184" s="106"/>
      <c r="L5184" s="106"/>
      <c r="M5184" s="129"/>
    </row>
    <row r="5185" spans="1:13" s="146" customFormat="1">
      <c r="A5185" s="193" t="s">
        <v>512</v>
      </c>
      <c r="B5185" s="210">
        <v>16</v>
      </c>
      <c r="C5185" s="191" t="str">
        <f>IF('IWP14'!E$599=0,"",'IWP14'!E$599)</f>
        <v xml:space="preserve">Items/Services Related to Billing Period </v>
      </c>
      <c r="D5185" s="211">
        <f>'IWP14'!G$599</f>
        <v>0</v>
      </c>
      <c r="E5185" s="211" t="str">
        <f>'IWP14'!H$599</f>
        <v xml:space="preserve">Item/
Service Verified Amounts
</v>
      </c>
      <c r="F5185" s="211" t="str">
        <f>'IWP14'!I$599</f>
        <v>Amount Due to DADS (E. - D.)</v>
      </c>
      <c r="G5185" s="191" t="str">
        <f>IF('IWP14'!J$599=0,"",'IWP14'!J$599)</f>
        <v>Amount Reimbursed to 
Employee(s)/Employer</v>
      </c>
      <c r="H5185" s="211">
        <f>'IWP14'!K$599</f>
        <v>0</v>
      </c>
      <c r="I5185" s="211" t="str">
        <f>'IWP14'!L$599</f>
        <v>Amount Due to Employee(s) (G. - E.)</v>
      </c>
      <c r="J5185" s="212" t="str">
        <f>'IWP14'!M$599</f>
        <v>Amount Due to Employer (G. - E.)</v>
      </c>
      <c r="K5185" s="106"/>
      <c r="L5185" s="106"/>
      <c r="M5185" s="129"/>
    </row>
    <row r="5186" spans="1:13" s="146" customFormat="1">
      <c r="A5186" s="193" t="s">
        <v>512</v>
      </c>
      <c r="B5186" s="210">
        <v>16</v>
      </c>
      <c r="C5186" s="191" t="str">
        <f>IF('IWP14'!E$600=0,"",'IWP14'!E$600)</f>
        <v>Item/Service</v>
      </c>
      <c r="D5186" s="211" t="str">
        <f>'IWP14'!G$600</f>
        <v>Itemized Amount Paid by DADS</v>
      </c>
      <c r="E5186" s="211">
        <f>'IWP14'!H$600</f>
        <v>0</v>
      </c>
      <c r="F5186" s="211">
        <f>'IWP14'!I$600</f>
        <v>0</v>
      </c>
      <c r="G5186" s="191" t="str">
        <f>IF('IWP14'!J$600=0,"",'IWP14'!J$600)</f>
        <v/>
      </c>
      <c r="H5186" s="211">
        <f>'IWP14'!K$600</f>
        <v>0</v>
      </c>
      <c r="I5186" s="211">
        <f>'IWP14'!L$600</f>
        <v>0</v>
      </c>
      <c r="J5186" s="212">
        <f>'IWP14'!M$600</f>
        <v>0</v>
      </c>
      <c r="K5186" s="106"/>
      <c r="L5186" s="106"/>
      <c r="M5186" s="129"/>
    </row>
    <row r="5187" spans="1:13" s="146" customFormat="1">
      <c r="A5187" s="193" t="s">
        <v>512</v>
      </c>
      <c r="B5187" s="210">
        <v>16</v>
      </c>
      <c r="C5187" s="191" t="str">
        <f>IF('IWP14'!E$601=0,"",'IWP14'!E$601)</f>
        <v/>
      </c>
      <c r="D5187" s="211">
        <f>'IWP14'!G$601</f>
        <v>0</v>
      </c>
      <c r="E5187" s="211">
        <f>'IWP14'!H$601</f>
        <v>0</v>
      </c>
      <c r="F5187" s="211">
        <f>'IWP14'!I$601</f>
        <v>0</v>
      </c>
      <c r="G5187" s="191" t="str">
        <f>IF('IWP14'!J$601=0,"",'IWP14'!J$601)</f>
        <v/>
      </c>
      <c r="H5187" s="211">
        <f>'IWP14'!K$601</f>
        <v>0</v>
      </c>
      <c r="I5187" s="211">
        <f>'IWP14'!L$601</f>
        <v>0</v>
      </c>
      <c r="J5187" s="212">
        <f>'IWP14'!M$601</f>
        <v>0</v>
      </c>
      <c r="K5187" s="106"/>
      <c r="L5187" s="106"/>
      <c r="M5187" s="129"/>
    </row>
    <row r="5188" spans="1:13" s="146" customFormat="1">
      <c r="A5188" s="193" t="s">
        <v>512</v>
      </c>
      <c r="B5188" s="210">
        <v>16</v>
      </c>
      <c r="C5188" s="191" t="str">
        <f>IF('IWP14'!E$602=0,"",'IWP14'!E$602)</f>
        <v/>
      </c>
      <c r="D5188" s="211">
        <f>'IWP14'!G$602</f>
        <v>0</v>
      </c>
      <c r="E5188" s="211">
        <f>'IWP14'!H$602</f>
        <v>0</v>
      </c>
      <c r="F5188" s="211">
        <f>'IWP14'!I$602</f>
        <v>0</v>
      </c>
      <c r="G5188" s="191" t="str">
        <f>IF('IWP14'!J$602=0,"",'IWP14'!J$602)</f>
        <v/>
      </c>
      <c r="H5188" s="211">
        <f>'IWP14'!K$602</f>
        <v>0</v>
      </c>
      <c r="I5188" s="211">
        <f>'IWP14'!L$602</f>
        <v>0</v>
      </c>
      <c r="J5188" s="212">
        <f>'IWP14'!M$602</f>
        <v>0</v>
      </c>
      <c r="K5188" s="106"/>
      <c r="L5188" s="106"/>
      <c r="M5188" s="129"/>
    </row>
    <row r="5189" spans="1:13" s="146" customFormat="1">
      <c r="A5189" s="193" t="s">
        <v>512</v>
      </c>
      <c r="B5189" s="210">
        <v>16</v>
      </c>
      <c r="C5189" s="191" t="str">
        <f>IF('IWP14'!E$603=0,"",'IWP14'!E$603)</f>
        <v/>
      </c>
      <c r="D5189" s="211">
        <f>'IWP14'!G$603</f>
        <v>0</v>
      </c>
      <c r="E5189" s="211">
        <f>'IWP14'!H$603</f>
        <v>0</v>
      </c>
      <c r="F5189" s="211">
        <f>'IWP14'!I$603</f>
        <v>0</v>
      </c>
      <c r="G5189" s="191" t="str">
        <f>IF('IWP14'!J$603=0,"",'IWP14'!J$603)</f>
        <v/>
      </c>
      <c r="H5189" s="211">
        <f>'IWP14'!K$603</f>
        <v>0</v>
      </c>
      <c r="I5189" s="211">
        <f>'IWP14'!L$603</f>
        <v>0</v>
      </c>
      <c r="J5189" s="212">
        <f>'IWP14'!M$603</f>
        <v>0</v>
      </c>
      <c r="K5189" s="106"/>
      <c r="L5189" s="106"/>
      <c r="M5189" s="129"/>
    </row>
    <row r="5190" spans="1:13" s="146" customFormat="1">
      <c r="A5190" s="193" t="s">
        <v>512</v>
      </c>
      <c r="B5190" s="210">
        <v>16</v>
      </c>
      <c r="C5190" s="191" t="str">
        <f>IF('IWP14'!E$604=0,"",'IWP14'!E$604)</f>
        <v/>
      </c>
      <c r="D5190" s="211">
        <f>'IWP14'!G$604</f>
        <v>0</v>
      </c>
      <c r="E5190" s="211">
        <f>'IWP14'!H$604</f>
        <v>0</v>
      </c>
      <c r="F5190" s="211">
        <f>'IWP14'!I$604</f>
        <v>0</v>
      </c>
      <c r="G5190" s="191" t="str">
        <f>IF('IWP14'!J$604=0,"",'IWP14'!J$604)</f>
        <v/>
      </c>
      <c r="H5190" s="211">
        <f>'IWP14'!K$604</f>
        <v>0</v>
      </c>
      <c r="I5190" s="211">
        <f>'IWP14'!L$604</f>
        <v>0</v>
      </c>
      <c r="J5190" s="212">
        <f>'IWP14'!M$604</f>
        <v>0</v>
      </c>
      <c r="K5190" s="106"/>
      <c r="L5190" s="106"/>
      <c r="M5190" s="129"/>
    </row>
    <row r="5191" spans="1:13" s="146" customFormat="1">
      <c r="A5191" s="193" t="s">
        <v>512</v>
      </c>
      <c r="B5191" s="210">
        <v>17</v>
      </c>
      <c r="C5191" s="191" t="str">
        <f>IF('IWP14'!E$611=0,"",'IWP14'!E$611)</f>
        <v>Subtotal column D.</v>
      </c>
      <c r="D5191" s="211">
        <f>'IWP14'!G$611</f>
        <v>0</v>
      </c>
      <c r="E5191" s="211">
        <f>'IWP14'!H$611</f>
        <v>0</v>
      </c>
      <c r="F5191" s="211">
        <f>'IWP14'!I$611</f>
        <v>0</v>
      </c>
      <c r="G5191" s="191" t="str">
        <f>IF('IWP14'!J$611=0,"",'IWP14'!J$611)</f>
        <v/>
      </c>
      <c r="H5191" s="211">
        <f>'IWP14'!K$611</f>
        <v>0</v>
      </c>
      <c r="I5191" s="211">
        <f>'IWP14'!L$611</f>
        <v>0</v>
      </c>
      <c r="J5191" s="212">
        <f>'IWP14'!M$611</f>
        <v>0</v>
      </c>
      <c r="K5191" s="106"/>
      <c r="L5191" s="106"/>
      <c r="M5191" s="129"/>
    </row>
    <row r="5192" spans="1:13" s="146" customFormat="1">
      <c r="A5192" s="193" t="s">
        <v>512</v>
      </c>
      <c r="B5192" s="210">
        <v>17</v>
      </c>
      <c r="C5192" s="191" t="str">
        <f>IF('IWP14'!E$612=0,"",'IWP14'!E$612)</f>
        <v>Unverified/Undocumented (Subtotal D - C)</v>
      </c>
      <c r="D5192" s="211">
        <f>'IWP14'!G$612</f>
        <v>0</v>
      </c>
      <c r="E5192" s="211">
        <f>'IWP14'!H$612</f>
        <v>0</v>
      </c>
      <c r="F5192" s="211">
        <f>'IWP14'!I$612</f>
        <v>0</v>
      </c>
      <c r="G5192" s="191" t="str">
        <f>IF('IWP14'!J$612=0,"",'IWP14'!J$612)</f>
        <v/>
      </c>
      <c r="H5192" s="211">
        <f>'IWP14'!K$612</f>
        <v>0</v>
      </c>
      <c r="I5192" s="211">
        <f>'IWP14'!L$612</f>
        <v>0</v>
      </c>
      <c r="J5192" s="212">
        <f>'IWP14'!M$612</f>
        <v>0</v>
      </c>
      <c r="K5192" s="106"/>
      <c r="L5192" s="106"/>
      <c r="M5192" s="129"/>
    </row>
    <row r="5193" spans="1:13" s="146" customFormat="1">
      <c r="A5193" s="193" t="s">
        <v>512</v>
      </c>
      <c r="B5193" s="210">
        <v>17</v>
      </c>
      <c r="C5193" s="191" t="str">
        <f>IF('IWP14'!E$613=0,"",'IWP14'!E$613)</f>
        <v>J. Billing Period Total</v>
      </c>
      <c r="D5193" s="211">
        <f>'IWP14'!G$613</f>
        <v>0</v>
      </c>
      <c r="E5193" s="211">
        <f>'IWP14'!H$613</f>
        <v>0</v>
      </c>
      <c r="F5193" s="211">
        <f>'IWP14'!I$613</f>
        <v>0</v>
      </c>
      <c r="G5193" s="191" t="str">
        <f>IF('IWP14'!J$613=0,"",'IWP14'!J$613)</f>
        <v/>
      </c>
      <c r="H5193" s="211">
        <f>'IWP14'!K$613</f>
        <v>0</v>
      </c>
      <c r="I5193" s="211">
        <f>'IWP14'!L$613</f>
        <v>0</v>
      </c>
      <c r="J5193" s="212">
        <f>'IWP14'!M$613</f>
        <v>0</v>
      </c>
      <c r="K5193" s="106"/>
      <c r="L5193" s="106"/>
      <c r="M5193" s="129"/>
    </row>
    <row r="5194" spans="1:13" s="146" customFormat="1">
      <c r="A5194" s="193" t="s">
        <v>512</v>
      </c>
      <c r="B5194" s="210">
        <v>17</v>
      </c>
      <c r="C5194" s="191" t="str">
        <f>IF('IWP14'!E$614=0,"",'IWP14'!E$614)</f>
        <v/>
      </c>
      <c r="D5194" s="211">
        <f>'IWP14'!G$614</f>
        <v>0</v>
      </c>
      <c r="E5194" s="211">
        <f>'IWP14'!H$614</f>
        <v>0</v>
      </c>
      <c r="F5194" s="211">
        <f>'IWP14'!I$614</f>
        <v>0</v>
      </c>
      <c r="G5194" s="191" t="str">
        <f>IF('IWP14'!J$614=0,"",'IWP14'!J$614)</f>
        <v/>
      </c>
      <c r="H5194" s="211">
        <f>'IWP14'!K$614</f>
        <v>0</v>
      </c>
      <c r="I5194" s="211">
        <f>'IWP14'!L$614</f>
        <v>0</v>
      </c>
      <c r="J5194" s="212">
        <f>'IWP14'!M$614</f>
        <v>0</v>
      </c>
      <c r="K5194" s="106"/>
      <c r="L5194" s="106"/>
      <c r="M5194" s="129"/>
    </row>
    <row r="5195" spans="1:13" s="146" customFormat="1">
      <c r="A5195" s="193" t="s">
        <v>512</v>
      </c>
      <c r="B5195" s="210">
        <v>17</v>
      </c>
      <c r="C5195" s="191" t="str">
        <f>IF('IWP14'!E$615=0,"",'IWP14'!E$615)</f>
        <v/>
      </c>
      <c r="D5195" s="211">
        <f>'IWP14'!G$615</f>
        <v>0</v>
      </c>
      <c r="E5195" s="211">
        <f>'IWP14'!H$615</f>
        <v>0</v>
      </c>
      <c r="F5195" s="211">
        <f>'IWP14'!I$615</f>
        <v>0</v>
      </c>
      <c r="G5195" s="191" t="str">
        <f>IF('IWP14'!J$615=0,"",'IWP14'!J$615)</f>
        <v/>
      </c>
      <c r="H5195" s="211">
        <f>'IWP14'!K$615</f>
        <v>0</v>
      </c>
      <c r="I5195" s="211">
        <f>'IWP14'!L$615</f>
        <v>0</v>
      </c>
      <c r="J5195" s="212">
        <f>'IWP14'!M$615</f>
        <v>0</v>
      </c>
      <c r="K5195" s="106"/>
      <c r="L5195" s="106"/>
      <c r="M5195" s="129"/>
    </row>
    <row r="5196" spans="1:13" s="146" customFormat="1">
      <c r="A5196" s="193" t="s">
        <v>512</v>
      </c>
      <c r="B5196" s="210">
        <v>17</v>
      </c>
      <c r="C5196" s="191" t="str">
        <f>IF('IWP14'!E$616=0,"",'IWP14'!E$616)</f>
        <v/>
      </c>
      <c r="D5196" s="211">
        <f>'IWP14'!G$616</f>
        <v>0</v>
      </c>
      <c r="E5196" s="211">
        <f>'IWP14'!H$616</f>
        <v>0</v>
      </c>
      <c r="F5196" s="211">
        <f>'IWP14'!I$616</f>
        <v>0</v>
      </c>
      <c r="G5196" s="191" t="str">
        <f>IF('IWP14'!J$616=0,"",'IWP14'!J$616)</f>
        <v/>
      </c>
      <c r="H5196" s="211">
        <f>'IWP14'!K$616</f>
        <v>0</v>
      </c>
      <c r="I5196" s="211">
        <f>'IWP14'!L$616</f>
        <v>0</v>
      </c>
      <c r="J5196" s="212">
        <f>'IWP14'!M$616</f>
        <v>0</v>
      </c>
      <c r="K5196" s="106"/>
      <c r="L5196" s="106"/>
      <c r="M5196" s="129"/>
    </row>
    <row r="5197" spans="1:13" s="146" customFormat="1">
      <c r="A5197" s="193" t="s">
        <v>512</v>
      </c>
      <c r="B5197" s="210">
        <v>17</v>
      </c>
      <c r="C5197" s="191" t="str">
        <f>IF('IWP14'!E$617=0,"",'IWP14'!E$617)</f>
        <v/>
      </c>
      <c r="D5197" s="211">
        <f>'IWP14'!G$617</f>
        <v>0</v>
      </c>
      <c r="E5197" s="211">
        <f>'IWP14'!H$617</f>
        <v>0</v>
      </c>
      <c r="F5197" s="211">
        <f>'IWP14'!I$617</f>
        <v>0</v>
      </c>
      <c r="G5197" s="191" t="str">
        <f>IF('IWP14'!J$617=0,"",'IWP14'!J$617)</f>
        <v/>
      </c>
      <c r="H5197" s="211">
        <f>'IWP14'!K$617</f>
        <v>0</v>
      </c>
      <c r="I5197" s="211">
        <f>'IWP14'!L$617</f>
        <v>0</v>
      </c>
      <c r="J5197" s="212">
        <f>'IWP14'!M$617</f>
        <v>0</v>
      </c>
      <c r="K5197" s="106"/>
      <c r="L5197" s="106"/>
      <c r="M5197" s="129"/>
    </row>
    <row r="5198" spans="1:13" s="146" customFormat="1">
      <c r="A5198" s="193" t="s">
        <v>512</v>
      </c>
      <c r="B5198" s="210">
        <v>17</v>
      </c>
      <c r="C5198" s="191" t="str">
        <f>IF('IWP14'!E$618=0,"",'IWP14'!E$618)</f>
        <v/>
      </c>
      <c r="D5198" s="211">
        <f>'IWP14'!G$618</f>
        <v>0</v>
      </c>
      <c r="E5198" s="211">
        <f>'IWP14'!H$618</f>
        <v>0</v>
      </c>
      <c r="F5198" s="211">
        <f>'IWP14'!I$618</f>
        <v>0</v>
      </c>
      <c r="G5198" s="191" t="str">
        <f>IF('IWP14'!J$618=0,"",'IWP14'!J$618)</f>
        <v/>
      </c>
      <c r="H5198" s="211">
        <f>'IWP14'!K$618</f>
        <v>0</v>
      </c>
      <c r="I5198" s="211">
        <f>'IWP14'!L$618</f>
        <v>0</v>
      </c>
      <c r="J5198" s="212">
        <f>'IWP14'!M$618</f>
        <v>0</v>
      </c>
      <c r="K5198" s="106"/>
      <c r="L5198" s="106"/>
      <c r="M5198" s="129"/>
    </row>
    <row r="5199" spans="1:13" s="146" customFormat="1">
      <c r="A5199" s="193" t="s">
        <v>512</v>
      </c>
      <c r="B5199" s="210">
        <v>17</v>
      </c>
      <c r="C5199" s="191" t="str">
        <f>IF('IWP14'!E$619=0,"",'IWP14'!E$619)</f>
        <v/>
      </c>
      <c r="D5199" s="211">
        <f>'IWP14'!G$619</f>
        <v>0</v>
      </c>
      <c r="E5199" s="211">
        <f>'IWP14'!H$619</f>
        <v>0</v>
      </c>
      <c r="F5199" s="211">
        <f>'IWP14'!I$619</f>
        <v>0</v>
      </c>
      <c r="G5199" s="191" t="str">
        <f>IF('IWP14'!J$619=0,"",'IWP14'!J$619)</f>
        <v/>
      </c>
      <c r="H5199" s="211">
        <f>'IWP14'!K$619</f>
        <v>0</v>
      </c>
      <c r="I5199" s="211">
        <f>'IWP14'!L$619</f>
        <v>0</v>
      </c>
      <c r="J5199" s="212">
        <f>'IWP14'!M$619</f>
        <v>0</v>
      </c>
      <c r="K5199" s="106"/>
      <c r="L5199" s="106"/>
      <c r="M5199" s="129"/>
    </row>
    <row r="5200" spans="1:13" s="146" customFormat="1">
      <c r="A5200" s="193" t="s">
        <v>512</v>
      </c>
      <c r="B5200" s="210">
        <v>17</v>
      </c>
      <c r="C5200" s="191" t="str">
        <f>IF('IWP14'!E$620=0,"",'IWP14'!E$620)</f>
        <v/>
      </c>
      <c r="D5200" s="211">
        <f>'IWP14'!G$620</f>
        <v>0</v>
      </c>
      <c r="E5200" s="211">
        <f>'IWP14'!H$620</f>
        <v>0</v>
      </c>
      <c r="F5200" s="211">
        <f>'IWP14'!I$620</f>
        <v>0</v>
      </c>
      <c r="G5200" s="191" t="str">
        <f>IF('IWP14'!J$620=0,"",'IWP14'!J$620)</f>
        <v/>
      </c>
      <c r="H5200" s="211">
        <f>'IWP14'!K$620</f>
        <v>0</v>
      </c>
      <c r="I5200" s="211">
        <f>'IWP14'!L$620</f>
        <v>0</v>
      </c>
      <c r="J5200" s="212">
        <f>'IWP14'!M$620</f>
        <v>0</v>
      </c>
      <c r="K5200" s="106"/>
      <c r="L5200" s="106"/>
      <c r="M5200" s="129"/>
    </row>
    <row r="5201" spans="1:13" s="146" customFormat="1">
      <c r="A5201" s="193" t="s">
        <v>512</v>
      </c>
      <c r="B5201" s="210">
        <v>18</v>
      </c>
      <c r="C5201" s="191" t="str">
        <f>IF('IWP14'!E$627=0,"",'IWP14'!E$627)</f>
        <v/>
      </c>
      <c r="D5201" s="211">
        <f>'IWP14'!G$627</f>
        <v>0</v>
      </c>
      <c r="E5201" s="211">
        <f>'IWP14'!H$627</f>
        <v>0</v>
      </c>
      <c r="F5201" s="211">
        <f>'IWP14'!I$627</f>
        <v>0</v>
      </c>
      <c r="G5201" s="191" t="str">
        <f>IF('IWP14'!J$627=0,"",'IWP14'!J$627)</f>
        <v/>
      </c>
      <c r="H5201" s="211">
        <f>'IWP14'!K$627</f>
        <v>0</v>
      </c>
      <c r="I5201" s="211">
        <f>'IWP14'!L$627</f>
        <v>0</v>
      </c>
      <c r="J5201" s="212">
        <f>'IWP14'!M$627</f>
        <v>0</v>
      </c>
      <c r="K5201" s="106"/>
      <c r="L5201" s="106"/>
      <c r="M5201" s="129"/>
    </row>
    <row r="5202" spans="1:13" s="146" customFormat="1">
      <c r="A5202" s="193" t="s">
        <v>512</v>
      </c>
      <c r="B5202" s="210">
        <v>18</v>
      </c>
      <c r="C5202" s="191" t="str">
        <f>IF('IWP14'!E$628=0,"",'IWP14'!E$628)</f>
        <v/>
      </c>
      <c r="D5202" s="211">
        <f>'IWP14'!G$628</f>
        <v>0</v>
      </c>
      <c r="E5202" s="211">
        <f>'IWP14'!H$628</f>
        <v>0</v>
      </c>
      <c r="F5202" s="211">
        <f>'IWP14'!I$628</f>
        <v>0</v>
      </c>
      <c r="G5202" s="191" t="str">
        <f>IF('IWP14'!J$628=0,"",'IWP14'!J$628)</f>
        <v/>
      </c>
      <c r="H5202" s="211">
        <f>'IWP14'!K$628</f>
        <v>0</v>
      </c>
      <c r="I5202" s="211">
        <f>'IWP14'!L$628</f>
        <v>0</v>
      </c>
      <c r="J5202" s="212">
        <f>'IWP14'!M$628</f>
        <v>0</v>
      </c>
      <c r="K5202" s="106"/>
      <c r="L5202" s="106"/>
      <c r="M5202" s="129"/>
    </row>
    <row r="5203" spans="1:13" s="146" customFormat="1">
      <c r="A5203" s="193" t="s">
        <v>512</v>
      </c>
      <c r="B5203" s="210">
        <v>18</v>
      </c>
      <c r="C5203" s="191" t="str">
        <f>IF('IWP14'!E$629=0,"",'IWP14'!E$629)</f>
        <v/>
      </c>
      <c r="D5203" s="211">
        <f>'IWP14'!G$629</f>
        <v>0</v>
      </c>
      <c r="E5203" s="211">
        <f>'IWP14'!H$629</f>
        <v>0</v>
      </c>
      <c r="F5203" s="211">
        <f>'IWP14'!I$629</f>
        <v>0</v>
      </c>
      <c r="G5203" s="191" t="str">
        <f>IF('IWP14'!J$629=0,"",'IWP14'!J$629)</f>
        <v/>
      </c>
      <c r="H5203" s="211">
        <f>'IWP14'!K$629</f>
        <v>0</v>
      </c>
      <c r="I5203" s="211">
        <f>'IWP14'!L$629</f>
        <v>0</v>
      </c>
      <c r="J5203" s="212">
        <f>'IWP14'!M$629</f>
        <v>0</v>
      </c>
      <c r="K5203" s="106"/>
      <c r="L5203" s="106"/>
      <c r="M5203" s="129"/>
    </row>
    <row r="5204" spans="1:13" s="146" customFormat="1">
      <c r="A5204" s="193" t="s">
        <v>512</v>
      </c>
      <c r="B5204" s="210">
        <v>18</v>
      </c>
      <c r="C5204" s="191" t="str">
        <f>IF('IWP14'!E$630=0,"",'IWP14'!E$630)</f>
        <v/>
      </c>
      <c r="D5204" s="211">
        <f>'IWP14'!G$630</f>
        <v>0</v>
      </c>
      <c r="E5204" s="211">
        <f>'IWP14'!H$630</f>
        <v>0</v>
      </c>
      <c r="F5204" s="211">
        <f>'IWP14'!I$630</f>
        <v>0</v>
      </c>
      <c r="G5204" s="191" t="str">
        <f>IF('IWP14'!J$630=0,"",'IWP14'!J$630)</f>
        <v/>
      </c>
      <c r="H5204" s="211">
        <f>'IWP14'!K$630</f>
        <v>0</v>
      </c>
      <c r="I5204" s="211">
        <f>'IWP14'!L$630</f>
        <v>0</v>
      </c>
      <c r="J5204" s="212">
        <f>'IWP14'!M$630</f>
        <v>0</v>
      </c>
      <c r="K5204" s="106"/>
      <c r="L5204" s="106"/>
      <c r="M5204" s="129"/>
    </row>
    <row r="5205" spans="1:13" s="146" customFormat="1">
      <c r="A5205" s="193" t="s">
        <v>512</v>
      </c>
      <c r="B5205" s="210">
        <v>18</v>
      </c>
      <c r="C5205" s="191" t="str">
        <f>IF('IWP14'!E$631=0,"",'IWP14'!E$631)</f>
        <v/>
      </c>
      <c r="D5205" s="211">
        <f>'IWP14'!G$631</f>
        <v>0</v>
      </c>
      <c r="E5205" s="211">
        <f>'IWP14'!H$631</f>
        <v>0</v>
      </c>
      <c r="F5205" s="211">
        <f>'IWP14'!I$631</f>
        <v>0</v>
      </c>
      <c r="G5205" s="191" t="str">
        <f>IF('IWP14'!J$631=0,"",'IWP14'!J$631)</f>
        <v/>
      </c>
      <c r="H5205" s="211">
        <f>'IWP14'!K$631</f>
        <v>0</v>
      </c>
      <c r="I5205" s="211">
        <f>'IWP14'!L$631</f>
        <v>0</v>
      </c>
      <c r="J5205" s="212">
        <f>'IWP14'!M$631</f>
        <v>0</v>
      </c>
      <c r="K5205" s="106"/>
      <c r="L5205" s="106"/>
      <c r="M5205" s="129"/>
    </row>
    <row r="5206" spans="1:13" s="146" customFormat="1">
      <c r="A5206" s="193" t="s">
        <v>512</v>
      </c>
      <c r="B5206" s="210">
        <v>18</v>
      </c>
      <c r="C5206" s="191" t="str">
        <f>IF('IWP14'!E$632=0,"",'IWP14'!E$632)</f>
        <v/>
      </c>
      <c r="D5206" s="211">
        <f>'IWP14'!G$632</f>
        <v>0</v>
      </c>
      <c r="E5206" s="211">
        <f>'IWP14'!H$632</f>
        <v>0</v>
      </c>
      <c r="F5206" s="211">
        <f>'IWP14'!I$632</f>
        <v>0</v>
      </c>
      <c r="G5206" s="191" t="str">
        <f>IF('IWP14'!J$632=0,"",'IWP14'!J$632)</f>
        <v/>
      </c>
      <c r="H5206" s="211">
        <f>'IWP14'!K$632</f>
        <v>0</v>
      </c>
      <c r="I5206" s="211">
        <f>'IWP14'!L$632</f>
        <v>0</v>
      </c>
      <c r="J5206" s="212">
        <f>'IWP14'!M$632</f>
        <v>0</v>
      </c>
      <c r="K5206" s="106"/>
      <c r="L5206" s="106"/>
      <c r="M5206" s="129"/>
    </row>
    <row r="5207" spans="1:13" s="146" customFormat="1">
      <c r="A5207" s="193" t="s">
        <v>512</v>
      </c>
      <c r="B5207" s="210">
        <v>18</v>
      </c>
      <c r="C5207" s="191" t="str">
        <f>IF('IWP14'!E$633=0,"",'IWP14'!E$633)</f>
        <v/>
      </c>
      <c r="D5207" s="211">
        <f>'IWP14'!G$633</f>
        <v>0</v>
      </c>
      <c r="E5207" s="211">
        <f>'IWP14'!H$633</f>
        <v>0</v>
      </c>
      <c r="F5207" s="211">
        <f>'IWP14'!I$633</f>
        <v>0</v>
      </c>
      <c r="G5207" s="191" t="str">
        <f>IF('IWP14'!J$633=0,"",'IWP14'!J$633)</f>
        <v/>
      </c>
      <c r="H5207" s="211">
        <f>'IWP14'!K$633</f>
        <v>0</v>
      </c>
      <c r="I5207" s="211">
        <f>'IWP14'!L$633</f>
        <v>0</v>
      </c>
      <c r="J5207" s="212">
        <f>'IWP14'!M$633</f>
        <v>0</v>
      </c>
      <c r="K5207" s="106"/>
      <c r="L5207" s="106"/>
      <c r="M5207" s="129"/>
    </row>
    <row r="5208" spans="1:13" s="146" customFormat="1">
      <c r="A5208" s="193" t="s">
        <v>512</v>
      </c>
      <c r="B5208" s="210">
        <v>18</v>
      </c>
      <c r="C5208" s="191" t="str">
        <f>IF('IWP14'!E$634=0,"",'IWP14'!E$634)</f>
        <v/>
      </c>
      <c r="D5208" s="211">
        <f>'IWP14'!G$634</f>
        <v>0</v>
      </c>
      <c r="E5208" s="211">
        <f>'IWP14'!H$634</f>
        <v>0</v>
      </c>
      <c r="F5208" s="211">
        <f>'IWP14'!I$634</f>
        <v>0</v>
      </c>
      <c r="G5208" s="191" t="str">
        <f>IF('IWP14'!J$634=0,"",'IWP14'!J$634)</f>
        <v/>
      </c>
      <c r="H5208" s="211">
        <f>'IWP14'!K$634</f>
        <v>0</v>
      </c>
      <c r="I5208" s="211">
        <f>'IWP14'!L$634</f>
        <v>0</v>
      </c>
      <c r="J5208" s="212">
        <f>'IWP14'!M$634</f>
        <v>0</v>
      </c>
      <c r="K5208" s="106"/>
      <c r="L5208" s="106"/>
      <c r="M5208" s="129"/>
    </row>
    <row r="5209" spans="1:13" s="146" customFormat="1">
      <c r="A5209" s="193" t="s">
        <v>512</v>
      </c>
      <c r="B5209" s="210">
        <v>18</v>
      </c>
      <c r="C5209" s="191" t="str">
        <f>IF('IWP14'!E$635=0,"",'IWP14'!E$635)</f>
        <v/>
      </c>
      <c r="D5209" s="211">
        <f>'IWP14'!G$635</f>
        <v>0</v>
      </c>
      <c r="E5209" s="211">
        <f>'IWP14'!H$635</f>
        <v>0</v>
      </c>
      <c r="F5209" s="211">
        <f>'IWP14'!I$635</f>
        <v>0</v>
      </c>
      <c r="G5209" s="191" t="str">
        <f>IF('IWP14'!J$635=0,"",'IWP14'!J$635)</f>
        <v/>
      </c>
      <c r="H5209" s="211">
        <f>'IWP14'!K$635</f>
        <v>0</v>
      </c>
      <c r="I5209" s="211">
        <f>'IWP14'!L$635</f>
        <v>0</v>
      </c>
      <c r="J5209" s="212">
        <f>'IWP14'!M$635</f>
        <v>0</v>
      </c>
      <c r="K5209" s="106"/>
      <c r="L5209" s="106"/>
      <c r="M5209" s="129"/>
    </row>
    <row r="5210" spans="1:13" s="146" customFormat="1">
      <c r="A5210" s="193" t="s">
        <v>512</v>
      </c>
      <c r="B5210" s="210">
        <v>18</v>
      </c>
      <c r="C5210" s="191" t="str">
        <f>IF('IWP14'!E$636=0,"",'IWP14'!E$636)</f>
        <v/>
      </c>
      <c r="D5210" s="211">
        <f>'IWP14'!G$636</f>
        <v>0</v>
      </c>
      <c r="E5210" s="211">
        <f>'IWP14'!H$636</f>
        <v>0</v>
      </c>
      <c r="F5210" s="211">
        <f>'IWP14'!I$636</f>
        <v>0</v>
      </c>
      <c r="G5210" s="191" t="str">
        <f>IF('IWP14'!J$636=0,"",'IWP14'!J$636)</f>
        <v/>
      </c>
      <c r="H5210" s="211">
        <f>'IWP14'!K$636</f>
        <v>0</v>
      </c>
      <c r="I5210" s="211">
        <f>'IWP14'!L$636</f>
        <v>0</v>
      </c>
      <c r="J5210" s="212">
        <f>'IWP14'!M$636</f>
        <v>0</v>
      </c>
      <c r="K5210" s="106"/>
      <c r="L5210" s="106"/>
      <c r="M5210" s="129"/>
    </row>
    <row r="5211" spans="1:13" s="146" customFormat="1">
      <c r="A5211" s="193" t="s">
        <v>513</v>
      </c>
      <c r="B5211" s="210">
        <v>1</v>
      </c>
      <c r="C5211" s="191" t="str">
        <f>IF('IWP15'!E$355=0,"",'IWP15'!E$355)</f>
        <v>Subtotal column D.</v>
      </c>
      <c r="D5211" s="211">
        <f>'IWP15'!G$355</f>
        <v>0</v>
      </c>
      <c r="E5211" s="211">
        <f>'IWP15'!H$355</f>
        <v>0</v>
      </c>
      <c r="F5211" s="211">
        <f>'IWP15'!I$355</f>
        <v>0</v>
      </c>
      <c r="G5211" s="191" t="str">
        <f>IF('IWP15'!J$355=0,"",'IWP15'!J$355)</f>
        <v/>
      </c>
      <c r="H5211" s="211">
        <f>'IWP15'!K$355</f>
        <v>0</v>
      </c>
      <c r="I5211" s="211">
        <f>'IWP15'!L$355</f>
        <v>0</v>
      </c>
      <c r="J5211" s="212">
        <f>'IWP15'!M$355</f>
        <v>0</v>
      </c>
      <c r="K5211" s="106"/>
      <c r="L5211" s="106"/>
      <c r="M5211" s="129"/>
    </row>
    <row r="5212" spans="1:13" s="146" customFormat="1">
      <c r="A5212" s="193" t="s">
        <v>513</v>
      </c>
      <c r="B5212" s="210">
        <v>1</v>
      </c>
      <c r="C5212" s="191" t="str">
        <f>IF('IWP15'!E$356=0,"",'IWP15'!E$356)</f>
        <v>Unverified/Undocumented (Subtotall D - C)</v>
      </c>
      <c r="D5212" s="211">
        <f>'IWP15'!G$356</f>
        <v>0</v>
      </c>
      <c r="E5212" s="211">
        <f>'IWP15'!H$356</f>
        <v>0</v>
      </c>
      <c r="F5212" s="211">
        <f>'IWP15'!I$356</f>
        <v>0</v>
      </c>
      <c r="G5212" s="191" t="str">
        <f>IF('IWP15'!J$356=0,"",'IWP15'!J$356)</f>
        <v/>
      </c>
      <c r="H5212" s="211">
        <f>'IWP15'!K$356</f>
        <v>0</v>
      </c>
      <c r="I5212" s="211">
        <f>'IWP15'!L$356</f>
        <v>0</v>
      </c>
      <c r="J5212" s="212">
        <f>'IWP15'!M$356</f>
        <v>0</v>
      </c>
      <c r="K5212" s="106"/>
      <c r="L5212" s="106"/>
      <c r="M5212" s="129"/>
    </row>
    <row r="5213" spans="1:13" s="146" customFormat="1">
      <c r="A5213" s="193" t="s">
        <v>513</v>
      </c>
      <c r="B5213" s="210">
        <v>1</v>
      </c>
      <c r="C5213" s="191" t="str">
        <f>IF('IWP15'!E$357=0,"",'IWP15'!E$357)</f>
        <v>J. Billing Period Total</v>
      </c>
      <c r="D5213" s="211">
        <f>'IWP15'!G$357</f>
        <v>0</v>
      </c>
      <c r="E5213" s="211">
        <f>'IWP15'!H$357</f>
        <v>0</v>
      </c>
      <c r="F5213" s="211">
        <f>'IWP15'!I$357</f>
        <v>0</v>
      </c>
      <c r="G5213" s="191" t="str">
        <f>IF('IWP15'!J$357=0,"",'IWP15'!J$357)</f>
        <v/>
      </c>
      <c r="H5213" s="211">
        <f>'IWP15'!K$357</f>
        <v>0</v>
      </c>
      <c r="I5213" s="211">
        <f>'IWP15'!L$357</f>
        <v>0</v>
      </c>
      <c r="J5213" s="212">
        <f>'IWP15'!M$357</f>
        <v>0</v>
      </c>
      <c r="K5213" s="106"/>
      <c r="L5213" s="106"/>
      <c r="M5213" s="129"/>
    </row>
    <row r="5214" spans="1:13" s="146" customFormat="1">
      <c r="A5214" s="193" t="s">
        <v>513</v>
      </c>
      <c r="B5214" s="210">
        <v>1</v>
      </c>
      <c r="C5214" s="191" t="str">
        <f>IF('IWP15'!E$358=0,"",'IWP15'!E$358)</f>
        <v>D.</v>
      </c>
      <c r="D5214" s="211">
        <f>'IWP15'!G$358</f>
        <v>0</v>
      </c>
      <c r="E5214" s="211" t="str">
        <f>'IWP15'!H$358</f>
        <v>E.</v>
      </c>
      <c r="F5214" s="211" t="str">
        <f>'IWP15'!I$358</f>
        <v>F.</v>
      </c>
      <c r="G5214" s="191" t="str">
        <f>IF('IWP15'!J$358=0,"",'IWP15'!J$358)</f>
        <v>G.</v>
      </c>
      <c r="H5214" s="211">
        <f>'IWP15'!K$358</f>
        <v>0</v>
      </c>
      <c r="I5214" s="211" t="str">
        <f>'IWP15'!L$358</f>
        <v>H.</v>
      </c>
      <c r="J5214" s="212" t="str">
        <f>'IWP15'!M$358</f>
        <v>I.</v>
      </c>
      <c r="K5214" s="106"/>
      <c r="L5214" s="106"/>
      <c r="M5214" s="129"/>
    </row>
    <row r="5215" spans="1:13" s="146" customFormat="1">
      <c r="A5215" s="193" t="s">
        <v>513</v>
      </c>
      <c r="B5215" s="210">
        <v>1</v>
      </c>
      <c r="C5215" s="191" t="str">
        <f>IF('IWP15'!E$359=0,"",'IWP15'!E$359)</f>
        <v xml:space="preserve">Items/Services Related to Billing Period </v>
      </c>
      <c r="D5215" s="211">
        <f>'IWP15'!G$359</f>
        <v>0</v>
      </c>
      <c r="E5215" s="211" t="str">
        <f>'IWP15'!H$359</f>
        <v xml:space="preserve">Item/
Service Verified Amounts
</v>
      </c>
      <c r="F5215" s="211" t="str">
        <f>'IWP15'!I$359</f>
        <v>Amount Due to DADS (E. - D.)</v>
      </c>
      <c r="G5215" s="191" t="str">
        <f>IF('IWP15'!J$359=0,"",'IWP15'!J$359)</f>
        <v>Amount Reimbursed to 
Employee(s)/Employer</v>
      </c>
      <c r="H5215" s="211">
        <f>'IWP15'!K$359</f>
        <v>0</v>
      </c>
      <c r="I5215" s="211" t="str">
        <f>'IWP15'!L$359</f>
        <v>Amount Due to Employee(s) (G. - E.)</v>
      </c>
      <c r="J5215" s="212" t="str">
        <f>'IWP15'!M$359</f>
        <v>Amount Due to Employer (G. - E.)</v>
      </c>
      <c r="K5215" s="106"/>
      <c r="L5215" s="106"/>
      <c r="M5215" s="129"/>
    </row>
    <row r="5216" spans="1:13" s="146" customFormat="1">
      <c r="A5216" s="193" t="s">
        <v>513</v>
      </c>
      <c r="B5216" s="210">
        <v>1</v>
      </c>
      <c r="C5216" s="191" t="str">
        <f>IF('IWP15'!E$360=0,"",'IWP15'!E$360)</f>
        <v>Item/Service</v>
      </c>
      <c r="D5216" s="211" t="str">
        <f>'IWP15'!G$360</f>
        <v>Itemized Amount Paid by DADS</v>
      </c>
      <c r="E5216" s="211">
        <f>'IWP15'!H$360</f>
        <v>0</v>
      </c>
      <c r="F5216" s="211">
        <f>'IWP15'!I$360</f>
        <v>0</v>
      </c>
      <c r="G5216" s="191" t="str">
        <f>IF('IWP15'!J$360=0,"",'IWP15'!J$360)</f>
        <v/>
      </c>
      <c r="H5216" s="211">
        <f>'IWP15'!K$360</f>
        <v>0</v>
      </c>
      <c r="I5216" s="211">
        <f>'IWP15'!L$360</f>
        <v>0</v>
      </c>
      <c r="J5216" s="212">
        <f>'IWP15'!M$360</f>
        <v>0</v>
      </c>
      <c r="K5216" s="106"/>
      <c r="L5216" s="106"/>
      <c r="M5216" s="129"/>
    </row>
    <row r="5217" spans="1:13" s="146" customFormat="1">
      <c r="A5217" s="193" t="s">
        <v>513</v>
      </c>
      <c r="B5217" s="210">
        <v>1</v>
      </c>
      <c r="C5217" s="191" t="str">
        <f>IF('IWP15'!E$361=0,"",'IWP15'!E$361)</f>
        <v/>
      </c>
      <c r="D5217" s="211">
        <f>'IWP15'!G$361</f>
        <v>0</v>
      </c>
      <c r="E5217" s="211">
        <f>'IWP15'!H$361</f>
        <v>0</v>
      </c>
      <c r="F5217" s="211">
        <f>'IWP15'!I$361</f>
        <v>0</v>
      </c>
      <c r="G5217" s="191" t="str">
        <f>IF('IWP15'!J$361=0,"",'IWP15'!J$361)</f>
        <v/>
      </c>
      <c r="H5217" s="211">
        <f>'IWP15'!K$361</f>
        <v>0</v>
      </c>
      <c r="I5217" s="211">
        <f>'IWP15'!L$361</f>
        <v>0</v>
      </c>
      <c r="J5217" s="212">
        <f>'IWP15'!M$361</f>
        <v>0</v>
      </c>
      <c r="K5217" s="106"/>
      <c r="L5217" s="106"/>
      <c r="M5217" s="129"/>
    </row>
    <row r="5218" spans="1:13" s="146" customFormat="1">
      <c r="A5218" s="193" t="s">
        <v>513</v>
      </c>
      <c r="B5218" s="210">
        <v>1</v>
      </c>
      <c r="C5218" s="191" t="str">
        <f>IF('IWP15'!E$362=0,"",'IWP15'!E$362)</f>
        <v/>
      </c>
      <c r="D5218" s="211">
        <f>'IWP15'!G$362</f>
        <v>0</v>
      </c>
      <c r="E5218" s="211">
        <f>'IWP15'!H$362</f>
        <v>0</v>
      </c>
      <c r="F5218" s="211">
        <f>'IWP15'!I$362</f>
        <v>0</v>
      </c>
      <c r="G5218" s="191" t="str">
        <f>IF('IWP15'!J$362=0,"",'IWP15'!J$362)</f>
        <v/>
      </c>
      <c r="H5218" s="211">
        <f>'IWP15'!K$362</f>
        <v>0</v>
      </c>
      <c r="I5218" s="211">
        <f>'IWP15'!L$362</f>
        <v>0</v>
      </c>
      <c r="J5218" s="212">
        <f>'IWP15'!M$362</f>
        <v>0</v>
      </c>
      <c r="K5218" s="106"/>
      <c r="L5218" s="106"/>
      <c r="M5218" s="129"/>
    </row>
    <row r="5219" spans="1:13" s="146" customFormat="1">
      <c r="A5219" s="193" t="s">
        <v>513</v>
      </c>
      <c r="B5219" s="210">
        <v>1</v>
      </c>
      <c r="C5219" s="191" t="str">
        <f>IF('IWP15'!E$363=0,"",'IWP15'!E$363)</f>
        <v/>
      </c>
      <c r="D5219" s="211">
        <f>'IWP15'!G$363</f>
        <v>0</v>
      </c>
      <c r="E5219" s="211">
        <f>'IWP15'!H$363</f>
        <v>0</v>
      </c>
      <c r="F5219" s="211">
        <f>'IWP15'!I$363</f>
        <v>0</v>
      </c>
      <c r="G5219" s="191" t="str">
        <f>IF('IWP15'!J$363=0,"",'IWP15'!J$363)</f>
        <v/>
      </c>
      <c r="H5219" s="211">
        <f>'IWP15'!K$363</f>
        <v>0</v>
      </c>
      <c r="I5219" s="211">
        <f>'IWP15'!L$363</f>
        <v>0</v>
      </c>
      <c r="J5219" s="212">
        <f>'IWP15'!M$363</f>
        <v>0</v>
      </c>
      <c r="K5219" s="106"/>
      <c r="L5219" s="106"/>
      <c r="M5219" s="129"/>
    </row>
    <row r="5220" spans="1:13" s="146" customFormat="1">
      <c r="A5220" s="193" t="s">
        <v>513</v>
      </c>
      <c r="B5220" s="210">
        <v>1</v>
      </c>
      <c r="C5220" s="191" t="str">
        <f>IF('IWP15'!E$364=0,"",'IWP15'!E$364)</f>
        <v/>
      </c>
      <c r="D5220" s="211">
        <f>'IWP15'!G$364</f>
        <v>0</v>
      </c>
      <c r="E5220" s="211">
        <f>'IWP15'!H$364</f>
        <v>0</v>
      </c>
      <c r="F5220" s="211">
        <f>'IWP15'!I$364</f>
        <v>0</v>
      </c>
      <c r="G5220" s="191" t="str">
        <f>IF('IWP15'!J$364=0,"",'IWP15'!J$364)</f>
        <v/>
      </c>
      <c r="H5220" s="211">
        <f>'IWP15'!K$364</f>
        <v>0</v>
      </c>
      <c r="I5220" s="211">
        <f>'IWP15'!L$364</f>
        <v>0</v>
      </c>
      <c r="J5220" s="212">
        <f>'IWP15'!M$364</f>
        <v>0</v>
      </c>
      <c r="K5220" s="106"/>
      <c r="L5220" s="106"/>
      <c r="M5220" s="129"/>
    </row>
    <row r="5221" spans="1:13" s="146" customFormat="1">
      <c r="A5221" s="193" t="s">
        <v>513</v>
      </c>
      <c r="B5221" s="210">
        <v>2</v>
      </c>
      <c r="C5221" s="191" t="str">
        <f>IF('IWP15'!E$371=0,"",'IWP15'!E$371)</f>
        <v>Subtotal column D.</v>
      </c>
      <c r="D5221" s="211">
        <f>'IWP15'!G$371</f>
        <v>0</v>
      </c>
      <c r="E5221" s="211">
        <f>'IWP15'!H$371</f>
        <v>0</v>
      </c>
      <c r="F5221" s="211">
        <f>'IWP15'!I$371</f>
        <v>0</v>
      </c>
      <c r="G5221" s="191" t="str">
        <f>IF('IWP15'!J$371=0,"",'IWP15'!J$371)</f>
        <v/>
      </c>
      <c r="H5221" s="211">
        <f>'IWP15'!K$371</f>
        <v>0</v>
      </c>
      <c r="I5221" s="211">
        <f>'IWP15'!L$371</f>
        <v>0</v>
      </c>
      <c r="J5221" s="212">
        <f>'IWP15'!M$371</f>
        <v>0</v>
      </c>
      <c r="K5221" s="106"/>
      <c r="L5221" s="106"/>
      <c r="M5221" s="129"/>
    </row>
    <row r="5222" spans="1:13" s="146" customFormat="1">
      <c r="A5222" s="193" t="s">
        <v>513</v>
      </c>
      <c r="B5222" s="210">
        <v>2</v>
      </c>
      <c r="C5222" s="191" t="str">
        <f>IF('IWP15'!E$372=0,"",'IWP15'!E$372)</f>
        <v>Unverified/Undocumented (Subtotal D - C)</v>
      </c>
      <c r="D5222" s="211">
        <f>'IWP15'!G$372</f>
        <v>0</v>
      </c>
      <c r="E5222" s="211">
        <f>'IWP15'!H$372</f>
        <v>0</v>
      </c>
      <c r="F5222" s="211">
        <f>'IWP15'!I$372</f>
        <v>0</v>
      </c>
      <c r="G5222" s="191" t="str">
        <f>IF('IWP15'!J$372=0,"",'IWP15'!J$372)</f>
        <v/>
      </c>
      <c r="H5222" s="211">
        <f>'IWP15'!K$372</f>
        <v>0</v>
      </c>
      <c r="I5222" s="211">
        <f>'IWP15'!L$372</f>
        <v>0</v>
      </c>
      <c r="J5222" s="212">
        <f>'IWP15'!M$372</f>
        <v>0</v>
      </c>
      <c r="K5222" s="106"/>
      <c r="L5222" s="106"/>
      <c r="M5222" s="129"/>
    </row>
    <row r="5223" spans="1:13" s="146" customFormat="1">
      <c r="A5223" s="193" t="s">
        <v>513</v>
      </c>
      <c r="B5223" s="210">
        <v>2</v>
      </c>
      <c r="C5223" s="191" t="str">
        <f>IF('IWP15'!E$373=0,"",'IWP15'!E$373)</f>
        <v>J. Billing Period Total</v>
      </c>
      <c r="D5223" s="211">
        <f>'IWP15'!G$373</f>
        <v>0</v>
      </c>
      <c r="E5223" s="211">
        <f>'IWP15'!H$373</f>
        <v>0</v>
      </c>
      <c r="F5223" s="211">
        <f>'IWP15'!I$373</f>
        <v>0</v>
      </c>
      <c r="G5223" s="191" t="str">
        <f>IF('IWP15'!J$373=0,"",'IWP15'!J$373)</f>
        <v/>
      </c>
      <c r="H5223" s="211">
        <f>'IWP15'!K$373</f>
        <v>0</v>
      </c>
      <c r="I5223" s="211">
        <f>'IWP15'!L$373</f>
        <v>0</v>
      </c>
      <c r="J5223" s="212">
        <f>'IWP15'!M$373</f>
        <v>0</v>
      </c>
      <c r="K5223" s="106"/>
      <c r="L5223" s="106"/>
      <c r="M5223" s="129"/>
    </row>
    <row r="5224" spans="1:13" s="146" customFormat="1">
      <c r="A5224" s="193" t="s">
        <v>513</v>
      </c>
      <c r="B5224" s="210">
        <v>2</v>
      </c>
      <c r="C5224" s="191" t="str">
        <f>IF('IWP15'!E$374=0,"",'IWP15'!E$374)</f>
        <v>D.</v>
      </c>
      <c r="D5224" s="211">
        <f>'IWP15'!G$374</f>
        <v>0</v>
      </c>
      <c r="E5224" s="211" t="str">
        <f>'IWP15'!H$374</f>
        <v>E.</v>
      </c>
      <c r="F5224" s="211" t="str">
        <f>'IWP15'!I$374</f>
        <v>F.</v>
      </c>
      <c r="G5224" s="191" t="str">
        <f>IF('IWP15'!J$374=0,"",'IWP15'!J$374)</f>
        <v>G.</v>
      </c>
      <c r="H5224" s="211">
        <f>'IWP15'!K$374</f>
        <v>0</v>
      </c>
      <c r="I5224" s="211" t="str">
        <f>'IWP15'!L$374</f>
        <v>H.</v>
      </c>
      <c r="J5224" s="212" t="str">
        <f>'IWP15'!M$374</f>
        <v>I.</v>
      </c>
      <c r="K5224" s="106"/>
      <c r="L5224" s="106"/>
      <c r="M5224" s="129"/>
    </row>
    <row r="5225" spans="1:13" s="146" customFormat="1">
      <c r="A5225" s="193" t="s">
        <v>513</v>
      </c>
      <c r="B5225" s="210">
        <v>2</v>
      </c>
      <c r="C5225" s="191" t="str">
        <f>IF('IWP15'!E$375=0,"",'IWP15'!E$375)</f>
        <v xml:space="preserve">Items/Services Related to Billing Period </v>
      </c>
      <c r="D5225" s="211">
        <f>'IWP15'!G$375</f>
        <v>0</v>
      </c>
      <c r="E5225" s="211" t="str">
        <f>'IWP15'!H$375</f>
        <v xml:space="preserve">Item/
Service Verified Amounts
</v>
      </c>
      <c r="F5225" s="211" t="str">
        <f>'IWP15'!I$375</f>
        <v>Amount Due to DADS (E. - D.)</v>
      </c>
      <c r="G5225" s="191" t="str">
        <f>IF('IWP15'!J$375=0,"",'IWP15'!J$375)</f>
        <v>Amount Reimbursed to 
Employee(s)/Employer</v>
      </c>
      <c r="H5225" s="211">
        <f>'IWP15'!K$375</f>
        <v>0</v>
      </c>
      <c r="I5225" s="211" t="str">
        <f>'IWP15'!L$375</f>
        <v>Amount Due to Employee(s) (G. - E.)</v>
      </c>
      <c r="J5225" s="212" t="str">
        <f>'IWP15'!M$375</f>
        <v>Amount Due to Employer (G. - E.)</v>
      </c>
      <c r="K5225" s="106"/>
      <c r="L5225" s="106"/>
      <c r="M5225" s="129"/>
    </row>
    <row r="5226" spans="1:13" s="146" customFormat="1">
      <c r="A5226" s="193" t="s">
        <v>513</v>
      </c>
      <c r="B5226" s="210">
        <v>2</v>
      </c>
      <c r="C5226" s="191" t="str">
        <f>IF('IWP15'!E$376=0,"",'IWP15'!E$376)</f>
        <v>Item/Service</v>
      </c>
      <c r="D5226" s="211" t="str">
        <f>'IWP15'!G$376</f>
        <v>Itemized Amount Paid by DADS</v>
      </c>
      <c r="E5226" s="211">
        <f>'IWP15'!H$376</f>
        <v>0</v>
      </c>
      <c r="F5226" s="211">
        <f>'IWP15'!I$376</f>
        <v>0</v>
      </c>
      <c r="G5226" s="191" t="str">
        <f>IF('IWP15'!J$376=0,"",'IWP15'!J$376)</f>
        <v/>
      </c>
      <c r="H5226" s="211">
        <f>'IWP15'!K$376</f>
        <v>0</v>
      </c>
      <c r="I5226" s="211">
        <f>'IWP15'!L$376</f>
        <v>0</v>
      </c>
      <c r="J5226" s="212">
        <f>'IWP15'!M$376</f>
        <v>0</v>
      </c>
      <c r="K5226" s="106"/>
      <c r="L5226" s="106"/>
      <c r="M5226" s="129"/>
    </row>
    <row r="5227" spans="1:13" s="146" customFormat="1">
      <c r="A5227" s="193" t="s">
        <v>513</v>
      </c>
      <c r="B5227" s="210">
        <v>2</v>
      </c>
      <c r="C5227" s="191" t="str">
        <f>IF('IWP15'!E$377=0,"",'IWP15'!E$377)</f>
        <v/>
      </c>
      <c r="D5227" s="211">
        <f>'IWP15'!G$377</f>
        <v>0</v>
      </c>
      <c r="E5227" s="211">
        <f>'IWP15'!H$377</f>
        <v>0</v>
      </c>
      <c r="F5227" s="211">
        <f>'IWP15'!I$377</f>
        <v>0</v>
      </c>
      <c r="G5227" s="191" t="str">
        <f>IF('IWP15'!J$377=0,"",'IWP15'!J$377)</f>
        <v/>
      </c>
      <c r="H5227" s="211">
        <f>'IWP15'!K$377</f>
        <v>0</v>
      </c>
      <c r="I5227" s="211">
        <f>'IWP15'!L$377</f>
        <v>0</v>
      </c>
      <c r="J5227" s="212">
        <f>'IWP15'!M$377</f>
        <v>0</v>
      </c>
      <c r="K5227" s="106"/>
      <c r="L5227" s="106"/>
      <c r="M5227" s="129"/>
    </row>
    <row r="5228" spans="1:13" s="146" customFormat="1">
      <c r="A5228" s="193" t="s">
        <v>513</v>
      </c>
      <c r="B5228" s="210">
        <v>2</v>
      </c>
      <c r="C5228" s="191" t="str">
        <f>IF('IWP15'!E$378=0,"",'IWP15'!E$378)</f>
        <v/>
      </c>
      <c r="D5228" s="211">
        <f>'IWP15'!G$378</f>
        <v>0</v>
      </c>
      <c r="E5228" s="211">
        <f>'IWP15'!H$378</f>
        <v>0</v>
      </c>
      <c r="F5228" s="211">
        <f>'IWP15'!I$378</f>
        <v>0</v>
      </c>
      <c r="G5228" s="191" t="str">
        <f>IF('IWP15'!J$378=0,"",'IWP15'!J$378)</f>
        <v/>
      </c>
      <c r="H5228" s="211">
        <f>'IWP15'!K$378</f>
        <v>0</v>
      </c>
      <c r="I5228" s="211">
        <f>'IWP15'!L$378</f>
        <v>0</v>
      </c>
      <c r="J5228" s="212">
        <f>'IWP15'!M$378</f>
        <v>0</v>
      </c>
      <c r="K5228" s="106"/>
      <c r="L5228" s="106"/>
      <c r="M5228" s="129"/>
    </row>
    <row r="5229" spans="1:13" s="146" customFormat="1">
      <c r="A5229" s="193" t="s">
        <v>513</v>
      </c>
      <c r="B5229" s="210">
        <v>2</v>
      </c>
      <c r="C5229" s="191" t="str">
        <f>IF('IWP15'!E$379=0,"",'IWP15'!E$379)</f>
        <v/>
      </c>
      <c r="D5229" s="211">
        <f>'IWP15'!G$379</f>
        <v>0</v>
      </c>
      <c r="E5229" s="211">
        <f>'IWP15'!H$379</f>
        <v>0</v>
      </c>
      <c r="F5229" s="211">
        <f>'IWP15'!I$379</f>
        <v>0</v>
      </c>
      <c r="G5229" s="191" t="str">
        <f>IF('IWP15'!J$379=0,"",'IWP15'!J$379)</f>
        <v/>
      </c>
      <c r="H5229" s="211">
        <f>'IWP15'!K$379</f>
        <v>0</v>
      </c>
      <c r="I5229" s="211">
        <f>'IWP15'!L$379</f>
        <v>0</v>
      </c>
      <c r="J5229" s="212">
        <f>'IWP15'!M$379</f>
        <v>0</v>
      </c>
      <c r="K5229" s="106"/>
      <c r="L5229" s="106"/>
      <c r="M5229" s="129"/>
    </row>
    <row r="5230" spans="1:13" s="146" customFormat="1">
      <c r="A5230" s="193" t="s">
        <v>513</v>
      </c>
      <c r="B5230" s="210">
        <v>2</v>
      </c>
      <c r="C5230" s="191" t="str">
        <f>IF('IWP15'!E$380=0,"",'IWP15'!E$380)</f>
        <v/>
      </c>
      <c r="D5230" s="211">
        <f>'IWP15'!G$380</f>
        <v>0</v>
      </c>
      <c r="E5230" s="211">
        <f>'IWP15'!H$380</f>
        <v>0</v>
      </c>
      <c r="F5230" s="211">
        <f>'IWP15'!I$380</f>
        <v>0</v>
      </c>
      <c r="G5230" s="191" t="str">
        <f>IF('IWP15'!J$380=0,"",'IWP15'!J$380)</f>
        <v/>
      </c>
      <c r="H5230" s="211">
        <f>'IWP15'!K$380</f>
        <v>0</v>
      </c>
      <c r="I5230" s="211">
        <f>'IWP15'!L$380</f>
        <v>0</v>
      </c>
      <c r="J5230" s="212">
        <f>'IWP15'!M$380</f>
        <v>0</v>
      </c>
      <c r="K5230" s="106"/>
      <c r="L5230" s="106"/>
      <c r="M5230" s="129"/>
    </row>
    <row r="5231" spans="1:13" s="146" customFormat="1">
      <c r="A5231" s="193" t="s">
        <v>513</v>
      </c>
      <c r="B5231" s="210">
        <v>3</v>
      </c>
      <c r="C5231" s="191" t="str">
        <f>IF('IWP15'!E$387=0,"",'IWP15'!E$387)</f>
        <v>Subtotal column D.</v>
      </c>
      <c r="D5231" s="211">
        <f>'IWP15'!G$387</f>
        <v>0</v>
      </c>
      <c r="E5231" s="211">
        <f>'IWP15'!H$387</f>
        <v>0</v>
      </c>
      <c r="F5231" s="211">
        <f>'IWP15'!I$387</f>
        <v>0</v>
      </c>
      <c r="G5231" s="191" t="str">
        <f>IF('IWP15'!J$387=0,"",'IWP15'!J$387)</f>
        <v/>
      </c>
      <c r="H5231" s="211">
        <f>'IWP15'!K$387</f>
        <v>0</v>
      </c>
      <c r="I5231" s="211">
        <f>'IWP15'!L$387</f>
        <v>0</v>
      </c>
      <c r="J5231" s="212">
        <f>'IWP15'!M$387</f>
        <v>0</v>
      </c>
      <c r="K5231" s="106"/>
      <c r="L5231" s="106"/>
      <c r="M5231" s="129"/>
    </row>
    <row r="5232" spans="1:13" s="146" customFormat="1">
      <c r="A5232" s="193" t="s">
        <v>513</v>
      </c>
      <c r="B5232" s="210">
        <v>3</v>
      </c>
      <c r="C5232" s="191" t="str">
        <f>IF('IWP15'!E$388=0,"",'IWP15'!E$388)</f>
        <v>Unverified/Undocumented (Subtotal D - C)</v>
      </c>
      <c r="D5232" s="211">
        <f>'IWP15'!G$388</f>
        <v>0</v>
      </c>
      <c r="E5232" s="211">
        <f>'IWP15'!H$388</f>
        <v>0</v>
      </c>
      <c r="F5232" s="211">
        <f>'IWP15'!I$388</f>
        <v>0</v>
      </c>
      <c r="G5232" s="191" t="str">
        <f>IF('IWP15'!J$388=0,"",'IWP15'!J$388)</f>
        <v/>
      </c>
      <c r="H5232" s="211">
        <f>'IWP15'!K$388</f>
        <v>0</v>
      </c>
      <c r="I5232" s="211">
        <f>'IWP15'!L$388</f>
        <v>0</v>
      </c>
      <c r="J5232" s="212">
        <f>'IWP15'!M$388</f>
        <v>0</v>
      </c>
      <c r="K5232" s="106"/>
      <c r="L5232" s="106"/>
      <c r="M5232" s="129"/>
    </row>
    <row r="5233" spans="1:13" s="146" customFormat="1">
      <c r="A5233" s="193" t="s">
        <v>513</v>
      </c>
      <c r="B5233" s="210">
        <v>3</v>
      </c>
      <c r="C5233" s="191" t="str">
        <f>IF('IWP15'!E$389=0,"",'IWP15'!E$389)</f>
        <v>J. Billing Period Total</v>
      </c>
      <c r="D5233" s="211">
        <f>'IWP15'!G$389</f>
        <v>0</v>
      </c>
      <c r="E5233" s="211">
        <f>'IWP15'!H$389</f>
        <v>0</v>
      </c>
      <c r="F5233" s="211">
        <f>'IWP15'!I$389</f>
        <v>0</v>
      </c>
      <c r="G5233" s="191" t="str">
        <f>IF('IWP15'!J$389=0,"",'IWP15'!J$389)</f>
        <v/>
      </c>
      <c r="H5233" s="211">
        <f>'IWP15'!K$389</f>
        <v>0</v>
      </c>
      <c r="I5233" s="211">
        <f>'IWP15'!L$389</f>
        <v>0</v>
      </c>
      <c r="J5233" s="212">
        <f>'IWP15'!M$389</f>
        <v>0</v>
      </c>
      <c r="K5233" s="106"/>
      <c r="L5233" s="106"/>
      <c r="M5233" s="129"/>
    </row>
    <row r="5234" spans="1:13" s="146" customFormat="1">
      <c r="A5234" s="193" t="s">
        <v>513</v>
      </c>
      <c r="B5234" s="210">
        <v>3</v>
      </c>
      <c r="C5234" s="191" t="str">
        <f>IF('IWP15'!E$390=0,"",'IWP15'!E$390)</f>
        <v>D.</v>
      </c>
      <c r="D5234" s="211">
        <f>'IWP15'!G$390</f>
        <v>0</v>
      </c>
      <c r="E5234" s="211" t="str">
        <f>'IWP15'!H$390</f>
        <v>E.</v>
      </c>
      <c r="F5234" s="211" t="str">
        <f>'IWP15'!I$390</f>
        <v>F.</v>
      </c>
      <c r="G5234" s="191" t="str">
        <f>IF('IWP15'!J$390=0,"",'IWP15'!J$390)</f>
        <v>G.</v>
      </c>
      <c r="H5234" s="211">
        <f>'IWP15'!K$390</f>
        <v>0</v>
      </c>
      <c r="I5234" s="211" t="str">
        <f>'IWP15'!L$390</f>
        <v>H.</v>
      </c>
      <c r="J5234" s="212" t="str">
        <f>'IWP15'!M$390</f>
        <v>I.</v>
      </c>
      <c r="K5234" s="106"/>
      <c r="L5234" s="106"/>
      <c r="M5234" s="129"/>
    </row>
    <row r="5235" spans="1:13" s="146" customFormat="1">
      <c r="A5235" s="193" t="s">
        <v>513</v>
      </c>
      <c r="B5235" s="210">
        <v>3</v>
      </c>
      <c r="C5235" s="191" t="str">
        <f>IF('IWP15'!E$391=0,"",'IWP15'!E$391)</f>
        <v xml:space="preserve">Items/Services Related to Billing Period </v>
      </c>
      <c r="D5235" s="211">
        <f>'IWP15'!G$391</f>
        <v>0</v>
      </c>
      <c r="E5235" s="211" t="str">
        <f>'IWP15'!H$391</f>
        <v xml:space="preserve">Item/
Service Verified Amounts
</v>
      </c>
      <c r="F5235" s="211" t="str">
        <f>'IWP15'!I$391</f>
        <v>Amount Due to DADS (E. - D.)</v>
      </c>
      <c r="G5235" s="191" t="str">
        <f>IF('IWP15'!J$391=0,"",'IWP15'!J$391)</f>
        <v>Amount Reimbursed to 
Employee(s)/Employer</v>
      </c>
      <c r="H5235" s="211">
        <f>'IWP15'!K$391</f>
        <v>0</v>
      </c>
      <c r="I5235" s="211" t="str">
        <f>'IWP15'!L$391</f>
        <v>Amount Due to Employee(s) (G. - E.)</v>
      </c>
      <c r="J5235" s="212" t="str">
        <f>'IWP15'!M$391</f>
        <v>Amount Due to Employer (G. - E.)</v>
      </c>
      <c r="K5235" s="106"/>
      <c r="L5235" s="106"/>
      <c r="M5235" s="129"/>
    </row>
    <row r="5236" spans="1:13" s="146" customFormat="1">
      <c r="A5236" s="193" t="s">
        <v>513</v>
      </c>
      <c r="B5236" s="210">
        <v>3</v>
      </c>
      <c r="C5236" s="191" t="str">
        <f>IF('IWP15'!E$392=0,"",'IWP15'!E$392)</f>
        <v>Item/Service</v>
      </c>
      <c r="D5236" s="211" t="str">
        <f>'IWP15'!G$392</f>
        <v>Itemized Amount Paid by DADS</v>
      </c>
      <c r="E5236" s="211">
        <f>'IWP15'!H$392</f>
        <v>0</v>
      </c>
      <c r="F5236" s="211">
        <f>'IWP15'!I$392</f>
        <v>0</v>
      </c>
      <c r="G5236" s="191" t="str">
        <f>IF('IWP15'!J$392=0,"",'IWP15'!J$392)</f>
        <v/>
      </c>
      <c r="H5236" s="211">
        <f>'IWP15'!K$392</f>
        <v>0</v>
      </c>
      <c r="I5236" s="211">
        <f>'IWP15'!L$392</f>
        <v>0</v>
      </c>
      <c r="J5236" s="212">
        <f>'IWP15'!M$392</f>
        <v>0</v>
      </c>
      <c r="K5236" s="106"/>
      <c r="L5236" s="106"/>
      <c r="M5236" s="129"/>
    </row>
    <row r="5237" spans="1:13" s="146" customFormat="1">
      <c r="A5237" s="193" t="s">
        <v>513</v>
      </c>
      <c r="B5237" s="210">
        <v>3</v>
      </c>
      <c r="C5237" s="191" t="str">
        <f>IF('IWP15'!E$393=0,"",'IWP15'!E$393)</f>
        <v/>
      </c>
      <c r="D5237" s="211">
        <f>'IWP15'!G$393</f>
        <v>0</v>
      </c>
      <c r="E5237" s="211">
        <f>'IWP15'!H$393</f>
        <v>0</v>
      </c>
      <c r="F5237" s="211">
        <f>'IWP15'!I$393</f>
        <v>0</v>
      </c>
      <c r="G5237" s="191" t="str">
        <f>IF('IWP15'!J$393=0,"",'IWP15'!J$393)</f>
        <v/>
      </c>
      <c r="H5237" s="211">
        <f>'IWP15'!K$393</f>
        <v>0</v>
      </c>
      <c r="I5237" s="211">
        <f>'IWP15'!L$393</f>
        <v>0</v>
      </c>
      <c r="J5237" s="212">
        <f>'IWP15'!M$393</f>
        <v>0</v>
      </c>
      <c r="K5237" s="106"/>
      <c r="L5237" s="106"/>
      <c r="M5237" s="129"/>
    </row>
    <row r="5238" spans="1:13" s="146" customFormat="1">
      <c r="A5238" s="193" t="s">
        <v>513</v>
      </c>
      <c r="B5238" s="210">
        <v>3</v>
      </c>
      <c r="C5238" s="191" t="str">
        <f>IF('IWP15'!E$394=0,"",'IWP15'!E$394)</f>
        <v/>
      </c>
      <c r="D5238" s="211">
        <f>'IWP15'!G$394</f>
        <v>0</v>
      </c>
      <c r="E5238" s="211">
        <f>'IWP15'!H$394</f>
        <v>0</v>
      </c>
      <c r="F5238" s="211">
        <f>'IWP15'!I$394</f>
        <v>0</v>
      </c>
      <c r="G5238" s="191" t="str">
        <f>IF('IWP15'!J$394=0,"",'IWP15'!J$394)</f>
        <v/>
      </c>
      <c r="H5238" s="211">
        <f>'IWP15'!K$394</f>
        <v>0</v>
      </c>
      <c r="I5238" s="211">
        <f>'IWP15'!L$394</f>
        <v>0</v>
      </c>
      <c r="J5238" s="212">
        <f>'IWP15'!M$394</f>
        <v>0</v>
      </c>
      <c r="K5238" s="106"/>
      <c r="L5238" s="106"/>
      <c r="M5238" s="129"/>
    </row>
    <row r="5239" spans="1:13" s="146" customFormat="1">
      <c r="A5239" s="193" t="s">
        <v>513</v>
      </c>
      <c r="B5239" s="210">
        <v>3</v>
      </c>
      <c r="C5239" s="191" t="str">
        <f>IF('IWP15'!E$395=0,"",'IWP15'!E$395)</f>
        <v/>
      </c>
      <c r="D5239" s="211">
        <f>'IWP15'!G$395</f>
        <v>0</v>
      </c>
      <c r="E5239" s="211">
        <f>'IWP15'!H$395</f>
        <v>0</v>
      </c>
      <c r="F5239" s="211">
        <f>'IWP15'!I$395</f>
        <v>0</v>
      </c>
      <c r="G5239" s="191" t="str">
        <f>IF('IWP15'!J$395=0,"",'IWP15'!J$395)</f>
        <v/>
      </c>
      <c r="H5239" s="211">
        <f>'IWP15'!K$395</f>
        <v>0</v>
      </c>
      <c r="I5239" s="211">
        <f>'IWP15'!L$395</f>
        <v>0</v>
      </c>
      <c r="J5239" s="212">
        <f>'IWP15'!M$395</f>
        <v>0</v>
      </c>
      <c r="K5239" s="106"/>
      <c r="L5239" s="106"/>
      <c r="M5239" s="129"/>
    </row>
    <row r="5240" spans="1:13" s="146" customFormat="1">
      <c r="A5240" s="193" t="s">
        <v>513</v>
      </c>
      <c r="B5240" s="210">
        <v>3</v>
      </c>
      <c r="C5240" s="191" t="str">
        <f>IF('IWP15'!E$396=0,"",'IWP15'!E$396)</f>
        <v/>
      </c>
      <c r="D5240" s="211">
        <f>'IWP15'!G$396</f>
        <v>0</v>
      </c>
      <c r="E5240" s="211">
        <f>'IWP15'!H$396</f>
        <v>0</v>
      </c>
      <c r="F5240" s="211">
        <f>'IWP15'!I$396</f>
        <v>0</v>
      </c>
      <c r="G5240" s="191" t="str">
        <f>IF('IWP15'!J$396=0,"",'IWP15'!J$396)</f>
        <v/>
      </c>
      <c r="H5240" s="211">
        <f>'IWP15'!K$396</f>
        <v>0</v>
      </c>
      <c r="I5240" s="211">
        <f>'IWP15'!L$396</f>
        <v>0</v>
      </c>
      <c r="J5240" s="212">
        <f>'IWP15'!M$396</f>
        <v>0</v>
      </c>
      <c r="K5240" s="106"/>
      <c r="L5240" s="106"/>
      <c r="M5240" s="129"/>
    </row>
    <row r="5241" spans="1:13" s="146" customFormat="1">
      <c r="A5241" s="193" t="s">
        <v>513</v>
      </c>
      <c r="B5241" s="210">
        <v>4</v>
      </c>
      <c r="C5241" s="191" t="str">
        <f>IF('IWP15'!E$403=0,"",'IWP15'!E$403)</f>
        <v>Subtotal column D.</v>
      </c>
      <c r="D5241" s="211">
        <f>'IWP15'!G$403</f>
        <v>0</v>
      </c>
      <c r="E5241" s="211">
        <f>'IWP15'!H$403</f>
        <v>0</v>
      </c>
      <c r="F5241" s="211">
        <f>'IWP15'!I$403</f>
        <v>0</v>
      </c>
      <c r="G5241" s="191" t="str">
        <f>IF('IWP15'!J$403=0,"",'IWP15'!J$403)</f>
        <v/>
      </c>
      <c r="H5241" s="211">
        <f>'IWP15'!K$403</f>
        <v>0</v>
      </c>
      <c r="I5241" s="211">
        <f>'IWP15'!L$403</f>
        <v>0</v>
      </c>
      <c r="J5241" s="212">
        <f>'IWP15'!M$403</f>
        <v>0</v>
      </c>
      <c r="K5241" s="106"/>
      <c r="L5241" s="106"/>
      <c r="M5241" s="129"/>
    </row>
    <row r="5242" spans="1:13" s="146" customFormat="1">
      <c r="A5242" s="193" t="s">
        <v>513</v>
      </c>
      <c r="B5242" s="210">
        <v>4</v>
      </c>
      <c r="C5242" s="191" t="str">
        <f>IF('IWP15'!E$404=0,"",'IWP15'!E$404)</f>
        <v>Unverified/Undocumented (Subtotal D - C)</v>
      </c>
      <c r="D5242" s="211">
        <f>'IWP15'!G$404</f>
        <v>0</v>
      </c>
      <c r="E5242" s="211">
        <f>'IWP15'!H$404</f>
        <v>0</v>
      </c>
      <c r="F5242" s="211">
        <f>'IWP15'!I$404</f>
        <v>0</v>
      </c>
      <c r="G5242" s="191" t="str">
        <f>IF('IWP15'!J$404=0,"",'IWP15'!J$404)</f>
        <v/>
      </c>
      <c r="H5242" s="211">
        <f>'IWP15'!K$404</f>
        <v>0</v>
      </c>
      <c r="I5242" s="211">
        <f>'IWP15'!L$404</f>
        <v>0</v>
      </c>
      <c r="J5242" s="212">
        <f>'IWP15'!M$404</f>
        <v>0</v>
      </c>
      <c r="K5242" s="106"/>
      <c r="L5242" s="106"/>
      <c r="M5242" s="129"/>
    </row>
    <row r="5243" spans="1:13" s="146" customFormat="1">
      <c r="A5243" s="193" t="s">
        <v>513</v>
      </c>
      <c r="B5243" s="210">
        <v>4</v>
      </c>
      <c r="C5243" s="191" t="str">
        <f>IF('IWP15'!E$405=0,"",'IWP15'!E$405)</f>
        <v>J. Billing Period Total</v>
      </c>
      <c r="D5243" s="211">
        <f>'IWP15'!G$405</f>
        <v>0</v>
      </c>
      <c r="E5243" s="211">
        <f>'IWP15'!H$405</f>
        <v>0</v>
      </c>
      <c r="F5243" s="211">
        <f>'IWP15'!I$405</f>
        <v>0</v>
      </c>
      <c r="G5243" s="191" t="str">
        <f>IF('IWP15'!J$405=0,"",'IWP15'!J$405)</f>
        <v/>
      </c>
      <c r="H5243" s="211">
        <f>'IWP15'!K$405</f>
        <v>0</v>
      </c>
      <c r="I5243" s="211">
        <f>'IWP15'!L$405</f>
        <v>0</v>
      </c>
      <c r="J5243" s="212">
        <f>'IWP15'!M$405</f>
        <v>0</v>
      </c>
      <c r="K5243" s="106"/>
      <c r="L5243" s="106"/>
      <c r="M5243" s="129"/>
    </row>
    <row r="5244" spans="1:13" s="146" customFormat="1">
      <c r="A5244" s="193" t="s">
        <v>513</v>
      </c>
      <c r="B5244" s="210">
        <v>4</v>
      </c>
      <c r="C5244" s="191" t="str">
        <f>IF('IWP15'!E$406=0,"",'IWP15'!E$406)</f>
        <v>D.</v>
      </c>
      <c r="D5244" s="211">
        <f>'IWP15'!G$406</f>
        <v>0</v>
      </c>
      <c r="E5244" s="211" t="str">
        <f>'IWP15'!H$406</f>
        <v>E.</v>
      </c>
      <c r="F5244" s="211" t="str">
        <f>'IWP15'!I$406</f>
        <v>F.</v>
      </c>
      <c r="G5244" s="191" t="str">
        <f>IF('IWP15'!J$406=0,"",'IWP15'!J$406)</f>
        <v>G.</v>
      </c>
      <c r="H5244" s="211">
        <f>'IWP15'!K$406</f>
        <v>0</v>
      </c>
      <c r="I5244" s="211" t="str">
        <f>'IWP15'!L$406</f>
        <v>H.</v>
      </c>
      <c r="J5244" s="212" t="str">
        <f>'IWP15'!M$406</f>
        <v>I.</v>
      </c>
      <c r="K5244" s="106"/>
      <c r="L5244" s="106"/>
      <c r="M5244" s="129"/>
    </row>
    <row r="5245" spans="1:13" s="146" customFormat="1">
      <c r="A5245" s="193" t="s">
        <v>513</v>
      </c>
      <c r="B5245" s="210">
        <v>4</v>
      </c>
      <c r="C5245" s="191" t="str">
        <f>IF('IWP15'!E$407=0,"",'IWP15'!E$407)</f>
        <v xml:space="preserve">Items/Services Related to Billing Period </v>
      </c>
      <c r="D5245" s="211">
        <f>'IWP15'!G$407</f>
        <v>0</v>
      </c>
      <c r="E5245" s="211" t="str">
        <f>'IWP15'!H$407</f>
        <v xml:space="preserve">Item/
Service Verified Amounts
</v>
      </c>
      <c r="F5245" s="211" t="str">
        <f>'IWP15'!I$407</f>
        <v>Amount Due to DADS (E. - D.)</v>
      </c>
      <c r="G5245" s="191" t="str">
        <f>IF('IWP15'!J$407=0,"",'IWP15'!J$407)</f>
        <v>Amount Reimbursed to 
Employee(s)/Employer</v>
      </c>
      <c r="H5245" s="211">
        <f>'IWP15'!K$407</f>
        <v>0</v>
      </c>
      <c r="I5245" s="211" t="str">
        <f>'IWP15'!L$407</f>
        <v>Amount Due to Employee(s) (G. - E.)</v>
      </c>
      <c r="J5245" s="212" t="str">
        <f>'IWP15'!M$407</f>
        <v>Amount Due to Employer (G. - E.)</v>
      </c>
      <c r="K5245" s="106"/>
      <c r="L5245" s="106"/>
      <c r="M5245" s="129"/>
    </row>
    <row r="5246" spans="1:13" s="146" customFormat="1">
      <c r="A5246" s="193" t="s">
        <v>513</v>
      </c>
      <c r="B5246" s="210">
        <v>4</v>
      </c>
      <c r="C5246" s="191" t="str">
        <f>IF('IWP15'!E$408=0,"",'IWP15'!E$408)</f>
        <v>Item/Service</v>
      </c>
      <c r="D5246" s="211" t="str">
        <f>'IWP15'!G$408</f>
        <v>Itemized Amount Paid by DADS</v>
      </c>
      <c r="E5246" s="211">
        <f>'IWP15'!H$408</f>
        <v>0</v>
      </c>
      <c r="F5246" s="211">
        <f>'IWP15'!I$408</f>
        <v>0</v>
      </c>
      <c r="G5246" s="191" t="str">
        <f>IF('IWP15'!J$408=0,"",'IWP15'!J$408)</f>
        <v/>
      </c>
      <c r="H5246" s="211">
        <f>'IWP15'!K$408</f>
        <v>0</v>
      </c>
      <c r="I5246" s="211">
        <f>'IWP15'!L$408</f>
        <v>0</v>
      </c>
      <c r="J5246" s="212">
        <f>'IWP15'!M$408</f>
        <v>0</v>
      </c>
      <c r="K5246" s="106"/>
      <c r="L5246" s="106"/>
      <c r="M5246" s="129"/>
    </row>
    <row r="5247" spans="1:13" s="146" customFormat="1">
      <c r="A5247" s="193" t="s">
        <v>513</v>
      </c>
      <c r="B5247" s="210">
        <v>4</v>
      </c>
      <c r="C5247" s="191" t="str">
        <f>IF('IWP15'!E$409=0,"",'IWP15'!E$409)</f>
        <v/>
      </c>
      <c r="D5247" s="211">
        <f>'IWP15'!G$409</f>
        <v>0</v>
      </c>
      <c r="E5247" s="211">
        <f>'IWP15'!H$409</f>
        <v>0</v>
      </c>
      <c r="F5247" s="211">
        <f>'IWP15'!I$409</f>
        <v>0</v>
      </c>
      <c r="G5247" s="191" t="str">
        <f>IF('IWP15'!J$409=0,"",'IWP15'!J$409)</f>
        <v/>
      </c>
      <c r="H5247" s="211">
        <f>'IWP15'!K$409</f>
        <v>0</v>
      </c>
      <c r="I5247" s="211">
        <f>'IWP15'!L$409</f>
        <v>0</v>
      </c>
      <c r="J5247" s="212">
        <f>'IWP15'!M$409</f>
        <v>0</v>
      </c>
      <c r="K5247" s="106"/>
      <c r="L5247" s="106"/>
      <c r="M5247" s="129"/>
    </row>
    <row r="5248" spans="1:13" s="146" customFormat="1">
      <c r="A5248" s="193" t="s">
        <v>513</v>
      </c>
      <c r="B5248" s="210">
        <v>4</v>
      </c>
      <c r="C5248" s="191" t="str">
        <f>IF('IWP15'!E$410=0,"",'IWP15'!E$410)</f>
        <v/>
      </c>
      <c r="D5248" s="211">
        <f>'IWP15'!G$410</f>
        <v>0</v>
      </c>
      <c r="E5248" s="211">
        <f>'IWP15'!H$410</f>
        <v>0</v>
      </c>
      <c r="F5248" s="211">
        <f>'IWP15'!I$410</f>
        <v>0</v>
      </c>
      <c r="G5248" s="191" t="str">
        <f>IF('IWP15'!J$410=0,"",'IWP15'!J$410)</f>
        <v/>
      </c>
      <c r="H5248" s="211">
        <f>'IWP15'!K$410</f>
        <v>0</v>
      </c>
      <c r="I5248" s="211">
        <f>'IWP15'!L$410</f>
        <v>0</v>
      </c>
      <c r="J5248" s="212">
        <f>'IWP15'!M$410</f>
        <v>0</v>
      </c>
      <c r="K5248" s="106"/>
      <c r="L5248" s="106"/>
      <c r="M5248" s="129"/>
    </row>
    <row r="5249" spans="1:13" s="146" customFormat="1">
      <c r="A5249" s="193" t="s">
        <v>513</v>
      </c>
      <c r="B5249" s="210">
        <v>4</v>
      </c>
      <c r="C5249" s="191" t="str">
        <f>IF('IWP15'!E$411=0,"",'IWP15'!E$411)</f>
        <v/>
      </c>
      <c r="D5249" s="211">
        <f>'IWP15'!G$411</f>
        <v>0</v>
      </c>
      <c r="E5249" s="211">
        <f>'IWP15'!H$411</f>
        <v>0</v>
      </c>
      <c r="F5249" s="211">
        <f>'IWP15'!I$411</f>
        <v>0</v>
      </c>
      <c r="G5249" s="191" t="str">
        <f>IF('IWP15'!J$411=0,"",'IWP15'!J$411)</f>
        <v/>
      </c>
      <c r="H5249" s="211">
        <f>'IWP15'!K$411</f>
        <v>0</v>
      </c>
      <c r="I5249" s="211">
        <f>'IWP15'!L$411</f>
        <v>0</v>
      </c>
      <c r="J5249" s="212">
        <f>'IWP15'!M$411</f>
        <v>0</v>
      </c>
      <c r="K5249" s="106"/>
      <c r="L5249" s="106"/>
      <c r="M5249" s="129"/>
    </row>
    <row r="5250" spans="1:13" s="146" customFormat="1">
      <c r="A5250" s="193" t="s">
        <v>513</v>
      </c>
      <c r="B5250" s="210">
        <v>4</v>
      </c>
      <c r="C5250" s="191" t="str">
        <f>IF('IWP15'!E$412=0,"",'IWP15'!E$412)</f>
        <v/>
      </c>
      <c r="D5250" s="211">
        <f>'IWP15'!G$412</f>
        <v>0</v>
      </c>
      <c r="E5250" s="211">
        <f>'IWP15'!H$412</f>
        <v>0</v>
      </c>
      <c r="F5250" s="211">
        <f>'IWP15'!I$412</f>
        <v>0</v>
      </c>
      <c r="G5250" s="191" t="str">
        <f>IF('IWP15'!J$412=0,"",'IWP15'!J$412)</f>
        <v/>
      </c>
      <c r="H5250" s="211">
        <f>'IWP15'!K$412</f>
        <v>0</v>
      </c>
      <c r="I5250" s="211">
        <f>'IWP15'!L$412</f>
        <v>0</v>
      </c>
      <c r="J5250" s="212">
        <f>'IWP15'!M$412</f>
        <v>0</v>
      </c>
      <c r="K5250" s="106"/>
      <c r="L5250" s="106"/>
      <c r="M5250" s="129"/>
    </row>
    <row r="5251" spans="1:13" s="146" customFormat="1">
      <c r="A5251" s="193" t="s">
        <v>513</v>
      </c>
      <c r="B5251" s="210">
        <v>5</v>
      </c>
      <c r="C5251" s="191" t="str">
        <f>IF('IWP15'!E$419=0,"",'IWP15'!E$419)</f>
        <v>Subtotal column D.</v>
      </c>
      <c r="D5251" s="211">
        <f>'IWP15'!G$419</f>
        <v>0</v>
      </c>
      <c r="E5251" s="211">
        <f>'IWP15'!H$419</f>
        <v>0</v>
      </c>
      <c r="F5251" s="211">
        <f>'IWP15'!I$419</f>
        <v>0</v>
      </c>
      <c r="G5251" s="191" t="str">
        <f>IF('IWP15'!J$419=0,"",'IWP15'!J$419)</f>
        <v/>
      </c>
      <c r="H5251" s="211">
        <f>'IWP15'!K$419</f>
        <v>0</v>
      </c>
      <c r="I5251" s="211">
        <f>'IWP15'!L$419</f>
        <v>0</v>
      </c>
      <c r="J5251" s="212">
        <f>'IWP15'!M$419</f>
        <v>0</v>
      </c>
      <c r="K5251" s="106"/>
      <c r="L5251" s="106"/>
      <c r="M5251" s="129"/>
    </row>
    <row r="5252" spans="1:13" s="146" customFormat="1">
      <c r="A5252" s="193" t="s">
        <v>513</v>
      </c>
      <c r="B5252" s="210">
        <v>5</v>
      </c>
      <c r="C5252" s="191" t="str">
        <f>IF('IWP15'!E$420=0,"",'IWP15'!E$420)</f>
        <v>Unverified/Undocumented (Subtotal D - C)</v>
      </c>
      <c r="D5252" s="211">
        <f>'IWP15'!G$420</f>
        <v>0</v>
      </c>
      <c r="E5252" s="211">
        <f>'IWP15'!H$420</f>
        <v>0</v>
      </c>
      <c r="F5252" s="211">
        <f>'IWP15'!I$420</f>
        <v>0</v>
      </c>
      <c r="G5252" s="191" t="str">
        <f>IF('IWP15'!J$420=0,"",'IWP15'!J$420)</f>
        <v/>
      </c>
      <c r="H5252" s="211">
        <f>'IWP15'!K$420</f>
        <v>0</v>
      </c>
      <c r="I5252" s="211">
        <f>'IWP15'!L$420</f>
        <v>0</v>
      </c>
      <c r="J5252" s="212">
        <f>'IWP15'!M$420</f>
        <v>0</v>
      </c>
      <c r="K5252" s="106"/>
      <c r="L5252" s="106"/>
      <c r="M5252" s="129"/>
    </row>
    <row r="5253" spans="1:13" s="146" customFormat="1">
      <c r="A5253" s="193" t="s">
        <v>513</v>
      </c>
      <c r="B5253" s="210">
        <v>5</v>
      </c>
      <c r="C5253" s="191" t="str">
        <f>IF('IWP15'!E$421=0,"",'IWP15'!E$421)</f>
        <v>J. Billing Period Total</v>
      </c>
      <c r="D5253" s="211">
        <f>'IWP15'!G$421</f>
        <v>0</v>
      </c>
      <c r="E5253" s="211">
        <f>'IWP15'!H$421</f>
        <v>0</v>
      </c>
      <c r="F5253" s="211">
        <f>'IWP15'!I$421</f>
        <v>0</v>
      </c>
      <c r="G5253" s="191" t="str">
        <f>IF('IWP15'!J$421=0,"",'IWP15'!J$421)</f>
        <v/>
      </c>
      <c r="H5253" s="211">
        <f>'IWP15'!K$421</f>
        <v>0</v>
      </c>
      <c r="I5253" s="211">
        <f>'IWP15'!L$421</f>
        <v>0</v>
      </c>
      <c r="J5253" s="212">
        <f>'IWP15'!M$421</f>
        <v>0</v>
      </c>
      <c r="K5253" s="106"/>
      <c r="L5253" s="106"/>
      <c r="M5253" s="129"/>
    </row>
    <row r="5254" spans="1:13" s="146" customFormat="1">
      <c r="A5254" s="193" t="s">
        <v>513</v>
      </c>
      <c r="B5254" s="210">
        <v>5</v>
      </c>
      <c r="C5254" s="191" t="str">
        <f>IF('IWP15'!E$422=0,"",'IWP15'!E$422)</f>
        <v>D.</v>
      </c>
      <c r="D5254" s="211">
        <f>'IWP15'!G$422</f>
        <v>0</v>
      </c>
      <c r="E5254" s="211" t="str">
        <f>'IWP15'!H$422</f>
        <v>E.</v>
      </c>
      <c r="F5254" s="211" t="str">
        <f>'IWP15'!I$422</f>
        <v>F.</v>
      </c>
      <c r="G5254" s="191" t="str">
        <f>IF('IWP15'!J$422=0,"",'IWP15'!J$422)</f>
        <v>G.</v>
      </c>
      <c r="H5254" s="211">
        <f>'IWP15'!K$422</f>
        <v>0</v>
      </c>
      <c r="I5254" s="211" t="str">
        <f>'IWP15'!L$422</f>
        <v>H.</v>
      </c>
      <c r="J5254" s="212" t="str">
        <f>'IWP15'!M$422</f>
        <v>I.</v>
      </c>
      <c r="K5254" s="106"/>
      <c r="L5254" s="106"/>
      <c r="M5254" s="129"/>
    </row>
    <row r="5255" spans="1:13" s="146" customFormat="1">
      <c r="A5255" s="193" t="s">
        <v>513</v>
      </c>
      <c r="B5255" s="210">
        <v>5</v>
      </c>
      <c r="C5255" s="191" t="str">
        <f>IF('IWP15'!E$423=0,"",'IWP15'!E$423)</f>
        <v xml:space="preserve">Items/Services Related to Billing Period </v>
      </c>
      <c r="D5255" s="211">
        <f>'IWP15'!G$423</f>
        <v>0</v>
      </c>
      <c r="E5255" s="211" t="str">
        <f>'IWP15'!H$423</f>
        <v xml:space="preserve">Item/
Service Verified Amounts
</v>
      </c>
      <c r="F5255" s="211" t="str">
        <f>'IWP15'!I$423</f>
        <v>Amount Due to DADS (E. - D.)</v>
      </c>
      <c r="G5255" s="191" t="str">
        <f>IF('IWP15'!J$423=0,"",'IWP15'!J$423)</f>
        <v>Amount Reimbursed to 
Employee(s)/Employer</v>
      </c>
      <c r="H5255" s="211">
        <f>'IWP15'!K$423</f>
        <v>0</v>
      </c>
      <c r="I5255" s="211" t="str">
        <f>'IWP15'!L$423</f>
        <v>Amount Due to Employee(s) (G. - E.)</v>
      </c>
      <c r="J5255" s="212" t="str">
        <f>'IWP15'!M$423</f>
        <v>Amount Due to Employer (G. - E.)</v>
      </c>
      <c r="K5255" s="106"/>
      <c r="L5255" s="106"/>
      <c r="M5255" s="129"/>
    </row>
    <row r="5256" spans="1:13" s="146" customFormat="1">
      <c r="A5256" s="193" t="s">
        <v>513</v>
      </c>
      <c r="B5256" s="210">
        <v>5</v>
      </c>
      <c r="C5256" s="191" t="str">
        <f>IF('IWP15'!E$424=0,"",'IWP15'!E$424)</f>
        <v>Item/Service</v>
      </c>
      <c r="D5256" s="211" t="str">
        <f>'IWP15'!G$424</f>
        <v>Itemized Amount Paid by DADS</v>
      </c>
      <c r="E5256" s="211">
        <f>'IWP15'!H$424</f>
        <v>0</v>
      </c>
      <c r="F5256" s="211">
        <f>'IWP15'!I$424</f>
        <v>0</v>
      </c>
      <c r="G5256" s="191" t="str">
        <f>IF('IWP15'!J$424=0,"",'IWP15'!J$424)</f>
        <v/>
      </c>
      <c r="H5256" s="211">
        <f>'IWP15'!K$424</f>
        <v>0</v>
      </c>
      <c r="I5256" s="211">
        <f>'IWP15'!L$424</f>
        <v>0</v>
      </c>
      <c r="J5256" s="212">
        <f>'IWP15'!M$424</f>
        <v>0</v>
      </c>
      <c r="K5256" s="106"/>
      <c r="L5256" s="106"/>
      <c r="M5256" s="129"/>
    </row>
    <row r="5257" spans="1:13" s="146" customFormat="1">
      <c r="A5257" s="193" t="s">
        <v>513</v>
      </c>
      <c r="B5257" s="210">
        <v>5</v>
      </c>
      <c r="C5257" s="191" t="str">
        <f>IF('IWP15'!E$425=0,"",'IWP15'!E$425)</f>
        <v/>
      </c>
      <c r="D5257" s="211">
        <f>'IWP15'!G$425</f>
        <v>0</v>
      </c>
      <c r="E5257" s="211">
        <f>'IWP15'!H$425</f>
        <v>0</v>
      </c>
      <c r="F5257" s="211">
        <f>'IWP15'!I$425</f>
        <v>0</v>
      </c>
      <c r="G5257" s="191" t="str">
        <f>IF('IWP15'!J$425=0,"",'IWP15'!J$425)</f>
        <v/>
      </c>
      <c r="H5257" s="211">
        <f>'IWP15'!K$425</f>
        <v>0</v>
      </c>
      <c r="I5257" s="211">
        <f>'IWP15'!L$425</f>
        <v>0</v>
      </c>
      <c r="J5257" s="212">
        <f>'IWP15'!M$425</f>
        <v>0</v>
      </c>
      <c r="K5257" s="106"/>
      <c r="L5257" s="106"/>
      <c r="M5257" s="129"/>
    </row>
    <row r="5258" spans="1:13" s="146" customFormat="1">
      <c r="A5258" s="193" t="s">
        <v>513</v>
      </c>
      <c r="B5258" s="210">
        <v>5</v>
      </c>
      <c r="C5258" s="191" t="str">
        <f>IF('IWP15'!E$426=0,"",'IWP15'!E$426)</f>
        <v/>
      </c>
      <c r="D5258" s="211">
        <f>'IWP15'!G$426</f>
        <v>0</v>
      </c>
      <c r="E5258" s="211">
        <f>'IWP15'!H$426</f>
        <v>0</v>
      </c>
      <c r="F5258" s="211">
        <f>'IWP15'!I$426</f>
        <v>0</v>
      </c>
      <c r="G5258" s="191" t="str">
        <f>IF('IWP15'!J$426=0,"",'IWP15'!J$426)</f>
        <v/>
      </c>
      <c r="H5258" s="211">
        <f>'IWP15'!K$426</f>
        <v>0</v>
      </c>
      <c r="I5258" s="211">
        <f>'IWP15'!L$426</f>
        <v>0</v>
      </c>
      <c r="J5258" s="212">
        <f>'IWP15'!M$426</f>
        <v>0</v>
      </c>
      <c r="K5258" s="106"/>
      <c r="L5258" s="106"/>
      <c r="M5258" s="129"/>
    </row>
    <row r="5259" spans="1:13" s="146" customFormat="1">
      <c r="A5259" s="193" t="s">
        <v>513</v>
      </c>
      <c r="B5259" s="210">
        <v>5</v>
      </c>
      <c r="C5259" s="191" t="str">
        <f>IF('IWP15'!E$427=0,"",'IWP15'!E$427)</f>
        <v/>
      </c>
      <c r="D5259" s="211">
        <f>'IWP15'!G$427</f>
        <v>0</v>
      </c>
      <c r="E5259" s="211">
        <f>'IWP15'!H$427</f>
        <v>0</v>
      </c>
      <c r="F5259" s="211">
        <f>'IWP15'!I$427</f>
        <v>0</v>
      </c>
      <c r="G5259" s="191" t="str">
        <f>IF('IWP15'!J$427=0,"",'IWP15'!J$427)</f>
        <v/>
      </c>
      <c r="H5259" s="211">
        <f>'IWP15'!K$427</f>
        <v>0</v>
      </c>
      <c r="I5259" s="211">
        <f>'IWP15'!L$427</f>
        <v>0</v>
      </c>
      <c r="J5259" s="212">
        <f>'IWP15'!M$427</f>
        <v>0</v>
      </c>
      <c r="K5259" s="106"/>
      <c r="L5259" s="106"/>
      <c r="M5259" s="129"/>
    </row>
    <row r="5260" spans="1:13" s="146" customFormat="1">
      <c r="A5260" s="193" t="s">
        <v>513</v>
      </c>
      <c r="B5260" s="210">
        <v>5</v>
      </c>
      <c r="C5260" s="191" t="str">
        <f>IF('IWP15'!E$428=0,"",'IWP15'!E$428)</f>
        <v/>
      </c>
      <c r="D5260" s="211">
        <f>'IWP15'!G$428</f>
        <v>0</v>
      </c>
      <c r="E5260" s="211">
        <f>'IWP15'!H$428</f>
        <v>0</v>
      </c>
      <c r="F5260" s="211">
        <f>'IWP15'!I$428</f>
        <v>0</v>
      </c>
      <c r="G5260" s="191" t="str">
        <f>IF('IWP15'!J$428=0,"",'IWP15'!J$428)</f>
        <v/>
      </c>
      <c r="H5260" s="211">
        <f>'IWP15'!K$428</f>
        <v>0</v>
      </c>
      <c r="I5260" s="211">
        <f>'IWP15'!L$428</f>
        <v>0</v>
      </c>
      <c r="J5260" s="212">
        <f>'IWP15'!M$428</f>
        <v>0</v>
      </c>
      <c r="K5260" s="106"/>
      <c r="L5260" s="106"/>
      <c r="M5260" s="129"/>
    </row>
    <row r="5261" spans="1:13" s="146" customFormat="1">
      <c r="A5261" s="193" t="s">
        <v>513</v>
      </c>
      <c r="B5261" s="210">
        <v>6</v>
      </c>
      <c r="C5261" s="191" t="str">
        <f>IF('IWP15'!E$435=0,"",'IWP15'!E$435)</f>
        <v>Subtotal column D.</v>
      </c>
      <c r="D5261" s="211">
        <f>'IWP15'!G$435</f>
        <v>0</v>
      </c>
      <c r="E5261" s="211">
        <f>'IWP15'!H$435</f>
        <v>0</v>
      </c>
      <c r="F5261" s="211">
        <f>'IWP15'!I$435</f>
        <v>0</v>
      </c>
      <c r="G5261" s="191" t="str">
        <f>IF('IWP15'!J$435=0,"",'IWP15'!J$435)</f>
        <v/>
      </c>
      <c r="H5261" s="211">
        <f>'IWP15'!K$435</f>
        <v>0</v>
      </c>
      <c r="I5261" s="211">
        <f>'IWP15'!L$435</f>
        <v>0</v>
      </c>
      <c r="J5261" s="212">
        <f>'IWP15'!M$435</f>
        <v>0</v>
      </c>
      <c r="K5261" s="106"/>
      <c r="L5261" s="106"/>
      <c r="M5261" s="129"/>
    </row>
    <row r="5262" spans="1:13" s="146" customFormat="1">
      <c r="A5262" s="193" t="s">
        <v>513</v>
      </c>
      <c r="B5262" s="210">
        <v>6</v>
      </c>
      <c r="C5262" s="191" t="str">
        <f>IF('IWP15'!E$436=0,"",'IWP15'!E$436)</f>
        <v>Unverified/Undocumented (Subtotal D - C)</v>
      </c>
      <c r="D5262" s="211">
        <f>'IWP15'!G$436</f>
        <v>0</v>
      </c>
      <c r="E5262" s="211">
        <f>'IWP15'!H$436</f>
        <v>0</v>
      </c>
      <c r="F5262" s="211">
        <f>'IWP15'!I$436</f>
        <v>0</v>
      </c>
      <c r="G5262" s="191" t="str">
        <f>IF('IWP15'!J$436=0,"",'IWP15'!J$436)</f>
        <v/>
      </c>
      <c r="H5262" s="211">
        <f>'IWP15'!K$436</f>
        <v>0</v>
      </c>
      <c r="I5262" s="211">
        <f>'IWP15'!L$436</f>
        <v>0</v>
      </c>
      <c r="J5262" s="212">
        <f>'IWP15'!M$436</f>
        <v>0</v>
      </c>
      <c r="K5262" s="106"/>
      <c r="L5262" s="106"/>
      <c r="M5262" s="129"/>
    </row>
    <row r="5263" spans="1:13" s="146" customFormat="1">
      <c r="A5263" s="193" t="s">
        <v>513</v>
      </c>
      <c r="B5263" s="210">
        <v>6</v>
      </c>
      <c r="C5263" s="191" t="str">
        <f>IF('IWP15'!E$437=0,"",'IWP15'!E$437)</f>
        <v>J. Billing Period Total</v>
      </c>
      <c r="D5263" s="211">
        <f>'IWP15'!G$437</f>
        <v>0</v>
      </c>
      <c r="E5263" s="211">
        <f>'IWP15'!H$437</f>
        <v>0</v>
      </c>
      <c r="F5263" s="211">
        <f>'IWP15'!I$437</f>
        <v>0</v>
      </c>
      <c r="G5263" s="191" t="str">
        <f>IF('IWP15'!J$437=0,"",'IWP15'!J$437)</f>
        <v/>
      </c>
      <c r="H5263" s="211">
        <f>'IWP15'!K$437</f>
        <v>0</v>
      </c>
      <c r="I5263" s="211">
        <f>'IWP15'!L$437</f>
        <v>0</v>
      </c>
      <c r="J5263" s="212">
        <f>'IWP15'!M$437</f>
        <v>0</v>
      </c>
      <c r="K5263" s="106"/>
      <c r="L5263" s="106"/>
      <c r="M5263" s="129"/>
    </row>
    <row r="5264" spans="1:13" s="146" customFormat="1">
      <c r="A5264" s="193" t="s">
        <v>513</v>
      </c>
      <c r="B5264" s="210">
        <v>6</v>
      </c>
      <c r="C5264" s="191" t="str">
        <f>IF('IWP15'!E$438=0,"",'IWP15'!E$438)</f>
        <v>D.</v>
      </c>
      <c r="D5264" s="211">
        <f>'IWP15'!G$438</f>
        <v>0</v>
      </c>
      <c r="E5264" s="211" t="str">
        <f>'IWP15'!H$438</f>
        <v>E.</v>
      </c>
      <c r="F5264" s="211" t="str">
        <f>'IWP15'!I$438</f>
        <v>F.</v>
      </c>
      <c r="G5264" s="191" t="str">
        <f>IF('IWP15'!J$438=0,"",'IWP15'!J$438)</f>
        <v>G.</v>
      </c>
      <c r="H5264" s="211">
        <f>'IWP15'!K$438</f>
        <v>0</v>
      </c>
      <c r="I5264" s="211" t="str">
        <f>'IWP15'!L$438</f>
        <v>H.</v>
      </c>
      <c r="J5264" s="212" t="str">
        <f>'IWP15'!M$438</f>
        <v>I.</v>
      </c>
      <c r="K5264" s="106"/>
      <c r="L5264" s="106"/>
      <c r="M5264" s="129"/>
    </row>
    <row r="5265" spans="1:13" s="146" customFormat="1">
      <c r="A5265" s="193" t="s">
        <v>513</v>
      </c>
      <c r="B5265" s="210">
        <v>6</v>
      </c>
      <c r="C5265" s="191" t="str">
        <f>IF('IWP15'!E$439=0,"",'IWP15'!E$439)</f>
        <v xml:space="preserve">Items/Services Related to Billing Period </v>
      </c>
      <c r="D5265" s="211">
        <f>'IWP15'!G$439</f>
        <v>0</v>
      </c>
      <c r="E5265" s="211" t="str">
        <f>'IWP15'!H$439</f>
        <v xml:space="preserve">Item/
Service Verified Amounts
</v>
      </c>
      <c r="F5265" s="211" t="str">
        <f>'IWP15'!I$439</f>
        <v>Amount Due to DADS (E. - D.)</v>
      </c>
      <c r="G5265" s="191" t="str">
        <f>IF('IWP15'!J$439=0,"",'IWP15'!J$439)</f>
        <v>Amount Reimbursed to 
Employee(s)/Employer</v>
      </c>
      <c r="H5265" s="211">
        <f>'IWP15'!K$439</f>
        <v>0</v>
      </c>
      <c r="I5265" s="211" t="str">
        <f>'IWP15'!L$439</f>
        <v>Amount Due to Employee(s) (G. - E.)</v>
      </c>
      <c r="J5265" s="212" t="str">
        <f>'IWP15'!M$439</f>
        <v>Amount Due to Employer (G. - E.)</v>
      </c>
      <c r="K5265" s="106"/>
      <c r="L5265" s="106"/>
      <c r="M5265" s="129"/>
    </row>
    <row r="5266" spans="1:13" s="146" customFormat="1">
      <c r="A5266" s="193" t="s">
        <v>513</v>
      </c>
      <c r="B5266" s="210">
        <v>6</v>
      </c>
      <c r="C5266" s="191" t="str">
        <f>IF('IWP15'!E$440=0,"",'IWP15'!E$440)</f>
        <v>Item/Service</v>
      </c>
      <c r="D5266" s="211" t="str">
        <f>'IWP15'!G$440</f>
        <v>Itemized Amount Paid by DADS</v>
      </c>
      <c r="E5266" s="211">
        <f>'IWP15'!H$440</f>
        <v>0</v>
      </c>
      <c r="F5266" s="211">
        <f>'IWP15'!I$440</f>
        <v>0</v>
      </c>
      <c r="G5266" s="191" t="str">
        <f>IF('IWP15'!J$440=0,"",'IWP15'!J$440)</f>
        <v/>
      </c>
      <c r="H5266" s="211">
        <f>'IWP15'!K$440</f>
        <v>0</v>
      </c>
      <c r="I5266" s="211">
        <f>'IWP15'!L$440</f>
        <v>0</v>
      </c>
      <c r="J5266" s="212">
        <f>'IWP15'!M$440</f>
        <v>0</v>
      </c>
      <c r="K5266" s="106"/>
      <c r="L5266" s="106"/>
      <c r="M5266" s="129"/>
    </row>
    <row r="5267" spans="1:13" s="146" customFormat="1">
      <c r="A5267" s="193" t="s">
        <v>513</v>
      </c>
      <c r="B5267" s="210">
        <v>6</v>
      </c>
      <c r="C5267" s="191" t="str">
        <f>IF('IWP15'!E$441=0,"",'IWP15'!E$441)</f>
        <v/>
      </c>
      <c r="D5267" s="211">
        <f>'IWP15'!G$441</f>
        <v>0</v>
      </c>
      <c r="E5267" s="211">
        <f>'IWP15'!H$441</f>
        <v>0</v>
      </c>
      <c r="F5267" s="211">
        <f>'IWP15'!I$441</f>
        <v>0</v>
      </c>
      <c r="G5267" s="191" t="str">
        <f>IF('IWP15'!J$441=0,"",'IWP15'!J$441)</f>
        <v/>
      </c>
      <c r="H5267" s="211">
        <f>'IWP15'!K$441</f>
        <v>0</v>
      </c>
      <c r="I5267" s="211">
        <f>'IWP15'!L$441</f>
        <v>0</v>
      </c>
      <c r="J5267" s="212">
        <f>'IWP15'!M$441</f>
        <v>0</v>
      </c>
      <c r="K5267" s="106"/>
      <c r="L5267" s="106"/>
      <c r="M5267" s="129"/>
    </row>
    <row r="5268" spans="1:13" s="146" customFormat="1">
      <c r="A5268" s="193" t="s">
        <v>513</v>
      </c>
      <c r="B5268" s="210">
        <v>6</v>
      </c>
      <c r="C5268" s="191" t="str">
        <f>IF('IWP15'!E$442=0,"",'IWP15'!E$442)</f>
        <v/>
      </c>
      <c r="D5268" s="211">
        <f>'IWP15'!G$442</f>
        <v>0</v>
      </c>
      <c r="E5268" s="211">
        <f>'IWP15'!H$442</f>
        <v>0</v>
      </c>
      <c r="F5268" s="211">
        <f>'IWP15'!I$442</f>
        <v>0</v>
      </c>
      <c r="G5268" s="191" t="str">
        <f>IF('IWP15'!J$442=0,"",'IWP15'!J$442)</f>
        <v/>
      </c>
      <c r="H5268" s="211">
        <f>'IWP15'!K$442</f>
        <v>0</v>
      </c>
      <c r="I5268" s="211">
        <f>'IWP15'!L$442</f>
        <v>0</v>
      </c>
      <c r="J5268" s="212">
        <f>'IWP15'!M$442</f>
        <v>0</v>
      </c>
      <c r="K5268" s="106"/>
      <c r="L5268" s="106"/>
      <c r="M5268" s="129"/>
    </row>
    <row r="5269" spans="1:13" s="146" customFormat="1">
      <c r="A5269" s="193" t="s">
        <v>513</v>
      </c>
      <c r="B5269" s="210">
        <v>6</v>
      </c>
      <c r="C5269" s="191" t="str">
        <f>IF('IWP15'!E$443=0,"",'IWP15'!E$443)</f>
        <v/>
      </c>
      <c r="D5269" s="211">
        <f>'IWP15'!G$443</f>
        <v>0</v>
      </c>
      <c r="E5269" s="211">
        <f>'IWP15'!H$443</f>
        <v>0</v>
      </c>
      <c r="F5269" s="211">
        <f>'IWP15'!I$443</f>
        <v>0</v>
      </c>
      <c r="G5269" s="191" t="str">
        <f>IF('IWP15'!J$443=0,"",'IWP15'!J$443)</f>
        <v/>
      </c>
      <c r="H5269" s="211">
        <f>'IWP15'!K$443</f>
        <v>0</v>
      </c>
      <c r="I5269" s="211">
        <f>'IWP15'!L$443</f>
        <v>0</v>
      </c>
      <c r="J5269" s="212">
        <f>'IWP15'!M$443</f>
        <v>0</v>
      </c>
      <c r="K5269" s="106"/>
      <c r="L5269" s="106"/>
      <c r="M5269" s="129"/>
    </row>
    <row r="5270" spans="1:13" s="146" customFormat="1">
      <c r="A5270" s="193" t="s">
        <v>513</v>
      </c>
      <c r="B5270" s="210">
        <v>6</v>
      </c>
      <c r="C5270" s="191" t="str">
        <f>IF('IWP15'!E$444=0,"",'IWP15'!E$444)</f>
        <v/>
      </c>
      <c r="D5270" s="211">
        <f>'IWP15'!G$444</f>
        <v>0</v>
      </c>
      <c r="E5270" s="211">
        <f>'IWP15'!H$444</f>
        <v>0</v>
      </c>
      <c r="F5270" s="211">
        <f>'IWP15'!I$444</f>
        <v>0</v>
      </c>
      <c r="G5270" s="191" t="str">
        <f>IF('IWP15'!J$444=0,"",'IWP15'!J$444)</f>
        <v/>
      </c>
      <c r="H5270" s="211">
        <f>'IWP15'!K$444</f>
        <v>0</v>
      </c>
      <c r="I5270" s="211">
        <f>'IWP15'!L$444</f>
        <v>0</v>
      </c>
      <c r="J5270" s="212">
        <f>'IWP15'!M$444</f>
        <v>0</v>
      </c>
      <c r="K5270" s="106"/>
      <c r="L5270" s="106"/>
      <c r="M5270" s="129"/>
    </row>
    <row r="5271" spans="1:13" s="146" customFormat="1">
      <c r="A5271" s="193" t="s">
        <v>513</v>
      </c>
      <c r="B5271" s="210">
        <v>7</v>
      </c>
      <c r="C5271" s="191" t="str">
        <f>IF('IWP15'!E$451=0,"",'IWP15'!E$451)</f>
        <v>Subtotal column D.</v>
      </c>
      <c r="D5271" s="211">
        <f>'IWP15'!G$451</f>
        <v>0</v>
      </c>
      <c r="E5271" s="211">
        <f>'IWP15'!H$451</f>
        <v>0</v>
      </c>
      <c r="F5271" s="211">
        <f>'IWP15'!I$451</f>
        <v>0</v>
      </c>
      <c r="G5271" s="191" t="str">
        <f>IF('IWP15'!J$451=0,"",'IWP15'!J$451)</f>
        <v/>
      </c>
      <c r="H5271" s="211">
        <f>'IWP15'!K$451</f>
        <v>0</v>
      </c>
      <c r="I5271" s="211">
        <f>'IWP15'!L$451</f>
        <v>0</v>
      </c>
      <c r="J5271" s="212">
        <f>'IWP15'!M$451</f>
        <v>0</v>
      </c>
      <c r="K5271" s="106"/>
      <c r="L5271" s="106"/>
      <c r="M5271" s="129"/>
    </row>
    <row r="5272" spans="1:13" s="146" customFormat="1">
      <c r="A5272" s="193" t="s">
        <v>513</v>
      </c>
      <c r="B5272" s="210">
        <v>7</v>
      </c>
      <c r="C5272" s="191" t="str">
        <f>IF('IWP15'!E$452=0,"",'IWP15'!E$452)</f>
        <v>Unverified/Undocumented (Subtotal D - C)</v>
      </c>
      <c r="D5272" s="211">
        <f>'IWP15'!G$452</f>
        <v>0</v>
      </c>
      <c r="E5272" s="211">
        <f>'IWP15'!H$452</f>
        <v>0</v>
      </c>
      <c r="F5272" s="211">
        <f>'IWP15'!I$452</f>
        <v>0</v>
      </c>
      <c r="G5272" s="191" t="str">
        <f>IF('IWP15'!J$452=0,"",'IWP15'!J$452)</f>
        <v/>
      </c>
      <c r="H5272" s="211">
        <f>'IWP15'!K$452</f>
        <v>0</v>
      </c>
      <c r="I5272" s="211">
        <f>'IWP15'!L$452</f>
        <v>0</v>
      </c>
      <c r="J5272" s="212">
        <f>'IWP15'!M$452</f>
        <v>0</v>
      </c>
      <c r="K5272" s="106"/>
      <c r="L5272" s="106"/>
      <c r="M5272" s="129"/>
    </row>
    <row r="5273" spans="1:13" s="146" customFormat="1">
      <c r="A5273" s="193" t="s">
        <v>513</v>
      </c>
      <c r="B5273" s="210">
        <v>7</v>
      </c>
      <c r="C5273" s="191" t="str">
        <f>IF('IWP15'!E$453=0,"",'IWP15'!E$453)</f>
        <v>J. Billing Period Total</v>
      </c>
      <c r="D5273" s="211">
        <f>'IWP15'!G$453</f>
        <v>0</v>
      </c>
      <c r="E5273" s="211">
        <f>'IWP15'!H$453</f>
        <v>0</v>
      </c>
      <c r="F5273" s="211">
        <f>'IWP15'!I$453</f>
        <v>0</v>
      </c>
      <c r="G5273" s="191" t="str">
        <f>IF('IWP15'!J$453=0,"",'IWP15'!J$453)</f>
        <v/>
      </c>
      <c r="H5273" s="211">
        <f>'IWP15'!K$453</f>
        <v>0</v>
      </c>
      <c r="I5273" s="211">
        <f>'IWP15'!L$453</f>
        <v>0</v>
      </c>
      <c r="J5273" s="212">
        <f>'IWP15'!M$453</f>
        <v>0</v>
      </c>
      <c r="K5273" s="106"/>
      <c r="L5273" s="106"/>
      <c r="M5273" s="129"/>
    </row>
    <row r="5274" spans="1:13" s="146" customFormat="1">
      <c r="A5274" s="193" t="s">
        <v>513</v>
      </c>
      <c r="B5274" s="210">
        <v>7</v>
      </c>
      <c r="C5274" s="191" t="str">
        <f>IF('IWP15'!E$454=0,"",'IWP15'!E$454)</f>
        <v>D.</v>
      </c>
      <c r="D5274" s="211">
        <f>'IWP15'!G$454</f>
        <v>0</v>
      </c>
      <c r="E5274" s="211" t="str">
        <f>'IWP15'!H$454</f>
        <v>E.</v>
      </c>
      <c r="F5274" s="211" t="str">
        <f>'IWP15'!I$454</f>
        <v>F.</v>
      </c>
      <c r="G5274" s="191" t="str">
        <f>IF('IWP15'!J$454=0,"",'IWP15'!J$454)</f>
        <v>G.</v>
      </c>
      <c r="H5274" s="211">
        <f>'IWP15'!K$454</f>
        <v>0</v>
      </c>
      <c r="I5274" s="211" t="str">
        <f>'IWP15'!L$454</f>
        <v>H.</v>
      </c>
      <c r="J5274" s="212" t="str">
        <f>'IWP15'!M$454</f>
        <v>I.</v>
      </c>
      <c r="K5274" s="106"/>
      <c r="L5274" s="106"/>
      <c r="M5274" s="129"/>
    </row>
    <row r="5275" spans="1:13" s="146" customFormat="1">
      <c r="A5275" s="193" t="s">
        <v>513</v>
      </c>
      <c r="B5275" s="210">
        <v>7</v>
      </c>
      <c r="C5275" s="191" t="str">
        <f>IF('IWP15'!E$455=0,"",'IWP15'!E$455)</f>
        <v xml:space="preserve">Items/Services Related to Billing Period </v>
      </c>
      <c r="D5275" s="211">
        <f>'IWP15'!G$455</f>
        <v>0</v>
      </c>
      <c r="E5275" s="211" t="str">
        <f>'IWP15'!H$455</f>
        <v xml:space="preserve">Item/
Service Verified Amounts
</v>
      </c>
      <c r="F5275" s="211" t="str">
        <f>'IWP15'!I$455</f>
        <v>Amount Due to DADS (E. - D.)</v>
      </c>
      <c r="G5275" s="191" t="str">
        <f>IF('IWP15'!J$455=0,"",'IWP15'!J$455)</f>
        <v>Amount Reimbursed to 
Employee(s)/Employer</v>
      </c>
      <c r="H5275" s="211">
        <f>'IWP15'!K$455</f>
        <v>0</v>
      </c>
      <c r="I5275" s="211" t="str">
        <f>'IWP15'!L$455</f>
        <v>Amount Due to Employee(s) (G. - E.)</v>
      </c>
      <c r="J5275" s="212" t="str">
        <f>'IWP15'!M$455</f>
        <v>Amount Due to Employer (G. - E.)</v>
      </c>
      <c r="K5275" s="106"/>
      <c r="L5275" s="106"/>
      <c r="M5275" s="129"/>
    </row>
    <row r="5276" spans="1:13" s="146" customFormat="1">
      <c r="A5276" s="193" t="s">
        <v>513</v>
      </c>
      <c r="B5276" s="210">
        <v>7</v>
      </c>
      <c r="C5276" s="191" t="str">
        <f>IF('IWP15'!E$456=0,"",'IWP15'!E$456)</f>
        <v>Item/Service</v>
      </c>
      <c r="D5276" s="211" t="str">
        <f>'IWP15'!G$456</f>
        <v>Itemized Amount Paid by DADS</v>
      </c>
      <c r="E5276" s="211">
        <f>'IWP15'!H$456</f>
        <v>0</v>
      </c>
      <c r="F5276" s="211">
        <f>'IWP15'!I$456</f>
        <v>0</v>
      </c>
      <c r="G5276" s="191" t="str">
        <f>IF('IWP15'!J$456=0,"",'IWP15'!J$456)</f>
        <v/>
      </c>
      <c r="H5276" s="211">
        <f>'IWP15'!K$456</f>
        <v>0</v>
      </c>
      <c r="I5276" s="211">
        <f>'IWP15'!L$456</f>
        <v>0</v>
      </c>
      <c r="J5276" s="212">
        <f>'IWP15'!M$456</f>
        <v>0</v>
      </c>
      <c r="K5276" s="106"/>
      <c r="L5276" s="106"/>
      <c r="M5276" s="129"/>
    </row>
    <row r="5277" spans="1:13" s="146" customFormat="1">
      <c r="A5277" s="193" t="s">
        <v>513</v>
      </c>
      <c r="B5277" s="210">
        <v>7</v>
      </c>
      <c r="C5277" s="191" t="str">
        <f>IF('IWP15'!E$457=0,"",'IWP15'!E$457)</f>
        <v/>
      </c>
      <c r="D5277" s="211">
        <f>'IWP15'!G$457</f>
        <v>0</v>
      </c>
      <c r="E5277" s="211">
        <f>'IWP15'!H$457</f>
        <v>0</v>
      </c>
      <c r="F5277" s="211">
        <f>'IWP15'!I$457</f>
        <v>0</v>
      </c>
      <c r="G5277" s="191" t="str">
        <f>IF('IWP15'!J$457=0,"",'IWP15'!J$457)</f>
        <v/>
      </c>
      <c r="H5277" s="211">
        <f>'IWP15'!K$457</f>
        <v>0</v>
      </c>
      <c r="I5277" s="211">
        <f>'IWP15'!L$457</f>
        <v>0</v>
      </c>
      <c r="J5277" s="212">
        <f>'IWP15'!M$457</f>
        <v>0</v>
      </c>
      <c r="K5277" s="106"/>
      <c r="L5277" s="106"/>
      <c r="M5277" s="129"/>
    </row>
    <row r="5278" spans="1:13" s="146" customFormat="1">
      <c r="A5278" s="193" t="s">
        <v>513</v>
      </c>
      <c r="B5278" s="210">
        <v>7</v>
      </c>
      <c r="C5278" s="191" t="str">
        <f>IF('IWP15'!E$458=0,"",'IWP15'!E$458)</f>
        <v/>
      </c>
      <c r="D5278" s="211">
        <f>'IWP15'!G$458</f>
        <v>0</v>
      </c>
      <c r="E5278" s="211">
        <f>'IWP15'!H$458</f>
        <v>0</v>
      </c>
      <c r="F5278" s="211">
        <f>'IWP15'!I$458</f>
        <v>0</v>
      </c>
      <c r="G5278" s="191" t="str">
        <f>IF('IWP15'!J$458=0,"",'IWP15'!J$458)</f>
        <v/>
      </c>
      <c r="H5278" s="211">
        <f>'IWP15'!K$458</f>
        <v>0</v>
      </c>
      <c r="I5278" s="211">
        <f>'IWP15'!L$458</f>
        <v>0</v>
      </c>
      <c r="J5278" s="212">
        <f>'IWP15'!M$458</f>
        <v>0</v>
      </c>
      <c r="K5278" s="106"/>
      <c r="L5278" s="106"/>
      <c r="M5278" s="129"/>
    </row>
    <row r="5279" spans="1:13" s="146" customFormat="1">
      <c r="A5279" s="193" t="s">
        <v>513</v>
      </c>
      <c r="B5279" s="210">
        <v>7</v>
      </c>
      <c r="C5279" s="191" t="str">
        <f>IF('IWP15'!E$459=0,"",'IWP15'!E$459)</f>
        <v/>
      </c>
      <c r="D5279" s="211">
        <f>'IWP15'!G$459</f>
        <v>0</v>
      </c>
      <c r="E5279" s="211">
        <f>'IWP15'!H$459</f>
        <v>0</v>
      </c>
      <c r="F5279" s="211">
        <f>'IWP15'!I$459</f>
        <v>0</v>
      </c>
      <c r="G5279" s="191" t="str">
        <f>IF('IWP15'!J$459=0,"",'IWP15'!J$459)</f>
        <v/>
      </c>
      <c r="H5279" s="211">
        <f>'IWP15'!K$459</f>
        <v>0</v>
      </c>
      <c r="I5279" s="211">
        <f>'IWP15'!L$459</f>
        <v>0</v>
      </c>
      <c r="J5279" s="212">
        <f>'IWP15'!M$459</f>
        <v>0</v>
      </c>
      <c r="K5279" s="106"/>
      <c r="L5279" s="106"/>
      <c r="M5279" s="129"/>
    </row>
    <row r="5280" spans="1:13" s="146" customFormat="1">
      <c r="A5280" s="193" t="s">
        <v>513</v>
      </c>
      <c r="B5280" s="210">
        <v>7</v>
      </c>
      <c r="C5280" s="191" t="str">
        <f>IF('IWP15'!E$460=0,"",'IWP15'!E$460)</f>
        <v/>
      </c>
      <c r="D5280" s="211">
        <f>'IWP15'!G$460</f>
        <v>0</v>
      </c>
      <c r="E5280" s="211">
        <f>'IWP15'!H$460</f>
        <v>0</v>
      </c>
      <c r="F5280" s="211">
        <f>'IWP15'!I$460</f>
        <v>0</v>
      </c>
      <c r="G5280" s="191" t="str">
        <f>IF('IWP15'!J$460=0,"",'IWP15'!J$460)</f>
        <v/>
      </c>
      <c r="H5280" s="211">
        <f>'IWP15'!K$460</f>
        <v>0</v>
      </c>
      <c r="I5280" s="211">
        <f>'IWP15'!L$460</f>
        <v>0</v>
      </c>
      <c r="J5280" s="212">
        <f>'IWP15'!M$460</f>
        <v>0</v>
      </c>
      <c r="K5280" s="106"/>
      <c r="L5280" s="106"/>
      <c r="M5280" s="129"/>
    </row>
    <row r="5281" spans="1:13" s="146" customFormat="1">
      <c r="A5281" s="193" t="s">
        <v>513</v>
      </c>
      <c r="B5281" s="210">
        <v>8</v>
      </c>
      <c r="C5281" s="191" t="str">
        <f>IF('IWP15'!E$467=0,"",'IWP15'!E$467)</f>
        <v>Subtotal column D.</v>
      </c>
      <c r="D5281" s="211">
        <f>'IWP15'!G$467</f>
        <v>0</v>
      </c>
      <c r="E5281" s="211">
        <f>'IWP15'!H$467</f>
        <v>0</v>
      </c>
      <c r="F5281" s="211">
        <f>'IWP15'!I$467</f>
        <v>0</v>
      </c>
      <c r="G5281" s="191" t="str">
        <f>IF('IWP15'!J$467=0,"",'IWP15'!J$467)</f>
        <v/>
      </c>
      <c r="H5281" s="211">
        <f>'IWP15'!K$467</f>
        <v>0</v>
      </c>
      <c r="I5281" s="211">
        <f>'IWP15'!L$467</f>
        <v>0</v>
      </c>
      <c r="J5281" s="212">
        <f>'IWP15'!M$467</f>
        <v>0</v>
      </c>
      <c r="K5281" s="106"/>
      <c r="L5281" s="106"/>
      <c r="M5281" s="129"/>
    </row>
    <row r="5282" spans="1:13" s="146" customFormat="1">
      <c r="A5282" s="193" t="s">
        <v>513</v>
      </c>
      <c r="B5282" s="210">
        <v>8</v>
      </c>
      <c r="C5282" s="191" t="str">
        <f>IF('IWP15'!E$468=0,"",'IWP15'!E$468)</f>
        <v>Unverified/Undocumented (Subtotal D - C)</v>
      </c>
      <c r="D5282" s="211">
        <f>'IWP15'!G$468</f>
        <v>0</v>
      </c>
      <c r="E5282" s="211">
        <f>'IWP15'!H$468</f>
        <v>0</v>
      </c>
      <c r="F5282" s="211">
        <f>'IWP15'!I$468</f>
        <v>0</v>
      </c>
      <c r="G5282" s="191" t="str">
        <f>IF('IWP15'!J$468=0,"",'IWP15'!J$468)</f>
        <v/>
      </c>
      <c r="H5282" s="211">
        <f>'IWP15'!K$468</f>
        <v>0</v>
      </c>
      <c r="I5282" s="211">
        <f>'IWP15'!L$468</f>
        <v>0</v>
      </c>
      <c r="J5282" s="212">
        <f>'IWP15'!M$468</f>
        <v>0</v>
      </c>
      <c r="K5282" s="106"/>
      <c r="L5282" s="106"/>
      <c r="M5282" s="129"/>
    </row>
    <row r="5283" spans="1:13" s="146" customFormat="1">
      <c r="A5283" s="193" t="s">
        <v>513</v>
      </c>
      <c r="B5283" s="210">
        <v>8</v>
      </c>
      <c r="C5283" s="191" t="str">
        <f>IF('IWP15'!E$469=0,"",'IWP15'!E$469)</f>
        <v>J. Billing Period Total</v>
      </c>
      <c r="D5283" s="211">
        <f>'IWP15'!G$469</f>
        <v>0</v>
      </c>
      <c r="E5283" s="211">
        <f>'IWP15'!H$469</f>
        <v>0</v>
      </c>
      <c r="F5283" s="211">
        <f>'IWP15'!I$469</f>
        <v>0</v>
      </c>
      <c r="G5283" s="191" t="str">
        <f>IF('IWP15'!J$469=0,"",'IWP15'!J$469)</f>
        <v/>
      </c>
      <c r="H5283" s="211">
        <f>'IWP15'!K$469</f>
        <v>0</v>
      </c>
      <c r="I5283" s="211">
        <f>'IWP15'!L$469</f>
        <v>0</v>
      </c>
      <c r="J5283" s="212">
        <f>'IWP15'!M$469</f>
        <v>0</v>
      </c>
      <c r="K5283" s="106"/>
      <c r="L5283" s="106"/>
      <c r="M5283" s="129"/>
    </row>
    <row r="5284" spans="1:13" s="146" customFormat="1">
      <c r="A5284" s="193" t="s">
        <v>513</v>
      </c>
      <c r="B5284" s="210">
        <v>8</v>
      </c>
      <c r="C5284" s="191" t="str">
        <f>IF('IWP15'!E$470=0,"",'IWP15'!E$470)</f>
        <v>D.</v>
      </c>
      <c r="D5284" s="211">
        <f>'IWP15'!G$470</f>
        <v>0</v>
      </c>
      <c r="E5284" s="211" t="str">
        <f>'IWP15'!H$470</f>
        <v>E.</v>
      </c>
      <c r="F5284" s="211" t="str">
        <f>'IWP15'!I$470</f>
        <v>F.</v>
      </c>
      <c r="G5284" s="191" t="str">
        <f>IF('IWP15'!J$470=0,"",'IWP15'!J$470)</f>
        <v>G.</v>
      </c>
      <c r="H5284" s="211">
        <f>'IWP15'!K$470</f>
        <v>0</v>
      </c>
      <c r="I5284" s="211" t="str">
        <f>'IWP15'!L$470</f>
        <v>H.</v>
      </c>
      <c r="J5284" s="212" t="str">
        <f>'IWP15'!M$470</f>
        <v>I.</v>
      </c>
      <c r="K5284" s="106"/>
      <c r="L5284" s="106"/>
      <c r="M5284" s="129"/>
    </row>
    <row r="5285" spans="1:13" s="146" customFormat="1">
      <c r="A5285" s="193" t="s">
        <v>513</v>
      </c>
      <c r="B5285" s="210">
        <v>8</v>
      </c>
      <c r="C5285" s="191" t="str">
        <f>IF('IWP15'!E$471=0,"",'IWP15'!E$471)</f>
        <v xml:space="preserve">Items/Services Related to Billing Period </v>
      </c>
      <c r="D5285" s="211">
        <f>'IWP15'!G$471</f>
        <v>0</v>
      </c>
      <c r="E5285" s="211" t="str">
        <f>'IWP15'!H$471</f>
        <v xml:space="preserve">Item/
Service Verified Amounts
</v>
      </c>
      <c r="F5285" s="211" t="str">
        <f>'IWP15'!I$471</f>
        <v>Amount Due to DADS (E. - D.)</v>
      </c>
      <c r="G5285" s="191" t="str">
        <f>IF('IWP15'!J$471=0,"",'IWP15'!J$471)</f>
        <v>Amount Reimbursed to 
Employee(s)/Employer</v>
      </c>
      <c r="H5285" s="211">
        <f>'IWP15'!K$471</f>
        <v>0</v>
      </c>
      <c r="I5285" s="211" t="str">
        <f>'IWP15'!L$471</f>
        <v>Amount Due to Employee(s) (G. - E.)</v>
      </c>
      <c r="J5285" s="212" t="str">
        <f>'IWP15'!M$471</f>
        <v>Amount Due to Employer (G. - E.)</v>
      </c>
      <c r="K5285" s="106"/>
      <c r="L5285" s="106"/>
      <c r="M5285" s="129"/>
    </row>
    <row r="5286" spans="1:13" s="146" customFormat="1">
      <c r="A5286" s="193" t="s">
        <v>513</v>
      </c>
      <c r="B5286" s="210">
        <v>8</v>
      </c>
      <c r="C5286" s="191" t="str">
        <f>IF('IWP15'!E$472=0,"",'IWP15'!E$472)</f>
        <v>Item/Service</v>
      </c>
      <c r="D5286" s="211" t="str">
        <f>'IWP15'!G$472</f>
        <v>Itemized Amount Paid by DADS</v>
      </c>
      <c r="E5286" s="211">
        <f>'IWP15'!H$472</f>
        <v>0</v>
      </c>
      <c r="F5286" s="211">
        <f>'IWP15'!I$472</f>
        <v>0</v>
      </c>
      <c r="G5286" s="191" t="str">
        <f>IF('IWP15'!J$472=0,"",'IWP15'!J$472)</f>
        <v/>
      </c>
      <c r="H5286" s="211">
        <f>'IWP15'!K$472</f>
        <v>0</v>
      </c>
      <c r="I5286" s="211">
        <f>'IWP15'!L$472</f>
        <v>0</v>
      </c>
      <c r="J5286" s="212">
        <f>'IWP15'!M$472</f>
        <v>0</v>
      </c>
      <c r="K5286" s="106"/>
      <c r="L5286" s="106"/>
      <c r="M5286" s="129"/>
    </row>
    <row r="5287" spans="1:13" s="146" customFormat="1">
      <c r="A5287" s="193" t="s">
        <v>513</v>
      </c>
      <c r="B5287" s="210">
        <v>8</v>
      </c>
      <c r="C5287" s="191" t="str">
        <f>IF('IWP15'!E$473=0,"",'IWP15'!E$473)</f>
        <v/>
      </c>
      <c r="D5287" s="211">
        <f>'IWP15'!G$473</f>
        <v>0</v>
      </c>
      <c r="E5287" s="211">
        <f>'IWP15'!H$473</f>
        <v>0</v>
      </c>
      <c r="F5287" s="211">
        <f>'IWP15'!I$473</f>
        <v>0</v>
      </c>
      <c r="G5287" s="191" t="str">
        <f>IF('IWP15'!J$473=0,"",'IWP15'!J$473)</f>
        <v/>
      </c>
      <c r="H5287" s="211">
        <f>'IWP15'!K$473</f>
        <v>0</v>
      </c>
      <c r="I5287" s="211">
        <f>'IWP15'!L$473</f>
        <v>0</v>
      </c>
      <c r="J5287" s="212">
        <f>'IWP15'!M$473</f>
        <v>0</v>
      </c>
      <c r="K5287" s="106"/>
      <c r="L5287" s="106"/>
      <c r="M5287" s="129"/>
    </row>
    <row r="5288" spans="1:13" s="146" customFormat="1">
      <c r="A5288" s="193" t="s">
        <v>513</v>
      </c>
      <c r="B5288" s="210">
        <v>8</v>
      </c>
      <c r="C5288" s="191" t="str">
        <f>IF('IWP15'!E$474=0,"",'IWP15'!E$474)</f>
        <v/>
      </c>
      <c r="D5288" s="211">
        <f>'IWP15'!G$474</f>
        <v>0</v>
      </c>
      <c r="E5288" s="211">
        <f>'IWP15'!H$474</f>
        <v>0</v>
      </c>
      <c r="F5288" s="211">
        <f>'IWP15'!I$474</f>
        <v>0</v>
      </c>
      <c r="G5288" s="191" t="str">
        <f>IF('IWP15'!J$474=0,"",'IWP15'!J$474)</f>
        <v/>
      </c>
      <c r="H5288" s="211">
        <f>'IWP15'!K$474</f>
        <v>0</v>
      </c>
      <c r="I5288" s="211">
        <f>'IWP15'!L$474</f>
        <v>0</v>
      </c>
      <c r="J5288" s="212">
        <f>'IWP15'!M$474</f>
        <v>0</v>
      </c>
      <c r="K5288" s="106"/>
      <c r="L5288" s="106"/>
      <c r="M5288" s="129"/>
    </row>
    <row r="5289" spans="1:13" s="146" customFormat="1">
      <c r="A5289" s="193" t="s">
        <v>513</v>
      </c>
      <c r="B5289" s="210">
        <v>8</v>
      </c>
      <c r="C5289" s="191" t="str">
        <f>IF('IWP15'!E$475=0,"",'IWP15'!E$475)</f>
        <v/>
      </c>
      <c r="D5289" s="211">
        <f>'IWP15'!G$475</f>
        <v>0</v>
      </c>
      <c r="E5289" s="211">
        <f>'IWP15'!H$475</f>
        <v>0</v>
      </c>
      <c r="F5289" s="211">
        <f>'IWP15'!I$475</f>
        <v>0</v>
      </c>
      <c r="G5289" s="191" t="str">
        <f>IF('IWP15'!J$475=0,"",'IWP15'!J$475)</f>
        <v/>
      </c>
      <c r="H5289" s="211">
        <f>'IWP15'!K$475</f>
        <v>0</v>
      </c>
      <c r="I5289" s="211">
        <f>'IWP15'!L$475</f>
        <v>0</v>
      </c>
      <c r="J5289" s="212">
        <f>'IWP15'!M$475</f>
        <v>0</v>
      </c>
      <c r="K5289" s="106"/>
      <c r="L5289" s="106"/>
      <c r="M5289" s="129"/>
    </row>
    <row r="5290" spans="1:13" s="146" customFormat="1">
      <c r="A5290" s="193" t="s">
        <v>513</v>
      </c>
      <c r="B5290" s="210">
        <v>8</v>
      </c>
      <c r="C5290" s="191" t="str">
        <f>IF('IWP15'!E$476=0,"",'IWP15'!E$476)</f>
        <v/>
      </c>
      <c r="D5290" s="211">
        <f>'IWP15'!G$476</f>
        <v>0</v>
      </c>
      <c r="E5290" s="211">
        <f>'IWP15'!H$476</f>
        <v>0</v>
      </c>
      <c r="F5290" s="211">
        <f>'IWP15'!I$476</f>
        <v>0</v>
      </c>
      <c r="G5290" s="191" t="str">
        <f>IF('IWP15'!J$476=0,"",'IWP15'!J$476)</f>
        <v/>
      </c>
      <c r="H5290" s="211">
        <f>'IWP15'!K$476</f>
        <v>0</v>
      </c>
      <c r="I5290" s="211">
        <f>'IWP15'!L$476</f>
        <v>0</v>
      </c>
      <c r="J5290" s="212">
        <f>'IWP15'!M$476</f>
        <v>0</v>
      </c>
      <c r="K5290" s="106"/>
      <c r="L5290" s="106"/>
      <c r="M5290" s="129"/>
    </row>
    <row r="5291" spans="1:13" s="146" customFormat="1">
      <c r="A5291" s="193" t="s">
        <v>513</v>
      </c>
      <c r="B5291" s="210">
        <v>9</v>
      </c>
      <c r="C5291" s="191" t="str">
        <f>IF('IWP15'!E$483=0,"",'IWP15'!E$483)</f>
        <v>Subtotal column D.</v>
      </c>
      <c r="D5291" s="211">
        <f>'IWP15'!G$483</f>
        <v>0</v>
      </c>
      <c r="E5291" s="211">
        <f>'IWP15'!H$483</f>
        <v>0</v>
      </c>
      <c r="F5291" s="211">
        <f>'IWP15'!I$483</f>
        <v>0</v>
      </c>
      <c r="G5291" s="191" t="str">
        <f>IF('IWP15'!J$483=0,"",'IWP15'!J$483)</f>
        <v/>
      </c>
      <c r="H5291" s="211">
        <f>'IWP15'!K$483</f>
        <v>0</v>
      </c>
      <c r="I5291" s="211">
        <f>'IWP15'!L$483</f>
        <v>0</v>
      </c>
      <c r="J5291" s="212">
        <f>'IWP15'!M$483</f>
        <v>0</v>
      </c>
      <c r="K5291" s="106"/>
      <c r="L5291" s="106"/>
      <c r="M5291" s="129"/>
    </row>
    <row r="5292" spans="1:13" s="146" customFormat="1">
      <c r="A5292" s="193" t="s">
        <v>513</v>
      </c>
      <c r="B5292" s="210">
        <v>9</v>
      </c>
      <c r="C5292" s="191" t="str">
        <f>IF('IWP15'!E$484=0,"",'IWP15'!E$484)</f>
        <v>Unverified/Undocumented (Subtotal D - C)</v>
      </c>
      <c r="D5292" s="211">
        <f>'IWP15'!G$484</f>
        <v>0</v>
      </c>
      <c r="E5292" s="211">
        <f>'IWP15'!H$484</f>
        <v>0</v>
      </c>
      <c r="F5292" s="211">
        <f>'IWP15'!I$484</f>
        <v>0</v>
      </c>
      <c r="G5292" s="191" t="str">
        <f>IF('IWP15'!J$484=0,"",'IWP15'!J$484)</f>
        <v/>
      </c>
      <c r="H5292" s="211">
        <f>'IWP15'!K$484</f>
        <v>0</v>
      </c>
      <c r="I5292" s="211">
        <f>'IWP15'!L$484</f>
        <v>0</v>
      </c>
      <c r="J5292" s="212">
        <f>'IWP15'!M$484</f>
        <v>0</v>
      </c>
      <c r="K5292" s="106"/>
      <c r="L5292" s="106"/>
      <c r="M5292" s="129"/>
    </row>
    <row r="5293" spans="1:13" s="146" customFormat="1">
      <c r="A5293" s="193" t="s">
        <v>513</v>
      </c>
      <c r="B5293" s="210">
        <v>9</v>
      </c>
      <c r="C5293" s="191" t="str">
        <f>IF('IWP15'!E$485=0,"",'IWP15'!E$485)</f>
        <v>J. Billing Period Total</v>
      </c>
      <c r="D5293" s="211">
        <f>'IWP15'!G$485</f>
        <v>0</v>
      </c>
      <c r="E5293" s="211">
        <f>'IWP15'!H$485</f>
        <v>0</v>
      </c>
      <c r="F5293" s="211">
        <f>'IWP15'!I$485</f>
        <v>0</v>
      </c>
      <c r="G5293" s="191" t="str">
        <f>IF('IWP15'!J$485=0,"",'IWP15'!J$485)</f>
        <v/>
      </c>
      <c r="H5293" s="211">
        <f>'IWP15'!K$485</f>
        <v>0</v>
      </c>
      <c r="I5293" s="211">
        <f>'IWP15'!L$485</f>
        <v>0</v>
      </c>
      <c r="J5293" s="212">
        <f>'IWP15'!M$485</f>
        <v>0</v>
      </c>
      <c r="K5293" s="106"/>
      <c r="L5293" s="106"/>
      <c r="M5293" s="129"/>
    </row>
    <row r="5294" spans="1:13" s="146" customFormat="1">
      <c r="A5294" s="193" t="s">
        <v>513</v>
      </c>
      <c r="B5294" s="210">
        <v>9</v>
      </c>
      <c r="C5294" s="191" t="str">
        <f>IF('IWP15'!E$486=0,"",'IWP15'!E$486)</f>
        <v>D.</v>
      </c>
      <c r="D5294" s="211">
        <f>'IWP15'!G$486</f>
        <v>0</v>
      </c>
      <c r="E5294" s="211" t="str">
        <f>'IWP15'!H$486</f>
        <v>E.</v>
      </c>
      <c r="F5294" s="211" t="str">
        <f>'IWP15'!I$486</f>
        <v>F.</v>
      </c>
      <c r="G5294" s="191" t="str">
        <f>IF('IWP15'!J$486=0,"",'IWP15'!J$486)</f>
        <v>G.</v>
      </c>
      <c r="H5294" s="211">
        <f>'IWP15'!K$486</f>
        <v>0</v>
      </c>
      <c r="I5294" s="211" t="str">
        <f>'IWP15'!L$486</f>
        <v>H.</v>
      </c>
      <c r="J5294" s="212" t="str">
        <f>'IWP15'!M$486</f>
        <v>I.</v>
      </c>
      <c r="K5294" s="106"/>
      <c r="L5294" s="106"/>
      <c r="M5294" s="129"/>
    </row>
    <row r="5295" spans="1:13" s="146" customFormat="1">
      <c r="A5295" s="193" t="s">
        <v>513</v>
      </c>
      <c r="B5295" s="210">
        <v>9</v>
      </c>
      <c r="C5295" s="191" t="str">
        <f>IF('IWP15'!E$487=0,"",'IWP15'!E$487)</f>
        <v xml:space="preserve">Items/Services Related to Billing Period </v>
      </c>
      <c r="D5295" s="211">
        <f>'IWP15'!G$487</f>
        <v>0</v>
      </c>
      <c r="E5295" s="211" t="str">
        <f>'IWP15'!H$487</f>
        <v xml:space="preserve">Item/
Service Verified Amounts
</v>
      </c>
      <c r="F5295" s="211" t="str">
        <f>'IWP15'!I$487</f>
        <v>Amount Due to DADS (E. - D.)</v>
      </c>
      <c r="G5295" s="191" t="str">
        <f>IF('IWP15'!J$487=0,"",'IWP15'!J$487)</f>
        <v>Amount Reimbursed to 
Employee(s)/Employer</v>
      </c>
      <c r="H5295" s="211">
        <f>'IWP15'!K$487</f>
        <v>0</v>
      </c>
      <c r="I5295" s="211" t="str">
        <f>'IWP15'!L$487</f>
        <v>Amount Due to Employee(s) (G. - E.)</v>
      </c>
      <c r="J5295" s="212" t="str">
        <f>'IWP15'!M$487</f>
        <v>Amount Due to Employer (G. - E.)</v>
      </c>
      <c r="K5295" s="106"/>
      <c r="L5295" s="106"/>
      <c r="M5295" s="129"/>
    </row>
    <row r="5296" spans="1:13" s="146" customFormat="1">
      <c r="A5296" s="193" t="s">
        <v>513</v>
      </c>
      <c r="B5296" s="210">
        <v>9</v>
      </c>
      <c r="C5296" s="191" t="str">
        <f>IF('IWP15'!E$488=0,"",'IWP15'!E$488)</f>
        <v>Item/Service</v>
      </c>
      <c r="D5296" s="211" t="str">
        <f>'IWP15'!G$488</f>
        <v>Itemized Amount Paid by DADS</v>
      </c>
      <c r="E5296" s="211">
        <f>'IWP15'!H$488</f>
        <v>0</v>
      </c>
      <c r="F5296" s="211">
        <f>'IWP15'!I$488</f>
        <v>0</v>
      </c>
      <c r="G5296" s="191" t="str">
        <f>IF('IWP15'!J$488=0,"",'IWP15'!J$488)</f>
        <v/>
      </c>
      <c r="H5296" s="211">
        <f>'IWP15'!K$488</f>
        <v>0</v>
      </c>
      <c r="I5296" s="211">
        <f>'IWP15'!L$488</f>
        <v>0</v>
      </c>
      <c r="J5296" s="212">
        <f>'IWP15'!M$488</f>
        <v>0</v>
      </c>
      <c r="K5296" s="106"/>
      <c r="L5296" s="106"/>
      <c r="M5296" s="129"/>
    </row>
    <row r="5297" spans="1:13" s="146" customFormat="1">
      <c r="A5297" s="193" t="s">
        <v>513</v>
      </c>
      <c r="B5297" s="210">
        <v>9</v>
      </c>
      <c r="C5297" s="191" t="str">
        <f>IF('IWP15'!E$489=0,"",'IWP15'!E$489)</f>
        <v/>
      </c>
      <c r="D5297" s="211">
        <f>'IWP15'!G$489</f>
        <v>0</v>
      </c>
      <c r="E5297" s="211">
        <f>'IWP15'!H$489</f>
        <v>0</v>
      </c>
      <c r="F5297" s="211">
        <f>'IWP15'!I$489</f>
        <v>0</v>
      </c>
      <c r="G5297" s="191" t="str">
        <f>IF('IWP15'!J$489=0,"",'IWP15'!J$489)</f>
        <v/>
      </c>
      <c r="H5297" s="211">
        <f>'IWP15'!K$489</f>
        <v>0</v>
      </c>
      <c r="I5297" s="211">
        <f>'IWP15'!L$489</f>
        <v>0</v>
      </c>
      <c r="J5297" s="212">
        <f>'IWP15'!M$489</f>
        <v>0</v>
      </c>
      <c r="K5297" s="106"/>
      <c r="L5297" s="106"/>
      <c r="M5297" s="129"/>
    </row>
    <row r="5298" spans="1:13" s="146" customFormat="1">
      <c r="A5298" s="193" t="s">
        <v>513</v>
      </c>
      <c r="B5298" s="210">
        <v>9</v>
      </c>
      <c r="C5298" s="191" t="str">
        <f>IF('IWP15'!E$490=0,"",'IWP15'!E$490)</f>
        <v/>
      </c>
      <c r="D5298" s="211">
        <f>'IWP15'!G$490</f>
        <v>0</v>
      </c>
      <c r="E5298" s="211">
        <f>'IWP15'!H$490</f>
        <v>0</v>
      </c>
      <c r="F5298" s="211">
        <f>'IWP15'!I$490</f>
        <v>0</v>
      </c>
      <c r="G5298" s="191" t="str">
        <f>IF('IWP15'!J$490=0,"",'IWP15'!J$490)</f>
        <v/>
      </c>
      <c r="H5298" s="211">
        <f>'IWP15'!K$490</f>
        <v>0</v>
      </c>
      <c r="I5298" s="211">
        <f>'IWP15'!L$490</f>
        <v>0</v>
      </c>
      <c r="J5298" s="212">
        <f>'IWP15'!M$490</f>
        <v>0</v>
      </c>
      <c r="K5298" s="106"/>
      <c r="L5298" s="106"/>
      <c r="M5298" s="129"/>
    </row>
    <row r="5299" spans="1:13" s="146" customFormat="1">
      <c r="A5299" s="193" t="s">
        <v>513</v>
      </c>
      <c r="B5299" s="210">
        <v>9</v>
      </c>
      <c r="C5299" s="191" t="str">
        <f>IF('IWP15'!E$491=0,"",'IWP15'!E$491)</f>
        <v/>
      </c>
      <c r="D5299" s="211">
        <f>'IWP15'!G$491</f>
        <v>0</v>
      </c>
      <c r="E5299" s="211">
        <f>'IWP15'!H$491</f>
        <v>0</v>
      </c>
      <c r="F5299" s="211">
        <f>'IWP15'!I$491</f>
        <v>0</v>
      </c>
      <c r="G5299" s="191" t="str">
        <f>IF('IWP15'!J$491=0,"",'IWP15'!J$491)</f>
        <v/>
      </c>
      <c r="H5299" s="211">
        <f>'IWP15'!K$491</f>
        <v>0</v>
      </c>
      <c r="I5299" s="211">
        <f>'IWP15'!L$491</f>
        <v>0</v>
      </c>
      <c r="J5299" s="212">
        <f>'IWP15'!M$491</f>
        <v>0</v>
      </c>
      <c r="K5299" s="106"/>
      <c r="L5299" s="106"/>
      <c r="M5299" s="129"/>
    </row>
    <row r="5300" spans="1:13" s="146" customFormat="1">
      <c r="A5300" s="193" t="s">
        <v>513</v>
      </c>
      <c r="B5300" s="210">
        <v>9</v>
      </c>
      <c r="C5300" s="191" t="str">
        <f>IF('IWP15'!E$492=0,"",'IWP15'!E$492)</f>
        <v/>
      </c>
      <c r="D5300" s="211">
        <f>'IWP15'!G$492</f>
        <v>0</v>
      </c>
      <c r="E5300" s="211">
        <f>'IWP15'!H$492</f>
        <v>0</v>
      </c>
      <c r="F5300" s="211">
        <f>'IWP15'!I$492</f>
        <v>0</v>
      </c>
      <c r="G5300" s="191" t="str">
        <f>IF('IWP15'!J$492=0,"",'IWP15'!J$492)</f>
        <v/>
      </c>
      <c r="H5300" s="211">
        <f>'IWP15'!K$492</f>
        <v>0</v>
      </c>
      <c r="I5300" s="211">
        <f>'IWP15'!L$492</f>
        <v>0</v>
      </c>
      <c r="J5300" s="212">
        <f>'IWP15'!M$492</f>
        <v>0</v>
      </c>
      <c r="K5300" s="106"/>
      <c r="L5300" s="106"/>
      <c r="M5300" s="129"/>
    </row>
    <row r="5301" spans="1:13" s="146" customFormat="1">
      <c r="A5301" s="193" t="s">
        <v>513</v>
      </c>
      <c r="B5301" s="210">
        <v>10</v>
      </c>
      <c r="C5301" s="191" t="str">
        <f>IF('IWP15'!E$499=0,"",'IWP15'!E$499)</f>
        <v>Subtotal column D.</v>
      </c>
      <c r="D5301" s="211">
        <f>'IWP15'!G$499</f>
        <v>0</v>
      </c>
      <c r="E5301" s="211">
        <f>'IWP15'!H$499</f>
        <v>0</v>
      </c>
      <c r="F5301" s="211">
        <f>'IWP15'!I$499</f>
        <v>0</v>
      </c>
      <c r="G5301" s="191" t="str">
        <f>IF('IWP15'!J$499=0,"",'IWP15'!J$499)</f>
        <v/>
      </c>
      <c r="H5301" s="211">
        <f>'IWP15'!K$499</f>
        <v>0</v>
      </c>
      <c r="I5301" s="211">
        <f>'IWP15'!L$499</f>
        <v>0</v>
      </c>
      <c r="J5301" s="212">
        <f>'IWP15'!M$499</f>
        <v>0</v>
      </c>
      <c r="K5301" s="106"/>
      <c r="L5301" s="106"/>
      <c r="M5301" s="129"/>
    </row>
    <row r="5302" spans="1:13" s="146" customFormat="1">
      <c r="A5302" s="193" t="s">
        <v>513</v>
      </c>
      <c r="B5302" s="210">
        <v>10</v>
      </c>
      <c r="C5302" s="191" t="str">
        <f>IF('IWP15'!E$500=0,"",'IWP15'!E$500)</f>
        <v>Unverified/Undocumented (Subtotal D - C)</v>
      </c>
      <c r="D5302" s="211">
        <f>'IWP15'!G$500</f>
        <v>0</v>
      </c>
      <c r="E5302" s="211">
        <f>'IWP15'!H$500</f>
        <v>0</v>
      </c>
      <c r="F5302" s="211">
        <f>'IWP15'!I$500</f>
        <v>0</v>
      </c>
      <c r="G5302" s="191" t="str">
        <f>IF('IWP15'!J$500=0,"",'IWP15'!J$500)</f>
        <v/>
      </c>
      <c r="H5302" s="211">
        <f>'IWP15'!K$500</f>
        <v>0</v>
      </c>
      <c r="I5302" s="211">
        <f>'IWP15'!L$500</f>
        <v>0</v>
      </c>
      <c r="J5302" s="212">
        <f>'IWP15'!M$500</f>
        <v>0</v>
      </c>
      <c r="K5302" s="106"/>
      <c r="L5302" s="106"/>
      <c r="M5302" s="129"/>
    </row>
    <row r="5303" spans="1:13" s="146" customFormat="1">
      <c r="A5303" s="193" t="s">
        <v>513</v>
      </c>
      <c r="B5303" s="210">
        <v>10</v>
      </c>
      <c r="C5303" s="191" t="str">
        <f>IF('IWP15'!E$501=0,"",'IWP15'!E$501)</f>
        <v>J. Billing Period Total</v>
      </c>
      <c r="D5303" s="211">
        <f>'IWP15'!G$501</f>
        <v>0</v>
      </c>
      <c r="E5303" s="211">
        <f>'IWP15'!H$501</f>
        <v>0</v>
      </c>
      <c r="F5303" s="211">
        <f>'IWP15'!I$501</f>
        <v>0</v>
      </c>
      <c r="G5303" s="191" t="str">
        <f>IF('IWP15'!J$501=0,"",'IWP15'!J$501)</f>
        <v/>
      </c>
      <c r="H5303" s="211">
        <f>'IWP15'!K$501</f>
        <v>0</v>
      </c>
      <c r="I5303" s="211">
        <f>'IWP15'!L$501</f>
        <v>0</v>
      </c>
      <c r="J5303" s="212">
        <f>'IWP15'!M$501</f>
        <v>0</v>
      </c>
      <c r="K5303" s="106"/>
      <c r="L5303" s="106"/>
      <c r="M5303" s="129"/>
    </row>
    <row r="5304" spans="1:13" s="146" customFormat="1">
      <c r="A5304" s="193" t="s">
        <v>513</v>
      </c>
      <c r="B5304" s="210">
        <v>10</v>
      </c>
      <c r="C5304" s="191" t="str">
        <f>IF('IWP15'!E$502=0,"",'IWP15'!E$502)</f>
        <v>D.</v>
      </c>
      <c r="D5304" s="211">
        <f>'IWP15'!G$502</f>
        <v>0</v>
      </c>
      <c r="E5304" s="211" t="str">
        <f>'IWP15'!H$502</f>
        <v>E.</v>
      </c>
      <c r="F5304" s="211" t="str">
        <f>'IWP15'!I$502</f>
        <v>F.</v>
      </c>
      <c r="G5304" s="191" t="str">
        <f>IF('IWP15'!J$502=0,"",'IWP15'!J$502)</f>
        <v>G.</v>
      </c>
      <c r="H5304" s="211">
        <f>'IWP15'!K$502</f>
        <v>0</v>
      </c>
      <c r="I5304" s="211" t="str">
        <f>'IWP15'!L$502</f>
        <v>H.</v>
      </c>
      <c r="J5304" s="212" t="str">
        <f>'IWP15'!M$502</f>
        <v>I.</v>
      </c>
      <c r="K5304" s="106"/>
      <c r="L5304" s="106"/>
      <c r="M5304" s="129"/>
    </row>
    <row r="5305" spans="1:13" s="146" customFormat="1">
      <c r="A5305" s="193" t="s">
        <v>513</v>
      </c>
      <c r="B5305" s="210">
        <v>10</v>
      </c>
      <c r="C5305" s="191" t="str">
        <f>IF('IWP15'!E$503=0,"",'IWP15'!E$503)</f>
        <v xml:space="preserve">Items/Services Related to Billing Period </v>
      </c>
      <c r="D5305" s="211">
        <f>'IWP15'!G$503</f>
        <v>0</v>
      </c>
      <c r="E5305" s="211" t="str">
        <f>'IWP15'!H$503</f>
        <v xml:space="preserve">Item/
Service Verified Amounts
</v>
      </c>
      <c r="F5305" s="211" t="str">
        <f>'IWP15'!I$503</f>
        <v>Amount Due to DADS (E. - D.)</v>
      </c>
      <c r="G5305" s="191" t="str">
        <f>IF('IWP15'!J$503=0,"",'IWP15'!J$503)</f>
        <v>Amount Reimbursed to 
Employee(s)/Employer</v>
      </c>
      <c r="H5305" s="211">
        <f>'IWP15'!K$503</f>
        <v>0</v>
      </c>
      <c r="I5305" s="211" t="str">
        <f>'IWP15'!L$503</f>
        <v>Amount Due to Employee(s) (G. - E.)</v>
      </c>
      <c r="J5305" s="212" t="str">
        <f>'IWP15'!M$503</f>
        <v>Amount Due to Employer (G. - E.)</v>
      </c>
      <c r="K5305" s="106"/>
      <c r="L5305" s="106"/>
      <c r="M5305" s="129"/>
    </row>
    <row r="5306" spans="1:13" s="146" customFormat="1">
      <c r="A5306" s="193" t="s">
        <v>513</v>
      </c>
      <c r="B5306" s="210">
        <v>10</v>
      </c>
      <c r="C5306" s="191" t="str">
        <f>IF('IWP15'!E$504=0,"",'IWP15'!E$504)</f>
        <v>Item/Service</v>
      </c>
      <c r="D5306" s="211" t="str">
        <f>'IWP15'!G$504</f>
        <v>Itemized Amount Paid by DADS</v>
      </c>
      <c r="E5306" s="211">
        <f>'IWP15'!H$504</f>
        <v>0</v>
      </c>
      <c r="F5306" s="211">
        <f>'IWP15'!I$504</f>
        <v>0</v>
      </c>
      <c r="G5306" s="191" t="str">
        <f>IF('IWP15'!J$504=0,"",'IWP15'!J$504)</f>
        <v/>
      </c>
      <c r="H5306" s="211">
        <f>'IWP15'!K$504</f>
        <v>0</v>
      </c>
      <c r="I5306" s="211">
        <f>'IWP15'!L$504</f>
        <v>0</v>
      </c>
      <c r="J5306" s="212">
        <f>'IWP15'!M$504</f>
        <v>0</v>
      </c>
      <c r="K5306" s="106"/>
      <c r="L5306" s="106"/>
      <c r="M5306" s="129"/>
    </row>
    <row r="5307" spans="1:13" s="146" customFormat="1">
      <c r="A5307" s="193" t="s">
        <v>513</v>
      </c>
      <c r="B5307" s="210">
        <v>10</v>
      </c>
      <c r="C5307" s="191" t="str">
        <f>IF('IWP15'!E$505=0,"",'IWP15'!E$505)</f>
        <v/>
      </c>
      <c r="D5307" s="211">
        <f>'IWP15'!G$505</f>
        <v>0</v>
      </c>
      <c r="E5307" s="211">
        <f>'IWP15'!H$505</f>
        <v>0</v>
      </c>
      <c r="F5307" s="211">
        <f>'IWP15'!I$505</f>
        <v>0</v>
      </c>
      <c r="G5307" s="191" t="str">
        <f>IF('IWP15'!J$505=0,"",'IWP15'!J$505)</f>
        <v/>
      </c>
      <c r="H5307" s="211">
        <f>'IWP15'!K$505</f>
        <v>0</v>
      </c>
      <c r="I5307" s="211">
        <f>'IWP15'!L$505</f>
        <v>0</v>
      </c>
      <c r="J5307" s="212">
        <f>'IWP15'!M$505</f>
        <v>0</v>
      </c>
      <c r="K5307" s="106"/>
      <c r="L5307" s="106"/>
      <c r="M5307" s="129"/>
    </row>
    <row r="5308" spans="1:13" s="146" customFormat="1">
      <c r="A5308" s="193" t="s">
        <v>513</v>
      </c>
      <c r="B5308" s="210">
        <v>10</v>
      </c>
      <c r="C5308" s="191" t="str">
        <f>IF('IWP15'!E$506=0,"",'IWP15'!E$506)</f>
        <v/>
      </c>
      <c r="D5308" s="211">
        <f>'IWP15'!G$506</f>
        <v>0</v>
      </c>
      <c r="E5308" s="211">
        <f>'IWP15'!H$506</f>
        <v>0</v>
      </c>
      <c r="F5308" s="211">
        <f>'IWP15'!I$506</f>
        <v>0</v>
      </c>
      <c r="G5308" s="191" t="str">
        <f>IF('IWP15'!J$506=0,"",'IWP15'!J$506)</f>
        <v/>
      </c>
      <c r="H5308" s="211">
        <f>'IWP15'!K$506</f>
        <v>0</v>
      </c>
      <c r="I5308" s="211">
        <f>'IWP15'!L$506</f>
        <v>0</v>
      </c>
      <c r="J5308" s="212">
        <f>'IWP15'!M$506</f>
        <v>0</v>
      </c>
      <c r="K5308" s="106"/>
      <c r="L5308" s="106"/>
      <c r="M5308" s="129"/>
    </row>
    <row r="5309" spans="1:13" s="146" customFormat="1">
      <c r="A5309" s="193" t="s">
        <v>513</v>
      </c>
      <c r="B5309" s="210">
        <v>10</v>
      </c>
      <c r="C5309" s="191" t="str">
        <f>IF('IWP15'!E$507=0,"",'IWP15'!E$507)</f>
        <v/>
      </c>
      <c r="D5309" s="211">
        <f>'IWP15'!G$507</f>
        <v>0</v>
      </c>
      <c r="E5309" s="211">
        <f>'IWP15'!H$507</f>
        <v>0</v>
      </c>
      <c r="F5309" s="211">
        <f>'IWP15'!I$507</f>
        <v>0</v>
      </c>
      <c r="G5309" s="191" t="str">
        <f>IF('IWP15'!J$507=0,"",'IWP15'!J$507)</f>
        <v/>
      </c>
      <c r="H5309" s="211">
        <f>'IWP15'!K$507</f>
        <v>0</v>
      </c>
      <c r="I5309" s="211">
        <f>'IWP15'!L$507</f>
        <v>0</v>
      </c>
      <c r="J5309" s="212">
        <f>'IWP15'!M$507</f>
        <v>0</v>
      </c>
      <c r="K5309" s="106"/>
      <c r="L5309" s="106"/>
      <c r="M5309" s="129"/>
    </row>
    <row r="5310" spans="1:13" s="146" customFormat="1">
      <c r="A5310" s="193" t="s">
        <v>513</v>
      </c>
      <c r="B5310" s="210">
        <v>10</v>
      </c>
      <c r="C5310" s="191" t="str">
        <f>IF('IWP15'!E$508=0,"",'IWP15'!E$508)</f>
        <v/>
      </c>
      <c r="D5310" s="211">
        <f>'IWP15'!G$508</f>
        <v>0</v>
      </c>
      <c r="E5310" s="211">
        <f>'IWP15'!H$508</f>
        <v>0</v>
      </c>
      <c r="F5310" s="211">
        <f>'IWP15'!I$508</f>
        <v>0</v>
      </c>
      <c r="G5310" s="191" t="str">
        <f>IF('IWP15'!J$508=0,"",'IWP15'!J$508)</f>
        <v/>
      </c>
      <c r="H5310" s="211">
        <f>'IWP15'!K$508</f>
        <v>0</v>
      </c>
      <c r="I5310" s="211">
        <f>'IWP15'!L$508</f>
        <v>0</v>
      </c>
      <c r="J5310" s="212">
        <f>'IWP15'!M$508</f>
        <v>0</v>
      </c>
      <c r="K5310" s="106"/>
      <c r="L5310" s="106"/>
      <c r="M5310" s="129"/>
    </row>
    <row r="5311" spans="1:13" s="146" customFormat="1">
      <c r="A5311" s="193" t="s">
        <v>513</v>
      </c>
      <c r="B5311" s="210">
        <v>11</v>
      </c>
      <c r="C5311" s="191" t="str">
        <f>IF('IWP15'!E$515=0,"",'IWP15'!E$515)</f>
        <v>Subtotal column D.</v>
      </c>
      <c r="D5311" s="211">
        <f>'IWP15'!G$515</f>
        <v>0</v>
      </c>
      <c r="E5311" s="211">
        <f>'IWP15'!H$515</f>
        <v>0</v>
      </c>
      <c r="F5311" s="211">
        <f>'IWP15'!I$515</f>
        <v>0</v>
      </c>
      <c r="G5311" s="191" t="str">
        <f>IF('IWP15'!J$515=0,"",'IWP15'!J$515)</f>
        <v/>
      </c>
      <c r="H5311" s="211">
        <f>'IWP15'!K$515</f>
        <v>0</v>
      </c>
      <c r="I5311" s="211">
        <f>'IWP15'!L$515</f>
        <v>0</v>
      </c>
      <c r="J5311" s="212">
        <f>'IWP15'!M$515</f>
        <v>0</v>
      </c>
      <c r="K5311" s="106"/>
      <c r="L5311" s="106"/>
      <c r="M5311" s="129"/>
    </row>
    <row r="5312" spans="1:13" s="146" customFormat="1">
      <c r="A5312" s="193" t="s">
        <v>513</v>
      </c>
      <c r="B5312" s="210">
        <v>11</v>
      </c>
      <c r="C5312" s="191" t="str">
        <f>IF('IWP15'!E$516=0,"",'IWP15'!E$516)</f>
        <v>Unverified/Undocumented (Subtotal D - C)</v>
      </c>
      <c r="D5312" s="211">
        <f>'IWP15'!G$516</f>
        <v>0</v>
      </c>
      <c r="E5312" s="211">
        <f>'IWP15'!H$516</f>
        <v>0</v>
      </c>
      <c r="F5312" s="211">
        <f>'IWP15'!I$516</f>
        <v>0</v>
      </c>
      <c r="G5312" s="191" t="str">
        <f>IF('IWP15'!J$516=0,"",'IWP15'!J$516)</f>
        <v/>
      </c>
      <c r="H5312" s="211">
        <f>'IWP15'!K$516</f>
        <v>0</v>
      </c>
      <c r="I5312" s="211">
        <f>'IWP15'!L$516</f>
        <v>0</v>
      </c>
      <c r="J5312" s="212">
        <f>'IWP15'!M$516</f>
        <v>0</v>
      </c>
      <c r="K5312" s="106"/>
      <c r="L5312" s="106"/>
      <c r="M5312" s="129"/>
    </row>
    <row r="5313" spans="1:13" s="146" customFormat="1">
      <c r="A5313" s="193" t="s">
        <v>513</v>
      </c>
      <c r="B5313" s="210">
        <v>11</v>
      </c>
      <c r="C5313" s="191" t="str">
        <f>IF('IWP15'!E$517=0,"",'IWP15'!E$517)</f>
        <v>J. Billing Period Total</v>
      </c>
      <c r="D5313" s="211">
        <f>'IWP15'!G$517</f>
        <v>0</v>
      </c>
      <c r="E5313" s="211">
        <f>'IWP15'!H$517</f>
        <v>0</v>
      </c>
      <c r="F5313" s="211">
        <f>'IWP15'!I$517</f>
        <v>0</v>
      </c>
      <c r="G5313" s="191" t="str">
        <f>IF('IWP15'!J$517=0,"",'IWP15'!J$517)</f>
        <v/>
      </c>
      <c r="H5313" s="211">
        <f>'IWP15'!K$517</f>
        <v>0</v>
      </c>
      <c r="I5313" s="211">
        <f>'IWP15'!L$517</f>
        <v>0</v>
      </c>
      <c r="J5313" s="212">
        <f>'IWP15'!M$517</f>
        <v>0</v>
      </c>
      <c r="K5313" s="106"/>
      <c r="L5313" s="106"/>
      <c r="M5313" s="129"/>
    </row>
    <row r="5314" spans="1:13" s="146" customFormat="1">
      <c r="A5314" s="193" t="s">
        <v>513</v>
      </c>
      <c r="B5314" s="210">
        <v>11</v>
      </c>
      <c r="C5314" s="191" t="str">
        <f>IF('IWP15'!E$518=0,"",'IWP15'!E$518)</f>
        <v>D.</v>
      </c>
      <c r="D5314" s="211">
        <f>'IWP15'!G$518</f>
        <v>0</v>
      </c>
      <c r="E5314" s="211" t="str">
        <f>'IWP15'!H$518</f>
        <v>E.</v>
      </c>
      <c r="F5314" s="211" t="str">
        <f>'IWP15'!I$518</f>
        <v>F.</v>
      </c>
      <c r="G5314" s="191" t="str">
        <f>IF('IWP15'!J$518=0,"",'IWP15'!J$518)</f>
        <v>G.</v>
      </c>
      <c r="H5314" s="211">
        <f>'IWP15'!K$518</f>
        <v>0</v>
      </c>
      <c r="I5314" s="211" t="str">
        <f>'IWP15'!L$518</f>
        <v>H.</v>
      </c>
      <c r="J5314" s="212" t="str">
        <f>'IWP15'!M$518</f>
        <v>I.</v>
      </c>
      <c r="K5314" s="106"/>
      <c r="L5314" s="106"/>
      <c r="M5314" s="129"/>
    </row>
    <row r="5315" spans="1:13" s="146" customFormat="1">
      <c r="A5315" s="193" t="s">
        <v>513</v>
      </c>
      <c r="B5315" s="210">
        <v>11</v>
      </c>
      <c r="C5315" s="191" t="str">
        <f>IF('IWP15'!E$519=0,"",'IWP15'!E$519)</f>
        <v xml:space="preserve">Items/Services Related to Billing Period </v>
      </c>
      <c r="D5315" s="211">
        <f>'IWP15'!G$519</f>
        <v>0</v>
      </c>
      <c r="E5315" s="211" t="str">
        <f>'IWP15'!H$519</f>
        <v xml:space="preserve">Item/
Service Verified Amounts
</v>
      </c>
      <c r="F5315" s="211" t="str">
        <f>'IWP15'!I$519</f>
        <v>Amount Due to DADS (E. - D.)</v>
      </c>
      <c r="G5315" s="191" t="str">
        <f>IF('IWP15'!J$519=0,"",'IWP15'!J$519)</f>
        <v>Amount Reimbursed to 
Employee(s)/Employer</v>
      </c>
      <c r="H5315" s="211">
        <f>'IWP15'!K$519</f>
        <v>0</v>
      </c>
      <c r="I5315" s="211" t="str">
        <f>'IWP15'!L$519</f>
        <v>Amount Due to Employee(s) (G. - E.)</v>
      </c>
      <c r="J5315" s="212" t="str">
        <f>'IWP15'!M$519</f>
        <v>Amount Due to Employer (G. - E.)</v>
      </c>
      <c r="K5315" s="106"/>
      <c r="L5315" s="106"/>
      <c r="M5315" s="129"/>
    </row>
    <row r="5316" spans="1:13" s="146" customFormat="1">
      <c r="A5316" s="193" t="s">
        <v>513</v>
      </c>
      <c r="B5316" s="210">
        <v>11</v>
      </c>
      <c r="C5316" s="191" t="str">
        <f>IF('IWP15'!E$520=0,"",'IWP15'!E$520)</f>
        <v>Item/Service</v>
      </c>
      <c r="D5316" s="211" t="str">
        <f>'IWP15'!G$520</f>
        <v>Itemized Amount Paid by DADS</v>
      </c>
      <c r="E5316" s="211">
        <f>'IWP15'!H$520</f>
        <v>0</v>
      </c>
      <c r="F5316" s="211">
        <f>'IWP15'!I$520</f>
        <v>0</v>
      </c>
      <c r="G5316" s="191" t="str">
        <f>IF('IWP15'!J$520=0,"",'IWP15'!J$520)</f>
        <v/>
      </c>
      <c r="H5316" s="211">
        <f>'IWP15'!K$520</f>
        <v>0</v>
      </c>
      <c r="I5316" s="211">
        <f>'IWP15'!L$520</f>
        <v>0</v>
      </c>
      <c r="J5316" s="212">
        <f>'IWP15'!M$520</f>
        <v>0</v>
      </c>
      <c r="K5316" s="106"/>
      <c r="L5316" s="106"/>
      <c r="M5316" s="129"/>
    </row>
    <row r="5317" spans="1:13" s="146" customFormat="1">
      <c r="A5317" s="193" t="s">
        <v>513</v>
      </c>
      <c r="B5317" s="210">
        <v>11</v>
      </c>
      <c r="C5317" s="191" t="str">
        <f>IF('IWP15'!E$521=0,"",'IWP15'!E$521)</f>
        <v/>
      </c>
      <c r="D5317" s="211">
        <f>'IWP15'!G$521</f>
        <v>0</v>
      </c>
      <c r="E5317" s="211">
        <f>'IWP15'!H$521</f>
        <v>0</v>
      </c>
      <c r="F5317" s="211">
        <f>'IWP15'!I$521</f>
        <v>0</v>
      </c>
      <c r="G5317" s="191" t="str">
        <f>IF('IWP15'!J$521=0,"",'IWP15'!J$521)</f>
        <v/>
      </c>
      <c r="H5317" s="211">
        <f>'IWP15'!K$521</f>
        <v>0</v>
      </c>
      <c r="I5317" s="211">
        <f>'IWP15'!L$521</f>
        <v>0</v>
      </c>
      <c r="J5317" s="212">
        <f>'IWP15'!M$521</f>
        <v>0</v>
      </c>
      <c r="K5317" s="106"/>
      <c r="L5317" s="106"/>
      <c r="M5317" s="129"/>
    </row>
    <row r="5318" spans="1:13" s="146" customFormat="1">
      <c r="A5318" s="193" t="s">
        <v>513</v>
      </c>
      <c r="B5318" s="210">
        <v>11</v>
      </c>
      <c r="C5318" s="191" t="str">
        <f>IF('IWP15'!E$522=0,"",'IWP15'!E$522)</f>
        <v/>
      </c>
      <c r="D5318" s="211">
        <f>'IWP15'!G$522</f>
        <v>0</v>
      </c>
      <c r="E5318" s="211">
        <f>'IWP15'!H$522</f>
        <v>0</v>
      </c>
      <c r="F5318" s="211">
        <f>'IWP15'!I$522</f>
        <v>0</v>
      </c>
      <c r="G5318" s="191" t="str">
        <f>IF('IWP15'!J$522=0,"",'IWP15'!J$522)</f>
        <v/>
      </c>
      <c r="H5318" s="211">
        <f>'IWP15'!K$522</f>
        <v>0</v>
      </c>
      <c r="I5318" s="211">
        <f>'IWP15'!L$522</f>
        <v>0</v>
      </c>
      <c r="J5318" s="212">
        <f>'IWP15'!M$522</f>
        <v>0</v>
      </c>
      <c r="K5318" s="106"/>
      <c r="L5318" s="106"/>
      <c r="M5318" s="129"/>
    </row>
    <row r="5319" spans="1:13" s="146" customFormat="1">
      <c r="A5319" s="193" t="s">
        <v>513</v>
      </c>
      <c r="B5319" s="210">
        <v>11</v>
      </c>
      <c r="C5319" s="191" t="str">
        <f>IF('IWP15'!E$523=0,"",'IWP15'!E$523)</f>
        <v/>
      </c>
      <c r="D5319" s="211">
        <f>'IWP15'!G$523</f>
        <v>0</v>
      </c>
      <c r="E5319" s="211">
        <f>'IWP15'!H$523</f>
        <v>0</v>
      </c>
      <c r="F5319" s="211">
        <f>'IWP15'!I$523</f>
        <v>0</v>
      </c>
      <c r="G5319" s="191" t="str">
        <f>IF('IWP15'!J$523=0,"",'IWP15'!J$523)</f>
        <v/>
      </c>
      <c r="H5319" s="211">
        <f>'IWP15'!K$523</f>
        <v>0</v>
      </c>
      <c r="I5319" s="211">
        <f>'IWP15'!L$523</f>
        <v>0</v>
      </c>
      <c r="J5319" s="212">
        <f>'IWP15'!M$523</f>
        <v>0</v>
      </c>
      <c r="K5319" s="106"/>
      <c r="L5319" s="106"/>
      <c r="M5319" s="129"/>
    </row>
    <row r="5320" spans="1:13" s="146" customFormat="1">
      <c r="A5320" s="193" t="s">
        <v>513</v>
      </c>
      <c r="B5320" s="210">
        <v>11</v>
      </c>
      <c r="C5320" s="191" t="str">
        <f>IF('IWP15'!E$524=0,"",'IWP15'!E$524)</f>
        <v/>
      </c>
      <c r="D5320" s="211">
        <f>'IWP15'!G$524</f>
        <v>0</v>
      </c>
      <c r="E5320" s="211">
        <f>'IWP15'!H$524</f>
        <v>0</v>
      </c>
      <c r="F5320" s="211">
        <f>'IWP15'!I$524</f>
        <v>0</v>
      </c>
      <c r="G5320" s="191" t="str">
        <f>IF('IWP15'!J$524=0,"",'IWP15'!J$524)</f>
        <v/>
      </c>
      <c r="H5320" s="211">
        <f>'IWP15'!K$524</f>
        <v>0</v>
      </c>
      <c r="I5320" s="211">
        <f>'IWP15'!L$524</f>
        <v>0</v>
      </c>
      <c r="J5320" s="212">
        <f>'IWP15'!M$524</f>
        <v>0</v>
      </c>
      <c r="K5320" s="106"/>
      <c r="L5320" s="106"/>
      <c r="M5320" s="129"/>
    </row>
    <row r="5321" spans="1:13" s="146" customFormat="1">
      <c r="A5321" s="193" t="s">
        <v>513</v>
      </c>
      <c r="B5321" s="210">
        <v>12</v>
      </c>
      <c r="C5321" s="191" t="str">
        <f>IF('IWP15'!E$531=0,"",'IWP15'!E$531)</f>
        <v>Subtotal column D.</v>
      </c>
      <c r="D5321" s="211">
        <f>'IWP15'!G$531</f>
        <v>0</v>
      </c>
      <c r="E5321" s="211">
        <f>'IWP15'!H$531</f>
        <v>0</v>
      </c>
      <c r="F5321" s="211">
        <f>'IWP15'!I$531</f>
        <v>0</v>
      </c>
      <c r="G5321" s="191" t="str">
        <f>IF('IWP15'!J$531=0,"",'IWP15'!J$531)</f>
        <v/>
      </c>
      <c r="H5321" s="211">
        <f>'IWP15'!K$531</f>
        <v>0</v>
      </c>
      <c r="I5321" s="211">
        <f>'IWP15'!L$531</f>
        <v>0</v>
      </c>
      <c r="J5321" s="212">
        <f>'IWP15'!M$531</f>
        <v>0</v>
      </c>
      <c r="K5321" s="106"/>
      <c r="L5321" s="106"/>
      <c r="M5321" s="129"/>
    </row>
    <row r="5322" spans="1:13" s="146" customFormat="1">
      <c r="A5322" s="193" t="s">
        <v>513</v>
      </c>
      <c r="B5322" s="210">
        <v>12</v>
      </c>
      <c r="C5322" s="191" t="str">
        <f>IF('IWP15'!E$532=0,"",'IWP15'!E$532)</f>
        <v>Unverified/Undocumented (Subtotal D - C)</v>
      </c>
      <c r="D5322" s="211">
        <f>'IWP15'!G$532</f>
        <v>0</v>
      </c>
      <c r="E5322" s="211">
        <f>'IWP15'!H$532</f>
        <v>0</v>
      </c>
      <c r="F5322" s="211">
        <f>'IWP15'!I$532</f>
        <v>0</v>
      </c>
      <c r="G5322" s="191" t="str">
        <f>IF('IWP15'!J$532=0,"",'IWP15'!J$532)</f>
        <v/>
      </c>
      <c r="H5322" s="211">
        <f>'IWP15'!K$532</f>
        <v>0</v>
      </c>
      <c r="I5322" s="211">
        <f>'IWP15'!L$532</f>
        <v>0</v>
      </c>
      <c r="J5322" s="212">
        <f>'IWP15'!M$532</f>
        <v>0</v>
      </c>
      <c r="K5322" s="106"/>
      <c r="L5322" s="106"/>
      <c r="M5322" s="129"/>
    </row>
    <row r="5323" spans="1:13" s="146" customFormat="1">
      <c r="A5323" s="193" t="s">
        <v>513</v>
      </c>
      <c r="B5323" s="210">
        <v>12</v>
      </c>
      <c r="C5323" s="191" t="str">
        <f>IF('IWP15'!E$533=0,"",'IWP15'!E$533)</f>
        <v>J. Billing Period Total</v>
      </c>
      <c r="D5323" s="211">
        <f>'IWP15'!G$533</f>
        <v>0</v>
      </c>
      <c r="E5323" s="211">
        <f>'IWP15'!H$533</f>
        <v>0</v>
      </c>
      <c r="F5323" s="211">
        <f>'IWP15'!I$533</f>
        <v>0</v>
      </c>
      <c r="G5323" s="191" t="str">
        <f>IF('IWP15'!J$533=0,"",'IWP15'!J$533)</f>
        <v/>
      </c>
      <c r="H5323" s="211">
        <f>'IWP15'!K$533</f>
        <v>0</v>
      </c>
      <c r="I5323" s="211">
        <f>'IWP15'!L$533</f>
        <v>0</v>
      </c>
      <c r="J5323" s="212">
        <f>'IWP15'!M$533</f>
        <v>0</v>
      </c>
      <c r="K5323" s="106"/>
      <c r="L5323" s="106"/>
      <c r="M5323" s="129"/>
    </row>
    <row r="5324" spans="1:13" s="146" customFormat="1">
      <c r="A5324" s="193" t="s">
        <v>513</v>
      </c>
      <c r="B5324" s="210">
        <v>12</v>
      </c>
      <c r="C5324" s="191" t="str">
        <f>IF('IWP15'!E$534=0,"",'IWP15'!E$534)</f>
        <v>D.</v>
      </c>
      <c r="D5324" s="211">
        <f>'IWP15'!G$534</f>
        <v>0</v>
      </c>
      <c r="E5324" s="211" t="str">
        <f>'IWP15'!H$534</f>
        <v>E.</v>
      </c>
      <c r="F5324" s="211" t="str">
        <f>'IWP15'!I$534</f>
        <v>F.</v>
      </c>
      <c r="G5324" s="191" t="str">
        <f>IF('IWP15'!J$534=0,"",'IWP15'!J$534)</f>
        <v>G.</v>
      </c>
      <c r="H5324" s="211">
        <f>'IWP15'!K$534</f>
        <v>0</v>
      </c>
      <c r="I5324" s="211" t="str">
        <f>'IWP15'!L$534</f>
        <v>H.</v>
      </c>
      <c r="J5324" s="212" t="str">
        <f>'IWP15'!M$534</f>
        <v>I.</v>
      </c>
      <c r="K5324" s="106"/>
      <c r="L5324" s="106"/>
      <c r="M5324" s="129"/>
    </row>
    <row r="5325" spans="1:13" s="146" customFormat="1">
      <c r="A5325" s="193" t="s">
        <v>513</v>
      </c>
      <c r="B5325" s="210">
        <v>12</v>
      </c>
      <c r="C5325" s="191" t="str">
        <f>IF('IWP15'!E$535=0,"",'IWP15'!E$535)</f>
        <v xml:space="preserve">Items/Services Related to Billing Period </v>
      </c>
      <c r="D5325" s="211">
        <f>'IWP15'!G$535</f>
        <v>0</v>
      </c>
      <c r="E5325" s="211" t="str">
        <f>'IWP15'!H$535</f>
        <v xml:space="preserve">Item/
Service Verified Amounts
</v>
      </c>
      <c r="F5325" s="211" t="str">
        <f>'IWP15'!I$535</f>
        <v>Amount Due to DADS (E. - D.)</v>
      </c>
      <c r="G5325" s="191" t="str">
        <f>IF('IWP15'!J$535=0,"",'IWP15'!J$535)</f>
        <v>Amount Reimbursed to 
Employee(s)/Employer</v>
      </c>
      <c r="H5325" s="211">
        <f>'IWP15'!K$535</f>
        <v>0</v>
      </c>
      <c r="I5325" s="211" t="str">
        <f>'IWP15'!L$535</f>
        <v>Amount Due to Employee(s) (G. - E.)</v>
      </c>
      <c r="J5325" s="212" t="str">
        <f>'IWP15'!M$535</f>
        <v>Amount Due to Employer (G. - E.)</v>
      </c>
      <c r="K5325" s="106"/>
      <c r="L5325" s="106"/>
      <c r="M5325" s="129"/>
    </row>
    <row r="5326" spans="1:13" s="146" customFormat="1">
      <c r="A5326" s="193" t="s">
        <v>513</v>
      </c>
      <c r="B5326" s="210">
        <v>12</v>
      </c>
      <c r="C5326" s="191" t="str">
        <f>IF('IWP15'!E$536=0,"",'IWP15'!E$536)</f>
        <v>Item/Service</v>
      </c>
      <c r="D5326" s="211" t="str">
        <f>'IWP15'!G$536</f>
        <v>Itemized Amount Paid by DADS</v>
      </c>
      <c r="E5326" s="211">
        <f>'IWP15'!H$536</f>
        <v>0</v>
      </c>
      <c r="F5326" s="211">
        <f>'IWP15'!I$536</f>
        <v>0</v>
      </c>
      <c r="G5326" s="191" t="str">
        <f>IF('IWP15'!J$536=0,"",'IWP15'!J$536)</f>
        <v/>
      </c>
      <c r="H5326" s="211">
        <f>'IWP15'!K$536</f>
        <v>0</v>
      </c>
      <c r="I5326" s="211">
        <f>'IWP15'!L$536</f>
        <v>0</v>
      </c>
      <c r="J5326" s="212">
        <f>'IWP15'!M$536</f>
        <v>0</v>
      </c>
      <c r="K5326" s="106"/>
      <c r="L5326" s="106"/>
      <c r="M5326" s="129"/>
    </row>
    <row r="5327" spans="1:13" s="146" customFormat="1">
      <c r="A5327" s="193" t="s">
        <v>513</v>
      </c>
      <c r="B5327" s="210">
        <v>12</v>
      </c>
      <c r="C5327" s="191" t="str">
        <f>IF('IWP15'!E$537=0,"",'IWP15'!E$537)</f>
        <v/>
      </c>
      <c r="D5327" s="211">
        <f>'IWP15'!G$537</f>
        <v>0</v>
      </c>
      <c r="E5327" s="211">
        <f>'IWP15'!H$537</f>
        <v>0</v>
      </c>
      <c r="F5327" s="211">
        <f>'IWP15'!I$537</f>
        <v>0</v>
      </c>
      <c r="G5327" s="191" t="str">
        <f>IF('IWP15'!J$537=0,"",'IWP15'!J$537)</f>
        <v/>
      </c>
      <c r="H5327" s="211">
        <f>'IWP15'!K$537</f>
        <v>0</v>
      </c>
      <c r="I5327" s="211">
        <f>'IWP15'!L$537</f>
        <v>0</v>
      </c>
      <c r="J5327" s="212">
        <f>'IWP15'!M$537</f>
        <v>0</v>
      </c>
      <c r="K5327" s="106"/>
      <c r="L5327" s="106"/>
      <c r="M5327" s="129"/>
    </row>
    <row r="5328" spans="1:13" s="146" customFormat="1">
      <c r="A5328" s="193" t="s">
        <v>513</v>
      </c>
      <c r="B5328" s="210">
        <v>12</v>
      </c>
      <c r="C5328" s="191" t="str">
        <f>IF('IWP15'!E$538=0,"",'IWP15'!E$538)</f>
        <v/>
      </c>
      <c r="D5328" s="211">
        <f>'IWP15'!G$538</f>
        <v>0</v>
      </c>
      <c r="E5328" s="211">
        <f>'IWP15'!H$538</f>
        <v>0</v>
      </c>
      <c r="F5328" s="211">
        <f>'IWP15'!I$538</f>
        <v>0</v>
      </c>
      <c r="G5328" s="191" t="str">
        <f>IF('IWP15'!J$538=0,"",'IWP15'!J$538)</f>
        <v/>
      </c>
      <c r="H5328" s="211">
        <f>'IWP15'!K$538</f>
        <v>0</v>
      </c>
      <c r="I5328" s="211">
        <f>'IWP15'!L$538</f>
        <v>0</v>
      </c>
      <c r="J5328" s="212">
        <f>'IWP15'!M$538</f>
        <v>0</v>
      </c>
      <c r="K5328" s="106"/>
      <c r="L5328" s="106"/>
      <c r="M5328" s="129"/>
    </row>
    <row r="5329" spans="1:13" s="146" customFormat="1">
      <c r="A5329" s="193" t="s">
        <v>513</v>
      </c>
      <c r="B5329" s="210">
        <v>12</v>
      </c>
      <c r="C5329" s="191" t="str">
        <f>IF('IWP15'!E$539=0,"",'IWP15'!E$539)</f>
        <v/>
      </c>
      <c r="D5329" s="211">
        <f>'IWP15'!G$539</f>
        <v>0</v>
      </c>
      <c r="E5329" s="211">
        <f>'IWP15'!H$539</f>
        <v>0</v>
      </c>
      <c r="F5329" s="211">
        <f>'IWP15'!I$539</f>
        <v>0</v>
      </c>
      <c r="G5329" s="191" t="str">
        <f>IF('IWP15'!J$539=0,"",'IWP15'!J$539)</f>
        <v/>
      </c>
      <c r="H5329" s="211">
        <f>'IWP15'!K$539</f>
        <v>0</v>
      </c>
      <c r="I5329" s="211">
        <f>'IWP15'!L$539</f>
        <v>0</v>
      </c>
      <c r="J5329" s="212">
        <f>'IWP15'!M$539</f>
        <v>0</v>
      </c>
      <c r="K5329" s="106"/>
      <c r="L5329" s="106"/>
      <c r="M5329" s="129"/>
    </row>
    <row r="5330" spans="1:13" s="146" customFormat="1">
      <c r="A5330" s="193" t="s">
        <v>513</v>
      </c>
      <c r="B5330" s="210">
        <v>12</v>
      </c>
      <c r="C5330" s="191" t="str">
        <f>IF('IWP15'!E$540=0,"",'IWP15'!E$540)</f>
        <v/>
      </c>
      <c r="D5330" s="211">
        <f>'IWP15'!G$540</f>
        <v>0</v>
      </c>
      <c r="E5330" s="211">
        <f>'IWP15'!H$540</f>
        <v>0</v>
      </c>
      <c r="F5330" s="211">
        <f>'IWP15'!I$540</f>
        <v>0</v>
      </c>
      <c r="G5330" s="191" t="str">
        <f>IF('IWP15'!J$540=0,"",'IWP15'!J$540)</f>
        <v/>
      </c>
      <c r="H5330" s="211">
        <f>'IWP15'!K$540</f>
        <v>0</v>
      </c>
      <c r="I5330" s="211">
        <f>'IWP15'!L$540</f>
        <v>0</v>
      </c>
      <c r="J5330" s="212">
        <f>'IWP15'!M$540</f>
        <v>0</v>
      </c>
      <c r="K5330" s="106"/>
      <c r="L5330" s="106"/>
      <c r="M5330" s="129"/>
    </row>
    <row r="5331" spans="1:13" s="146" customFormat="1">
      <c r="A5331" s="193" t="s">
        <v>513</v>
      </c>
      <c r="B5331" s="210">
        <v>13</v>
      </c>
      <c r="C5331" s="191" t="str">
        <f>IF('IWP15'!E$547=0,"",'IWP15'!E$547)</f>
        <v>Subtotal column D.</v>
      </c>
      <c r="D5331" s="211">
        <f>'IWP15'!G$547</f>
        <v>0</v>
      </c>
      <c r="E5331" s="211">
        <f>'IWP15'!H$547</f>
        <v>0</v>
      </c>
      <c r="F5331" s="211">
        <f>'IWP15'!I$547</f>
        <v>0</v>
      </c>
      <c r="G5331" s="191" t="str">
        <f>IF('IWP15'!J$547=0,"",'IWP15'!J$547)</f>
        <v/>
      </c>
      <c r="H5331" s="211">
        <f>'IWP15'!K$547</f>
        <v>0</v>
      </c>
      <c r="I5331" s="211">
        <f>'IWP15'!L$547</f>
        <v>0</v>
      </c>
      <c r="J5331" s="212">
        <f>'IWP15'!M$547</f>
        <v>0</v>
      </c>
      <c r="K5331" s="106"/>
      <c r="L5331" s="106"/>
      <c r="M5331" s="129"/>
    </row>
    <row r="5332" spans="1:13" s="146" customFormat="1">
      <c r="A5332" s="193" t="s">
        <v>513</v>
      </c>
      <c r="B5332" s="210">
        <v>13</v>
      </c>
      <c r="C5332" s="191" t="str">
        <f>IF('IWP15'!E$548=0,"",'IWP15'!E$548)</f>
        <v>Unverified/Undocumented (Subtotal D - C)</v>
      </c>
      <c r="D5332" s="211">
        <f>'IWP15'!G$548</f>
        <v>0</v>
      </c>
      <c r="E5332" s="211">
        <f>'IWP15'!H$548</f>
        <v>0</v>
      </c>
      <c r="F5332" s="211">
        <f>'IWP15'!I$548</f>
        <v>0</v>
      </c>
      <c r="G5332" s="191" t="str">
        <f>IF('IWP15'!J$548=0,"",'IWP15'!J$548)</f>
        <v/>
      </c>
      <c r="H5332" s="211">
        <f>'IWP15'!K$548</f>
        <v>0</v>
      </c>
      <c r="I5332" s="211">
        <f>'IWP15'!L$548</f>
        <v>0</v>
      </c>
      <c r="J5332" s="212">
        <f>'IWP15'!M$548</f>
        <v>0</v>
      </c>
      <c r="K5332" s="106"/>
      <c r="L5332" s="106"/>
      <c r="M5332" s="129"/>
    </row>
    <row r="5333" spans="1:13" s="146" customFormat="1">
      <c r="A5333" s="193" t="s">
        <v>513</v>
      </c>
      <c r="B5333" s="210">
        <v>13</v>
      </c>
      <c r="C5333" s="191" t="str">
        <f>IF('IWP15'!E$549=0,"",'IWP15'!E$549)</f>
        <v>J. Billing Period Total</v>
      </c>
      <c r="D5333" s="211">
        <f>'IWP15'!G$549</f>
        <v>0</v>
      </c>
      <c r="E5333" s="211">
        <f>'IWP15'!H$549</f>
        <v>0</v>
      </c>
      <c r="F5333" s="211">
        <f>'IWP15'!I$549</f>
        <v>0</v>
      </c>
      <c r="G5333" s="191" t="str">
        <f>IF('IWP15'!J$549=0,"",'IWP15'!J$549)</f>
        <v/>
      </c>
      <c r="H5333" s="211">
        <f>'IWP15'!K$549</f>
        <v>0</v>
      </c>
      <c r="I5333" s="211">
        <f>'IWP15'!L$549</f>
        <v>0</v>
      </c>
      <c r="J5333" s="212">
        <f>'IWP15'!M$549</f>
        <v>0</v>
      </c>
      <c r="K5333" s="106"/>
      <c r="L5333" s="106"/>
      <c r="M5333" s="129"/>
    </row>
    <row r="5334" spans="1:13" s="146" customFormat="1">
      <c r="A5334" s="193" t="s">
        <v>513</v>
      </c>
      <c r="B5334" s="210">
        <v>13</v>
      </c>
      <c r="C5334" s="191" t="str">
        <f>IF('IWP15'!E$550=0,"",'IWP15'!E$550)</f>
        <v>D.</v>
      </c>
      <c r="D5334" s="211">
        <f>'IWP15'!G$550</f>
        <v>0</v>
      </c>
      <c r="E5334" s="211" t="str">
        <f>'IWP15'!H$550</f>
        <v>E.</v>
      </c>
      <c r="F5334" s="211" t="str">
        <f>'IWP15'!I$550</f>
        <v>F.</v>
      </c>
      <c r="G5334" s="191" t="str">
        <f>IF('IWP15'!J$550=0,"",'IWP15'!J$550)</f>
        <v>G.</v>
      </c>
      <c r="H5334" s="211">
        <f>'IWP15'!K$550</f>
        <v>0</v>
      </c>
      <c r="I5334" s="211" t="str">
        <f>'IWP15'!L$550</f>
        <v>H.</v>
      </c>
      <c r="J5334" s="212" t="str">
        <f>'IWP15'!M$550</f>
        <v>I.</v>
      </c>
      <c r="K5334" s="106"/>
      <c r="L5334" s="106"/>
      <c r="M5334" s="129"/>
    </row>
    <row r="5335" spans="1:13" s="146" customFormat="1">
      <c r="A5335" s="193" t="s">
        <v>513</v>
      </c>
      <c r="B5335" s="210">
        <v>13</v>
      </c>
      <c r="C5335" s="191" t="str">
        <f>IF('IWP15'!E$551=0,"",'IWP15'!E$551)</f>
        <v xml:space="preserve">Items/Services Related to Billing Period </v>
      </c>
      <c r="D5335" s="211">
        <f>'IWP15'!G$551</f>
        <v>0</v>
      </c>
      <c r="E5335" s="211" t="str">
        <f>'IWP15'!H$551</f>
        <v xml:space="preserve">Item/
Service Verified Amounts
</v>
      </c>
      <c r="F5335" s="211" t="str">
        <f>'IWP15'!I$551</f>
        <v>Amount Due to DADS (E. - D.)</v>
      </c>
      <c r="G5335" s="191" t="str">
        <f>IF('IWP15'!J$551=0,"",'IWP15'!J$551)</f>
        <v>Amount Reimbursed to 
Employee(s)/Employer</v>
      </c>
      <c r="H5335" s="211">
        <f>'IWP15'!K$551</f>
        <v>0</v>
      </c>
      <c r="I5335" s="211" t="str">
        <f>'IWP15'!L$551</f>
        <v>Amount Due to Employee(s) (G. - E.)</v>
      </c>
      <c r="J5335" s="212" t="str">
        <f>'IWP15'!M$551</f>
        <v>Amount Due to Employer (G. - E.)</v>
      </c>
      <c r="K5335" s="106"/>
      <c r="L5335" s="106"/>
      <c r="M5335" s="129"/>
    </row>
    <row r="5336" spans="1:13" s="146" customFormat="1">
      <c r="A5336" s="193" t="s">
        <v>513</v>
      </c>
      <c r="B5336" s="210">
        <v>13</v>
      </c>
      <c r="C5336" s="191" t="str">
        <f>IF('IWP15'!E$552=0,"",'IWP15'!E$552)</f>
        <v>Item/Service</v>
      </c>
      <c r="D5336" s="211" t="str">
        <f>'IWP15'!G$552</f>
        <v>Itemized Amount Paid by DADS</v>
      </c>
      <c r="E5336" s="211">
        <f>'IWP15'!H$552</f>
        <v>0</v>
      </c>
      <c r="F5336" s="211">
        <f>'IWP15'!I$552</f>
        <v>0</v>
      </c>
      <c r="G5336" s="191" t="str">
        <f>IF('IWP15'!J$552=0,"",'IWP15'!J$552)</f>
        <v/>
      </c>
      <c r="H5336" s="211">
        <f>'IWP15'!K$552</f>
        <v>0</v>
      </c>
      <c r="I5336" s="211">
        <f>'IWP15'!L$552</f>
        <v>0</v>
      </c>
      <c r="J5336" s="212">
        <f>'IWP15'!M$552</f>
        <v>0</v>
      </c>
      <c r="K5336" s="106"/>
      <c r="L5336" s="106"/>
      <c r="M5336" s="129"/>
    </row>
    <row r="5337" spans="1:13" s="146" customFormat="1">
      <c r="A5337" s="193" t="s">
        <v>513</v>
      </c>
      <c r="B5337" s="210">
        <v>13</v>
      </c>
      <c r="C5337" s="191" t="str">
        <f>IF('IWP15'!E$553=0,"",'IWP15'!E$553)</f>
        <v/>
      </c>
      <c r="D5337" s="211">
        <f>'IWP15'!G$553</f>
        <v>0</v>
      </c>
      <c r="E5337" s="211">
        <f>'IWP15'!H$553</f>
        <v>0</v>
      </c>
      <c r="F5337" s="211">
        <f>'IWP15'!I$553</f>
        <v>0</v>
      </c>
      <c r="G5337" s="191" t="str">
        <f>IF('IWP15'!J$553=0,"",'IWP15'!J$553)</f>
        <v/>
      </c>
      <c r="H5337" s="211">
        <f>'IWP15'!K$553</f>
        <v>0</v>
      </c>
      <c r="I5337" s="211">
        <f>'IWP15'!L$553</f>
        <v>0</v>
      </c>
      <c r="J5337" s="212">
        <f>'IWP15'!M$553</f>
        <v>0</v>
      </c>
      <c r="K5337" s="106"/>
      <c r="L5337" s="106"/>
      <c r="M5337" s="129"/>
    </row>
    <row r="5338" spans="1:13" s="146" customFormat="1">
      <c r="A5338" s="193" t="s">
        <v>513</v>
      </c>
      <c r="B5338" s="210">
        <v>13</v>
      </c>
      <c r="C5338" s="191" t="str">
        <f>IF('IWP15'!E$554=0,"",'IWP15'!E$554)</f>
        <v/>
      </c>
      <c r="D5338" s="211">
        <f>'IWP15'!G$554</f>
        <v>0</v>
      </c>
      <c r="E5338" s="211">
        <f>'IWP15'!H$554</f>
        <v>0</v>
      </c>
      <c r="F5338" s="211">
        <f>'IWP15'!I$554</f>
        <v>0</v>
      </c>
      <c r="G5338" s="191" t="str">
        <f>IF('IWP15'!J$554=0,"",'IWP15'!J$554)</f>
        <v/>
      </c>
      <c r="H5338" s="211">
        <f>'IWP15'!K$554</f>
        <v>0</v>
      </c>
      <c r="I5338" s="211">
        <f>'IWP15'!L$554</f>
        <v>0</v>
      </c>
      <c r="J5338" s="212">
        <f>'IWP15'!M$554</f>
        <v>0</v>
      </c>
      <c r="K5338" s="106"/>
      <c r="L5338" s="106"/>
      <c r="M5338" s="129"/>
    </row>
    <row r="5339" spans="1:13" s="146" customFormat="1">
      <c r="A5339" s="193" t="s">
        <v>513</v>
      </c>
      <c r="B5339" s="210">
        <v>13</v>
      </c>
      <c r="C5339" s="191" t="str">
        <f>IF('IWP15'!E$555=0,"",'IWP15'!E$555)</f>
        <v/>
      </c>
      <c r="D5339" s="211">
        <f>'IWP15'!G$555</f>
        <v>0</v>
      </c>
      <c r="E5339" s="211">
        <f>'IWP15'!H$555</f>
        <v>0</v>
      </c>
      <c r="F5339" s="211">
        <f>'IWP15'!I$555</f>
        <v>0</v>
      </c>
      <c r="G5339" s="191" t="str">
        <f>IF('IWP15'!J$555=0,"",'IWP15'!J$555)</f>
        <v/>
      </c>
      <c r="H5339" s="211">
        <f>'IWP15'!K$555</f>
        <v>0</v>
      </c>
      <c r="I5339" s="211">
        <f>'IWP15'!L$555</f>
        <v>0</v>
      </c>
      <c r="J5339" s="212">
        <f>'IWP15'!M$555</f>
        <v>0</v>
      </c>
      <c r="K5339" s="106"/>
      <c r="L5339" s="106"/>
      <c r="M5339" s="129"/>
    </row>
    <row r="5340" spans="1:13" s="146" customFormat="1">
      <c r="A5340" s="193" t="s">
        <v>513</v>
      </c>
      <c r="B5340" s="210">
        <v>13</v>
      </c>
      <c r="C5340" s="191" t="str">
        <f>IF('IWP15'!E$556=0,"",'IWP15'!E$556)</f>
        <v/>
      </c>
      <c r="D5340" s="211">
        <f>'IWP15'!G$556</f>
        <v>0</v>
      </c>
      <c r="E5340" s="211">
        <f>'IWP15'!H$556</f>
        <v>0</v>
      </c>
      <c r="F5340" s="211">
        <f>'IWP15'!I$556</f>
        <v>0</v>
      </c>
      <c r="G5340" s="191" t="str">
        <f>IF('IWP15'!J$556=0,"",'IWP15'!J$556)</f>
        <v/>
      </c>
      <c r="H5340" s="211">
        <f>'IWP15'!K$556</f>
        <v>0</v>
      </c>
      <c r="I5340" s="211">
        <f>'IWP15'!L$556</f>
        <v>0</v>
      </c>
      <c r="J5340" s="212">
        <f>'IWP15'!M$556</f>
        <v>0</v>
      </c>
      <c r="K5340" s="106"/>
      <c r="L5340" s="106"/>
      <c r="M5340" s="129"/>
    </row>
    <row r="5341" spans="1:13" s="146" customFormat="1">
      <c r="A5341" s="193" t="s">
        <v>513</v>
      </c>
      <c r="B5341" s="210">
        <v>14</v>
      </c>
      <c r="C5341" s="191" t="str">
        <f>IF('IWP15'!E$563=0,"",'IWP15'!E$563)</f>
        <v>Subtotal column D.</v>
      </c>
      <c r="D5341" s="211">
        <f>'IWP15'!G$563</f>
        <v>0</v>
      </c>
      <c r="E5341" s="211">
        <f>'IWP15'!H$563</f>
        <v>0</v>
      </c>
      <c r="F5341" s="211">
        <f>'IWP15'!I$563</f>
        <v>0</v>
      </c>
      <c r="G5341" s="191" t="str">
        <f>IF('IWP15'!J$563=0,"",'IWP15'!J$563)</f>
        <v/>
      </c>
      <c r="H5341" s="211">
        <f>'IWP15'!K$563</f>
        <v>0</v>
      </c>
      <c r="I5341" s="211">
        <f>'IWP15'!L$563</f>
        <v>0</v>
      </c>
      <c r="J5341" s="212">
        <f>'IWP15'!M$563</f>
        <v>0</v>
      </c>
      <c r="K5341" s="106"/>
      <c r="L5341" s="106"/>
      <c r="M5341" s="129"/>
    </row>
    <row r="5342" spans="1:13" s="146" customFormat="1">
      <c r="A5342" s="193" t="s">
        <v>513</v>
      </c>
      <c r="B5342" s="210">
        <v>14</v>
      </c>
      <c r="C5342" s="191" t="str">
        <f>IF('IWP15'!E$564=0,"",'IWP15'!E$564)</f>
        <v>Unverified/Undocumented (Subtotal D - C)</v>
      </c>
      <c r="D5342" s="211">
        <f>'IWP15'!G$564</f>
        <v>0</v>
      </c>
      <c r="E5342" s="211">
        <f>'IWP15'!H$564</f>
        <v>0</v>
      </c>
      <c r="F5342" s="211">
        <f>'IWP15'!I$564</f>
        <v>0</v>
      </c>
      <c r="G5342" s="191" t="str">
        <f>IF('IWP15'!J$564=0,"",'IWP15'!J$564)</f>
        <v/>
      </c>
      <c r="H5342" s="211">
        <f>'IWP15'!K$564</f>
        <v>0</v>
      </c>
      <c r="I5342" s="211">
        <f>'IWP15'!L$564</f>
        <v>0</v>
      </c>
      <c r="J5342" s="212">
        <f>'IWP15'!M$564</f>
        <v>0</v>
      </c>
      <c r="K5342" s="106"/>
      <c r="L5342" s="106"/>
      <c r="M5342" s="129"/>
    </row>
    <row r="5343" spans="1:13" s="146" customFormat="1">
      <c r="A5343" s="193" t="s">
        <v>513</v>
      </c>
      <c r="B5343" s="210">
        <v>14</v>
      </c>
      <c r="C5343" s="191" t="str">
        <f>IF('IWP15'!E$565=0,"",'IWP15'!E$565)</f>
        <v>J. Billing Period Total</v>
      </c>
      <c r="D5343" s="211">
        <f>'IWP15'!G$565</f>
        <v>0</v>
      </c>
      <c r="E5343" s="211">
        <f>'IWP15'!H$565</f>
        <v>0</v>
      </c>
      <c r="F5343" s="211">
        <f>'IWP15'!I$565</f>
        <v>0</v>
      </c>
      <c r="G5343" s="191" t="str">
        <f>IF('IWP15'!J$565=0,"",'IWP15'!J$565)</f>
        <v/>
      </c>
      <c r="H5343" s="211">
        <f>'IWP15'!K$565</f>
        <v>0</v>
      </c>
      <c r="I5343" s="211">
        <f>'IWP15'!L$565</f>
        <v>0</v>
      </c>
      <c r="J5343" s="212">
        <f>'IWP15'!M$565</f>
        <v>0</v>
      </c>
      <c r="K5343" s="106"/>
      <c r="L5343" s="106"/>
      <c r="M5343" s="129"/>
    </row>
    <row r="5344" spans="1:13" s="146" customFormat="1">
      <c r="A5344" s="193" t="s">
        <v>513</v>
      </c>
      <c r="B5344" s="210">
        <v>14</v>
      </c>
      <c r="C5344" s="191" t="str">
        <f>IF('IWP15'!E$566=0,"",'IWP15'!E$566)</f>
        <v>D.</v>
      </c>
      <c r="D5344" s="211">
        <f>'IWP15'!G$566</f>
        <v>0</v>
      </c>
      <c r="E5344" s="211" t="str">
        <f>'IWP15'!H$566</f>
        <v>E.</v>
      </c>
      <c r="F5344" s="211" t="str">
        <f>'IWP15'!I$566</f>
        <v>F.</v>
      </c>
      <c r="G5344" s="191" t="str">
        <f>IF('IWP15'!J$566=0,"",'IWP15'!J$566)</f>
        <v>G.</v>
      </c>
      <c r="H5344" s="211">
        <f>'IWP15'!K$566</f>
        <v>0</v>
      </c>
      <c r="I5344" s="211" t="str">
        <f>'IWP15'!L$566</f>
        <v>H.</v>
      </c>
      <c r="J5344" s="212" t="str">
        <f>'IWP15'!M$566</f>
        <v>I.</v>
      </c>
      <c r="K5344" s="106"/>
      <c r="L5344" s="106"/>
      <c r="M5344" s="129"/>
    </row>
    <row r="5345" spans="1:13" s="146" customFormat="1">
      <c r="A5345" s="193" t="s">
        <v>513</v>
      </c>
      <c r="B5345" s="210">
        <v>14</v>
      </c>
      <c r="C5345" s="191" t="str">
        <f>IF('IWP15'!E$567=0,"",'IWP15'!E$567)</f>
        <v xml:space="preserve">Items/Services Related to Billing Period </v>
      </c>
      <c r="D5345" s="211">
        <f>'IWP15'!G$567</f>
        <v>0</v>
      </c>
      <c r="E5345" s="211" t="str">
        <f>'IWP15'!H$567</f>
        <v xml:space="preserve">Item/
Service Verified Amounts
</v>
      </c>
      <c r="F5345" s="211" t="str">
        <f>'IWP15'!I$567</f>
        <v>Amount Due to DADS (E. - D.)</v>
      </c>
      <c r="G5345" s="191" t="str">
        <f>IF('IWP15'!J$567=0,"",'IWP15'!J$567)</f>
        <v>Amount Reimbursed to 
Employee(s)/Employer</v>
      </c>
      <c r="H5345" s="211">
        <f>'IWP15'!K$567</f>
        <v>0</v>
      </c>
      <c r="I5345" s="211" t="str">
        <f>'IWP15'!L$567</f>
        <v>Amount Due to Employee(s) (G. - E.)</v>
      </c>
      <c r="J5345" s="212" t="str">
        <f>'IWP15'!M$567</f>
        <v>Amount Due to Employer (G. - E.)</v>
      </c>
      <c r="K5345" s="106"/>
      <c r="L5345" s="106"/>
      <c r="M5345" s="129"/>
    </row>
    <row r="5346" spans="1:13" s="146" customFormat="1">
      <c r="A5346" s="193" t="s">
        <v>513</v>
      </c>
      <c r="B5346" s="210">
        <v>14</v>
      </c>
      <c r="C5346" s="191" t="str">
        <f>IF('IWP15'!E$568=0,"",'IWP15'!E$568)</f>
        <v>Item/Service</v>
      </c>
      <c r="D5346" s="211" t="str">
        <f>'IWP15'!G$568</f>
        <v>Itemized Amount Paid by DADS</v>
      </c>
      <c r="E5346" s="211">
        <f>'IWP15'!H$568</f>
        <v>0</v>
      </c>
      <c r="F5346" s="211">
        <f>'IWP15'!I$568</f>
        <v>0</v>
      </c>
      <c r="G5346" s="191" t="str">
        <f>IF('IWP15'!J$568=0,"",'IWP15'!J$568)</f>
        <v/>
      </c>
      <c r="H5346" s="211">
        <f>'IWP15'!K$568</f>
        <v>0</v>
      </c>
      <c r="I5346" s="211">
        <f>'IWP15'!L$568</f>
        <v>0</v>
      </c>
      <c r="J5346" s="212">
        <f>'IWP15'!M$568</f>
        <v>0</v>
      </c>
      <c r="K5346" s="106"/>
      <c r="L5346" s="106"/>
      <c r="M5346" s="129"/>
    </row>
    <row r="5347" spans="1:13" s="146" customFormat="1">
      <c r="A5347" s="193" t="s">
        <v>513</v>
      </c>
      <c r="B5347" s="210">
        <v>14</v>
      </c>
      <c r="C5347" s="191" t="str">
        <f>IF('IWP15'!E$569=0,"",'IWP15'!E$569)</f>
        <v/>
      </c>
      <c r="D5347" s="211">
        <f>'IWP15'!G$569</f>
        <v>0</v>
      </c>
      <c r="E5347" s="211">
        <f>'IWP15'!H$569</f>
        <v>0</v>
      </c>
      <c r="F5347" s="211">
        <f>'IWP15'!I$569</f>
        <v>0</v>
      </c>
      <c r="G5347" s="191" t="str">
        <f>IF('IWP15'!J$569=0,"",'IWP15'!J$569)</f>
        <v/>
      </c>
      <c r="H5347" s="211">
        <f>'IWP15'!K$569</f>
        <v>0</v>
      </c>
      <c r="I5347" s="211">
        <f>'IWP15'!L$569</f>
        <v>0</v>
      </c>
      <c r="J5347" s="212">
        <f>'IWP15'!M$569</f>
        <v>0</v>
      </c>
      <c r="K5347" s="106"/>
      <c r="L5347" s="106"/>
      <c r="M5347" s="129"/>
    </row>
    <row r="5348" spans="1:13" s="146" customFormat="1">
      <c r="A5348" s="193" t="s">
        <v>513</v>
      </c>
      <c r="B5348" s="210">
        <v>14</v>
      </c>
      <c r="C5348" s="191" t="str">
        <f>IF('IWP15'!E$570=0,"",'IWP15'!E$570)</f>
        <v/>
      </c>
      <c r="D5348" s="211">
        <f>'IWP15'!G$570</f>
        <v>0</v>
      </c>
      <c r="E5348" s="211">
        <f>'IWP15'!H$570</f>
        <v>0</v>
      </c>
      <c r="F5348" s="211">
        <f>'IWP15'!I$570</f>
        <v>0</v>
      </c>
      <c r="G5348" s="191" t="str">
        <f>IF('IWP15'!J$570=0,"",'IWP15'!J$570)</f>
        <v/>
      </c>
      <c r="H5348" s="211">
        <f>'IWP15'!K$570</f>
        <v>0</v>
      </c>
      <c r="I5348" s="211">
        <f>'IWP15'!L$570</f>
        <v>0</v>
      </c>
      <c r="J5348" s="212">
        <f>'IWP15'!M$570</f>
        <v>0</v>
      </c>
      <c r="K5348" s="106"/>
      <c r="L5348" s="106"/>
      <c r="M5348" s="129"/>
    </row>
    <row r="5349" spans="1:13" s="146" customFormat="1">
      <c r="A5349" s="193" t="s">
        <v>513</v>
      </c>
      <c r="B5349" s="210">
        <v>14</v>
      </c>
      <c r="C5349" s="191" t="str">
        <f>IF('IWP15'!E$571=0,"",'IWP15'!E$571)</f>
        <v/>
      </c>
      <c r="D5349" s="211">
        <f>'IWP15'!G$571</f>
        <v>0</v>
      </c>
      <c r="E5349" s="211">
        <f>'IWP15'!H$571</f>
        <v>0</v>
      </c>
      <c r="F5349" s="211">
        <f>'IWP15'!I$571</f>
        <v>0</v>
      </c>
      <c r="G5349" s="191" t="str">
        <f>IF('IWP15'!J$571=0,"",'IWP15'!J$571)</f>
        <v/>
      </c>
      <c r="H5349" s="211">
        <f>'IWP15'!K$571</f>
        <v>0</v>
      </c>
      <c r="I5349" s="211">
        <f>'IWP15'!L$571</f>
        <v>0</v>
      </c>
      <c r="J5349" s="212">
        <f>'IWP15'!M$571</f>
        <v>0</v>
      </c>
      <c r="K5349" s="106"/>
      <c r="L5349" s="106"/>
      <c r="M5349" s="129"/>
    </row>
    <row r="5350" spans="1:13" s="146" customFormat="1">
      <c r="A5350" s="193" t="s">
        <v>513</v>
      </c>
      <c r="B5350" s="210">
        <v>14</v>
      </c>
      <c r="C5350" s="191" t="str">
        <f>IF('IWP15'!E$572=0,"",'IWP15'!E$572)</f>
        <v/>
      </c>
      <c r="D5350" s="211">
        <f>'IWP15'!G$572</f>
        <v>0</v>
      </c>
      <c r="E5350" s="211">
        <f>'IWP15'!H$572</f>
        <v>0</v>
      </c>
      <c r="F5350" s="211">
        <f>'IWP15'!I$572</f>
        <v>0</v>
      </c>
      <c r="G5350" s="191" t="str">
        <f>IF('IWP15'!J$572=0,"",'IWP15'!J$572)</f>
        <v/>
      </c>
      <c r="H5350" s="211">
        <f>'IWP15'!K$572</f>
        <v>0</v>
      </c>
      <c r="I5350" s="211">
        <f>'IWP15'!L$572</f>
        <v>0</v>
      </c>
      <c r="J5350" s="212">
        <f>'IWP15'!M$572</f>
        <v>0</v>
      </c>
      <c r="K5350" s="106"/>
      <c r="L5350" s="106"/>
      <c r="M5350" s="129"/>
    </row>
    <row r="5351" spans="1:13" s="146" customFormat="1">
      <c r="A5351" s="193" t="s">
        <v>513</v>
      </c>
      <c r="B5351" s="210">
        <v>15</v>
      </c>
      <c r="C5351" s="191" t="str">
        <f>IF('IWP15'!E$579=0,"",'IWP15'!E$579)</f>
        <v>Subtotal column D.</v>
      </c>
      <c r="D5351" s="211">
        <f>'IWP15'!G$579</f>
        <v>0</v>
      </c>
      <c r="E5351" s="211">
        <f>'IWP15'!H$579</f>
        <v>0</v>
      </c>
      <c r="F5351" s="211">
        <f>'IWP15'!I$579</f>
        <v>0</v>
      </c>
      <c r="G5351" s="191" t="str">
        <f>IF('IWP15'!J$579=0,"",'IWP15'!J$579)</f>
        <v/>
      </c>
      <c r="H5351" s="211">
        <f>'IWP15'!K$579</f>
        <v>0</v>
      </c>
      <c r="I5351" s="211">
        <f>'IWP15'!L$579</f>
        <v>0</v>
      </c>
      <c r="J5351" s="212">
        <f>'IWP15'!M$579</f>
        <v>0</v>
      </c>
      <c r="K5351" s="106"/>
      <c r="L5351" s="106"/>
      <c r="M5351" s="129"/>
    </row>
    <row r="5352" spans="1:13" s="146" customFormat="1">
      <c r="A5352" s="193" t="s">
        <v>513</v>
      </c>
      <c r="B5352" s="210">
        <v>15</v>
      </c>
      <c r="C5352" s="191" t="str">
        <f>IF('IWP15'!E$580=0,"",'IWP15'!E$580)</f>
        <v>Unverified/Undocumented (Subtotal D - C)</v>
      </c>
      <c r="D5352" s="211">
        <f>'IWP15'!G$580</f>
        <v>0</v>
      </c>
      <c r="E5352" s="211">
        <f>'IWP15'!H$580</f>
        <v>0</v>
      </c>
      <c r="F5352" s="211">
        <f>'IWP15'!I$580</f>
        <v>0</v>
      </c>
      <c r="G5352" s="191" t="str">
        <f>IF('IWP15'!J$580=0,"",'IWP15'!J$580)</f>
        <v/>
      </c>
      <c r="H5352" s="211">
        <f>'IWP15'!K$580</f>
        <v>0</v>
      </c>
      <c r="I5352" s="211">
        <f>'IWP15'!L$580</f>
        <v>0</v>
      </c>
      <c r="J5352" s="212">
        <f>'IWP15'!M$580</f>
        <v>0</v>
      </c>
      <c r="K5352" s="106"/>
      <c r="L5352" s="106"/>
      <c r="M5352" s="129"/>
    </row>
    <row r="5353" spans="1:13" s="146" customFormat="1">
      <c r="A5353" s="193" t="s">
        <v>513</v>
      </c>
      <c r="B5353" s="210">
        <v>15</v>
      </c>
      <c r="C5353" s="191" t="str">
        <f>IF('IWP15'!E$581=0,"",'IWP15'!E$581)</f>
        <v>J. Billing Period Total</v>
      </c>
      <c r="D5353" s="211">
        <f>'IWP15'!G$581</f>
        <v>0</v>
      </c>
      <c r="E5353" s="211">
        <f>'IWP15'!H$581</f>
        <v>0</v>
      </c>
      <c r="F5353" s="211">
        <f>'IWP15'!I$581</f>
        <v>0</v>
      </c>
      <c r="G5353" s="191" t="str">
        <f>IF('IWP15'!J$581=0,"",'IWP15'!J$581)</f>
        <v/>
      </c>
      <c r="H5353" s="211">
        <f>'IWP15'!K$581</f>
        <v>0</v>
      </c>
      <c r="I5353" s="211">
        <f>'IWP15'!L$581</f>
        <v>0</v>
      </c>
      <c r="J5353" s="212">
        <f>'IWP15'!M$581</f>
        <v>0</v>
      </c>
      <c r="K5353" s="106"/>
      <c r="L5353" s="106"/>
      <c r="M5353" s="129"/>
    </row>
    <row r="5354" spans="1:13" s="146" customFormat="1">
      <c r="A5354" s="193" t="s">
        <v>513</v>
      </c>
      <c r="B5354" s="210">
        <v>15</v>
      </c>
      <c r="C5354" s="191" t="str">
        <f>IF('IWP15'!E$582=0,"",'IWP15'!E$582)</f>
        <v>D.</v>
      </c>
      <c r="D5354" s="211">
        <f>'IWP15'!G$582</f>
        <v>0</v>
      </c>
      <c r="E5354" s="211" t="str">
        <f>'IWP15'!H$582</f>
        <v>E.</v>
      </c>
      <c r="F5354" s="211" t="str">
        <f>'IWP15'!I$582</f>
        <v>F.</v>
      </c>
      <c r="G5354" s="191" t="str">
        <f>IF('IWP15'!J$582=0,"",'IWP15'!J$582)</f>
        <v>G.</v>
      </c>
      <c r="H5354" s="211">
        <f>'IWP15'!K$582</f>
        <v>0</v>
      </c>
      <c r="I5354" s="211" t="str">
        <f>'IWP15'!L$582</f>
        <v>H.</v>
      </c>
      <c r="J5354" s="212" t="str">
        <f>'IWP15'!M$582</f>
        <v>I.</v>
      </c>
      <c r="K5354" s="106"/>
      <c r="L5354" s="106"/>
      <c r="M5354" s="129"/>
    </row>
    <row r="5355" spans="1:13" s="146" customFormat="1">
      <c r="A5355" s="193" t="s">
        <v>513</v>
      </c>
      <c r="B5355" s="210">
        <v>15</v>
      </c>
      <c r="C5355" s="191" t="str">
        <f>IF('IWP15'!E$583=0,"",'IWP15'!E$583)</f>
        <v xml:space="preserve">Items/Services Related to Billing Period </v>
      </c>
      <c r="D5355" s="211">
        <f>'IWP15'!G$583</f>
        <v>0</v>
      </c>
      <c r="E5355" s="211" t="str">
        <f>'IWP15'!H$583</f>
        <v xml:space="preserve">Item/
Service Verified Amounts
</v>
      </c>
      <c r="F5355" s="211" t="str">
        <f>'IWP15'!I$583</f>
        <v>Amount Due to DADS (E. - D.)</v>
      </c>
      <c r="G5355" s="191" t="str">
        <f>IF('IWP15'!J$583=0,"",'IWP15'!J$583)</f>
        <v>Amount Reimbursed to 
Employee(s)/Employer</v>
      </c>
      <c r="H5355" s="211">
        <f>'IWP15'!K$583</f>
        <v>0</v>
      </c>
      <c r="I5355" s="211" t="str">
        <f>'IWP15'!L$583</f>
        <v>Amount Due to Employee(s) (G. - E.)</v>
      </c>
      <c r="J5355" s="212" t="str">
        <f>'IWP15'!M$583</f>
        <v>Amount Due to Employer (G. - E.)</v>
      </c>
      <c r="K5355" s="106"/>
      <c r="L5355" s="106"/>
      <c r="M5355" s="129"/>
    </row>
    <row r="5356" spans="1:13" s="146" customFormat="1">
      <c r="A5356" s="193" t="s">
        <v>513</v>
      </c>
      <c r="B5356" s="210">
        <v>15</v>
      </c>
      <c r="C5356" s="191" t="str">
        <f>IF('IWP15'!E$584=0,"",'IWP15'!E$584)</f>
        <v>Item/Service</v>
      </c>
      <c r="D5356" s="211" t="str">
        <f>'IWP15'!G$584</f>
        <v>Itemized Amount Paid by DADS</v>
      </c>
      <c r="E5356" s="211">
        <f>'IWP15'!H$584</f>
        <v>0</v>
      </c>
      <c r="F5356" s="211">
        <f>'IWP15'!I$584</f>
        <v>0</v>
      </c>
      <c r="G5356" s="191" t="str">
        <f>IF('IWP15'!J$584=0,"",'IWP15'!J$584)</f>
        <v/>
      </c>
      <c r="H5356" s="211">
        <f>'IWP15'!K$584</f>
        <v>0</v>
      </c>
      <c r="I5356" s="211">
        <f>'IWP15'!L$584</f>
        <v>0</v>
      </c>
      <c r="J5356" s="212">
        <f>'IWP15'!M$584</f>
        <v>0</v>
      </c>
      <c r="K5356" s="106"/>
      <c r="L5356" s="106"/>
      <c r="M5356" s="129"/>
    </row>
    <row r="5357" spans="1:13" s="146" customFormat="1">
      <c r="A5357" s="193" t="s">
        <v>513</v>
      </c>
      <c r="B5357" s="210">
        <v>15</v>
      </c>
      <c r="C5357" s="191" t="str">
        <f>IF('IWP15'!E$585=0,"",'IWP15'!E$585)</f>
        <v/>
      </c>
      <c r="D5357" s="211">
        <f>'IWP15'!G$585</f>
        <v>0</v>
      </c>
      <c r="E5357" s="211">
        <f>'IWP15'!H$585</f>
        <v>0</v>
      </c>
      <c r="F5357" s="211">
        <f>'IWP15'!I$585</f>
        <v>0</v>
      </c>
      <c r="G5357" s="191" t="str">
        <f>IF('IWP15'!J$585=0,"",'IWP15'!J$585)</f>
        <v/>
      </c>
      <c r="H5357" s="211">
        <f>'IWP15'!K$585</f>
        <v>0</v>
      </c>
      <c r="I5357" s="211">
        <f>'IWP15'!L$585</f>
        <v>0</v>
      </c>
      <c r="J5357" s="212">
        <f>'IWP15'!M$585</f>
        <v>0</v>
      </c>
      <c r="K5357" s="106"/>
      <c r="L5357" s="106"/>
      <c r="M5357" s="129"/>
    </row>
    <row r="5358" spans="1:13" s="146" customFormat="1">
      <c r="A5358" s="193" t="s">
        <v>513</v>
      </c>
      <c r="B5358" s="210">
        <v>15</v>
      </c>
      <c r="C5358" s="191" t="str">
        <f>IF('IWP15'!E$586=0,"",'IWP15'!E$586)</f>
        <v/>
      </c>
      <c r="D5358" s="211">
        <f>'IWP15'!G$586</f>
        <v>0</v>
      </c>
      <c r="E5358" s="211">
        <f>'IWP15'!H$586</f>
        <v>0</v>
      </c>
      <c r="F5358" s="211">
        <f>'IWP15'!I$586</f>
        <v>0</v>
      </c>
      <c r="G5358" s="191" t="str">
        <f>IF('IWP15'!J$586=0,"",'IWP15'!J$586)</f>
        <v/>
      </c>
      <c r="H5358" s="211">
        <f>'IWP15'!K$586</f>
        <v>0</v>
      </c>
      <c r="I5358" s="211">
        <f>'IWP15'!L$586</f>
        <v>0</v>
      </c>
      <c r="J5358" s="212">
        <f>'IWP15'!M$586</f>
        <v>0</v>
      </c>
      <c r="K5358" s="106"/>
      <c r="L5358" s="106"/>
      <c r="M5358" s="129"/>
    </row>
    <row r="5359" spans="1:13" s="146" customFormat="1">
      <c r="A5359" s="193" t="s">
        <v>513</v>
      </c>
      <c r="B5359" s="210">
        <v>15</v>
      </c>
      <c r="C5359" s="191" t="str">
        <f>IF('IWP15'!E$587=0,"",'IWP15'!E$587)</f>
        <v/>
      </c>
      <c r="D5359" s="211">
        <f>'IWP15'!G$587</f>
        <v>0</v>
      </c>
      <c r="E5359" s="211">
        <f>'IWP15'!H$587</f>
        <v>0</v>
      </c>
      <c r="F5359" s="211">
        <f>'IWP15'!I$587</f>
        <v>0</v>
      </c>
      <c r="G5359" s="191" t="str">
        <f>IF('IWP15'!J$587=0,"",'IWP15'!J$587)</f>
        <v/>
      </c>
      <c r="H5359" s="211">
        <f>'IWP15'!K$587</f>
        <v>0</v>
      </c>
      <c r="I5359" s="211">
        <f>'IWP15'!L$587</f>
        <v>0</v>
      </c>
      <c r="J5359" s="212">
        <f>'IWP15'!M$587</f>
        <v>0</v>
      </c>
      <c r="K5359" s="106"/>
      <c r="L5359" s="106"/>
      <c r="M5359" s="129"/>
    </row>
    <row r="5360" spans="1:13" s="146" customFormat="1">
      <c r="A5360" s="193" t="s">
        <v>513</v>
      </c>
      <c r="B5360" s="210">
        <v>15</v>
      </c>
      <c r="C5360" s="191" t="str">
        <f>IF('IWP15'!E$588=0,"",'IWP15'!E$588)</f>
        <v/>
      </c>
      <c r="D5360" s="211">
        <f>'IWP15'!G$588</f>
        <v>0</v>
      </c>
      <c r="E5360" s="211">
        <f>'IWP15'!H$588</f>
        <v>0</v>
      </c>
      <c r="F5360" s="211">
        <f>'IWP15'!I$588</f>
        <v>0</v>
      </c>
      <c r="G5360" s="191" t="str">
        <f>IF('IWP15'!J$588=0,"",'IWP15'!J$588)</f>
        <v/>
      </c>
      <c r="H5360" s="211">
        <f>'IWP15'!K$588</f>
        <v>0</v>
      </c>
      <c r="I5360" s="211">
        <f>'IWP15'!L$588</f>
        <v>0</v>
      </c>
      <c r="J5360" s="212">
        <f>'IWP15'!M$588</f>
        <v>0</v>
      </c>
      <c r="K5360" s="106"/>
      <c r="L5360" s="106"/>
      <c r="M5360" s="129"/>
    </row>
    <row r="5361" spans="1:13" s="146" customFormat="1">
      <c r="A5361" s="193" t="s">
        <v>513</v>
      </c>
      <c r="B5361" s="210">
        <v>16</v>
      </c>
      <c r="C5361" s="191" t="str">
        <f>IF('IWP15'!E$595=0,"",'IWP15'!E$595)</f>
        <v>Subtotal column D.</v>
      </c>
      <c r="D5361" s="211">
        <f>'IWP15'!G$595</f>
        <v>0</v>
      </c>
      <c r="E5361" s="211">
        <f>'IWP15'!H$595</f>
        <v>0</v>
      </c>
      <c r="F5361" s="211">
        <f>'IWP15'!I$595</f>
        <v>0</v>
      </c>
      <c r="G5361" s="191" t="str">
        <f>IF('IWP15'!J$595=0,"",'IWP15'!J$595)</f>
        <v/>
      </c>
      <c r="H5361" s="211">
        <f>'IWP15'!K$595</f>
        <v>0</v>
      </c>
      <c r="I5361" s="211">
        <f>'IWP15'!L$595</f>
        <v>0</v>
      </c>
      <c r="J5361" s="212">
        <f>'IWP15'!M$595</f>
        <v>0</v>
      </c>
      <c r="K5361" s="106"/>
      <c r="L5361" s="106"/>
      <c r="M5361" s="129"/>
    </row>
    <row r="5362" spans="1:13" s="146" customFormat="1">
      <c r="A5362" s="193" t="s">
        <v>513</v>
      </c>
      <c r="B5362" s="210">
        <v>16</v>
      </c>
      <c r="C5362" s="191" t="str">
        <f>IF('IWP15'!E$596=0,"",'IWP15'!E$596)</f>
        <v>Unverified/Undocumented (Subtotal D - C)</v>
      </c>
      <c r="D5362" s="211">
        <f>'IWP15'!G$596</f>
        <v>0</v>
      </c>
      <c r="E5362" s="211">
        <f>'IWP15'!H$596</f>
        <v>0</v>
      </c>
      <c r="F5362" s="211">
        <f>'IWP15'!I$596</f>
        <v>0</v>
      </c>
      <c r="G5362" s="191" t="str">
        <f>IF('IWP15'!J$596=0,"",'IWP15'!J$596)</f>
        <v/>
      </c>
      <c r="H5362" s="211">
        <f>'IWP15'!K$596</f>
        <v>0</v>
      </c>
      <c r="I5362" s="211">
        <f>'IWP15'!L$596</f>
        <v>0</v>
      </c>
      <c r="J5362" s="212">
        <f>'IWP15'!M$596</f>
        <v>0</v>
      </c>
      <c r="K5362" s="106"/>
      <c r="L5362" s="106"/>
      <c r="M5362" s="129"/>
    </row>
    <row r="5363" spans="1:13" s="146" customFormat="1">
      <c r="A5363" s="193" t="s">
        <v>513</v>
      </c>
      <c r="B5363" s="210">
        <v>16</v>
      </c>
      <c r="C5363" s="191" t="str">
        <f>IF('IWP15'!E$597=0,"",'IWP15'!E$597)</f>
        <v>J. Billing Period Total</v>
      </c>
      <c r="D5363" s="211">
        <f>'IWP15'!G$597</f>
        <v>0</v>
      </c>
      <c r="E5363" s="211">
        <f>'IWP15'!H$597</f>
        <v>0</v>
      </c>
      <c r="F5363" s="211">
        <f>'IWP15'!I$597</f>
        <v>0</v>
      </c>
      <c r="G5363" s="191" t="str">
        <f>IF('IWP15'!J$597=0,"",'IWP15'!J$597)</f>
        <v/>
      </c>
      <c r="H5363" s="211">
        <f>'IWP15'!K$597</f>
        <v>0</v>
      </c>
      <c r="I5363" s="211">
        <f>'IWP15'!L$597</f>
        <v>0</v>
      </c>
      <c r="J5363" s="212">
        <f>'IWP15'!M$597</f>
        <v>0</v>
      </c>
      <c r="K5363" s="106"/>
      <c r="L5363" s="106"/>
      <c r="M5363" s="129"/>
    </row>
    <row r="5364" spans="1:13" s="146" customFormat="1">
      <c r="A5364" s="193" t="s">
        <v>513</v>
      </c>
      <c r="B5364" s="210">
        <v>16</v>
      </c>
      <c r="C5364" s="191" t="str">
        <f>IF('IWP15'!E$598=0,"",'IWP15'!E$598)</f>
        <v>D.</v>
      </c>
      <c r="D5364" s="211">
        <f>'IWP15'!G$598</f>
        <v>0</v>
      </c>
      <c r="E5364" s="211" t="str">
        <f>'IWP15'!H$598</f>
        <v>E.</v>
      </c>
      <c r="F5364" s="211" t="str">
        <f>'IWP15'!I$598</f>
        <v>F.</v>
      </c>
      <c r="G5364" s="191" t="str">
        <f>IF('IWP15'!J$598=0,"",'IWP15'!J$598)</f>
        <v>G.</v>
      </c>
      <c r="H5364" s="211">
        <f>'IWP15'!K$598</f>
        <v>0</v>
      </c>
      <c r="I5364" s="211" t="str">
        <f>'IWP15'!L$598</f>
        <v>H.</v>
      </c>
      <c r="J5364" s="212" t="str">
        <f>'IWP15'!M$598</f>
        <v>I.</v>
      </c>
      <c r="K5364" s="106"/>
      <c r="L5364" s="106"/>
      <c r="M5364" s="129"/>
    </row>
    <row r="5365" spans="1:13" s="146" customFormat="1">
      <c r="A5365" s="193" t="s">
        <v>513</v>
      </c>
      <c r="B5365" s="210">
        <v>16</v>
      </c>
      <c r="C5365" s="191" t="str">
        <f>IF('IWP15'!E$599=0,"",'IWP15'!E$599)</f>
        <v xml:space="preserve">Items/Services Related to Billing Period </v>
      </c>
      <c r="D5365" s="211">
        <f>'IWP15'!G$599</f>
        <v>0</v>
      </c>
      <c r="E5365" s="211" t="str">
        <f>'IWP15'!H$599</f>
        <v xml:space="preserve">Item/
Service Verified Amounts
</v>
      </c>
      <c r="F5365" s="211" t="str">
        <f>'IWP15'!I$599</f>
        <v>Amount Due to DADS (E. - D.)</v>
      </c>
      <c r="G5365" s="191" t="str">
        <f>IF('IWP15'!J$599=0,"",'IWP15'!J$599)</f>
        <v>Amount Reimbursed to 
Employee(s)/Employer</v>
      </c>
      <c r="H5365" s="211">
        <f>'IWP15'!K$599</f>
        <v>0</v>
      </c>
      <c r="I5365" s="211" t="str">
        <f>'IWP15'!L$599</f>
        <v>Amount Due to Employee(s) (G. - E.)</v>
      </c>
      <c r="J5365" s="212" t="str">
        <f>'IWP15'!M$599</f>
        <v>Amount Due to Employer (G. - E.)</v>
      </c>
      <c r="K5365" s="106"/>
      <c r="L5365" s="106"/>
      <c r="M5365" s="129"/>
    </row>
    <row r="5366" spans="1:13" s="146" customFormat="1">
      <c r="A5366" s="193" t="s">
        <v>513</v>
      </c>
      <c r="B5366" s="210">
        <v>16</v>
      </c>
      <c r="C5366" s="191" t="str">
        <f>IF('IWP15'!E$600=0,"",'IWP15'!E$600)</f>
        <v>Item/Service</v>
      </c>
      <c r="D5366" s="211" t="str">
        <f>'IWP15'!G$600</f>
        <v>Itemized Amount Paid by DADS</v>
      </c>
      <c r="E5366" s="211">
        <f>'IWP15'!H$600</f>
        <v>0</v>
      </c>
      <c r="F5366" s="211">
        <f>'IWP15'!I$600</f>
        <v>0</v>
      </c>
      <c r="G5366" s="191" t="str">
        <f>IF('IWP15'!J$600=0,"",'IWP15'!J$600)</f>
        <v/>
      </c>
      <c r="H5366" s="211">
        <f>'IWP15'!K$600</f>
        <v>0</v>
      </c>
      <c r="I5366" s="211">
        <f>'IWP15'!L$600</f>
        <v>0</v>
      </c>
      <c r="J5366" s="212">
        <f>'IWP15'!M$600</f>
        <v>0</v>
      </c>
      <c r="K5366" s="106"/>
      <c r="L5366" s="106"/>
      <c r="M5366" s="129"/>
    </row>
    <row r="5367" spans="1:13" s="146" customFormat="1">
      <c r="A5367" s="193" t="s">
        <v>513</v>
      </c>
      <c r="B5367" s="210">
        <v>16</v>
      </c>
      <c r="C5367" s="191" t="str">
        <f>IF('IWP15'!E$601=0,"",'IWP15'!E$601)</f>
        <v/>
      </c>
      <c r="D5367" s="211">
        <f>'IWP15'!G$601</f>
        <v>0</v>
      </c>
      <c r="E5367" s="211">
        <f>'IWP15'!H$601</f>
        <v>0</v>
      </c>
      <c r="F5367" s="211">
        <f>'IWP15'!I$601</f>
        <v>0</v>
      </c>
      <c r="G5367" s="191" t="str">
        <f>IF('IWP15'!J$601=0,"",'IWP15'!J$601)</f>
        <v/>
      </c>
      <c r="H5367" s="211">
        <f>'IWP15'!K$601</f>
        <v>0</v>
      </c>
      <c r="I5367" s="211">
        <f>'IWP15'!L$601</f>
        <v>0</v>
      </c>
      <c r="J5367" s="212">
        <f>'IWP15'!M$601</f>
        <v>0</v>
      </c>
      <c r="K5367" s="106"/>
      <c r="L5367" s="106"/>
      <c r="M5367" s="129"/>
    </row>
    <row r="5368" spans="1:13" s="146" customFormat="1">
      <c r="A5368" s="193" t="s">
        <v>513</v>
      </c>
      <c r="B5368" s="210">
        <v>16</v>
      </c>
      <c r="C5368" s="191" t="str">
        <f>IF('IWP15'!E$602=0,"",'IWP15'!E$602)</f>
        <v/>
      </c>
      <c r="D5368" s="211">
        <f>'IWP15'!G$602</f>
        <v>0</v>
      </c>
      <c r="E5368" s="211">
        <f>'IWP15'!H$602</f>
        <v>0</v>
      </c>
      <c r="F5368" s="211">
        <f>'IWP15'!I$602</f>
        <v>0</v>
      </c>
      <c r="G5368" s="191" t="str">
        <f>IF('IWP15'!J$602=0,"",'IWP15'!J$602)</f>
        <v/>
      </c>
      <c r="H5368" s="211">
        <f>'IWP15'!K$602</f>
        <v>0</v>
      </c>
      <c r="I5368" s="211">
        <f>'IWP15'!L$602</f>
        <v>0</v>
      </c>
      <c r="J5368" s="212">
        <f>'IWP15'!M$602</f>
        <v>0</v>
      </c>
      <c r="K5368" s="106"/>
      <c r="L5368" s="106"/>
      <c r="M5368" s="129"/>
    </row>
    <row r="5369" spans="1:13" s="146" customFormat="1">
      <c r="A5369" s="193" t="s">
        <v>513</v>
      </c>
      <c r="B5369" s="210">
        <v>16</v>
      </c>
      <c r="C5369" s="191" t="str">
        <f>IF('IWP15'!E$603=0,"",'IWP15'!E$603)</f>
        <v/>
      </c>
      <c r="D5369" s="211">
        <f>'IWP15'!G$603</f>
        <v>0</v>
      </c>
      <c r="E5369" s="211">
        <f>'IWP15'!H$603</f>
        <v>0</v>
      </c>
      <c r="F5369" s="211">
        <f>'IWP15'!I$603</f>
        <v>0</v>
      </c>
      <c r="G5369" s="191" t="str">
        <f>IF('IWP15'!J$603=0,"",'IWP15'!J$603)</f>
        <v/>
      </c>
      <c r="H5369" s="211">
        <f>'IWP15'!K$603</f>
        <v>0</v>
      </c>
      <c r="I5369" s="211">
        <f>'IWP15'!L$603</f>
        <v>0</v>
      </c>
      <c r="J5369" s="212">
        <f>'IWP15'!M$603</f>
        <v>0</v>
      </c>
      <c r="K5369" s="106"/>
      <c r="L5369" s="106"/>
      <c r="M5369" s="129"/>
    </row>
    <row r="5370" spans="1:13" s="146" customFormat="1">
      <c r="A5370" s="193" t="s">
        <v>513</v>
      </c>
      <c r="B5370" s="210">
        <v>16</v>
      </c>
      <c r="C5370" s="191" t="str">
        <f>IF('IWP15'!E$604=0,"",'IWP15'!E$604)</f>
        <v/>
      </c>
      <c r="D5370" s="211">
        <f>'IWP15'!G$604</f>
        <v>0</v>
      </c>
      <c r="E5370" s="211">
        <f>'IWP15'!H$604</f>
        <v>0</v>
      </c>
      <c r="F5370" s="211">
        <f>'IWP15'!I$604</f>
        <v>0</v>
      </c>
      <c r="G5370" s="191" t="str">
        <f>IF('IWP15'!J$604=0,"",'IWP15'!J$604)</f>
        <v/>
      </c>
      <c r="H5370" s="211">
        <f>'IWP15'!K$604</f>
        <v>0</v>
      </c>
      <c r="I5370" s="211">
        <f>'IWP15'!L$604</f>
        <v>0</v>
      </c>
      <c r="J5370" s="212">
        <f>'IWP15'!M$604</f>
        <v>0</v>
      </c>
      <c r="K5370" s="106"/>
      <c r="L5370" s="106"/>
      <c r="M5370" s="129"/>
    </row>
    <row r="5371" spans="1:13" s="146" customFormat="1">
      <c r="A5371" s="193" t="s">
        <v>513</v>
      </c>
      <c r="B5371" s="210">
        <v>17</v>
      </c>
      <c r="C5371" s="191" t="str">
        <f>IF('IWP15'!E$611=0,"",'IWP15'!E$611)</f>
        <v>Subtotal column D.</v>
      </c>
      <c r="D5371" s="211">
        <f>'IWP15'!G$611</f>
        <v>0</v>
      </c>
      <c r="E5371" s="211">
        <f>'IWP15'!H$611</f>
        <v>0</v>
      </c>
      <c r="F5371" s="211">
        <f>'IWP15'!I$611</f>
        <v>0</v>
      </c>
      <c r="G5371" s="191" t="str">
        <f>IF('IWP15'!J$611=0,"",'IWP15'!J$611)</f>
        <v/>
      </c>
      <c r="H5371" s="211">
        <f>'IWP15'!K$611</f>
        <v>0</v>
      </c>
      <c r="I5371" s="211">
        <f>'IWP15'!L$611</f>
        <v>0</v>
      </c>
      <c r="J5371" s="212">
        <f>'IWP15'!M$611</f>
        <v>0</v>
      </c>
      <c r="K5371" s="106"/>
      <c r="L5371" s="106"/>
      <c r="M5371" s="129"/>
    </row>
    <row r="5372" spans="1:13" s="146" customFormat="1">
      <c r="A5372" s="193" t="s">
        <v>513</v>
      </c>
      <c r="B5372" s="210">
        <v>17</v>
      </c>
      <c r="C5372" s="191" t="str">
        <f>IF('IWP15'!E$612=0,"",'IWP15'!E$612)</f>
        <v>Unverified/Undocumented (Subtotal D - C)</v>
      </c>
      <c r="D5372" s="211">
        <f>'IWP15'!G$612</f>
        <v>0</v>
      </c>
      <c r="E5372" s="211">
        <f>'IWP15'!H$612</f>
        <v>0</v>
      </c>
      <c r="F5372" s="211">
        <f>'IWP15'!I$612</f>
        <v>0</v>
      </c>
      <c r="G5372" s="191" t="str">
        <f>IF('IWP15'!J$612=0,"",'IWP15'!J$612)</f>
        <v/>
      </c>
      <c r="H5372" s="211">
        <f>'IWP15'!K$612</f>
        <v>0</v>
      </c>
      <c r="I5372" s="211">
        <f>'IWP15'!L$612</f>
        <v>0</v>
      </c>
      <c r="J5372" s="212">
        <f>'IWP15'!M$612</f>
        <v>0</v>
      </c>
      <c r="K5372" s="106"/>
      <c r="L5372" s="106"/>
      <c r="M5372" s="129"/>
    </row>
    <row r="5373" spans="1:13" s="146" customFormat="1">
      <c r="A5373" s="193" t="s">
        <v>513</v>
      </c>
      <c r="B5373" s="210">
        <v>17</v>
      </c>
      <c r="C5373" s="191" t="str">
        <f>IF('IWP15'!E$613=0,"",'IWP15'!E$613)</f>
        <v>J. Billing Period Total</v>
      </c>
      <c r="D5373" s="211">
        <f>'IWP15'!G$613</f>
        <v>0</v>
      </c>
      <c r="E5373" s="211">
        <f>'IWP15'!H$613</f>
        <v>0</v>
      </c>
      <c r="F5373" s="211">
        <f>'IWP15'!I$613</f>
        <v>0</v>
      </c>
      <c r="G5373" s="191" t="str">
        <f>IF('IWP15'!J$613=0,"",'IWP15'!J$613)</f>
        <v/>
      </c>
      <c r="H5373" s="211">
        <f>'IWP15'!K$613</f>
        <v>0</v>
      </c>
      <c r="I5373" s="211">
        <f>'IWP15'!L$613</f>
        <v>0</v>
      </c>
      <c r="J5373" s="212">
        <f>'IWP15'!M$613</f>
        <v>0</v>
      </c>
      <c r="K5373" s="106"/>
      <c r="L5373" s="106"/>
      <c r="M5373" s="129"/>
    </row>
    <row r="5374" spans="1:13" s="146" customFormat="1">
      <c r="A5374" s="193" t="s">
        <v>513</v>
      </c>
      <c r="B5374" s="210">
        <v>17</v>
      </c>
      <c r="C5374" s="191" t="str">
        <f>IF('IWP15'!E$614=0,"",'IWP15'!E$614)</f>
        <v/>
      </c>
      <c r="D5374" s="211">
        <f>'IWP15'!G$614</f>
        <v>0</v>
      </c>
      <c r="E5374" s="211">
        <f>'IWP15'!H$614</f>
        <v>0</v>
      </c>
      <c r="F5374" s="211">
        <f>'IWP15'!I$614</f>
        <v>0</v>
      </c>
      <c r="G5374" s="191" t="str">
        <f>IF('IWP15'!J$614=0,"",'IWP15'!J$614)</f>
        <v/>
      </c>
      <c r="H5374" s="211">
        <f>'IWP15'!K$614</f>
        <v>0</v>
      </c>
      <c r="I5374" s="211">
        <f>'IWP15'!L$614</f>
        <v>0</v>
      </c>
      <c r="J5374" s="212">
        <f>'IWP15'!M$614</f>
        <v>0</v>
      </c>
      <c r="K5374" s="106"/>
      <c r="L5374" s="106"/>
      <c r="M5374" s="129"/>
    </row>
    <row r="5375" spans="1:13" s="146" customFormat="1">
      <c r="A5375" s="193" t="s">
        <v>513</v>
      </c>
      <c r="B5375" s="210">
        <v>17</v>
      </c>
      <c r="C5375" s="191" t="str">
        <f>IF('IWP15'!E$615=0,"",'IWP15'!E$615)</f>
        <v/>
      </c>
      <c r="D5375" s="211">
        <f>'IWP15'!G$615</f>
        <v>0</v>
      </c>
      <c r="E5375" s="211">
        <f>'IWP15'!H$615</f>
        <v>0</v>
      </c>
      <c r="F5375" s="211">
        <f>'IWP15'!I$615</f>
        <v>0</v>
      </c>
      <c r="G5375" s="191" t="str">
        <f>IF('IWP15'!J$615=0,"",'IWP15'!J$615)</f>
        <v/>
      </c>
      <c r="H5375" s="211">
        <f>'IWP15'!K$615</f>
        <v>0</v>
      </c>
      <c r="I5375" s="211">
        <f>'IWP15'!L$615</f>
        <v>0</v>
      </c>
      <c r="J5375" s="212">
        <f>'IWP15'!M$615</f>
        <v>0</v>
      </c>
      <c r="K5375" s="106"/>
      <c r="L5375" s="106"/>
      <c r="M5375" s="129"/>
    </row>
    <row r="5376" spans="1:13" s="146" customFormat="1">
      <c r="A5376" s="193" t="s">
        <v>513</v>
      </c>
      <c r="B5376" s="210">
        <v>17</v>
      </c>
      <c r="C5376" s="191" t="str">
        <f>IF('IWP15'!E$616=0,"",'IWP15'!E$616)</f>
        <v/>
      </c>
      <c r="D5376" s="211">
        <f>'IWP15'!G$616</f>
        <v>0</v>
      </c>
      <c r="E5376" s="211">
        <f>'IWP15'!H$616</f>
        <v>0</v>
      </c>
      <c r="F5376" s="211">
        <f>'IWP15'!I$616</f>
        <v>0</v>
      </c>
      <c r="G5376" s="191" t="str">
        <f>IF('IWP15'!J$616=0,"",'IWP15'!J$616)</f>
        <v/>
      </c>
      <c r="H5376" s="211">
        <f>'IWP15'!K$616</f>
        <v>0</v>
      </c>
      <c r="I5376" s="211">
        <f>'IWP15'!L$616</f>
        <v>0</v>
      </c>
      <c r="J5376" s="212">
        <f>'IWP15'!M$616</f>
        <v>0</v>
      </c>
      <c r="K5376" s="106"/>
      <c r="L5376" s="106"/>
      <c r="M5376" s="129"/>
    </row>
    <row r="5377" spans="1:13" s="146" customFormat="1">
      <c r="A5377" s="193" t="s">
        <v>513</v>
      </c>
      <c r="B5377" s="210">
        <v>17</v>
      </c>
      <c r="C5377" s="191" t="str">
        <f>IF('IWP15'!E$617=0,"",'IWP15'!E$617)</f>
        <v/>
      </c>
      <c r="D5377" s="211">
        <f>'IWP15'!G$617</f>
        <v>0</v>
      </c>
      <c r="E5377" s="211">
        <f>'IWP15'!H$617</f>
        <v>0</v>
      </c>
      <c r="F5377" s="211">
        <f>'IWP15'!I$617</f>
        <v>0</v>
      </c>
      <c r="G5377" s="191" t="str">
        <f>IF('IWP15'!J$617=0,"",'IWP15'!J$617)</f>
        <v/>
      </c>
      <c r="H5377" s="211">
        <f>'IWP15'!K$617</f>
        <v>0</v>
      </c>
      <c r="I5377" s="211">
        <f>'IWP15'!L$617</f>
        <v>0</v>
      </c>
      <c r="J5377" s="212">
        <f>'IWP15'!M$617</f>
        <v>0</v>
      </c>
      <c r="K5377" s="106"/>
      <c r="L5377" s="106"/>
      <c r="M5377" s="129"/>
    </row>
    <row r="5378" spans="1:13" s="146" customFormat="1">
      <c r="A5378" s="193" t="s">
        <v>513</v>
      </c>
      <c r="B5378" s="210">
        <v>17</v>
      </c>
      <c r="C5378" s="191" t="str">
        <f>IF('IWP15'!E$618=0,"",'IWP15'!E$618)</f>
        <v/>
      </c>
      <c r="D5378" s="211">
        <f>'IWP15'!G$618</f>
        <v>0</v>
      </c>
      <c r="E5378" s="211">
        <f>'IWP15'!H$618</f>
        <v>0</v>
      </c>
      <c r="F5378" s="211">
        <f>'IWP15'!I$618</f>
        <v>0</v>
      </c>
      <c r="G5378" s="191" t="str">
        <f>IF('IWP15'!J$618=0,"",'IWP15'!J$618)</f>
        <v/>
      </c>
      <c r="H5378" s="211">
        <f>'IWP15'!K$618</f>
        <v>0</v>
      </c>
      <c r="I5378" s="211">
        <f>'IWP15'!L$618</f>
        <v>0</v>
      </c>
      <c r="J5378" s="212">
        <f>'IWP15'!M$618</f>
        <v>0</v>
      </c>
      <c r="K5378" s="106"/>
      <c r="L5378" s="106"/>
      <c r="M5378" s="129"/>
    </row>
    <row r="5379" spans="1:13" s="146" customFormat="1">
      <c r="A5379" s="193" t="s">
        <v>513</v>
      </c>
      <c r="B5379" s="210">
        <v>17</v>
      </c>
      <c r="C5379" s="191" t="str">
        <f>IF('IWP15'!E$619=0,"",'IWP15'!E$619)</f>
        <v/>
      </c>
      <c r="D5379" s="211">
        <f>'IWP15'!G$619</f>
        <v>0</v>
      </c>
      <c r="E5379" s="211">
        <f>'IWP15'!H$619</f>
        <v>0</v>
      </c>
      <c r="F5379" s="211">
        <f>'IWP15'!I$619</f>
        <v>0</v>
      </c>
      <c r="G5379" s="191" t="str">
        <f>IF('IWP15'!J$619=0,"",'IWP15'!J$619)</f>
        <v/>
      </c>
      <c r="H5379" s="211">
        <f>'IWP15'!K$619</f>
        <v>0</v>
      </c>
      <c r="I5379" s="211">
        <f>'IWP15'!L$619</f>
        <v>0</v>
      </c>
      <c r="J5379" s="212">
        <f>'IWP15'!M$619</f>
        <v>0</v>
      </c>
      <c r="K5379" s="106"/>
      <c r="L5379" s="106"/>
      <c r="M5379" s="129"/>
    </row>
    <row r="5380" spans="1:13" s="146" customFormat="1">
      <c r="A5380" s="193" t="s">
        <v>513</v>
      </c>
      <c r="B5380" s="210">
        <v>17</v>
      </c>
      <c r="C5380" s="191" t="str">
        <f>IF('IWP15'!E$620=0,"",'IWP15'!E$620)</f>
        <v/>
      </c>
      <c r="D5380" s="211">
        <f>'IWP15'!G$620</f>
        <v>0</v>
      </c>
      <c r="E5380" s="211">
        <f>'IWP15'!H$620</f>
        <v>0</v>
      </c>
      <c r="F5380" s="211">
        <f>'IWP15'!I$620</f>
        <v>0</v>
      </c>
      <c r="G5380" s="191" t="str">
        <f>IF('IWP15'!J$620=0,"",'IWP15'!J$620)</f>
        <v/>
      </c>
      <c r="H5380" s="211">
        <f>'IWP15'!K$620</f>
        <v>0</v>
      </c>
      <c r="I5380" s="211">
        <f>'IWP15'!L$620</f>
        <v>0</v>
      </c>
      <c r="J5380" s="212">
        <f>'IWP15'!M$620</f>
        <v>0</v>
      </c>
      <c r="K5380" s="106"/>
      <c r="L5380" s="106"/>
      <c r="M5380" s="129"/>
    </row>
    <row r="5381" spans="1:13" s="146" customFormat="1">
      <c r="A5381" s="193" t="s">
        <v>513</v>
      </c>
      <c r="B5381" s="210">
        <v>18</v>
      </c>
      <c r="C5381" s="191" t="str">
        <f>IF('IWP15'!E$627=0,"",'IWP15'!E$627)</f>
        <v/>
      </c>
      <c r="D5381" s="211">
        <f>'IWP15'!G$627</f>
        <v>0</v>
      </c>
      <c r="E5381" s="211">
        <f>'IWP15'!H$627</f>
        <v>0</v>
      </c>
      <c r="F5381" s="211">
        <f>'IWP15'!I$627</f>
        <v>0</v>
      </c>
      <c r="G5381" s="191" t="str">
        <f>IF('IWP15'!J$627=0,"",'IWP15'!J$627)</f>
        <v/>
      </c>
      <c r="H5381" s="211">
        <f>'IWP15'!K$627</f>
        <v>0</v>
      </c>
      <c r="I5381" s="211">
        <f>'IWP15'!L$627</f>
        <v>0</v>
      </c>
      <c r="J5381" s="212">
        <f>'IWP15'!M$627</f>
        <v>0</v>
      </c>
      <c r="K5381" s="106"/>
      <c r="L5381" s="106"/>
      <c r="M5381" s="129"/>
    </row>
    <row r="5382" spans="1:13" s="146" customFormat="1">
      <c r="A5382" s="193" t="s">
        <v>513</v>
      </c>
      <c r="B5382" s="210">
        <v>18</v>
      </c>
      <c r="C5382" s="191" t="str">
        <f>IF('IWP15'!E$628=0,"",'IWP15'!E$628)</f>
        <v/>
      </c>
      <c r="D5382" s="211">
        <f>'IWP15'!G$628</f>
        <v>0</v>
      </c>
      <c r="E5382" s="211">
        <f>'IWP15'!H$628</f>
        <v>0</v>
      </c>
      <c r="F5382" s="211">
        <f>'IWP15'!I$628</f>
        <v>0</v>
      </c>
      <c r="G5382" s="191" t="str">
        <f>IF('IWP15'!J$628=0,"",'IWP15'!J$628)</f>
        <v/>
      </c>
      <c r="H5382" s="211">
        <f>'IWP15'!K$628</f>
        <v>0</v>
      </c>
      <c r="I5382" s="211">
        <f>'IWP15'!L$628</f>
        <v>0</v>
      </c>
      <c r="J5382" s="212">
        <f>'IWP15'!M$628</f>
        <v>0</v>
      </c>
      <c r="K5382" s="106"/>
      <c r="L5382" s="106"/>
      <c r="M5382" s="129"/>
    </row>
    <row r="5383" spans="1:13" s="146" customFormat="1">
      <c r="A5383" s="193" t="s">
        <v>513</v>
      </c>
      <c r="B5383" s="210">
        <v>18</v>
      </c>
      <c r="C5383" s="191" t="str">
        <f>IF('IWP15'!E$629=0,"",'IWP15'!E$629)</f>
        <v/>
      </c>
      <c r="D5383" s="211">
        <f>'IWP15'!G$629</f>
        <v>0</v>
      </c>
      <c r="E5383" s="211">
        <f>'IWP15'!H$629</f>
        <v>0</v>
      </c>
      <c r="F5383" s="211">
        <f>'IWP15'!I$629</f>
        <v>0</v>
      </c>
      <c r="G5383" s="191" t="str">
        <f>IF('IWP15'!J$629=0,"",'IWP15'!J$629)</f>
        <v/>
      </c>
      <c r="H5383" s="211">
        <f>'IWP15'!K$629</f>
        <v>0</v>
      </c>
      <c r="I5383" s="211">
        <f>'IWP15'!L$629</f>
        <v>0</v>
      </c>
      <c r="J5383" s="212">
        <f>'IWP15'!M$629</f>
        <v>0</v>
      </c>
      <c r="K5383" s="106"/>
      <c r="L5383" s="106"/>
      <c r="M5383" s="129"/>
    </row>
    <row r="5384" spans="1:13" s="146" customFormat="1">
      <c r="A5384" s="193" t="s">
        <v>513</v>
      </c>
      <c r="B5384" s="210">
        <v>18</v>
      </c>
      <c r="C5384" s="191" t="str">
        <f>IF('IWP15'!E$630=0,"",'IWP15'!E$630)</f>
        <v/>
      </c>
      <c r="D5384" s="211">
        <f>'IWP15'!G$630</f>
        <v>0</v>
      </c>
      <c r="E5384" s="211">
        <f>'IWP15'!H$630</f>
        <v>0</v>
      </c>
      <c r="F5384" s="211">
        <f>'IWP15'!I$630</f>
        <v>0</v>
      </c>
      <c r="G5384" s="191" t="str">
        <f>IF('IWP15'!J$630=0,"",'IWP15'!J$630)</f>
        <v/>
      </c>
      <c r="H5384" s="211">
        <f>'IWP15'!K$630</f>
        <v>0</v>
      </c>
      <c r="I5384" s="211">
        <f>'IWP15'!L$630</f>
        <v>0</v>
      </c>
      <c r="J5384" s="212">
        <f>'IWP15'!M$630</f>
        <v>0</v>
      </c>
      <c r="K5384" s="106"/>
      <c r="L5384" s="106"/>
      <c r="M5384" s="129"/>
    </row>
    <row r="5385" spans="1:13" s="146" customFormat="1">
      <c r="A5385" s="193" t="s">
        <v>513</v>
      </c>
      <c r="B5385" s="210">
        <v>18</v>
      </c>
      <c r="C5385" s="191" t="str">
        <f>IF('IWP15'!E$631=0,"",'IWP15'!E$631)</f>
        <v/>
      </c>
      <c r="D5385" s="211">
        <f>'IWP15'!G$631</f>
        <v>0</v>
      </c>
      <c r="E5385" s="211">
        <f>'IWP15'!H$631</f>
        <v>0</v>
      </c>
      <c r="F5385" s="211">
        <f>'IWP15'!I$631</f>
        <v>0</v>
      </c>
      <c r="G5385" s="191" t="str">
        <f>IF('IWP15'!J$631=0,"",'IWP15'!J$631)</f>
        <v/>
      </c>
      <c r="H5385" s="211">
        <f>'IWP15'!K$631</f>
        <v>0</v>
      </c>
      <c r="I5385" s="211">
        <f>'IWP15'!L$631</f>
        <v>0</v>
      </c>
      <c r="J5385" s="212">
        <f>'IWP15'!M$631</f>
        <v>0</v>
      </c>
      <c r="K5385" s="106"/>
      <c r="L5385" s="106"/>
      <c r="M5385" s="129"/>
    </row>
    <row r="5386" spans="1:13" s="146" customFormat="1">
      <c r="A5386" s="193" t="s">
        <v>513</v>
      </c>
      <c r="B5386" s="210">
        <v>18</v>
      </c>
      <c r="C5386" s="191" t="str">
        <f>IF('IWP15'!E$632=0,"",'IWP15'!E$632)</f>
        <v/>
      </c>
      <c r="D5386" s="211">
        <f>'IWP15'!G$632</f>
        <v>0</v>
      </c>
      <c r="E5386" s="211">
        <f>'IWP15'!H$632</f>
        <v>0</v>
      </c>
      <c r="F5386" s="211">
        <f>'IWP15'!I$632</f>
        <v>0</v>
      </c>
      <c r="G5386" s="191" t="str">
        <f>IF('IWP15'!J$632=0,"",'IWP15'!J$632)</f>
        <v/>
      </c>
      <c r="H5386" s="211">
        <f>'IWP15'!K$632</f>
        <v>0</v>
      </c>
      <c r="I5386" s="211">
        <f>'IWP15'!L$632</f>
        <v>0</v>
      </c>
      <c r="J5386" s="212">
        <f>'IWP15'!M$632</f>
        <v>0</v>
      </c>
      <c r="K5386" s="106"/>
      <c r="L5386" s="106"/>
      <c r="M5386" s="129"/>
    </row>
    <row r="5387" spans="1:13" s="146" customFormat="1">
      <c r="A5387" s="193" t="s">
        <v>513</v>
      </c>
      <c r="B5387" s="210">
        <v>18</v>
      </c>
      <c r="C5387" s="191" t="str">
        <f>IF('IWP15'!E$633=0,"",'IWP15'!E$633)</f>
        <v/>
      </c>
      <c r="D5387" s="211">
        <f>'IWP15'!G$633</f>
        <v>0</v>
      </c>
      <c r="E5387" s="211">
        <f>'IWP15'!H$633</f>
        <v>0</v>
      </c>
      <c r="F5387" s="211">
        <f>'IWP15'!I$633</f>
        <v>0</v>
      </c>
      <c r="G5387" s="191" t="str">
        <f>IF('IWP15'!J$633=0,"",'IWP15'!J$633)</f>
        <v/>
      </c>
      <c r="H5387" s="211">
        <f>'IWP15'!K$633</f>
        <v>0</v>
      </c>
      <c r="I5387" s="211">
        <f>'IWP15'!L$633</f>
        <v>0</v>
      </c>
      <c r="J5387" s="212">
        <f>'IWP15'!M$633</f>
        <v>0</v>
      </c>
      <c r="K5387" s="106"/>
      <c r="L5387" s="106"/>
      <c r="M5387" s="129"/>
    </row>
    <row r="5388" spans="1:13" s="146" customFormat="1">
      <c r="A5388" s="193" t="s">
        <v>513</v>
      </c>
      <c r="B5388" s="210">
        <v>18</v>
      </c>
      <c r="C5388" s="191" t="str">
        <f>IF('IWP15'!E$634=0,"",'IWP15'!E$634)</f>
        <v/>
      </c>
      <c r="D5388" s="211">
        <f>'IWP15'!G$634</f>
        <v>0</v>
      </c>
      <c r="E5388" s="211">
        <f>'IWP15'!H$634</f>
        <v>0</v>
      </c>
      <c r="F5388" s="211">
        <f>'IWP15'!I$634</f>
        <v>0</v>
      </c>
      <c r="G5388" s="191" t="str">
        <f>IF('IWP15'!J$634=0,"",'IWP15'!J$634)</f>
        <v/>
      </c>
      <c r="H5388" s="211">
        <f>'IWP15'!K$634</f>
        <v>0</v>
      </c>
      <c r="I5388" s="211">
        <f>'IWP15'!L$634</f>
        <v>0</v>
      </c>
      <c r="J5388" s="212">
        <f>'IWP15'!M$634</f>
        <v>0</v>
      </c>
      <c r="K5388" s="106"/>
      <c r="L5388" s="106"/>
      <c r="M5388" s="129"/>
    </row>
    <row r="5389" spans="1:13" s="146" customFormat="1">
      <c r="A5389" s="193" t="s">
        <v>513</v>
      </c>
      <c r="B5389" s="210">
        <v>18</v>
      </c>
      <c r="C5389" s="191" t="str">
        <f>IF('IWP15'!E$635=0,"",'IWP15'!E$635)</f>
        <v/>
      </c>
      <c r="D5389" s="211">
        <f>'IWP15'!G$635</f>
        <v>0</v>
      </c>
      <c r="E5389" s="211">
        <f>'IWP15'!H$635</f>
        <v>0</v>
      </c>
      <c r="F5389" s="211">
        <f>'IWP15'!I$635</f>
        <v>0</v>
      </c>
      <c r="G5389" s="191" t="str">
        <f>IF('IWP15'!J$635=0,"",'IWP15'!J$635)</f>
        <v/>
      </c>
      <c r="H5389" s="211">
        <f>'IWP15'!K$635</f>
        <v>0</v>
      </c>
      <c r="I5389" s="211">
        <f>'IWP15'!L$635</f>
        <v>0</v>
      </c>
      <c r="J5389" s="212">
        <f>'IWP15'!M$635</f>
        <v>0</v>
      </c>
      <c r="K5389" s="106"/>
      <c r="L5389" s="106"/>
      <c r="M5389" s="129"/>
    </row>
    <row r="5390" spans="1:13" s="146" customFormat="1">
      <c r="A5390" s="193" t="s">
        <v>513</v>
      </c>
      <c r="B5390" s="210">
        <v>18</v>
      </c>
      <c r="C5390" s="191" t="str">
        <f>IF('IWP15'!E$636=0,"",'IWP15'!E$636)</f>
        <v/>
      </c>
      <c r="D5390" s="211">
        <f>'IWP15'!G$636</f>
        <v>0</v>
      </c>
      <c r="E5390" s="211">
        <f>'IWP15'!H$636</f>
        <v>0</v>
      </c>
      <c r="F5390" s="211">
        <f>'IWP15'!I$636</f>
        <v>0</v>
      </c>
      <c r="G5390" s="191" t="str">
        <f>IF('IWP15'!J$636=0,"",'IWP15'!J$636)</f>
        <v/>
      </c>
      <c r="H5390" s="211">
        <f>'IWP15'!K$636</f>
        <v>0</v>
      </c>
      <c r="I5390" s="211">
        <f>'IWP15'!L$636</f>
        <v>0</v>
      </c>
      <c r="J5390" s="212">
        <f>'IWP15'!M$636</f>
        <v>0</v>
      </c>
      <c r="K5390" s="106"/>
      <c r="L5390" s="106"/>
      <c r="M5390" s="129"/>
    </row>
    <row r="5391" spans="1:13" s="146" customFormat="1">
      <c r="A5391" s="193" t="s">
        <v>514</v>
      </c>
      <c r="B5391" s="210">
        <v>1</v>
      </c>
      <c r="C5391" s="191" t="str">
        <f>IF('IWP16'!E$355=0,"",'IWP16'!E$355)</f>
        <v>Subtotal column D.</v>
      </c>
      <c r="D5391" s="211">
        <f>'IWP16'!G$355</f>
        <v>0</v>
      </c>
      <c r="E5391" s="211">
        <f>'IWP16'!H$355</f>
        <v>0</v>
      </c>
      <c r="F5391" s="211">
        <f>'IWP16'!I$355</f>
        <v>0</v>
      </c>
      <c r="G5391" s="191" t="str">
        <f>IF('IWP16'!J$355=0,"",'IWP16'!J$355)</f>
        <v/>
      </c>
      <c r="H5391" s="211">
        <f>'IWP16'!K$355</f>
        <v>0</v>
      </c>
      <c r="I5391" s="211">
        <f>'IWP16'!L$355</f>
        <v>0</v>
      </c>
      <c r="J5391" s="212">
        <f>'IWP16'!M$355</f>
        <v>0</v>
      </c>
      <c r="K5391" s="106"/>
      <c r="L5391" s="106"/>
      <c r="M5391" s="129"/>
    </row>
    <row r="5392" spans="1:13" s="146" customFormat="1">
      <c r="A5392" s="193" t="s">
        <v>514</v>
      </c>
      <c r="B5392" s="210">
        <v>1</v>
      </c>
      <c r="C5392" s="191" t="str">
        <f>IF('IWP16'!E$356=0,"",'IWP16'!E$356)</f>
        <v>Unverified/Undocumented (Subtotall D - C)</v>
      </c>
      <c r="D5392" s="211">
        <f>'IWP16'!G$356</f>
        <v>0</v>
      </c>
      <c r="E5392" s="211">
        <f>'IWP16'!H$356</f>
        <v>0</v>
      </c>
      <c r="F5392" s="211">
        <f>'IWP16'!I$356</f>
        <v>0</v>
      </c>
      <c r="G5392" s="191" t="str">
        <f>IF('IWP16'!J$356=0,"",'IWP16'!J$356)</f>
        <v/>
      </c>
      <c r="H5392" s="211">
        <f>'IWP16'!K$356</f>
        <v>0</v>
      </c>
      <c r="I5392" s="211">
        <f>'IWP16'!L$356</f>
        <v>0</v>
      </c>
      <c r="J5392" s="212">
        <f>'IWP16'!M$356</f>
        <v>0</v>
      </c>
      <c r="K5392" s="106"/>
      <c r="L5392" s="106"/>
      <c r="M5392" s="129"/>
    </row>
    <row r="5393" spans="1:13" s="146" customFormat="1">
      <c r="A5393" s="193" t="s">
        <v>514</v>
      </c>
      <c r="B5393" s="210">
        <v>1</v>
      </c>
      <c r="C5393" s="191" t="str">
        <f>IF('IWP16'!E$357=0,"",'IWP16'!E$357)</f>
        <v>J. Billing Period Total</v>
      </c>
      <c r="D5393" s="211">
        <f>'IWP16'!G$357</f>
        <v>0</v>
      </c>
      <c r="E5393" s="211">
        <f>'IWP16'!H$357</f>
        <v>0</v>
      </c>
      <c r="F5393" s="211">
        <f>'IWP16'!I$357</f>
        <v>0</v>
      </c>
      <c r="G5393" s="191" t="str">
        <f>IF('IWP16'!J$357=0,"",'IWP16'!J$357)</f>
        <v/>
      </c>
      <c r="H5393" s="211">
        <f>'IWP16'!K$357</f>
        <v>0</v>
      </c>
      <c r="I5393" s="211">
        <f>'IWP16'!L$357</f>
        <v>0</v>
      </c>
      <c r="J5393" s="212">
        <f>'IWP16'!M$357</f>
        <v>0</v>
      </c>
      <c r="K5393" s="106"/>
      <c r="L5393" s="106"/>
      <c r="M5393" s="129"/>
    </row>
    <row r="5394" spans="1:13" s="146" customFormat="1">
      <c r="A5394" s="193" t="s">
        <v>514</v>
      </c>
      <c r="B5394" s="210">
        <v>1</v>
      </c>
      <c r="C5394" s="191" t="str">
        <f>IF('IWP16'!E$358=0,"",'IWP16'!E$358)</f>
        <v>D.</v>
      </c>
      <c r="D5394" s="211">
        <f>'IWP16'!G$358</f>
        <v>0</v>
      </c>
      <c r="E5394" s="211" t="str">
        <f>'IWP16'!H$358</f>
        <v>E.</v>
      </c>
      <c r="F5394" s="211" t="str">
        <f>'IWP16'!I$358</f>
        <v>F.</v>
      </c>
      <c r="G5394" s="191" t="str">
        <f>IF('IWP16'!J$358=0,"",'IWP16'!J$358)</f>
        <v>G.</v>
      </c>
      <c r="H5394" s="211">
        <f>'IWP16'!K$358</f>
        <v>0</v>
      </c>
      <c r="I5394" s="211" t="str">
        <f>'IWP16'!L$358</f>
        <v>H.</v>
      </c>
      <c r="J5394" s="212" t="str">
        <f>'IWP16'!M$358</f>
        <v>I.</v>
      </c>
      <c r="K5394" s="106"/>
      <c r="L5394" s="106"/>
      <c r="M5394" s="129"/>
    </row>
    <row r="5395" spans="1:13" s="146" customFormat="1">
      <c r="A5395" s="193" t="s">
        <v>514</v>
      </c>
      <c r="B5395" s="210">
        <v>1</v>
      </c>
      <c r="C5395" s="191" t="str">
        <f>IF('IWP16'!E$359=0,"",'IWP16'!E$359)</f>
        <v xml:space="preserve">Items/Services Related to Billing Period </v>
      </c>
      <c r="D5395" s="211">
        <f>'IWP16'!G$359</f>
        <v>0</v>
      </c>
      <c r="E5395" s="211" t="str">
        <f>'IWP16'!H$359</f>
        <v xml:space="preserve">Item/
Service Verified Amounts
</v>
      </c>
      <c r="F5395" s="211" t="str">
        <f>'IWP16'!I$359</f>
        <v>Amount Due to DADS (E. - D.)</v>
      </c>
      <c r="G5395" s="191" t="str">
        <f>IF('IWP16'!J$359=0,"",'IWP16'!J$359)</f>
        <v>Amount Reimbursed to 
Employee(s)/Employer</v>
      </c>
      <c r="H5395" s="211">
        <f>'IWP16'!K$359</f>
        <v>0</v>
      </c>
      <c r="I5395" s="211" t="str">
        <f>'IWP16'!L$359</f>
        <v>Amount Due to Employee(s) (G. - E.)</v>
      </c>
      <c r="J5395" s="212" t="str">
        <f>'IWP16'!M$359</f>
        <v>Amount Due to Employer (G. - E.)</v>
      </c>
      <c r="K5395" s="106"/>
      <c r="L5395" s="106"/>
      <c r="M5395" s="129"/>
    </row>
    <row r="5396" spans="1:13" s="146" customFormat="1">
      <c r="A5396" s="193" t="s">
        <v>514</v>
      </c>
      <c r="B5396" s="210">
        <v>1</v>
      </c>
      <c r="C5396" s="191" t="str">
        <f>IF('IWP16'!E$360=0,"",'IWP16'!E$360)</f>
        <v>Item/Service</v>
      </c>
      <c r="D5396" s="211" t="str">
        <f>'IWP16'!G$360</f>
        <v>Itemized Amount Paid by DADS</v>
      </c>
      <c r="E5396" s="211">
        <f>'IWP16'!H$360</f>
        <v>0</v>
      </c>
      <c r="F5396" s="211">
        <f>'IWP16'!I$360</f>
        <v>0</v>
      </c>
      <c r="G5396" s="191" t="str">
        <f>IF('IWP16'!J$360=0,"",'IWP16'!J$360)</f>
        <v/>
      </c>
      <c r="H5396" s="211">
        <f>'IWP16'!K$360</f>
        <v>0</v>
      </c>
      <c r="I5396" s="211">
        <f>'IWP16'!L$360</f>
        <v>0</v>
      </c>
      <c r="J5396" s="212">
        <f>'IWP16'!M$360</f>
        <v>0</v>
      </c>
      <c r="K5396" s="106"/>
      <c r="L5396" s="106"/>
      <c r="M5396" s="129"/>
    </row>
    <row r="5397" spans="1:13" s="146" customFormat="1">
      <c r="A5397" s="193" t="s">
        <v>514</v>
      </c>
      <c r="B5397" s="210">
        <v>1</v>
      </c>
      <c r="C5397" s="191" t="str">
        <f>IF('IWP16'!E$361=0,"",'IWP16'!E$361)</f>
        <v/>
      </c>
      <c r="D5397" s="211">
        <f>'IWP16'!G$361</f>
        <v>0</v>
      </c>
      <c r="E5397" s="211">
        <f>'IWP16'!H$361</f>
        <v>0</v>
      </c>
      <c r="F5397" s="211">
        <f>'IWP16'!I$361</f>
        <v>0</v>
      </c>
      <c r="G5397" s="191" t="str">
        <f>IF('IWP16'!J$361=0,"",'IWP16'!J$361)</f>
        <v/>
      </c>
      <c r="H5397" s="211">
        <f>'IWP16'!K$361</f>
        <v>0</v>
      </c>
      <c r="I5397" s="211">
        <f>'IWP16'!L$361</f>
        <v>0</v>
      </c>
      <c r="J5397" s="212">
        <f>'IWP16'!M$361</f>
        <v>0</v>
      </c>
      <c r="K5397" s="106"/>
      <c r="L5397" s="106"/>
      <c r="M5397" s="129"/>
    </row>
    <row r="5398" spans="1:13" s="146" customFormat="1">
      <c r="A5398" s="193" t="s">
        <v>514</v>
      </c>
      <c r="B5398" s="210">
        <v>1</v>
      </c>
      <c r="C5398" s="191" t="str">
        <f>IF('IWP16'!E$362=0,"",'IWP16'!E$362)</f>
        <v/>
      </c>
      <c r="D5398" s="211">
        <f>'IWP16'!G$362</f>
        <v>0</v>
      </c>
      <c r="E5398" s="211">
        <f>'IWP16'!H$362</f>
        <v>0</v>
      </c>
      <c r="F5398" s="211">
        <f>'IWP16'!I$362</f>
        <v>0</v>
      </c>
      <c r="G5398" s="191" t="str">
        <f>IF('IWP16'!J$362=0,"",'IWP16'!J$362)</f>
        <v/>
      </c>
      <c r="H5398" s="211">
        <f>'IWP16'!K$362</f>
        <v>0</v>
      </c>
      <c r="I5398" s="211">
        <f>'IWP16'!L$362</f>
        <v>0</v>
      </c>
      <c r="J5398" s="212">
        <f>'IWP16'!M$362</f>
        <v>0</v>
      </c>
      <c r="K5398" s="106"/>
      <c r="L5398" s="106"/>
      <c r="M5398" s="129"/>
    </row>
    <row r="5399" spans="1:13" s="146" customFormat="1">
      <c r="A5399" s="193" t="s">
        <v>514</v>
      </c>
      <c r="B5399" s="210">
        <v>1</v>
      </c>
      <c r="C5399" s="191" t="str">
        <f>IF('IWP16'!E$363=0,"",'IWP16'!E$363)</f>
        <v/>
      </c>
      <c r="D5399" s="211">
        <f>'IWP16'!G$363</f>
        <v>0</v>
      </c>
      <c r="E5399" s="211">
        <f>'IWP16'!H$363</f>
        <v>0</v>
      </c>
      <c r="F5399" s="211">
        <f>'IWP16'!I$363</f>
        <v>0</v>
      </c>
      <c r="G5399" s="191" t="str">
        <f>IF('IWP16'!J$363=0,"",'IWP16'!J$363)</f>
        <v/>
      </c>
      <c r="H5399" s="211">
        <f>'IWP16'!K$363</f>
        <v>0</v>
      </c>
      <c r="I5399" s="211">
        <f>'IWP16'!L$363</f>
        <v>0</v>
      </c>
      <c r="J5399" s="212">
        <f>'IWP16'!M$363</f>
        <v>0</v>
      </c>
      <c r="K5399" s="106"/>
      <c r="L5399" s="106"/>
      <c r="M5399" s="129"/>
    </row>
    <row r="5400" spans="1:13" s="146" customFormat="1">
      <c r="A5400" s="193" t="s">
        <v>514</v>
      </c>
      <c r="B5400" s="210">
        <v>1</v>
      </c>
      <c r="C5400" s="191" t="str">
        <f>IF('IWP16'!E$364=0,"",'IWP16'!E$364)</f>
        <v/>
      </c>
      <c r="D5400" s="211">
        <f>'IWP16'!G$364</f>
        <v>0</v>
      </c>
      <c r="E5400" s="211">
        <f>'IWP16'!H$364</f>
        <v>0</v>
      </c>
      <c r="F5400" s="211">
        <f>'IWP16'!I$364</f>
        <v>0</v>
      </c>
      <c r="G5400" s="191" t="str">
        <f>IF('IWP16'!J$364=0,"",'IWP16'!J$364)</f>
        <v/>
      </c>
      <c r="H5400" s="211">
        <f>'IWP16'!K$364</f>
        <v>0</v>
      </c>
      <c r="I5400" s="211">
        <f>'IWP16'!L$364</f>
        <v>0</v>
      </c>
      <c r="J5400" s="212">
        <f>'IWP16'!M$364</f>
        <v>0</v>
      </c>
      <c r="K5400" s="106"/>
      <c r="L5400" s="106"/>
      <c r="M5400" s="129"/>
    </row>
    <row r="5401" spans="1:13" s="146" customFormat="1">
      <c r="A5401" s="193" t="s">
        <v>514</v>
      </c>
      <c r="B5401" s="210">
        <v>2</v>
      </c>
      <c r="C5401" s="191" t="str">
        <f>IF('IWP16'!E$371=0,"",'IWP16'!E$371)</f>
        <v>Subtotal column D.</v>
      </c>
      <c r="D5401" s="211">
        <f>'IWP16'!G$371</f>
        <v>0</v>
      </c>
      <c r="E5401" s="211">
        <f>'IWP16'!H$371</f>
        <v>0</v>
      </c>
      <c r="F5401" s="211">
        <f>'IWP16'!I$371</f>
        <v>0</v>
      </c>
      <c r="G5401" s="191" t="str">
        <f>IF('IWP16'!J$371=0,"",'IWP16'!J$371)</f>
        <v/>
      </c>
      <c r="H5401" s="211">
        <f>'IWP16'!K$371</f>
        <v>0</v>
      </c>
      <c r="I5401" s="211">
        <f>'IWP16'!L$371</f>
        <v>0</v>
      </c>
      <c r="J5401" s="212">
        <f>'IWP16'!M$371</f>
        <v>0</v>
      </c>
      <c r="K5401" s="106"/>
      <c r="L5401" s="106"/>
      <c r="M5401" s="129"/>
    </row>
    <row r="5402" spans="1:13" s="146" customFormat="1">
      <c r="A5402" s="193" t="s">
        <v>514</v>
      </c>
      <c r="B5402" s="210">
        <v>2</v>
      </c>
      <c r="C5402" s="191" t="str">
        <f>IF('IWP16'!E$372=0,"",'IWP16'!E$372)</f>
        <v>Unverified/Undocumented (Subtotal D - C)</v>
      </c>
      <c r="D5402" s="211">
        <f>'IWP16'!G$372</f>
        <v>0</v>
      </c>
      <c r="E5402" s="211">
        <f>'IWP16'!H$372</f>
        <v>0</v>
      </c>
      <c r="F5402" s="211">
        <f>'IWP16'!I$372</f>
        <v>0</v>
      </c>
      <c r="G5402" s="191" t="str">
        <f>IF('IWP16'!J$372=0,"",'IWP16'!J$372)</f>
        <v/>
      </c>
      <c r="H5402" s="211">
        <f>'IWP16'!K$372</f>
        <v>0</v>
      </c>
      <c r="I5402" s="211">
        <f>'IWP16'!L$372</f>
        <v>0</v>
      </c>
      <c r="J5402" s="212">
        <f>'IWP16'!M$372</f>
        <v>0</v>
      </c>
      <c r="K5402" s="106"/>
      <c r="L5402" s="106"/>
      <c r="M5402" s="129"/>
    </row>
    <row r="5403" spans="1:13" s="146" customFormat="1">
      <c r="A5403" s="193" t="s">
        <v>514</v>
      </c>
      <c r="B5403" s="210">
        <v>2</v>
      </c>
      <c r="C5403" s="191" t="str">
        <f>IF('IWP16'!E$373=0,"",'IWP16'!E$373)</f>
        <v>J. Billing Period Total</v>
      </c>
      <c r="D5403" s="211">
        <f>'IWP16'!G$373</f>
        <v>0</v>
      </c>
      <c r="E5403" s="211">
        <f>'IWP16'!H$373</f>
        <v>0</v>
      </c>
      <c r="F5403" s="211">
        <f>'IWP16'!I$373</f>
        <v>0</v>
      </c>
      <c r="G5403" s="191" t="str">
        <f>IF('IWP16'!J$373=0,"",'IWP16'!J$373)</f>
        <v/>
      </c>
      <c r="H5403" s="211">
        <f>'IWP16'!K$373</f>
        <v>0</v>
      </c>
      <c r="I5403" s="211">
        <f>'IWP16'!L$373</f>
        <v>0</v>
      </c>
      <c r="J5403" s="212">
        <f>'IWP16'!M$373</f>
        <v>0</v>
      </c>
      <c r="K5403" s="106"/>
      <c r="L5403" s="106"/>
      <c r="M5403" s="129"/>
    </row>
    <row r="5404" spans="1:13" s="146" customFormat="1">
      <c r="A5404" s="193" t="s">
        <v>514</v>
      </c>
      <c r="B5404" s="210">
        <v>2</v>
      </c>
      <c r="C5404" s="191" t="str">
        <f>IF('IWP16'!E$374=0,"",'IWP16'!E$374)</f>
        <v>D.</v>
      </c>
      <c r="D5404" s="211">
        <f>'IWP16'!G$374</f>
        <v>0</v>
      </c>
      <c r="E5404" s="211" t="str">
        <f>'IWP16'!H$374</f>
        <v>E.</v>
      </c>
      <c r="F5404" s="211" t="str">
        <f>'IWP16'!I$374</f>
        <v>F.</v>
      </c>
      <c r="G5404" s="191" t="str">
        <f>IF('IWP16'!J$374=0,"",'IWP16'!J$374)</f>
        <v>G.</v>
      </c>
      <c r="H5404" s="211">
        <f>'IWP16'!K$374</f>
        <v>0</v>
      </c>
      <c r="I5404" s="211" t="str">
        <f>'IWP16'!L$374</f>
        <v>H.</v>
      </c>
      <c r="J5404" s="212" t="str">
        <f>'IWP16'!M$374</f>
        <v>I.</v>
      </c>
      <c r="K5404" s="106"/>
      <c r="L5404" s="106"/>
      <c r="M5404" s="129"/>
    </row>
    <row r="5405" spans="1:13" s="146" customFormat="1">
      <c r="A5405" s="193" t="s">
        <v>514</v>
      </c>
      <c r="B5405" s="210">
        <v>2</v>
      </c>
      <c r="C5405" s="191" t="str">
        <f>IF('IWP16'!E$375=0,"",'IWP16'!E$375)</f>
        <v xml:space="preserve">Items/Services Related to Billing Period </v>
      </c>
      <c r="D5405" s="211">
        <f>'IWP16'!G$375</f>
        <v>0</v>
      </c>
      <c r="E5405" s="211" t="str">
        <f>'IWP16'!H$375</f>
        <v xml:space="preserve">Item/
Service Verified Amounts
</v>
      </c>
      <c r="F5405" s="211" t="str">
        <f>'IWP16'!I$375</f>
        <v>Amount Due to DADS (E. - D.)</v>
      </c>
      <c r="G5405" s="191" t="str">
        <f>IF('IWP16'!J$375=0,"",'IWP16'!J$375)</f>
        <v>Amount Reimbursed to 
Employee(s)/Employer</v>
      </c>
      <c r="H5405" s="211">
        <f>'IWP16'!K$375</f>
        <v>0</v>
      </c>
      <c r="I5405" s="211" t="str">
        <f>'IWP16'!L$375</f>
        <v>Amount Due to Employee(s) (G. - E.)</v>
      </c>
      <c r="J5405" s="212" t="str">
        <f>'IWP16'!M$375</f>
        <v>Amount Due to Employer (G. - E.)</v>
      </c>
      <c r="K5405" s="106"/>
      <c r="L5405" s="106"/>
      <c r="M5405" s="129"/>
    </row>
    <row r="5406" spans="1:13" s="146" customFormat="1">
      <c r="A5406" s="193" t="s">
        <v>514</v>
      </c>
      <c r="B5406" s="210">
        <v>2</v>
      </c>
      <c r="C5406" s="191" t="str">
        <f>IF('IWP16'!E$376=0,"",'IWP16'!E$376)</f>
        <v>Item/Service</v>
      </c>
      <c r="D5406" s="211" t="str">
        <f>'IWP16'!G$376</f>
        <v>Itemized Amount Paid by DADS</v>
      </c>
      <c r="E5406" s="211">
        <f>'IWP16'!H$376</f>
        <v>0</v>
      </c>
      <c r="F5406" s="211">
        <f>'IWP16'!I$376</f>
        <v>0</v>
      </c>
      <c r="G5406" s="191" t="str">
        <f>IF('IWP16'!J$376=0,"",'IWP16'!J$376)</f>
        <v/>
      </c>
      <c r="H5406" s="211">
        <f>'IWP16'!K$376</f>
        <v>0</v>
      </c>
      <c r="I5406" s="211">
        <f>'IWP16'!L$376</f>
        <v>0</v>
      </c>
      <c r="J5406" s="212">
        <f>'IWP16'!M$376</f>
        <v>0</v>
      </c>
      <c r="K5406" s="106"/>
      <c r="L5406" s="106"/>
      <c r="M5406" s="129"/>
    </row>
    <row r="5407" spans="1:13" s="146" customFormat="1">
      <c r="A5407" s="193" t="s">
        <v>514</v>
      </c>
      <c r="B5407" s="210">
        <v>2</v>
      </c>
      <c r="C5407" s="191" t="str">
        <f>IF('IWP16'!E$377=0,"",'IWP16'!E$377)</f>
        <v/>
      </c>
      <c r="D5407" s="211">
        <f>'IWP16'!G$377</f>
        <v>0</v>
      </c>
      <c r="E5407" s="211">
        <f>'IWP16'!H$377</f>
        <v>0</v>
      </c>
      <c r="F5407" s="211">
        <f>'IWP16'!I$377</f>
        <v>0</v>
      </c>
      <c r="G5407" s="191" t="str">
        <f>IF('IWP16'!J$377=0,"",'IWP16'!J$377)</f>
        <v/>
      </c>
      <c r="H5407" s="211">
        <f>'IWP16'!K$377</f>
        <v>0</v>
      </c>
      <c r="I5407" s="211">
        <f>'IWP16'!L$377</f>
        <v>0</v>
      </c>
      <c r="J5407" s="212">
        <f>'IWP16'!M$377</f>
        <v>0</v>
      </c>
      <c r="K5407" s="106"/>
      <c r="L5407" s="106"/>
      <c r="M5407" s="129"/>
    </row>
    <row r="5408" spans="1:13" s="146" customFormat="1">
      <c r="A5408" s="193" t="s">
        <v>514</v>
      </c>
      <c r="B5408" s="210">
        <v>2</v>
      </c>
      <c r="C5408" s="191" t="str">
        <f>IF('IWP16'!E$378=0,"",'IWP16'!E$378)</f>
        <v/>
      </c>
      <c r="D5408" s="211">
        <f>'IWP16'!G$378</f>
        <v>0</v>
      </c>
      <c r="E5408" s="211">
        <f>'IWP16'!H$378</f>
        <v>0</v>
      </c>
      <c r="F5408" s="211">
        <f>'IWP16'!I$378</f>
        <v>0</v>
      </c>
      <c r="G5408" s="191" t="str">
        <f>IF('IWP16'!J$378=0,"",'IWP16'!J$378)</f>
        <v/>
      </c>
      <c r="H5408" s="211">
        <f>'IWP16'!K$378</f>
        <v>0</v>
      </c>
      <c r="I5408" s="211">
        <f>'IWP16'!L$378</f>
        <v>0</v>
      </c>
      <c r="J5408" s="212">
        <f>'IWP16'!M$378</f>
        <v>0</v>
      </c>
      <c r="K5408" s="106"/>
      <c r="L5408" s="106"/>
      <c r="M5408" s="129"/>
    </row>
    <row r="5409" spans="1:13" s="146" customFormat="1">
      <c r="A5409" s="193" t="s">
        <v>514</v>
      </c>
      <c r="B5409" s="210">
        <v>2</v>
      </c>
      <c r="C5409" s="191" t="str">
        <f>IF('IWP16'!E$379=0,"",'IWP16'!E$379)</f>
        <v/>
      </c>
      <c r="D5409" s="211">
        <f>'IWP16'!G$379</f>
        <v>0</v>
      </c>
      <c r="E5409" s="211">
        <f>'IWP16'!H$379</f>
        <v>0</v>
      </c>
      <c r="F5409" s="211">
        <f>'IWP16'!I$379</f>
        <v>0</v>
      </c>
      <c r="G5409" s="191" t="str">
        <f>IF('IWP16'!J$379=0,"",'IWP16'!J$379)</f>
        <v/>
      </c>
      <c r="H5409" s="211">
        <f>'IWP16'!K$379</f>
        <v>0</v>
      </c>
      <c r="I5409" s="211">
        <f>'IWP16'!L$379</f>
        <v>0</v>
      </c>
      <c r="J5409" s="212">
        <f>'IWP16'!M$379</f>
        <v>0</v>
      </c>
      <c r="K5409" s="106"/>
      <c r="L5409" s="106"/>
      <c r="M5409" s="129"/>
    </row>
    <row r="5410" spans="1:13" s="146" customFormat="1">
      <c r="A5410" s="193" t="s">
        <v>514</v>
      </c>
      <c r="B5410" s="210">
        <v>2</v>
      </c>
      <c r="C5410" s="191" t="str">
        <f>IF('IWP16'!E$380=0,"",'IWP16'!E$380)</f>
        <v/>
      </c>
      <c r="D5410" s="211">
        <f>'IWP16'!G$380</f>
        <v>0</v>
      </c>
      <c r="E5410" s="211">
        <f>'IWP16'!H$380</f>
        <v>0</v>
      </c>
      <c r="F5410" s="211">
        <f>'IWP16'!I$380</f>
        <v>0</v>
      </c>
      <c r="G5410" s="191" t="str">
        <f>IF('IWP16'!J$380=0,"",'IWP16'!J$380)</f>
        <v/>
      </c>
      <c r="H5410" s="211">
        <f>'IWP16'!K$380</f>
        <v>0</v>
      </c>
      <c r="I5410" s="211">
        <f>'IWP16'!L$380</f>
        <v>0</v>
      </c>
      <c r="J5410" s="212">
        <f>'IWP16'!M$380</f>
        <v>0</v>
      </c>
      <c r="K5410" s="106"/>
      <c r="L5410" s="106"/>
      <c r="M5410" s="129"/>
    </row>
    <row r="5411" spans="1:13" s="146" customFormat="1">
      <c r="A5411" s="193" t="s">
        <v>514</v>
      </c>
      <c r="B5411" s="210">
        <v>3</v>
      </c>
      <c r="C5411" s="191" t="str">
        <f>IF('IWP16'!E$387=0,"",'IWP16'!E$387)</f>
        <v>Subtotal column D.</v>
      </c>
      <c r="D5411" s="211">
        <f>'IWP16'!G$387</f>
        <v>0</v>
      </c>
      <c r="E5411" s="211">
        <f>'IWP16'!H$387</f>
        <v>0</v>
      </c>
      <c r="F5411" s="211">
        <f>'IWP16'!I$387</f>
        <v>0</v>
      </c>
      <c r="G5411" s="191" t="str">
        <f>IF('IWP16'!J$387=0,"",'IWP16'!J$387)</f>
        <v/>
      </c>
      <c r="H5411" s="211">
        <f>'IWP16'!K$387</f>
        <v>0</v>
      </c>
      <c r="I5411" s="211">
        <f>'IWP16'!L$387</f>
        <v>0</v>
      </c>
      <c r="J5411" s="212">
        <f>'IWP16'!M$387</f>
        <v>0</v>
      </c>
      <c r="K5411" s="106"/>
      <c r="L5411" s="106"/>
      <c r="M5411" s="129"/>
    </row>
    <row r="5412" spans="1:13" s="146" customFormat="1">
      <c r="A5412" s="193" t="s">
        <v>514</v>
      </c>
      <c r="B5412" s="210">
        <v>3</v>
      </c>
      <c r="C5412" s="191" t="str">
        <f>IF('IWP16'!E$388=0,"",'IWP16'!E$388)</f>
        <v>Unverified/Undocumented (Subtotal D - C)</v>
      </c>
      <c r="D5412" s="211">
        <f>'IWP16'!G$388</f>
        <v>0</v>
      </c>
      <c r="E5412" s="211">
        <f>'IWP16'!H$388</f>
        <v>0</v>
      </c>
      <c r="F5412" s="211">
        <f>'IWP16'!I$388</f>
        <v>0</v>
      </c>
      <c r="G5412" s="191" t="str">
        <f>IF('IWP16'!J$388=0,"",'IWP16'!J$388)</f>
        <v/>
      </c>
      <c r="H5412" s="211">
        <f>'IWP16'!K$388</f>
        <v>0</v>
      </c>
      <c r="I5412" s="211">
        <f>'IWP16'!L$388</f>
        <v>0</v>
      </c>
      <c r="J5412" s="212">
        <f>'IWP16'!M$388</f>
        <v>0</v>
      </c>
      <c r="K5412" s="106"/>
      <c r="L5412" s="106"/>
      <c r="M5412" s="129"/>
    </row>
    <row r="5413" spans="1:13" s="146" customFormat="1">
      <c r="A5413" s="193" t="s">
        <v>514</v>
      </c>
      <c r="B5413" s="210">
        <v>3</v>
      </c>
      <c r="C5413" s="191" t="str">
        <f>IF('IWP16'!E$389=0,"",'IWP16'!E$389)</f>
        <v>J. Billing Period Total</v>
      </c>
      <c r="D5413" s="211">
        <f>'IWP16'!G$389</f>
        <v>0</v>
      </c>
      <c r="E5413" s="211">
        <f>'IWP16'!H$389</f>
        <v>0</v>
      </c>
      <c r="F5413" s="211">
        <f>'IWP16'!I$389</f>
        <v>0</v>
      </c>
      <c r="G5413" s="191" t="str">
        <f>IF('IWP16'!J$389=0,"",'IWP16'!J$389)</f>
        <v/>
      </c>
      <c r="H5413" s="211">
        <f>'IWP16'!K$389</f>
        <v>0</v>
      </c>
      <c r="I5413" s="211">
        <f>'IWP16'!L$389</f>
        <v>0</v>
      </c>
      <c r="J5413" s="212">
        <f>'IWP16'!M$389</f>
        <v>0</v>
      </c>
      <c r="K5413" s="106"/>
      <c r="L5413" s="106"/>
      <c r="M5413" s="129"/>
    </row>
    <row r="5414" spans="1:13" s="146" customFormat="1">
      <c r="A5414" s="193" t="s">
        <v>514</v>
      </c>
      <c r="B5414" s="210">
        <v>3</v>
      </c>
      <c r="C5414" s="191" t="str">
        <f>IF('IWP16'!E$390=0,"",'IWP16'!E$390)</f>
        <v>D.</v>
      </c>
      <c r="D5414" s="211">
        <f>'IWP16'!G$390</f>
        <v>0</v>
      </c>
      <c r="E5414" s="211" t="str">
        <f>'IWP16'!H$390</f>
        <v>E.</v>
      </c>
      <c r="F5414" s="211" t="str">
        <f>'IWP16'!I$390</f>
        <v>F.</v>
      </c>
      <c r="G5414" s="191" t="str">
        <f>IF('IWP16'!J$390=0,"",'IWP16'!J$390)</f>
        <v>G.</v>
      </c>
      <c r="H5414" s="211">
        <f>'IWP16'!K$390</f>
        <v>0</v>
      </c>
      <c r="I5414" s="211" t="str">
        <f>'IWP16'!L$390</f>
        <v>H.</v>
      </c>
      <c r="J5414" s="212" t="str">
        <f>'IWP16'!M$390</f>
        <v>I.</v>
      </c>
      <c r="K5414" s="106"/>
      <c r="L5414" s="106"/>
      <c r="M5414" s="129"/>
    </row>
    <row r="5415" spans="1:13" s="146" customFormat="1">
      <c r="A5415" s="193" t="s">
        <v>514</v>
      </c>
      <c r="B5415" s="210">
        <v>3</v>
      </c>
      <c r="C5415" s="191" t="str">
        <f>IF('IWP16'!E$391=0,"",'IWP16'!E$391)</f>
        <v xml:space="preserve">Items/Services Related to Billing Period </v>
      </c>
      <c r="D5415" s="211">
        <f>'IWP16'!G$391</f>
        <v>0</v>
      </c>
      <c r="E5415" s="211" t="str">
        <f>'IWP16'!H$391</f>
        <v xml:space="preserve">Item/
Service Verified Amounts
</v>
      </c>
      <c r="F5415" s="211" t="str">
        <f>'IWP16'!I$391</f>
        <v>Amount Due to DADS (E. - D.)</v>
      </c>
      <c r="G5415" s="191" t="str">
        <f>IF('IWP16'!J$391=0,"",'IWP16'!J$391)</f>
        <v>Amount Reimbursed to 
Employee(s)/Employer</v>
      </c>
      <c r="H5415" s="211">
        <f>'IWP16'!K$391</f>
        <v>0</v>
      </c>
      <c r="I5415" s="211" t="str">
        <f>'IWP16'!L$391</f>
        <v>Amount Due to Employee(s) (G. - E.)</v>
      </c>
      <c r="J5415" s="212" t="str">
        <f>'IWP16'!M$391</f>
        <v>Amount Due to Employer (G. - E.)</v>
      </c>
      <c r="K5415" s="106"/>
      <c r="L5415" s="106"/>
      <c r="M5415" s="129"/>
    </row>
    <row r="5416" spans="1:13" s="146" customFormat="1">
      <c r="A5416" s="193" t="s">
        <v>514</v>
      </c>
      <c r="B5416" s="210">
        <v>3</v>
      </c>
      <c r="C5416" s="191" t="str">
        <f>IF('IWP16'!E$392=0,"",'IWP16'!E$392)</f>
        <v>Item/Service</v>
      </c>
      <c r="D5416" s="211" t="str">
        <f>'IWP16'!G$392</f>
        <v>Itemized Amount Paid by DADS</v>
      </c>
      <c r="E5416" s="211">
        <f>'IWP16'!H$392</f>
        <v>0</v>
      </c>
      <c r="F5416" s="211">
        <f>'IWP16'!I$392</f>
        <v>0</v>
      </c>
      <c r="G5416" s="191" t="str">
        <f>IF('IWP16'!J$392=0,"",'IWP16'!J$392)</f>
        <v/>
      </c>
      <c r="H5416" s="211">
        <f>'IWP16'!K$392</f>
        <v>0</v>
      </c>
      <c r="I5416" s="211">
        <f>'IWP16'!L$392</f>
        <v>0</v>
      </c>
      <c r="J5416" s="212">
        <f>'IWP16'!M$392</f>
        <v>0</v>
      </c>
      <c r="K5416" s="106"/>
      <c r="L5416" s="106"/>
      <c r="M5416" s="129"/>
    </row>
    <row r="5417" spans="1:13" s="146" customFormat="1">
      <c r="A5417" s="193" t="s">
        <v>514</v>
      </c>
      <c r="B5417" s="210">
        <v>3</v>
      </c>
      <c r="C5417" s="191" t="str">
        <f>IF('IWP16'!E$393=0,"",'IWP16'!E$393)</f>
        <v/>
      </c>
      <c r="D5417" s="211">
        <f>'IWP16'!G$393</f>
        <v>0</v>
      </c>
      <c r="E5417" s="211">
        <f>'IWP16'!H$393</f>
        <v>0</v>
      </c>
      <c r="F5417" s="211">
        <f>'IWP16'!I$393</f>
        <v>0</v>
      </c>
      <c r="G5417" s="191" t="str">
        <f>IF('IWP16'!J$393=0,"",'IWP16'!J$393)</f>
        <v/>
      </c>
      <c r="H5417" s="211">
        <f>'IWP16'!K$393</f>
        <v>0</v>
      </c>
      <c r="I5417" s="211">
        <f>'IWP16'!L$393</f>
        <v>0</v>
      </c>
      <c r="J5417" s="212">
        <f>'IWP16'!M$393</f>
        <v>0</v>
      </c>
      <c r="K5417" s="106"/>
      <c r="L5417" s="106"/>
      <c r="M5417" s="129"/>
    </row>
    <row r="5418" spans="1:13" s="146" customFormat="1">
      <c r="A5418" s="193" t="s">
        <v>514</v>
      </c>
      <c r="B5418" s="210">
        <v>3</v>
      </c>
      <c r="C5418" s="191" t="str">
        <f>IF('IWP16'!E$394=0,"",'IWP16'!E$394)</f>
        <v/>
      </c>
      <c r="D5418" s="211">
        <f>'IWP16'!G$394</f>
        <v>0</v>
      </c>
      <c r="E5418" s="211">
        <f>'IWP16'!H$394</f>
        <v>0</v>
      </c>
      <c r="F5418" s="211">
        <f>'IWP16'!I$394</f>
        <v>0</v>
      </c>
      <c r="G5418" s="191" t="str">
        <f>IF('IWP16'!J$394=0,"",'IWP16'!J$394)</f>
        <v/>
      </c>
      <c r="H5418" s="211">
        <f>'IWP16'!K$394</f>
        <v>0</v>
      </c>
      <c r="I5418" s="211">
        <f>'IWP16'!L$394</f>
        <v>0</v>
      </c>
      <c r="J5418" s="212">
        <f>'IWP16'!M$394</f>
        <v>0</v>
      </c>
      <c r="K5418" s="106"/>
      <c r="L5418" s="106"/>
      <c r="M5418" s="129"/>
    </row>
    <row r="5419" spans="1:13" s="146" customFormat="1">
      <c r="A5419" s="193" t="s">
        <v>514</v>
      </c>
      <c r="B5419" s="210">
        <v>3</v>
      </c>
      <c r="C5419" s="191" t="str">
        <f>IF('IWP16'!E$395=0,"",'IWP16'!E$395)</f>
        <v/>
      </c>
      <c r="D5419" s="211">
        <f>'IWP16'!G$395</f>
        <v>0</v>
      </c>
      <c r="E5419" s="211">
        <f>'IWP16'!H$395</f>
        <v>0</v>
      </c>
      <c r="F5419" s="211">
        <f>'IWP16'!I$395</f>
        <v>0</v>
      </c>
      <c r="G5419" s="191" t="str">
        <f>IF('IWP16'!J$395=0,"",'IWP16'!J$395)</f>
        <v/>
      </c>
      <c r="H5419" s="211">
        <f>'IWP16'!K$395</f>
        <v>0</v>
      </c>
      <c r="I5419" s="211">
        <f>'IWP16'!L$395</f>
        <v>0</v>
      </c>
      <c r="J5419" s="212">
        <f>'IWP16'!M$395</f>
        <v>0</v>
      </c>
      <c r="K5419" s="106"/>
      <c r="L5419" s="106"/>
      <c r="M5419" s="129"/>
    </row>
    <row r="5420" spans="1:13" s="146" customFormat="1">
      <c r="A5420" s="193" t="s">
        <v>514</v>
      </c>
      <c r="B5420" s="210">
        <v>3</v>
      </c>
      <c r="C5420" s="191" t="str">
        <f>IF('IWP16'!E$396=0,"",'IWP16'!E$396)</f>
        <v/>
      </c>
      <c r="D5420" s="211">
        <f>'IWP16'!G$396</f>
        <v>0</v>
      </c>
      <c r="E5420" s="211">
        <f>'IWP16'!H$396</f>
        <v>0</v>
      </c>
      <c r="F5420" s="211">
        <f>'IWP16'!I$396</f>
        <v>0</v>
      </c>
      <c r="G5420" s="191" t="str">
        <f>IF('IWP16'!J$396=0,"",'IWP16'!J$396)</f>
        <v/>
      </c>
      <c r="H5420" s="211">
        <f>'IWP16'!K$396</f>
        <v>0</v>
      </c>
      <c r="I5420" s="211">
        <f>'IWP16'!L$396</f>
        <v>0</v>
      </c>
      <c r="J5420" s="212">
        <f>'IWP16'!M$396</f>
        <v>0</v>
      </c>
      <c r="K5420" s="106"/>
      <c r="L5420" s="106"/>
      <c r="M5420" s="129"/>
    </row>
    <row r="5421" spans="1:13" s="146" customFormat="1">
      <c r="A5421" s="193" t="s">
        <v>514</v>
      </c>
      <c r="B5421" s="210">
        <v>4</v>
      </c>
      <c r="C5421" s="191" t="str">
        <f>IF('IWP16'!E$403=0,"",'IWP16'!E$403)</f>
        <v>Subtotal column D.</v>
      </c>
      <c r="D5421" s="211">
        <f>'IWP16'!G$403</f>
        <v>0</v>
      </c>
      <c r="E5421" s="211">
        <f>'IWP16'!H$403</f>
        <v>0</v>
      </c>
      <c r="F5421" s="211">
        <f>'IWP16'!I$403</f>
        <v>0</v>
      </c>
      <c r="G5421" s="191" t="str">
        <f>IF('IWP16'!J$403=0,"",'IWP16'!J$403)</f>
        <v/>
      </c>
      <c r="H5421" s="211">
        <f>'IWP16'!K$403</f>
        <v>0</v>
      </c>
      <c r="I5421" s="211">
        <f>'IWP16'!L$403</f>
        <v>0</v>
      </c>
      <c r="J5421" s="212">
        <f>'IWP16'!M$403</f>
        <v>0</v>
      </c>
      <c r="K5421" s="106"/>
      <c r="L5421" s="106"/>
      <c r="M5421" s="129"/>
    </row>
    <row r="5422" spans="1:13" s="146" customFormat="1">
      <c r="A5422" s="193" t="s">
        <v>514</v>
      </c>
      <c r="B5422" s="210">
        <v>4</v>
      </c>
      <c r="C5422" s="191" t="str">
        <f>IF('IWP16'!E$404=0,"",'IWP16'!E$404)</f>
        <v>Unverified/Undocumented (Subtotal D - C)</v>
      </c>
      <c r="D5422" s="211">
        <f>'IWP16'!G$404</f>
        <v>0</v>
      </c>
      <c r="E5422" s="211">
        <f>'IWP16'!H$404</f>
        <v>0</v>
      </c>
      <c r="F5422" s="211">
        <f>'IWP16'!I$404</f>
        <v>0</v>
      </c>
      <c r="G5422" s="191" t="str">
        <f>IF('IWP16'!J$404=0,"",'IWP16'!J$404)</f>
        <v/>
      </c>
      <c r="H5422" s="211">
        <f>'IWP16'!K$404</f>
        <v>0</v>
      </c>
      <c r="I5422" s="211">
        <f>'IWP16'!L$404</f>
        <v>0</v>
      </c>
      <c r="J5422" s="212">
        <f>'IWP16'!M$404</f>
        <v>0</v>
      </c>
      <c r="K5422" s="106"/>
      <c r="L5422" s="106"/>
      <c r="M5422" s="129"/>
    </row>
    <row r="5423" spans="1:13" s="146" customFormat="1">
      <c r="A5423" s="193" t="s">
        <v>514</v>
      </c>
      <c r="B5423" s="210">
        <v>4</v>
      </c>
      <c r="C5423" s="191" t="str">
        <f>IF('IWP16'!E$405=0,"",'IWP16'!E$405)</f>
        <v>J. Billing Period Total</v>
      </c>
      <c r="D5423" s="211">
        <f>'IWP16'!G$405</f>
        <v>0</v>
      </c>
      <c r="E5423" s="211">
        <f>'IWP16'!H$405</f>
        <v>0</v>
      </c>
      <c r="F5423" s="211">
        <f>'IWP16'!I$405</f>
        <v>0</v>
      </c>
      <c r="G5423" s="191" t="str">
        <f>IF('IWP16'!J$405=0,"",'IWP16'!J$405)</f>
        <v/>
      </c>
      <c r="H5423" s="211">
        <f>'IWP16'!K$405</f>
        <v>0</v>
      </c>
      <c r="I5423" s="211">
        <f>'IWP16'!L$405</f>
        <v>0</v>
      </c>
      <c r="J5423" s="212">
        <f>'IWP16'!M$405</f>
        <v>0</v>
      </c>
      <c r="K5423" s="106"/>
      <c r="L5423" s="106"/>
      <c r="M5423" s="129"/>
    </row>
    <row r="5424" spans="1:13" s="146" customFormat="1">
      <c r="A5424" s="193" t="s">
        <v>514</v>
      </c>
      <c r="B5424" s="210">
        <v>4</v>
      </c>
      <c r="C5424" s="191" t="str">
        <f>IF('IWP16'!E$406=0,"",'IWP16'!E$406)</f>
        <v>D.</v>
      </c>
      <c r="D5424" s="211">
        <f>'IWP16'!G$406</f>
        <v>0</v>
      </c>
      <c r="E5424" s="211" t="str">
        <f>'IWP16'!H$406</f>
        <v>E.</v>
      </c>
      <c r="F5424" s="211" t="str">
        <f>'IWP16'!I$406</f>
        <v>F.</v>
      </c>
      <c r="G5424" s="191" t="str">
        <f>IF('IWP16'!J$406=0,"",'IWP16'!J$406)</f>
        <v>G.</v>
      </c>
      <c r="H5424" s="211">
        <f>'IWP16'!K$406</f>
        <v>0</v>
      </c>
      <c r="I5424" s="211" t="str">
        <f>'IWP16'!L$406</f>
        <v>H.</v>
      </c>
      <c r="J5424" s="212" t="str">
        <f>'IWP16'!M$406</f>
        <v>I.</v>
      </c>
      <c r="K5424" s="106"/>
      <c r="L5424" s="106"/>
      <c r="M5424" s="129"/>
    </row>
    <row r="5425" spans="1:13" s="146" customFormat="1">
      <c r="A5425" s="193" t="s">
        <v>514</v>
      </c>
      <c r="B5425" s="210">
        <v>4</v>
      </c>
      <c r="C5425" s="191" t="str">
        <f>IF('IWP16'!E$407=0,"",'IWP16'!E$407)</f>
        <v xml:space="preserve">Items/Services Related to Billing Period </v>
      </c>
      <c r="D5425" s="211">
        <f>'IWP16'!G$407</f>
        <v>0</v>
      </c>
      <c r="E5425" s="211" t="str">
        <f>'IWP16'!H$407</f>
        <v xml:space="preserve">Item/
Service Verified Amounts
</v>
      </c>
      <c r="F5425" s="211" t="str">
        <f>'IWP16'!I$407</f>
        <v>Amount Due to DADS (E. - D.)</v>
      </c>
      <c r="G5425" s="191" t="str">
        <f>IF('IWP16'!J$407=0,"",'IWP16'!J$407)</f>
        <v>Amount Reimbursed to 
Employee(s)/Employer</v>
      </c>
      <c r="H5425" s="211">
        <f>'IWP16'!K$407</f>
        <v>0</v>
      </c>
      <c r="I5425" s="211" t="str">
        <f>'IWP16'!L$407</f>
        <v>Amount Due to Employee(s) (G. - E.)</v>
      </c>
      <c r="J5425" s="212" t="str">
        <f>'IWP16'!M$407</f>
        <v>Amount Due to Employer (G. - E.)</v>
      </c>
      <c r="K5425" s="106"/>
      <c r="L5425" s="106"/>
      <c r="M5425" s="129"/>
    </row>
    <row r="5426" spans="1:13" s="146" customFormat="1">
      <c r="A5426" s="193" t="s">
        <v>514</v>
      </c>
      <c r="B5426" s="210">
        <v>4</v>
      </c>
      <c r="C5426" s="191" t="str">
        <f>IF('IWP16'!E$408=0,"",'IWP16'!E$408)</f>
        <v>Item/Service</v>
      </c>
      <c r="D5426" s="211" t="str">
        <f>'IWP16'!G$408</f>
        <v>Itemized Amount Paid by DADS</v>
      </c>
      <c r="E5426" s="211">
        <f>'IWP16'!H$408</f>
        <v>0</v>
      </c>
      <c r="F5426" s="211">
        <f>'IWP16'!I$408</f>
        <v>0</v>
      </c>
      <c r="G5426" s="191" t="str">
        <f>IF('IWP16'!J$408=0,"",'IWP16'!J$408)</f>
        <v/>
      </c>
      <c r="H5426" s="211">
        <f>'IWP16'!K$408</f>
        <v>0</v>
      </c>
      <c r="I5426" s="211">
        <f>'IWP16'!L$408</f>
        <v>0</v>
      </c>
      <c r="J5426" s="212">
        <f>'IWP16'!M$408</f>
        <v>0</v>
      </c>
      <c r="K5426" s="106"/>
      <c r="L5426" s="106"/>
      <c r="M5426" s="129"/>
    </row>
    <row r="5427" spans="1:13" s="146" customFormat="1">
      <c r="A5427" s="193" t="s">
        <v>514</v>
      </c>
      <c r="B5427" s="210">
        <v>4</v>
      </c>
      <c r="C5427" s="191" t="str">
        <f>IF('IWP16'!E$409=0,"",'IWP16'!E$409)</f>
        <v/>
      </c>
      <c r="D5427" s="211">
        <f>'IWP16'!G$409</f>
        <v>0</v>
      </c>
      <c r="E5427" s="211">
        <f>'IWP16'!H$409</f>
        <v>0</v>
      </c>
      <c r="F5427" s="211">
        <f>'IWP16'!I$409</f>
        <v>0</v>
      </c>
      <c r="G5427" s="191" t="str">
        <f>IF('IWP16'!J$409=0,"",'IWP16'!J$409)</f>
        <v/>
      </c>
      <c r="H5427" s="211">
        <f>'IWP16'!K$409</f>
        <v>0</v>
      </c>
      <c r="I5427" s="211">
        <f>'IWP16'!L$409</f>
        <v>0</v>
      </c>
      <c r="J5427" s="212">
        <f>'IWP16'!M$409</f>
        <v>0</v>
      </c>
      <c r="K5427" s="106"/>
      <c r="L5427" s="106"/>
      <c r="M5427" s="129"/>
    </row>
    <row r="5428" spans="1:13" s="146" customFormat="1">
      <c r="A5428" s="193" t="s">
        <v>514</v>
      </c>
      <c r="B5428" s="210">
        <v>4</v>
      </c>
      <c r="C5428" s="191" t="str">
        <f>IF('IWP16'!E$410=0,"",'IWP16'!E$410)</f>
        <v/>
      </c>
      <c r="D5428" s="211">
        <f>'IWP16'!G$410</f>
        <v>0</v>
      </c>
      <c r="E5428" s="211">
        <f>'IWP16'!H$410</f>
        <v>0</v>
      </c>
      <c r="F5428" s="211">
        <f>'IWP16'!I$410</f>
        <v>0</v>
      </c>
      <c r="G5428" s="191" t="str">
        <f>IF('IWP16'!J$410=0,"",'IWP16'!J$410)</f>
        <v/>
      </c>
      <c r="H5428" s="211">
        <f>'IWP16'!K$410</f>
        <v>0</v>
      </c>
      <c r="I5428" s="211">
        <f>'IWP16'!L$410</f>
        <v>0</v>
      </c>
      <c r="J5428" s="212">
        <f>'IWP16'!M$410</f>
        <v>0</v>
      </c>
      <c r="K5428" s="106"/>
      <c r="L5428" s="106"/>
      <c r="M5428" s="129"/>
    </row>
    <row r="5429" spans="1:13" s="146" customFormat="1">
      <c r="A5429" s="193" t="s">
        <v>514</v>
      </c>
      <c r="B5429" s="210">
        <v>4</v>
      </c>
      <c r="C5429" s="191" t="str">
        <f>IF('IWP16'!E$411=0,"",'IWP16'!E$411)</f>
        <v/>
      </c>
      <c r="D5429" s="211">
        <f>'IWP16'!G$411</f>
        <v>0</v>
      </c>
      <c r="E5429" s="211">
        <f>'IWP16'!H$411</f>
        <v>0</v>
      </c>
      <c r="F5429" s="211">
        <f>'IWP16'!I$411</f>
        <v>0</v>
      </c>
      <c r="G5429" s="191" t="str">
        <f>IF('IWP16'!J$411=0,"",'IWP16'!J$411)</f>
        <v/>
      </c>
      <c r="H5429" s="211">
        <f>'IWP16'!K$411</f>
        <v>0</v>
      </c>
      <c r="I5429" s="211">
        <f>'IWP16'!L$411</f>
        <v>0</v>
      </c>
      <c r="J5429" s="212">
        <f>'IWP16'!M$411</f>
        <v>0</v>
      </c>
      <c r="K5429" s="106"/>
      <c r="L5429" s="106"/>
      <c r="M5429" s="129"/>
    </row>
    <row r="5430" spans="1:13" s="146" customFormat="1">
      <c r="A5430" s="193" t="s">
        <v>514</v>
      </c>
      <c r="B5430" s="210">
        <v>4</v>
      </c>
      <c r="C5430" s="191" t="str">
        <f>IF('IWP16'!E$412=0,"",'IWP16'!E$412)</f>
        <v/>
      </c>
      <c r="D5430" s="211">
        <f>'IWP16'!G$412</f>
        <v>0</v>
      </c>
      <c r="E5430" s="211">
        <f>'IWP16'!H$412</f>
        <v>0</v>
      </c>
      <c r="F5430" s="211">
        <f>'IWP16'!I$412</f>
        <v>0</v>
      </c>
      <c r="G5430" s="191" t="str">
        <f>IF('IWP16'!J$412=0,"",'IWP16'!J$412)</f>
        <v/>
      </c>
      <c r="H5430" s="211">
        <f>'IWP16'!K$412</f>
        <v>0</v>
      </c>
      <c r="I5430" s="211">
        <f>'IWP16'!L$412</f>
        <v>0</v>
      </c>
      <c r="J5430" s="212">
        <f>'IWP16'!M$412</f>
        <v>0</v>
      </c>
      <c r="K5430" s="106"/>
      <c r="L5430" s="106"/>
      <c r="M5430" s="129"/>
    </row>
    <row r="5431" spans="1:13" s="146" customFormat="1">
      <c r="A5431" s="193" t="s">
        <v>514</v>
      </c>
      <c r="B5431" s="210">
        <v>5</v>
      </c>
      <c r="C5431" s="191" t="str">
        <f>IF('IWP16'!E$419=0,"",'IWP16'!E$419)</f>
        <v>Subtotal column D.</v>
      </c>
      <c r="D5431" s="211">
        <f>'IWP16'!G$419</f>
        <v>0</v>
      </c>
      <c r="E5431" s="211">
        <f>'IWP16'!H$419</f>
        <v>0</v>
      </c>
      <c r="F5431" s="211">
        <f>'IWP16'!I$419</f>
        <v>0</v>
      </c>
      <c r="G5431" s="191" t="str">
        <f>IF('IWP16'!J$419=0,"",'IWP16'!J$419)</f>
        <v/>
      </c>
      <c r="H5431" s="211">
        <f>'IWP16'!K$419</f>
        <v>0</v>
      </c>
      <c r="I5431" s="211">
        <f>'IWP16'!L$419</f>
        <v>0</v>
      </c>
      <c r="J5431" s="212">
        <f>'IWP16'!M$419</f>
        <v>0</v>
      </c>
      <c r="K5431" s="106"/>
      <c r="L5431" s="106"/>
      <c r="M5431" s="129"/>
    </row>
    <row r="5432" spans="1:13" s="146" customFormat="1">
      <c r="A5432" s="193" t="s">
        <v>514</v>
      </c>
      <c r="B5432" s="210">
        <v>5</v>
      </c>
      <c r="C5432" s="191" t="str">
        <f>IF('IWP16'!E$420=0,"",'IWP16'!E$420)</f>
        <v>Unverified/Undocumented (Subtotal D - C)</v>
      </c>
      <c r="D5432" s="211">
        <f>'IWP16'!G$420</f>
        <v>0</v>
      </c>
      <c r="E5432" s="211">
        <f>'IWP16'!H$420</f>
        <v>0</v>
      </c>
      <c r="F5432" s="211">
        <f>'IWP16'!I$420</f>
        <v>0</v>
      </c>
      <c r="G5432" s="191" t="str">
        <f>IF('IWP16'!J$420=0,"",'IWP16'!J$420)</f>
        <v/>
      </c>
      <c r="H5432" s="211">
        <f>'IWP16'!K$420</f>
        <v>0</v>
      </c>
      <c r="I5432" s="211">
        <f>'IWP16'!L$420</f>
        <v>0</v>
      </c>
      <c r="J5432" s="212">
        <f>'IWP16'!M$420</f>
        <v>0</v>
      </c>
      <c r="K5432" s="106"/>
      <c r="L5432" s="106"/>
      <c r="M5432" s="129"/>
    </row>
    <row r="5433" spans="1:13" s="146" customFormat="1">
      <c r="A5433" s="193" t="s">
        <v>514</v>
      </c>
      <c r="B5433" s="210">
        <v>5</v>
      </c>
      <c r="C5433" s="191" t="str">
        <f>IF('IWP16'!E$421=0,"",'IWP16'!E$421)</f>
        <v>J. Billing Period Total</v>
      </c>
      <c r="D5433" s="211">
        <f>'IWP16'!G$421</f>
        <v>0</v>
      </c>
      <c r="E5433" s="211">
        <f>'IWP16'!H$421</f>
        <v>0</v>
      </c>
      <c r="F5433" s="211">
        <f>'IWP16'!I$421</f>
        <v>0</v>
      </c>
      <c r="G5433" s="191" t="str">
        <f>IF('IWP16'!J$421=0,"",'IWP16'!J$421)</f>
        <v/>
      </c>
      <c r="H5433" s="211">
        <f>'IWP16'!K$421</f>
        <v>0</v>
      </c>
      <c r="I5433" s="211">
        <f>'IWP16'!L$421</f>
        <v>0</v>
      </c>
      <c r="J5433" s="212">
        <f>'IWP16'!M$421</f>
        <v>0</v>
      </c>
      <c r="K5433" s="106"/>
      <c r="L5433" s="106"/>
      <c r="M5433" s="129"/>
    </row>
    <row r="5434" spans="1:13" s="146" customFormat="1">
      <c r="A5434" s="193" t="s">
        <v>514</v>
      </c>
      <c r="B5434" s="210">
        <v>5</v>
      </c>
      <c r="C5434" s="191" t="str">
        <f>IF('IWP16'!E$422=0,"",'IWP16'!E$422)</f>
        <v>D.</v>
      </c>
      <c r="D5434" s="211">
        <f>'IWP16'!G$422</f>
        <v>0</v>
      </c>
      <c r="E5434" s="211" t="str">
        <f>'IWP16'!H$422</f>
        <v>E.</v>
      </c>
      <c r="F5434" s="211" t="str">
        <f>'IWP16'!I$422</f>
        <v>F.</v>
      </c>
      <c r="G5434" s="191" t="str">
        <f>IF('IWP16'!J$422=0,"",'IWP16'!J$422)</f>
        <v>G.</v>
      </c>
      <c r="H5434" s="211">
        <f>'IWP16'!K$422</f>
        <v>0</v>
      </c>
      <c r="I5434" s="211" t="str">
        <f>'IWP16'!L$422</f>
        <v>H.</v>
      </c>
      <c r="J5434" s="212" t="str">
        <f>'IWP16'!M$422</f>
        <v>I.</v>
      </c>
      <c r="K5434" s="106"/>
      <c r="L5434" s="106"/>
      <c r="M5434" s="129"/>
    </row>
    <row r="5435" spans="1:13" s="146" customFormat="1">
      <c r="A5435" s="193" t="s">
        <v>514</v>
      </c>
      <c r="B5435" s="210">
        <v>5</v>
      </c>
      <c r="C5435" s="191" t="str">
        <f>IF('IWP16'!E$423=0,"",'IWP16'!E$423)</f>
        <v xml:space="preserve">Items/Services Related to Billing Period </v>
      </c>
      <c r="D5435" s="211">
        <f>'IWP16'!G$423</f>
        <v>0</v>
      </c>
      <c r="E5435" s="211" t="str">
        <f>'IWP16'!H$423</f>
        <v xml:space="preserve">Item/
Service Verified Amounts
</v>
      </c>
      <c r="F5435" s="211" t="str">
        <f>'IWP16'!I$423</f>
        <v>Amount Due to DADS (E. - D.)</v>
      </c>
      <c r="G5435" s="191" t="str">
        <f>IF('IWP16'!J$423=0,"",'IWP16'!J$423)</f>
        <v>Amount Reimbursed to 
Employee(s)/Employer</v>
      </c>
      <c r="H5435" s="211">
        <f>'IWP16'!K$423</f>
        <v>0</v>
      </c>
      <c r="I5435" s="211" t="str">
        <f>'IWP16'!L$423</f>
        <v>Amount Due to Employee(s) (G. - E.)</v>
      </c>
      <c r="J5435" s="212" t="str">
        <f>'IWP16'!M$423</f>
        <v>Amount Due to Employer (G. - E.)</v>
      </c>
      <c r="K5435" s="106"/>
      <c r="L5435" s="106"/>
      <c r="M5435" s="129"/>
    </row>
    <row r="5436" spans="1:13" s="146" customFormat="1">
      <c r="A5436" s="193" t="s">
        <v>514</v>
      </c>
      <c r="B5436" s="210">
        <v>5</v>
      </c>
      <c r="C5436" s="191" t="str">
        <f>IF('IWP16'!E$424=0,"",'IWP16'!E$424)</f>
        <v>Item/Service</v>
      </c>
      <c r="D5436" s="211" t="str">
        <f>'IWP16'!G$424</f>
        <v>Itemized Amount Paid by DADS</v>
      </c>
      <c r="E5436" s="211">
        <f>'IWP16'!H$424</f>
        <v>0</v>
      </c>
      <c r="F5436" s="211">
        <f>'IWP16'!I$424</f>
        <v>0</v>
      </c>
      <c r="G5436" s="191" t="str">
        <f>IF('IWP16'!J$424=0,"",'IWP16'!J$424)</f>
        <v/>
      </c>
      <c r="H5436" s="211">
        <f>'IWP16'!K$424</f>
        <v>0</v>
      </c>
      <c r="I5436" s="211">
        <f>'IWP16'!L$424</f>
        <v>0</v>
      </c>
      <c r="J5436" s="212">
        <f>'IWP16'!M$424</f>
        <v>0</v>
      </c>
      <c r="K5436" s="106"/>
      <c r="L5436" s="106"/>
      <c r="M5436" s="129"/>
    </row>
    <row r="5437" spans="1:13" s="146" customFormat="1">
      <c r="A5437" s="193" t="s">
        <v>514</v>
      </c>
      <c r="B5437" s="210">
        <v>5</v>
      </c>
      <c r="C5437" s="191" t="str">
        <f>IF('IWP16'!E$425=0,"",'IWP16'!E$425)</f>
        <v/>
      </c>
      <c r="D5437" s="211">
        <f>'IWP16'!G$425</f>
        <v>0</v>
      </c>
      <c r="E5437" s="211">
        <f>'IWP16'!H$425</f>
        <v>0</v>
      </c>
      <c r="F5437" s="211">
        <f>'IWP16'!I$425</f>
        <v>0</v>
      </c>
      <c r="G5437" s="191" t="str">
        <f>IF('IWP16'!J$425=0,"",'IWP16'!J$425)</f>
        <v/>
      </c>
      <c r="H5437" s="211">
        <f>'IWP16'!K$425</f>
        <v>0</v>
      </c>
      <c r="I5437" s="211">
        <f>'IWP16'!L$425</f>
        <v>0</v>
      </c>
      <c r="J5437" s="212">
        <f>'IWP16'!M$425</f>
        <v>0</v>
      </c>
      <c r="K5437" s="106"/>
      <c r="L5437" s="106"/>
      <c r="M5437" s="129"/>
    </row>
    <row r="5438" spans="1:13" s="146" customFormat="1">
      <c r="A5438" s="193" t="s">
        <v>514</v>
      </c>
      <c r="B5438" s="210">
        <v>5</v>
      </c>
      <c r="C5438" s="191" t="str">
        <f>IF('IWP16'!E$426=0,"",'IWP16'!E$426)</f>
        <v/>
      </c>
      <c r="D5438" s="211">
        <f>'IWP16'!G$426</f>
        <v>0</v>
      </c>
      <c r="E5438" s="211">
        <f>'IWP16'!H$426</f>
        <v>0</v>
      </c>
      <c r="F5438" s="211">
        <f>'IWP16'!I$426</f>
        <v>0</v>
      </c>
      <c r="G5438" s="191" t="str">
        <f>IF('IWP16'!J$426=0,"",'IWP16'!J$426)</f>
        <v/>
      </c>
      <c r="H5438" s="211">
        <f>'IWP16'!K$426</f>
        <v>0</v>
      </c>
      <c r="I5438" s="211">
        <f>'IWP16'!L$426</f>
        <v>0</v>
      </c>
      <c r="J5438" s="212">
        <f>'IWP16'!M$426</f>
        <v>0</v>
      </c>
      <c r="K5438" s="106"/>
      <c r="L5438" s="106"/>
      <c r="M5438" s="129"/>
    </row>
    <row r="5439" spans="1:13" s="146" customFormat="1">
      <c r="A5439" s="193" t="s">
        <v>514</v>
      </c>
      <c r="B5439" s="210">
        <v>5</v>
      </c>
      <c r="C5439" s="191" t="str">
        <f>IF('IWP16'!E$427=0,"",'IWP16'!E$427)</f>
        <v/>
      </c>
      <c r="D5439" s="211">
        <f>'IWP16'!G$427</f>
        <v>0</v>
      </c>
      <c r="E5439" s="211">
        <f>'IWP16'!H$427</f>
        <v>0</v>
      </c>
      <c r="F5439" s="211">
        <f>'IWP16'!I$427</f>
        <v>0</v>
      </c>
      <c r="G5439" s="191" t="str">
        <f>IF('IWP16'!J$427=0,"",'IWP16'!J$427)</f>
        <v/>
      </c>
      <c r="H5439" s="211">
        <f>'IWP16'!K$427</f>
        <v>0</v>
      </c>
      <c r="I5439" s="211">
        <f>'IWP16'!L$427</f>
        <v>0</v>
      </c>
      <c r="J5439" s="212">
        <f>'IWP16'!M$427</f>
        <v>0</v>
      </c>
      <c r="K5439" s="106"/>
      <c r="L5439" s="106"/>
      <c r="M5439" s="129"/>
    </row>
    <row r="5440" spans="1:13" s="146" customFormat="1">
      <c r="A5440" s="193" t="s">
        <v>514</v>
      </c>
      <c r="B5440" s="210">
        <v>5</v>
      </c>
      <c r="C5440" s="191" t="str">
        <f>IF('IWP16'!E$428=0,"",'IWP16'!E$428)</f>
        <v/>
      </c>
      <c r="D5440" s="211">
        <f>'IWP16'!G$428</f>
        <v>0</v>
      </c>
      <c r="E5440" s="211">
        <f>'IWP16'!H$428</f>
        <v>0</v>
      </c>
      <c r="F5440" s="211">
        <f>'IWP16'!I$428</f>
        <v>0</v>
      </c>
      <c r="G5440" s="191" t="str">
        <f>IF('IWP16'!J$428=0,"",'IWP16'!J$428)</f>
        <v/>
      </c>
      <c r="H5440" s="211">
        <f>'IWP16'!K$428</f>
        <v>0</v>
      </c>
      <c r="I5440" s="211">
        <f>'IWP16'!L$428</f>
        <v>0</v>
      </c>
      <c r="J5440" s="212">
        <f>'IWP16'!M$428</f>
        <v>0</v>
      </c>
      <c r="K5440" s="106"/>
      <c r="L5440" s="106"/>
      <c r="M5440" s="129"/>
    </row>
    <row r="5441" spans="1:13" s="146" customFormat="1">
      <c r="A5441" s="193" t="s">
        <v>514</v>
      </c>
      <c r="B5441" s="210">
        <v>6</v>
      </c>
      <c r="C5441" s="191" t="str">
        <f>IF('IWP16'!E$435=0,"",'IWP16'!E$435)</f>
        <v>Subtotal column D.</v>
      </c>
      <c r="D5441" s="211">
        <f>'IWP16'!G$435</f>
        <v>0</v>
      </c>
      <c r="E5441" s="211">
        <f>'IWP16'!H$435</f>
        <v>0</v>
      </c>
      <c r="F5441" s="211">
        <f>'IWP16'!I$435</f>
        <v>0</v>
      </c>
      <c r="G5441" s="191" t="str">
        <f>IF('IWP16'!J$435=0,"",'IWP16'!J$435)</f>
        <v/>
      </c>
      <c r="H5441" s="211">
        <f>'IWP16'!K$435</f>
        <v>0</v>
      </c>
      <c r="I5441" s="211">
        <f>'IWP16'!L$435</f>
        <v>0</v>
      </c>
      <c r="J5441" s="212">
        <f>'IWP16'!M$435</f>
        <v>0</v>
      </c>
      <c r="K5441" s="106"/>
      <c r="L5441" s="106"/>
      <c r="M5441" s="129"/>
    </row>
    <row r="5442" spans="1:13" s="146" customFormat="1">
      <c r="A5442" s="193" t="s">
        <v>514</v>
      </c>
      <c r="B5442" s="210">
        <v>6</v>
      </c>
      <c r="C5442" s="191" t="str">
        <f>IF('IWP16'!E$436=0,"",'IWP16'!E$436)</f>
        <v>Unverified/Undocumented (Subtotal D - C)</v>
      </c>
      <c r="D5442" s="211">
        <f>'IWP16'!G$436</f>
        <v>0</v>
      </c>
      <c r="E5442" s="211">
        <f>'IWP16'!H$436</f>
        <v>0</v>
      </c>
      <c r="F5442" s="211">
        <f>'IWP16'!I$436</f>
        <v>0</v>
      </c>
      <c r="G5442" s="191" t="str">
        <f>IF('IWP16'!J$436=0,"",'IWP16'!J$436)</f>
        <v/>
      </c>
      <c r="H5442" s="211">
        <f>'IWP16'!K$436</f>
        <v>0</v>
      </c>
      <c r="I5442" s="211">
        <f>'IWP16'!L$436</f>
        <v>0</v>
      </c>
      <c r="J5442" s="212">
        <f>'IWP16'!M$436</f>
        <v>0</v>
      </c>
      <c r="K5442" s="106"/>
      <c r="L5442" s="106"/>
      <c r="M5442" s="129"/>
    </row>
    <row r="5443" spans="1:13" s="146" customFormat="1">
      <c r="A5443" s="193" t="s">
        <v>514</v>
      </c>
      <c r="B5443" s="210">
        <v>6</v>
      </c>
      <c r="C5443" s="191" t="str">
        <f>IF('IWP16'!E$437=0,"",'IWP16'!E$437)</f>
        <v>J. Billing Period Total</v>
      </c>
      <c r="D5443" s="211">
        <f>'IWP16'!G$437</f>
        <v>0</v>
      </c>
      <c r="E5443" s="211">
        <f>'IWP16'!H$437</f>
        <v>0</v>
      </c>
      <c r="F5443" s="211">
        <f>'IWP16'!I$437</f>
        <v>0</v>
      </c>
      <c r="G5443" s="191" t="str">
        <f>IF('IWP16'!J$437=0,"",'IWP16'!J$437)</f>
        <v/>
      </c>
      <c r="H5443" s="211">
        <f>'IWP16'!K$437</f>
        <v>0</v>
      </c>
      <c r="I5443" s="211">
        <f>'IWP16'!L$437</f>
        <v>0</v>
      </c>
      <c r="J5443" s="212">
        <f>'IWP16'!M$437</f>
        <v>0</v>
      </c>
      <c r="K5443" s="106"/>
      <c r="L5443" s="106"/>
      <c r="M5443" s="129"/>
    </row>
    <row r="5444" spans="1:13" s="146" customFormat="1">
      <c r="A5444" s="193" t="s">
        <v>514</v>
      </c>
      <c r="B5444" s="210">
        <v>6</v>
      </c>
      <c r="C5444" s="191" t="str">
        <f>IF('IWP16'!E$438=0,"",'IWP16'!E$438)</f>
        <v>D.</v>
      </c>
      <c r="D5444" s="211">
        <f>'IWP16'!G$438</f>
        <v>0</v>
      </c>
      <c r="E5444" s="211" t="str">
        <f>'IWP16'!H$438</f>
        <v>E.</v>
      </c>
      <c r="F5444" s="211" t="str">
        <f>'IWP16'!I$438</f>
        <v>F.</v>
      </c>
      <c r="G5444" s="191" t="str">
        <f>IF('IWP16'!J$438=0,"",'IWP16'!J$438)</f>
        <v>G.</v>
      </c>
      <c r="H5444" s="211">
        <f>'IWP16'!K$438</f>
        <v>0</v>
      </c>
      <c r="I5444" s="211" t="str">
        <f>'IWP16'!L$438</f>
        <v>H.</v>
      </c>
      <c r="J5444" s="212" t="str">
        <f>'IWP16'!M$438</f>
        <v>I.</v>
      </c>
      <c r="K5444" s="106"/>
      <c r="L5444" s="106"/>
      <c r="M5444" s="129"/>
    </row>
    <row r="5445" spans="1:13" s="146" customFormat="1">
      <c r="A5445" s="193" t="s">
        <v>514</v>
      </c>
      <c r="B5445" s="210">
        <v>6</v>
      </c>
      <c r="C5445" s="191" t="str">
        <f>IF('IWP16'!E$439=0,"",'IWP16'!E$439)</f>
        <v xml:space="preserve">Items/Services Related to Billing Period </v>
      </c>
      <c r="D5445" s="211">
        <f>'IWP16'!G$439</f>
        <v>0</v>
      </c>
      <c r="E5445" s="211" t="str">
        <f>'IWP16'!H$439</f>
        <v xml:space="preserve">Item/
Service Verified Amounts
</v>
      </c>
      <c r="F5445" s="211" t="str">
        <f>'IWP16'!I$439</f>
        <v>Amount Due to DADS (E. - D.)</v>
      </c>
      <c r="G5445" s="191" t="str">
        <f>IF('IWP16'!J$439=0,"",'IWP16'!J$439)</f>
        <v>Amount Reimbursed to 
Employee(s)/Employer</v>
      </c>
      <c r="H5445" s="211">
        <f>'IWP16'!K$439</f>
        <v>0</v>
      </c>
      <c r="I5445" s="211" t="str">
        <f>'IWP16'!L$439</f>
        <v>Amount Due to Employee(s) (G. - E.)</v>
      </c>
      <c r="J5445" s="212" t="str">
        <f>'IWP16'!M$439</f>
        <v>Amount Due to Employer (G. - E.)</v>
      </c>
      <c r="K5445" s="106"/>
      <c r="L5445" s="106"/>
      <c r="M5445" s="129"/>
    </row>
    <row r="5446" spans="1:13" s="146" customFormat="1">
      <c r="A5446" s="193" t="s">
        <v>514</v>
      </c>
      <c r="B5446" s="210">
        <v>6</v>
      </c>
      <c r="C5446" s="191" t="str">
        <f>IF('IWP16'!E$440=0,"",'IWP16'!E$440)</f>
        <v>Item/Service</v>
      </c>
      <c r="D5446" s="211" t="str">
        <f>'IWP16'!G$440</f>
        <v>Itemized Amount Paid by DADS</v>
      </c>
      <c r="E5446" s="211">
        <f>'IWP16'!H$440</f>
        <v>0</v>
      </c>
      <c r="F5446" s="211">
        <f>'IWP16'!I$440</f>
        <v>0</v>
      </c>
      <c r="G5446" s="191" t="str">
        <f>IF('IWP16'!J$440=0,"",'IWP16'!J$440)</f>
        <v/>
      </c>
      <c r="H5446" s="211">
        <f>'IWP16'!K$440</f>
        <v>0</v>
      </c>
      <c r="I5446" s="211">
        <f>'IWP16'!L$440</f>
        <v>0</v>
      </c>
      <c r="J5446" s="212">
        <f>'IWP16'!M$440</f>
        <v>0</v>
      </c>
      <c r="K5446" s="106"/>
      <c r="L5446" s="106"/>
      <c r="M5446" s="129"/>
    </row>
    <row r="5447" spans="1:13" s="146" customFormat="1">
      <c r="A5447" s="193" t="s">
        <v>514</v>
      </c>
      <c r="B5447" s="210">
        <v>6</v>
      </c>
      <c r="C5447" s="191" t="str">
        <f>IF('IWP16'!E$441=0,"",'IWP16'!E$441)</f>
        <v/>
      </c>
      <c r="D5447" s="211">
        <f>'IWP16'!G$441</f>
        <v>0</v>
      </c>
      <c r="E5447" s="211">
        <f>'IWP16'!H$441</f>
        <v>0</v>
      </c>
      <c r="F5447" s="211">
        <f>'IWP16'!I$441</f>
        <v>0</v>
      </c>
      <c r="G5447" s="191" t="str">
        <f>IF('IWP16'!J$441=0,"",'IWP16'!J$441)</f>
        <v/>
      </c>
      <c r="H5447" s="211">
        <f>'IWP16'!K$441</f>
        <v>0</v>
      </c>
      <c r="I5447" s="211">
        <f>'IWP16'!L$441</f>
        <v>0</v>
      </c>
      <c r="J5447" s="212">
        <f>'IWP16'!M$441</f>
        <v>0</v>
      </c>
      <c r="K5447" s="106"/>
      <c r="L5447" s="106"/>
      <c r="M5447" s="129"/>
    </row>
    <row r="5448" spans="1:13" s="146" customFormat="1">
      <c r="A5448" s="193" t="s">
        <v>514</v>
      </c>
      <c r="B5448" s="210">
        <v>6</v>
      </c>
      <c r="C5448" s="191" t="str">
        <f>IF('IWP16'!E$442=0,"",'IWP16'!E$442)</f>
        <v/>
      </c>
      <c r="D5448" s="211">
        <f>'IWP16'!G$442</f>
        <v>0</v>
      </c>
      <c r="E5448" s="211">
        <f>'IWP16'!H$442</f>
        <v>0</v>
      </c>
      <c r="F5448" s="211">
        <f>'IWP16'!I$442</f>
        <v>0</v>
      </c>
      <c r="G5448" s="191" t="str">
        <f>IF('IWP16'!J$442=0,"",'IWP16'!J$442)</f>
        <v/>
      </c>
      <c r="H5448" s="211">
        <f>'IWP16'!K$442</f>
        <v>0</v>
      </c>
      <c r="I5448" s="211">
        <f>'IWP16'!L$442</f>
        <v>0</v>
      </c>
      <c r="J5448" s="212">
        <f>'IWP16'!M$442</f>
        <v>0</v>
      </c>
      <c r="K5448" s="106"/>
      <c r="L5448" s="106"/>
      <c r="M5448" s="129"/>
    </row>
    <row r="5449" spans="1:13" s="146" customFormat="1">
      <c r="A5449" s="193" t="s">
        <v>514</v>
      </c>
      <c r="B5449" s="210">
        <v>6</v>
      </c>
      <c r="C5449" s="191" t="str">
        <f>IF('IWP16'!E$443=0,"",'IWP16'!E$443)</f>
        <v/>
      </c>
      <c r="D5449" s="211">
        <f>'IWP16'!G$443</f>
        <v>0</v>
      </c>
      <c r="E5449" s="211">
        <f>'IWP16'!H$443</f>
        <v>0</v>
      </c>
      <c r="F5449" s="211">
        <f>'IWP16'!I$443</f>
        <v>0</v>
      </c>
      <c r="G5449" s="191" t="str">
        <f>IF('IWP16'!J$443=0,"",'IWP16'!J$443)</f>
        <v/>
      </c>
      <c r="H5449" s="211">
        <f>'IWP16'!K$443</f>
        <v>0</v>
      </c>
      <c r="I5449" s="211">
        <f>'IWP16'!L$443</f>
        <v>0</v>
      </c>
      <c r="J5449" s="212">
        <f>'IWP16'!M$443</f>
        <v>0</v>
      </c>
      <c r="K5449" s="106"/>
      <c r="L5449" s="106"/>
      <c r="M5449" s="129"/>
    </row>
    <row r="5450" spans="1:13" s="146" customFormat="1">
      <c r="A5450" s="193" t="s">
        <v>514</v>
      </c>
      <c r="B5450" s="210">
        <v>6</v>
      </c>
      <c r="C5450" s="191" t="str">
        <f>IF('IWP16'!E$444=0,"",'IWP16'!E$444)</f>
        <v/>
      </c>
      <c r="D5450" s="211">
        <f>'IWP16'!G$444</f>
        <v>0</v>
      </c>
      <c r="E5450" s="211">
        <f>'IWP16'!H$444</f>
        <v>0</v>
      </c>
      <c r="F5450" s="211">
        <f>'IWP16'!I$444</f>
        <v>0</v>
      </c>
      <c r="G5450" s="191" t="str">
        <f>IF('IWP16'!J$444=0,"",'IWP16'!J$444)</f>
        <v/>
      </c>
      <c r="H5450" s="211">
        <f>'IWP16'!K$444</f>
        <v>0</v>
      </c>
      <c r="I5450" s="211">
        <f>'IWP16'!L$444</f>
        <v>0</v>
      </c>
      <c r="J5450" s="212">
        <f>'IWP16'!M$444</f>
        <v>0</v>
      </c>
      <c r="K5450" s="106"/>
      <c r="L5450" s="106"/>
      <c r="M5450" s="129"/>
    </row>
    <row r="5451" spans="1:13" s="146" customFormat="1">
      <c r="A5451" s="193" t="s">
        <v>514</v>
      </c>
      <c r="B5451" s="210">
        <v>7</v>
      </c>
      <c r="C5451" s="191" t="str">
        <f>IF('IWP16'!E$451=0,"",'IWP16'!E$451)</f>
        <v>Subtotal column D.</v>
      </c>
      <c r="D5451" s="211">
        <f>'IWP16'!G$451</f>
        <v>0</v>
      </c>
      <c r="E5451" s="211">
        <f>'IWP16'!H$451</f>
        <v>0</v>
      </c>
      <c r="F5451" s="211">
        <f>'IWP16'!I$451</f>
        <v>0</v>
      </c>
      <c r="G5451" s="191" t="str">
        <f>IF('IWP16'!J$451=0,"",'IWP16'!J$451)</f>
        <v/>
      </c>
      <c r="H5451" s="211">
        <f>'IWP16'!K$451</f>
        <v>0</v>
      </c>
      <c r="I5451" s="211">
        <f>'IWP16'!L$451</f>
        <v>0</v>
      </c>
      <c r="J5451" s="212">
        <f>'IWP16'!M$451</f>
        <v>0</v>
      </c>
      <c r="K5451" s="106"/>
      <c r="L5451" s="106"/>
      <c r="M5451" s="129"/>
    </row>
    <row r="5452" spans="1:13" s="146" customFormat="1">
      <c r="A5452" s="193" t="s">
        <v>514</v>
      </c>
      <c r="B5452" s="210">
        <v>7</v>
      </c>
      <c r="C5452" s="191" t="str">
        <f>IF('IWP16'!E$452=0,"",'IWP16'!E$452)</f>
        <v>Unverified/Undocumented (Subtotal D - C)</v>
      </c>
      <c r="D5452" s="211">
        <f>'IWP16'!G$452</f>
        <v>0</v>
      </c>
      <c r="E5452" s="211">
        <f>'IWP16'!H$452</f>
        <v>0</v>
      </c>
      <c r="F5452" s="211">
        <f>'IWP16'!I$452</f>
        <v>0</v>
      </c>
      <c r="G5452" s="191" t="str">
        <f>IF('IWP16'!J$452=0,"",'IWP16'!J$452)</f>
        <v/>
      </c>
      <c r="H5452" s="211">
        <f>'IWP16'!K$452</f>
        <v>0</v>
      </c>
      <c r="I5452" s="211">
        <f>'IWP16'!L$452</f>
        <v>0</v>
      </c>
      <c r="J5452" s="212">
        <f>'IWP16'!M$452</f>
        <v>0</v>
      </c>
      <c r="K5452" s="106"/>
      <c r="L5452" s="106"/>
      <c r="M5452" s="129"/>
    </row>
    <row r="5453" spans="1:13" s="146" customFormat="1">
      <c r="A5453" s="193" t="s">
        <v>514</v>
      </c>
      <c r="B5453" s="210">
        <v>7</v>
      </c>
      <c r="C5453" s="191" t="str">
        <f>IF('IWP16'!E$453=0,"",'IWP16'!E$453)</f>
        <v>J. Billing Period Total</v>
      </c>
      <c r="D5453" s="211">
        <f>'IWP16'!G$453</f>
        <v>0</v>
      </c>
      <c r="E5453" s="211">
        <f>'IWP16'!H$453</f>
        <v>0</v>
      </c>
      <c r="F5453" s="211">
        <f>'IWP16'!I$453</f>
        <v>0</v>
      </c>
      <c r="G5453" s="191" t="str">
        <f>IF('IWP16'!J$453=0,"",'IWP16'!J$453)</f>
        <v/>
      </c>
      <c r="H5453" s="211">
        <f>'IWP16'!K$453</f>
        <v>0</v>
      </c>
      <c r="I5453" s="211">
        <f>'IWP16'!L$453</f>
        <v>0</v>
      </c>
      <c r="J5453" s="212">
        <f>'IWP16'!M$453</f>
        <v>0</v>
      </c>
      <c r="K5453" s="106"/>
      <c r="L5453" s="106"/>
      <c r="M5453" s="129"/>
    </row>
    <row r="5454" spans="1:13" s="146" customFormat="1">
      <c r="A5454" s="193" t="s">
        <v>514</v>
      </c>
      <c r="B5454" s="210">
        <v>7</v>
      </c>
      <c r="C5454" s="191" t="str">
        <f>IF('IWP16'!E$454=0,"",'IWP16'!E$454)</f>
        <v>D.</v>
      </c>
      <c r="D5454" s="211">
        <f>'IWP16'!G$454</f>
        <v>0</v>
      </c>
      <c r="E5454" s="211" t="str">
        <f>'IWP16'!H$454</f>
        <v>E.</v>
      </c>
      <c r="F5454" s="211" t="str">
        <f>'IWP16'!I$454</f>
        <v>F.</v>
      </c>
      <c r="G5454" s="191" t="str">
        <f>IF('IWP16'!J$454=0,"",'IWP16'!J$454)</f>
        <v>G.</v>
      </c>
      <c r="H5454" s="211">
        <f>'IWP16'!K$454</f>
        <v>0</v>
      </c>
      <c r="I5454" s="211" t="str">
        <f>'IWP16'!L$454</f>
        <v>H.</v>
      </c>
      <c r="J5454" s="212" t="str">
        <f>'IWP16'!M$454</f>
        <v>I.</v>
      </c>
      <c r="K5454" s="106"/>
      <c r="L5454" s="106"/>
      <c r="M5454" s="129"/>
    </row>
    <row r="5455" spans="1:13" s="146" customFormat="1">
      <c r="A5455" s="193" t="s">
        <v>514</v>
      </c>
      <c r="B5455" s="210">
        <v>7</v>
      </c>
      <c r="C5455" s="191" t="str">
        <f>IF('IWP16'!E$455=0,"",'IWP16'!E$455)</f>
        <v xml:space="preserve">Items/Services Related to Billing Period </v>
      </c>
      <c r="D5455" s="211">
        <f>'IWP16'!G$455</f>
        <v>0</v>
      </c>
      <c r="E5455" s="211" t="str">
        <f>'IWP16'!H$455</f>
        <v xml:space="preserve">Item/
Service Verified Amounts
</v>
      </c>
      <c r="F5455" s="211" t="str">
        <f>'IWP16'!I$455</f>
        <v>Amount Due to DADS (E. - D.)</v>
      </c>
      <c r="G5455" s="191" t="str">
        <f>IF('IWP16'!J$455=0,"",'IWP16'!J$455)</f>
        <v>Amount Reimbursed to 
Employee(s)/Employer</v>
      </c>
      <c r="H5455" s="211">
        <f>'IWP16'!K$455</f>
        <v>0</v>
      </c>
      <c r="I5455" s="211" t="str">
        <f>'IWP16'!L$455</f>
        <v>Amount Due to Employee(s) (G. - E.)</v>
      </c>
      <c r="J5455" s="212" t="str">
        <f>'IWP16'!M$455</f>
        <v>Amount Due to Employer (G. - E.)</v>
      </c>
      <c r="K5455" s="106"/>
      <c r="L5455" s="106"/>
      <c r="M5455" s="129"/>
    </row>
    <row r="5456" spans="1:13" s="146" customFormat="1">
      <c r="A5456" s="193" t="s">
        <v>514</v>
      </c>
      <c r="B5456" s="210">
        <v>7</v>
      </c>
      <c r="C5456" s="191" t="str">
        <f>IF('IWP16'!E$456=0,"",'IWP16'!E$456)</f>
        <v>Item/Service</v>
      </c>
      <c r="D5456" s="211" t="str">
        <f>'IWP16'!G$456</f>
        <v>Itemized Amount Paid by DADS</v>
      </c>
      <c r="E5456" s="211">
        <f>'IWP16'!H$456</f>
        <v>0</v>
      </c>
      <c r="F5456" s="211">
        <f>'IWP16'!I$456</f>
        <v>0</v>
      </c>
      <c r="G5456" s="191" t="str">
        <f>IF('IWP16'!J$456=0,"",'IWP16'!J$456)</f>
        <v/>
      </c>
      <c r="H5456" s="211">
        <f>'IWP16'!K$456</f>
        <v>0</v>
      </c>
      <c r="I5456" s="211">
        <f>'IWP16'!L$456</f>
        <v>0</v>
      </c>
      <c r="J5456" s="212">
        <f>'IWP16'!M$456</f>
        <v>0</v>
      </c>
      <c r="K5456" s="106"/>
      <c r="L5456" s="106"/>
      <c r="M5456" s="129"/>
    </row>
    <row r="5457" spans="1:13" s="146" customFormat="1">
      <c r="A5457" s="193" t="s">
        <v>514</v>
      </c>
      <c r="B5457" s="210">
        <v>7</v>
      </c>
      <c r="C5457" s="191" t="str">
        <f>IF('IWP16'!E$457=0,"",'IWP16'!E$457)</f>
        <v/>
      </c>
      <c r="D5457" s="211">
        <f>'IWP16'!G$457</f>
        <v>0</v>
      </c>
      <c r="E5457" s="211">
        <f>'IWP16'!H$457</f>
        <v>0</v>
      </c>
      <c r="F5457" s="211">
        <f>'IWP16'!I$457</f>
        <v>0</v>
      </c>
      <c r="G5457" s="191" t="str">
        <f>IF('IWP16'!J$457=0,"",'IWP16'!J$457)</f>
        <v/>
      </c>
      <c r="H5457" s="211">
        <f>'IWP16'!K$457</f>
        <v>0</v>
      </c>
      <c r="I5457" s="211">
        <f>'IWP16'!L$457</f>
        <v>0</v>
      </c>
      <c r="J5457" s="212">
        <f>'IWP16'!M$457</f>
        <v>0</v>
      </c>
      <c r="K5457" s="106"/>
      <c r="L5457" s="106"/>
      <c r="M5457" s="129"/>
    </row>
    <row r="5458" spans="1:13" s="146" customFormat="1">
      <c r="A5458" s="193" t="s">
        <v>514</v>
      </c>
      <c r="B5458" s="210">
        <v>7</v>
      </c>
      <c r="C5458" s="191" t="str">
        <f>IF('IWP16'!E$458=0,"",'IWP16'!E$458)</f>
        <v/>
      </c>
      <c r="D5458" s="211">
        <f>'IWP16'!G$458</f>
        <v>0</v>
      </c>
      <c r="E5458" s="211">
        <f>'IWP16'!H$458</f>
        <v>0</v>
      </c>
      <c r="F5458" s="211">
        <f>'IWP16'!I$458</f>
        <v>0</v>
      </c>
      <c r="G5458" s="191" t="str">
        <f>IF('IWP16'!J$458=0,"",'IWP16'!J$458)</f>
        <v/>
      </c>
      <c r="H5458" s="211">
        <f>'IWP16'!K$458</f>
        <v>0</v>
      </c>
      <c r="I5458" s="211">
        <f>'IWP16'!L$458</f>
        <v>0</v>
      </c>
      <c r="J5458" s="212">
        <f>'IWP16'!M$458</f>
        <v>0</v>
      </c>
      <c r="K5458" s="106"/>
      <c r="L5458" s="106"/>
      <c r="M5458" s="129"/>
    </row>
    <row r="5459" spans="1:13" s="146" customFormat="1">
      <c r="A5459" s="193" t="s">
        <v>514</v>
      </c>
      <c r="B5459" s="210">
        <v>7</v>
      </c>
      <c r="C5459" s="191" t="str">
        <f>IF('IWP16'!E$459=0,"",'IWP16'!E$459)</f>
        <v/>
      </c>
      <c r="D5459" s="211">
        <f>'IWP16'!G$459</f>
        <v>0</v>
      </c>
      <c r="E5459" s="211">
        <f>'IWP16'!H$459</f>
        <v>0</v>
      </c>
      <c r="F5459" s="211">
        <f>'IWP16'!I$459</f>
        <v>0</v>
      </c>
      <c r="G5459" s="191" t="str">
        <f>IF('IWP16'!J$459=0,"",'IWP16'!J$459)</f>
        <v/>
      </c>
      <c r="H5459" s="211">
        <f>'IWP16'!K$459</f>
        <v>0</v>
      </c>
      <c r="I5459" s="211">
        <f>'IWP16'!L$459</f>
        <v>0</v>
      </c>
      <c r="J5459" s="212">
        <f>'IWP16'!M$459</f>
        <v>0</v>
      </c>
      <c r="K5459" s="106"/>
      <c r="L5459" s="106"/>
      <c r="M5459" s="129"/>
    </row>
    <row r="5460" spans="1:13" s="146" customFormat="1">
      <c r="A5460" s="193" t="s">
        <v>514</v>
      </c>
      <c r="B5460" s="210">
        <v>7</v>
      </c>
      <c r="C5460" s="191" t="str">
        <f>IF('IWP16'!E$460=0,"",'IWP16'!E$460)</f>
        <v/>
      </c>
      <c r="D5460" s="211">
        <f>'IWP16'!G$460</f>
        <v>0</v>
      </c>
      <c r="E5460" s="211">
        <f>'IWP16'!H$460</f>
        <v>0</v>
      </c>
      <c r="F5460" s="211">
        <f>'IWP16'!I$460</f>
        <v>0</v>
      </c>
      <c r="G5460" s="191" t="str">
        <f>IF('IWP16'!J$460=0,"",'IWP16'!J$460)</f>
        <v/>
      </c>
      <c r="H5460" s="211">
        <f>'IWP16'!K$460</f>
        <v>0</v>
      </c>
      <c r="I5460" s="211">
        <f>'IWP16'!L$460</f>
        <v>0</v>
      </c>
      <c r="J5460" s="212">
        <f>'IWP16'!M$460</f>
        <v>0</v>
      </c>
      <c r="K5460" s="106"/>
      <c r="L5460" s="106"/>
      <c r="M5460" s="129"/>
    </row>
    <row r="5461" spans="1:13" s="146" customFormat="1">
      <c r="A5461" s="193" t="s">
        <v>514</v>
      </c>
      <c r="B5461" s="210">
        <v>8</v>
      </c>
      <c r="C5461" s="191" t="str">
        <f>IF('IWP16'!E$467=0,"",'IWP16'!E$467)</f>
        <v>Subtotal column D.</v>
      </c>
      <c r="D5461" s="211">
        <f>'IWP16'!G$467</f>
        <v>0</v>
      </c>
      <c r="E5461" s="211">
        <f>'IWP16'!H$467</f>
        <v>0</v>
      </c>
      <c r="F5461" s="211">
        <f>'IWP16'!I$467</f>
        <v>0</v>
      </c>
      <c r="G5461" s="191" t="str">
        <f>IF('IWP16'!J$467=0,"",'IWP16'!J$467)</f>
        <v/>
      </c>
      <c r="H5461" s="211">
        <f>'IWP16'!K$467</f>
        <v>0</v>
      </c>
      <c r="I5461" s="211">
        <f>'IWP16'!L$467</f>
        <v>0</v>
      </c>
      <c r="J5461" s="212">
        <f>'IWP16'!M$467</f>
        <v>0</v>
      </c>
      <c r="K5461" s="106"/>
      <c r="L5461" s="106"/>
      <c r="M5461" s="129"/>
    </row>
    <row r="5462" spans="1:13" s="146" customFormat="1">
      <c r="A5462" s="193" t="s">
        <v>514</v>
      </c>
      <c r="B5462" s="210">
        <v>8</v>
      </c>
      <c r="C5462" s="191" t="str">
        <f>IF('IWP16'!E$468=0,"",'IWP16'!E$468)</f>
        <v>Unverified/Undocumented (Subtotal D - C)</v>
      </c>
      <c r="D5462" s="211">
        <f>'IWP16'!G$468</f>
        <v>0</v>
      </c>
      <c r="E5462" s="211">
        <f>'IWP16'!H$468</f>
        <v>0</v>
      </c>
      <c r="F5462" s="211">
        <f>'IWP16'!I$468</f>
        <v>0</v>
      </c>
      <c r="G5462" s="191" t="str">
        <f>IF('IWP16'!J$468=0,"",'IWP16'!J$468)</f>
        <v/>
      </c>
      <c r="H5462" s="211">
        <f>'IWP16'!K$468</f>
        <v>0</v>
      </c>
      <c r="I5462" s="211">
        <f>'IWP16'!L$468</f>
        <v>0</v>
      </c>
      <c r="J5462" s="212">
        <f>'IWP16'!M$468</f>
        <v>0</v>
      </c>
      <c r="K5462" s="106"/>
      <c r="L5462" s="106"/>
      <c r="M5462" s="129"/>
    </row>
    <row r="5463" spans="1:13" s="146" customFormat="1">
      <c r="A5463" s="193" t="s">
        <v>514</v>
      </c>
      <c r="B5463" s="210">
        <v>8</v>
      </c>
      <c r="C5463" s="191" t="str">
        <f>IF('IWP16'!E$469=0,"",'IWP16'!E$469)</f>
        <v>J. Billing Period Total</v>
      </c>
      <c r="D5463" s="211">
        <f>'IWP16'!G$469</f>
        <v>0</v>
      </c>
      <c r="E5463" s="211">
        <f>'IWP16'!H$469</f>
        <v>0</v>
      </c>
      <c r="F5463" s="211">
        <f>'IWP16'!I$469</f>
        <v>0</v>
      </c>
      <c r="G5463" s="191" t="str">
        <f>IF('IWP16'!J$469=0,"",'IWP16'!J$469)</f>
        <v/>
      </c>
      <c r="H5463" s="211">
        <f>'IWP16'!K$469</f>
        <v>0</v>
      </c>
      <c r="I5463" s="211">
        <f>'IWP16'!L$469</f>
        <v>0</v>
      </c>
      <c r="J5463" s="212">
        <f>'IWP16'!M$469</f>
        <v>0</v>
      </c>
      <c r="K5463" s="106"/>
      <c r="L5463" s="106"/>
      <c r="M5463" s="129"/>
    </row>
    <row r="5464" spans="1:13" s="146" customFormat="1">
      <c r="A5464" s="193" t="s">
        <v>514</v>
      </c>
      <c r="B5464" s="210">
        <v>8</v>
      </c>
      <c r="C5464" s="191" t="str">
        <f>IF('IWP16'!E$470=0,"",'IWP16'!E$470)</f>
        <v>D.</v>
      </c>
      <c r="D5464" s="211">
        <f>'IWP16'!G$470</f>
        <v>0</v>
      </c>
      <c r="E5464" s="211" t="str">
        <f>'IWP16'!H$470</f>
        <v>E.</v>
      </c>
      <c r="F5464" s="211" t="str">
        <f>'IWP16'!I$470</f>
        <v>F.</v>
      </c>
      <c r="G5464" s="191" t="str">
        <f>IF('IWP16'!J$470=0,"",'IWP16'!J$470)</f>
        <v>G.</v>
      </c>
      <c r="H5464" s="211">
        <f>'IWP16'!K$470</f>
        <v>0</v>
      </c>
      <c r="I5464" s="211" t="str">
        <f>'IWP16'!L$470</f>
        <v>H.</v>
      </c>
      <c r="J5464" s="212" t="str">
        <f>'IWP16'!M$470</f>
        <v>I.</v>
      </c>
      <c r="K5464" s="106"/>
      <c r="L5464" s="106"/>
      <c r="M5464" s="129"/>
    </row>
    <row r="5465" spans="1:13" s="146" customFormat="1">
      <c r="A5465" s="193" t="s">
        <v>514</v>
      </c>
      <c r="B5465" s="210">
        <v>8</v>
      </c>
      <c r="C5465" s="191" t="str">
        <f>IF('IWP16'!E$471=0,"",'IWP16'!E$471)</f>
        <v xml:space="preserve">Items/Services Related to Billing Period </v>
      </c>
      <c r="D5465" s="211">
        <f>'IWP16'!G$471</f>
        <v>0</v>
      </c>
      <c r="E5465" s="211" t="str">
        <f>'IWP16'!H$471</f>
        <v xml:space="preserve">Item/
Service Verified Amounts
</v>
      </c>
      <c r="F5465" s="211" t="str">
        <f>'IWP16'!I$471</f>
        <v>Amount Due to DADS (E. - D.)</v>
      </c>
      <c r="G5465" s="191" t="str">
        <f>IF('IWP16'!J$471=0,"",'IWP16'!J$471)</f>
        <v>Amount Reimbursed to 
Employee(s)/Employer</v>
      </c>
      <c r="H5465" s="211">
        <f>'IWP16'!K$471</f>
        <v>0</v>
      </c>
      <c r="I5465" s="211" t="str">
        <f>'IWP16'!L$471</f>
        <v>Amount Due to Employee(s) (G. - E.)</v>
      </c>
      <c r="J5465" s="212" t="str">
        <f>'IWP16'!M$471</f>
        <v>Amount Due to Employer (G. - E.)</v>
      </c>
      <c r="K5465" s="106"/>
      <c r="L5465" s="106"/>
      <c r="M5465" s="129"/>
    </row>
    <row r="5466" spans="1:13" s="146" customFormat="1">
      <c r="A5466" s="193" t="s">
        <v>514</v>
      </c>
      <c r="B5466" s="210">
        <v>8</v>
      </c>
      <c r="C5466" s="191" t="str">
        <f>IF('IWP16'!E$472=0,"",'IWP16'!E$472)</f>
        <v>Item/Service</v>
      </c>
      <c r="D5466" s="211" t="str">
        <f>'IWP16'!G$472</f>
        <v>Itemized Amount Paid by DADS</v>
      </c>
      <c r="E5466" s="211">
        <f>'IWP16'!H$472</f>
        <v>0</v>
      </c>
      <c r="F5466" s="211">
        <f>'IWP16'!I$472</f>
        <v>0</v>
      </c>
      <c r="G5466" s="191" t="str">
        <f>IF('IWP16'!J$472=0,"",'IWP16'!J$472)</f>
        <v/>
      </c>
      <c r="H5466" s="211">
        <f>'IWP16'!K$472</f>
        <v>0</v>
      </c>
      <c r="I5466" s="211">
        <f>'IWP16'!L$472</f>
        <v>0</v>
      </c>
      <c r="J5466" s="212">
        <f>'IWP16'!M$472</f>
        <v>0</v>
      </c>
      <c r="K5466" s="106"/>
      <c r="L5466" s="106"/>
      <c r="M5466" s="129"/>
    </row>
    <row r="5467" spans="1:13" s="146" customFormat="1">
      <c r="A5467" s="193" t="s">
        <v>514</v>
      </c>
      <c r="B5467" s="210">
        <v>8</v>
      </c>
      <c r="C5467" s="191" t="str">
        <f>IF('IWP16'!E$473=0,"",'IWP16'!E$473)</f>
        <v/>
      </c>
      <c r="D5467" s="211">
        <f>'IWP16'!G$473</f>
        <v>0</v>
      </c>
      <c r="E5467" s="211">
        <f>'IWP16'!H$473</f>
        <v>0</v>
      </c>
      <c r="F5467" s="211">
        <f>'IWP16'!I$473</f>
        <v>0</v>
      </c>
      <c r="G5467" s="191" t="str">
        <f>IF('IWP16'!J$473=0,"",'IWP16'!J$473)</f>
        <v/>
      </c>
      <c r="H5467" s="211">
        <f>'IWP16'!K$473</f>
        <v>0</v>
      </c>
      <c r="I5467" s="211">
        <f>'IWP16'!L$473</f>
        <v>0</v>
      </c>
      <c r="J5467" s="212">
        <f>'IWP16'!M$473</f>
        <v>0</v>
      </c>
      <c r="K5467" s="106"/>
      <c r="L5467" s="106"/>
      <c r="M5467" s="129"/>
    </row>
    <row r="5468" spans="1:13" s="146" customFormat="1">
      <c r="A5468" s="193" t="s">
        <v>514</v>
      </c>
      <c r="B5468" s="210">
        <v>8</v>
      </c>
      <c r="C5468" s="191" t="str">
        <f>IF('IWP16'!E$474=0,"",'IWP16'!E$474)</f>
        <v/>
      </c>
      <c r="D5468" s="211">
        <f>'IWP16'!G$474</f>
        <v>0</v>
      </c>
      <c r="E5468" s="211">
        <f>'IWP16'!H$474</f>
        <v>0</v>
      </c>
      <c r="F5468" s="211">
        <f>'IWP16'!I$474</f>
        <v>0</v>
      </c>
      <c r="G5468" s="191" t="str">
        <f>IF('IWP16'!J$474=0,"",'IWP16'!J$474)</f>
        <v/>
      </c>
      <c r="H5468" s="211">
        <f>'IWP16'!K$474</f>
        <v>0</v>
      </c>
      <c r="I5468" s="211">
        <f>'IWP16'!L$474</f>
        <v>0</v>
      </c>
      <c r="J5468" s="212">
        <f>'IWP16'!M$474</f>
        <v>0</v>
      </c>
      <c r="K5468" s="106"/>
      <c r="L5468" s="106"/>
      <c r="M5468" s="129"/>
    </row>
    <row r="5469" spans="1:13" s="146" customFormat="1">
      <c r="A5469" s="193" t="s">
        <v>514</v>
      </c>
      <c r="B5469" s="210">
        <v>8</v>
      </c>
      <c r="C5469" s="191" t="str">
        <f>IF('IWP16'!E$475=0,"",'IWP16'!E$475)</f>
        <v/>
      </c>
      <c r="D5469" s="211">
        <f>'IWP16'!G$475</f>
        <v>0</v>
      </c>
      <c r="E5469" s="211">
        <f>'IWP16'!H$475</f>
        <v>0</v>
      </c>
      <c r="F5469" s="211">
        <f>'IWP16'!I$475</f>
        <v>0</v>
      </c>
      <c r="G5469" s="191" t="str">
        <f>IF('IWP16'!J$475=0,"",'IWP16'!J$475)</f>
        <v/>
      </c>
      <c r="H5469" s="211">
        <f>'IWP16'!K$475</f>
        <v>0</v>
      </c>
      <c r="I5469" s="211">
        <f>'IWP16'!L$475</f>
        <v>0</v>
      </c>
      <c r="J5469" s="212">
        <f>'IWP16'!M$475</f>
        <v>0</v>
      </c>
      <c r="K5469" s="106"/>
      <c r="L5469" s="106"/>
      <c r="M5469" s="129"/>
    </row>
    <row r="5470" spans="1:13" s="146" customFormat="1">
      <c r="A5470" s="193" t="s">
        <v>514</v>
      </c>
      <c r="B5470" s="210">
        <v>8</v>
      </c>
      <c r="C5470" s="191" t="str">
        <f>IF('IWP16'!E$476=0,"",'IWP16'!E$476)</f>
        <v/>
      </c>
      <c r="D5470" s="211">
        <f>'IWP16'!G$476</f>
        <v>0</v>
      </c>
      <c r="E5470" s="211">
        <f>'IWP16'!H$476</f>
        <v>0</v>
      </c>
      <c r="F5470" s="211">
        <f>'IWP16'!I$476</f>
        <v>0</v>
      </c>
      <c r="G5470" s="191" t="str">
        <f>IF('IWP16'!J$476=0,"",'IWP16'!J$476)</f>
        <v/>
      </c>
      <c r="H5470" s="211">
        <f>'IWP16'!K$476</f>
        <v>0</v>
      </c>
      <c r="I5470" s="211">
        <f>'IWP16'!L$476</f>
        <v>0</v>
      </c>
      <c r="J5470" s="212">
        <f>'IWP16'!M$476</f>
        <v>0</v>
      </c>
      <c r="K5470" s="106"/>
      <c r="L5470" s="106"/>
      <c r="M5470" s="129"/>
    </row>
    <row r="5471" spans="1:13" s="146" customFormat="1">
      <c r="A5471" s="193" t="s">
        <v>514</v>
      </c>
      <c r="B5471" s="210">
        <v>9</v>
      </c>
      <c r="C5471" s="191" t="str">
        <f>IF('IWP16'!E$483=0,"",'IWP16'!E$483)</f>
        <v>Subtotal column D.</v>
      </c>
      <c r="D5471" s="211">
        <f>'IWP16'!G$483</f>
        <v>0</v>
      </c>
      <c r="E5471" s="211">
        <f>'IWP16'!H$483</f>
        <v>0</v>
      </c>
      <c r="F5471" s="211">
        <f>'IWP16'!I$483</f>
        <v>0</v>
      </c>
      <c r="G5471" s="191" t="str">
        <f>IF('IWP16'!J$483=0,"",'IWP16'!J$483)</f>
        <v/>
      </c>
      <c r="H5471" s="211">
        <f>'IWP16'!K$483</f>
        <v>0</v>
      </c>
      <c r="I5471" s="211">
        <f>'IWP16'!L$483</f>
        <v>0</v>
      </c>
      <c r="J5471" s="212">
        <f>'IWP16'!M$483</f>
        <v>0</v>
      </c>
      <c r="K5471" s="106"/>
      <c r="L5471" s="106"/>
      <c r="M5471" s="129"/>
    </row>
    <row r="5472" spans="1:13" s="146" customFormat="1">
      <c r="A5472" s="193" t="s">
        <v>514</v>
      </c>
      <c r="B5472" s="210">
        <v>9</v>
      </c>
      <c r="C5472" s="191" t="str">
        <f>IF('IWP16'!E$484=0,"",'IWP16'!E$484)</f>
        <v>Unverified/Undocumented (Subtotal D - C)</v>
      </c>
      <c r="D5472" s="211">
        <f>'IWP16'!G$484</f>
        <v>0</v>
      </c>
      <c r="E5472" s="211">
        <f>'IWP16'!H$484</f>
        <v>0</v>
      </c>
      <c r="F5472" s="211">
        <f>'IWP16'!I$484</f>
        <v>0</v>
      </c>
      <c r="G5472" s="191" t="str">
        <f>IF('IWP16'!J$484=0,"",'IWP16'!J$484)</f>
        <v/>
      </c>
      <c r="H5472" s="211">
        <f>'IWP16'!K$484</f>
        <v>0</v>
      </c>
      <c r="I5472" s="211">
        <f>'IWP16'!L$484</f>
        <v>0</v>
      </c>
      <c r="J5472" s="212">
        <f>'IWP16'!M$484</f>
        <v>0</v>
      </c>
      <c r="K5472" s="106"/>
      <c r="L5472" s="106"/>
      <c r="M5472" s="129"/>
    </row>
    <row r="5473" spans="1:13" s="146" customFormat="1">
      <c r="A5473" s="193" t="s">
        <v>514</v>
      </c>
      <c r="B5473" s="210">
        <v>9</v>
      </c>
      <c r="C5473" s="191" t="str">
        <f>IF('IWP16'!E$485=0,"",'IWP16'!E$485)</f>
        <v>J. Billing Period Total</v>
      </c>
      <c r="D5473" s="211">
        <f>'IWP16'!G$485</f>
        <v>0</v>
      </c>
      <c r="E5473" s="211">
        <f>'IWP16'!H$485</f>
        <v>0</v>
      </c>
      <c r="F5473" s="211">
        <f>'IWP16'!I$485</f>
        <v>0</v>
      </c>
      <c r="G5473" s="191" t="str">
        <f>IF('IWP16'!J$485=0,"",'IWP16'!J$485)</f>
        <v/>
      </c>
      <c r="H5473" s="211">
        <f>'IWP16'!K$485</f>
        <v>0</v>
      </c>
      <c r="I5473" s="211">
        <f>'IWP16'!L$485</f>
        <v>0</v>
      </c>
      <c r="J5473" s="212">
        <f>'IWP16'!M$485</f>
        <v>0</v>
      </c>
      <c r="K5473" s="106"/>
      <c r="L5473" s="106"/>
      <c r="M5473" s="129"/>
    </row>
    <row r="5474" spans="1:13" s="146" customFormat="1">
      <c r="A5474" s="193" t="s">
        <v>514</v>
      </c>
      <c r="B5474" s="210">
        <v>9</v>
      </c>
      <c r="C5474" s="191" t="str">
        <f>IF('IWP16'!E$486=0,"",'IWP16'!E$486)</f>
        <v>D.</v>
      </c>
      <c r="D5474" s="211">
        <f>'IWP16'!G$486</f>
        <v>0</v>
      </c>
      <c r="E5474" s="211" t="str">
        <f>'IWP16'!H$486</f>
        <v>E.</v>
      </c>
      <c r="F5474" s="211" t="str">
        <f>'IWP16'!I$486</f>
        <v>F.</v>
      </c>
      <c r="G5474" s="191" t="str">
        <f>IF('IWP16'!J$486=0,"",'IWP16'!J$486)</f>
        <v>G.</v>
      </c>
      <c r="H5474" s="211">
        <f>'IWP16'!K$486</f>
        <v>0</v>
      </c>
      <c r="I5474" s="211" t="str">
        <f>'IWP16'!L$486</f>
        <v>H.</v>
      </c>
      <c r="J5474" s="212" t="str">
        <f>'IWP16'!M$486</f>
        <v>I.</v>
      </c>
      <c r="K5474" s="106"/>
      <c r="L5474" s="106"/>
      <c r="M5474" s="129"/>
    </row>
    <row r="5475" spans="1:13" s="146" customFormat="1">
      <c r="A5475" s="193" t="s">
        <v>514</v>
      </c>
      <c r="B5475" s="210">
        <v>9</v>
      </c>
      <c r="C5475" s="191" t="str">
        <f>IF('IWP16'!E$487=0,"",'IWP16'!E$487)</f>
        <v xml:space="preserve">Items/Services Related to Billing Period </v>
      </c>
      <c r="D5475" s="211">
        <f>'IWP16'!G$487</f>
        <v>0</v>
      </c>
      <c r="E5475" s="211" t="str">
        <f>'IWP16'!H$487</f>
        <v xml:space="preserve">Item/
Service Verified Amounts
</v>
      </c>
      <c r="F5475" s="211" t="str">
        <f>'IWP16'!I$487</f>
        <v>Amount Due to DADS (E. - D.)</v>
      </c>
      <c r="G5475" s="191" t="str">
        <f>IF('IWP16'!J$487=0,"",'IWP16'!J$487)</f>
        <v>Amount Reimbursed to 
Employee(s)/Employer</v>
      </c>
      <c r="H5475" s="211">
        <f>'IWP16'!K$487</f>
        <v>0</v>
      </c>
      <c r="I5475" s="211" t="str">
        <f>'IWP16'!L$487</f>
        <v>Amount Due to Employee(s) (G. - E.)</v>
      </c>
      <c r="J5475" s="212" t="str">
        <f>'IWP16'!M$487</f>
        <v>Amount Due to Employer (G. - E.)</v>
      </c>
      <c r="K5475" s="106"/>
      <c r="L5475" s="106"/>
      <c r="M5475" s="129"/>
    </row>
    <row r="5476" spans="1:13" s="146" customFormat="1">
      <c r="A5476" s="193" t="s">
        <v>514</v>
      </c>
      <c r="B5476" s="210">
        <v>9</v>
      </c>
      <c r="C5476" s="191" t="str">
        <f>IF('IWP16'!E$488=0,"",'IWP16'!E$488)</f>
        <v>Item/Service</v>
      </c>
      <c r="D5476" s="211" t="str">
        <f>'IWP16'!G$488</f>
        <v>Itemized Amount Paid by DADS</v>
      </c>
      <c r="E5476" s="211">
        <f>'IWP16'!H$488</f>
        <v>0</v>
      </c>
      <c r="F5476" s="211">
        <f>'IWP16'!I$488</f>
        <v>0</v>
      </c>
      <c r="G5476" s="191" t="str">
        <f>IF('IWP16'!J$488=0,"",'IWP16'!J$488)</f>
        <v/>
      </c>
      <c r="H5476" s="211">
        <f>'IWP16'!K$488</f>
        <v>0</v>
      </c>
      <c r="I5476" s="211">
        <f>'IWP16'!L$488</f>
        <v>0</v>
      </c>
      <c r="J5476" s="212">
        <f>'IWP16'!M$488</f>
        <v>0</v>
      </c>
      <c r="K5476" s="106"/>
      <c r="L5476" s="106"/>
      <c r="M5476" s="129"/>
    </row>
    <row r="5477" spans="1:13" s="146" customFormat="1">
      <c r="A5477" s="193" t="s">
        <v>514</v>
      </c>
      <c r="B5477" s="210">
        <v>9</v>
      </c>
      <c r="C5477" s="191" t="str">
        <f>IF('IWP16'!E$489=0,"",'IWP16'!E$489)</f>
        <v/>
      </c>
      <c r="D5477" s="211">
        <f>'IWP16'!G$489</f>
        <v>0</v>
      </c>
      <c r="E5477" s="211">
        <f>'IWP16'!H$489</f>
        <v>0</v>
      </c>
      <c r="F5477" s="211">
        <f>'IWP16'!I$489</f>
        <v>0</v>
      </c>
      <c r="G5477" s="191" t="str">
        <f>IF('IWP16'!J$489=0,"",'IWP16'!J$489)</f>
        <v/>
      </c>
      <c r="H5477" s="211">
        <f>'IWP16'!K$489</f>
        <v>0</v>
      </c>
      <c r="I5477" s="211">
        <f>'IWP16'!L$489</f>
        <v>0</v>
      </c>
      <c r="J5477" s="212">
        <f>'IWP16'!M$489</f>
        <v>0</v>
      </c>
      <c r="K5477" s="106"/>
      <c r="L5477" s="106"/>
      <c r="M5477" s="129"/>
    </row>
    <row r="5478" spans="1:13" s="146" customFormat="1">
      <c r="A5478" s="193" t="s">
        <v>514</v>
      </c>
      <c r="B5478" s="210">
        <v>9</v>
      </c>
      <c r="C5478" s="191" t="str">
        <f>IF('IWP16'!E$490=0,"",'IWP16'!E$490)</f>
        <v/>
      </c>
      <c r="D5478" s="211">
        <f>'IWP16'!G$490</f>
        <v>0</v>
      </c>
      <c r="E5478" s="211">
        <f>'IWP16'!H$490</f>
        <v>0</v>
      </c>
      <c r="F5478" s="211">
        <f>'IWP16'!I$490</f>
        <v>0</v>
      </c>
      <c r="G5478" s="191" t="str">
        <f>IF('IWP16'!J$490=0,"",'IWP16'!J$490)</f>
        <v/>
      </c>
      <c r="H5478" s="211">
        <f>'IWP16'!K$490</f>
        <v>0</v>
      </c>
      <c r="I5478" s="211">
        <f>'IWP16'!L$490</f>
        <v>0</v>
      </c>
      <c r="J5478" s="212">
        <f>'IWP16'!M$490</f>
        <v>0</v>
      </c>
      <c r="K5478" s="106"/>
      <c r="L5478" s="106"/>
      <c r="M5478" s="129"/>
    </row>
    <row r="5479" spans="1:13" s="146" customFormat="1">
      <c r="A5479" s="193" t="s">
        <v>514</v>
      </c>
      <c r="B5479" s="210">
        <v>9</v>
      </c>
      <c r="C5479" s="191" t="str">
        <f>IF('IWP16'!E$491=0,"",'IWP16'!E$491)</f>
        <v/>
      </c>
      <c r="D5479" s="211">
        <f>'IWP16'!G$491</f>
        <v>0</v>
      </c>
      <c r="E5479" s="211">
        <f>'IWP16'!H$491</f>
        <v>0</v>
      </c>
      <c r="F5479" s="211">
        <f>'IWP16'!I$491</f>
        <v>0</v>
      </c>
      <c r="G5479" s="191" t="str">
        <f>IF('IWP16'!J$491=0,"",'IWP16'!J$491)</f>
        <v/>
      </c>
      <c r="H5479" s="211">
        <f>'IWP16'!K$491</f>
        <v>0</v>
      </c>
      <c r="I5479" s="211">
        <f>'IWP16'!L$491</f>
        <v>0</v>
      </c>
      <c r="J5479" s="212">
        <f>'IWP16'!M$491</f>
        <v>0</v>
      </c>
      <c r="K5479" s="106"/>
      <c r="L5479" s="106"/>
      <c r="M5479" s="129"/>
    </row>
    <row r="5480" spans="1:13" s="146" customFormat="1">
      <c r="A5480" s="193" t="s">
        <v>514</v>
      </c>
      <c r="B5480" s="210">
        <v>9</v>
      </c>
      <c r="C5480" s="191" t="str">
        <f>IF('IWP16'!E$492=0,"",'IWP16'!E$492)</f>
        <v/>
      </c>
      <c r="D5480" s="211">
        <f>'IWP16'!G$492</f>
        <v>0</v>
      </c>
      <c r="E5480" s="211">
        <f>'IWP16'!H$492</f>
        <v>0</v>
      </c>
      <c r="F5480" s="211">
        <f>'IWP16'!I$492</f>
        <v>0</v>
      </c>
      <c r="G5480" s="191" t="str">
        <f>IF('IWP16'!J$492=0,"",'IWP16'!J$492)</f>
        <v/>
      </c>
      <c r="H5480" s="211">
        <f>'IWP16'!K$492</f>
        <v>0</v>
      </c>
      <c r="I5480" s="211">
        <f>'IWP16'!L$492</f>
        <v>0</v>
      </c>
      <c r="J5480" s="212">
        <f>'IWP16'!M$492</f>
        <v>0</v>
      </c>
      <c r="K5480" s="106"/>
      <c r="L5480" s="106"/>
      <c r="M5480" s="129"/>
    </row>
    <row r="5481" spans="1:13" s="146" customFormat="1">
      <c r="A5481" s="193" t="s">
        <v>514</v>
      </c>
      <c r="B5481" s="210">
        <v>10</v>
      </c>
      <c r="C5481" s="191" t="str">
        <f>IF('IWP16'!E$499=0,"",'IWP16'!E$499)</f>
        <v>Subtotal column D.</v>
      </c>
      <c r="D5481" s="211">
        <f>'IWP16'!G$499</f>
        <v>0</v>
      </c>
      <c r="E5481" s="211">
        <f>'IWP16'!H$499</f>
        <v>0</v>
      </c>
      <c r="F5481" s="211">
        <f>'IWP16'!I$499</f>
        <v>0</v>
      </c>
      <c r="G5481" s="191" t="str">
        <f>IF('IWP16'!J$499=0,"",'IWP16'!J$499)</f>
        <v/>
      </c>
      <c r="H5481" s="211">
        <f>'IWP16'!K$499</f>
        <v>0</v>
      </c>
      <c r="I5481" s="211">
        <f>'IWP16'!L$499</f>
        <v>0</v>
      </c>
      <c r="J5481" s="212">
        <f>'IWP16'!M$499</f>
        <v>0</v>
      </c>
      <c r="K5481" s="106"/>
      <c r="L5481" s="106"/>
      <c r="M5481" s="129"/>
    </row>
    <row r="5482" spans="1:13" s="146" customFormat="1">
      <c r="A5482" s="193" t="s">
        <v>514</v>
      </c>
      <c r="B5482" s="210">
        <v>10</v>
      </c>
      <c r="C5482" s="191" t="str">
        <f>IF('IWP16'!E$500=0,"",'IWP16'!E$500)</f>
        <v>Unverified/Undocumented (Subtotal D - C)</v>
      </c>
      <c r="D5482" s="211">
        <f>'IWP16'!G$500</f>
        <v>0</v>
      </c>
      <c r="E5482" s="211">
        <f>'IWP16'!H$500</f>
        <v>0</v>
      </c>
      <c r="F5482" s="211">
        <f>'IWP16'!I$500</f>
        <v>0</v>
      </c>
      <c r="G5482" s="191" t="str">
        <f>IF('IWP16'!J$500=0,"",'IWP16'!J$500)</f>
        <v/>
      </c>
      <c r="H5482" s="211">
        <f>'IWP16'!K$500</f>
        <v>0</v>
      </c>
      <c r="I5482" s="211">
        <f>'IWP16'!L$500</f>
        <v>0</v>
      </c>
      <c r="J5482" s="212">
        <f>'IWP16'!M$500</f>
        <v>0</v>
      </c>
      <c r="K5482" s="106"/>
      <c r="L5482" s="106"/>
      <c r="M5482" s="129"/>
    </row>
    <row r="5483" spans="1:13" s="146" customFormat="1">
      <c r="A5483" s="193" t="s">
        <v>514</v>
      </c>
      <c r="B5483" s="210">
        <v>10</v>
      </c>
      <c r="C5483" s="191" t="str">
        <f>IF('IWP16'!E$501=0,"",'IWP16'!E$501)</f>
        <v>J. Billing Period Total</v>
      </c>
      <c r="D5483" s="211">
        <f>'IWP16'!G$501</f>
        <v>0</v>
      </c>
      <c r="E5483" s="211">
        <f>'IWP16'!H$501</f>
        <v>0</v>
      </c>
      <c r="F5483" s="211">
        <f>'IWP16'!I$501</f>
        <v>0</v>
      </c>
      <c r="G5483" s="191" t="str">
        <f>IF('IWP16'!J$501=0,"",'IWP16'!J$501)</f>
        <v/>
      </c>
      <c r="H5483" s="211">
        <f>'IWP16'!K$501</f>
        <v>0</v>
      </c>
      <c r="I5483" s="211">
        <f>'IWP16'!L$501</f>
        <v>0</v>
      </c>
      <c r="J5483" s="212">
        <f>'IWP16'!M$501</f>
        <v>0</v>
      </c>
      <c r="K5483" s="106"/>
      <c r="L5483" s="106"/>
      <c r="M5483" s="129"/>
    </row>
    <row r="5484" spans="1:13" s="146" customFormat="1">
      <c r="A5484" s="193" t="s">
        <v>514</v>
      </c>
      <c r="B5484" s="210">
        <v>10</v>
      </c>
      <c r="C5484" s="191" t="str">
        <f>IF('IWP16'!E$502=0,"",'IWP16'!E$502)</f>
        <v>D.</v>
      </c>
      <c r="D5484" s="211">
        <f>'IWP16'!G$502</f>
        <v>0</v>
      </c>
      <c r="E5484" s="211" t="str">
        <f>'IWP16'!H$502</f>
        <v>E.</v>
      </c>
      <c r="F5484" s="211" t="str">
        <f>'IWP16'!I$502</f>
        <v>F.</v>
      </c>
      <c r="G5484" s="191" t="str">
        <f>IF('IWP16'!J$502=0,"",'IWP16'!J$502)</f>
        <v>G.</v>
      </c>
      <c r="H5484" s="211">
        <f>'IWP16'!K$502</f>
        <v>0</v>
      </c>
      <c r="I5484" s="211" t="str">
        <f>'IWP16'!L$502</f>
        <v>H.</v>
      </c>
      <c r="J5484" s="212" t="str">
        <f>'IWP16'!M$502</f>
        <v>I.</v>
      </c>
      <c r="K5484" s="106"/>
      <c r="L5484" s="106"/>
      <c r="M5484" s="129"/>
    </row>
    <row r="5485" spans="1:13" s="146" customFormat="1">
      <c r="A5485" s="193" t="s">
        <v>514</v>
      </c>
      <c r="B5485" s="210">
        <v>10</v>
      </c>
      <c r="C5485" s="191" t="str">
        <f>IF('IWP16'!E$503=0,"",'IWP16'!E$503)</f>
        <v xml:space="preserve">Items/Services Related to Billing Period </v>
      </c>
      <c r="D5485" s="211">
        <f>'IWP16'!G$503</f>
        <v>0</v>
      </c>
      <c r="E5485" s="211" t="str">
        <f>'IWP16'!H$503</f>
        <v xml:space="preserve">Item/
Service Verified Amounts
</v>
      </c>
      <c r="F5485" s="211" t="str">
        <f>'IWP16'!I$503</f>
        <v>Amount Due to DADS (E. - D.)</v>
      </c>
      <c r="G5485" s="191" t="str">
        <f>IF('IWP16'!J$503=0,"",'IWP16'!J$503)</f>
        <v>Amount Reimbursed to 
Employee(s)/Employer</v>
      </c>
      <c r="H5485" s="211">
        <f>'IWP16'!K$503</f>
        <v>0</v>
      </c>
      <c r="I5485" s="211" t="str">
        <f>'IWP16'!L$503</f>
        <v>Amount Due to Employee(s) (G. - E.)</v>
      </c>
      <c r="J5485" s="212" t="str">
        <f>'IWP16'!M$503</f>
        <v>Amount Due to Employer (G. - E.)</v>
      </c>
      <c r="K5485" s="106"/>
      <c r="L5485" s="106"/>
      <c r="M5485" s="129"/>
    </row>
    <row r="5486" spans="1:13" s="146" customFormat="1">
      <c r="A5486" s="193" t="s">
        <v>514</v>
      </c>
      <c r="B5486" s="210">
        <v>10</v>
      </c>
      <c r="C5486" s="191" t="str">
        <f>IF('IWP16'!E$504=0,"",'IWP16'!E$504)</f>
        <v>Item/Service</v>
      </c>
      <c r="D5486" s="211" t="str">
        <f>'IWP16'!G$504</f>
        <v>Itemized Amount Paid by DADS</v>
      </c>
      <c r="E5486" s="211">
        <f>'IWP16'!H$504</f>
        <v>0</v>
      </c>
      <c r="F5486" s="211">
        <f>'IWP16'!I$504</f>
        <v>0</v>
      </c>
      <c r="G5486" s="191" t="str">
        <f>IF('IWP16'!J$504=0,"",'IWP16'!J$504)</f>
        <v/>
      </c>
      <c r="H5486" s="211">
        <f>'IWP16'!K$504</f>
        <v>0</v>
      </c>
      <c r="I5486" s="211">
        <f>'IWP16'!L$504</f>
        <v>0</v>
      </c>
      <c r="J5486" s="212">
        <f>'IWP16'!M$504</f>
        <v>0</v>
      </c>
      <c r="K5486" s="106"/>
      <c r="L5486" s="106"/>
      <c r="M5486" s="129"/>
    </row>
    <row r="5487" spans="1:13" s="146" customFormat="1">
      <c r="A5487" s="193" t="s">
        <v>514</v>
      </c>
      <c r="B5487" s="210">
        <v>10</v>
      </c>
      <c r="C5487" s="191" t="str">
        <f>IF('IWP16'!E$505=0,"",'IWP16'!E$505)</f>
        <v/>
      </c>
      <c r="D5487" s="211">
        <f>'IWP16'!G$505</f>
        <v>0</v>
      </c>
      <c r="E5487" s="211">
        <f>'IWP16'!H$505</f>
        <v>0</v>
      </c>
      <c r="F5487" s="211">
        <f>'IWP16'!I$505</f>
        <v>0</v>
      </c>
      <c r="G5487" s="191" t="str">
        <f>IF('IWP16'!J$505=0,"",'IWP16'!J$505)</f>
        <v/>
      </c>
      <c r="H5487" s="211">
        <f>'IWP16'!K$505</f>
        <v>0</v>
      </c>
      <c r="I5487" s="211">
        <f>'IWP16'!L$505</f>
        <v>0</v>
      </c>
      <c r="J5487" s="212">
        <f>'IWP16'!M$505</f>
        <v>0</v>
      </c>
      <c r="K5487" s="106"/>
      <c r="L5487" s="106"/>
      <c r="M5487" s="129"/>
    </row>
    <row r="5488" spans="1:13" s="146" customFormat="1">
      <c r="A5488" s="193" t="s">
        <v>514</v>
      </c>
      <c r="B5488" s="210">
        <v>10</v>
      </c>
      <c r="C5488" s="191" t="str">
        <f>IF('IWP16'!E$506=0,"",'IWP16'!E$506)</f>
        <v/>
      </c>
      <c r="D5488" s="211">
        <f>'IWP16'!G$506</f>
        <v>0</v>
      </c>
      <c r="E5488" s="211">
        <f>'IWP16'!H$506</f>
        <v>0</v>
      </c>
      <c r="F5488" s="211">
        <f>'IWP16'!I$506</f>
        <v>0</v>
      </c>
      <c r="G5488" s="191" t="str">
        <f>IF('IWP16'!J$506=0,"",'IWP16'!J$506)</f>
        <v/>
      </c>
      <c r="H5488" s="211">
        <f>'IWP16'!K$506</f>
        <v>0</v>
      </c>
      <c r="I5488" s="211">
        <f>'IWP16'!L$506</f>
        <v>0</v>
      </c>
      <c r="J5488" s="212">
        <f>'IWP16'!M$506</f>
        <v>0</v>
      </c>
      <c r="K5488" s="106"/>
      <c r="L5488" s="106"/>
      <c r="M5488" s="129"/>
    </row>
    <row r="5489" spans="1:13" s="146" customFormat="1">
      <c r="A5489" s="193" t="s">
        <v>514</v>
      </c>
      <c r="B5489" s="210">
        <v>10</v>
      </c>
      <c r="C5489" s="191" t="str">
        <f>IF('IWP16'!E$507=0,"",'IWP16'!E$507)</f>
        <v/>
      </c>
      <c r="D5489" s="211">
        <f>'IWP16'!G$507</f>
        <v>0</v>
      </c>
      <c r="E5489" s="211">
        <f>'IWP16'!H$507</f>
        <v>0</v>
      </c>
      <c r="F5489" s="211">
        <f>'IWP16'!I$507</f>
        <v>0</v>
      </c>
      <c r="G5489" s="191" t="str">
        <f>IF('IWP16'!J$507=0,"",'IWP16'!J$507)</f>
        <v/>
      </c>
      <c r="H5489" s="211">
        <f>'IWP16'!K$507</f>
        <v>0</v>
      </c>
      <c r="I5489" s="211">
        <f>'IWP16'!L$507</f>
        <v>0</v>
      </c>
      <c r="J5489" s="212">
        <f>'IWP16'!M$507</f>
        <v>0</v>
      </c>
      <c r="K5489" s="106"/>
      <c r="L5489" s="106"/>
      <c r="M5489" s="129"/>
    </row>
    <row r="5490" spans="1:13" s="146" customFormat="1">
      <c r="A5490" s="193" t="s">
        <v>514</v>
      </c>
      <c r="B5490" s="210">
        <v>10</v>
      </c>
      <c r="C5490" s="191" t="str">
        <f>IF('IWP16'!E$508=0,"",'IWP16'!E$508)</f>
        <v/>
      </c>
      <c r="D5490" s="211">
        <f>'IWP16'!G$508</f>
        <v>0</v>
      </c>
      <c r="E5490" s="211">
        <f>'IWP16'!H$508</f>
        <v>0</v>
      </c>
      <c r="F5490" s="211">
        <f>'IWP16'!I$508</f>
        <v>0</v>
      </c>
      <c r="G5490" s="191" t="str">
        <f>IF('IWP16'!J$508=0,"",'IWP16'!J$508)</f>
        <v/>
      </c>
      <c r="H5490" s="211">
        <f>'IWP16'!K$508</f>
        <v>0</v>
      </c>
      <c r="I5490" s="211">
        <f>'IWP16'!L$508</f>
        <v>0</v>
      </c>
      <c r="J5490" s="212">
        <f>'IWP16'!M$508</f>
        <v>0</v>
      </c>
      <c r="K5490" s="106"/>
      <c r="L5490" s="106"/>
      <c r="M5490" s="129"/>
    </row>
    <row r="5491" spans="1:13" s="146" customFormat="1">
      <c r="A5491" s="193" t="s">
        <v>514</v>
      </c>
      <c r="B5491" s="210">
        <v>11</v>
      </c>
      <c r="C5491" s="191" t="str">
        <f>IF('IWP16'!E$515=0,"",'IWP16'!E$515)</f>
        <v>Subtotal column D.</v>
      </c>
      <c r="D5491" s="211">
        <f>'IWP16'!G$515</f>
        <v>0</v>
      </c>
      <c r="E5491" s="211">
        <f>'IWP16'!H$515</f>
        <v>0</v>
      </c>
      <c r="F5491" s="211">
        <f>'IWP16'!I$515</f>
        <v>0</v>
      </c>
      <c r="G5491" s="191" t="str">
        <f>IF('IWP16'!J$515=0,"",'IWP16'!J$515)</f>
        <v/>
      </c>
      <c r="H5491" s="211">
        <f>'IWP16'!K$515</f>
        <v>0</v>
      </c>
      <c r="I5491" s="211">
        <f>'IWP16'!L$515</f>
        <v>0</v>
      </c>
      <c r="J5491" s="212">
        <f>'IWP16'!M$515</f>
        <v>0</v>
      </c>
      <c r="K5491" s="106"/>
      <c r="L5491" s="106"/>
      <c r="M5491" s="129"/>
    </row>
    <row r="5492" spans="1:13" s="146" customFormat="1">
      <c r="A5492" s="193" t="s">
        <v>514</v>
      </c>
      <c r="B5492" s="210">
        <v>11</v>
      </c>
      <c r="C5492" s="191" t="str">
        <f>IF('IWP16'!E$516=0,"",'IWP16'!E$516)</f>
        <v>Unverified/Undocumented (Subtotal D - C)</v>
      </c>
      <c r="D5492" s="211">
        <f>'IWP16'!G$516</f>
        <v>0</v>
      </c>
      <c r="E5492" s="211">
        <f>'IWP16'!H$516</f>
        <v>0</v>
      </c>
      <c r="F5492" s="211">
        <f>'IWP16'!I$516</f>
        <v>0</v>
      </c>
      <c r="G5492" s="191" t="str">
        <f>IF('IWP16'!J$516=0,"",'IWP16'!J$516)</f>
        <v/>
      </c>
      <c r="H5492" s="211">
        <f>'IWP16'!K$516</f>
        <v>0</v>
      </c>
      <c r="I5492" s="211">
        <f>'IWP16'!L$516</f>
        <v>0</v>
      </c>
      <c r="J5492" s="212">
        <f>'IWP16'!M$516</f>
        <v>0</v>
      </c>
      <c r="K5492" s="106"/>
      <c r="L5492" s="106"/>
      <c r="M5492" s="129"/>
    </row>
    <row r="5493" spans="1:13" s="146" customFormat="1">
      <c r="A5493" s="193" t="s">
        <v>514</v>
      </c>
      <c r="B5493" s="210">
        <v>11</v>
      </c>
      <c r="C5493" s="191" t="str">
        <f>IF('IWP16'!E$517=0,"",'IWP16'!E$517)</f>
        <v>J. Billing Period Total</v>
      </c>
      <c r="D5493" s="211">
        <f>'IWP16'!G$517</f>
        <v>0</v>
      </c>
      <c r="E5493" s="211">
        <f>'IWP16'!H$517</f>
        <v>0</v>
      </c>
      <c r="F5493" s="211">
        <f>'IWP16'!I$517</f>
        <v>0</v>
      </c>
      <c r="G5493" s="191" t="str">
        <f>IF('IWP16'!J$517=0,"",'IWP16'!J$517)</f>
        <v/>
      </c>
      <c r="H5493" s="211">
        <f>'IWP16'!K$517</f>
        <v>0</v>
      </c>
      <c r="I5493" s="211">
        <f>'IWP16'!L$517</f>
        <v>0</v>
      </c>
      <c r="J5493" s="212">
        <f>'IWP16'!M$517</f>
        <v>0</v>
      </c>
      <c r="K5493" s="106"/>
      <c r="L5493" s="106"/>
      <c r="M5493" s="129"/>
    </row>
    <row r="5494" spans="1:13" s="146" customFormat="1">
      <c r="A5494" s="193" t="s">
        <v>514</v>
      </c>
      <c r="B5494" s="210">
        <v>11</v>
      </c>
      <c r="C5494" s="191" t="str">
        <f>IF('IWP16'!E$518=0,"",'IWP16'!E$518)</f>
        <v>D.</v>
      </c>
      <c r="D5494" s="211">
        <f>'IWP16'!G$518</f>
        <v>0</v>
      </c>
      <c r="E5494" s="211" t="str">
        <f>'IWP16'!H$518</f>
        <v>E.</v>
      </c>
      <c r="F5494" s="211" t="str">
        <f>'IWP16'!I$518</f>
        <v>F.</v>
      </c>
      <c r="G5494" s="191" t="str">
        <f>IF('IWP16'!J$518=0,"",'IWP16'!J$518)</f>
        <v>G.</v>
      </c>
      <c r="H5494" s="211">
        <f>'IWP16'!K$518</f>
        <v>0</v>
      </c>
      <c r="I5494" s="211" t="str">
        <f>'IWP16'!L$518</f>
        <v>H.</v>
      </c>
      <c r="J5494" s="212" t="str">
        <f>'IWP16'!M$518</f>
        <v>I.</v>
      </c>
      <c r="K5494" s="106"/>
      <c r="L5494" s="106"/>
      <c r="M5494" s="129"/>
    </row>
    <row r="5495" spans="1:13" s="146" customFormat="1">
      <c r="A5495" s="193" t="s">
        <v>514</v>
      </c>
      <c r="B5495" s="210">
        <v>11</v>
      </c>
      <c r="C5495" s="191" t="str">
        <f>IF('IWP16'!E$519=0,"",'IWP16'!E$519)</f>
        <v xml:space="preserve">Items/Services Related to Billing Period </v>
      </c>
      <c r="D5495" s="211">
        <f>'IWP16'!G$519</f>
        <v>0</v>
      </c>
      <c r="E5495" s="211" t="str">
        <f>'IWP16'!H$519</f>
        <v xml:space="preserve">Item/
Service Verified Amounts
</v>
      </c>
      <c r="F5495" s="211" t="str">
        <f>'IWP16'!I$519</f>
        <v>Amount Due to DADS (E. - D.)</v>
      </c>
      <c r="G5495" s="191" t="str">
        <f>IF('IWP16'!J$519=0,"",'IWP16'!J$519)</f>
        <v>Amount Reimbursed to 
Employee(s)/Employer</v>
      </c>
      <c r="H5495" s="211">
        <f>'IWP16'!K$519</f>
        <v>0</v>
      </c>
      <c r="I5495" s="211" t="str">
        <f>'IWP16'!L$519</f>
        <v>Amount Due to Employee(s) (G. - E.)</v>
      </c>
      <c r="J5495" s="212" t="str">
        <f>'IWP16'!M$519</f>
        <v>Amount Due to Employer (G. - E.)</v>
      </c>
      <c r="K5495" s="106"/>
      <c r="L5495" s="106"/>
      <c r="M5495" s="129"/>
    </row>
    <row r="5496" spans="1:13" s="146" customFormat="1">
      <c r="A5496" s="193" t="s">
        <v>514</v>
      </c>
      <c r="B5496" s="210">
        <v>11</v>
      </c>
      <c r="C5496" s="191" t="str">
        <f>IF('IWP16'!E$520=0,"",'IWP16'!E$520)</f>
        <v>Item/Service</v>
      </c>
      <c r="D5496" s="211" t="str">
        <f>'IWP16'!G$520</f>
        <v>Itemized Amount Paid by DADS</v>
      </c>
      <c r="E5496" s="211">
        <f>'IWP16'!H$520</f>
        <v>0</v>
      </c>
      <c r="F5496" s="211">
        <f>'IWP16'!I$520</f>
        <v>0</v>
      </c>
      <c r="G5496" s="191" t="str">
        <f>IF('IWP16'!J$520=0,"",'IWP16'!J$520)</f>
        <v/>
      </c>
      <c r="H5496" s="211">
        <f>'IWP16'!K$520</f>
        <v>0</v>
      </c>
      <c r="I5496" s="211">
        <f>'IWP16'!L$520</f>
        <v>0</v>
      </c>
      <c r="J5496" s="212">
        <f>'IWP16'!M$520</f>
        <v>0</v>
      </c>
      <c r="K5496" s="106"/>
      <c r="L5496" s="106"/>
      <c r="M5496" s="129"/>
    </row>
    <row r="5497" spans="1:13" s="146" customFormat="1">
      <c r="A5497" s="193" t="s">
        <v>514</v>
      </c>
      <c r="B5497" s="210">
        <v>11</v>
      </c>
      <c r="C5497" s="191" t="str">
        <f>IF('IWP16'!E$521=0,"",'IWP16'!E$521)</f>
        <v/>
      </c>
      <c r="D5497" s="211">
        <f>'IWP16'!G$521</f>
        <v>0</v>
      </c>
      <c r="E5497" s="211">
        <f>'IWP16'!H$521</f>
        <v>0</v>
      </c>
      <c r="F5497" s="211">
        <f>'IWP16'!I$521</f>
        <v>0</v>
      </c>
      <c r="G5497" s="191" t="str">
        <f>IF('IWP16'!J$521=0,"",'IWP16'!J$521)</f>
        <v/>
      </c>
      <c r="H5497" s="211">
        <f>'IWP16'!K$521</f>
        <v>0</v>
      </c>
      <c r="I5497" s="211">
        <f>'IWP16'!L$521</f>
        <v>0</v>
      </c>
      <c r="J5497" s="212">
        <f>'IWP16'!M$521</f>
        <v>0</v>
      </c>
      <c r="K5497" s="106"/>
      <c r="L5497" s="106"/>
      <c r="M5497" s="129"/>
    </row>
    <row r="5498" spans="1:13" s="146" customFormat="1">
      <c r="A5498" s="193" t="s">
        <v>514</v>
      </c>
      <c r="B5498" s="210">
        <v>11</v>
      </c>
      <c r="C5498" s="191" t="str">
        <f>IF('IWP16'!E$522=0,"",'IWP16'!E$522)</f>
        <v/>
      </c>
      <c r="D5498" s="211">
        <f>'IWP16'!G$522</f>
        <v>0</v>
      </c>
      <c r="E5498" s="211">
        <f>'IWP16'!H$522</f>
        <v>0</v>
      </c>
      <c r="F5498" s="211">
        <f>'IWP16'!I$522</f>
        <v>0</v>
      </c>
      <c r="G5498" s="191" t="str">
        <f>IF('IWP16'!J$522=0,"",'IWP16'!J$522)</f>
        <v/>
      </c>
      <c r="H5498" s="211">
        <f>'IWP16'!K$522</f>
        <v>0</v>
      </c>
      <c r="I5498" s="211">
        <f>'IWP16'!L$522</f>
        <v>0</v>
      </c>
      <c r="J5498" s="212">
        <f>'IWP16'!M$522</f>
        <v>0</v>
      </c>
      <c r="K5498" s="106"/>
      <c r="L5498" s="106"/>
      <c r="M5498" s="129"/>
    </row>
    <row r="5499" spans="1:13" s="146" customFormat="1">
      <c r="A5499" s="193" t="s">
        <v>514</v>
      </c>
      <c r="B5499" s="210">
        <v>11</v>
      </c>
      <c r="C5499" s="191" t="str">
        <f>IF('IWP16'!E$523=0,"",'IWP16'!E$523)</f>
        <v/>
      </c>
      <c r="D5499" s="211">
        <f>'IWP16'!G$523</f>
        <v>0</v>
      </c>
      <c r="E5499" s="211">
        <f>'IWP16'!H$523</f>
        <v>0</v>
      </c>
      <c r="F5499" s="211">
        <f>'IWP16'!I$523</f>
        <v>0</v>
      </c>
      <c r="G5499" s="191" t="str">
        <f>IF('IWP16'!J$523=0,"",'IWP16'!J$523)</f>
        <v/>
      </c>
      <c r="H5499" s="211">
        <f>'IWP16'!K$523</f>
        <v>0</v>
      </c>
      <c r="I5499" s="211">
        <f>'IWP16'!L$523</f>
        <v>0</v>
      </c>
      <c r="J5499" s="212">
        <f>'IWP16'!M$523</f>
        <v>0</v>
      </c>
      <c r="K5499" s="106"/>
      <c r="L5499" s="106"/>
      <c r="M5499" s="129"/>
    </row>
    <row r="5500" spans="1:13" s="146" customFormat="1">
      <c r="A5500" s="193" t="s">
        <v>514</v>
      </c>
      <c r="B5500" s="210">
        <v>11</v>
      </c>
      <c r="C5500" s="191" t="str">
        <f>IF('IWP16'!E$524=0,"",'IWP16'!E$524)</f>
        <v/>
      </c>
      <c r="D5500" s="211">
        <f>'IWP16'!G$524</f>
        <v>0</v>
      </c>
      <c r="E5500" s="211">
        <f>'IWP16'!H$524</f>
        <v>0</v>
      </c>
      <c r="F5500" s="211">
        <f>'IWP16'!I$524</f>
        <v>0</v>
      </c>
      <c r="G5500" s="191" t="str">
        <f>IF('IWP16'!J$524=0,"",'IWP16'!J$524)</f>
        <v/>
      </c>
      <c r="H5500" s="211">
        <f>'IWP16'!K$524</f>
        <v>0</v>
      </c>
      <c r="I5500" s="211">
        <f>'IWP16'!L$524</f>
        <v>0</v>
      </c>
      <c r="J5500" s="212">
        <f>'IWP16'!M$524</f>
        <v>0</v>
      </c>
      <c r="K5500" s="106"/>
      <c r="L5500" s="106"/>
      <c r="M5500" s="129"/>
    </row>
    <row r="5501" spans="1:13" s="146" customFormat="1">
      <c r="A5501" s="193" t="s">
        <v>514</v>
      </c>
      <c r="B5501" s="210">
        <v>12</v>
      </c>
      <c r="C5501" s="191" t="str">
        <f>IF('IWP16'!E$531=0,"",'IWP16'!E$531)</f>
        <v>Subtotal column D.</v>
      </c>
      <c r="D5501" s="211">
        <f>'IWP16'!G$531</f>
        <v>0</v>
      </c>
      <c r="E5501" s="211">
        <f>'IWP16'!H$531</f>
        <v>0</v>
      </c>
      <c r="F5501" s="211">
        <f>'IWP16'!I$531</f>
        <v>0</v>
      </c>
      <c r="G5501" s="191" t="str">
        <f>IF('IWP16'!J$531=0,"",'IWP16'!J$531)</f>
        <v/>
      </c>
      <c r="H5501" s="211">
        <f>'IWP16'!K$531</f>
        <v>0</v>
      </c>
      <c r="I5501" s="211">
        <f>'IWP16'!L$531</f>
        <v>0</v>
      </c>
      <c r="J5501" s="212">
        <f>'IWP16'!M$531</f>
        <v>0</v>
      </c>
      <c r="K5501" s="106"/>
      <c r="L5501" s="106"/>
      <c r="M5501" s="129"/>
    </row>
    <row r="5502" spans="1:13" s="146" customFormat="1">
      <c r="A5502" s="193" t="s">
        <v>514</v>
      </c>
      <c r="B5502" s="210">
        <v>12</v>
      </c>
      <c r="C5502" s="191" t="str">
        <f>IF('IWP16'!E$532=0,"",'IWP16'!E$532)</f>
        <v>Unverified/Undocumented (Subtotal D - C)</v>
      </c>
      <c r="D5502" s="211">
        <f>'IWP16'!G$532</f>
        <v>0</v>
      </c>
      <c r="E5502" s="211">
        <f>'IWP16'!H$532</f>
        <v>0</v>
      </c>
      <c r="F5502" s="211">
        <f>'IWP16'!I$532</f>
        <v>0</v>
      </c>
      <c r="G5502" s="191" t="str">
        <f>IF('IWP16'!J$532=0,"",'IWP16'!J$532)</f>
        <v/>
      </c>
      <c r="H5502" s="211">
        <f>'IWP16'!K$532</f>
        <v>0</v>
      </c>
      <c r="I5502" s="211">
        <f>'IWP16'!L$532</f>
        <v>0</v>
      </c>
      <c r="J5502" s="212">
        <f>'IWP16'!M$532</f>
        <v>0</v>
      </c>
      <c r="K5502" s="106"/>
      <c r="L5502" s="106"/>
      <c r="M5502" s="129"/>
    </row>
    <row r="5503" spans="1:13" s="146" customFormat="1">
      <c r="A5503" s="193" t="s">
        <v>514</v>
      </c>
      <c r="B5503" s="210">
        <v>12</v>
      </c>
      <c r="C5503" s="191" t="str">
        <f>IF('IWP16'!E$533=0,"",'IWP16'!E$533)</f>
        <v>J. Billing Period Total</v>
      </c>
      <c r="D5503" s="211">
        <f>'IWP16'!G$533</f>
        <v>0</v>
      </c>
      <c r="E5503" s="211">
        <f>'IWP16'!H$533</f>
        <v>0</v>
      </c>
      <c r="F5503" s="211">
        <f>'IWP16'!I$533</f>
        <v>0</v>
      </c>
      <c r="G5503" s="191" t="str">
        <f>IF('IWP16'!J$533=0,"",'IWP16'!J$533)</f>
        <v/>
      </c>
      <c r="H5503" s="211">
        <f>'IWP16'!K$533</f>
        <v>0</v>
      </c>
      <c r="I5503" s="211">
        <f>'IWP16'!L$533</f>
        <v>0</v>
      </c>
      <c r="J5503" s="212">
        <f>'IWP16'!M$533</f>
        <v>0</v>
      </c>
      <c r="K5503" s="106"/>
      <c r="L5503" s="106"/>
      <c r="M5503" s="129"/>
    </row>
    <row r="5504" spans="1:13" s="146" customFormat="1">
      <c r="A5504" s="193" t="s">
        <v>514</v>
      </c>
      <c r="B5504" s="210">
        <v>12</v>
      </c>
      <c r="C5504" s="191" t="str">
        <f>IF('IWP16'!E$534=0,"",'IWP16'!E$534)</f>
        <v>D.</v>
      </c>
      <c r="D5504" s="211">
        <f>'IWP16'!G$534</f>
        <v>0</v>
      </c>
      <c r="E5504" s="211" t="str">
        <f>'IWP16'!H$534</f>
        <v>E.</v>
      </c>
      <c r="F5504" s="211" t="str">
        <f>'IWP16'!I$534</f>
        <v>F.</v>
      </c>
      <c r="G5504" s="191" t="str">
        <f>IF('IWP16'!J$534=0,"",'IWP16'!J$534)</f>
        <v>G.</v>
      </c>
      <c r="H5504" s="211">
        <f>'IWP16'!K$534</f>
        <v>0</v>
      </c>
      <c r="I5504" s="211" t="str">
        <f>'IWP16'!L$534</f>
        <v>H.</v>
      </c>
      <c r="J5504" s="212" t="str">
        <f>'IWP16'!M$534</f>
        <v>I.</v>
      </c>
      <c r="K5504" s="106"/>
      <c r="L5504" s="106"/>
      <c r="M5504" s="129"/>
    </row>
    <row r="5505" spans="1:13" s="146" customFormat="1">
      <c r="A5505" s="193" t="s">
        <v>514</v>
      </c>
      <c r="B5505" s="210">
        <v>12</v>
      </c>
      <c r="C5505" s="191" t="str">
        <f>IF('IWP16'!E$535=0,"",'IWP16'!E$535)</f>
        <v xml:space="preserve">Items/Services Related to Billing Period </v>
      </c>
      <c r="D5505" s="211">
        <f>'IWP16'!G$535</f>
        <v>0</v>
      </c>
      <c r="E5505" s="211" t="str">
        <f>'IWP16'!H$535</f>
        <v xml:space="preserve">Item/
Service Verified Amounts
</v>
      </c>
      <c r="F5505" s="211" t="str">
        <f>'IWP16'!I$535</f>
        <v>Amount Due to DADS (E. - D.)</v>
      </c>
      <c r="G5505" s="191" t="str">
        <f>IF('IWP16'!J$535=0,"",'IWP16'!J$535)</f>
        <v>Amount Reimbursed to 
Employee(s)/Employer</v>
      </c>
      <c r="H5505" s="211">
        <f>'IWP16'!K$535</f>
        <v>0</v>
      </c>
      <c r="I5505" s="211" t="str">
        <f>'IWP16'!L$535</f>
        <v>Amount Due to Employee(s) (G. - E.)</v>
      </c>
      <c r="J5505" s="212" t="str">
        <f>'IWP16'!M$535</f>
        <v>Amount Due to Employer (G. - E.)</v>
      </c>
      <c r="K5505" s="106"/>
      <c r="L5505" s="106"/>
      <c r="M5505" s="129"/>
    </row>
    <row r="5506" spans="1:13" s="146" customFormat="1">
      <c r="A5506" s="193" t="s">
        <v>514</v>
      </c>
      <c r="B5506" s="210">
        <v>12</v>
      </c>
      <c r="C5506" s="191" t="str">
        <f>IF('IWP16'!E$536=0,"",'IWP16'!E$536)</f>
        <v>Item/Service</v>
      </c>
      <c r="D5506" s="211" t="str">
        <f>'IWP16'!G$536</f>
        <v>Itemized Amount Paid by DADS</v>
      </c>
      <c r="E5506" s="211">
        <f>'IWP16'!H$536</f>
        <v>0</v>
      </c>
      <c r="F5506" s="211">
        <f>'IWP16'!I$536</f>
        <v>0</v>
      </c>
      <c r="G5506" s="191" t="str">
        <f>IF('IWP16'!J$536=0,"",'IWP16'!J$536)</f>
        <v/>
      </c>
      <c r="H5506" s="211">
        <f>'IWP16'!K$536</f>
        <v>0</v>
      </c>
      <c r="I5506" s="211">
        <f>'IWP16'!L$536</f>
        <v>0</v>
      </c>
      <c r="J5506" s="212">
        <f>'IWP16'!M$536</f>
        <v>0</v>
      </c>
      <c r="K5506" s="106"/>
      <c r="L5506" s="106"/>
      <c r="M5506" s="129"/>
    </row>
    <row r="5507" spans="1:13" s="146" customFormat="1">
      <c r="A5507" s="193" t="s">
        <v>514</v>
      </c>
      <c r="B5507" s="210">
        <v>12</v>
      </c>
      <c r="C5507" s="191" t="str">
        <f>IF('IWP16'!E$537=0,"",'IWP16'!E$537)</f>
        <v/>
      </c>
      <c r="D5507" s="211">
        <f>'IWP16'!G$537</f>
        <v>0</v>
      </c>
      <c r="E5507" s="211">
        <f>'IWP16'!H$537</f>
        <v>0</v>
      </c>
      <c r="F5507" s="211">
        <f>'IWP16'!I$537</f>
        <v>0</v>
      </c>
      <c r="G5507" s="191" t="str">
        <f>IF('IWP16'!J$537=0,"",'IWP16'!J$537)</f>
        <v/>
      </c>
      <c r="H5507" s="211">
        <f>'IWP16'!K$537</f>
        <v>0</v>
      </c>
      <c r="I5507" s="211">
        <f>'IWP16'!L$537</f>
        <v>0</v>
      </c>
      <c r="J5507" s="212">
        <f>'IWP16'!M$537</f>
        <v>0</v>
      </c>
      <c r="K5507" s="106"/>
      <c r="L5507" s="106"/>
      <c r="M5507" s="129"/>
    </row>
    <row r="5508" spans="1:13" s="146" customFormat="1">
      <c r="A5508" s="193" t="s">
        <v>514</v>
      </c>
      <c r="B5508" s="210">
        <v>12</v>
      </c>
      <c r="C5508" s="191" t="str">
        <f>IF('IWP16'!E$538=0,"",'IWP16'!E$538)</f>
        <v/>
      </c>
      <c r="D5508" s="211">
        <f>'IWP16'!G$538</f>
        <v>0</v>
      </c>
      <c r="E5508" s="211">
        <f>'IWP16'!H$538</f>
        <v>0</v>
      </c>
      <c r="F5508" s="211">
        <f>'IWP16'!I$538</f>
        <v>0</v>
      </c>
      <c r="G5508" s="191" t="str">
        <f>IF('IWP16'!J$538=0,"",'IWP16'!J$538)</f>
        <v/>
      </c>
      <c r="H5508" s="211">
        <f>'IWP16'!K$538</f>
        <v>0</v>
      </c>
      <c r="I5508" s="211">
        <f>'IWP16'!L$538</f>
        <v>0</v>
      </c>
      <c r="J5508" s="212">
        <f>'IWP16'!M$538</f>
        <v>0</v>
      </c>
      <c r="K5508" s="106"/>
      <c r="L5508" s="106"/>
      <c r="M5508" s="129"/>
    </row>
    <row r="5509" spans="1:13" s="146" customFormat="1">
      <c r="A5509" s="193" t="s">
        <v>514</v>
      </c>
      <c r="B5509" s="210">
        <v>12</v>
      </c>
      <c r="C5509" s="191" t="str">
        <f>IF('IWP16'!E$539=0,"",'IWP16'!E$539)</f>
        <v/>
      </c>
      <c r="D5509" s="211">
        <f>'IWP16'!G$539</f>
        <v>0</v>
      </c>
      <c r="E5509" s="211">
        <f>'IWP16'!H$539</f>
        <v>0</v>
      </c>
      <c r="F5509" s="211">
        <f>'IWP16'!I$539</f>
        <v>0</v>
      </c>
      <c r="G5509" s="191" t="str">
        <f>IF('IWP16'!J$539=0,"",'IWP16'!J$539)</f>
        <v/>
      </c>
      <c r="H5509" s="211">
        <f>'IWP16'!K$539</f>
        <v>0</v>
      </c>
      <c r="I5509" s="211">
        <f>'IWP16'!L$539</f>
        <v>0</v>
      </c>
      <c r="J5509" s="212">
        <f>'IWP16'!M$539</f>
        <v>0</v>
      </c>
      <c r="K5509" s="106"/>
      <c r="L5509" s="106"/>
      <c r="M5509" s="129"/>
    </row>
    <row r="5510" spans="1:13" s="146" customFormat="1">
      <c r="A5510" s="193" t="s">
        <v>514</v>
      </c>
      <c r="B5510" s="210">
        <v>12</v>
      </c>
      <c r="C5510" s="191" t="str">
        <f>IF('IWP16'!E$540=0,"",'IWP16'!E$540)</f>
        <v/>
      </c>
      <c r="D5510" s="211">
        <f>'IWP16'!G$540</f>
        <v>0</v>
      </c>
      <c r="E5510" s="211">
        <f>'IWP16'!H$540</f>
        <v>0</v>
      </c>
      <c r="F5510" s="211">
        <f>'IWP16'!I$540</f>
        <v>0</v>
      </c>
      <c r="G5510" s="191" t="str">
        <f>IF('IWP16'!J$540=0,"",'IWP16'!J$540)</f>
        <v/>
      </c>
      <c r="H5510" s="211">
        <f>'IWP16'!K$540</f>
        <v>0</v>
      </c>
      <c r="I5510" s="211">
        <f>'IWP16'!L$540</f>
        <v>0</v>
      </c>
      <c r="J5510" s="212">
        <f>'IWP16'!M$540</f>
        <v>0</v>
      </c>
      <c r="K5510" s="106"/>
      <c r="L5510" s="106"/>
      <c r="M5510" s="129"/>
    </row>
    <row r="5511" spans="1:13" s="146" customFormat="1">
      <c r="A5511" s="193" t="s">
        <v>514</v>
      </c>
      <c r="B5511" s="210">
        <v>13</v>
      </c>
      <c r="C5511" s="191" t="str">
        <f>IF('IWP16'!E$547=0,"",'IWP16'!E$547)</f>
        <v>Subtotal column D.</v>
      </c>
      <c r="D5511" s="211">
        <f>'IWP16'!G$547</f>
        <v>0</v>
      </c>
      <c r="E5511" s="211">
        <f>'IWP16'!H$547</f>
        <v>0</v>
      </c>
      <c r="F5511" s="211">
        <f>'IWP16'!I$547</f>
        <v>0</v>
      </c>
      <c r="G5511" s="191" t="str">
        <f>IF('IWP16'!J$547=0,"",'IWP16'!J$547)</f>
        <v/>
      </c>
      <c r="H5511" s="211">
        <f>'IWP16'!K$547</f>
        <v>0</v>
      </c>
      <c r="I5511" s="211">
        <f>'IWP16'!L$547</f>
        <v>0</v>
      </c>
      <c r="J5511" s="212">
        <f>'IWP16'!M$547</f>
        <v>0</v>
      </c>
      <c r="K5511" s="106"/>
      <c r="L5511" s="106"/>
      <c r="M5511" s="129"/>
    </row>
    <row r="5512" spans="1:13" s="146" customFormat="1">
      <c r="A5512" s="193" t="s">
        <v>514</v>
      </c>
      <c r="B5512" s="210">
        <v>13</v>
      </c>
      <c r="C5512" s="191" t="str">
        <f>IF('IWP16'!E$548=0,"",'IWP16'!E$548)</f>
        <v>Unverified/Undocumented (Subtotal D - C)</v>
      </c>
      <c r="D5512" s="211">
        <f>'IWP16'!G$548</f>
        <v>0</v>
      </c>
      <c r="E5512" s="211">
        <f>'IWP16'!H$548</f>
        <v>0</v>
      </c>
      <c r="F5512" s="211">
        <f>'IWP16'!I$548</f>
        <v>0</v>
      </c>
      <c r="G5512" s="191" t="str">
        <f>IF('IWP16'!J$548=0,"",'IWP16'!J$548)</f>
        <v/>
      </c>
      <c r="H5512" s="211">
        <f>'IWP16'!K$548</f>
        <v>0</v>
      </c>
      <c r="I5512" s="211">
        <f>'IWP16'!L$548</f>
        <v>0</v>
      </c>
      <c r="J5512" s="212">
        <f>'IWP16'!M$548</f>
        <v>0</v>
      </c>
      <c r="K5512" s="106"/>
      <c r="L5512" s="106"/>
      <c r="M5512" s="129"/>
    </row>
    <row r="5513" spans="1:13" s="146" customFormat="1">
      <c r="A5513" s="193" t="s">
        <v>514</v>
      </c>
      <c r="B5513" s="210">
        <v>13</v>
      </c>
      <c r="C5513" s="191" t="str">
        <f>IF('IWP16'!E$549=0,"",'IWP16'!E$549)</f>
        <v>J. Billing Period Total</v>
      </c>
      <c r="D5513" s="211">
        <f>'IWP16'!G$549</f>
        <v>0</v>
      </c>
      <c r="E5513" s="211">
        <f>'IWP16'!H$549</f>
        <v>0</v>
      </c>
      <c r="F5513" s="211">
        <f>'IWP16'!I$549</f>
        <v>0</v>
      </c>
      <c r="G5513" s="191" t="str">
        <f>IF('IWP16'!J$549=0,"",'IWP16'!J$549)</f>
        <v/>
      </c>
      <c r="H5513" s="211">
        <f>'IWP16'!K$549</f>
        <v>0</v>
      </c>
      <c r="I5513" s="211">
        <f>'IWP16'!L$549</f>
        <v>0</v>
      </c>
      <c r="J5513" s="212">
        <f>'IWP16'!M$549</f>
        <v>0</v>
      </c>
      <c r="K5513" s="106"/>
      <c r="L5513" s="106"/>
      <c r="M5513" s="129"/>
    </row>
    <row r="5514" spans="1:13" s="146" customFormat="1">
      <c r="A5514" s="193" t="s">
        <v>514</v>
      </c>
      <c r="B5514" s="210">
        <v>13</v>
      </c>
      <c r="C5514" s="191" t="str">
        <f>IF('IWP16'!E$550=0,"",'IWP16'!E$550)</f>
        <v>D.</v>
      </c>
      <c r="D5514" s="211">
        <f>'IWP16'!G$550</f>
        <v>0</v>
      </c>
      <c r="E5514" s="211" t="str">
        <f>'IWP16'!H$550</f>
        <v>E.</v>
      </c>
      <c r="F5514" s="211" t="str">
        <f>'IWP16'!I$550</f>
        <v>F.</v>
      </c>
      <c r="G5514" s="191" t="str">
        <f>IF('IWP16'!J$550=0,"",'IWP16'!J$550)</f>
        <v>G.</v>
      </c>
      <c r="H5514" s="211">
        <f>'IWP16'!K$550</f>
        <v>0</v>
      </c>
      <c r="I5514" s="211" t="str">
        <f>'IWP16'!L$550</f>
        <v>H.</v>
      </c>
      <c r="J5514" s="212" t="str">
        <f>'IWP16'!M$550</f>
        <v>I.</v>
      </c>
      <c r="K5514" s="106"/>
      <c r="L5514" s="106"/>
      <c r="M5514" s="129"/>
    </row>
    <row r="5515" spans="1:13" s="146" customFormat="1">
      <c r="A5515" s="193" t="s">
        <v>514</v>
      </c>
      <c r="B5515" s="210">
        <v>13</v>
      </c>
      <c r="C5515" s="191" t="str">
        <f>IF('IWP16'!E$551=0,"",'IWP16'!E$551)</f>
        <v xml:space="preserve">Items/Services Related to Billing Period </v>
      </c>
      <c r="D5515" s="211">
        <f>'IWP16'!G$551</f>
        <v>0</v>
      </c>
      <c r="E5515" s="211" t="str">
        <f>'IWP16'!H$551</f>
        <v xml:space="preserve">Item/
Service Verified Amounts
</v>
      </c>
      <c r="F5515" s="211" t="str">
        <f>'IWP16'!I$551</f>
        <v>Amount Due to DADS (E. - D.)</v>
      </c>
      <c r="G5515" s="191" t="str">
        <f>IF('IWP16'!J$551=0,"",'IWP16'!J$551)</f>
        <v>Amount Reimbursed to 
Employee(s)/Employer</v>
      </c>
      <c r="H5515" s="211">
        <f>'IWP16'!K$551</f>
        <v>0</v>
      </c>
      <c r="I5515" s="211" t="str">
        <f>'IWP16'!L$551</f>
        <v>Amount Due to Employee(s) (G. - E.)</v>
      </c>
      <c r="J5515" s="212" t="str">
        <f>'IWP16'!M$551</f>
        <v>Amount Due to Employer (G. - E.)</v>
      </c>
      <c r="K5515" s="106"/>
      <c r="L5515" s="106"/>
      <c r="M5515" s="129"/>
    </row>
    <row r="5516" spans="1:13" s="146" customFormat="1">
      <c r="A5516" s="193" t="s">
        <v>514</v>
      </c>
      <c r="B5516" s="210">
        <v>13</v>
      </c>
      <c r="C5516" s="191" t="str">
        <f>IF('IWP16'!E$552=0,"",'IWP16'!E$552)</f>
        <v>Item/Service</v>
      </c>
      <c r="D5516" s="211" t="str">
        <f>'IWP16'!G$552</f>
        <v>Itemized Amount Paid by DADS</v>
      </c>
      <c r="E5516" s="211">
        <f>'IWP16'!H$552</f>
        <v>0</v>
      </c>
      <c r="F5516" s="211">
        <f>'IWP16'!I$552</f>
        <v>0</v>
      </c>
      <c r="G5516" s="191" t="str">
        <f>IF('IWP16'!J$552=0,"",'IWP16'!J$552)</f>
        <v/>
      </c>
      <c r="H5516" s="211">
        <f>'IWP16'!K$552</f>
        <v>0</v>
      </c>
      <c r="I5516" s="211">
        <f>'IWP16'!L$552</f>
        <v>0</v>
      </c>
      <c r="J5516" s="212">
        <f>'IWP16'!M$552</f>
        <v>0</v>
      </c>
      <c r="K5516" s="106"/>
      <c r="L5516" s="106"/>
      <c r="M5516" s="129"/>
    </row>
    <row r="5517" spans="1:13" s="146" customFormat="1">
      <c r="A5517" s="193" t="s">
        <v>514</v>
      </c>
      <c r="B5517" s="210">
        <v>13</v>
      </c>
      <c r="C5517" s="191" t="str">
        <f>IF('IWP16'!E$553=0,"",'IWP16'!E$553)</f>
        <v/>
      </c>
      <c r="D5517" s="211">
        <f>'IWP16'!G$553</f>
        <v>0</v>
      </c>
      <c r="E5517" s="211">
        <f>'IWP16'!H$553</f>
        <v>0</v>
      </c>
      <c r="F5517" s="211">
        <f>'IWP16'!I$553</f>
        <v>0</v>
      </c>
      <c r="G5517" s="191" t="str">
        <f>IF('IWP16'!J$553=0,"",'IWP16'!J$553)</f>
        <v/>
      </c>
      <c r="H5517" s="211">
        <f>'IWP16'!K$553</f>
        <v>0</v>
      </c>
      <c r="I5517" s="211">
        <f>'IWP16'!L$553</f>
        <v>0</v>
      </c>
      <c r="J5517" s="212">
        <f>'IWP16'!M$553</f>
        <v>0</v>
      </c>
      <c r="K5517" s="106"/>
      <c r="L5517" s="106"/>
      <c r="M5517" s="129"/>
    </row>
    <row r="5518" spans="1:13" s="146" customFormat="1">
      <c r="A5518" s="193" t="s">
        <v>514</v>
      </c>
      <c r="B5518" s="210">
        <v>13</v>
      </c>
      <c r="C5518" s="191" t="str">
        <f>IF('IWP16'!E$554=0,"",'IWP16'!E$554)</f>
        <v/>
      </c>
      <c r="D5518" s="211">
        <f>'IWP16'!G$554</f>
        <v>0</v>
      </c>
      <c r="E5518" s="211">
        <f>'IWP16'!H$554</f>
        <v>0</v>
      </c>
      <c r="F5518" s="211">
        <f>'IWP16'!I$554</f>
        <v>0</v>
      </c>
      <c r="G5518" s="191" t="str">
        <f>IF('IWP16'!J$554=0,"",'IWP16'!J$554)</f>
        <v/>
      </c>
      <c r="H5518" s="211">
        <f>'IWP16'!K$554</f>
        <v>0</v>
      </c>
      <c r="I5518" s="211">
        <f>'IWP16'!L$554</f>
        <v>0</v>
      </c>
      <c r="J5518" s="212">
        <f>'IWP16'!M$554</f>
        <v>0</v>
      </c>
      <c r="K5518" s="106"/>
      <c r="L5518" s="106"/>
      <c r="M5518" s="129"/>
    </row>
    <row r="5519" spans="1:13" s="146" customFormat="1">
      <c r="A5519" s="193" t="s">
        <v>514</v>
      </c>
      <c r="B5519" s="210">
        <v>13</v>
      </c>
      <c r="C5519" s="191" t="str">
        <f>IF('IWP16'!E$555=0,"",'IWP16'!E$555)</f>
        <v/>
      </c>
      <c r="D5519" s="211">
        <f>'IWP16'!G$555</f>
        <v>0</v>
      </c>
      <c r="E5519" s="211">
        <f>'IWP16'!H$555</f>
        <v>0</v>
      </c>
      <c r="F5519" s="211">
        <f>'IWP16'!I$555</f>
        <v>0</v>
      </c>
      <c r="G5519" s="191" t="str">
        <f>IF('IWP16'!J$555=0,"",'IWP16'!J$555)</f>
        <v/>
      </c>
      <c r="H5519" s="211">
        <f>'IWP16'!K$555</f>
        <v>0</v>
      </c>
      <c r="I5519" s="211">
        <f>'IWP16'!L$555</f>
        <v>0</v>
      </c>
      <c r="J5519" s="212">
        <f>'IWP16'!M$555</f>
        <v>0</v>
      </c>
      <c r="K5519" s="106"/>
      <c r="L5519" s="106"/>
      <c r="M5519" s="129"/>
    </row>
    <row r="5520" spans="1:13" s="146" customFormat="1">
      <c r="A5520" s="193" t="s">
        <v>514</v>
      </c>
      <c r="B5520" s="210">
        <v>13</v>
      </c>
      <c r="C5520" s="191" t="str">
        <f>IF('IWP16'!E$556=0,"",'IWP16'!E$556)</f>
        <v/>
      </c>
      <c r="D5520" s="211">
        <f>'IWP16'!G$556</f>
        <v>0</v>
      </c>
      <c r="E5520" s="211">
        <f>'IWP16'!H$556</f>
        <v>0</v>
      </c>
      <c r="F5520" s="211">
        <f>'IWP16'!I$556</f>
        <v>0</v>
      </c>
      <c r="G5520" s="191" t="str">
        <f>IF('IWP16'!J$556=0,"",'IWP16'!J$556)</f>
        <v/>
      </c>
      <c r="H5520" s="211">
        <f>'IWP16'!K$556</f>
        <v>0</v>
      </c>
      <c r="I5520" s="211">
        <f>'IWP16'!L$556</f>
        <v>0</v>
      </c>
      <c r="J5520" s="212">
        <f>'IWP16'!M$556</f>
        <v>0</v>
      </c>
      <c r="K5520" s="106"/>
      <c r="L5520" s="106"/>
      <c r="M5520" s="129"/>
    </row>
    <row r="5521" spans="1:13" s="146" customFormat="1">
      <c r="A5521" s="193" t="s">
        <v>514</v>
      </c>
      <c r="B5521" s="210">
        <v>14</v>
      </c>
      <c r="C5521" s="191" t="str">
        <f>IF('IWP16'!E$563=0,"",'IWP16'!E$563)</f>
        <v>Subtotal column D.</v>
      </c>
      <c r="D5521" s="211">
        <f>'IWP16'!G$563</f>
        <v>0</v>
      </c>
      <c r="E5521" s="211">
        <f>'IWP16'!H$563</f>
        <v>0</v>
      </c>
      <c r="F5521" s="211">
        <f>'IWP16'!I$563</f>
        <v>0</v>
      </c>
      <c r="G5521" s="191" t="str">
        <f>IF('IWP16'!J$563=0,"",'IWP16'!J$563)</f>
        <v/>
      </c>
      <c r="H5521" s="211">
        <f>'IWP16'!K$563</f>
        <v>0</v>
      </c>
      <c r="I5521" s="211">
        <f>'IWP16'!L$563</f>
        <v>0</v>
      </c>
      <c r="J5521" s="212">
        <f>'IWP16'!M$563</f>
        <v>0</v>
      </c>
      <c r="K5521" s="106"/>
      <c r="L5521" s="106"/>
      <c r="M5521" s="129"/>
    </row>
    <row r="5522" spans="1:13" s="146" customFormat="1">
      <c r="A5522" s="193" t="s">
        <v>514</v>
      </c>
      <c r="B5522" s="210">
        <v>14</v>
      </c>
      <c r="C5522" s="191" t="str">
        <f>IF('IWP16'!E$564=0,"",'IWP16'!E$564)</f>
        <v>Unverified/Undocumented (Subtotal D - C)</v>
      </c>
      <c r="D5522" s="211">
        <f>'IWP16'!G$564</f>
        <v>0</v>
      </c>
      <c r="E5522" s="211">
        <f>'IWP16'!H$564</f>
        <v>0</v>
      </c>
      <c r="F5522" s="211">
        <f>'IWP16'!I$564</f>
        <v>0</v>
      </c>
      <c r="G5522" s="191" t="str">
        <f>IF('IWP16'!J$564=0,"",'IWP16'!J$564)</f>
        <v/>
      </c>
      <c r="H5522" s="211">
        <f>'IWP16'!K$564</f>
        <v>0</v>
      </c>
      <c r="I5522" s="211">
        <f>'IWP16'!L$564</f>
        <v>0</v>
      </c>
      <c r="J5522" s="212">
        <f>'IWP16'!M$564</f>
        <v>0</v>
      </c>
      <c r="K5522" s="106"/>
      <c r="L5522" s="106"/>
      <c r="M5522" s="129"/>
    </row>
    <row r="5523" spans="1:13" s="146" customFormat="1">
      <c r="A5523" s="193" t="s">
        <v>514</v>
      </c>
      <c r="B5523" s="210">
        <v>14</v>
      </c>
      <c r="C5523" s="191" t="str">
        <f>IF('IWP16'!E$565=0,"",'IWP16'!E$565)</f>
        <v>J. Billing Period Total</v>
      </c>
      <c r="D5523" s="211">
        <f>'IWP16'!G$565</f>
        <v>0</v>
      </c>
      <c r="E5523" s="211">
        <f>'IWP16'!H$565</f>
        <v>0</v>
      </c>
      <c r="F5523" s="211">
        <f>'IWP16'!I$565</f>
        <v>0</v>
      </c>
      <c r="G5523" s="191" t="str">
        <f>IF('IWP16'!J$565=0,"",'IWP16'!J$565)</f>
        <v/>
      </c>
      <c r="H5523" s="211">
        <f>'IWP16'!K$565</f>
        <v>0</v>
      </c>
      <c r="I5523" s="211">
        <f>'IWP16'!L$565</f>
        <v>0</v>
      </c>
      <c r="J5523" s="212">
        <f>'IWP16'!M$565</f>
        <v>0</v>
      </c>
      <c r="K5523" s="106"/>
      <c r="L5523" s="106"/>
      <c r="M5523" s="129"/>
    </row>
    <row r="5524" spans="1:13" s="146" customFormat="1">
      <c r="A5524" s="193" t="s">
        <v>514</v>
      </c>
      <c r="B5524" s="210">
        <v>14</v>
      </c>
      <c r="C5524" s="191" t="str">
        <f>IF('IWP16'!E$566=0,"",'IWP16'!E$566)</f>
        <v>D.</v>
      </c>
      <c r="D5524" s="211">
        <f>'IWP16'!G$566</f>
        <v>0</v>
      </c>
      <c r="E5524" s="211" t="str">
        <f>'IWP16'!H$566</f>
        <v>E.</v>
      </c>
      <c r="F5524" s="211" t="str">
        <f>'IWP16'!I$566</f>
        <v>F.</v>
      </c>
      <c r="G5524" s="191" t="str">
        <f>IF('IWP16'!J$566=0,"",'IWP16'!J$566)</f>
        <v>G.</v>
      </c>
      <c r="H5524" s="211">
        <f>'IWP16'!K$566</f>
        <v>0</v>
      </c>
      <c r="I5524" s="211" t="str">
        <f>'IWP16'!L$566</f>
        <v>H.</v>
      </c>
      <c r="J5524" s="212" t="str">
        <f>'IWP16'!M$566</f>
        <v>I.</v>
      </c>
      <c r="K5524" s="106"/>
      <c r="L5524" s="106"/>
      <c r="M5524" s="129"/>
    </row>
    <row r="5525" spans="1:13" s="146" customFormat="1">
      <c r="A5525" s="193" t="s">
        <v>514</v>
      </c>
      <c r="B5525" s="210">
        <v>14</v>
      </c>
      <c r="C5525" s="191" t="str">
        <f>IF('IWP16'!E$567=0,"",'IWP16'!E$567)</f>
        <v xml:space="preserve">Items/Services Related to Billing Period </v>
      </c>
      <c r="D5525" s="211">
        <f>'IWP16'!G$567</f>
        <v>0</v>
      </c>
      <c r="E5525" s="211" t="str">
        <f>'IWP16'!H$567</f>
        <v xml:space="preserve">Item/
Service Verified Amounts
</v>
      </c>
      <c r="F5525" s="211" t="str">
        <f>'IWP16'!I$567</f>
        <v>Amount Due to DADS (E. - D.)</v>
      </c>
      <c r="G5525" s="191" t="str">
        <f>IF('IWP16'!J$567=0,"",'IWP16'!J$567)</f>
        <v>Amount Reimbursed to 
Employee(s)/Employer</v>
      </c>
      <c r="H5525" s="211">
        <f>'IWP16'!K$567</f>
        <v>0</v>
      </c>
      <c r="I5525" s="211" t="str">
        <f>'IWP16'!L$567</f>
        <v>Amount Due to Employee(s) (G. - E.)</v>
      </c>
      <c r="J5525" s="212" t="str">
        <f>'IWP16'!M$567</f>
        <v>Amount Due to Employer (G. - E.)</v>
      </c>
      <c r="K5525" s="106"/>
      <c r="L5525" s="106"/>
      <c r="M5525" s="129"/>
    </row>
    <row r="5526" spans="1:13" s="146" customFormat="1">
      <c r="A5526" s="193" t="s">
        <v>514</v>
      </c>
      <c r="B5526" s="210">
        <v>14</v>
      </c>
      <c r="C5526" s="191" t="str">
        <f>IF('IWP16'!E$568=0,"",'IWP16'!E$568)</f>
        <v>Item/Service</v>
      </c>
      <c r="D5526" s="211" t="str">
        <f>'IWP16'!G$568</f>
        <v>Itemized Amount Paid by DADS</v>
      </c>
      <c r="E5526" s="211">
        <f>'IWP16'!H$568</f>
        <v>0</v>
      </c>
      <c r="F5526" s="211">
        <f>'IWP16'!I$568</f>
        <v>0</v>
      </c>
      <c r="G5526" s="191" t="str">
        <f>IF('IWP16'!J$568=0,"",'IWP16'!J$568)</f>
        <v/>
      </c>
      <c r="H5526" s="211">
        <f>'IWP16'!K$568</f>
        <v>0</v>
      </c>
      <c r="I5526" s="211">
        <f>'IWP16'!L$568</f>
        <v>0</v>
      </c>
      <c r="J5526" s="212">
        <f>'IWP16'!M$568</f>
        <v>0</v>
      </c>
      <c r="K5526" s="106"/>
      <c r="L5526" s="106"/>
      <c r="M5526" s="129"/>
    </row>
    <row r="5527" spans="1:13" s="146" customFormat="1">
      <c r="A5527" s="193" t="s">
        <v>514</v>
      </c>
      <c r="B5527" s="210">
        <v>14</v>
      </c>
      <c r="C5527" s="191" t="str">
        <f>IF('IWP16'!E$569=0,"",'IWP16'!E$569)</f>
        <v/>
      </c>
      <c r="D5527" s="211">
        <f>'IWP16'!G$569</f>
        <v>0</v>
      </c>
      <c r="E5527" s="211">
        <f>'IWP16'!H$569</f>
        <v>0</v>
      </c>
      <c r="F5527" s="211">
        <f>'IWP16'!I$569</f>
        <v>0</v>
      </c>
      <c r="G5527" s="191" t="str">
        <f>IF('IWP16'!J$569=0,"",'IWP16'!J$569)</f>
        <v/>
      </c>
      <c r="H5527" s="211">
        <f>'IWP16'!K$569</f>
        <v>0</v>
      </c>
      <c r="I5527" s="211">
        <f>'IWP16'!L$569</f>
        <v>0</v>
      </c>
      <c r="J5527" s="212">
        <f>'IWP16'!M$569</f>
        <v>0</v>
      </c>
      <c r="K5527" s="106"/>
      <c r="L5527" s="106"/>
      <c r="M5527" s="129"/>
    </row>
    <row r="5528" spans="1:13" s="146" customFormat="1">
      <c r="A5528" s="193" t="s">
        <v>514</v>
      </c>
      <c r="B5528" s="210">
        <v>14</v>
      </c>
      <c r="C5528" s="191" t="str">
        <f>IF('IWP16'!E$570=0,"",'IWP16'!E$570)</f>
        <v/>
      </c>
      <c r="D5528" s="211">
        <f>'IWP16'!G$570</f>
        <v>0</v>
      </c>
      <c r="E5528" s="211">
        <f>'IWP16'!H$570</f>
        <v>0</v>
      </c>
      <c r="F5528" s="211">
        <f>'IWP16'!I$570</f>
        <v>0</v>
      </c>
      <c r="G5528" s="191" t="str">
        <f>IF('IWP16'!J$570=0,"",'IWP16'!J$570)</f>
        <v/>
      </c>
      <c r="H5528" s="211">
        <f>'IWP16'!K$570</f>
        <v>0</v>
      </c>
      <c r="I5528" s="211">
        <f>'IWP16'!L$570</f>
        <v>0</v>
      </c>
      <c r="J5528" s="212">
        <f>'IWP16'!M$570</f>
        <v>0</v>
      </c>
      <c r="K5528" s="106"/>
      <c r="L5528" s="106"/>
      <c r="M5528" s="129"/>
    </row>
    <row r="5529" spans="1:13" s="146" customFormat="1">
      <c r="A5529" s="193" t="s">
        <v>514</v>
      </c>
      <c r="B5529" s="210">
        <v>14</v>
      </c>
      <c r="C5529" s="191" t="str">
        <f>IF('IWP16'!E$571=0,"",'IWP16'!E$571)</f>
        <v/>
      </c>
      <c r="D5529" s="211">
        <f>'IWP16'!G$571</f>
        <v>0</v>
      </c>
      <c r="E5529" s="211">
        <f>'IWP16'!H$571</f>
        <v>0</v>
      </c>
      <c r="F5529" s="211">
        <f>'IWP16'!I$571</f>
        <v>0</v>
      </c>
      <c r="G5529" s="191" t="str">
        <f>IF('IWP16'!J$571=0,"",'IWP16'!J$571)</f>
        <v/>
      </c>
      <c r="H5529" s="211">
        <f>'IWP16'!K$571</f>
        <v>0</v>
      </c>
      <c r="I5529" s="211">
        <f>'IWP16'!L$571</f>
        <v>0</v>
      </c>
      <c r="J5529" s="212">
        <f>'IWP16'!M$571</f>
        <v>0</v>
      </c>
      <c r="K5529" s="106"/>
      <c r="L5529" s="106"/>
      <c r="M5529" s="129"/>
    </row>
    <row r="5530" spans="1:13" s="146" customFormat="1">
      <c r="A5530" s="193" t="s">
        <v>514</v>
      </c>
      <c r="B5530" s="210">
        <v>14</v>
      </c>
      <c r="C5530" s="191" t="str">
        <f>IF('IWP16'!E$572=0,"",'IWP16'!E$572)</f>
        <v/>
      </c>
      <c r="D5530" s="211">
        <f>'IWP16'!G$572</f>
        <v>0</v>
      </c>
      <c r="E5530" s="211">
        <f>'IWP16'!H$572</f>
        <v>0</v>
      </c>
      <c r="F5530" s="211">
        <f>'IWP16'!I$572</f>
        <v>0</v>
      </c>
      <c r="G5530" s="191" t="str">
        <f>IF('IWP16'!J$572=0,"",'IWP16'!J$572)</f>
        <v/>
      </c>
      <c r="H5530" s="211">
        <f>'IWP16'!K$572</f>
        <v>0</v>
      </c>
      <c r="I5530" s="211">
        <f>'IWP16'!L$572</f>
        <v>0</v>
      </c>
      <c r="J5530" s="212">
        <f>'IWP16'!M$572</f>
        <v>0</v>
      </c>
      <c r="K5530" s="106"/>
      <c r="L5530" s="106"/>
      <c r="M5530" s="129"/>
    </row>
    <row r="5531" spans="1:13" s="146" customFormat="1">
      <c r="A5531" s="193" t="s">
        <v>514</v>
      </c>
      <c r="B5531" s="210">
        <v>15</v>
      </c>
      <c r="C5531" s="191" t="str">
        <f>IF('IWP16'!E$579=0,"",'IWP16'!E$579)</f>
        <v>Subtotal column D.</v>
      </c>
      <c r="D5531" s="211">
        <f>'IWP16'!G$579</f>
        <v>0</v>
      </c>
      <c r="E5531" s="211">
        <f>'IWP16'!H$579</f>
        <v>0</v>
      </c>
      <c r="F5531" s="211">
        <f>'IWP16'!I$579</f>
        <v>0</v>
      </c>
      <c r="G5531" s="191" t="str">
        <f>IF('IWP16'!J$579=0,"",'IWP16'!J$579)</f>
        <v/>
      </c>
      <c r="H5531" s="211">
        <f>'IWP16'!K$579</f>
        <v>0</v>
      </c>
      <c r="I5531" s="211">
        <f>'IWP16'!L$579</f>
        <v>0</v>
      </c>
      <c r="J5531" s="212">
        <f>'IWP16'!M$579</f>
        <v>0</v>
      </c>
      <c r="K5531" s="106"/>
      <c r="L5531" s="106"/>
      <c r="M5531" s="129"/>
    </row>
    <row r="5532" spans="1:13" s="146" customFormat="1">
      <c r="A5532" s="193" t="s">
        <v>514</v>
      </c>
      <c r="B5532" s="210">
        <v>15</v>
      </c>
      <c r="C5532" s="191" t="str">
        <f>IF('IWP16'!E$580=0,"",'IWP16'!E$580)</f>
        <v>Unverified/Undocumented (Subtotal D - C)</v>
      </c>
      <c r="D5532" s="211">
        <f>'IWP16'!G$580</f>
        <v>0</v>
      </c>
      <c r="E5532" s="211">
        <f>'IWP16'!H$580</f>
        <v>0</v>
      </c>
      <c r="F5532" s="211">
        <f>'IWP16'!I$580</f>
        <v>0</v>
      </c>
      <c r="G5532" s="191" t="str">
        <f>IF('IWP16'!J$580=0,"",'IWP16'!J$580)</f>
        <v/>
      </c>
      <c r="H5532" s="211">
        <f>'IWP16'!K$580</f>
        <v>0</v>
      </c>
      <c r="I5532" s="211">
        <f>'IWP16'!L$580</f>
        <v>0</v>
      </c>
      <c r="J5532" s="212">
        <f>'IWP16'!M$580</f>
        <v>0</v>
      </c>
      <c r="K5532" s="106"/>
      <c r="L5532" s="106"/>
      <c r="M5532" s="129"/>
    </row>
    <row r="5533" spans="1:13" s="146" customFormat="1">
      <c r="A5533" s="193" t="s">
        <v>514</v>
      </c>
      <c r="B5533" s="210">
        <v>15</v>
      </c>
      <c r="C5533" s="191" t="str">
        <f>IF('IWP16'!E$581=0,"",'IWP16'!E$581)</f>
        <v>J. Billing Period Total</v>
      </c>
      <c r="D5533" s="211">
        <f>'IWP16'!G$581</f>
        <v>0</v>
      </c>
      <c r="E5533" s="211">
        <f>'IWP16'!H$581</f>
        <v>0</v>
      </c>
      <c r="F5533" s="211">
        <f>'IWP16'!I$581</f>
        <v>0</v>
      </c>
      <c r="G5533" s="191" t="str">
        <f>IF('IWP16'!J$581=0,"",'IWP16'!J$581)</f>
        <v/>
      </c>
      <c r="H5533" s="211">
        <f>'IWP16'!K$581</f>
        <v>0</v>
      </c>
      <c r="I5533" s="211">
        <f>'IWP16'!L$581</f>
        <v>0</v>
      </c>
      <c r="J5533" s="212">
        <f>'IWP16'!M$581</f>
        <v>0</v>
      </c>
      <c r="K5533" s="106"/>
      <c r="L5533" s="106"/>
      <c r="M5533" s="129"/>
    </row>
    <row r="5534" spans="1:13" s="146" customFormat="1">
      <c r="A5534" s="193" t="s">
        <v>514</v>
      </c>
      <c r="B5534" s="210">
        <v>15</v>
      </c>
      <c r="C5534" s="191" t="str">
        <f>IF('IWP16'!E$582=0,"",'IWP16'!E$582)</f>
        <v>D.</v>
      </c>
      <c r="D5534" s="211">
        <f>'IWP16'!G$582</f>
        <v>0</v>
      </c>
      <c r="E5534" s="211" t="str">
        <f>'IWP16'!H$582</f>
        <v>E.</v>
      </c>
      <c r="F5534" s="211" t="str">
        <f>'IWP16'!I$582</f>
        <v>F.</v>
      </c>
      <c r="G5534" s="191" t="str">
        <f>IF('IWP16'!J$582=0,"",'IWP16'!J$582)</f>
        <v>G.</v>
      </c>
      <c r="H5534" s="211">
        <f>'IWP16'!K$582</f>
        <v>0</v>
      </c>
      <c r="I5534" s="211" t="str">
        <f>'IWP16'!L$582</f>
        <v>H.</v>
      </c>
      <c r="J5534" s="212" t="str">
        <f>'IWP16'!M$582</f>
        <v>I.</v>
      </c>
      <c r="K5534" s="106"/>
      <c r="L5534" s="106"/>
      <c r="M5534" s="129"/>
    </row>
    <row r="5535" spans="1:13" s="146" customFormat="1">
      <c r="A5535" s="193" t="s">
        <v>514</v>
      </c>
      <c r="B5535" s="210">
        <v>15</v>
      </c>
      <c r="C5535" s="191" t="str">
        <f>IF('IWP16'!E$583=0,"",'IWP16'!E$583)</f>
        <v xml:space="preserve">Items/Services Related to Billing Period </v>
      </c>
      <c r="D5535" s="211">
        <f>'IWP16'!G$583</f>
        <v>0</v>
      </c>
      <c r="E5535" s="211" t="str">
        <f>'IWP16'!H$583</f>
        <v xml:space="preserve">Item/
Service Verified Amounts
</v>
      </c>
      <c r="F5535" s="211" t="str">
        <f>'IWP16'!I$583</f>
        <v>Amount Due to DADS (E. - D.)</v>
      </c>
      <c r="G5535" s="191" t="str">
        <f>IF('IWP16'!J$583=0,"",'IWP16'!J$583)</f>
        <v>Amount Reimbursed to 
Employee(s)/Employer</v>
      </c>
      <c r="H5535" s="211">
        <f>'IWP16'!K$583</f>
        <v>0</v>
      </c>
      <c r="I5535" s="211" t="str">
        <f>'IWP16'!L$583</f>
        <v>Amount Due to Employee(s) (G. - E.)</v>
      </c>
      <c r="J5535" s="212" t="str">
        <f>'IWP16'!M$583</f>
        <v>Amount Due to Employer (G. - E.)</v>
      </c>
      <c r="K5535" s="106"/>
      <c r="L5535" s="106"/>
      <c r="M5535" s="129"/>
    </row>
    <row r="5536" spans="1:13" s="146" customFormat="1">
      <c r="A5536" s="193" t="s">
        <v>514</v>
      </c>
      <c r="B5536" s="210">
        <v>15</v>
      </c>
      <c r="C5536" s="191" t="str">
        <f>IF('IWP16'!E$584=0,"",'IWP16'!E$584)</f>
        <v>Item/Service</v>
      </c>
      <c r="D5536" s="211" t="str">
        <f>'IWP16'!G$584</f>
        <v>Itemized Amount Paid by DADS</v>
      </c>
      <c r="E5536" s="211">
        <f>'IWP16'!H$584</f>
        <v>0</v>
      </c>
      <c r="F5536" s="211">
        <f>'IWP16'!I$584</f>
        <v>0</v>
      </c>
      <c r="G5536" s="191" t="str">
        <f>IF('IWP16'!J$584=0,"",'IWP16'!J$584)</f>
        <v/>
      </c>
      <c r="H5536" s="211">
        <f>'IWP16'!K$584</f>
        <v>0</v>
      </c>
      <c r="I5536" s="211">
        <f>'IWP16'!L$584</f>
        <v>0</v>
      </c>
      <c r="J5536" s="212">
        <f>'IWP16'!M$584</f>
        <v>0</v>
      </c>
      <c r="K5536" s="106"/>
      <c r="L5536" s="106"/>
      <c r="M5536" s="129"/>
    </row>
    <row r="5537" spans="1:13" s="146" customFormat="1">
      <c r="A5537" s="193" t="s">
        <v>514</v>
      </c>
      <c r="B5537" s="210">
        <v>15</v>
      </c>
      <c r="C5537" s="191" t="str">
        <f>IF('IWP16'!E$585=0,"",'IWP16'!E$585)</f>
        <v/>
      </c>
      <c r="D5537" s="211">
        <f>'IWP16'!G$585</f>
        <v>0</v>
      </c>
      <c r="E5537" s="211">
        <f>'IWP16'!H$585</f>
        <v>0</v>
      </c>
      <c r="F5537" s="211">
        <f>'IWP16'!I$585</f>
        <v>0</v>
      </c>
      <c r="G5537" s="191" t="str">
        <f>IF('IWP16'!J$585=0,"",'IWP16'!J$585)</f>
        <v/>
      </c>
      <c r="H5537" s="211">
        <f>'IWP16'!K$585</f>
        <v>0</v>
      </c>
      <c r="I5537" s="211">
        <f>'IWP16'!L$585</f>
        <v>0</v>
      </c>
      <c r="J5537" s="212">
        <f>'IWP16'!M$585</f>
        <v>0</v>
      </c>
      <c r="K5537" s="106"/>
      <c r="L5537" s="106"/>
      <c r="M5537" s="129"/>
    </row>
    <row r="5538" spans="1:13" s="146" customFormat="1">
      <c r="A5538" s="193" t="s">
        <v>514</v>
      </c>
      <c r="B5538" s="210">
        <v>15</v>
      </c>
      <c r="C5538" s="191" t="str">
        <f>IF('IWP16'!E$586=0,"",'IWP16'!E$586)</f>
        <v/>
      </c>
      <c r="D5538" s="211">
        <f>'IWP16'!G$586</f>
        <v>0</v>
      </c>
      <c r="E5538" s="211">
        <f>'IWP16'!H$586</f>
        <v>0</v>
      </c>
      <c r="F5538" s="211">
        <f>'IWP16'!I$586</f>
        <v>0</v>
      </c>
      <c r="G5538" s="191" t="str">
        <f>IF('IWP16'!J$586=0,"",'IWP16'!J$586)</f>
        <v/>
      </c>
      <c r="H5538" s="211">
        <f>'IWP16'!K$586</f>
        <v>0</v>
      </c>
      <c r="I5538" s="211">
        <f>'IWP16'!L$586</f>
        <v>0</v>
      </c>
      <c r="J5538" s="212">
        <f>'IWP16'!M$586</f>
        <v>0</v>
      </c>
      <c r="K5538" s="106"/>
      <c r="L5538" s="106"/>
      <c r="M5538" s="129"/>
    </row>
    <row r="5539" spans="1:13" s="146" customFormat="1">
      <c r="A5539" s="193" t="s">
        <v>514</v>
      </c>
      <c r="B5539" s="210">
        <v>15</v>
      </c>
      <c r="C5539" s="191" t="str">
        <f>IF('IWP16'!E$587=0,"",'IWP16'!E$587)</f>
        <v/>
      </c>
      <c r="D5539" s="211">
        <f>'IWP16'!G$587</f>
        <v>0</v>
      </c>
      <c r="E5539" s="211">
        <f>'IWP16'!H$587</f>
        <v>0</v>
      </c>
      <c r="F5539" s="211">
        <f>'IWP16'!I$587</f>
        <v>0</v>
      </c>
      <c r="G5539" s="191" t="str">
        <f>IF('IWP16'!J$587=0,"",'IWP16'!J$587)</f>
        <v/>
      </c>
      <c r="H5539" s="211">
        <f>'IWP16'!K$587</f>
        <v>0</v>
      </c>
      <c r="I5539" s="211">
        <f>'IWP16'!L$587</f>
        <v>0</v>
      </c>
      <c r="J5539" s="212">
        <f>'IWP16'!M$587</f>
        <v>0</v>
      </c>
      <c r="K5539" s="106"/>
      <c r="L5539" s="106"/>
      <c r="M5539" s="129"/>
    </row>
    <row r="5540" spans="1:13" s="146" customFormat="1">
      <c r="A5540" s="193" t="s">
        <v>514</v>
      </c>
      <c r="B5540" s="210">
        <v>15</v>
      </c>
      <c r="C5540" s="191" t="str">
        <f>IF('IWP16'!E$588=0,"",'IWP16'!E$588)</f>
        <v/>
      </c>
      <c r="D5540" s="211">
        <f>'IWP16'!G$588</f>
        <v>0</v>
      </c>
      <c r="E5540" s="211">
        <f>'IWP16'!H$588</f>
        <v>0</v>
      </c>
      <c r="F5540" s="211">
        <f>'IWP16'!I$588</f>
        <v>0</v>
      </c>
      <c r="G5540" s="191" t="str">
        <f>IF('IWP16'!J$588=0,"",'IWP16'!J$588)</f>
        <v/>
      </c>
      <c r="H5540" s="211">
        <f>'IWP16'!K$588</f>
        <v>0</v>
      </c>
      <c r="I5540" s="211">
        <f>'IWP16'!L$588</f>
        <v>0</v>
      </c>
      <c r="J5540" s="212">
        <f>'IWP16'!M$588</f>
        <v>0</v>
      </c>
      <c r="K5540" s="106"/>
      <c r="L5540" s="106"/>
      <c r="M5540" s="129"/>
    </row>
    <row r="5541" spans="1:13" s="146" customFormat="1">
      <c r="A5541" s="193" t="s">
        <v>514</v>
      </c>
      <c r="B5541" s="210">
        <v>16</v>
      </c>
      <c r="C5541" s="191" t="str">
        <f>IF('IWP16'!E$595=0,"",'IWP16'!E$595)</f>
        <v>Subtotal column D.</v>
      </c>
      <c r="D5541" s="211">
        <f>'IWP16'!G$595</f>
        <v>0</v>
      </c>
      <c r="E5541" s="211">
        <f>'IWP16'!H$595</f>
        <v>0</v>
      </c>
      <c r="F5541" s="211">
        <f>'IWP16'!I$595</f>
        <v>0</v>
      </c>
      <c r="G5541" s="191" t="str">
        <f>IF('IWP16'!J$595=0,"",'IWP16'!J$595)</f>
        <v/>
      </c>
      <c r="H5541" s="211">
        <f>'IWP16'!K$595</f>
        <v>0</v>
      </c>
      <c r="I5541" s="211">
        <f>'IWP16'!L$595</f>
        <v>0</v>
      </c>
      <c r="J5541" s="212">
        <f>'IWP16'!M$595</f>
        <v>0</v>
      </c>
      <c r="K5541" s="106"/>
      <c r="L5541" s="106"/>
      <c r="M5541" s="129"/>
    </row>
    <row r="5542" spans="1:13" s="146" customFormat="1">
      <c r="A5542" s="193" t="s">
        <v>514</v>
      </c>
      <c r="B5542" s="210">
        <v>16</v>
      </c>
      <c r="C5542" s="191" t="str">
        <f>IF('IWP16'!E$596=0,"",'IWP16'!E$596)</f>
        <v>Unverified/Undocumented (Subtotal D - C)</v>
      </c>
      <c r="D5542" s="211">
        <f>'IWP16'!G$596</f>
        <v>0</v>
      </c>
      <c r="E5542" s="211">
        <f>'IWP16'!H$596</f>
        <v>0</v>
      </c>
      <c r="F5542" s="211">
        <f>'IWP16'!I$596</f>
        <v>0</v>
      </c>
      <c r="G5542" s="191" t="str">
        <f>IF('IWP16'!J$596=0,"",'IWP16'!J$596)</f>
        <v/>
      </c>
      <c r="H5542" s="211">
        <f>'IWP16'!K$596</f>
        <v>0</v>
      </c>
      <c r="I5542" s="211">
        <f>'IWP16'!L$596</f>
        <v>0</v>
      </c>
      <c r="J5542" s="212">
        <f>'IWP16'!M$596</f>
        <v>0</v>
      </c>
      <c r="K5542" s="106"/>
      <c r="L5542" s="106"/>
      <c r="M5542" s="129"/>
    </row>
    <row r="5543" spans="1:13" s="146" customFormat="1">
      <c r="A5543" s="193" t="s">
        <v>514</v>
      </c>
      <c r="B5543" s="210">
        <v>16</v>
      </c>
      <c r="C5543" s="191" t="str">
        <f>IF('IWP16'!E$597=0,"",'IWP16'!E$597)</f>
        <v>J. Billing Period Total</v>
      </c>
      <c r="D5543" s="211">
        <f>'IWP16'!G$597</f>
        <v>0</v>
      </c>
      <c r="E5543" s="211">
        <f>'IWP16'!H$597</f>
        <v>0</v>
      </c>
      <c r="F5543" s="211">
        <f>'IWP16'!I$597</f>
        <v>0</v>
      </c>
      <c r="G5543" s="191" t="str">
        <f>IF('IWP16'!J$597=0,"",'IWP16'!J$597)</f>
        <v/>
      </c>
      <c r="H5543" s="211">
        <f>'IWP16'!K$597</f>
        <v>0</v>
      </c>
      <c r="I5543" s="211">
        <f>'IWP16'!L$597</f>
        <v>0</v>
      </c>
      <c r="J5543" s="212">
        <f>'IWP16'!M$597</f>
        <v>0</v>
      </c>
      <c r="K5543" s="106"/>
      <c r="L5543" s="106"/>
      <c r="M5543" s="129"/>
    </row>
    <row r="5544" spans="1:13" s="146" customFormat="1">
      <c r="A5544" s="193" t="s">
        <v>514</v>
      </c>
      <c r="B5544" s="210">
        <v>16</v>
      </c>
      <c r="C5544" s="191" t="str">
        <f>IF('IWP16'!E$598=0,"",'IWP16'!E$598)</f>
        <v>D.</v>
      </c>
      <c r="D5544" s="211">
        <f>'IWP16'!G$598</f>
        <v>0</v>
      </c>
      <c r="E5544" s="211" t="str">
        <f>'IWP16'!H$598</f>
        <v>E.</v>
      </c>
      <c r="F5544" s="211" t="str">
        <f>'IWP16'!I$598</f>
        <v>F.</v>
      </c>
      <c r="G5544" s="191" t="str">
        <f>IF('IWP16'!J$598=0,"",'IWP16'!J$598)</f>
        <v>G.</v>
      </c>
      <c r="H5544" s="211">
        <f>'IWP16'!K$598</f>
        <v>0</v>
      </c>
      <c r="I5544" s="211" t="str">
        <f>'IWP16'!L$598</f>
        <v>H.</v>
      </c>
      <c r="J5544" s="212" t="str">
        <f>'IWP16'!M$598</f>
        <v>I.</v>
      </c>
      <c r="K5544" s="106"/>
      <c r="L5544" s="106"/>
      <c r="M5544" s="129"/>
    </row>
    <row r="5545" spans="1:13" s="146" customFormat="1">
      <c r="A5545" s="193" t="s">
        <v>514</v>
      </c>
      <c r="B5545" s="210">
        <v>16</v>
      </c>
      <c r="C5545" s="191" t="str">
        <f>IF('IWP16'!E$599=0,"",'IWP16'!E$599)</f>
        <v xml:space="preserve">Items/Services Related to Billing Period </v>
      </c>
      <c r="D5545" s="211">
        <f>'IWP16'!G$599</f>
        <v>0</v>
      </c>
      <c r="E5545" s="211" t="str">
        <f>'IWP16'!H$599</f>
        <v xml:space="preserve">Item/
Service Verified Amounts
</v>
      </c>
      <c r="F5545" s="211" t="str">
        <f>'IWP16'!I$599</f>
        <v>Amount Due to DADS (E. - D.)</v>
      </c>
      <c r="G5545" s="191" t="str">
        <f>IF('IWP16'!J$599=0,"",'IWP16'!J$599)</f>
        <v>Amount Reimbursed to 
Employee(s)/Employer</v>
      </c>
      <c r="H5545" s="211">
        <f>'IWP16'!K$599</f>
        <v>0</v>
      </c>
      <c r="I5545" s="211" t="str">
        <f>'IWP16'!L$599</f>
        <v>Amount Due to Employee(s) (G. - E.)</v>
      </c>
      <c r="J5545" s="212" t="str">
        <f>'IWP16'!M$599</f>
        <v>Amount Due to Employer (G. - E.)</v>
      </c>
      <c r="K5545" s="106"/>
      <c r="L5545" s="106"/>
      <c r="M5545" s="129"/>
    </row>
    <row r="5546" spans="1:13" s="146" customFormat="1">
      <c r="A5546" s="193" t="s">
        <v>514</v>
      </c>
      <c r="B5546" s="210">
        <v>16</v>
      </c>
      <c r="C5546" s="191" t="str">
        <f>IF('IWP16'!E$600=0,"",'IWP16'!E$600)</f>
        <v>Item/Service</v>
      </c>
      <c r="D5546" s="211" t="str">
        <f>'IWP16'!G$600</f>
        <v>Itemized Amount Paid by DADS</v>
      </c>
      <c r="E5546" s="211">
        <f>'IWP16'!H$600</f>
        <v>0</v>
      </c>
      <c r="F5546" s="211">
        <f>'IWP16'!I$600</f>
        <v>0</v>
      </c>
      <c r="G5546" s="191" t="str">
        <f>IF('IWP16'!J$600=0,"",'IWP16'!J$600)</f>
        <v/>
      </c>
      <c r="H5546" s="211">
        <f>'IWP16'!K$600</f>
        <v>0</v>
      </c>
      <c r="I5546" s="211">
        <f>'IWP16'!L$600</f>
        <v>0</v>
      </c>
      <c r="J5546" s="212">
        <f>'IWP16'!M$600</f>
        <v>0</v>
      </c>
      <c r="K5546" s="106"/>
      <c r="L5546" s="106"/>
      <c r="M5546" s="129"/>
    </row>
    <row r="5547" spans="1:13" s="146" customFormat="1">
      <c r="A5547" s="193" t="s">
        <v>514</v>
      </c>
      <c r="B5547" s="210">
        <v>16</v>
      </c>
      <c r="C5547" s="191" t="str">
        <f>IF('IWP16'!E$601=0,"",'IWP16'!E$601)</f>
        <v/>
      </c>
      <c r="D5547" s="211">
        <f>'IWP16'!G$601</f>
        <v>0</v>
      </c>
      <c r="E5547" s="211">
        <f>'IWP16'!H$601</f>
        <v>0</v>
      </c>
      <c r="F5547" s="211">
        <f>'IWP16'!I$601</f>
        <v>0</v>
      </c>
      <c r="G5547" s="191" t="str">
        <f>IF('IWP16'!J$601=0,"",'IWP16'!J$601)</f>
        <v/>
      </c>
      <c r="H5547" s="211">
        <f>'IWP16'!K$601</f>
        <v>0</v>
      </c>
      <c r="I5547" s="211">
        <f>'IWP16'!L$601</f>
        <v>0</v>
      </c>
      <c r="J5547" s="212">
        <f>'IWP16'!M$601</f>
        <v>0</v>
      </c>
      <c r="K5547" s="106"/>
      <c r="L5547" s="106"/>
      <c r="M5547" s="129"/>
    </row>
    <row r="5548" spans="1:13" s="146" customFormat="1">
      <c r="A5548" s="193" t="s">
        <v>514</v>
      </c>
      <c r="B5548" s="210">
        <v>16</v>
      </c>
      <c r="C5548" s="191" t="str">
        <f>IF('IWP16'!E$602=0,"",'IWP16'!E$602)</f>
        <v/>
      </c>
      <c r="D5548" s="211">
        <f>'IWP16'!G$602</f>
        <v>0</v>
      </c>
      <c r="E5548" s="211">
        <f>'IWP16'!H$602</f>
        <v>0</v>
      </c>
      <c r="F5548" s="211">
        <f>'IWP16'!I$602</f>
        <v>0</v>
      </c>
      <c r="G5548" s="191" t="str">
        <f>IF('IWP16'!J$602=0,"",'IWP16'!J$602)</f>
        <v/>
      </c>
      <c r="H5548" s="211">
        <f>'IWP16'!K$602</f>
        <v>0</v>
      </c>
      <c r="I5548" s="211">
        <f>'IWP16'!L$602</f>
        <v>0</v>
      </c>
      <c r="J5548" s="212">
        <f>'IWP16'!M$602</f>
        <v>0</v>
      </c>
      <c r="K5548" s="106"/>
      <c r="L5548" s="106"/>
      <c r="M5548" s="129"/>
    </row>
    <row r="5549" spans="1:13" s="146" customFormat="1">
      <c r="A5549" s="193" t="s">
        <v>514</v>
      </c>
      <c r="B5549" s="210">
        <v>16</v>
      </c>
      <c r="C5549" s="191" t="str">
        <f>IF('IWP16'!E$603=0,"",'IWP16'!E$603)</f>
        <v/>
      </c>
      <c r="D5549" s="211">
        <f>'IWP16'!G$603</f>
        <v>0</v>
      </c>
      <c r="E5549" s="211">
        <f>'IWP16'!H$603</f>
        <v>0</v>
      </c>
      <c r="F5549" s="211">
        <f>'IWP16'!I$603</f>
        <v>0</v>
      </c>
      <c r="G5549" s="191" t="str">
        <f>IF('IWP16'!J$603=0,"",'IWP16'!J$603)</f>
        <v/>
      </c>
      <c r="H5549" s="211">
        <f>'IWP16'!K$603</f>
        <v>0</v>
      </c>
      <c r="I5549" s="211">
        <f>'IWP16'!L$603</f>
        <v>0</v>
      </c>
      <c r="J5549" s="212">
        <f>'IWP16'!M$603</f>
        <v>0</v>
      </c>
      <c r="K5549" s="106"/>
      <c r="L5549" s="106"/>
      <c r="M5549" s="129"/>
    </row>
    <row r="5550" spans="1:13" s="146" customFormat="1">
      <c r="A5550" s="193" t="s">
        <v>514</v>
      </c>
      <c r="B5550" s="210">
        <v>16</v>
      </c>
      <c r="C5550" s="191" t="str">
        <f>IF('IWP16'!E$604=0,"",'IWP16'!E$604)</f>
        <v/>
      </c>
      <c r="D5550" s="211">
        <f>'IWP16'!G$604</f>
        <v>0</v>
      </c>
      <c r="E5550" s="211">
        <f>'IWP16'!H$604</f>
        <v>0</v>
      </c>
      <c r="F5550" s="211">
        <f>'IWP16'!I$604</f>
        <v>0</v>
      </c>
      <c r="G5550" s="191" t="str">
        <f>IF('IWP16'!J$604=0,"",'IWP16'!J$604)</f>
        <v/>
      </c>
      <c r="H5550" s="211">
        <f>'IWP16'!K$604</f>
        <v>0</v>
      </c>
      <c r="I5550" s="211">
        <f>'IWP16'!L$604</f>
        <v>0</v>
      </c>
      <c r="J5550" s="212">
        <f>'IWP16'!M$604</f>
        <v>0</v>
      </c>
      <c r="K5550" s="106"/>
      <c r="L5550" s="106"/>
      <c r="M5550" s="129"/>
    </row>
    <row r="5551" spans="1:13" s="146" customFormat="1">
      <c r="A5551" s="193" t="s">
        <v>514</v>
      </c>
      <c r="B5551" s="210">
        <v>17</v>
      </c>
      <c r="C5551" s="191" t="str">
        <f>IF('IWP16'!E$611=0,"",'IWP16'!E$611)</f>
        <v>Subtotal column D.</v>
      </c>
      <c r="D5551" s="211">
        <f>'IWP16'!G$611</f>
        <v>0</v>
      </c>
      <c r="E5551" s="211">
        <f>'IWP16'!H$611</f>
        <v>0</v>
      </c>
      <c r="F5551" s="211">
        <f>'IWP16'!I$611</f>
        <v>0</v>
      </c>
      <c r="G5551" s="191" t="str">
        <f>IF('IWP16'!J$611=0,"",'IWP16'!J$611)</f>
        <v/>
      </c>
      <c r="H5551" s="211">
        <f>'IWP16'!K$611</f>
        <v>0</v>
      </c>
      <c r="I5551" s="211">
        <f>'IWP16'!L$611</f>
        <v>0</v>
      </c>
      <c r="J5551" s="212">
        <f>'IWP16'!M$611</f>
        <v>0</v>
      </c>
      <c r="K5551" s="106"/>
      <c r="L5551" s="106"/>
      <c r="M5551" s="129"/>
    </row>
    <row r="5552" spans="1:13" s="146" customFormat="1">
      <c r="A5552" s="193" t="s">
        <v>514</v>
      </c>
      <c r="B5552" s="210">
        <v>17</v>
      </c>
      <c r="C5552" s="191" t="str">
        <f>IF('IWP16'!E$612=0,"",'IWP16'!E$612)</f>
        <v>Unverified/Undocumented (Subtotal D - C)</v>
      </c>
      <c r="D5552" s="211">
        <f>'IWP16'!G$612</f>
        <v>0</v>
      </c>
      <c r="E5552" s="211">
        <f>'IWP16'!H$612</f>
        <v>0</v>
      </c>
      <c r="F5552" s="211">
        <f>'IWP16'!I$612</f>
        <v>0</v>
      </c>
      <c r="G5552" s="191" t="str">
        <f>IF('IWP16'!J$612=0,"",'IWP16'!J$612)</f>
        <v/>
      </c>
      <c r="H5552" s="211">
        <f>'IWP16'!K$612</f>
        <v>0</v>
      </c>
      <c r="I5552" s="211">
        <f>'IWP16'!L$612</f>
        <v>0</v>
      </c>
      <c r="J5552" s="212">
        <f>'IWP16'!M$612</f>
        <v>0</v>
      </c>
      <c r="K5552" s="106"/>
      <c r="L5552" s="106"/>
      <c r="M5552" s="129"/>
    </row>
    <row r="5553" spans="1:13" s="146" customFormat="1">
      <c r="A5553" s="193" t="s">
        <v>514</v>
      </c>
      <c r="B5553" s="210">
        <v>17</v>
      </c>
      <c r="C5553" s="191" t="str">
        <f>IF('IWP16'!E$613=0,"",'IWP16'!E$613)</f>
        <v>J. Billing Period Total</v>
      </c>
      <c r="D5553" s="211">
        <f>'IWP16'!G$613</f>
        <v>0</v>
      </c>
      <c r="E5553" s="211">
        <f>'IWP16'!H$613</f>
        <v>0</v>
      </c>
      <c r="F5553" s="211">
        <f>'IWP16'!I$613</f>
        <v>0</v>
      </c>
      <c r="G5553" s="191" t="str">
        <f>IF('IWP16'!J$613=0,"",'IWP16'!J$613)</f>
        <v/>
      </c>
      <c r="H5553" s="211">
        <f>'IWP16'!K$613</f>
        <v>0</v>
      </c>
      <c r="I5553" s="211">
        <f>'IWP16'!L$613</f>
        <v>0</v>
      </c>
      <c r="J5553" s="212">
        <f>'IWP16'!M$613</f>
        <v>0</v>
      </c>
      <c r="K5553" s="106"/>
      <c r="L5553" s="106"/>
      <c r="M5553" s="129"/>
    </row>
    <row r="5554" spans="1:13" s="146" customFormat="1">
      <c r="A5554" s="193" t="s">
        <v>514</v>
      </c>
      <c r="B5554" s="210">
        <v>17</v>
      </c>
      <c r="C5554" s="191" t="str">
        <f>IF('IWP16'!E$614=0,"",'IWP16'!E$614)</f>
        <v/>
      </c>
      <c r="D5554" s="211">
        <f>'IWP16'!G$614</f>
        <v>0</v>
      </c>
      <c r="E5554" s="211">
        <f>'IWP16'!H$614</f>
        <v>0</v>
      </c>
      <c r="F5554" s="211">
        <f>'IWP16'!I$614</f>
        <v>0</v>
      </c>
      <c r="G5554" s="191" t="str">
        <f>IF('IWP16'!J$614=0,"",'IWP16'!J$614)</f>
        <v/>
      </c>
      <c r="H5554" s="211">
        <f>'IWP16'!K$614</f>
        <v>0</v>
      </c>
      <c r="I5554" s="211">
        <f>'IWP16'!L$614</f>
        <v>0</v>
      </c>
      <c r="J5554" s="212">
        <f>'IWP16'!M$614</f>
        <v>0</v>
      </c>
      <c r="K5554" s="106"/>
      <c r="L5554" s="106"/>
      <c r="M5554" s="129"/>
    </row>
    <row r="5555" spans="1:13" s="146" customFormat="1">
      <c r="A5555" s="193" t="s">
        <v>514</v>
      </c>
      <c r="B5555" s="210">
        <v>17</v>
      </c>
      <c r="C5555" s="191" t="str">
        <f>IF('IWP16'!E$615=0,"",'IWP16'!E$615)</f>
        <v/>
      </c>
      <c r="D5555" s="211">
        <f>'IWP16'!G$615</f>
        <v>0</v>
      </c>
      <c r="E5555" s="211">
        <f>'IWP16'!H$615</f>
        <v>0</v>
      </c>
      <c r="F5555" s="211">
        <f>'IWP16'!I$615</f>
        <v>0</v>
      </c>
      <c r="G5555" s="191" t="str">
        <f>IF('IWP16'!J$615=0,"",'IWP16'!J$615)</f>
        <v/>
      </c>
      <c r="H5555" s="211">
        <f>'IWP16'!K$615</f>
        <v>0</v>
      </c>
      <c r="I5555" s="211">
        <f>'IWP16'!L$615</f>
        <v>0</v>
      </c>
      <c r="J5555" s="212">
        <f>'IWP16'!M$615</f>
        <v>0</v>
      </c>
      <c r="K5555" s="106"/>
      <c r="L5555" s="106"/>
      <c r="M5555" s="129"/>
    </row>
    <row r="5556" spans="1:13" s="146" customFormat="1">
      <c r="A5556" s="193" t="s">
        <v>514</v>
      </c>
      <c r="B5556" s="210">
        <v>17</v>
      </c>
      <c r="C5556" s="191" t="str">
        <f>IF('IWP16'!E$616=0,"",'IWP16'!E$616)</f>
        <v/>
      </c>
      <c r="D5556" s="211">
        <f>'IWP16'!G$616</f>
        <v>0</v>
      </c>
      <c r="E5556" s="211">
        <f>'IWP16'!H$616</f>
        <v>0</v>
      </c>
      <c r="F5556" s="211">
        <f>'IWP16'!I$616</f>
        <v>0</v>
      </c>
      <c r="G5556" s="191" t="str">
        <f>IF('IWP16'!J$616=0,"",'IWP16'!J$616)</f>
        <v/>
      </c>
      <c r="H5556" s="211">
        <f>'IWP16'!K$616</f>
        <v>0</v>
      </c>
      <c r="I5556" s="211">
        <f>'IWP16'!L$616</f>
        <v>0</v>
      </c>
      <c r="J5556" s="212">
        <f>'IWP16'!M$616</f>
        <v>0</v>
      </c>
      <c r="K5556" s="106"/>
      <c r="L5556" s="106"/>
      <c r="M5556" s="129"/>
    </row>
    <row r="5557" spans="1:13" s="146" customFormat="1">
      <c r="A5557" s="193" t="s">
        <v>514</v>
      </c>
      <c r="B5557" s="210">
        <v>17</v>
      </c>
      <c r="C5557" s="191" t="str">
        <f>IF('IWP16'!E$617=0,"",'IWP16'!E$617)</f>
        <v/>
      </c>
      <c r="D5557" s="211">
        <f>'IWP16'!G$617</f>
        <v>0</v>
      </c>
      <c r="E5557" s="211">
        <f>'IWP16'!H$617</f>
        <v>0</v>
      </c>
      <c r="F5557" s="211">
        <f>'IWP16'!I$617</f>
        <v>0</v>
      </c>
      <c r="G5557" s="191" t="str">
        <f>IF('IWP16'!J$617=0,"",'IWP16'!J$617)</f>
        <v/>
      </c>
      <c r="H5557" s="211">
        <f>'IWP16'!K$617</f>
        <v>0</v>
      </c>
      <c r="I5557" s="211">
        <f>'IWP16'!L$617</f>
        <v>0</v>
      </c>
      <c r="J5557" s="212">
        <f>'IWP16'!M$617</f>
        <v>0</v>
      </c>
      <c r="K5557" s="106"/>
      <c r="L5557" s="106"/>
      <c r="M5557" s="129"/>
    </row>
    <row r="5558" spans="1:13" s="146" customFormat="1">
      <c r="A5558" s="193" t="s">
        <v>514</v>
      </c>
      <c r="B5558" s="210">
        <v>17</v>
      </c>
      <c r="C5558" s="191" t="str">
        <f>IF('IWP16'!E$618=0,"",'IWP16'!E$618)</f>
        <v/>
      </c>
      <c r="D5558" s="211">
        <f>'IWP16'!G$618</f>
        <v>0</v>
      </c>
      <c r="E5558" s="211">
        <f>'IWP16'!H$618</f>
        <v>0</v>
      </c>
      <c r="F5558" s="211">
        <f>'IWP16'!I$618</f>
        <v>0</v>
      </c>
      <c r="G5558" s="191" t="str">
        <f>IF('IWP16'!J$618=0,"",'IWP16'!J$618)</f>
        <v/>
      </c>
      <c r="H5558" s="211">
        <f>'IWP16'!K$618</f>
        <v>0</v>
      </c>
      <c r="I5558" s="211">
        <f>'IWP16'!L$618</f>
        <v>0</v>
      </c>
      <c r="J5558" s="212">
        <f>'IWP16'!M$618</f>
        <v>0</v>
      </c>
      <c r="K5558" s="106"/>
      <c r="L5558" s="106"/>
      <c r="M5558" s="129"/>
    </row>
    <row r="5559" spans="1:13" s="146" customFormat="1">
      <c r="A5559" s="193" t="s">
        <v>514</v>
      </c>
      <c r="B5559" s="210">
        <v>17</v>
      </c>
      <c r="C5559" s="191" t="str">
        <f>IF('IWP16'!E$619=0,"",'IWP16'!E$619)</f>
        <v/>
      </c>
      <c r="D5559" s="211">
        <f>'IWP16'!G$619</f>
        <v>0</v>
      </c>
      <c r="E5559" s="211">
        <f>'IWP16'!H$619</f>
        <v>0</v>
      </c>
      <c r="F5559" s="211">
        <f>'IWP16'!I$619</f>
        <v>0</v>
      </c>
      <c r="G5559" s="191" t="str">
        <f>IF('IWP16'!J$619=0,"",'IWP16'!J$619)</f>
        <v/>
      </c>
      <c r="H5559" s="211">
        <f>'IWP16'!K$619</f>
        <v>0</v>
      </c>
      <c r="I5559" s="211">
        <f>'IWP16'!L$619</f>
        <v>0</v>
      </c>
      <c r="J5559" s="212">
        <f>'IWP16'!M$619</f>
        <v>0</v>
      </c>
      <c r="K5559" s="106"/>
      <c r="L5559" s="106"/>
      <c r="M5559" s="129"/>
    </row>
    <row r="5560" spans="1:13" s="146" customFormat="1">
      <c r="A5560" s="193" t="s">
        <v>514</v>
      </c>
      <c r="B5560" s="210">
        <v>17</v>
      </c>
      <c r="C5560" s="191" t="str">
        <f>IF('IWP16'!E$620=0,"",'IWP16'!E$620)</f>
        <v/>
      </c>
      <c r="D5560" s="211">
        <f>'IWP16'!G$620</f>
        <v>0</v>
      </c>
      <c r="E5560" s="211">
        <f>'IWP16'!H$620</f>
        <v>0</v>
      </c>
      <c r="F5560" s="211">
        <f>'IWP16'!I$620</f>
        <v>0</v>
      </c>
      <c r="G5560" s="191" t="str">
        <f>IF('IWP16'!J$620=0,"",'IWP16'!J$620)</f>
        <v/>
      </c>
      <c r="H5560" s="211">
        <f>'IWP16'!K$620</f>
        <v>0</v>
      </c>
      <c r="I5560" s="211">
        <f>'IWP16'!L$620</f>
        <v>0</v>
      </c>
      <c r="J5560" s="212">
        <f>'IWP16'!M$620</f>
        <v>0</v>
      </c>
      <c r="K5560" s="106"/>
      <c r="L5560" s="106"/>
      <c r="M5560" s="129"/>
    </row>
    <row r="5561" spans="1:13" s="146" customFormat="1">
      <c r="A5561" s="193" t="s">
        <v>514</v>
      </c>
      <c r="B5561" s="210">
        <v>18</v>
      </c>
      <c r="C5561" s="191" t="str">
        <f>IF('IWP16'!E$627=0,"",'IWP16'!E$627)</f>
        <v/>
      </c>
      <c r="D5561" s="211">
        <f>'IWP16'!G$627</f>
        <v>0</v>
      </c>
      <c r="E5561" s="211">
        <f>'IWP16'!H$627</f>
        <v>0</v>
      </c>
      <c r="F5561" s="211">
        <f>'IWP16'!I$627</f>
        <v>0</v>
      </c>
      <c r="G5561" s="191" t="str">
        <f>IF('IWP16'!J$627=0,"",'IWP16'!J$627)</f>
        <v/>
      </c>
      <c r="H5561" s="211">
        <f>'IWP16'!K$627</f>
        <v>0</v>
      </c>
      <c r="I5561" s="211">
        <f>'IWP16'!L$627</f>
        <v>0</v>
      </c>
      <c r="J5561" s="212">
        <f>'IWP16'!M$627</f>
        <v>0</v>
      </c>
      <c r="K5561" s="106"/>
      <c r="L5561" s="106"/>
      <c r="M5561" s="129"/>
    </row>
    <row r="5562" spans="1:13" s="146" customFormat="1">
      <c r="A5562" s="193" t="s">
        <v>514</v>
      </c>
      <c r="B5562" s="210">
        <v>18</v>
      </c>
      <c r="C5562" s="191" t="str">
        <f>IF('IWP16'!E$628=0,"",'IWP16'!E$628)</f>
        <v/>
      </c>
      <c r="D5562" s="211">
        <f>'IWP16'!G$628</f>
        <v>0</v>
      </c>
      <c r="E5562" s="211">
        <f>'IWP16'!H$628</f>
        <v>0</v>
      </c>
      <c r="F5562" s="211">
        <f>'IWP16'!I$628</f>
        <v>0</v>
      </c>
      <c r="G5562" s="191" t="str">
        <f>IF('IWP16'!J$628=0,"",'IWP16'!J$628)</f>
        <v/>
      </c>
      <c r="H5562" s="211">
        <f>'IWP16'!K$628</f>
        <v>0</v>
      </c>
      <c r="I5562" s="211">
        <f>'IWP16'!L$628</f>
        <v>0</v>
      </c>
      <c r="J5562" s="212">
        <f>'IWP16'!M$628</f>
        <v>0</v>
      </c>
      <c r="K5562" s="106"/>
      <c r="L5562" s="106"/>
      <c r="M5562" s="129"/>
    </row>
    <row r="5563" spans="1:13" s="146" customFormat="1">
      <c r="A5563" s="193" t="s">
        <v>514</v>
      </c>
      <c r="B5563" s="210">
        <v>18</v>
      </c>
      <c r="C5563" s="191" t="str">
        <f>IF('IWP16'!E$629=0,"",'IWP16'!E$629)</f>
        <v/>
      </c>
      <c r="D5563" s="211">
        <f>'IWP16'!G$629</f>
        <v>0</v>
      </c>
      <c r="E5563" s="211">
        <f>'IWP16'!H$629</f>
        <v>0</v>
      </c>
      <c r="F5563" s="211">
        <f>'IWP16'!I$629</f>
        <v>0</v>
      </c>
      <c r="G5563" s="191" t="str">
        <f>IF('IWP16'!J$629=0,"",'IWP16'!J$629)</f>
        <v/>
      </c>
      <c r="H5563" s="211">
        <f>'IWP16'!K$629</f>
        <v>0</v>
      </c>
      <c r="I5563" s="211">
        <f>'IWP16'!L$629</f>
        <v>0</v>
      </c>
      <c r="J5563" s="212">
        <f>'IWP16'!M$629</f>
        <v>0</v>
      </c>
      <c r="K5563" s="106"/>
      <c r="L5563" s="106"/>
      <c r="M5563" s="129"/>
    </row>
    <row r="5564" spans="1:13" s="146" customFormat="1">
      <c r="A5564" s="193" t="s">
        <v>514</v>
      </c>
      <c r="B5564" s="210">
        <v>18</v>
      </c>
      <c r="C5564" s="191" t="str">
        <f>IF('IWP16'!E$630=0,"",'IWP16'!E$630)</f>
        <v/>
      </c>
      <c r="D5564" s="211">
        <f>'IWP16'!G$630</f>
        <v>0</v>
      </c>
      <c r="E5564" s="211">
        <f>'IWP16'!H$630</f>
        <v>0</v>
      </c>
      <c r="F5564" s="211">
        <f>'IWP16'!I$630</f>
        <v>0</v>
      </c>
      <c r="G5564" s="191" t="str">
        <f>IF('IWP16'!J$630=0,"",'IWP16'!J$630)</f>
        <v/>
      </c>
      <c r="H5564" s="211">
        <f>'IWP16'!K$630</f>
        <v>0</v>
      </c>
      <c r="I5564" s="211">
        <f>'IWP16'!L$630</f>
        <v>0</v>
      </c>
      <c r="J5564" s="212">
        <f>'IWP16'!M$630</f>
        <v>0</v>
      </c>
      <c r="K5564" s="106"/>
      <c r="L5564" s="106"/>
      <c r="M5564" s="129"/>
    </row>
    <row r="5565" spans="1:13" s="146" customFormat="1">
      <c r="A5565" s="193" t="s">
        <v>514</v>
      </c>
      <c r="B5565" s="210">
        <v>18</v>
      </c>
      <c r="C5565" s="191" t="str">
        <f>IF('IWP16'!E$631=0,"",'IWP16'!E$631)</f>
        <v/>
      </c>
      <c r="D5565" s="211">
        <f>'IWP16'!G$631</f>
        <v>0</v>
      </c>
      <c r="E5565" s="211">
        <f>'IWP16'!H$631</f>
        <v>0</v>
      </c>
      <c r="F5565" s="211">
        <f>'IWP16'!I$631</f>
        <v>0</v>
      </c>
      <c r="G5565" s="191" t="str">
        <f>IF('IWP16'!J$631=0,"",'IWP16'!J$631)</f>
        <v/>
      </c>
      <c r="H5565" s="211">
        <f>'IWP16'!K$631</f>
        <v>0</v>
      </c>
      <c r="I5565" s="211">
        <f>'IWP16'!L$631</f>
        <v>0</v>
      </c>
      <c r="J5565" s="212">
        <f>'IWP16'!M$631</f>
        <v>0</v>
      </c>
      <c r="K5565" s="106"/>
      <c r="L5565" s="106"/>
      <c r="M5565" s="129"/>
    </row>
    <row r="5566" spans="1:13" s="146" customFormat="1">
      <c r="A5566" s="193" t="s">
        <v>514</v>
      </c>
      <c r="B5566" s="210">
        <v>18</v>
      </c>
      <c r="C5566" s="191" t="str">
        <f>IF('IWP16'!E$632=0,"",'IWP16'!E$632)</f>
        <v/>
      </c>
      <c r="D5566" s="211">
        <f>'IWP16'!G$632</f>
        <v>0</v>
      </c>
      <c r="E5566" s="211">
        <f>'IWP16'!H$632</f>
        <v>0</v>
      </c>
      <c r="F5566" s="211">
        <f>'IWP16'!I$632</f>
        <v>0</v>
      </c>
      <c r="G5566" s="191" t="str">
        <f>IF('IWP16'!J$632=0,"",'IWP16'!J$632)</f>
        <v/>
      </c>
      <c r="H5566" s="211">
        <f>'IWP16'!K$632</f>
        <v>0</v>
      </c>
      <c r="I5566" s="211">
        <f>'IWP16'!L$632</f>
        <v>0</v>
      </c>
      <c r="J5566" s="212">
        <f>'IWP16'!M$632</f>
        <v>0</v>
      </c>
      <c r="K5566" s="106"/>
      <c r="L5566" s="106"/>
      <c r="M5566" s="129"/>
    </row>
    <row r="5567" spans="1:13" s="146" customFormat="1">
      <c r="A5567" s="193" t="s">
        <v>514</v>
      </c>
      <c r="B5567" s="210">
        <v>18</v>
      </c>
      <c r="C5567" s="191" t="str">
        <f>IF('IWP16'!E$633=0,"",'IWP16'!E$633)</f>
        <v/>
      </c>
      <c r="D5567" s="211">
        <f>'IWP16'!G$633</f>
        <v>0</v>
      </c>
      <c r="E5567" s="211">
        <f>'IWP16'!H$633</f>
        <v>0</v>
      </c>
      <c r="F5567" s="211">
        <f>'IWP16'!I$633</f>
        <v>0</v>
      </c>
      <c r="G5567" s="191" t="str">
        <f>IF('IWP16'!J$633=0,"",'IWP16'!J$633)</f>
        <v/>
      </c>
      <c r="H5567" s="211">
        <f>'IWP16'!K$633</f>
        <v>0</v>
      </c>
      <c r="I5567" s="211">
        <f>'IWP16'!L$633</f>
        <v>0</v>
      </c>
      <c r="J5567" s="212">
        <f>'IWP16'!M$633</f>
        <v>0</v>
      </c>
      <c r="K5567" s="106"/>
      <c r="L5567" s="106"/>
      <c r="M5567" s="129"/>
    </row>
    <row r="5568" spans="1:13" s="146" customFormat="1">
      <c r="A5568" s="193" t="s">
        <v>514</v>
      </c>
      <c r="B5568" s="210">
        <v>18</v>
      </c>
      <c r="C5568" s="191" t="str">
        <f>IF('IWP16'!E$634=0,"",'IWP16'!E$634)</f>
        <v/>
      </c>
      <c r="D5568" s="211">
        <f>'IWP16'!G$634</f>
        <v>0</v>
      </c>
      <c r="E5568" s="211">
        <f>'IWP16'!H$634</f>
        <v>0</v>
      </c>
      <c r="F5568" s="211">
        <f>'IWP16'!I$634</f>
        <v>0</v>
      </c>
      <c r="G5568" s="191" t="str">
        <f>IF('IWP16'!J$634=0,"",'IWP16'!J$634)</f>
        <v/>
      </c>
      <c r="H5568" s="211">
        <f>'IWP16'!K$634</f>
        <v>0</v>
      </c>
      <c r="I5568" s="211">
        <f>'IWP16'!L$634</f>
        <v>0</v>
      </c>
      <c r="J5568" s="212">
        <f>'IWP16'!M$634</f>
        <v>0</v>
      </c>
      <c r="K5568" s="106"/>
      <c r="L5568" s="106"/>
      <c r="M5568" s="129"/>
    </row>
    <row r="5569" spans="1:13" s="146" customFormat="1">
      <c r="A5569" s="193" t="s">
        <v>514</v>
      </c>
      <c r="B5569" s="210">
        <v>18</v>
      </c>
      <c r="C5569" s="191" t="str">
        <f>IF('IWP16'!E$635=0,"",'IWP16'!E$635)</f>
        <v/>
      </c>
      <c r="D5569" s="211">
        <f>'IWP16'!G$635</f>
        <v>0</v>
      </c>
      <c r="E5569" s="211">
        <f>'IWP16'!H$635</f>
        <v>0</v>
      </c>
      <c r="F5569" s="211">
        <f>'IWP16'!I$635</f>
        <v>0</v>
      </c>
      <c r="G5569" s="191" t="str">
        <f>IF('IWP16'!J$635=0,"",'IWP16'!J$635)</f>
        <v/>
      </c>
      <c r="H5569" s="211">
        <f>'IWP16'!K$635</f>
        <v>0</v>
      </c>
      <c r="I5569" s="211">
        <f>'IWP16'!L$635</f>
        <v>0</v>
      </c>
      <c r="J5569" s="212">
        <f>'IWP16'!M$635</f>
        <v>0</v>
      </c>
      <c r="K5569" s="106"/>
      <c r="L5569" s="106"/>
      <c r="M5569" s="129"/>
    </row>
    <row r="5570" spans="1:13" s="146" customFormat="1">
      <c r="A5570" s="193" t="s">
        <v>514</v>
      </c>
      <c r="B5570" s="210">
        <v>18</v>
      </c>
      <c r="C5570" s="191" t="str">
        <f>IF('IWP16'!E$636=0,"",'IWP16'!E$636)</f>
        <v/>
      </c>
      <c r="D5570" s="211">
        <f>'IWP16'!G$636</f>
        <v>0</v>
      </c>
      <c r="E5570" s="211">
        <f>'IWP16'!H$636</f>
        <v>0</v>
      </c>
      <c r="F5570" s="211">
        <f>'IWP16'!I$636</f>
        <v>0</v>
      </c>
      <c r="G5570" s="191" t="str">
        <f>IF('IWP16'!J$636=0,"",'IWP16'!J$636)</f>
        <v/>
      </c>
      <c r="H5570" s="211">
        <f>'IWP16'!K$636</f>
        <v>0</v>
      </c>
      <c r="I5570" s="211">
        <f>'IWP16'!L$636</f>
        <v>0</v>
      </c>
      <c r="J5570" s="212">
        <f>'IWP16'!M$636</f>
        <v>0</v>
      </c>
      <c r="K5570" s="106"/>
      <c r="L5570" s="106"/>
      <c r="M5570" s="129"/>
    </row>
    <row r="5571" spans="1:13" s="146" customFormat="1">
      <c r="A5571" s="193" t="s">
        <v>515</v>
      </c>
      <c r="B5571" s="210">
        <v>1</v>
      </c>
      <c r="C5571" s="191" t="str">
        <f>IF('IWP17'!E$355=0,"",'IWP17'!E$355)</f>
        <v>Subtotal column D.</v>
      </c>
      <c r="D5571" s="211">
        <f>'IWP17'!G$355</f>
        <v>0</v>
      </c>
      <c r="E5571" s="211">
        <f>'IWP17'!H$355</f>
        <v>0</v>
      </c>
      <c r="F5571" s="211">
        <f>'IWP17'!I$355</f>
        <v>0</v>
      </c>
      <c r="G5571" s="191" t="str">
        <f>IF('IWP17'!J$355=0,"",'IWP17'!J$355)</f>
        <v/>
      </c>
      <c r="H5571" s="211">
        <f>'IWP17'!K$355</f>
        <v>0</v>
      </c>
      <c r="I5571" s="211">
        <f>'IWP17'!L$355</f>
        <v>0</v>
      </c>
      <c r="J5571" s="212">
        <f>'IWP17'!M$355</f>
        <v>0</v>
      </c>
      <c r="K5571" s="106"/>
      <c r="L5571" s="106"/>
      <c r="M5571" s="129"/>
    </row>
    <row r="5572" spans="1:13" s="146" customFormat="1">
      <c r="A5572" s="193" t="s">
        <v>515</v>
      </c>
      <c r="B5572" s="210">
        <v>1</v>
      </c>
      <c r="C5572" s="191" t="str">
        <f>IF('IWP17'!E$356=0,"",'IWP17'!E$356)</f>
        <v>Unverified/Undocumented (Subtotall D - C)</v>
      </c>
      <c r="D5572" s="211">
        <f>'IWP17'!G$356</f>
        <v>0</v>
      </c>
      <c r="E5572" s="211">
        <f>'IWP17'!H$356</f>
        <v>0</v>
      </c>
      <c r="F5572" s="211">
        <f>'IWP17'!I$356</f>
        <v>0</v>
      </c>
      <c r="G5572" s="191" t="str">
        <f>IF('IWP17'!J$356=0,"",'IWP17'!J$356)</f>
        <v/>
      </c>
      <c r="H5572" s="211">
        <f>'IWP17'!K$356</f>
        <v>0</v>
      </c>
      <c r="I5572" s="211">
        <f>'IWP17'!L$356</f>
        <v>0</v>
      </c>
      <c r="J5572" s="212">
        <f>'IWP17'!M$356</f>
        <v>0</v>
      </c>
      <c r="K5572" s="106"/>
      <c r="L5572" s="106"/>
      <c r="M5572" s="129"/>
    </row>
    <row r="5573" spans="1:13" s="146" customFormat="1">
      <c r="A5573" s="193" t="s">
        <v>515</v>
      </c>
      <c r="B5573" s="210">
        <v>1</v>
      </c>
      <c r="C5573" s="191" t="str">
        <f>IF('IWP17'!E$357=0,"",'IWP17'!E$357)</f>
        <v>J. Billing Period Total</v>
      </c>
      <c r="D5573" s="211">
        <f>'IWP17'!G$357</f>
        <v>0</v>
      </c>
      <c r="E5573" s="211">
        <f>'IWP17'!H$357</f>
        <v>0</v>
      </c>
      <c r="F5573" s="211">
        <f>'IWP17'!I$357</f>
        <v>0</v>
      </c>
      <c r="G5573" s="191" t="str">
        <f>IF('IWP17'!J$357=0,"",'IWP17'!J$357)</f>
        <v/>
      </c>
      <c r="H5573" s="211">
        <f>'IWP17'!K$357</f>
        <v>0</v>
      </c>
      <c r="I5573" s="211">
        <f>'IWP17'!L$357</f>
        <v>0</v>
      </c>
      <c r="J5573" s="212">
        <f>'IWP17'!M$357</f>
        <v>0</v>
      </c>
      <c r="K5573" s="106"/>
      <c r="L5573" s="106"/>
      <c r="M5573" s="129"/>
    </row>
    <row r="5574" spans="1:13" s="146" customFormat="1">
      <c r="A5574" s="193" t="s">
        <v>515</v>
      </c>
      <c r="B5574" s="210">
        <v>1</v>
      </c>
      <c r="C5574" s="191" t="str">
        <f>IF('IWP17'!E$358=0,"",'IWP17'!E$358)</f>
        <v>D.</v>
      </c>
      <c r="D5574" s="211">
        <f>'IWP17'!G$358</f>
        <v>0</v>
      </c>
      <c r="E5574" s="211" t="str">
        <f>'IWP17'!H$358</f>
        <v>E.</v>
      </c>
      <c r="F5574" s="211" t="str">
        <f>'IWP17'!I$358</f>
        <v>F.</v>
      </c>
      <c r="G5574" s="191" t="str">
        <f>IF('IWP17'!J$358=0,"",'IWP17'!J$358)</f>
        <v>G.</v>
      </c>
      <c r="H5574" s="211">
        <f>'IWP17'!K$358</f>
        <v>0</v>
      </c>
      <c r="I5574" s="211" t="str">
        <f>'IWP17'!L$358</f>
        <v>H.</v>
      </c>
      <c r="J5574" s="212" t="str">
        <f>'IWP17'!M$358</f>
        <v>I.</v>
      </c>
      <c r="K5574" s="106"/>
      <c r="L5574" s="106"/>
      <c r="M5574" s="129"/>
    </row>
    <row r="5575" spans="1:13" s="146" customFormat="1">
      <c r="A5575" s="193" t="s">
        <v>515</v>
      </c>
      <c r="B5575" s="210">
        <v>1</v>
      </c>
      <c r="C5575" s="191" t="str">
        <f>IF('IWP17'!E$359=0,"",'IWP17'!E$359)</f>
        <v xml:space="preserve">Items/Services Related to Billing Period </v>
      </c>
      <c r="D5575" s="211">
        <f>'IWP17'!G$359</f>
        <v>0</v>
      </c>
      <c r="E5575" s="211" t="str">
        <f>'IWP17'!H$359</f>
        <v xml:space="preserve">Item/
Service Verified Amounts
</v>
      </c>
      <c r="F5575" s="211" t="str">
        <f>'IWP17'!I$359</f>
        <v>Amount Due to DADS (E. - D.)</v>
      </c>
      <c r="G5575" s="191" t="str">
        <f>IF('IWP17'!J$359=0,"",'IWP17'!J$359)</f>
        <v>Amount Reimbursed to 
Employee(s)/Employer</v>
      </c>
      <c r="H5575" s="211">
        <f>'IWP17'!K$359</f>
        <v>0</v>
      </c>
      <c r="I5575" s="211" t="str">
        <f>'IWP17'!L$359</f>
        <v>Amount Due to Employee(s) (G. - E.)</v>
      </c>
      <c r="J5575" s="212" t="str">
        <f>'IWP17'!M$359</f>
        <v>Amount Due to Employer (G. - E.)</v>
      </c>
      <c r="K5575" s="106"/>
      <c r="L5575" s="106"/>
      <c r="M5575" s="129"/>
    </row>
    <row r="5576" spans="1:13" s="146" customFormat="1">
      <c r="A5576" s="193" t="s">
        <v>515</v>
      </c>
      <c r="B5576" s="210">
        <v>1</v>
      </c>
      <c r="C5576" s="191" t="str">
        <f>IF('IWP17'!E$360=0,"",'IWP17'!E$360)</f>
        <v>Item/Service</v>
      </c>
      <c r="D5576" s="211" t="str">
        <f>'IWP17'!G$360</f>
        <v>Itemized Amount Paid by DADS</v>
      </c>
      <c r="E5576" s="211">
        <f>'IWP17'!H$360</f>
        <v>0</v>
      </c>
      <c r="F5576" s="211">
        <f>'IWP17'!I$360</f>
        <v>0</v>
      </c>
      <c r="G5576" s="191" t="str">
        <f>IF('IWP17'!J$360=0,"",'IWP17'!J$360)</f>
        <v/>
      </c>
      <c r="H5576" s="211">
        <f>'IWP17'!K$360</f>
        <v>0</v>
      </c>
      <c r="I5576" s="211">
        <f>'IWP17'!L$360</f>
        <v>0</v>
      </c>
      <c r="J5576" s="212">
        <f>'IWP17'!M$360</f>
        <v>0</v>
      </c>
      <c r="K5576" s="106"/>
      <c r="L5576" s="106"/>
      <c r="M5576" s="129"/>
    </row>
    <row r="5577" spans="1:13" s="146" customFormat="1">
      <c r="A5577" s="193" t="s">
        <v>515</v>
      </c>
      <c r="B5577" s="210">
        <v>1</v>
      </c>
      <c r="C5577" s="191" t="str">
        <f>IF('IWP17'!E$361=0,"",'IWP17'!E$361)</f>
        <v/>
      </c>
      <c r="D5577" s="211">
        <f>'IWP17'!G$361</f>
        <v>0</v>
      </c>
      <c r="E5577" s="211">
        <f>'IWP17'!H$361</f>
        <v>0</v>
      </c>
      <c r="F5577" s="211">
        <f>'IWP17'!I$361</f>
        <v>0</v>
      </c>
      <c r="G5577" s="191" t="str">
        <f>IF('IWP17'!J$361=0,"",'IWP17'!J$361)</f>
        <v/>
      </c>
      <c r="H5577" s="211">
        <f>'IWP17'!K$361</f>
        <v>0</v>
      </c>
      <c r="I5577" s="211">
        <f>'IWP17'!L$361</f>
        <v>0</v>
      </c>
      <c r="J5577" s="212">
        <f>'IWP17'!M$361</f>
        <v>0</v>
      </c>
      <c r="K5577" s="106"/>
      <c r="L5577" s="106"/>
      <c r="M5577" s="129"/>
    </row>
    <row r="5578" spans="1:13" s="146" customFormat="1">
      <c r="A5578" s="193" t="s">
        <v>515</v>
      </c>
      <c r="B5578" s="210">
        <v>1</v>
      </c>
      <c r="C5578" s="191" t="str">
        <f>IF('IWP17'!E$362=0,"",'IWP17'!E$362)</f>
        <v/>
      </c>
      <c r="D5578" s="211">
        <f>'IWP17'!G$362</f>
        <v>0</v>
      </c>
      <c r="E5578" s="211">
        <f>'IWP17'!H$362</f>
        <v>0</v>
      </c>
      <c r="F5578" s="211">
        <f>'IWP17'!I$362</f>
        <v>0</v>
      </c>
      <c r="G5578" s="191" t="str">
        <f>IF('IWP17'!J$362=0,"",'IWP17'!J$362)</f>
        <v/>
      </c>
      <c r="H5578" s="211">
        <f>'IWP17'!K$362</f>
        <v>0</v>
      </c>
      <c r="I5578" s="211">
        <f>'IWP17'!L$362</f>
        <v>0</v>
      </c>
      <c r="J5578" s="212">
        <f>'IWP17'!M$362</f>
        <v>0</v>
      </c>
      <c r="K5578" s="106"/>
      <c r="L5578" s="106"/>
      <c r="M5578" s="129"/>
    </row>
    <row r="5579" spans="1:13" s="146" customFormat="1">
      <c r="A5579" s="193" t="s">
        <v>515</v>
      </c>
      <c r="B5579" s="210">
        <v>1</v>
      </c>
      <c r="C5579" s="191" t="str">
        <f>IF('IWP17'!E$363=0,"",'IWP17'!E$363)</f>
        <v/>
      </c>
      <c r="D5579" s="211">
        <f>'IWP17'!G$363</f>
        <v>0</v>
      </c>
      <c r="E5579" s="211">
        <f>'IWP17'!H$363</f>
        <v>0</v>
      </c>
      <c r="F5579" s="211">
        <f>'IWP17'!I$363</f>
        <v>0</v>
      </c>
      <c r="G5579" s="191" t="str">
        <f>IF('IWP17'!J$363=0,"",'IWP17'!J$363)</f>
        <v/>
      </c>
      <c r="H5579" s="211">
        <f>'IWP17'!K$363</f>
        <v>0</v>
      </c>
      <c r="I5579" s="211">
        <f>'IWP17'!L$363</f>
        <v>0</v>
      </c>
      <c r="J5579" s="212">
        <f>'IWP17'!M$363</f>
        <v>0</v>
      </c>
      <c r="K5579" s="106"/>
      <c r="L5579" s="106"/>
      <c r="M5579" s="129"/>
    </row>
    <row r="5580" spans="1:13" s="146" customFormat="1">
      <c r="A5580" s="193" t="s">
        <v>515</v>
      </c>
      <c r="B5580" s="210">
        <v>1</v>
      </c>
      <c r="C5580" s="191" t="str">
        <f>IF('IWP17'!E$364=0,"",'IWP17'!E$364)</f>
        <v/>
      </c>
      <c r="D5580" s="211">
        <f>'IWP17'!G$364</f>
        <v>0</v>
      </c>
      <c r="E5580" s="211">
        <f>'IWP17'!H$364</f>
        <v>0</v>
      </c>
      <c r="F5580" s="211">
        <f>'IWP17'!I$364</f>
        <v>0</v>
      </c>
      <c r="G5580" s="191" t="str">
        <f>IF('IWP17'!J$364=0,"",'IWP17'!J$364)</f>
        <v/>
      </c>
      <c r="H5580" s="211">
        <f>'IWP17'!K$364</f>
        <v>0</v>
      </c>
      <c r="I5580" s="211">
        <f>'IWP17'!L$364</f>
        <v>0</v>
      </c>
      <c r="J5580" s="212">
        <f>'IWP17'!M$364</f>
        <v>0</v>
      </c>
      <c r="K5580" s="106"/>
      <c r="L5580" s="106"/>
      <c r="M5580" s="129"/>
    </row>
    <row r="5581" spans="1:13" s="146" customFormat="1">
      <c r="A5581" s="193" t="s">
        <v>515</v>
      </c>
      <c r="B5581" s="210">
        <v>2</v>
      </c>
      <c r="C5581" s="191" t="str">
        <f>IF('IWP17'!E$371=0,"",'IWP17'!E$371)</f>
        <v>Subtotal column D.</v>
      </c>
      <c r="D5581" s="211">
        <f>'IWP17'!G$371</f>
        <v>0</v>
      </c>
      <c r="E5581" s="211">
        <f>'IWP17'!H$371</f>
        <v>0</v>
      </c>
      <c r="F5581" s="211">
        <f>'IWP17'!I$371</f>
        <v>0</v>
      </c>
      <c r="G5581" s="191" t="str">
        <f>IF('IWP17'!J$371=0,"",'IWP17'!J$371)</f>
        <v/>
      </c>
      <c r="H5581" s="211">
        <f>'IWP17'!K$371</f>
        <v>0</v>
      </c>
      <c r="I5581" s="211">
        <f>'IWP17'!L$371</f>
        <v>0</v>
      </c>
      <c r="J5581" s="212">
        <f>'IWP17'!M$371</f>
        <v>0</v>
      </c>
      <c r="K5581" s="106"/>
      <c r="L5581" s="106"/>
      <c r="M5581" s="129"/>
    </row>
    <row r="5582" spans="1:13" s="146" customFormat="1">
      <c r="A5582" s="193" t="s">
        <v>515</v>
      </c>
      <c r="B5582" s="210">
        <v>2</v>
      </c>
      <c r="C5582" s="191" t="str">
        <f>IF('IWP17'!E$372=0,"",'IWP17'!E$372)</f>
        <v>Unverified/Undocumented (Subtotal D - C)</v>
      </c>
      <c r="D5582" s="211">
        <f>'IWP17'!G$372</f>
        <v>0</v>
      </c>
      <c r="E5582" s="211">
        <f>'IWP17'!H$372</f>
        <v>0</v>
      </c>
      <c r="F5582" s="211">
        <f>'IWP17'!I$372</f>
        <v>0</v>
      </c>
      <c r="G5582" s="191" t="str">
        <f>IF('IWP17'!J$372=0,"",'IWP17'!J$372)</f>
        <v/>
      </c>
      <c r="H5582" s="211">
        <f>'IWP17'!K$372</f>
        <v>0</v>
      </c>
      <c r="I5582" s="211">
        <f>'IWP17'!L$372</f>
        <v>0</v>
      </c>
      <c r="J5582" s="212">
        <f>'IWP17'!M$372</f>
        <v>0</v>
      </c>
      <c r="K5582" s="106"/>
      <c r="L5582" s="106"/>
      <c r="M5582" s="129"/>
    </row>
    <row r="5583" spans="1:13" s="146" customFormat="1">
      <c r="A5583" s="193" t="s">
        <v>515</v>
      </c>
      <c r="B5583" s="210">
        <v>2</v>
      </c>
      <c r="C5583" s="191" t="str">
        <f>IF('IWP17'!E$373=0,"",'IWP17'!E$373)</f>
        <v>J. Billing Period Total</v>
      </c>
      <c r="D5583" s="211">
        <f>'IWP17'!G$373</f>
        <v>0</v>
      </c>
      <c r="E5583" s="211">
        <f>'IWP17'!H$373</f>
        <v>0</v>
      </c>
      <c r="F5583" s="211">
        <f>'IWP17'!I$373</f>
        <v>0</v>
      </c>
      <c r="G5583" s="191" t="str">
        <f>IF('IWP17'!J$373=0,"",'IWP17'!J$373)</f>
        <v/>
      </c>
      <c r="H5583" s="211">
        <f>'IWP17'!K$373</f>
        <v>0</v>
      </c>
      <c r="I5583" s="211">
        <f>'IWP17'!L$373</f>
        <v>0</v>
      </c>
      <c r="J5583" s="212">
        <f>'IWP17'!M$373</f>
        <v>0</v>
      </c>
      <c r="K5583" s="106"/>
      <c r="L5583" s="106"/>
      <c r="M5583" s="129"/>
    </row>
    <row r="5584" spans="1:13" s="146" customFormat="1">
      <c r="A5584" s="193" t="s">
        <v>515</v>
      </c>
      <c r="B5584" s="210">
        <v>2</v>
      </c>
      <c r="C5584" s="191" t="str">
        <f>IF('IWP17'!E$374=0,"",'IWP17'!E$374)</f>
        <v>D.</v>
      </c>
      <c r="D5584" s="211">
        <f>'IWP17'!G$374</f>
        <v>0</v>
      </c>
      <c r="E5584" s="211" t="str">
        <f>'IWP17'!H$374</f>
        <v>E.</v>
      </c>
      <c r="F5584" s="211" t="str">
        <f>'IWP17'!I$374</f>
        <v>F.</v>
      </c>
      <c r="G5584" s="191" t="str">
        <f>IF('IWP17'!J$374=0,"",'IWP17'!J$374)</f>
        <v>G.</v>
      </c>
      <c r="H5584" s="211">
        <f>'IWP17'!K$374</f>
        <v>0</v>
      </c>
      <c r="I5584" s="211" t="str">
        <f>'IWP17'!L$374</f>
        <v>H.</v>
      </c>
      <c r="J5584" s="212" t="str">
        <f>'IWP17'!M$374</f>
        <v>I.</v>
      </c>
      <c r="K5584" s="106"/>
      <c r="L5584" s="106"/>
      <c r="M5584" s="129"/>
    </row>
    <row r="5585" spans="1:13" s="146" customFormat="1">
      <c r="A5585" s="193" t="s">
        <v>515</v>
      </c>
      <c r="B5585" s="210">
        <v>2</v>
      </c>
      <c r="C5585" s="191" t="str">
        <f>IF('IWP17'!E$375=0,"",'IWP17'!E$375)</f>
        <v xml:space="preserve">Items/Services Related to Billing Period </v>
      </c>
      <c r="D5585" s="211">
        <f>'IWP17'!G$375</f>
        <v>0</v>
      </c>
      <c r="E5585" s="211" t="str">
        <f>'IWP17'!H$375</f>
        <v xml:space="preserve">Item/
Service Verified Amounts
</v>
      </c>
      <c r="F5585" s="211" t="str">
        <f>'IWP17'!I$375</f>
        <v>Amount Due to DADS (E. - D.)</v>
      </c>
      <c r="G5585" s="191" t="str">
        <f>IF('IWP17'!J$375=0,"",'IWP17'!J$375)</f>
        <v>Amount Reimbursed to 
Employee(s)/Employer</v>
      </c>
      <c r="H5585" s="211">
        <f>'IWP17'!K$375</f>
        <v>0</v>
      </c>
      <c r="I5585" s="211" t="str">
        <f>'IWP17'!L$375</f>
        <v>Amount Due to Employee(s) (G. - E.)</v>
      </c>
      <c r="J5585" s="212" t="str">
        <f>'IWP17'!M$375</f>
        <v>Amount Due to Employer (G. - E.)</v>
      </c>
      <c r="K5585" s="106"/>
      <c r="L5585" s="106"/>
      <c r="M5585" s="129"/>
    </row>
    <row r="5586" spans="1:13" s="146" customFormat="1">
      <c r="A5586" s="193" t="s">
        <v>515</v>
      </c>
      <c r="B5586" s="210">
        <v>2</v>
      </c>
      <c r="C5586" s="191" t="str">
        <f>IF('IWP17'!E$376=0,"",'IWP17'!E$376)</f>
        <v>Item/Service</v>
      </c>
      <c r="D5586" s="211" t="str">
        <f>'IWP17'!G$376</f>
        <v>Itemized Amount Paid by DADS</v>
      </c>
      <c r="E5586" s="211">
        <f>'IWP17'!H$376</f>
        <v>0</v>
      </c>
      <c r="F5586" s="211">
        <f>'IWP17'!I$376</f>
        <v>0</v>
      </c>
      <c r="G5586" s="191" t="str">
        <f>IF('IWP17'!J$376=0,"",'IWP17'!J$376)</f>
        <v/>
      </c>
      <c r="H5586" s="211">
        <f>'IWP17'!K$376</f>
        <v>0</v>
      </c>
      <c r="I5586" s="211">
        <f>'IWP17'!L$376</f>
        <v>0</v>
      </c>
      <c r="J5586" s="212">
        <f>'IWP17'!M$376</f>
        <v>0</v>
      </c>
      <c r="K5586" s="106"/>
      <c r="L5586" s="106"/>
      <c r="M5586" s="129"/>
    </row>
    <row r="5587" spans="1:13" s="146" customFormat="1">
      <c r="A5587" s="193" t="s">
        <v>515</v>
      </c>
      <c r="B5587" s="210">
        <v>2</v>
      </c>
      <c r="C5587" s="191" t="str">
        <f>IF('IWP17'!E$377=0,"",'IWP17'!E$377)</f>
        <v/>
      </c>
      <c r="D5587" s="211">
        <f>'IWP17'!G$377</f>
        <v>0</v>
      </c>
      <c r="E5587" s="211">
        <f>'IWP17'!H$377</f>
        <v>0</v>
      </c>
      <c r="F5587" s="211">
        <f>'IWP17'!I$377</f>
        <v>0</v>
      </c>
      <c r="G5587" s="191" t="str">
        <f>IF('IWP17'!J$377=0,"",'IWP17'!J$377)</f>
        <v/>
      </c>
      <c r="H5587" s="211">
        <f>'IWP17'!K$377</f>
        <v>0</v>
      </c>
      <c r="I5587" s="211">
        <f>'IWP17'!L$377</f>
        <v>0</v>
      </c>
      <c r="J5587" s="212">
        <f>'IWP17'!M$377</f>
        <v>0</v>
      </c>
      <c r="K5587" s="106"/>
      <c r="L5587" s="106"/>
      <c r="M5587" s="129"/>
    </row>
    <row r="5588" spans="1:13" s="146" customFormat="1">
      <c r="A5588" s="193" t="s">
        <v>515</v>
      </c>
      <c r="B5588" s="210">
        <v>2</v>
      </c>
      <c r="C5588" s="191" t="str">
        <f>IF('IWP17'!E$378=0,"",'IWP17'!E$378)</f>
        <v/>
      </c>
      <c r="D5588" s="211">
        <f>'IWP17'!G$378</f>
        <v>0</v>
      </c>
      <c r="E5588" s="211">
        <f>'IWP17'!H$378</f>
        <v>0</v>
      </c>
      <c r="F5588" s="211">
        <f>'IWP17'!I$378</f>
        <v>0</v>
      </c>
      <c r="G5588" s="191" t="str">
        <f>IF('IWP17'!J$378=0,"",'IWP17'!J$378)</f>
        <v/>
      </c>
      <c r="H5588" s="211">
        <f>'IWP17'!K$378</f>
        <v>0</v>
      </c>
      <c r="I5588" s="211">
        <f>'IWP17'!L$378</f>
        <v>0</v>
      </c>
      <c r="J5588" s="212">
        <f>'IWP17'!M$378</f>
        <v>0</v>
      </c>
      <c r="K5588" s="106"/>
      <c r="L5588" s="106"/>
      <c r="M5588" s="129"/>
    </row>
    <row r="5589" spans="1:13" s="146" customFormat="1">
      <c r="A5589" s="193" t="s">
        <v>515</v>
      </c>
      <c r="B5589" s="210">
        <v>2</v>
      </c>
      <c r="C5589" s="191" t="str">
        <f>IF('IWP17'!E$379=0,"",'IWP17'!E$379)</f>
        <v/>
      </c>
      <c r="D5589" s="211">
        <f>'IWP17'!G$379</f>
        <v>0</v>
      </c>
      <c r="E5589" s="211">
        <f>'IWP17'!H$379</f>
        <v>0</v>
      </c>
      <c r="F5589" s="211">
        <f>'IWP17'!I$379</f>
        <v>0</v>
      </c>
      <c r="G5589" s="191" t="str">
        <f>IF('IWP17'!J$379=0,"",'IWP17'!J$379)</f>
        <v/>
      </c>
      <c r="H5589" s="211">
        <f>'IWP17'!K$379</f>
        <v>0</v>
      </c>
      <c r="I5589" s="211">
        <f>'IWP17'!L$379</f>
        <v>0</v>
      </c>
      <c r="J5589" s="212">
        <f>'IWP17'!M$379</f>
        <v>0</v>
      </c>
      <c r="K5589" s="106"/>
      <c r="L5589" s="106"/>
      <c r="M5589" s="129"/>
    </row>
    <row r="5590" spans="1:13" s="146" customFormat="1">
      <c r="A5590" s="193" t="s">
        <v>515</v>
      </c>
      <c r="B5590" s="210">
        <v>2</v>
      </c>
      <c r="C5590" s="191" t="str">
        <f>IF('IWP17'!E$380=0,"",'IWP17'!E$380)</f>
        <v/>
      </c>
      <c r="D5590" s="211">
        <f>'IWP17'!G$380</f>
        <v>0</v>
      </c>
      <c r="E5590" s="211">
        <f>'IWP17'!H$380</f>
        <v>0</v>
      </c>
      <c r="F5590" s="211">
        <f>'IWP17'!I$380</f>
        <v>0</v>
      </c>
      <c r="G5590" s="191" t="str">
        <f>IF('IWP17'!J$380=0,"",'IWP17'!J$380)</f>
        <v/>
      </c>
      <c r="H5590" s="211">
        <f>'IWP17'!K$380</f>
        <v>0</v>
      </c>
      <c r="I5590" s="211">
        <f>'IWP17'!L$380</f>
        <v>0</v>
      </c>
      <c r="J5590" s="212">
        <f>'IWP17'!M$380</f>
        <v>0</v>
      </c>
      <c r="K5590" s="106"/>
      <c r="L5590" s="106"/>
      <c r="M5590" s="129"/>
    </row>
    <row r="5591" spans="1:13" s="146" customFormat="1">
      <c r="A5591" s="193" t="s">
        <v>515</v>
      </c>
      <c r="B5591" s="210">
        <v>3</v>
      </c>
      <c r="C5591" s="191" t="str">
        <f>IF('IWP17'!E$387=0,"",'IWP17'!E$387)</f>
        <v>Subtotal column D.</v>
      </c>
      <c r="D5591" s="211">
        <f>'IWP17'!G$387</f>
        <v>0</v>
      </c>
      <c r="E5591" s="211">
        <f>'IWP17'!H$387</f>
        <v>0</v>
      </c>
      <c r="F5591" s="211">
        <f>'IWP17'!I$387</f>
        <v>0</v>
      </c>
      <c r="G5591" s="191" t="str">
        <f>IF('IWP17'!J$387=0,"",'IWP17'!J$387)</f>
        <v/>
      </c>
      <c r="H5591" s="211">
        <f>'IWP17'!K$387</f>
        <v>0</v>
      </c>
      <c r="I5591" s="211">
        <f>'IWP17'!L$387</f>
        <v>0</v>
      </c>
      <c r="J5591" s="212">
        <f>'IWP17'!M$387</f>
        <v>0</v>
      </c>
      <c r="K5591" s="106"/>
      <c r="L5591" s="106"/>
      <c r="M5591" s="129"/>
    </row>
    <row r="5592" spans="1:13" s="146" customFormat="1">
      <c r="A5592" s="193" t="s">
        <v>515</v>
      </c>
      <c r="B5592" s="210">
        <v>3</v>
      </c>
      <c r="C5592" s="191" t="str">
        <f>IF('IWP17'!E$388=0,"",'IWP17'!E$388)</f>
        <v>Unverified/Undocumented (Subtotal D - C)</v>
      </c>
      <c r="D5592" s="211">
        <f>'IWP17'!G$388</f>
        <v>0</v>
      </c>
      <c r="E5592" s="211">
        <f>'IWP17'!H$388</f>
        <v>0</v>
      </c>
      <c r="F5592" s="211">
        <f>'IWP17'!I$388</f>
        <v>0</v>
      </c>
      <c r="G5592" s="191" t="str">
        <f>IF('IWP17'!J$388=0,"",'IWP17'!J$388)</f>
        <v/>
      </c>
      <c r="H5592" s="211">
        <f>'IWP17'!K$388</f>
        <v>0</v>
      </c>
      <c r="I5592" s="211">
        <f>'IWP17'!L$388</f>
        <v>0</v>
      </c>
      <c r="J5592" s="212">
        <f>'IWP17'!M$388</f>
        <v>0</v>
      </c>
      <c r="K5592" s="106"/>
      <c r="L5592" s="106"/>
      <c r="M5592" s="129"/>
    </row>
    <row r="5593" spans="1:13" s="146" customFormat="1">
      <c r="A5593" s="193" t="s">
        <v>515</v>
      </c>
      <c r="B5593" s="210">
        <v>3</v>
      </c>
      <c r="C5593" s="191" t="str">
        <f>IF('IWP17'!E$389=0,"",'IWP17'!E$389)</f>
        <v>J. Billing Period Total</v>
      </c>
      <c r="D5593" s="211">
        <f>'IWP17'!G$389</f>
        <v>0</v>
      </c>
      <c r="E5593" s="211">
        <f>'IWP17'!H$389</f>
        <v>0</v>
      </c>
      <c r="F5593" s="211">
        <f>'IWP17'!I$389</f>
        <v>0</v>
      </c>
      <c r="G5593" s="191" t="str">
        <f>IF('IWP17'!J$389=0,"",'IWP17'!J$389)</f>
        <v/>
      </c>
      <c r="H5593" s="211">
        <f>'IWP17'!K$389</f>
        <v>0</v>
      </c>
      <c r="I5593" s="211">
        <f>'IWP17'!L$389</f>
        <v>0</v>
      </c>
      <c r="J5593" s="212">
        <f>'IWP17'!M$389</f>
        <v>0</v>
      </c>
      <c r="K5593" s="106"/>
      <c r="L5593" s="106"/>
      <c r="M5593" s="129"/>
    </row>
    <row r="5594" spans="1:13" s="146" customFormat="1">
      <c r="A5594" s="193" t="s">
        <v>515</v>
      </c>
      <c r="B5594" s="210">
        <v>3</v>
      </c>
      <c r="C5594" s="191" t="str">
        <f>IF('IWP17'!E$390=0,"",'IWP17'!E$390)</f>
        <v>D.</v>
      </c>
      <c r="D5594" s="211">
        <f>'IWP17'!G$390</f>
        <v>0</v>
      </c>
      <c r="E5594" s="211" t="str">
        <f>'IWP17'!H$390</f>
        <v>E.</v>
      </c>
      <c r="F5594" s="211" t="str">
        <f>'IWP17'!I$390</f>
        <v>F.</v>
      </c>
      <c r="G5594" s="191" t="str">
        <f>IF('IWP17'!J$390=0,"",'IWP17'!J$390)</f>
        <v>G.</v>
      </c>
      <c r="H5594" s="211">
        <f>'IWP17'!K$390</f>
        <v>0</v>
      </c>
      <c r="I5594" s="211" t="str">
        <f>'IWP17'!L$390</f>
        <v>H.</v>
      </c>
      <c r="J5594" s="212" t="str">
        <f>'IWP17'!M$390</f>
        <v>I.</v>
      </c>
      <c r="K5594" s="106"/>
      <c r="L5594" s="106"/>
      <c r="M5594" s="129"/>
    </row>
    <row r="5595" spans="1:13" s="146" customFormat="1">
      <c r="A5595" s="193" t="s">
        <v>515</v>
      </c>
      <c r="B5595" s="210">
        <v>3</v>
      </c>
      <c r="C5595" s="191" t="str">
        <f>IF('IWP17'!E$391=0,"",'IWP17'!E$391)</f>
        <v xml:space="preserve">Items/Services Related to Billing Period </v>
      </c>
      <c r="D5595" s="211">
        <f>'IWP17'!G$391</f>
        <v>0</v>
      </c>
      <c r="E5595" s="211" t="str">
        <f>'IWP17'!H$391</f>
        <v xml:space="preserve">Item/
Service Verified Amounts
</v>
      </c>
      <c r="F5595" s="211" t="str">
        <f>'IWP17'!I$391</f>
        <v>Amount Due to DADS (E. - D.)</v>
      </c>
      <c r="G5595" s="191" t="str">
        <f>IF('IWP17'!J$391=0,"",'IWP17'!J$391)</f>
        <v>Amount Reimbursed to 
Employee(s)/Employer</v>
      </c>
      <c r="H5595" s="211">
        <f>'IWP17'!K$391</f>
        <v>0</v>
      </c>
      <c r="I5595" s="211" t="str">
        <f>'IWP17'!L$391</f>
        <v>Amount Due to Employee(s) (G. - E.)</v>
      </c>
      <c r="J5595" s="212" t="str">
        <f>'IWP17'!M$391</f>
        <v>Amount Due to Employer (G. - E.)</v>
      </c>
      <c r="K5595" s="106"/>
      <c r="L5595" s="106"/>
      <c r="M5595" s="129"/>
    </row>
    <row r="5596" spans="1:13" s="146" customFormat="1">
      <c r="A5596" s="193" t="s">
        <v>515</v>
      </c>
      <c r="B5596" s="210">
        <v>3</v>
      </c>
      <c r="C5596" s="191" t="str">
        <f>IF('IWP17'!E$392=0,"",'IWP17'!E$392)</f>
        <v>Item/Service</v>
      </c>
      <c r="D5596" s="211" t="str">
        <f>'IWP17'!G$392</f>
        <v>Itemized Amount Paid by DADS</v>
      </c>
      <c r="E5596" s="211">
        <f>'IWP17'!H$392</f>
        <v>0</v>
      </c>
      <c r="F5596" s="211">
        <f>'IWP17'!I$392</f>
        <v>0</v>
      </c>
      <c r="G5596" s="191" t="str">
        <f>IF('IWP17'!J$392=0,"",'IWP17'!J$392)</f>
        <v/>
      </c>
      <c r="H5596" s="211">
        <f>'IWP17'!K$392</f>
        <v>0</v>
      </c>
      <c r="I5596" s="211">
        <f>'IWP17'!L$392</f>
        <v>0</v>
      </c>
      <c r="J5596" s="212">
        <f>'IWP17'!M$392</f>
        <v>0</v>
      </c>
      <c r="K5596" s="106"/>
      <c r="L5596" s="106"/>
      <c r="M5596" s="129"/>
    </row>
    <row r="5597" spans="1:13" s="146" customFormat="1">
      <c r="A5597" s="193" t="s">
        <v>515</v>
      </c>
      <c r="B5597" s="210">
        <v>3</v>
      </c>
      <c r="C5597" s="191" t="str">
        <f>IF('IWP17'!E$393=0,"",'IWP17'!E$393)</f>
        <v/>
      </c>
      <c r="D5597" s="211">
        <f>'IWP17'!G$393</f>
        <v>0</v>
      </c>
      <c r="E5597" s="211">
        <f>'IWP17'!H$393</f>
        <v>0</v>
      </c>
      <c r="F5597" s="211">
        <f>'IWP17'!I$393</f>
        <v>0</v>
      </c>
      <c r="G5597" s="191" t="str">
        <f>IF('IWP17'!J$393=0,"",'IWP17'!J$393)</f>
        <v/>
      </c>
      <c r="H5597" s="211">
        <f>'IWP17'!K$393</f>
        <v>0</v>
      </c>
      <c r="I5597" s="211">
        <f>'IWP17'!L$393</f>
        <v>0</v>
      </c>
      <c r="J5597" s="212">
        <f>'IWP17'!M$393</f>
        <v>0</v>
      </c>
      <c r="K5597" s="106"/>
      <c r="L5597" s="106"/>
      <c r="M5597" s="129"/>
    </row>
    <row r="5598" spans="1:13" s="146" customFormat="1">
      <c r="A5598" s="193" t="s">
        <v>515</v>
      </c>
      <c r="B5598" s="210">
        <v>3</v>
      </c>
      <c r="C5598" s="191" t="str">
        <f>IF('IWP17'!E$394=0,"",'IWP17'!E$394)</f>
        <v/>
      </c>
      <c r="D5598" s="211">
        <f>'IWP17'!G$394</f>
        <v>0</v>
      </c>
      <c r="E5598" s="211">
        <f>'IWP17'!H$394</f>
        <v>0</v>
      </c>
      <c r="F5598" s="211">
        <f>'IWP17'!I$394</f>
        <v>0</v>
      </c>
      <c r="G5598" s="191" t="str">
        <f>IF('IWP17'!J$394=0,"",'IWP17'!J$394)</f>
        <v/>
      </c>
      <c r="H5598" s="211">
        <f>'IWP17'!K$394</f>
        <v>0</v>
      </c>
      <c r="I5598" s="211">
        <f>'IWP17'!L$394</f>
        <v>0</v>
      </c>
      <c r="J5598" s="212">
        <f>'IWP17'!M$394</f>
        <v>0</v>
      </c>
      <c r="K5598" s="106"/>
      <c r="L5598" s="106"/>
      <c r="M5598" s="129"/>
    </row>
    <row r="5599" spans="1:13" s="146" customFormat="1">
      <c r="A5599" s="193" t="s">
        <v>515</v>
      </c>
      <c r="B5599" s="210">
        <v>3</v>
      </c>
      <c r="C5599" s="191" t="str">
        <f>IF('IWP17'!E$395=0,"",'IWP17'!E$395)</f>
        <v/>
      </c>
      <c r="D5599" s="211">
        <f>'IWP17'!G$395</f>
        <v>0</v>
      </c>
      <c r="E5599" s="211">
        <f>'IWP17'!H$395</f>
        <v>0</v>
      </c>
      <c r="F5599" s="211">
        <f>'IWP17'!I$395</f>
        <v>0</v>
      </c>
      <c r="G5599" s="191" t="str">
        <f>IF('IWP17'!J$395=0,"",'IWP17'!J$395)</f>
        <v/>
      </c>
      <c r="H5599" s="211">
        <f>'IWP17'!K$395</f>
        <v>0</v>
      </c>
      <c r="I5599" s="211">
        <f>'IWP17'!L$395</f>
        <v>0</v>
      </c>
      <c r="J5599" s="212">
        <f>'IWP17'!M$395</f>
        <v>0</v>
      </c>
      <c r="K5599" s="106"/>
      <c r="L5599" s="106"/>
      <c r="M5599" s="129"/>
    </row>
    <row r="5600" spans="1:13" s="146" customFormat="1">
      <c r="A5600" s="193" t="s">
        <v>515</v>
      </c>
      <c r="B5600" s="210">
        <v>3</v>
      </c>
      <c r="C5600" s="191" t="str">
        <f>IF('IWP17'!E$396=0,"",'IWP17'!E$396)</f>
        <v/>
      </c>
      <c r="D5600" s="211">
        <f>'IWP17'!G$396</f>
        <v>0</v>
      </c>
      <c r="E5600" s="211">
        <f>'IWP17'!H$396</f>
        <v>0</v>
      </c>
      <c r="F5600" s="211">
        <f>'IWP17'!I$396</f>
        <v>0</v>
      </c>
      <c r="G5600" s="191" t="str">
        <f>IF('IWP17'!J$396=0,"",'IWP17'!J$396)</f>
        <v/>
      </c>
      <c r="H5600" s="211">
        <f>'IWP17'!K$396</f>
        <v>0</v>
      </c>
      <c r="I5600" s="211">
        <f>'IWP17'!L$396</f>
        <v>0</v>
      </c>
      <c r="J5600" s="212">
        <f>'IWP17'!M$396</f>
        <v>0</v>
      </c>
      <c r="K5600" s="106"/>
      <c r="L5600" s="106"/>
      <c r="M5600" s="129"/>
    </row>
    <row r="5601" spans="1:13" s="146" customFormat="1">
      <c r="A5601" s="193" t="s">
        <v>515</v>
      </c>
      <c r="B5601" s="210">
        <v>4</v>
      </c>
      <c r="C5601" s="191" t="str">
        <f>IF('IWP17'!E$403=0,"",'IWP17'!E$403)</f>
        <v>Subtotal column D.</v>
      </c>
      <c r="D5601" s="211">
        <f>'IWP17'!G$403</f>
        <v>0</v>
      </c>
      <c r="E5601" s="211">
        <f>'IWP17'!H$403</f>
        <v>0</v>
      </c>
      <c r="F5601" s="211">
        <f>'IWP17'!I$403</f>
        <v>0</v>
      </c>
      <c r="G5601" s="191" t="str">
        <f>IF('IWP17'!J$403=0,"",'IWP17'!J$403)</f>
        <v/>
      </c>
      <c r="H5601" s="211">
        <f>'IWP17'!K$403</f>
        <v>0</v>
      </c>
      <c r="I5601" s="211">
        <f>'IWP17'!L$403</f>
        <v>0</v>
      </c>
      <c r="J5601" s="212">
        <f>'IWP17'!M$403</f>
        <v>0</v>
      </c>
      <c r="K5601" s="106"/>
      <c r="L5601" s="106"/>
      <c r="M5601" s="129"/>
    </row>
    <row r="5602" spans="1:13" s="146" customFormat="1">
      <c r="A5602" s="193" t="s">
        <v>515</v>
      </c>
      <c r="B5602" s="210">
        <v>4</v>
      </c>
      <c r="C5602" s="191" t="str">
        <f>IF('IWP17'!E$404=0,"",'IWP17'!E$404)</f>
        <v>Unverified/Undocumented (Subtotal D - C)</v>
      </c>
      <c r="D5602" s="211">
        <f>'IWP17'!G$404</f>
        <v>0</v>
      </c>
      <c r="E5602" s="211">
        <f>'IWP17'!H$404</f>
        <v>0</v>
      </c>
      <c r="F5602" s="211">
        <f>'IWP17'!I$404</f>
        <v>0</v>
      </c>
      <c r="G5602" s="191" t="str">
        <f>IF('IWP17'!J$404=0,"",'IWP17'!J$404)</f>
        <v/>
      </c>
      <c r="H5602" s="211">
        <f>'IWP17'!K$404</f>
        <v>0</v>
      </c>
      <c r="I5602" s="211">
        <f>'IWP17'!L$404</f>
        <v>0</v>
      </c>
      <c r="J5602" s="212">
        <f>'IWP17'!M$404</f>
        <v>0</v>
      </c>
      <c r="K5602" s="106"/>
      <c r="L5602" s="106"/>
      <c r="M5602" s="129"/>
    </row>
    <row r="5603" spans="1:13" s="146" customFormat="1">
      <c r="A5603" s="193" t="s">
        <v>515</v>
      </c>
      <c r="B5603" s="210">
        <v>4</v>
      </c>
      <c r="C5603" s="191" t="str">
        <f>IF('IWP17'!E$405=0,"",'IWP17'!E$405)</f>
        <v>J. Billing Period Total</v>
      </c>
      <c r="D5603" s="211">
        <f>'IWP17'!G$405</f>
        <v>0</v>
      </c>
      <c r="E5603" s="211">
        <f>'IWP17'!H$405</f>
        <v>0</v>
      </c>
      <c r="F5603" s="211">
        <f>'IWP17'!I$405</f>
        <v>0</v>
      </c>
      <c r="G5603" s="191" t="str">
        <f>IF('IWP17'!J$405=0,"",'IWP17'!J$405)</f>
        <v/>
      </c>
      <c r="H5603" s="211">
        <f>'IWP17'!K$405</f>
        <v>0</v>
      </c>
      <c r="I5603" s="211">
        <f>'IWP17'!L$405</f>
        <v>0</v>
      </c>
      <c r="J5603" s="212">
        <f>'IWP17'!M$405</f>
        <v>0</v>
      </c>
      <c r="K5603" s="106"/>
      <c r="L5603" s="106"/>
      <c r="M5603" s="129"/>
    </row>
    <row r="5604" spans="1:13" s="146" customFormat="1">
      <c r="A5604" s="193" t="s">
        <v>515</v>
      </c>
      <c r="B5604" s="210">
        <v>4</v>
      </c>
      <c r="C5604" s="191" t="str">
        <f>IF('IWP17'!E$406=0,"",'IWP17'!E$406)</f>
        <v>D.</v>
      </c>
      <c r="D5604" s="211">
        <f>'IWP17'!G$406</f>
        <v>0</v>
      </c>
      <c r="E5604" s="211" t="str">
        <f>'IWP17'!H$406</f>
        <v>E.</v>
      </c>
      <c r="F5604" s="211" t="str">
        <f>'IWP17'!I$406</f>
        <v>F.</v>
      </c>
      <c r="G5604" s="191" t="str">
        <f>IF('IWP17'!J$406=0,"",'IWP17'!J$406)</f>
        <v>G.</v>
      </c>
      <c r="H5604" s="211">
        <f>'IWP17'!K$406</f>
        <v>0</v>
      </c>
      <c r="I5604" s="211" t="str">
        <f>'IWP17'!L$406</f>
        <v>H.</v>
      </c>
      <c r="J5604" s="212" t="str">
        <f>'IWP17'!M$406</f>
        <v>I.</v>
      </c>
      <c r="K5604" s="106"/>
      <c r="L5604" s="106"/>
      <c r="M5604" s="129"/>
    </row>
    <row r="5605" spans="1:13" s="146" customFormat="1">
      <c r="A5605" s="193" t="s">
        <v>515</v>
      </c>
      <c r="B5605" s="210">
        <v>4</v>
      </c>
      <c r="C5605" s="191" t="str">
        <f>IF('IWP17'!E$407=0,"",'IWP17'!E$407)</f>
        <v xml:space="preserve">Items/Services Related to Billing Period </v>
      </c>
      <c r="D5605" s="211">
        <f>'IWP17'!G$407</f>
        <v>0</v>
      </c>
      <c r="E5605" s="211" t="str">
        <f>'IWP17'!H$407</f>
        <v xml:space="preserve">Item/
Service Verified Amounts
</v>
      </c>
      <c r="F5605" s="211" t="str">
        <f>'IWP17'!I$407</f>
        <v>Amount Due to DADS (E. - D.)</v>
      </c>
      <c r="G5605" s="191" t="str">
        <f>IF('IWP17'!J$407=0,"",'IWP17'!J$407)</f>
        <v>Amount Reimbursed to 
Employee(s)/Employer</v>
      </c>
      <c r="H5605" s="211">
        <f>'IWP17'!K$407</f>
        <v>0</v>
      </c>
      <c r="I5605" s="211" t="str">
        <f>'IWP17'!L$407</f>
        <v>Amount Due to Employee(s) (G. - E.)</v>
      </c>
      <c r="J5605" s="212" t="str">
        <f>'IWP17'!M$407</f>
        <v>Amount Due to Employer (G. - E.)</v>
      </c>
      <c r="K5605" s="106"/>
      <c r="L5605" s="106"/>
      <c r="M5605" s="129"/>
    </row>
    <row r="5606" spans="1:13" s="146" customFormat="1">
      <c r="A5606" s="193" t="s">
        <v>515</v>
      </c>
      <c r="B5606" s="210">
        <v>4</v>
      </c>
      <c r="C5606" s="191" t="str">
        <f>IF('IWP17'!E$408=0,"",'IWP17'!E$408)</f>
        <v>Item/Service</v>
      </c>
      <c r="D5606" s="211" t="str">
        <f>'IWP17'!G$408</f>
        <v>Itemized Amount Paid by DADS</v>
      </c>
      <c r="E5606" s="211">
        <f>'IWP17'!H$408</f>
        <v>0</v>
      </c>
      <c r="F5606" s="211">
        <f>'IWP17'!I$408</f>
        <v>0</v>
      </c>
      <c r="G5606" s="191" t="str">
        <f>IF('IWP17'!J$408=0,"",'IWP17'!J$408)</f>
        <v/>
      </c>
      <c r="H5606" s="211">
        <f>'IWP17'!K$408</f>
        <v>0</v>
      </c>
      <c r="I5606" s="211">
        <f>'IWP17'!L$408</f>
        <v>0</v>
      </c>
      <c r="J5606" s="212">
        <f>'IWP17'!M$408</f>
        <v>0</v>
      </c>
      <c r="K5606" s="106"/>
      <c r="L5606" s="106"/>
      <c r="M5606" s="129"/>
    </row>
    <row r="5607" spans="1:13" s="146" customFormat="1">
      <c r="A5607" s="193" t="s">
        <v>515</v>
      </c>
      <c r="B5607" s="210">
        <v>4</v>
      </c>
      <c r="C5607" s="191" t="str">
        <f>IF('IWP17'!E$409=0,"",'IWP17'!E$409)</f>
        <v/>
      </c>
      <c r="D5607" s="211">
        <f>'IWP17'!G$409</f>
        <v>0</v>
      </c>
      <c r="E5607" s="211">
        <f>'IWP17'!H$409</f>
        <v>0</v>
      </c>
      <c r="F5607" s="211">
        <f>'IWP17'!I$409</f>
        <v>0</v>
      </c>
      <c r="G5607" s="191" t="str">
        <f>IF('IWP17'!J$409=0,"",'IWP17'!J$409)</f>
        <v/>
      </c>
      <c r="H5607" s="211">
        <f>'IWP17'!K$409</f>
        <v>0</v>
      </c>
      <c r="I5607" s="211">
        <f>'IWP17'!L$409</f>
        <v>0</v>
      </c>
      <c r="J5607" s="212">
        <f>'IWP17'!M$409</f>
        <v>0</v>
      </c>
      <c r="K5607" s="106"/>
      <c r="L5607" s="106"/>
      <c r="M5607" s="129"/>
    </row>
    <row r="5608" spans="1:13" s="146" customFormat="1">
      <c r="A5608" s="193" t="s">
        <v>515</v>
      </c>
      <c r="B5608" s="210">
        <v>4</v>
      </c>
      <c r="C5608" s="191" t="str">
        <f>IF('IWP17'!E$410=0,"",'IWP17'!E$410)</f>
        <v/>
      </c>
      <c r="D5608" s="211">
        <f>'IWP17'!G$410</f>
        <v>0</v>
      </c>
      <c r="E5608" s="211">
        <f>'IWP17'!H$410</f>
        <v>0</v>
      </c>
      <c r="F5608" s="211">
        <f>'IWP17'!I$410</f>
        <v>0</v>
      </c>
      <c r="G5608" s="191" t="str">
        <f>IF('IWP17'!J$410=0,"",'IWP17'!J$410)</f>
        <v/>
      </c>
      <c r="H5608" s="211">
        <f>'IWP17'!K$410</f>
        <v>0</v>
      </c>
      <c r="I5608" s="211">
        <f>'IWP17'!L$410</f>
        <v>0</v>
      </c>
      <c r="J5608" s="212">
        <f>'IWP17'!M$410</f>
        <v>0</v>
      </c>
      <c r="K5608" s="106"/>
      <c r="L5608" s="106"/>
      <c r="M5608" s="129"/>
    </row>
    <row r="5609" spans="1:13" s="146" customFormat="1">
      <c r="A5609" s="193" t="s">
        <v>515</v>
      </c>
      <c r="B5609" s="210">
        <v>4</v>
      </c>
      <c r="C5609" s="191" t="str">
        <f>IF('IWP17'!E$411=0,"",'IWP17'!E$411)</f>
        <v/>
      </c>
      <c r="D5609" s="211">
        <f>'IWP17'!G$411</f>
        <v>0</v>
      </c>
      <c r="E5609" s="211">
        <f>'IWP17'!H$411</f>
        <v>0</v>
      </c>
      <c r="F5609" s="211">
        <f>'IWP17'!I$411</f>
        <v>0</v>
      </c>
      <c r="G5609" s="191" t="str">
        <f>IF('IWP17'!J$411=0,"",'IWP17'!J$411)</f>
        <v/>
      </c>
      <c r="H5609" s="211">
        <f>'IWP17'!K$411</f>
        <v>0</v>
      </c>
      <c r="I5609" s="211">
        <f>'IWP17'!L$411</f>
        <v>0</v>
      </c>
      <c r="J5609" s="212">
        <f>'IWP17'!M$411</f>
        <v>0</v>
      </c>
      <c r="K5609" s="106"/>
      <c r="L5609" s="106"/>
      <c r="M5609" s="129"/>
    </row>
    <row r="5610" spans="1:13" s="146" customFormat="1">
      <c r="A5610" s="193" t="s">
        <v>515</v>
      </c>
      <c r="B5610" s="210">
        <v>4</v>
      </c>
      <c r="C5610" s="191" t="str">
        <f>IF('IWP17'!E$412=0,"",'IWP17'!E$412)</f>
        <v/>
      </c>
      <c r="D5610" s="211">
        <f>'IWP17'!G$412</f>
        <v>0</v>
      </c>
      <c r="E5610" s="211">
        <f>'IWP17'!H$412</f>
        <v>0</v>
      </c>
      <c r="F5610" s="211">
        <f>'IWP17'!I$412</f>
        <v>0</v>
      </c>
      <c r="G5610" s="191" t="str">
        <f>IF('IWP17'!J$412=0,"",'IWP17'!J$412)</f>
        <v/>
      </c>
      <c r="H5610" s="211">
        <f>'IWP17'!K$412</f>
        <v>0</v>
      </c>
      <c r="I5610" s="211">
        <f>'IWP17'!L$412</f>
        <v>0</v>
      </c>
      <c r="J5610" s="212">
        <f>'IWP17'!M$412</f>
        <v>0</v>
      </c>
      <c r="K5610" s="106"/>
      <c r="L5610" s="106"/>
      <c r="M5610" s="129"/>
    </row>
    <row r="5611" spans="1:13" s="146" customFormat="1">
      <c r="A5611" s="193" t="s">
        <v>515</v>
      </c>
      <c r="B5611" s="210">
        <v>5</v>
      </c>
      <c r="C5611" s="191" t="str">
        <f>IF('IWP17'!E$419=0,"",'IWP17'!E$419)</f>
        <v>Subtotal column D.</v>
      </c>
      <c r="D5611" s="211">
        <f>'IWP17'!G$419</f>
        <v>0</v>
      </c>
      <c r="E5611" s="211">
        <f>'IWP17'!H$419</f>
        <v>0</v>
      </c>
      <c r="F5611" s="211">
        <f>'IWP17'!I$419</f>
        <v>0</v>
      </c>
      <c r="G5611" s="191" t="str">
        <f>IF('IWP17'!J$419=0,"",'IWP17'!J$419)</f>
        <v/>
      </c>
      <c r="H5611" s="211">
        <f>'IWP17'!K$419</f>
        <v>0</v>
      </c>
      <c r="I5611" s="211">
        <f>'IWP17'!L$419</f>
        <v>0</v>
      </c>
      <c r="J5611" s="212">
        <f>'IWP17'!M$419</f>
        <v>0</v>
      </c>
      <c r="K5611" s="106"/>
      <c r="L5611" s="106"/>
      <c r="M5611" s="129"/>
    </row>
    <row r="5612" spans="1:13" s="146" customFormat="1">
      <c r="A5612" s="193" t="s">
        <v>515</v>
      </c>
      <c r="B5612" s="210">
        <v>5</v>
      </c>
      <c r="C5612" s="191" t="str">
        <f>IF('IWP17'!E$420=0,"",'IWP17'!E$420)</f>
        <v>Unverified/Undocumented (Subtotal D - C)</v>
      </c>
      <c r="D5612" s="211">
        <f>'IWP17'!G$420</f>
        <v>0</v>
      </c>
      <c r="E5612" s="211">
        <f>'IWP17'!H$420</f>
        <v>0</v>
      </c>
      <c r="F5612" s="211">
        <f>'IWP17'!I$420</f>
        <v>0</v>
      </c>
      <c r="G5612" s="191" t="str">
        <f>IF('IWP17'!J$420=0,"",'IWP17'!J$420)</f>
        <v/>
      </c>
      <c r="H5612" s="211">
        <f>'IWP17'!K$420</f>
        <v>0</v>
      </c>
      <c r="I5612" s="211">
        <f>'IWP17'!L$420</f>
        <v>0</v>
      </c>
      <c r="J5612" s="212">
        <f>'IWP17'!M$420</f>
        <v>0</v>
      </c>
      <c r="K5612" s="106"/>
      <c r="L5612" s="106"/>
      <c r="M5612" s="129"/>
    </row>
    <row r="5613" spans="1:13" s="146" customFormat="1">
      <c r="A5613" s="193" t="s">
        <v>515</v>
      </c>
      <c r="B5613" s="210">
        <v>5</v>
      </c>
      <c r="C5613" s="191" t="str">
        <f>IF('IWP17'!E$421=0,"",'IWP17'!E$421)</f>
        <v>J. Billing Period Total</v>
      </c>
      <c r="D5613" s="211">
        <f>'IWP17'!G$421</f>
        <v>0</v>
      </c>
      <c r="E5613" s="211">
        <f>'IWP17'!H$421</f>
        <v>0</v>
      </c>
      <c r="F5613" s="211">
        <f>'IWP17'!I$421</f>
        <v>0</v>
      </c>
      <c r="G5613" s="191" t="str">
        <f>IF('IWP17'!J$421=0,"",'IWP17'!J$421)</f>
        <v/>
      </c>
      <c r="H5613" s="211">
        <f>'IWP17'!K$421</f>
        <v>0</v>
      </c>
      <c r="I5613" s="211">
        <f>'IWP17'!L$421</f>
        <v>0</v>
      </c>
      <c r="J5613" s="212">
        <f>'IWP17'!M$421</f>
        <v>0</v>
      </c>
      <c r="K5613" s="106"/>
      <c r="L5613" s="106"/>
      <c r="M5613" s="129"/>
    </row>
    <row r="5614" spans="1:13" s="146" customFormat="1">
      <c r="A5614" s="193" t="s">
        <v>515</v>
      </c>
      <c r="B5614" s="210">
        <v>5</v>
      </c>
      <c r="C5614" s="191" t="str">
        <f>IF('IWP17'!E$422=0,"",'IWP17'!E$422)</f>
        <v>D.</v>
      </c>
      <c r="D5614" s="211">
        <f>'IWP17'!G$422</f>
        <v>0</v>
      </c>
      <c r="E5614" s="211" t="str">
        <f>'IWP17'!H$422</f>
        <v>E.</v>
      </c>
      <c r="F5614" s="211" t="str">
        <f>'IWP17'!I$422</f>
        <v>F.</v>
      </c>
      <c r="G5614" s="191" t="str">
        <f>IF('IWP17'!J$422=0,"",'IWP17'!J$422)</f>
        <v>G.</v>
      </c>
      <c r="H5614" s="211">
        <f>'IWP17'!K$422</f>
        <v>0</v>
      </c>
      <c r="I5614" s="211" t="str">
        <f>'IWP17'!L$422</f>
        <v>H.</v>
      </c>
      <c r="J5614" s="212" t="str">
        <f>'IWP17'!M$422</f>
        <v>I.</v>
      </c>
      <c r="K5614" s="106"/>
      <c r="L5614" s="106"/>
      <c r="M5614" s="129"/>
    </row>
    <row r="5615" spans="1:13" s="146" customFormat="1">
      <c r="A5615" s="193" t="s">
        <v>515</v>
      </c>
      <c r="B5615" s="210">
        <v>5</v>
      </c>
      <c r="C5615" s="191" t="str">
        <f>IF('IWP17'!E$423=0,"",'IWP17'!E$423)</f>
        <v xml:space="preserve">Items/Services Related to Billing Period </v>
      </c>
      <c r="D5615" s="211">
        <f>'IWP17'!G$423</f>
        <v>0</v>
      </c>
      <c r="E5615" s="211" t="str">
        <f>'IWP17'!H$423</f>
        <v xml:space="preserve">Item/
Service Verified Amounts
</v>
      </c>
      <c r="F5615" s="211" t="str">
        <f>'IWP17'!I$423</f>
        <v>Amount Due to DADS (E. - D.)</v>
      </c>
      <c r="G5615" s="191" t="str">
        <f>IF('IWP17'!J$423=0,"",'IWP17'!J$423)</f>
        <v>Amount Reimbursed to 
Employee(s)/Employer</v>
      </c>
      <c r="H5615" s="211">
        <f>'IWP17'!K$423</f>
        <v>0</v>
      </c>
      <c r="I5615" s="211" t="str">
        <f>'IWP17'!L$423</f>
        <v>Amount Due to Employee(s) (G. - E.)</v>
      </c>
      <c r="J5615" s="212" t="str">
        <f>'IWP17'!M$423</f>
        <v>Amount Due to Employer (G. - E.)</v>
      </c>
      <c r="K5615" s="106"/>
      <c r="L5615" s="106"/>
      <c r="M5615" s="129"/>
    </row>
    <row r="5616" spans="1:13" s="146" customFormat="1">
      <c r="A5616" s="193" t="s">
        <v>515</v>
      </c>
      <c r="B5616" s="210">
        <v>5</v>
      </c>
      <c r="C5616" s="191" t="str">
        <f>IF('IWP17'!E$424=0,"",'IWP17'!E$424)</f>
        <v>Item/Service</v>
      </c>
      <c r="D5616" s="211" t="str">
        <f>'IWP17'!G$424</f>
        <v>Itemized Amount Paid by DADS</v>
      </c>
      <c r="E5616" s="211">
        <f>'IWP17'!H$424</f>
        <v>0</v>
      </c>
      <c r="F5616" s="211">
        <f>'IWP17'!I$424</f>
        <v>0</v>
      </c>
      <c r="G5616" s="191" t="str">
        <f>IF('IWP17'!J$424=0,"",'IWP17'!J$424)</f>
        <v/>
      </c>
      <c r="H5616" s="211">
        <f>'IWP17'!K$424</f>
        <v>0</v>
      </c>
      <c r="I5616" s="211">
        <f>'IWP17'!L$424</f>
        <v>0</v>
      </c>
      <c r="J5616" s="212">
        <f>'IWP17'!M$424</f>
        <v>0</v>
      </c>
      <c r="K5616" s="106"/>
      <c r="L5616" s="106"/>
      <c r="M5616" s="129"/>
    </row>
    <row r="5617" spans="1:13" s="146" customFormat="1">
      <c r="A5617" s="193" t="s">
        <v>515</v>
      </c>
      <c r="B5617" s="210">
        <v>5</v>
      </c>
      <c r="C5617" s="191" t="str">
        <f>IF('IWP17'!E$425=0,"",'IWP17'!E$425)</f>
        <v/>
      </c>
      <c r="D5617" s="211">
        <f>'IWP17'!G$425</f>
        <v>0</v>
      </c>
      <c r="E5617" s="211">
        <f>'IWP17'!H$425</f>
        <v>0</v>
      </c>
      <c r="F5617" s="211">
        <f>'IWP17'!I$425</f>
        <v>0</v>
      </c>
      <c r="G5617" s="191" t="str">
        <f>IF('IWP17'!J$425=0,"",'IWP17'!J$425)</f>
        <v/>
      </c>
      <c r="H5617" s="211">
        <f>'IWP17'!K$425</f>
        <v>0</v>
      </c>
      <c r="I5617" s="211">
        <f>'IWP17'!L$425</f>
        <v>0</v>
      </c>
      <c r="J5617" s="212">
        <f>'IWP17'!M$425</f>
        <v>0</v>
      </c>
      <c r="K5617" s="106"/>
      <c r="L5617" s="106"/>
      <c r="M5617" s="129"/>
    </row>
    <row r="5618" spans="1:13" s="146" customFormat="1">
      <c r="A5618" s="193" t="s">
        <v>515</v>
      </c>
      <c r="B5618" s="210">
        <v>5</v>
      </c>
      <c r="C5618" s="191" t="str">
        <f>IF('IWP17'!E$426=0,"",'IWP17'!E$426)</f>
        <v/>
      </c>
      <c r="D5618" s="211">
        <f>'IWP17'!G$426</f>
        <v>0</v>
      </c>
      <c r="E5618" s="211">
        <f>'IWP17'!H$426</f>
        <v>0</v>
      </c>
      <c r="F5618" s="211">
        <f>'IWP17'!I$426</f>
        <v>0</v>
      </c>
      <c r="G5618" s="191" t="str">
        <f>IF('IWP17'!J$426=0,"",'IWP17'!J$426)</f>
        <v/>
      </c>
      <c r="H5618" s="211">
        <f>'IWP17'!K$426</f>
        <v>0</v>
      </c>
      <c r="I5618" s="211">
        <f>'IWP17'!L$426</f>
        <v>0</v>
      </c>
      <c r="J5618" s="212">
        <f>'IWP17'!M$426</f>
        <v>0</v>
      </c>
      <c r="K5618" s="106"/>
      <c r="L5618" s="106"/>
      <c r="M5618" s="129"/>
    </row>
    <row r="5619" spans="1:13" s="146" customFormat="1">
      <c r="A5619" s="193" t="s">
        <v>515</v>
      </c>
      <c r="B5619" s="210">
        <v>5</v>
      </c>
      <c r="C5619" s="191" t="str">
        <f>IF('IWP17'!E$427=0,"",'IWP17'!E$427)</f>
        <v/>
      </c>
      <c r="D5619" s="211">
        <f>'IWP17'!G$427</f>
        <v>0</v>
      </c>
      <c r="E5619" s="211">
        <f>'IWP17'!H$427</f>
        <v>0</v>
      </c>
      <c r="F5619" s="211">
        <f>'IWP17'!I$427</f>
        <v>0</v>
      </c>
      <c r="G5619" s="191" t="str">
        <f>IF('IWP17'!J$427=0,"",'IWP17'!J$427)</f>
        <v/>
      </c>
      <c r="H5619" s="211">
        <f>'IWP17'!K$427</f>
        <v>0</v>
      </c>
      <c r="I5619" s="211">
        <f>'IWP17'!L$427</f>
        <v>0</v>
      </c>
      <c r="J5619" s="212">
        <f>'IWP17'!M$427</f>
        <v>0</v>
      </c>
      <c r="K5619" s="106"/>
      <c r="L5619" s="106"/>
      <c r="M5619" s="129"/>
    </row>
    <row r="5620" spans="1:13" s="146" customFormat="1">
      <c r="A5620" s="193" t="s">
        <v>515</v>
      </c>
      <c r="B5620" s="210">
        <v>5</v>
      </c>
      <c r="C5620" s="191" t="str">
        <f>IF('IWP17'!E$428=0,"",'IWP17'!E$428)</f>
        <v/>
      </c>
      <c r="D5620" s="211">
        <f>'IWP17'!G$428</f>
        <v>0</v>
      </c>
      <c r="E5620" s="211">
        <f>'IWP17'!H$428</f>
        <v>0</v>
      </c>
      <c r="F5620" s="211">
        <f>'IWP17'!I$428</f>
        <v>0</v>
      </c>
      <c r="G5620" s="191" t="str">
        <f>IF('IWP17'!J$428=0,"",'IWP17'!J$428)</f>
        <v/>
      </c>
      <c r="H5620" s="211">
        <f>'IWP17'!K$428</f>
        <v>0</v>
      </c>
      <c r="I5620" s="211">
        <f>'IWP17'!L$428</f>
        <v>0</v>
      </c>
      <c r="J5620" s="212">
        <f>'IWP17'!M$428</f>
        <v>0</v>
      </c>
      <c r="K5620" s="106"/>
      <c r="L5620" s="106"/>
      <c r="M5620" s="129"/>
    </row>
    <row r="5621" spans="1:13" s="146" customFormat="1">
      <c r="A5621" s="193" t="s">
        <v>515</v>
      </c>
      <c r="B5621" s="210">
        <v>6</v>
      </c>
      <c r="C5621" s="191" t="str">
        <f>IF('IWP17'!E$435=0,"",'IWP17'!E$435)</f>
        <v>Subtotal column D.</v>
      </c>
      <c r="D5621" s="211">
        <f>'IWP17'!G$435</f>
        <v>0</v>
      </c>
      <c r="E5621" s="211">
        <f>'IWP17'!H$435</f>
        <v>0</v>
      </c>
      <c r="F5621" s="211">
        <f>'IWP17'!I$435</f>
        <v>0</v>
      </c>
      <c r="G5621" s="191" t="str">
        <f>IF('IWP17'!J$435=0,"",'IWP17'!J$435)</f>
        <v/>
      </c>
      <c r="H5621" s="211">
        <f>'IWP17'!K$435</f>
        <v>0</v>
      </c>
      <c r="I5621" s="211">
        <f>'IWP17'!L$435</f>
        <v>0</v>
      </c>
      <c r="J5621" s="212">
        <f>'IWP17'!M$435</f>
        <v>0</v>
      </c>
      <c r="K5621" s="106"/>
      <c r="L5621" s="106"/>
      <c r="M5621" s="129"/>
    </row>
    <row r="5622" spans="1:13" s="146" customFormat="1">
      <c r="A5622" s="193" t="s">
        <v>515</v>
      </c>
      <c r="B5622" s="210">
        <v>6</v>
      </c>
      <c r="C5622" s="191" t="str">
        <f>IF('IWP17'!E$436=0,"",'IWP17'!E$436)</f>
        <v>Unverified/Undocumented (Subtotal D - C)</v>
      </c>
      <c r="D5622" s="211">
        <f>'IWP17'!G$436</f>
        <v>0</v>
      </c>
      <c r="E5622" s="211">
        <f>'IWP17'!H$436</f>
        <v>0</v>
      </c>
      <c r="F5622" s="211">
        <f>'IWP17'!I$436</f>
        <v>0</v>
      </c>
      <c r="G5622" s="191" t="str">
        <f>IF('IWP17'!J$436=0,"",'IWP17'!J$436)</f>
        <v/>
      </c>
      <c r="H5622" s="211">
        <f>'IWP17'!K$436</f>
        <v>0</v>
      </c>
      <c r="I5622" s="211">
        <f>'IWP17'!L$436</f>
        <v>0</v>
      </c>
      <c r="J5622" s="212">
        <f>'IWP17'!M$436</f>
        <v>0</v>
      </c>
      <c r="K5622" s="106"/>
      <c r="L5622" s="106"/>
      <c r="M5622" s="129"/>
    </row>
    <row r="5623" spans="1:13" s="146" customFormat="1">
      <c r="A5623" s="193" t="s">
        <v>515</v>
      </c>
      <c r="B5623" s="210">
        <v>6</v>
      </c>
      <c r="C5623" s="191" t="str">
        <f>IF('IWP17'!E$437=0,"",'IWP17'!E$437)</f>
        <v>J. Billing Period Total</v>
      </c>
      <c r="D5623" s="211">
        <f>'IWP17'!G$437</f>
        <v>0</v>
      </c>
      <c r="E5623" s="211">
        <f>'IWP17'!H$437</f>
        <v>0</v>
      </c>
      <c r="F5623" s="211">
        <f>'IWP17'!I$437</f>
        <v>0</v>
      </c>
      <c r="G5623" s="191" t="str">
        <f>IF('IWP17'!J$437=0,"",'IWP17'!J$437)</f>
        <v/>
      </c>
      <c r="H5623" s="211">
        <f>'IWP17'!K$437</f>
        <v>0</v>
      </c>
      <c r="I5623" s="211">
        <f>'IWP17'!L$437</f>
        <v>0</v>
      </c>
      <c r="J5623" s="212">
        <f>'IWP17'!M$437</f>
        <v>0</v>
      </c>
      <c r="K5623" s="106"/>
      <c r="L5623" s="106"/>
      <c r="M5623" s="129"/>
    </row>
    <row r="5624" spans="1:13" s="146" customFormat="1">
      <c r="A5624" s="193" t="s">
        <v>515</v>
      </c>
      <c r="B5624" s="210">
        <v>6</v>
      </c>
      <c r="C5624" s="191" t="str">
        <f>IF('IWP17'!E$438=0,"",'IWP17'!E$438)</f>
        <v>D.</v>
      </c>
      <c r="D5624" s="211">
        <f>'IWP17'!G$438</f>
        <v>0</v>
      </c>
      <c r="E5624" s="211" t="str">
        <f>'IWP17'!H$438</f>
        <v>E.</v>
      </c>
      <c r="F5624" s="211" t="str">
        <f>'IWP17'!I$438</f>
        <v>F.</v>
      </c>
      <c r="G5624" s="191" t="str">
        <f>IF('IWP17'!J$438=0,"",'IWP17'!J$438)</f>
        <v>G.</v>
      </c>
      <c r="H5624" s="211">
        <f>'IWP17'!K$438</f>
        <v>0</v>
      </c>
      <c r="I5624" s="211" t="str">
        <f>'IWP17'!L$438</f>
        <v>H.</v>
      </c>
      <c r="J5624" s="212" t="str">
        <f>'IWP17'!M$438</f>
        <v>I.</v>
      </c>
      <c r="K5624" s="106"/>
      <c r="L5624" s="106"/>
      <c r="M5624" s="129"/>
    </row>
    <row r="5625" spans="1:13" s="146" customFormat="1">
      <c r="A5625" s="193" t="s">
        <v>515</v>
      </c>
      <c r="B5625" s="210">
        <v>6</v>
      </c>
      <c r="C5625" s="191" t="str">
        <f>IF('IWP17'!E$439=0,"",'IWP17'!E$439)</f>
        <v xml:space="preserve">Items/Services Related to Billing Period </v>
      </c>
      <c r="D5625" s="211">
        <f>'IWP17'!G$439</f>
        <v>0</v>
      </c>
      <c r="E5625" s="211" t="str">
        <f>'IWP17'!H$439</f>
        <v xml:space="preserve">Item/
Service Verified Amounts
</v>
      </c>
      <c r="F5625" s="211" t="str">
        <f>'IWP17'!I$439</f>
        <v>Amount Due to DADS (E. - D.)</v>
      </c>
      <c r="G5625" s="191" t="str">
        <f>IF('IWP17'!J$439=0,"",'IWP17'!J$439)</f>
        <v>Amount Reimbursed to 
Employee(s)/Employer</v>
      </c>
      <c r="H5625" s="211">
        <f>'IWP17'!K$439</f>
        <v>0</v>
      </c>
      <c r="I5625" s="211" t="str">
        <f>'IWP17'!L$439</f>
        <v>Amount Due to Employee(s) (G. - E.)</v>
      </c>
      <c r="J5625" s="212" t="str">
        <f>'IWP17'!M$439</f>
        <v>Amount Due to Employer (G. - E.)</v>
      </c>
      <c r="K5625" s="106"/>
      <c r="L5625" s="106"/>
      <c r="M5625" s="129"/>
    </row>
    <row r="5626" spans="1:13" s="146" customFormat="1">
      <c r="A5626" s="193" t="s">
        <v>515</v>
      </c>
      <c r="B5626" s="210">
        <v>6</v>
      </c>
      <c r="C5626" s="191" t="str">
        <f>IF('IWP17'!E$440=0,"",'IWP17'!E$440)</f>
        <v>Item/Service</v>
      </c>
      <c r="D5626" s="211" t="str">
        <f>'IWP17'!G$440</f>
        <v>Itemized Amount Paid by DADS</v>
      </c>
      <c r="E5626" s="211">
        <f>'IWP17'!H$440</f>
        <v>0</v>
      </c>
      <c r="F5626" s="211">
        <f>'IWP17'!I$440</f>
        <v>0</v>
      </c>
      <c r="G5626" s="191" t="str">
        <f>IF('IWP17'!J$440=0,"",'IWP17'!J$440)</f>
        <v/>
      </c>
      <c r="H5626" s="211">
        <f>'IWP17'!K$440</f>
        <v>0</v>
      </c>
      <c r="I5626" s="211">
        <f>'IWP17'!L$440</f>
        <v>0</v>
      </c>
      <c r="J5626" s="212">
        <f>'IWP17'!M$440</f>
        <v>0</v>
      </c>
      <c r="K5626" s="106"/>
      <c r="L5626" s="106"/>
      <c r="M5626" s="129"/>
    </row>
    <row r="5627" spans="1:13" s="146" customFormat="1">
      <c r="A5627" s="193" t="s">
        <v>515</v>
      </c>
      <c r="B5627" s="210">
        <v>6</v>
      </c>
      <c r="C5627" s="191" t="str">
        <f>IF('IWP17'!E$441=0,"",'IWP17'!E$441)</f>
        <v/>
      </c>
      <c r="D5627" s="211">
        <f>'IWP17'!G$441</f>
        <v>0</v>
      </c>
      <c r="E5627" s="211">
        <f>'IWP17'!H$441</f>
        <v>0</v>
      </c>
      <c r="F5627" s="211">
        <f>'IWP17'!I$441</f>
        <v>0</v>
      </c>
      <c r="G5627" s="191" t="str">
        <f>IF('IWP17'!J$441=0,"",'IWP17'!J$441)</f>
        <v/>
      </c>
      <c r="H5627" s="211">
        <f>'IWP17'!K$441</f>
        <v>0</v>
      </c>
      <c r="I5627" s="211">
        <f>'IWP17'!L$441</f>
        <v>0</v>
      </c>
      <c r="J5627" s="212">
        <f>'IWP17'!M$441</f>
        <v>0</v>
      </c>
      <c r="K5627" s="106"/>
      <c r="L5627" s="106"/>
      <c r="M5627" s="129"/>
    </row>
    <row r="5628" spans="1:13" s="146" customFormat="1">
      <c r="A5628" s="193" t="s">
        <v>515</v>
      </c>
      <c r="B5628" s="210">
        <v>6</v>
      </c>
      <c r="C5628" s="191" t="str">
        <f>IF('IWP17'!E$442=0,"",'IWP17'!E$442)</f>
        <v/>
      </c>
      <c r="D5628" s="211">
        <f>'IWP17'!G$442</f>
        <v>0</v>
      </c>
      <c r="E5628" s="211">
        <f>'IWP17'!H$442</f>
        <v>0</v>
      </c>
      <c r="F5628" s="211">
        <f>'IWP17'!I$442</f>
        <v>0</v>
      </c>
      <c r="G5628" s="191" t="str">
        <f>IF('IWP17'!J$442=0,"",'IWP17'!J$442)</f>
        <v/>
      </c>
      <c r="H5628" s="211">
        <f>'IWP17'!K$442</f>
        <v>0</v>
      </c>
      <c r="I5628" s="211">
        <f>'IWP17'!L$442</f>
        <v>0</v>
      </c>
      <c r="J5628" s="212">
        <f>'IWP17'!M$442</f>
        <v>0</v>
      </c>
      <c r="K5628" s="106"/>
      <c r="L5628" s="106"/>
      <c r="M5628" s="129"/>
    </row>
    <row r="5629" spans="1:13" s="146" customFormat="1">
      <c r="A5629" s="193" t="s">
        <v>515</v>
      </c>
      <c r="B5629" s="210">
        <v>6</v>
      </c>
      <c r="C5629" s="191" t="str">
        <f>IF('IWP17'!E$443=0,"",'IWP17'!E$443)</f>
        <v/>
      </c>
      <c r="D5629" s="211">
        <f>'IWP17'!G$443</f>
        <v>0</v>
      </c>
      <c r="E5629" s="211">
        <f>'IWP17'!H$443</f>
        <v>0</v>
      </c>
      <c r="F5629" s="211">
        <f>'IWP17'!I$443</f>
        <v>0</v>
      </c>
      <c r="G5629" s="191" t="str">
        <f>IF('IWP17'!J$443=0,"",'IWP17'!J$443)</f>
        <v/>
      </c>
      <c r="H5629" s="211">
        <f>'IWP17'!K$443</f>
        <v>0</v>
      </c>
      <c r="I5629" s="211">
        <f>'IWP17'!L$443</f>
        <v>0</v>
      </c>
      <c r="J5629" s="212">
        <f>'IWP17'!M$443</f>
        <v>0</v>
      </c>
      <c r="K5629" s="106"/>
      <c r="L5629" s="106"/>
      <c r="M5629" s="129"/>
    </row>
    <row r="5630" spans="1:13" s="146" customFormat="1">
      <c r="A5630" s="193" t="s">
        <v>515</v>
      </c>
      <c r="B5630" s="210">
        <v>6</v>
      </c>
      <c r="C5630" s="191" t="str">
        <f>IF('IWP17'!E$444=0,"",'IWP17'!E$444)</f>
        <v/>
      </c>
      <c r="D5630" s="211">
        <f>'IWP17'!G$444</f>
        <v>0</v>
      </c>
      <c r="E5630" s="211">
        <f>'IWP17'!H$444</f>
        <v>0</v>
      </c>
      <c r="F5630" s="211">
        <f>'IWP17'!I$444</f>
        <v>0</v>
      </c>
      <c r="G5630" s="191" t="str">
        <f>IF('IWP17'!J$444=0,"",'IWP17'!J$444)</f>
        <v/>
      </c>
      <c r="H5630" s="211">
        <f>'IWP17'!K$444</f>
        <v>0</v>
      </c>
      <c r="I5630" s="211">
        <f>'IWP17'!L$444</f>
        <v>0</v>
      </c>
      <c r="J5630" s="212">
        <f>'IWP17'!M$444</f>
        <v>0</v>
      </c>
      <c r="K5630" s="106"/>
      <c r="L5630" s="106"/>
      <c r="M5630" s="129"/>
    </row>
    <row r="5631" spans="1:13" s="146" customFormat="1">
      <c r="A5631" s="193" t="s">
        <v>515</v>
      </c>
      <c r="B5631" s="210">
        <v>7</v>
      </c>
      <c r="C5631" s="191" t="str">
        <f>IF('IWP17'!E$451=0,"",'IWP17'!E$451)</f>
        <v>Subtotal column D.</v>
      </c>
      <c r="D5631" s="211">
        <f>'IWP17'!G$451</f>
        <v>0</v>
      </c>
      <c r="E5631" s="211">
        <f>'IWP17'!H$451</f>
        <v>0</v>
      </c>
      <c r="F5631" s="211">
        <f>'IWP17'!I$451</f>
        <v>0</v>
      </c>
      <c r="G5631" s="191" t="str">
        <f>IF('IWP17'!J$451=0,"",'IWP17'!J$451)</f>
        <v/>
      </c>
      <c r="H5631" s="211">
        <f>'IWP17'!K$451</f>
        <v>0</v>
      </c>
      <c r="I5631" s="211">
        <f>'IWP17'!L$451</f>
        <v>0</v>
      </c>
      <c r="J5631" s="212">
        <f>'IWP17'!M$451</f>
        <v>0</v>
      </c>
      <c r="K5631" s="106"/>
      <c r="L5631" s="106"/>
      <c r="M5631" s="129"/>
    </row>
    <row r="5632" spans="1:13" s="146" customFormat="1">
      <c r="A5632" s="193" t="s">
        <v>515</v>
      </c>
      <c r="B5632" s="210">
        <v>7</v>
      </c>
      <c r="C5632" s="191" t="str">
        <f>IF('IWP17'!E$452=0,"",'IWP17'!E$452)</f>
        <v>Unverified/Undocumented (Subtotal D - C)</v>
      </c>
      <c r="D5632" s="211">
        <f>'IWP17'!G$452</f>
        <v>0</v>
      </c>
      <c r="E5632" s="211">
        <f>'IWP17'!H$452</f>
        <v>0</v>
      </c>
      <c r="F5632" s="211">
        <f>'IWP17'!I$452</f>
        <v>0</v>
      </c>
      <c r="G5632" s="191" t="str">
        <f>IF('IWP17'!J$452=0,"",'IWP17'!J$452)</f>
        <v/>
      </c>
      <c r="H5632" s="211">
        <f>'IWP17'!K$452</f>
        <v>0</v>
      </c>
      <c r="I5632" s="211">
        <f>'IWP17'!L$452</f>
        <v>0</v>
      </c>
      <c r="J5632" s="212">
        <f>'IWP17'!M$452</f>
        <v>0</v>
      </c>
      <c r="K5632" s="106"/>
      <c r="L5632" s="106"/>
      <c r="M5632" s="129"/>
    </row>
    <row r="5633" spans="1:13" s="146" customFormat="1">
      <c r="A5633" s="193" t="s">
        <v>515</v>
      </c>
      <c r="B5633" s="210">
        <v>7</v>
      </c>
      <c r="C5633" s="191" t="str">
        <f>IF('IWP17'!E$453=0,"",'IWP17'!E$453)</f>
        <v>J. Billing Period Total</v>
      </c>
      <c r="D5633" s="211">
        <f>'IWP17'!G$453</f>
        <v>0</v>
      </c>
      <c r="E5633" s="211">
        <f>'IWP17'!H$453</f>
        <v>0</v>
      </c>
      <c r="F5633" s="211">
        <f>'IWP17'!I$453</f>
        <v>0</v>
      </c>
      <c r="G5633" s="191" t="str">
        <f>IF('IWP17'!J$453=0,"",'IWP17'!J$453)</f>
        <v/>
      </c>
      <c r="H5633" s="211">
        <f>'IWP17'!K$453</f>
        <v>0</v>
      </c>
      <c r="I5633" s="211">
        <f>'IWP17'!L$453</f>
        <v>0</v>
      </c>
      <c r="J5633" s="212">
        <f>'IWP17'!M$453</f>
        <v>0</v>
      </c>
      <c r="K5633" s="106"/>
      <c r="L5633" s="106"/>
      <c r="M5633" s="129"/>
    </row>
    <row r="5634" spans="1:13" s="146" customFormat="1">
      <c r="A5634" s="193" t="s">
        <v>515</v>
      </c>
      <c r="B5634" s="210">
        <v>7</v>
      </c>
      <c r="C5634" s="191" t="str">
        <f>IF('IWP17'!E$454=0,"",'IWP17'!E$454)</f>
        <v>D.</v>
      </c>
      <c r="D5634" s="211">
        <f>'IWP17'!G$454</f>
        <v>0</v>
      </c>
      <c r="E5634" s="211" t="str">
        <f>'IWP17'!H$454</f>
        <v>E.</v>
      </c>
      <c r="F5634" s="211" t="str">
        <f>'IWP17'!I$454</f>
        <v>F.</v>
      </c>
      <c r="G5634" s="191" t="str">
        <f>IF('IWP17'!J$454=0,"",'IWP17'!J$454)</f>
        <v>G.</v>
      </c>
      <c r="H5634" s="211">
        <f>'IWP17'!K$454</f>
        <v>0</v>
      </c>
      <c r="I5634" s="211" t="str">
        <f>'IWP17'!L$454</f>
        <v>H.</v>
      </c>
      <c r="J5634" s="212" t="str">
        <f>'IWP17'!M$454</f>
        <v>I.</v>
      </c>
      <c r="K5634" s="106"/>
      <c r="L5634" s="106"/>
      <c r="M5634" s="129"/>
    </row>
    <row r="5635" spans="1:13" s="146" customFormat="1">
      <c r="A5635" s="193" t="s">
        <v>515</v>
      </c>
      <c r="B5635" s="210">
        <v>7</v>
      </c>
      <c r="C5635" s="191" t="str">
        <f>IF('IWP17'!E$455=0,"",'IWP17'!E$455)</f>
        <v xml:space="preserve">Items/Services Related to Billing Period </v>
      </c>
      <c r="D5635" s="211">
        <f>'IWP17'!G$455</f>
        <v>0</v>
      </c>
      <c r="E5635" s="211" t="str">
        <f>'IWP17'!H$455</f>
        <v xml:space="preserve">Item/
Service Verified Amounts
</v>
      </c>
      <c r="F5635" s="211" t="str">
        <f>'IWP17'!I$455</f>
        <v>Amount Due to DADS (E. - D.)</v>
      </c>
      <c r="G5635" s="191" t="str">
        <f>IF('IWP17'!J$455=0,"",'IWP17'!J$455)</f>
        <v>Amount Reimbursed to 
Employee(s)/Employer</v>
      </c>
      <c r="H5635" s="211">
        <f>'IWP17'!K$455</f>
        <v>0</v>
      </c>
      <c r="I5635" s="211" t="str">
        <f>'IWP17'!L$455</f>
        <v>Amount Due to Employee(s) (G. - E.)</v>
      </c>
      <c r="J5635" s="212" t="str">
        <f>'IWP17'!M$455</f>
        <v>Amount Due to Employer (G. - E.)</v>
      </c>
      <c r="K5635" s="106"/>
      <c r="L5635" s="106"/>
      <c r="M5635" s="129"/>
    </row>
    <row r="5636" spans="1:13" s="146" customFormat="1">
      <c r="A5636" s="193" t="s">
        <v>515</v>
      </c>
      <c r="B5636" s="210">
        <v>7</v>
      </c>
      <c r="C5636" s="191" t="str">
        <f>IF('IWP17'!E$456=0,"",'IWP17'!E$456)</f>
        <v>Item/Service</v>
      </c>
      <c r="D5636" s="211" t="str">
        <f>'IWP17'!G$456</f>
        <v>Itemized Amount Paid by DADS</v>
      </c>
      <c r="E5636" s="211">
        <f>'IWP17'!H$456</f>
        <v>0</v>
      </c>
      <c r="F5636" s="211">
        <f>'IWP17'!I$456</f>
        <v>0</v>
      </c>
      <c r="G5636" s="191" t="str">
        <f>IF('IWP17'!J$456=0,"",'IWP17'!J$456)</f>
        <v/>
      </c>
      <c r="H5636" s="211">
        <f>'IWP17'!K$456</f>
        <v>0</v>
      </c>
      <c r="I5636" s="211">
        <f>'IWP17'!L$456</f>
        <v>0</v>
      </c>
      <c r="J5636" s="212">
        <f>'IWP17'!M$456</f>
        <v>0</v>
      </c>
      <c r="K5636" s="106"/>
      <c r="L5636" s="106"/>
      <c r="M5636" s="129"/>
    </row>
    <row r="5637" spans="1:13" s="146" customFormat="1">
      <c r="A5637" s="193" t="s">
        <v>515</v>
      </c>
      <c r="B5637" s="210">
        <v>7</v>
      </c>
      <c r="C5637" s="191" t="str">
        <f>IF('IWP17'!E$457=0,"",'IWP17'!E$457)</f>
        <v/>
      </c>
      <c r="D5637" s="211">
        <f>'IWP17'!G$457</f>
        <v>0</v>
      </c>
      <c r="E5637" s="211">
        <f>'IWP17'!H$457</f>
        <v>0</v>
      </c>
      <c r="F5637" s="211">
        <f>'IWP17'!I$457</f>
        <v>0</v>
      </c>
      <c r="G5637" s="191" t="str">
        <f>IF('IWP17'!J$457=0,"",'IWP17'!J$457)</f>
        <v/>
      </c>
      <c r="H5637" s="211">
        <f>'IWP17'!K$457</f>
        <v>0</v>
      </c>
      <c r="I5637" s="211">
        <f>'IWP17'!L$457</f>
        <v>0</v>
      </c>
      <c r="J5637" s="212">
        <f>'IWP17'!M$457</f>
        <v>0</v>
      </c>
      <c r="K5637" s="106"/>
      <c r="L5637" s="106"/>
      <c r="M5637" s="129"/>
    </row>
    <row r="5638" spans="1:13" s="146" customFormat="1">
      <c r="A5638" s="193" t="s">
        <v>515</v>
      </c>
      <c r="B5638" s="210">
        <v>7</v>
      </c>
      <c r="C5638" s="191" t="str">
        <f>IF('IWP17'!E$458=0,"",'IWP17'!E$458)</f>
        <v/>
      </c>
      <c r="D5638" s="211">
        <f>'IWP17'!G$458</f>
        <v>0</v>
      </c>
      <c r="E5638" s="211">
        <f>'IWP17'!H$458</f>
        <v>0</v>
      </c>
      <c r="F5638" s="211">
        <f>'IWP17'!I$458</f>
        <v>0</v>
      </c>
      <c r="G5638" s="191" t="str">
        <f>IF('IWP17'!J$458=0,"",'IWP17'!J$458)</f>
        <v/>
      </c>
      <c r="H5638" s="211">
        <f>'IWP17'!K$458</f>
        <v>0</v>
      </c>
      <c r="I5638" s="211">
        <f>'IWP17'!L$458</f>
        <v>0</v>
      </c>
      <c r="J5638" s="212">
        <f>'IWP17'!M$458</f>
        <v>0</v>
      </c>
      <c r="K5638" s="106"/>
      <c r="L5638" s="106"/>
      <c r="M5638" s="129"/>
    </row>
    <row r="5639" spans="1:13" s="146" customFormat="1">
      <c r="A5639" s="193" t="s">
        <v>515</v>
      </c>
      <c r="B5639" s="210">
        <v>7</v>
      </c>
      <c r="C5639" s="191" t="str">
        <f>IF('IWP17'!E$459=0,"",'IWP17'!E$459)</f>
        <v/>
      </c>
      <c r="D5639" s="211">
        <f>'IWP17'!G$459</f>
        <v>0</v>
      </c>
      <c r="E5639" s="211">
        <f>'IWP17'!H$459</f>
        <v>0</v>
      </c>
      <c r="F5639" s="211">
        <f>'IWP17'!I$459</f>
        <v>0</v>
      </c>
      <c r="G5639" s="191" t="str">
        <f>IF('IWP17'!J$459=0,"",'IWP17'!J$459)</f>
        <v/>
      </c>
      <c r="H5639" s="211">
        <f>'IWP17'!K$459</f>
        <v>0</v>
      </c>
      <c r="I5639" s="211">
        <f>'IWP17'!L$459</f>
        <v>0</v>
      </c>
      <c r="J5639" s="212">
        <f>'IWP17'!M$459</f>
        <v>0</v>
      </c>
      <c r="K5639" s="106"/>
      <c r="L5639" s="106"/>
      <c r="M5639" s="129"/>
    </row>
    <row r="5640" spans="1:13" s="146" customFormat="1">
      <c r="A5640" s="193" t="s">
        <v>515</v>
      </c>
      <c r="B5640" s="210">
        <v>7</v>
      </c>
      <c r="C5640" s="191" t="str">
        <f>IF('IWP17'!E$460=0,"",'IWP17'!E$460)</f>
        <v/>
      </c>
      <c r="D5640" s="211">
        <f>'IWP17'!G$460</f>
        <v>0</v>
      </c>
      <c r="E5640" s="211">
        <f>'IWP17'!H$460</f>
        <v>0</v>
      </c>
      <c r="F5640" s="211">
        <f>'IWP17'!I$460</f>
        <v>0</v>
      </c>
      <c r="G5640" s="191" t="str">
        <f>IF('IWP17'!J$460=0,"",'IWP17'!J$460)</f>
        <v/>
      </c>
      <c r="H5640" s="211">
        <f>'IWP17'!K$460</f>
        <v>0</v>
      </c>
      <c r="I5640" s="211">
        <f>'IWP17'!L$460</f>
        <v>0</v>
      </c>
      <c r="J5640" s="212">
        <f>'IWP17'!M$460</f>
        <v>0</v>
      </c>
      <c r="K5640" s="106"/>
      <c r="L5640" s="106"/>
      <c r="M5640" s="129"/>
    </row>
    <row r="5641" spans="1:13" s="146" customFormat="1">
      <c r="A5641" s="193" t="s">
        <v>515</v>
      </c>
      <c r="B5641" s="210">
        <v>8</v>
      </c>
      <c r="C5641" s="191" t="str">
        <f>IF('IWP17'!E$467=0,"",'IWP17'!E$467)</f>
        <v>Subtotal column D.</v>
      </c>
      <c r="D5641" s="211">
        <f>'IWP17'!G$467</f>
        <v>0</v>
      </c>
      <c r="E5641" s="211">
        <f>'IWP17'!H$467</f>
        <v>0</v>
      </c>
      <c r="F5641" s="211">
        <f>'IWP17'!I$467</f>
        <v>0</v>
      </c>
      <c r="G5641" s="191" t="str">
        <f>IF('IWP17'!J$467=0,"",'IWP17'!J$467)</f>
        <v/>
      </c>
      <c r="H5641" s="211">
        <f>'IWP17'!K$467</f>
        <v>0</v>
      </c>
      <c r="I5641" s="211">
        <f>'IWP17'!L$467</f>
        <v>0</v>
      </c>
      <c r="J5641" s="212">
        <f>'IWP17'!M$467</f>
        <v>0</v>
      </c>
      <c r="K5641" s="106"/>
      <c r="L5641" s="106"/>
      <c r="M5641" s="129"/>
    </row>
    <row r="5642" spans="1:13" s="146" customFormat="1">
      <c r="A5642" s="193" t="s">
        <v>515</v>
      </c>
      <c r="B5642" s="210">
        <v>8</v>
      </c>
      <c r="C5642" s="191" t="str">
        <f>IF('IWP17'!E$468=0,"",'IWP17'!E$468)</f>
        <v>Unverified/Undocumented (Subtotal D - C)</v>
      </c>
      <c r="D5642" s="211">
        <f>'IWP17'!G$468</f>
        <v>0</v>
      </c>
      <c r="E5642" s="211">
        <f>'IWP17'!H$468</f>
        <v>0</v>
      </c>
      <c r="F5642" s="211">
        <f>'IWP17'!I$468</f>
        <v>0</v>
      </c>
      <c r="G5642" s="191" t="str">
        <f>IF('IWP17'!J$468=0,"",'IWP17'!J$468)</f>
        <v/>
      </c>
      <c r="H5642" s="211">
        <f>'IWP17'!K$468</f>
        <v>0</v>
      </c>
      <c r="I5642" s="211">
        <f>'IWP17'!L$468</f>
        <v>0</v>
      </c>
      <c r="J5642" s="212">
        <f>'IWP17'!M$468</f>
        <v>0</v>
      </c>
      <c r="K5642" s="106"/>
      <c r="L5642" s="106"/>
      <c r="M5642" s="129"/>
    </row>
    <row r="5643" spans="1:13" s="146" customFormat="1">
      <c r="A5643" s="193" t="s">
        <v>515</v>
      </c>
      <c r="B5643" s="210">
        <v>8</v>
      </c>
      <c r="C5643" s="191" t="str">
        <f>IF('IWP17'!E$469=0,"",'IWP17'!E$469)</f>
        <v>J. Billing Period Total</v>
      </c>
      <c r="D5643" s="211">
        <f>'IWP17'!G$469</f>
        <v>0</v>
      </c>
      <c r="E5643" s="211">
        <f>'IWP17'!H$469</f>
        <v>0</v>
      </c>
      <c r="F5643" s="211">
        <f>'IWP17'!I$469</f>
        <v>0</v>
      </c>
      <c r="G5643" s="191" t="str">
        <f>IF('IWP17'!J$469=0,"",'IWP17'!J$469)</f>
        <v/>
      </c>
      <c r="H5643" s="211">
        <f>'IWP17'!K$469</f>
        <v>0</v>
      </c>
      <c r="I5643" s="211">
        <f>'IWP17'!L$469</f>
        <v>0</v>
      </c>
      <c r="J5643" s="212">
        <f>'IWP17'!M$469</f>
        <v>0</v>
      </c>
      <c r="K5643" s="106"/>
      <c r="L5643" s="106"/>
      <c r="M5643" s="129"/>
    </row>
    <row r="5644" spans="1:13" s="146" customFormat="1">
      <c r="A5644" s="193" t="s">
        <v>515</v>
      </c>
      <c r="B5644" s="210">
        <v>8</v>
      </c>
      <c r="C5644" s="191" t="str">
        <f>IF('IWP17'!E$470=0,"",'IWP17'!E$470)</f>
        <v>D.</v>
      </c>
      <c r="D5644" s="211">
        <f>'IWP17'!G$470</f>
        <v>0</v>
      </c>
      <c r="E5644" s="211" t="str">
        <f>'IWP17'!H$470</f>
        <v>E.</v>
      </c>
      <c r="F5644" s="211" t="str">
        <f>'IWP17'!I$470</f>
        <v>F.</v>
      </c>
      <c r="G5644" s="191" t="str">
        <f>IF('IWP17'!J$470=0,"",'IWP17'!J$470)</f>
        <v>G.</v>
      </c>
      <c r="H5644" s="211">
        <f>'IWP17'!K$470</f>
        <v>0</v>
      </c>
      <c r="I5644" s="211" t="str">
        <f>'IWP17'!L$470</f>
        <v>H.</v>
      </c>
      <c r="J5644" s="212" t="str">
        <f>'IWP17'!M$470</f>
        <v>I.</v>
      </c>
      <c r="K5644" s="106"/>
      <c r="L5644" s="106"/>
      <c r="M5644" s="129"/>
    </row>
    <row r="5645" spans="1:13" s="146" customFormat="1">
      <c r="A5645" s="193" t="s">
        <v>515</v>
      </c>
      <c r="B5645" s="210">
        <v>8</v>
      </c>
      <c r="C5645" s="191" t="str">
        <f>IF('IWP17'!E$471=0,"",'IWP17'!E$471)</f>
        <v xml:space="preserve">Items/Services Related to Billing Period </v>
      </c>
      <c r="D5645" s="211">
        <f>'IWP17'!G$471</f>
        <v>0</v>
      </c>
      <c r="E5645" s="211" t="str">
        <f>'IWP17'!H$471</f>
        <v xml:space="preserve">Item/
Service Verified Amounts
</v>
      </c>
      <c r="F5645" s="211" t="str">
        <f>'IWP17'!I$471</f>
        <v>Amount Due to DADS (E. - D.)</v>
      </c>
      <c r="G5645" s="191" t="str">
        <f>IF('IWP17'!J$471=0,"",'IWP17'!J$471)</f>
        <v>Amount Reimbursed to 
Employee(s)/Employer</v>
      </c>
      <c r="H5645" s="211">
        <f>'IWP17'!K$471</f>
        <v>0</v>
      </c>
      <c r="I5645" s="211" t="str">
        <f>'IWP17'!L$471</f>
        <v>Amount Due to Employee(s) (G. - E.)</v>
      </c>
      <c r="J5645" s="212" t="str">
        <f>'IWP17'!M$471</f>
        <v>Amount Due to Employer (G. - E.)</v>
      </c>
      <c r="K5645" s="106"/>
      <c r="L5645" s="106"/>
      <c r="M5645" s="129"/>
    </row>
    <row r="5646" spans="1:13" s="146" customFormat="1">
      <c r="A5646" s="193" t="s">
        <v>515</v>
      </c>
      <c r="B5646" s="210">
        <v>8</v>
      </c>
      <c r="C5646" s="191" t="str">
        <f>IF('IWP17'!E$472=0,"",'IWP17'!E$472)</f>
        <v>Item/Service</v>
      </c>
      <c r="D5646" s="211" t="str">
        <f>'IWP17'!G$472</f>
        <v>Itemized Amount Paid by DADS</v>
      </c>
      <c r="E5646" s="211">
        <f>'IWP17'!H$472</f>
        <v>0</v>
      </c>
      <c r="F5646" s="211">
        <f>'IWP17'!I$472</f>
        <v>0</v>
      </c>
      <c r="G5646" s="191" t="str">
        <f>IF('IWP17'!J$472=0,"",'IWP17'!J$472)</f>
        <v/>
      </c>
      <c r="H5646" s="211">
        <f>'IWP17'!K$472</f>
        <v>0</v>
      </c>
      <c r="I5646" s="211">
        <f>'IWP17'!L$472</f>
        <v>0</v>
      </c>
      <c r="J5646" s="212">
        <f>'IWP17'!M$472</f>
        <v>0</v>
      </c>
      <c r="K5646" s="106"/>
      <c r="L5646" s="106"/>
      <c r="M5646" s="129"/>
    </row>
    <row r="5647" spans="1:13" s="146" customFormat="1">
      <c r="A5647" s="193" t="s">
        <v>515</v>
      </c>
      <c r="B5647" s="210">
        <v>8</v>
      </c>
      <c r="C5647" s="191" t="str">
        <f>IF('IWP17'!E$473=0,"",'IWP17'!E$473)</f>
        <v/>
      </c>
      <c r="D5647" s="211">
        <f>'IWP17'!G$473</f>
        <v>0</v>
      </c>
      <c r="E5647" s="211">
        <f>'IWP17'!H$473</f>
        <v>0</v>
      </c>
      <c r="F5647" s="211">
        <f>'IWP17'!I$473</f>
        <v>0</v>
      </c>
      <c r="G5647" s="191" t="str">
        <f>IF('IWP17'!J$473=0,"",'IWP17'!J$473)</f>
        <v/>
      </c>
      <c r="H5647" s="211">
        <f>'IWP17'!K$473</f>
        <v>0</v>
      </c>
      <c r="I5647" s="211">
        <f>'IWP17'!L$473</f>
        <v>0</v>
      </c>
      <c r="J5647" s="212">
        <f>'IWP17'!M$473</f>
        <v>0</v>
      </c>
      <c r="K5647" s="106"/>
      <c r="L5647" s="106"/>
      <c r="M5647" s="129"/>
    </row>
    <row r="5648" spans="1:13" s="146" customFormat="1">
      <c r="A5648" s="193" t="s">
        <v>515</v>
      </c>
      <c r="B5648" s="210">
        <v>8</v>
      </c>
      <c r="C5648" s="191" t="str">
        <f>IF('IWP17'!E$474=0,"",'IWP17'!E$474)</f>
        <v/>
      </c>
      <c r="D5648" s="211">
        <f>'IWP17'!G$474</f>
        <v>0</v>
      </c>
      <c r="E5648" s="211">
        <f>'IWP17'!H$474</f>
        <v>0</v>
      </c>
      <c r="F5648" s="211">
        <f>'IWP17'!I$474</f>
        <v>0</v>
      </c>
      <c r="G5648" s="191" t="str">
        <f>IF('IWP17'!J$474=0,"",'IWP17'!J$474)</f>
        <v/>
      </c>
      <c r="H5648" s="211">
        <f>'IWP17'!K$474</f>
        <v>0</v>
      </c>
      <c r="I5648" s="211">
        <f>'IWP17'!L$474</f>
        <v>0</v>
      </c>
      <c r="J5648" s="212">
        <f>'IWP17'!M$474</f>
        <v>0</v>
      </c>
      <c r="K5648" s="106"/>
      <c r="L5648" s="106"/>
      <c r="M5648" s="129"/>
    </row>
    <row r="5649" spans="1:13" s="146" customFormat="1">
      <c r="A5649" s="193" t="s">
        <v>515</v>
      </c>
      <c r="B5649" s="210">
        <v>8</v>
      </c>
      <c r="C5649" s="191" t="str">
        <f>IF('IWP17'!E$475=0,"",'IWP17'!E$475)</f>
        <v/>
      </c>
      <c r="D5649" s="211">
        <f>'IWP17'!G$475</f>
        <v>0</v>
      </c>
      <c r="E5649" s="211">
        <f>'IWP17'!H$475</f>
        <v>0</v>
      </c>
      <c r="F5649" s="211">
        <f>'IWP17'!I$475</f>
        <v>0</v>
      </c>
      <c r="G5649" s="191" t="str">
        <f>IF('IWP17'!J$475=0,"",'IWP17'!J$475)</f>
        <v/>
      </c>
      <c r="H5649" s="211">
        <f>'IWP17'!K$475</f>
        <v>0</v>
      </c>
      <c r="I5649" s="211">
        <f>'IWP17'!L$475</f>
        <v>0</v>
      </c>
      <c r="J5649" s="212">
        <f>'IWP17'!M$475</f>
        <v>0</v>
      </c>
      <c r="K5649" s="106"/>
      <c r="L5649" s="106"/>
      <c r="M5649" s="129"/>
    </row>
    <row r="5650" spans="1:13" s="146" customFormat="1">
      <c r="A5650" s="193" t="s">
        <v>515</v>
      </c>
      <c r="B5650" s="210">
        <v>8</v>
      </c>
      <c r="C5650" s="191" t="str">
        <f>IF('IWP17'!E$476=0,"",'IWP17'!E$476)</f>
        <v/>
      </c>
      <c r="D5650" s="211">
        <f>'IWP17'!G$476</f>
        <v>0</v>
      </c>
      <c r="E5650" s="211">
        <f>'IWP17'!H$476</f>
        <v>0</v>
      </c>
      <c r="F5650" s="211">
        <f>'IWP17'!I$476</f>
        <v>0</v>
      </c>
      <c r="G5650" s="191" t="str">
        <f>IF('IWP17'!J$476=0,"",'IWP17'!J$476)</f>
        <v/>
      </c>
      <c r="H5650" s="211">
        <f>'IWP17'!K$476</f>
        <v>0</v>
      </c>
      <c r="I5650" s="211">
        <f>'IWP17'!L$476</f>
        <v>0</v>
      </c>
      <c r="J5650" s="212">
        <f>'IWP17'!M$476</f>
        <v>0</v>
      </c>
      <c r="K5650" s="106"/>
      <c r="L5650" s="106"/>
      <c r="M5650" s="129"/>
    </row>
    <row r="5651" spans="1:13" s="146" customFormat="1">
      <c r="A5651" s="193" t="s">
        <v>515</v>
      </c>
      <c r="B5651" s="210">
        <v>9</v>
      </c>
      <c r="C5651" s="191" t="str">
        <f>IF('IWP17'!E$483=0,"",'IWP17'!E$483)</f>
        <v>Subtotal column D.</v>
      </c>
      <c r="D5651" s="211">
        <f>'IWP17'!G$483</f>
        <v>0</v>
      </c>
      <c r="E5651" s="211">
        <f>'IWP17'!H$483</f>
        <v>0</v>
      </c>
      <c r="F5651" s="211">
        <f>'IWP17'!I$483</f>
        <v>0</v>
      </c>
      <c r="G5651" s="191" t="str">
        <f>IF('IWP17'!J$483=0,"",'IWP17'!J$483)</f>
        <v/>
      </c>
      <c r="H5651" s="211">
        <f>'IWP17'!K$483</f>
        <v>0</v>
      </c>
      <c r="I5651" s="211">
        <f>'IWP17'!L$483</f>
        <v>0</v>
      </c>
      <c r="J5651" s="212">
        <f>'IWP17'!M$483</f>
        <v>0</v>
      </c>
      <c r="K5651" s="106"/>
      <c r="L5651" s="106"/>
      <c r="M5651" s="129"/>
    </row>
    <row r="5652" spans="1:13" s="146" customFormat="1">
      <c r="A5652" s="193" t="s">
        <v>515</v>
      </c>
      <c r="B5652" s="210">
        <v>9</v>
      </c>
      <c r="C5652" s="191" t="str">
        <f>IF('IWP17'!E$484=0,"",'IWP17'!E$484)</f>
        <v>Unverified/Undocumented (Subtotal D - C)</v>
      </c>
      <c r="D5652" s="211">
        <f>'IWP17'!G$484</f>
        <v>0</v>
      </c>
      <c r="E5652" s="211">
        <f>'IWP17'!H$484</f>
        <v>0</v>
      </c>
      <c r="F5652" s="211">
        <f>'IWP17'!I$484</f>
        <v>0</v>
      </c>
      <c r="G5652" s="191" t="str">
        <f>IF('IWP17'!J$484=0,"",'IWP17'!J$484)</f>
        <v/>
      </c>
      <c r="H5652" s="211">
        <f>'IWP17'!K$484</f>
        <v>0</v>
      </c>
      <c r="I5652" s="211">
        <f>'IWP17'!L$484</f>
        <v>0</v>
      </c>
      <c r="J5652" s="212">
        <f>'IWP17'!M$484</f>
        <v>0</v>
      </c>
      <c r="K5652" s="106"/>
      <c r="L5652" s="106"/>
      <c r="M5652" s="129"/>
    </row>
    <row r="5653" spans="1:13" s="146" customFormat="1">
      <c r="A5653" s="193" t="s">
        <v>515</v>
      </c>
      <c r="B5653" s="210">
        <v>9</v>
      </c>
      <c r="C5653" s="191" t="str">
        <f>IF('IWP17'!E$485=0,"",'IWP17'!E$485)</f>
        <v>J. Billing Period Total</v>
      </c>
      <c r="D5653" s="211">
        <f>'IWP17'!G$485</f>
        <v>0</v>
      </c>
      <c r="E5653" s="211">
        <f>'IWP17'!H$485</f>
        <v>0</v>
      </c>
      <c r="F5653" s="211">
        <f>'IWP17'!I$485</f>
        <v>0</v>
      </c>
      <c r="G5653" s="191" t="str">
        <f>IF('IWP17'!J$485=0,"",'IWP17'!J$485)</f>
        <v/>
      </c>
      <c r="H5653" s="211">
        <f>'IWP17'!K$485</f>
        <v>0</v>
      </c>
      <c r="I5653" s="211">
        <f>'IWP17'!L$485</f>
        <v>0</v>
      </c>
      <c r="J5653" s="212">
        <f>'IWP17'!M$485</f>
        <v>0</v>
      </c>
      <c r="K5653" s="106"/>
      <c r="L5653" s="106"/>
      <c r="M5653" s="129"/>
    </row>
    <row r="5654" spans="1:13" s="146" customFormat="1">
      <c r="A5654" s="193" t="s">
        <v>515</v>
      </c>
      <c r="B5654" s="210">
        <v>9</v>
      </c>
      <c r="C5654" s="191" t="str">
        <f>IF('IWP17'!E$486=0,"",'IWP17'!E$486)</f>
        <v>D.</v>
      </c>
      <c r="D5654" s="211">
        <f>'IWP17'!G$486</f>
        <v>0</v>
      </c>
      <c r="E5654" s="211" t="str">
        <f>'IWP17'!H$486</f>
        <v>E.</v>
      </c>
      <c r="F5654" s="211" t="str">
        <f>'IWP17'!I$486</f>
        <v>F.</v>
      </c>
      <c r="G5654" s="191" t="str">
        <f>IF('IWP17'!J$486=0,"",'IWP17'!J$486)</f>
        <v>G.</v>
      </c>
      <c r="H5654" s="211">
        <f>'IWP17'!K$486</f>
        <v>0</v>
      </c>
      <c r="I5654" s="211" t="str">
        <f>'IWP17'!L$486</f>
        <v>H.</v>
      </c>
      <c r="J5654" s="212" t="str">
        <f>'IWP17'!M$486</f>
        <v>I.</v>
      </c>
      <c r="K5654" s="106"/>
      <c r="L5654" s="106"/>
      <c r="M5654" s="129"/>
    </row>
    <row r="5655" spans="1:13" s="146" customFormat="1">
      <c r="A5655" s="193" t="s">
        <v>515</v>
      </c>
      <c r="B5655" s="210">
        <v>9</v>
      </c>
      <c r="C5655" s="191" t="str">
        <f>IF('IWP17'!E$487=0,"",'IWP17'!E$487)</f>
        <v xml:space="preserve">Items/Services Related to Billing Period </v>
      </c>
      <c r="D5655" s="211">
        <f>'IWP17'!G$487</f>
        <v>0</v>
      </c>
      <c r="E5655" s="211" t="str">
        <f>'IWP17'!H$487</f>
        <v xml:space="preserve">Item/
Service Verified Amounts
</v>
      </c>
      <c r="F5655" s="211" t="str">
        <f>'IWP17'!I$487</f>
        <v>Amount Due to DADS (E. - D.)</v>
      </c>
      <c r="G5655" s="191" t="str">
        <f>IF('IWP17'!J$487=0,"",'IWP17'!J$487)</f>
        <v>Amount Reimbursed to 
Employee(s)/Employer</v>
      </c>
      <c r="H5655" s="211">
        <f>'IWP17'!K$487</f>
        <v>0</v>
      </c>
      <c r="I5655" s="211" t="str">
        <f>'IWP17'!L$487</f>
        <v>Amount Due to Employee(s) (G. - E.)</v>
      </c>
      <c r="J5655" s="212" t="str">
        <f>'IWP17'!M$487</f>
        <v>Amount Due to Employer (G. - E.)</v>
      </c>
      <c r="K5655" s="106"/>
      <c r="L5655" s="106"/>
      <c r="M5655" s="129"/>
    </row>
    <row r="5656" spans="1:13" s="146" customFormat="1">
      <c r="A5656" s="193" t="s">
        <v>515</v>
      </c>
      <c r="B5656" s="210">
        <v>9</v>
      </c>
      <c r="C5656" s="191" t="str">
        <f>IF('IWP17'!E$488=0,"",'IWP17'!E$488)</f>
        <v>Item/Service</v>
      </c>
      <c r="D5656" s="211" t="str">
        <f>'IWP17'!G$488</f>
        <v>Itemized Amount Paid by DADS</v>
      </c>
      <c r="E5656" s="211">
        <f>'IWP17'!H$488</f>
        <v>0</v>
      </c>
      <c r="F5656" s="211">
        <f>'IWP17'!I$488</f>
        <v>0</v>
      </c>
      <c r="G5656" s="191" t="str">
        <f>IF('IWP17'!J$488=0,"",'IWP17'!J$488)</f>
        <v/>
      </c>
      <c r="H5656" s="211">
        <f>'IWP17'!K$488</f>
        <v>0</v>
      </c>
      <c r="I5656" s="211">
        <f>'IWP17'!L$488</f>
        <v>0</v>
      </c>
      <c r="J5656" s="212">
        <f>'IWP17'!M$488</f>
        <v>0</v>
      </c>
      <c r="K5656" s="106"/>
      <c r="L5656" s="106"/>
      <c r="M5656" s="129"/>
    </row>
    <row r="5657" spans="1:13" s="146" customFormat="1">
      <c r="A5657" s="193" t="s">
        <v>515</v>
      </c>
      <c r="B5657" s="210">
        <v>9</v>
      </c>
      <c r="C5657" s="191" t="str">
        <f>IF('IWP17'!E$489=0,"",'IWP17'!E$489)</f>
        <v/>
      </c>
      <c r="D5657" s="211">
        <f>'IWP17'!G$489</f>
        <v>0</v>
      </c>
      <c r="E5657" s="211">
        <f>'IWP17'!H$489</f>
        <v>0</v>
      </c>
      <c r="F5657" s="211">
        <f>'IWP17'!I$489</f>
        <v>0</v>
      </c>
      <c r="G5657" s="191" t="str">
        <f>IF('IWP17'!J$489=0,"",'IWP17'!J$489)</f>
        <v/>
      </c>
      <c r="H5657" s="211">
        <f>'IWP17'!K$489</f>
        <v>0</v>
      </c>
      <c r="I5657" s="211">
        <f>'IWP17'!L$489</f>
        <v>0</v>
      </c>
      <c r="J5657" s="212">
        <f>'IWP17'!M$489</f>
        <v>0</v>
      </c>
      <c r="K5657" s="106"/>
      <c r="L5657" s="106"/>
      <c r="M5657" s="129"/>
    </row>
    <row r="5658" spans="1:13" s="146" customFormat="1">
      <c r="A5658" s="193" t="s">
        <v>515</v>
      </c>
      <c r="B5658" s="210">
        <v>9</v>
      </c>
      <c r="C5658" s="191" t="str">
        <f>IF('IWP17'!E$490=0,"",'IWP17'!E$490)</f>
        <v/>
      </c>
      <c r="D5658" s="211">
        <f>'IWP17'!G$490</f>
        <v>0</v>
      </c>
      <c r="E5658" s="211">
        <f>'IWP17'!H$490</f>
        <v>0</v>
      </c>
      <c r="F5658" s="211">
        <f>'IWP17'!I$490</f>
        <v>0</v>
      </c>
      <c r="G5658" s="191" t="str">
        <f>IF('IWP17'!J$490=0,"",'IWP17'!J$490)</f>
        <v/>
      </c>
      <c r="H5658" s="211">
        <f>'IWP17'!K$490</f>
        <v>0</v>
      </c>
      <c r="I5658" s="211">
        <f>'IWP17'!L$490</f>
        <v>0</v>
      </c>
      <c r="J5658" s="212">
        <f>'IWP17'!M$490</f>
        <v>0</v>
      </c>
      <c r="K5658" s="106"/>
      <c r="L5658" s="106"/>
      <c r="M5658" s="129"/>
    </row>
    <row r="5659" spans="1:13" s="146" customFormat="1">
      <c r="A5659" s="193" t="s">
        <v>515</v>
      </c>
      <c r="B5659" s="210">
        <v>9</v>
      </c>
      <c r="C5659" s="191" t="str">
        <f>IF('IWP17'!E$491=0,"",'IWP17'!E$491)</f>
        <v/>
      </c>
      <c r="D5659" s="211">
        <f>'IWP17'!G$491</f>
        <v>0</v>
      </c>
      <c r="E5659" s="211">
        <f>'IWP17'!H$491</f>
        <v>0</v>
      </c>
      <c r="F5659" s="211">
        <f>'IWP17'!I$491</f>
        <v>0</v>
      </c>
      <c r="G5659" s="191" t="str">
        <f>IF('IWP17'!J$491=0,"",'IWP17'!J$491)</f>
        <v/>
      </c>
      <c r="H5659" s="211">
        <f>'IWP17'!K$491</f>
        <v>0</v>
      </c>
      <c r="I5659" s="211">
        <f>'IWP17'!L$491</f>
        <v>0</v>
      </c>
      <c r="J5659" s="212">
        <f>'IWP17'!M$491</f>
        <v>0</v>
      </c>
      <c r="K5659" s="106"/>
      <c r="L5659" s="106"/>
      <c r="M5659" s="129"/>
    </row>
    <row r="5660" spans="1:13" s="146" customFormat="1">
      <c r="A5660" s="193" t="s">
        <v>515</v>
      </c>
      <c r="B5660" s="210">
        <v>9</v>
      </c>
      <c r="C5660" s="191" t="str">
        <f>IF('IWP17'!E$492=0,"",'IWP17'!E$492)</f>
        <v/>
      </c>
      <c r="D5660" s="211">
        <f>'IWP17'!G$492</f>
        <v>0</v>
      </c>
      <c r="E5660" s="211">
        <f>'IWP17'!H$492</f>
        <v>0</v>
      </c>
      <c r="F5660" s="211">
        <f>'IWP17'!I$492</f>
        <v>0</v>
      </c>
      <c r="G5660" s="191" t="str">
        <f>IF('IWP17'!J$492=0,"",'IWP17'!J$492)</f>
        <v/>
      </c>
      <c r="H5660" s="211">
        <f>'IWP17'!K$492</f>
        <v>0</v>
      </c>
      <c r="I5660" s="211">
        <f>'IWP17'!L$492</f>
        <v>0</v>
      </c>
      <c r="J5660" s="212">
        <f>'IWP17'!M$492</f>
        <v>0</v>
      </c>
      <c r="K5660" s="106"/>
      <c r="L5660" s="106"/>
      <c r="M5660" s="129"/>
    </row>
    <row r="5661" spans="1:13" s="146" customFormat="1">
      <c r="A5661" s="193" t="s">
        <v>515</v>
      </c>
      <c r="B5661" s="210">
        <v>10</v>
      </c>
      <c r="C5661" s="191" t="str">
        <f>IF('IWP17'!E$499=0,"",'IWP17'!E$499)</f>
        <v>Subtotal column D.</v>
      </c>
      <c r="D5661" s="211">
        <f>'IWP17'!G$499</f>
        <v>0</v>
      </c>
      <c r="E5661" s="211">
        <f>'IWP17'!H$499</f>
        <v>0</v>
      </c>
      <c r="F5661" s="211">
        <f>'IWP17'!I$499</f>
        <v>0</v>
      </c>
      <c r="G5661" s="191" t="str">
        <f>IF('IWP17'!J$499=0,"",'IWP17'!J$499)</f>
        <v/>
      </c>
      <c r="H5661" s="211">
        <f>'IWP17'!K$499</f>
        <v>0</v>
      </c>
      <c r="I5661" s="211">
        <f>'IWP17'!L$499</f>
        <v>0</v>
      </c>
      <c r="J5661" s="212">
        <f>'IWP17'!M$499</f>
        <v>0</v>
      </c>
      <c r="K5661" s="106"/>
      <c r="L5661" s="106"/>
      <c r="M5661" s="129"/>
    </row>
    <row r="5662" spans="1:13" s="146" customFormat="1">
      <c r="A5662" s="193" t="s">
        <v>515</v>
      </c>
      <c r="B5662" s="210">
        <v>10</v>
      </c>
      <c r="C5662" s="191" t="str">
        <f>IF('IWP17'!E$500=0,"",'IWP17'!E$500)</f>
        <v>Unverified/Undocumented (Subtotal D - C)</v>
      </c>
      <c r="D5662" s="211">
        <f>'IWP17'!G$500</f>
        <v>0</v>
      </c>
      <c r="E5662" s="211">
        <f>'IWP17'!H$500</f>
        <v>0</v>
      </c>
      <c r="F5662" s="211">
        <f>'IWP17'!I$500</f>
        <v>0</v>
      </c>
      <c r="G5662" s="191" t="str">
        <f>IF('IWP17'!J$500=0,"",'IWP17'!J$500)</f>
        <v/>
      </c>
      <c r="H5662" s="211">
        <f>'IWP17'!K$500</f>
        <v>0</v>
      </c>
      <c r="I5662" s="211">
        <f>'IWP17'!L$500</f>
        <v>0</v>
      </c>
      <c r="J5662" s="212">
        <f>'IWP17'!M$500</f>
        <v>0</v>
      </c>
      <c r="K5662" s="106"/>
      <c r="L5662" s="106"/>
      <c r="M5662" s="129"/>
    </row>
    <row r="5663" spans="1:13" s="146" customFormat="1">
      <c r="A5663" s="193" t="s">
        <v>515</v>
      </c>
      <c r="B5663" s="210">
        <v>10</v>
      </c>
      <c r="C5663" s="191" t="str">
        <f>IF('IWP17'!E$501=0,"",'IWP17'!E$501)</f>
        <v>J. Billing Period Total</v>
      </c>
      <c r="D5663" s="211">
        <f>'IWP17'!G$501</f>
        <v>0</v>
      </c>
      <c r="E5663" s="211">
        <f>'IWP17'!H$501</f>
        <v>0</v>
      </c>
      <c r="F5663" s="211">
        <f>'IWP17'!I$501</f>
        <v>0</v>
      </c>
      <c r="G5663" s="191" t="str">
        <f>IF('IWP17'!J$501=0,"",'IWP17'!J$501)</f>
        <v/>
      </c>
      <c r="H5663" s="211">
        <f>'IWP17'!K$501</f>
        <v>0</v>
      </c>
      <c r="I5663" s="211">
        <f>'IWP17'!L$501</f>
        <v>0</v>
      </c>
      <c r="J5663" s="212">
        <f>'IWP17'!M$501</f>
        <v>0</v>
      </c>
      <c r="K5663" s="106"/>
      <c r="L5663" s="106"/>
      <c r="M5663" s="129"/>
    </row>
    <row r="5664" spans="1:13" s="146" customFormat="1">
      <c r="A5664" s="193" t="s">
        <v>515</v>
      </c>
      <c r="B5664" s="210">
        <v>10</v>
      </c>
      <c r="C5664" s="191" t="str">
        <f>IF('IWP17'!E$502=0,"",'IWP17'!E$502)</f>
        <v>D.</v>
      </c>
      <c r="D5664" s="211">
        <f>'IWP17'!G$502</f>
        <v>0</v>
      </c>
      <c r="E5664" s="211" t="str">
        <f>'IWP17'!H$502</f>
        <v>E.</v>
      </c>
      <c r="F5664" s="211" t="str">
        <f>'IWP17'!I$502</f>
        <v>F.</v>
      </c>
      <c r="G5664" s="191" t="str">
        <f>IF('IWP17'!J$502=0,"",'IWP17'!J$502)</f>
        <v>G.</v>
      </c>
      <c r="H5664" s="211">
        <f>'IWP17'!K$502</f>
        <v>0</v>
      </c>
      <c r="I5664" s="211" t="str">
        <f>'IWP17'!L$502</f>
        <v>H.</v>
      </c>
      <c r="J5664" s="212" t="str">
        <f>'IWP17'!M$502</f>
        <v>I.</v>
      </c>
      <c r="K5664" s="106"/>
      <c r="L5664" s="106"/>
      <c r="M5664" s="129"/>
    </row>
    <row r="5665" spans="1:13" s="146" customFormat="1">
      <c r="A5665" s="193" t="s">
        <v>515</v>
      </c>
      <c r="B5665" s="210">
        <v>10</v>
      </c>
      <c r="C5665" s="191" t="str">
        <f>IF('IWP17'!E$503=0,"",'IWP17'!E$503)</f>
        <v xml:space="preserve">Items/Services Related to Billing Period </v>
      </c>
      <c r="D5665" s="211">
        <f>'IWP17'!G$503</f>
        <v>0</v>
      </c>
      <c r="E5665" s="211" t="str">
        <f>'IWP17'!H$503</f>
        <v xml:space="preserve">Item/
Service Verified Amounts
</v>
      </c>
      <c r="F5665" s="211" t="str">
        <f>'IWP17'!I$503</f>
        <v>Amount Due to DADS (E. - D.)</v>
      </c>
      <c r="G5665" s="191" t="str">
        <f>IF('IWP17'!J$503=0,"",'IWP17'!J$503)</f>
        <v>Amount Reimbursed to 
Employee(s)/Employer</v>
      </c>
      <c r="H5665" s="211">
        <f>'IWP17'!K$503</f>
        <v>0</v>
      </c>
      <c r="I5665" s="211" t="str">
        <f>'IWP17'!L$503</f>
        <v>Amount Due to Employee(s) (G. - E.)</v>
      </c>
      <c r="J5665" s="212" t="str">
        <f>'IWP17'!M$503</f>
        <v>Amount Due to Employer (G. - E.)</v>
      </c>
      <c r="K5665" s="106"/>
      <c r="L5665" s="106"/>
      <c r="M5665" s="129"/>
    </row>
    <row r="5666" spans="1:13" s="146" customFormat="1">
      <c r="A5666" s="193" t="s">
        <v>515</v>
      </c>
      <c r="B5666" s="210">
        <v>10</v>
      </c>
      <c r="C5666" s="191" t="str">
        <f>IF('IWP17'!E$504=0,"",'IWP17'!E$504)</f>
        <v>Item/Service</v>
      </c>
      <c r="D5666" s="211" t="str">
        <f>'IWP17'!G$504</f>
        <v>Itemized Amount Paid by DADS</v>
      </c>
      <c r="E5666" s="211">
        <f>'IWP17'!H$504</f>
        <v>0</v>
      </c>
      <c r="F5666" s="211">
        <f>'IWP17'!I$504</f>
        <v>0</v>
      </c>
      <c r="G5666" s="191" t="str">
        <f>IF('IWP17'!J$504=0,"",'IWP17'!J$504)</f>
        <v/>
      </c>
      <c r="H5666" s="211">
        <f>'IWP17'!K$504</f>
        <v>0</v>
      </c>
      <c r="I5666" s="211">
        <f>'IWP17'!L$504</f>
        <v>0</v>
      </c>
      <c r="J5666" s="212">
        <f>'IWP17'!M$504</f>
        <v>0</v>
      </c>
      <c r="K5666" s="106"/>
      <c r="L5666" s="106"/>
      <c r="M5666" s="129"/>
    </row>
    <row r="5667" spans="1:13" s="146" customFormat="1">
      <c r="A5667" s="193" t="s">
        <v>515</v>
      </c>
      <c r="B5667" s="210">
        <v>10</v>
      </c>
      <c r="C5667" s="191" t="str">
        <f>IF('IWP17'!E$505=0,"",'IWP17'!E$505)</f>
        <v/>
      </c>
      <c r="D5667" s="211">
        <f>'IWP17'!G$505</f>
        <v>0</v>
      </c>
      <c r="E5667" s="211">
        <f>'IWP17'!H$505</f>
        <v>0</v>
      </c>
      <c r="F5667" s="211">
        <f>'IWP17'!I$505</f>
        <v>0</v>
      </c>
      <c r="G5667" s="191" t="str">
        <f>IF('IWP17'!J$505=0,"",'IWP17'!J$505)</f>
        <v/>
      </c>
      <c r="H5667" s="211">
        <f>'IWP17'!K$505</f>
        <v>0</v>
      </c>
      <c r="I5667" s="211">
        <f>'IWP17'!L$505</f>
        <v>0</v>
      </c>
      <c r="J5667" s="212">
        <f>'IWP17'!M$505</f>
        <v>0</v>
      </c>
      <c r="K5667" s="106"/>
      <c r="L5667" s="106"/>
      <c r="M5667" s="129"/>
    </row>
    <row r="5668" spans="1:13" s="146" customFormat="1">
      <c r="A5668" s="193" t="s">
        <v>515</v>
      </c>
      <c r="B5668" s="210">
        <v>10</v>
      </c>
      <c r="C5668" s="191" t="str">
        <f>IF('IWP17'!E$506=0,"",'IWP17'!E$506)</f>
        <v/>
      </c>
      <c r="D5668" s="211">
        <f>'IWP17'!G$506</f>
        <v>0</v>
      </c>
      <c r="E5668" s="211">
        <f>'IWP17'!H$506</f>
        <v>0</v>
      </c>
      <c r="F5668" s="211">
        <f>'IWP17'!I$506</f>
        <v>0</v>
      </c>
      <c r="G5668" s="191" t="str">
        <f>IF('IWP17'!J$506=0,"",'IWP17'!J$506)</f>
        <v/>
      </c>
      <c r="H5668" s="211">
        <f>'IWP17'!K$506</f>
        <v>0</v>
      </c>
      <c r="I5668" s="211">
        <f>'IWP17'!L$506</f>
        <v>0</v>
      </c>
      <c r="J5668" s="212">
        <f>'IWP17'!M$506</f>
        <v>0</v>
      </c>
      <c r="K5668" s="106"/>
      <c r="L5668" s="106"/>
      <c r="M5668" s="129"/>
    </row>
    <row r="5669" spans="1:13" s="146" customFormat="1">
      <c r="A5669" s="193" t="s">
        <v>515</v>
      </c>
      <c r="B5669" s="210">
        <v>10</v>
      </c>
      <c r="C5669" s="191" t="str">
        <f>IF('IWP17'!E$507=0,"",'IWP17'!E$507)</f>
        <v/>
      </c>
      <c r="D5669" s="211">
        <f>'IWP17'!G$507</f>
        <v>0</v>
      </c>
      <c r="E5669" s="211">
        <f>'IWP17'!H$507</f>
        <v>0</v>
      </c>
      <c r="F5669" s="211">
        <f>'IWP17'!I$507</f>
        <v>0</v>
      </c>
      <c r="G5669" s="191" t="str">
        <f>IF('IWP17'!J$507=0,"",'IWP17'!J$507)</f>
        <v/>
      </c>
      <c r="H5669" s="211">
        <f>'IWP17'!K$507</f>
        <v>0</v>
      </c>
      <c r="I5669" s="211">
        <f>'IWP17'!L$507</f>
        <v>0</v>
      </c>
      <c r="J5669" s="212">
        <f>'IWP17'!M$507</f>
        <v>0</v>
      </c>
      <c r="K5669" s="106"/>
      <c r="L5669" s="106"/>
      <c r="M5669" s="129"/>
    </row>
    <row r="5670" spans="1:13" s="146" customFormat="1">
      <c r="A5670" s="193" t="s">
        <v>515</v>
      </c>
      <c r="B5670" s="210">
        <v>10</v>
      </c>
      <c r="C5670" s="191" t="str">
        <f>IF('IWP17'!E$508=0,"",'IWP17'!E$508)</f>
        <v/>
      </c>
      <c r="D5670" s="211">
        <f>'IWP17'!G$508</f>
        <v>0</v>
      </c>
      <c r="E5670" s="211">
        <f>'IWP17'!H$508</f>
        <v>0</v>
      </c>
      <c r="F5670" s="211">
        <f>'IWP17'!I$508</f>
        <v>0</v>
      </c>
      <c r="G5670" s="191" t="str">
        <f>IF('IWP17'!J$508=0,"",'IWP17'!J$508)</f>
        <v/>
      </c>
      <c r="H5670" s="211">
        <f>'IWP17'!K$508</f>
        <v>0</v>
      </c>
      <c r="I5670" s="211">
        <f>'IWP17'!L$508</f>
        <v>0</v>
      </c>
      <c r="J5670" s="212">
        <f>'IWP17'!M$508</f>
        <v>0</v>
      </c>
      <c r="K5670" s="106"/>
      <c r="L5670" s="106"/>
      <c r="M5670" s="129"/>
    </row>
    <row r="5671" spans="1:13" s="146" customFormat="1">
      <c r="A5671" s="193" t="s">
        <v>515</v>
      </c>
      <c r="B5671" s="210">
        <v>11</v>
      </c>
      <c r="C5671" s="191" t="str">
        <f>IF('IWP17'!E$515=0,"",'IWP17'!E$515)</f>
        <v>Subtotal column D.</v>
      </c>
      <c r="D5671" s="211">
        <f>'IWP17'!G$515</f>
        <v>0</v>
      </c>
      <c r="E5671" s="211">
        <f>'IWP17'!H$515</f>
        <v>0</v>
      </c>
      <c r="F5671" s="211">
        <f>'IWP17'!I$515</f>
        <v>0</v>
      </c>
      <c r="G5671" s="191" t="str">
        <f>IF('IWP17'!J$515=0,"",'IWP17'!J$515)</f>
        <v/>
      </c>
      <c r="H5671" s="211">
        <f>'IWP17'!K$515</f>
        <v>0</v>
      </c>
      <c r="I5671" s="211">
        <f>'IWP17'!L$515</f>
        <v>0</v>
      </c>
      <c r="J5671" s="212">
        <f>'IWP17'!M$515</f>
        <v>0</v>
      </c>
      <c r="K5671" s="106"/>
      <c r="L5671" s="106"/>
      <c r="M5671" s="129"/>
    </row>
    <row r="5672" spans="1:13" s="146" customFormat="1">
      <c r="A5672" s="193" t="s">
        <v>515</v>
      </c>
      <c r="B5672" s="210">
        <v>11</v>
      </c>
      <c r="C5672" s="191" t="str">
        <f>IF('IWP17'!E$516=0,"",'IWP17'!E$516)</f>
        <v>Unverified/Undocumented (Subtotal D - C)</v>
      </c>
      <c r="D5672" s="211">
        <f>'IWP17'!G$516</f>
        <v>0</v>
      </c>
      <c r="E5672" s="211">
        <f>'IWP17'!H$516</f>
        <v>0</v>
      </c>
      <c r="F5672" s="211">
        <f>'IWP17'!I$516</f>
        <v>0</v>
      </c>
      <c r="G5672" s="191" t="str">
        <f>IF('IWP17'!J$516=0,"",'IWP17'!J$516)</f>
        <v/>
      </c>
      <c r="H5672" s="211">
        <f>'IWP17'!K$516</f>
        <v>0</v>
      </c>
      <c r="I5672" s="211">
        <f>'IWP17'!L$516</f>
        <v>0</v>
      </c>
      <c r="J5672" s="212">
        <f>'IWP17'!M$516</f>
        <v>0</v>
      </c>
      <c r="K5672" s="106"/>
      <c r="L5672" s="106"/>
      <c r="M5672" s="129"/>
    </row>
    <row r="5673" spans="1:13" s="146" customFormat="1">
      <c r="A5673" s="193" t="s">
        <v>515</v>
      </c>
      <c r="B5673" s="210">
        <v>11</v>
      </c>
      <c r="C5673" s="191" t="str">
        <f>IF('IWP17'!E$517=0,"",'IWP17'!E$517)</f>
        <v>J. Billing Period Total</v>
      </c>
      <c r="D5673" s="211">
        <f>'IWP17'!G$517</f>
        <v>0</v>
      </c>
      <c r="E5673" s="211">
        <f>'IWP17'!H$517</f>
        <v>0</v>
      </c>
      <c r="F5673" s="211">
        <f>'IWP17'!I$517</f>
        <v>0</v>
      </c>
      <c r="G5673" s="191" t="str">
        <f>IF('IWP17'!J$517=0,"",'IWP17'!J$517)</f>
        <v/>
      </c>
      <c r="H5673" s="211">
        <f>'IWP17'!K$517</f>
        <v>0</v>
      </c>
      <c r="I5673" s="211">
        <f>'IWP17'!L$517</f>
        <v>0</v>
      </c>
      <c r="J5673" s="212">
        <f>'IWP17'!M$517</f>
        <v>0</v>
      </c>
      <c r="K5673" s="106"/>
      <c r="L5673" s="106"/>
      <c r="M5673" s="129"/>
    </row>
    <row r="5674" spans="1:13" s="146" customFormat="1">
      <c r="A5674" s="193" t="s">
        <v>515</v>
      </c>
      <c r="B5674" s="210">
        <v>11</v>
      </c>
      <c r="C5674" s="191" t="str">
        <f>IF('IWP17'!E$518=0,"",'IWP17'!E$518)</f>
        <v>D.</v>
      </c>
      <c r="D5674" s="211">
        <f>'IWP17'!G$518</f>
        <v>0</v>
      </c>
      <c r="E5674" s="211" t="str">
        <f>'IWP17'!H$518</f>
        <v>E.</v>
      </c>
      <c r="F5674" s="211" t="str">
        <f>'IWP17'!I$518</f>
        <v>F.</v>
      </c>
      <c r="G5674" s="191" t="str">
        <f>IF('IWP17'!J$518=0,"",'IWP17'!J$518)</f>
        <v>G.</v>
      </c>
      <c r="H5674" s="211">
        <f>'IWP17'!K$518</f>
        <v>0</v>
      </c>
      <c r="I5674" s="211" t="str">
        <f>'IWP17'!L$518</f>
        <v>H.</v>
      </c>
      <c r="J5674" s="212" t="str">
        <f>'IWP17'!M$518</f>
        <v>I.</v>
      </c>
      <c r="K5674" s="106"/>
      <c r="L5674" s="106"/>
      <c r="M5674" s="129"/>
    </row>
    <row r="5675" spans="1:13" s="146" customFormat="1">
      <c r="A5675" s="193" t="s">
        <v>515</v>
      </c>
      <c r="B5675" s="210">
        <v>11</v>
      </c>
      <c r="C5675" s="191" t="str">
        <f>IF('IWP17'!E$519=0,"",'IWP17'!E$519)</f>
        <v xml:space="preserve">Items/Services Related to Billing Period </v>
      </c>
      <c r="D5675" s="211">
        <f>'IWP17'!G$519</f>
        <v>0</v>
      </c>
      <c r="E5675" s="211" t="str">
        <f>'IWP17'!H$519</f>
        <v xml:space="preserve">Item/
Service Verified Amounts
</v>
      </c>
      <c r="F5675" s="211" t="str">
        <f>'IWP17'!I$519</f>
        <v>Amount Due to DADS (E. - D.)</v>
      </c>
      <c r="G5675" s="191" t="str">
        <f>IF('IWP17'!J$519=0,"",'IWP17'!J$519)</f>
        <v>Amount Reimbursed to 
Employee(s)/Employer</v>
      </c>
      <c r="H5675" s="211">
        <f>'IWP17'!K$519</f>
        <v>0</v>
      </c>
      <c r="I5675" s="211" t="str">
        <f>'IWP17'!L$519</f>
        <v>Amount Due to Employee(s) (G. - E.)</v>
      </c>
      <c r="J5675" s="212" t="str">
        <f>'IWP17'!M$519</f>
        <v>Amount Due to Employer (G. - E.)</v>
      </c>
      <c r="K5675" s="106"/>
      <c r="L5675" s="106"/>
      <c r="M5675" s="129"/>
    </row>
    <row r="5676" spans="1:13" s="146" customFormat="1">
      <c r="A5676" s="193" t="s">
        <v>515</v>
      </c>
      <c r="B5676" s="210">
        <v>11</v>
      </c>
      <c r="C5676" s="191" t="str">
        <f>IF('IWP17'!E$520=0,"",'IWP17'!E$520)</f>
        <v>Item/Service</v>
      </c>
      <c r="D5676" s="211" t="str">
        <f>'IWP17'!G$520</f>
        <v>Itemized Amount Paid by DADS</v>
      </c>
      <c r="E5676" s="211">
        <f>'IWP17'!H$520</f>
        <v>0</v>
      </c>
      <c r="F5676" s="211">
        <f>'IWP17'!I$520</f>
        <v>0</v>
      </c>
      <c r="G5676" s="191" t="str">
        <f>IF('IWP17'!J$520=0,"",'IWP17'!J$520)</f>
        <v/>
      </c>
      <c r="H5676" s="211">
        <f>'IWP17'!K$520</f>
        <v>0</v>
      </c>
      <c r="I5676" s="211">
        <f>'IWP17'!L$520</f>
        <v>0</v>
      </c>
      <c r="J5676" s="212">
        <f>'IWP17'!M$520</f>
        <v>0</v>
      </c>
      <c r="K5676" s="106"/>
      <c r="L5676" s="106"/>
      <c r="M5676" s="129"/>
    </row>
    <row r="5677" spans="1:13" s="146" customFormat="1">
      <c r="A5677" s="193" t="s">
        <v>515</v>
      </c>
      <c r="B5677" s="210">
        <v>11</v>
      </c>
      <c r="C5677" s="191" t="str">
        <f>IF('IWP17'!E$521=0,"",'IWP17'!E$521)</f>
        <v/>
      </c>
      <c r="D5677" s="211">
        <f>'IWP17'!G$521</f>
        <v>0</v>
      </c>
      <c r="E5677" s="211">
        <f>'IWP17'!H$521</f>
        <v>0</v>
      </c>
      <c r="F5677" s="211">
        <f>'IWP17'!I$521</f>
        <v>0</v>
      </c>
      <c r="G5677" s="191" t="str">
        <f>IF('IWP17'!J$521=0,"",'IWP17'!J$521)</f>
        <v/>
      </c>
      <c r="H5677" s="211">
        <f>'IWP17'!K$521</f>
        <v>0</v>
      </c>
      <c r="I5677" s="211">
        <f>'IWP17'!L$521</f>
        <v>0</v>
      </c>
      <c r="J5677" s="212">
        <f>'IWP17'!M$521</f>
        <v>0</v>
      </c>
      <c r="K5677" s="106"/>
      <c r="L5677" s="106"/>
      <c r="M5677" s="129"/>
    </row>
    <row r="5678" spans="1:13" s="146" customFormat="1">
      <c r="A5678" s="193" t="s">
        <v>515</v>
      </c>
      <c r="B5678" s="210">
        <v>11</v>
      </c>
      <c r="C5678" s="191" t="str">
        <f>IF('IWP17'!E$522=0,"",'IWP17'!E$522)</f>
        <v/>
      </c>
      <c r="D5678" s="211">
        <f>'IWP17'!G$522</f>
        <v>0</v>
      </c>
      <c r="E5678" s="211">
        <f>'IWP17'!H$522</f>
        <v>0</v>
      </c>
      <c r="F5678" s="211">
        <f>'IWP17'!I$522</f>
        <v>0</v>
      </c>
      <c r="G5678" s="191" t="str">
        <f>IF('IWP17'!J$522=0,"",'IWP17'!J$522)</f>
        <v/>
      </c>
      <c r="H5678" s="211">
        <f>'IWP17'!K$522</f>
        <v>0</v>
      </c>
      <c r="I5678" s="211">
        <f>'IWP17'!L$522</f>
        <v>0</v>
      </c>
      <c r="J5678" s="212">
        <f>'IWP17'!M$522</f>
        <v>0</v>
      </c>
      <c r="K5678" s="106"/>
      <c r="L5678" s="106"/>
      <c r="M5678" s="129"/>
    </row>
    <row r="5679" spans="1:13" s="146" customFormat="1">
      <c r="A5679" s="193" t="s">
        <v>515</v>
      </c>
      <c r="B5679" s="210">
        <v>11</v>
      </c>
      <c r="C5679" s="191" t="str">
        <f>IF('IWP17'!E$523=0,"",'IWP17'!E$523)</f>
        <v/>
      </c>
      <c r="D5679" s="211">
        <f>'IWP17'!G$523</f>
        <v>0</v>
      </c>
      <c r="E5679" s="211">
        <f>'IWP17'!H$523</f>
        <v>0</v>
      </c>
      <c r="F5679" s="211">
        <f>'IWP17'!I$523</f>
        <v>0</v>
      </c>
      <c r="G5679" s="191" t="str">
        <f>IF('IWP17'!J$523=0,"",'IWP17'!J$523)</f>
        <v/>
      </c>
      <c r="H5679" s="211">
        <f>'IWP17'!K$523</f>
        <v>0</v>
      </c>
      <c r="I5679" s="211">
        <f>'IWP17'!L$523</f>
        <v>0</v>
      </c>
      <c r="J5679" s="212">
        <f>'IWP17'!M$523</f>
        <v>0</v>
      </c>
      <c r="K5679" s="106"/>
      <c r="L5679" s="106"/>
      <c r="M5679" s="129"/>
    </row>
    <row r="5680" spans="1:13" s="146" customFormat="1">
      <c r="A5680" s="193" t="s">
        <v>515</v>
      </c>
      <c r="B5680" s="210">
        <v>11</v>
      </c>
      <c r="C5680" s="191" t="str">
        <f>IF('IWP17'!E$524=0,"",'IWP17'!E$524)</f>
        <v/>
      </c>
      <c r="D5680" s="211">
        <f>'IWP17'!G$524</f>
        <v>0</v>
      </c>
      <c r="E5680" s="211">
        <f>'IWP17'!H$524</f>
        <v>0</v>
      </c>
      <c r="F5680" s="211">
        <f>'IWP17'!I$524</f>
        <v>0</v>
      </c>
      <c r="G5680" s="191" t="str">
        <f>IF('IWP17'!J$524=0,"",'IWP17'!J$524)</f>
        <v/>
      </c>
      <c r="H5680" s="211">
        <f>'IWP17'!K$524</f>
        <v>0</v>
      </c>
      <c r="I5680" s="211">
        <f>'IWP17'!L$524</f>
        <v>0</v>
      </c>
      <c r="J5680" s="212">
        <f>'IWP17'!M$524</f>
        <v>0</v>
      </c>
      <c r="K5680" s="106"/>
      <c r="L5680" s="106"/>
      <c r="M5680" s="129"/>
    </row>
    <row r="5681" spans="1:13" s="146" customFormat="1">
      <c r="A5681" s="193" t="s">
        <v>515</v>
      </c>
      <c r="B5681" s="210">
        <v>12</v>
      </c>
      <c r="C5681" s="191" t="str">
        <f>IF('IWP17'!E$531=0,"",'IWP17'!E$531)</f>
        <v>Subtotal column D.</v>
      </c>
      <c r="D5681" s="211">
        <f>'IWP17'!G$531</f>
        <v>0</v>
      </c>
      <c r="E5681" s="211">
        <f>'IWP17'!H$531</f>
        <v>0</v>
      </c>
      <c r="F5681" s="211">
        <f>'IWP17'!I$531</f>
        <v>0</v>
      </c>
      <c r="G5681" s="191" t="str">
        <f>IF('IWP17'!J$531=0,"",'IWP17'!J$531)</f>
        <v/>
      </c>
      <c r="H5681" s="211">
        <f>'IWP17'!K$531</f>
        <v>0</v>
      </c>
      <c r="I5681" s="211">
        <f>'IWP17'!L$531</f>
        <v>0</v>
      </c>
      <c r="J5681" s="212">
        <f>'IWP17'!M$531</f>
        <v>0</v>
      </c>
      <c r="K5681" s="106"/>
      <c r="L5681" s="106"/>
      <c r="M5681" s="129"/>
    </row>
    <row r="5682" spans="1:13" s="146" customFormat="1">
      <c r="A5682" s="193" t="s">
        <v>515</v>
      </c>
      <c r="B5682" s="210">
        <v>12</v>
      </c>
      <c r="C5682" s="191" t="str">
        <f>IF('IWP17'!E$532=0,"",'IWP17'!E$532)</f>
        <v>Unverified/Undocumented (Subtotal D - C)</v>
      </c>
      <c r="D5682" s="211">
        <f>'IWP17'!G$532</f>
        <v>0</v>
      </c>
      <c r="E5682" s="211">
        <f>'IWP17'!H$532</f>
        <v>0</v>
      </c>
      <c r="F5682" s="211">
        <f>'IWP17'!I$532</f>
        <v>0</v>
      </c>
      <c r="G5682" s="191" t="str">
        <f>IF('IWP17'!J$532=0,"",'IWP17'!J$532)</f>
        <v/>
      </c>
      <c r="H5682" s="211">
        <f>'IWP17'!K$532</f>
        <v>0</v>
      </c>
      <c r="I5682" s="211">
        <f>'IWP17'!L$532</f>
        <v>0</v>
      </c>
      <c r="J5682" s="212">
        <f>'IWP17'!M$532</f>
        <v>0</v>
      </c>
      <c r="K5682" s="106"/>
      <c r="L5682" s="106"/>
      <c r="M5682" s="129"/>
    </row>
    <row r="5683" spans="1:13" s="146" customFormat="1">
      <c r="A5683" s="193" t="s">
        <v>515</v>
      </c>
      <c r="B5683" s="210">
        <v>12</v>
      </c>
      <c r="C5683" s="191" t="str">
        <f>IF('IWP17'!E$533=0,"",'IWP17'!E$533)</f>
        <v>J. Billing Period Total</v>
      </c>
      <c r="D5683" s="211">
        <f>'IWP17'!G$533</f>
        <v>0</v>
      </c>
      <c r="E5683" s="211">
        <f>'IWP17'!H$533</f>
        <v>0</v>
      </c>
      <c r="F5683" s="211">
        <f>'IWP17'!I$533</f>
        <v>0</v>
      </c>
      <c r="G5683" s="191" t="str">
        <f>IF('IWP17'!J$533=0,"",'IWP17'!J$533)</f>
        <v/>
      </c>
      <c r="H5683" s="211">
        <f>'IWP17'!K$533</f>
        <v>0</v>
      </c>
      <c r="I5683" s="211">
        <f>'IWP17'!L$533</f>
        <v>0</v>
      </c>
      <c r="J5683" s="212">
        <f>'IWP17'!M$533</f>
        <v>0</v>
      </c>
      <c r="K5683" s="106"/>
      <c r="L5683" s="106"/>
      <c r="M5683" s="129"/>
    </row>
    <row r="5684" spans="1:13" s="146" customFormat="1">
      <c r="A5684" s="193" t="s">
        <v>515</v>
      </c>
      <c r="B5684" s="210">
        <v>12</v>
      </c>
      <c r="C5684" s="191" t="str">
        <f>IF('IWP17'!E$534=0,"",'IWP17'!E$534)</f>
        <v>D.</v>
      </c>
      <c r="D5684" s="211">
        <f>'IWP17'!G$534</f>
        <v>0</v>
      </c>
      <c r="E5684" s="211" t="str">
        <f>'IWP17'!H$534</f>
        <v>E.</v>
      </c>
      <c r="F5684" s="211" t="str">
        <f>'IWP17'!I$534</f>
        <v>F.</v>
      </c>
      <c r="G5684" s="191" t="str">
        <f>IF('IWP17'!J$534=0,"",'IWP17'!J$534)</f>
        <v>G.</v>
      </c>
      <c r="H5684" s="211">
        <f>'IWP17'!K$534</f>
        <v>0</v>
      </c>
      <c r="I5684" s="211" t="str">
        <f>'IWP17'!L$534</f>
        <v>H.</v>
      </c>
      <c r="J5684" s="212" t="str">
        <f>'IWP17'!M$534</f>
        <v>I.</v>
      </c>
      <c r="K5684" s="106"/>
      <c r="L5684" s="106"/>
      <c r="M5684" s="129"/>
    </row>
    <row r="5685" spans="1:13" s="146" customFormat="1">
      <c r="A5685" s="193" t="s">
        <v>515</v>
      </c>
      <c r="B5685" s="210">
        <v>12</v>
      </c>
      <c r="C5685" s="191" t="str">
        <f>IF('IWP17'!E$535=0,"",'IWP17'!E$535)</f>
        <v xml:space="preserve">Items/Services Related to Billing Period </v>
      </c>
      <c r="D5685" s="211">
        <f>'IWP17'!G$535</f>
        <v>0</v>
      </c>
      <c r="E5685" s="211" t="str">
        <f>'IWP17'!H$535</f>
        <v xml:space="preserve">Item/
Service Verified Amounts
</v>
      </c>
      <c r="F5685" s="211" t="str">
        <f>'IWP17'!I$535</f>
        <v>Amount Due to DADS (E. - D.)</v>
      </c>
      <c r="G5685" s="191" t="str">
        <f>IF('IWP17'!J$535=0,"",'IWP17'!J$535)</f>
        <v>Amount Reimbursed to 
Employee(s)/Employer</v>
      </c>
      <c r="H5685" s="211">
        <f>'IWP17'!K$535</f>
        <v>0</v>
      </c>
      <c r="I5685" s="211" t="str">
        <f>'IWP17'!L$535</f>
        <v>Amount Due to Employee(s) (G. - E.)</v>
      </c>
      <c r="J5685" s="212" t="str">
        <f>'IWP17'!M$535</f>
        <v>Amount Due to Employer (G. - E.)</v>
      </c>
      <c r="K5685" s="106"/>
      <c r="L5685" s="106"/>
      <c r="M5685" s="129"/>
    </row>
    <row r="5686" spans="1:13" s="146" customFormat="1">
      <c r="A5686" s="193" t="s">
        <v>515</v>
      </c>
      <c r="B5686" s="210">
        <v>12</v>
      </c>
      <c r="C5686" s="191" t="str">
        <f>IF('IWP17'!E$536=0,"",'IWP17'!E$536)</f>
        <v>Item/Service</v>
      </c>
      <c r="D5686" s="211" t="str">
        <f>'IWP17'!G$536</f>
        <v>Itemized Amount Paid by DADS</v>
      </c>
      <c r="E5686" s="211">
        <f>'IWP17'!H$536</f>
        <v>0</v>
      </c>
      <c r="F5686" s="211">
        <f>'IWP17'!I$536</f>
        <v>0</v>
      </c>
      <c r="G5686" s="191" t="str">
        <f>IF('IWP17'!J$536=0,"",'IWP17'!J$536)</f>
        <v/>
      </c>
      <c r="H5686" s="211">
        <f>'IWP17'!K$536</f>
        <v>0</v>
      </c>
      <c r="I5686" s="211">
        <f>'IWP17'!L$536</f>
        <v>0</v>
      </c>
      <c r="J5686" s="212">
        <f>'IWP17'!M$536</f>
        <v>0</v>
      </c>
      <c r="K5686" s="106"/>
      <c r="L5686" s="106"/>
      <c r="M5686" s="129"/>
    </row>
    <row r="5687" spans="1:13" s="146" customFormat="1">
      <c r="A5687" s="193" t="s">
        <v>515</v>
      </c>
      <c r="B5687" s="210">
        <v>12</v>
      </c>
      <c r="C5687" s="191" t="str">
        <f>IF('IWP17'!E$537=0,"",'IWP17'!E$537)</f>
        <v/>
      </c>
      <c r="D5687" s="211">
        <f>'IWP17'!G$537</f>
        <v>0</v>
      </c>
      <c r="E5687" s="211">
        <f>'IWP17'!H$537</f>
        <v>0</v>
      </c>
      <c r="F5687" s="211">
        <f>'IWP17'!I$537</f>
        <v>0</v>
      </c>
      <c r="G5687" s="191" t="str">
        <f>IF('IWP17'!J$537=0,"",'IWP17'!J$537)</f>
        <v/>
      </c>
      <c r="H5687" s="211">
        <f>'IWP17'!K$537</f>
        <v>0</v>
      </c>
      <c r="I5687" s="211">
        <f>'IWP17'!L$537</f>
        <v>0</v>
      </c>
      <c r="J5687" s="212">
        <f>'IWP17'!M$537</f>
        <v>0</v>
      </c>
      <c r="K5687" s="106"/>
      <c r="L5687" s="106"/>
      <c r="M5687" s="129"/>
    </row>
    <row r="5688" spans="1:13" s="146" customFormat="1">
      <c r="A5688" s="193" t="s">
        <v>515</v>
      </c>
      <c r="B5688" s="210">
        <v>12</v>
      </c>
      <c r="C5688" s="191" t="str">
        <f>IF('IWP17'!E$538=0,"",'IWP17'!E$538)</f>
        <v/>
      </c>
      <c r="D5688" s="211">
        <f>'IWP17'!G$538</f>
        <v>0</v>
      </c>
      <c r="E5688" s="211">
        <f>'IWP17'!H$538</f>
        <v>0</v>
      </c>
      <c r="F5688" s="211">
        <f>'IWP17'!I$538</f>
        <v>0</v>
      </c>
      <c r="G5688" s="191" t="str">
        <f>IF('IWP17'!J$538=0,"",'IWP17'!J$538)</f>
        <v/>
      </c>
      <c r="H5688" s="211">
        <f>'IWP17'!K$538</f>
        <v>0</v>
      </c>
      <c r="I5688" s="211">
        <f>'IWP17'!L$538</f>
        <v>0</v>
      </c>
      <c r="J5688" s="212">
        <f>'IWP17'!M$538</f>
        <v>0</v>
      </c>
      <c r="K5688" s="106"/>
      <c r="L5688" s="106"/>
      <c r="M5688" s="129"/>
    </row>
    <row r="5689" spans="1:13" s="146" customFormat="1">
      <c r="A5689" s="193" t="s">
        <v>515</v>
      </c>
      <c r="B5689" s="210">
        <v>12</v>
      </c>
      <c r="C5689" s="191" t="str">
        <f>IF('IWP17'!E$539=0,"",'IWP17'!E$539)</f>
        <v/>
      </c>
      <c r="D5689" s="211">
        <f>'IWP17'!G$539</f>
        <v>0</v>
      </c>
      <c r="E5689" s="211">
        <f>'IWP17'!H$539</f>
        <v>0</v>
      </c>
      <c r="F5689" s="211">
        <f>'IWP17'!I$539</f>
        <v>0</v>
      </c>
      <c r="G5689" s="191" t="str">
        <f>IF('IWP17'!J$539=0,"",'IWP17'!J$539)</f>
        <v/>
      </c>
      <c r="H5689" s="211">
        <f>'IWP17'!K$539</f>
        <v>0</v>
      </c>
      <c r="I5689" s="211">
        <f>'IWP17'!L$539</f>
        <v>0</v>
      </c>
      <c r="J5689" s="212">
        <f>'IWP17'!M$539</f>
        <v>0</v>
      </c>
      <c r="K5689" s="106"/>
      <c r="L5689" s="106"/>
      <c r="M5689" s="129"/>
    </row>
    <row r="5690" spans="1:13" s="146" customFormat="1">
      <c r="A5690" s="193" t="s">
        <v>515</v>
      </c>
      <c r="B5690" s="210">
        <v>12</v>
      </c>
      <c r="C5690" s="191" t="str">
        <f>IF('IWP17'!E$540=0,"",'IWP17'!E$540)</f>
        <v/>
      </c>
      <c r="D5690" s="211">
        <f>'IWP17'!G$540</f>
        <v>0</v>
      </c>
      <c r="E5690" s="211">
        <f>'IWP17'!H$540</f>
        <v>0</v>
      </c>
      <c r="F5690" s="211">
        <f>'IWP17'!I$540</f>
        <v>0</v>
      </c>
      <c r="G5690" s="191" t="str">
        <f>IF('IWP17'!J$540=0,"",'IWP17'!J$540)</f>
        <v/>
      </c>
      <c r="H5690" s="211">
        <f>'IWP17'!K$540</f>
        <v>0</v>
      </c>
      <c r="I5690" s="211">
        <f>'IWP17'!L$540</f>
        <v>0</v>
      </c>
      <c r="J5690" s="212">
        <f>'IWP17'!M$540</f>
        <v>0</v>
      </c>
      <c r="K5690" s="106"/>
      <c r="L5690" s="106"/>
      <c r="M5690" s="129"/>
    </row>
    <row r="5691" spans="1:13" s="146" customFormat="1">
      <c r="A5691" s="193" t="s">
        <v>515</v>
      </c>
      <c r="B5691" s="210">
        <v>13</v>
      </c>
      <c r="C5691" s="191" t="str">
        <f>IF('IWP17'!E$547=0,"",'IWP17'!E$547)</f>
        <v>Subtotal column D.</v>
      </c>
      <c r="D5691" s="211">
        <f>'IWP17'!G$547</f>
        <v>0</v>
      </c>
      <c r="E5691" s="211">
        <f>'IWP17'!H$547</f>
        <v>0</v>
      </c>
      <c r="F5691" s="211">
        <f>'IWP17'!I$547</f>
        <v>0</v>
      </c>
      <c r="G5691" s="191" t="str">
        <f>IF('IWP17'!J$547=0,"",'IWP17'!J$547)</f>
        <v/>
      </c>
      <c r="H5691" s="211">
        <f>'IWP17'!K$547</f>
        <v>0</v>
      </c>
      <c r="I5691" s="211">
        <f>'IWP17'!L$547</f>
        <v>0</v>
      </c>
      <c r="J5691" s="212">
        <f>'IWP17'!M$547</f>
        <v>0</v>
      </c>
      <c r="K5691" s="106"/>
      <c r="L5691" s="106"/>
      <c r="M5691" s="129"/>
    </row>
    <row r="5692" spans="1:13" s="146" customFormat="1">
      <c r="A5692" s="193" t="s">
        <v>515</v>
      </c>
      <c r="B5692" s="210">
        <v>13</v>
      </c>
      <c r="C5692" s="191" t="str">
        <f>IF('IWP17'!E$548=0,"",'IWP17'!E$548)</f>
        <v>Unverified/Undocumented (Subtotal D - C)</v>
      </c>
      <c r="D5692" s="211">
        <f>'IWP17'!G$548</f>
        <v>0</v>
      </c>
      <c r="E5692" s="211">
        <f>'IWP17'!H$548</f>
        <v>0</v>
      </c>
      <c r="F5692" s="211">
        <f>'IWP17'!I$548</f>
        <v>0</v>
      </c>
      <c r="G5692" s="191" t="str">
        <f>IF('IWP17'!J$548=0,"",'IWP17'!J$548)</f>
        <v/>
      </c>
      <c r="H5692" s="211">
        <f>'IWP17'!K$548</f>
        <v>0</v>
      </c>
      <c r="I5692" s="211">
        <f>'IWP17'!L$548</f>
        <v>0</v>
      </c>
      <c r="J5692" s="212">
        <f>'IWP17'!M$548</f>
        <v>0</v>
      </c>
      <c r="K5692" s="106"/>
      <c r="L5692" s="106"/>
      <c r="M5692" s="129"/>
    </row>
    <row r="5693" spans="1:13" s="146" customFormat="1">
      <c r="A5693" s="193" t="s">
        <v>515</v>
      </c>
      <c r="B5693" s="210">
        <v>13</v>
      </c>
      <c r="C5693" s="191" t="str">
        <f>IF('IWP17'!E$549=0,"",'IWP17'!E$549)</f>
        <v>J. Billing Period Total</v>
      </c>
      <c r="D5693" s="211">
        <f>'IWP17'!G$549</f>
        <v>0</v>
      </c>
      <c r="E5693" s="211">
        <f>'IWP17'!H$549</f>
        <v>0</v>
      </c>
      <c r="F5693" s="211">
        <f>'IWP17'!I$549</f>
        <v>0</v>
      </c>
      <c r="G5693" s="191" t="str">
        <f>IF('IWP17'!J$549=0,"",'IWP17'!J$549)</f>
        <v/>
      </c>
      <c r="H5693" s="211">
        <f>'IWP17'!K$549</f>
        <v>0</v>
      </c>
      <c r="I5693" s="211">
        <f>'IWP17'!L$549</f>
        <v>0</v>
      </c>
      <c r="J5693" s="212">
        <f>'IWP17'!M$549</f>
        <v>0</v>
      </c>
      <c r="K5693" s="106"/>
      <c r="L5693" s="106"/>
      <c r="M5693" s="129"/>
    </row>
    <row r="5694" spans="1:13" s="146" customFormat="1">
      <c r="A5694" s="193" t="s">
        <v>515</v>
      </c>
      <c r="B5694" s="210">
        <v>13</v>
      </c>
      <c r="C5694" s="191" t="str">
        <f>IF('IWP17'!E$550=0,"",'IWP17'!E$550)</f>
        <v>D.</v>
      </c>
      <c r="D5694" s="211">
        <f>'IWP17'!G$550</f>
        <v>0</v>
      </c>
      <c r="E5694" s="211" t="str">
        <f>'IWP17'!H$550</f>
        <v>E.</v>
      </c>
      <c r="F5694" s="211" t="str">
        <f>'IWP17'!I$550</f>
        <v>F.</v>
      </c>
      <c r="G5694" s="191" t="str">
        <f>IF('IWP17'!J$550=0,"",'IWP17'!J$550)</f>
        <v>G.</v>
      </c>
      <c r="H5694" s="211">
        <f>'IWP17'!K$550</f>
        <v>0</v>
      </c>
      <c r="I5694" s="211" t="str">
        <f>'IWP17'!L$550</f>
        <v>H.</v>
      </c>
      <c r="J5694" s="212" t="str">
        <f>'IWP17'!M$550</f>
        <v>I.</v>
      </c>
      <c r="K5694" s="106"/>
      <c r="L5694" s="106"/>
      <c r="M5694" s="129"/>
    </row>
    <row r="5695" spans="1:13" s="146" customFormat="1">
      <c r="A5695" s="193" t="s">
        <v>515</v>
      </c>
      <c r="B5695" s="210">
        <v>13</v>
      </c>
      <c r="C5695" s="191" t="str">
        <f>IF('IWP17'!E$551=0,"",'IWP17'!E$551)</f>
        <v xml:space="preserve">Items/Services Related to Billing Period </v>
      </c>
      <c r="D5695" s="211">
        <f>'IWP17'!G$551</f>
        <v>0</v>
      </c>
      <c r="E5695" s="211" t="str">
        <f>'IWP17'!H$551</f>
        <v xml:space="preserve">Item/
Service Verified Amounts
</v>
      </c>
      <c r="F5695" s="211" t="str">
        <f>'IWP17'!I$551</f>
        <v>Amount Due to DADS (E. - D.)</v>
      </c>
      <c r="G5695" s="191" t="str">
        <f>IF('IWP17'!J$551=0,"",'IWP17'!J$551)</f>
        <v>Amount Reimbursed to 
Employee(s)/Employer</v>
      </c>
      <c r="H5695" s="211">
        <f>'IWP17'!K$551</f>
        <v>0</v>
      </c>
      <c r="I5695" s="211" t="str">
        <f>'IWP17'!L$551</f>
        <v>Amount Due to Employee(s) (G. - E.)</v>
      </c>
      <c r="J5695" s="212" t="str">
        <f>'IWP17'!M$551</f>
        <v>Amount Due to Employer (G. - E.)</v>
      </c>
      <c r="K5695" s="106"/>
      <c r="L5695" s="106"/>
      <c r="M5695" s="129"/>
    </row>
    <row r="5696" spans="1:13" s="146" customFormat="1">
      <c r="A5696" s="193" t="s">
        <v>515</v>
      </c>
      <c r="B5696" s="210">
        <v>13</v>
      </c>
      <c r="C5696" s="191" t="str">
        <f>IF('IWP17'!E$552=0,"",'IWP17'!E$552)</f>
        <v>Item/Service</v>
      </c>
      <c r="D5696" s="211" t="str">
        <f>'IWP17'!G$552</f>
        <v>Itemized Amount Paid by DADS</v>
      </c>
      <c r="E5696" s="211">
        <f>'IWP17'!H$552</f>
        <v>0</v>
      </c>
      <c r="F5696" s="211">
        <f>'IWP17'!I$552</f>
        <v>0</v>
      </c>
      <c r="G5696" s="191" t="str">
        <f>IF('IWP17'!J$552=0,"",'IWP17'!J$552)</f>
        <v/>
      </c>
      <c r="H5696" s="211">
        <f>'IWP17'!K$552</f>
        <v>0</v>
      </c>
      <c r="I5696" s="211">
        <f>'IWP17'!L$552</f>
        <v>0</v>
      </c>
      <c r="J5696" s="212">
        <f>'IWP17'!M$552</f>
        <v>0</v>
      </c>
      <c r="K5696" s="106"/>
      <c r="L5696" s="106"/>
      <c r="M5696" s="129"/>
    </row>
    <row r="5697" spans="1:13" s="146" customFormat="1">
      <c r="A5697" s="193" t="s">
        <v>515</v>
      </c>
      <c r="B5697" s="210">
        <v>13</v>
      </c>
      <c r="C5697" s="191" t="str">
        <f>IF('IWP17'!E$553=0,"",'IWP17'!E$553)</f>
        <v/>
      </c>
      <c r="D5697" s="211">
        <f>'IWP17'!G$553</f>
        <v>0</v>
      </c>
      <c r="E5697" s="211">
        <f>'IWP17'!H$553</f>
        <v>0</v>
      </c>
      <c r="F5697" s="211">
        <f>'IWP17'!I$553</f>
        <v>0</v>
      </c>
      <c r="G5697" s="191" t="str">
        <f>IF('IWP17'!J$553=0,"",'IWP17'!J$553)</f>
        <v/>
      </c>
      <c r="H5697" s="211">
        <f>'IWP17'!K$553</f>
        <v>0</v>
      </c>
      <c r="I5697" s="211">
        <f>'IWP17'!L$553</f>
        <v>0</v>
      </c>
      <c r="J5697" s="212">
        <f>'IWP17'!M$553</f>
        <v>0</v>
      </c>
      <c r="K5697" s="106"/>
      <c r="L5697" s="106"/>
      <c r="M5697" s="129"/>
    </row>
    <row r="5698" spans="1:13" s="146" customFormat="1">
      <c r="A5698" s="193" t="s">
        <v>515</v>
      </c>
      <c r="B5698" s="210">
        <v>13</v>
      </c>
      <c r="C5698" s="191" t="str">
        <f>IF('IWP17'!E$554=0,"",'IWP17'!E$554)</f>
        <v/>
      </c>
      <c r="D5698" s="211">
        <f>'IWP17'!G$554</f>
        <v>0</v>
      </c>
      <c r="E5698" s="211">
        <f>'IWP17'!H$554</f>
        <v>0</v>
      </c>
      <c r="F5698" s="211">
        <f>'IWP17'!I$554</f>
        <v>0</v>
      </c>
      <c r="G5698" s="191" t="str">
        <f>IF('IWP17'!J$554=0,"",'IWP17'!J$554)</f>
        <v/>
      </c>
      <c r="H5698" s="211">
        <f>'IWP17'!K$554</f>
        <v>0</v>
      </c>
      <c r="I5698" s="211">
        <f>'IWP17'!L$554</f>
        <v>0</v>
      </c>
      <c r="J5698" s="212">
        <f>'IWP17'!M$554</f>
        <v>0</v>
      </c>
      <c r="K5698" s="106"/>
      <c r="L5698" s="106"/>
      <c r="M5698" s="129"/>
    </row>
    <row r="5699" spans="1:13" s="146" customFormat="1">
      <c r="A5699" s="193" t="s">
        <v>515</v>
      </c>
      <c r="B5699" s="210">
        <v>13</v>
      </c>
      <c r="C5699" s="191" t="str">
        <f>IF('IWP17'!E$555=0,"",'IWP17'!E$555)</f>
        <v/>
      </c>
      <c r="D5699" s="211">
        <f>'IWP17'!G$555</f>
        <v>0</v>
      </c>
      <c r="E5699" s="211">
        <f>'IWP17'!H$555</f>
        <v>0</v>
      </c>
      <c r="F5699" s="211">
        <f>'IWP17'!I$555</f>
        <v>0</v>
      </c>
      <c r="G5699" s="191" t="str">
        <f>IF('IWP17'!J$555=0,"",'IWP17'!J$555)</f>
        <v/>
      </c>
      <c r="H5699" s="211">
        <f>'IWP17'!K$555</f>
        <v>0</v>
      </c>
      <c r="I5699" s="211">
        <f>'IWP17'!L$555</f>
        <v>0</v>
      </c>
      <c r="J5699" s="212">
        <f>'IWP17'!M$555</f>
        <v>0</v>
      </c>
      <c r="K5699" s="106"/>
      <c r="L5699" s="106"/>
      <c r="M5699" s="129"/>
    </row>
    <row r="5700" spans="1:13" s="146" customFormat="1">
      <c r="A5700" s="193" t="s">
        <v>515</v>
      </c>
      <c r="B5700" s="210">
        <v>13</v>
      </c>
      <c r="C5700" s="191" t="str">
        <f>IF('IWP17'!E$556=0,"",'IWP17'!E$556)</f>
        <v/>
      </c>
      <c r="D5700" s="211">
        <f>'IWP17'!G$556</f>
        <v>0</v>
      </c>
      <c r="E5700" s="211">
        <f>'IWP17'!H$556</f>
        <v>0</v>
      </c>
      <c r="F5700" s="211">
        <f>'IWP17'!I$556</f>
        <v>0</v>
      </c>
      <c r="G5700" s="191" t="str">
        <f>IF('IWP17'!J$556=0,"",'IWP17'!J$556)</f>
        <v/>
      </c>
      <c r="H5700" s="211">
        <f>'IWP17'!K$556</f>
        <v>0</v>
      </c>
      <c r="I5700" s="211">
        <f>'IWP17'!L$556</f>
        <v>0</v>
      </c>
      <c r="J5700" s="212">
        <f>'IWP17'!M$556</f>
        <v>0</v>
      </c>
      <c r="K5700" s="106"/>
      <c r="L5700" s="106"/>
      <c r="M5700" s="129"/>
    </row>
    <row r="5701" spans="1:13" s="146" customFormat="1">
      <c r="A5701" s="193" t="s">
        <v>515</v>
      </c>
      <c r="B5701" s="210">
        <v>14</v>
      </c>
      <c r="C5701" s="191" t="str">
        <f>IF('IWP17'!E$563=0,"",'IWP17'!E$563)</f>
        <v>Subtotal column D.</v>
      </c>
      <c r="D5701" s="211">
        <f>'IWP17'!G$563</f>
        <v>0</v>
      </c>
      <c r="E5701" s="211">
        <f>'IWP17'!H$563</f>
        <v>0</v>
      </c>
      <c r="F5701" s="211">
        <f>'IWP17'!I$563</f>
        <v>0</v>
      </c>
      <c r="G5701" s="191" t="str">
        <f>IF('IWP17'!J$563=0,"",'IWP17'!J$563)</f>
        <v/>
      </c>
      <c r="H5701" s="211">
        <f>'IWP17'!K$563</f>
        <v>0</v>
      </c>
      <c r="I5701" s="211">
        <f>'IWP17'!L$563</f>
        <v>0</v>
      </c>
      <c r="J5701" s="212">
        <f>'IWP17'!M$563</f>
        <v>0</v>
      </c>
      <c r="K5701" s="106"/>
      <c r="L5701" s="106"/>
      <c r="M5701" s="129"/>
    </row>
    <row r="5702" spans="1:13" s="146" customFormat="1">
      <c r="A5702" s="193" t="s">
        <v>515</v>
      </c>
      <c r="B5702" s="210">
        <v>14</v>
      </c>
      <c r="C5702" s="191" t="str">
        <f>IF('IWP17'!E$564=0,"",'IWP17'!E$564)</f>
        <v>Unverified/Undocumented (Subtotal D - C)</v>
      </c>
      <c r="D5702" s="211">
        <f>'IWP17'!G$564</f>
        <v>0</v>
      </c>
      <c r="E5702" s="211">
        <f>'IWP17'!H$564</f>
        <v>0</v>
      </c>
      <c r="F5702" s="211">
        <f>'IWP17'!I$564</f>
        <v>0</v>
      </c>
      <c r="G5702" s="191" t="str">
        <f>IF('IWP17'!J$564=0,"",'IWP17'!J$564)</f>
        <v/>
      </c>
      <c r="H5702" s="211">
        <f>'IWP17'!K$564</f>
        <v>0</v>
      </c>
      <c r="I5702" s="211">
        <f>'IWP17'!L$564</f>
        <v>0</v>
      </c>
      <c r="J5702" s="212">
        <f>'IWP17'!M$564</f>
        <v>0</v>
      </c>
      <c r="K5702" s="106"/>
      <c r="L5702" s="106"/>
      <c r="M5702" s="129"/>
    </row>
    <row r="5703" spans="1:13" s="146" customFormat="1">
      <c r="A5703" s="193" t="s">
        <v>515</v>
      </c>
      <c r="B5703" s="210">
        <v>14</v>
      </c>
      <c r="C5703" s="191" t="str">
        <f>IF('IWP17'!E$565=0,"",'IWP17'!E$565)</f>
        <v>J. Billing Period Total</v>
      </c>
      <c r="D5703" s="211">
        <f>'IWP17'!G$565</f>
        <v>0</v>
      </c>
      <c r="E5703" s="211">
        <f>'IWP17'!H$565</f>
        <v>0</v>
      </c>
      <c r="F5703" s="211">
        <f>'IWP17'!I$565</f>
        <v>0</v>
      </c>
      <c r="G5703" s="191" t="str">
        <f>IF('IWP17'!J$565=0,"",'IWP17'!J$565)</f>
        <v/>
      </c>
      <c r="H5703" s="211">
        <f>'IWP17'!K$565</f>
        <v>0</v>
      </c>
      <c r="I5703" s="211">
        <f>'IWP17'!L$565</f>
        <v>0</v>
      </c>
      <c r="J5703" s="212">
        <f>'IWP17'!M$565</f>
        <v>0</v>
      </c>
      <c r="K5703" s="106"/>
      <c r="L5703" s="106"/>
      <c r="M5703" s="129"/>
    </row>
    <row r="5704" spans="1:13" s="146" customFormat="1">
      <c r="A5704" s="193" t="s">
        <v>515</v>
      </c>
      <c r="B5704" s="210">
        <v>14</v>
      </c>
      <c r="C5704" s="191" t="str">
        <f>IF('IWP17'!E$566=0,"",'IWP17'!E$566)</f>
        <v>D.</v>
      </c>
      <c r="D5704" s="211">
        <f>'IWP17'!G$566</f>
        <v>0</v>
      </c>
      <c r="E5704" s="211" t="str">
        <f>'IWP17'!H$566</f>
        <v>E.</v>
      </c>
      <c r="F5704" s="211" t="str">
        <f>'IWP17'!I$566</f>
        <v>F.</v>
      </c>
      <c r="G5704" s="191" t="str">
        <f>IF('IWP17'!J$566=0,"",'IWP17'!J$566)</f>
        <v>G.</v>
      </c>
      <c r="H5704" s="211">
        <f>'IWP17'!K$566</f>
        <v>0</v>
      </c>
      <c r="I5704" s="211" t="str">
        <f>'IWP17'!L$566</f>
        <v>H.</v>
      </c>
      <c r="J5704" s="212" t="str">
        <f>'IWP17'!M$566</f>
        <v>I.</v>
      </c>
      <c r="K5704" s="106"/>
      <c r="L5704" s="106"/>
      <c r="M5704" s="129"/>
    </row>
    <row r="5705" spans="1:13" s="146" customFormat="1">
      <c r="A5705" s="193" t="s">
        <v>515</v>
      </c>
      <c r="B5705" s="210">
        <v>14</v>
      </c>
      <c r="C5705" s="191" t="str">
        <f>IF('IWP17'!E$567=0,"",'IWP17'!E$567)</f>
        <v xml:space="preserve">Items/Services Related to Billing Period </v>
      </c>
      <c r="D5705" s="211">
        <f>'IWP17'!G$567</f>
        <v>0</v>
      </c>
      <c r="E5705" s="211" t="str">
        <f>'IWP17'!H$567</f>
        <v xml:space="preserve">Item/
Service Verified Amounts
</v>
      </c>
      <c r="F5705" s="211" t="str">
        <f>'IWP17'!I$567</f>
        <v>Amount Due to DADS (E. - D.)</v>
      </c>
      <c r="G5705" s="191" t="str">
        <f>IF('IWP17'!J$567=0,"",'IWP17'!J$567)</f>
        <v>Amount Reimbursed to 
Employee(s)/Employer</v>
      </c>
      <c r="H5705" s="211">
        <f>'IWP17'!K$567</f>
        <v>0</v>
      </c>
      <c r="I5705" s="211" t="str">
        <f>'IWP17'!L$567</f>
        <v>Amount Due to Employee(s) (G. - E.)</v>
      </c>
      <c r="J5705" s="212" t="str">
        <f>'IWP17'!M$567</f>
        <v>Amount Due to Employer (G. - E.)</v>
      </c>
      <c r="K5705" s="106"/>
      <c r="L5705" s="106"/>
      <c r="M5705" s="129"/>
    </row>
    <row r="5706" spans="1:13" s="146" customFormat="1">
      <c r="A5706" s="193" t="s">
        <v>515</v>
      </c>
      <c r="B5706" s="210">
        <v>14</v>
      </c>
      <c r="C5706" s="191" t="str">
        <f>IF('IWP17'!E$568=0,"",'IWP17'!E$568)</f>
        <v>Item/Service</v>
      </c>
      <c r="D5706" s="211" t="str">
        <f>'IWP17'!G$568</f>
        <v>Itemized Amount Paid by DADS</v>
      </c>
      <c r="E5706" s="211">
        <f>'IWP17'!H$568</f>
        <v>0</v>
      </c>
      <c r="F5706" s="211">
        <f>'IWP17'!I$568</f>
        <v>0</v>
      </c>
      <c r="G5706" s="191" t="str">
        <f>IF('IWP17'!J$568=0,"",'IWP17'!J$568)</f>
        <v/>
      </c>
      <c r="H5706" s="211">
        <f>'IWP17'!K$568</f>
        <v>0</v>
      </c>
      <c r="I5706" s="211">
        <f>'IWP17'!L$568</f>
        <v>0</v>
      </c>
      <c r="J5706" s="212">
        <f>'IWP17'!M$568</f>
        <v>0</v>
      </c>
      <c r="K5706" s="106"/>
      <c r="L5706" s="106"/>
      <c r="M5706" s="129"/>
    </row>
    <row r="5707" spans="1:13" s="146" customFormat="1">
      <c r="A5707" s="193" t="s">
        <v>515</v>
      </c>
      <c r="B5707" s="210">
        <v>14</v>
      </c>
      <c r="C5707" s="191" t="str">
        <f>IF('IWP17'!E$569=0,"",'IWP17'!E$569)</f>
        <v/>
      </c>
      <c r="D5707" s="211">
        <f>'IWP17'!G$569</f>
        <v>0</v>
      </c>
      <c r="E5707" s="211">
        <f>'IWP17'!H$569</f>
        <v>0</v>
      </c>
      <c r="F5707" s="211">
        <f>'IWP17'!I$569</f>
        <v>0</v>
      </c>
      <c r="G5707" s="191" t="str">
        <f>IF('IWP17'!J$569=0,"",'IWP17'!J$569)</f>
        <v/>
      </c>
      <c r="H5707" s="211">
        <f>'IWP17'!K$569</f>
        <v>0</v>
      </c>
      <c r="I5707" s="211">
        <f>'IWP17'!L$569</f>
        <v>0</v>
      </c>
      <c r="J5707" s="212">
        <f>'IWP17'!M$569</f>
        <v>0</v>
      </c>
      <c r="K5707" s="106"/>
      <c r="L5707" s="106"/>
      <c r="M5707" s="129"/>
    </row>
    <row r="5708" spans="1:13" s="146" customFormat="1">
      <c r="A5708" s="193" t="s">
        <v>515</v>
      </c>
      <c r="B5708" s="210">
        <v>14</v>
      </c>
      <c r="C5708" s="191" t="str">
        <f>IF('IWP17'!E$570=0,"",'IWP17'!E$570)</f>
        <v/>
      </c>
      <c r="D5708" s="211">
        <f>'IWP17'!G$570</f>
        <v>0</v>
      </c>
      <c r="E5708" s="211">
        <f>'IWP17'!H$570</f>
        <v>0</v>
      </c>
      <c r="F5708" s="211">
        <f>'IWP17'!I$570</f>
        <v>0</v>
      </c>
      <c r="G5708" s="191" t="str">
        <f>IF('IWP17'!J$570=0,"",'IWP17'!J$570)</f>
        <v/>
      </c>
      <c r="H5708" s="211">
        <f>'IWP17'!K$570</f>
        <v>0</v>
      </c>
      <c r="I5708" s="211">
        <f>'IWP17'!L$570</f>
        <v>0</v>
      </c>
      <c r="J5708" s="212">
        <f>'IWP17'!M$570</f>
        <v>0</v>
      </c>
      <c r="K5708" s="106"/>
      <c r="L5708" s="106"/>
      <c r="M5708" s="129"/>
    </row>
    <row r="5709" spans="1:13" s="146" customFormat="1">
      <c r="A5709" s="193" t="s">
        <v>515</v>
      </c>
      <c r="B5709" s="210">
        <v>14</v>
      </c>
      <c r="C5709" s="191" t="str">
        <f>IF('IWP17'!E$571=0,"",'IWP17'!E$571)</f>
        <v/>
      </c>
      <c r="D5709" s="211">
        <f>'IWP17'!G$571</f>
        <v>0</v>
      </c>
      <c r="E5709" s="211">
        <f>'IWP17'!H$571</f>
        <v>0</v>
      </c>
      <c r="F5709" s="211">
        <f>'IWP17'!I$571</f>
        <v>0</v>
      </c>
      <c r="G5709" s="191" t="str">
        <f>IF('IWP17'!J$571=0,"",'IWP17'!J$571)</f>
        <v/>
      </c>
      <c r="H5709" s="211">
        <f>'IWP17'!K$571</f>
        <v>0</v>
      </c>
      <c r="I5709" s="211">
        <f>'IWP17'!L$571</f>
        <v>0</v>
      </c>
      <c r="J5709" s="212">
        <f>'IWP17'!M$571</f>
        <v>0</v>
      </c>
      <c r="K5709" s="106"/>
      <c r="L5709" s="106"/>
      <c r="M5709" s="129"/>
    </row>
    <row r="5710" spans="1:13" s="146" customFormat="1">
      <c r="A5710" s="193" t="s">
        <v>515</v>
      </c>
      <c r="B5710" s="210">
        <v>14</v>
      </c>
      <c r="C5710" s="191" t="str">
        <f>IF('IWP17'!E$572=0,"",'IWP17'!E$572)</f>
        <v/>
      </c>
      <c r="D5710" s="211">
        <f>'IWP17'!G$572</f>
        <v>0</v>
      </c>
      <c r="E5710" s="211">
        <f>'IWP17'!H$572</f>
        <v>0</v>
      </c>
      <c r="F5710" s="211">
        <f>'IWP17'!I$572</f>
        <v>0</v>
      </c>
      <c r="G5710" s="191" t="str">
        <f>IF('IWP17'!J$572=0,"",'IWP17'!J$572)</f>
        <v/>
      </c>
      <c r="H5710" s="211">
        <f>'IWP17'!K$572</f>
        <v>0</v>
      </c>
      <c r="I5710" s="211">
        <f>'IWP17'!L$572</f>
        <v>0</v>
      </c>
      <c r="J5710" s="212">
        <f>'IWP17'!M$572</f>
        <v>0</v>
      </c>
      <c r="K5710" s="106"/>
      <c r="L5710" s="106"/>
      <c r="M5710" s="129"/>
    </row>
    <row r="5711" spans="1:13" s="146" customFormat="1">
      <c r="A5711" s="193" t="s">
        <v>515</v>
      </c>
      <c r="B5711" s="210">
        <v>15</v>
      </c>
      <c r="C5711" s="191" t="str">
        <f>IF('IWP17'!E$579=0,"",'IWP17'!E$579)</f>
        <v>Subtotal column D.</v>
      </c>
      <c r="D5711" s="211">
        <f>'IWP17'!G$579</f>
        <v>0</v>
      </c>
      <c r="E5711" s="211">
        <f>'IWP17'!H$579</f>
        <v>0</v>
      </c>
      <c r="F5711" s="211">
        <f>'IWP17'!I$579</f>
        <v>0</v>
      </c>
      <c r="G5711" s="191" t="str">
        <f>IF('IWP17'!J$579=0,"",'IWP17'!J$579)</f>
        <v/>
      </c>
      <c r="H5711" s="211">
        <f>'IWP17'!K$579</f>
        <v>0</v>
      </c>
      <c r="I5711" s="211">
        <f>'IWP17'!L$579</f>
        <v>0</v>
      </c>
      <c r="J5711" s="212">
        <f>'IWP17'!M$579</f>
        <v>0</v>
      </c>
      <c r="K5711" s="106"/>
      <c r="L5711" s="106"/>
      <c r="M5711" s="129"/>
    </row>
    <row r="5712" spans="1:13" s="146" customFormat="1">
      <c r="A5712" s="193" t="s">
        <v>515</v>
      </c>
      <c r="B5712" s="210">
        <v>15</v>
      </c>
      <c r="C5712" s="191" t="str">
        <f>IF('IWP17'!E$580=0,"",'IWP17'!E$580)</f>
        <v>Unverified/Undocumented (Subtotal D - C)</v>
      </c>
      <c r="D5712" s="211">
        <f>'IWP17'!G$580</f>
        <v>0</v>
      </c>
      <c r="E5712" s="211">
        <f>'IWP17'!H$580</f>
        <v>0</v>
      </c>
      <c r="F5712" s="211">
        <f>'IWP17'!I$580</f>
        <v>0</v>
      </c>
      <c r="G5712" s="191" t="str">
        <f>IF('IWP17'!J$580=0,"",'IWP17'!J$580)</f>
        <v/>
      </c>
      <c r="H5712" s="211">
        <f>'IWP17'!K$580</f>
        <v>0</v>
      </c>
      <c r="I5712" s="211">
        <f>'IWP17'!L$580</f>
        <v>0</v>
      </c>
      <c r="J5712" s="212">
        <f>'IWP17'!M$580</f>
        <v>0</v>
      </c>
      <c r="K5712" s="106"/>
      <c r="L5712" s="106"/>
      <c r="M5712" s="129"/>
    </row>
    <row r="5713" spans="1:13" s="146" customFormat="1">
      <c r="A5713" s="193" t="s">
        <v>515</v>
      </c>
      <c r="B5713" s="210">
        <v>15</v>
      </c>
      <c r="C5713" s="191" t="str">
        <f>IF('IWP17'!E$581=0,"",'IWP17'!E$581)</f>
        <v>J. Billing Period Total</v>
      </c>
      <c r="D5713" s="211">
        <f>'IWP17'!G$581</f>
        <v>0</v>
      </c>
      <c r="E5713" s="211">
        <f>'IWP17'!H$581</f>
        <v>0</v>
      </c>
      <c r="F5713" s="211">
        <f>'IWP17'!I$581</f>
        <v>0</v>
      </c>
      <c r="G5713" s="191" t="str">
        <f>IF('IWP17'!J$581=0,"",'IWP17'!J$581)</f>
        <v/>
      </c>
      <c r="H5713" s="211">
        <f>'IWP17'!K$581</f>
        <v>0</v>
      </c>
      <c r="I5713" s="211">
        <f>'IWP17'!L$581</f>
        <v>0</v>
      </c>
      <c r="J5713" s="212">
        <f>'IWP17'!M$581</f>
        <v>0</v>
      </c>
      <c r="K5713" s="106"/>
      <c r="L5713" s="106"/>
      <c r="M5713" s="129"/>
    </row>
    <row r="5714" spans="1:13" s="146" customFormat="1">
      <c r="A5714" s="193" t="s">
        <v>515</v>
      </c>
      <c r="B5714" s="210">
        <v>15</v>
      </c>
      <c r="C5714" s="191" t="str">
        <f>IF('IWP17'!E$582=0,"",'IWP17'!E$582)</f>
        <v>D.</v>
      </c>
      <c r="D5714" s="211">
        <f>'IWP17'!G$582</f>
        <v>0</v>
      </c>
      <c r="E5714" s="211" t="str">
        <f>'IWP17'!H$582</f>
        <v>E.</v>
      </c>
      <c r="F5714" s="211" t="str">
        <f>'IWP17'!I$582</f>
        <v>F.</v>
      </c>
      <c r="G5714" s="191" t="str">
        <f>IF('IWP17'!J$582=0,"",'IWP17'!J$582)</f>
        <v>G.</v>
      </c>
      <c r="H5714" s="211">
        <f>'IWP17'!K$582</f>
        <v>0</v>
      </c>
      <c r="I5714" s="211" t="str">
        <f>'IWP17'!L$582</f>
        <v>H.</v>
      </c>
      <c r="J5714" s="212" t="str">
        <f>'IWP17'!M$582</f>
        <v>I.</v>
      </c>
      <c r="K5714" s="106"/>
      <c r="L5714" s="106"/>
      <c r="M5714" s="129"/>
    </row>
    <row r="5715" spans="1:13" s="146" customFormat="1">
      <c r="A5715" s="193" t="s">
        <v>515</v>
      </c>
      <c r="B5715" s="210">
        <v>15</v>
      </c>
      <c r="C5715" s="191" t="str">
        <f>IF('IWP17'!E$583=0,"",'IWP17'!E$583)</f>
        <v xml:space="preserve">Items/Services Related to Billing Period </v>
      </c>
      <c r="D5715" s="211">
        <f>'IWP17'!G$583</f>
        <v>0</v>
      </c>
      <c r="E5715" s="211" t="str">
        <f>'IWP17'!H$583</f>
        <v xml:space="preserve">Item/
Service Verified Amounts
</v>
      </c>
      <c r="F5715" s="211" t="str">
        <f>'IWP17'!I$583</f>
        <v>Amount Due to DADS (E. - D.)</v>
      </c>
      <c r="G5715" s="191" t="str">
        <f>IF('IWP17'!J$583=0,"",'IWP17'!J$583)</f>
        <v>Amount Reimbursed to 
Employee(s)/Employer</v>
      </c>
      <c r="H5715" s="211">
        <f>'IWP17'!K$583</f>
        <v>0</v>
      </c>
      <c r="I5715" s="211" t="str">
        <f>'IWP17'!L$583</f>
        <v>Amount Due to Employee(s) (G. - E.)</v>
      </c>
      <c r="J5715" s="212" t="str">
        <f>'IWP17'!M$583</f>
        <v>Amount Due to Employer (G. - E.)</v>
      </c>
      <c r="K5715" s="106"/>
      <c r="L5715" s="106"/>
      <c r="M5715" s="129"/>
    </row>
    <row r="5716" spans="1:13" s="146" customFormat="1">
      <c r="A5716" s="193" t="s">
        <v>515</v>
      </c>
      <c r="B5716" s="210">
        <v>15</v>
      </c>
      <c r="C5716" s="191" t="str">
        <f>IF('IWP17'!E$584=0,"",'IWP17'!E$584)</f>
        <v>Item/Service</v>
      </c>
      <c r="D5716" s="211" t="str">
        <f>'IWP17'!G$584</f>
        <v>Itemized Amount Paid by DADS</v>
      </c>
      <c r="E5716" s="211">
        <f>'IWP17'!H$584</f>
        <v>0</v>
      </c>
      <c r="F5716" s="211">
        <f>'IWP17'!I$584</f>
        <v>0</v>
      </c>
      <c r="G5716" s="191" t="str">
        <f>IF('IWP17'!J$584=0,"",'IWP17'!J$584)</f>
        <v/>
      </c>
      <c r="H5716" s="211">
        <f>'IWP17'!K$584</f>
        <v>0</v>
      </c>
      <c r="I5716" s="211">
        <f>'IWP17'!L$584</f>
        <v>0</v>
      </c>
      <c r="J5716" s="212">
        <f>'IWP17'!M$584</f>
        <v>0</v>
      </c>
      <c r="K5716" s="106"/>
      <c r="L5716" s="106"/>
      <c r="M5716" s="129"/>
    </row>
    <row r="5717" spans="1:13" s="146" customFormat="1">
      <c r="A5717" s="193" t="s">
        <v>515</v>
      </c>
      <c r="B5717" s="210">
        <v>15</v>
      </c>
      <c r="C5717" s="191" t="str">
        <f>IF('IWP17'!E$585=0,"",'IWP17'!E$585)</f>
        <v/>
      </c>
      <c r="D5717" s="211">
        <f>'IWP17'!G$585</f>
        <v>0</v>
      </c>
      <c r="E5717" s="211">
        <f>'IWP17'!H$585</f>
        <v>0</v>
      </c>
      <c r="F5717" s="211">
        <f>'IWP17'!I$585</f>
        <v>0</v>
      </c>
      <c r="G5717" s="191" t="str">
        <f>IF('IWP17'!J$585=0,"",'IWP17'!J$585)</f>
        <v/>
      </c>
      <c r="H5717" s="211">
        <f>'IWP17'!K$585</f>
        <v>0</v>
      </c>
      <c r="I5717" s="211">
        <f>'IWP17'!L$585</f>
        <v>0</v>
      </c>
      <c r="J5717" s="212">
        <f>'IWP17'!M$585</f>
        <v>0</v>
      </c>
      <c r="K5717" s="106"/>
      <c r="L5717" s="106"/>
      <c r="M5717" s="129"/>
    </row>
    <row r="5718" spans="1:13" s="146" customFormat="1">
      <c r="A5718" s="193" t="s">
        <v>515</v>
      </c>
      <c r="B5718" s="210">
        <v>15</v>
      </c>
      <c r="C5718" s="191" t="str">
        <f>IF('IWP17'!E$586=0,"",'IWP17'!E$586)</f>
        <v/>
      </c>
      <c r="D5718" s="211">
        <f>'IWP17'!G$586</f>
        <v>0</v>
      </c>
      <c r="E5718" s="211">
        <f>'IWP17'!H$586</f>
        <v>0</v>
      </c>
      <c r="F5718" s="211">
        <f>'IWP17'!I$586</f>
        <v>0</v>
      </c>
      <c r="G5718" s="191" t="str">
        <f>IF('IWP17'!J$586=0,"",'IWP17'!J$586)</f>
        <v/>
      </c>
      <c r="H5718" s="211">
        <f>'IWP17'!K$586</f>
        <v>0</v>
      </c>
      <c r="I5718" s="211">
        <f>'IWP17'!L$586</f>
        <v>0</v>
      </c>
      <c r="J5718" s="212">
        <f>'IWP17'!M$586</f>
        <v>0</v>
      </c>
      <c r="K5718" s="106"/>
      <c r="L5718" s="106"/>
      <c r="M5718" s="129"/>
    </row>
    <row r="5719" spans="1:13" s="146" customFormat="1">
      <c r="A5719" s="193" t="s">
        <v>515</v>
      </c>
      <c r="B5719" s="210">
        <v>15</v>
      </c>
      <c r="C5719" s="191" t="str">
        <f>IF('IWP17'!E$587=0,"",'IWP17'!E$587)</f>
        <v/>
      </c>
      <c r="D5719" s="211">
        <f>'IWP17'!G$587</f>
        <v>0</v>
      </c>
      <c r="E5719" s="211">
        <f>'IWP17'!H$587</f>
        <v>0</v>
      </c>
      <c r="F5719" s="211">
        <f>'IWP17'!I$587</f>
        <v>0</v>
      </c>
      <c r="G5719" s="191" t="str">
        <f>IF('IWP17'!J$587=0,"",'IWP17'!J$587)</f>
        <v/>
      </c>
      <c r="H5719" s="211">
        <f>'IWP17'!K$587</f>
        <v>0</v>
      </c>
      <c r="I5719" s="211">
        <f>'IWP17'!L$587</f>
        <v>0</v>
      </c>
      <c r="J5719" s="212">
        <f>'IWP17'!M$587</f>
        <v>0</v>
      </c>
      <c r="K5719" s="106"/>
      <c r="L5719" s="106"/>
      <c r="M5719" s="129"/>
    </row>
    <row r="5720" spans="1:13" s="146" customFormat="1">
      <c r="A5720" s="193" t="s">
        <v>515</v>
      </c>
      <c r="B5720" s="210">
        <v>15</v>
      </c>
      <c r="C5720" s="191" t="str">
        <f>IF('IWP17'!E$588=0,"",'IWP17'!E$588)</f>
        <v/>
      </c>
      <c r="D5720" s="211">
        <f>'IWP17'!G$588</f>
        <v>0</v>
      </c>
      <c r="E5720" s="211">
        <f>'IWP17'!H$588</f>
        <v>0</v>
      </c>
      <c r="F5720" s="211">
        <f>'IWP17'!I$588</f>
        <v>0</v>
      </c>
      <c r="G5720" s="191" t="str">
        <f>IF('IWP17'!J$588=0,"",'IWP17'!J$588)</f>
        <v/>
      </c>
      <c r="H5720" s="211">
        <f>'IWP17'!K$588</f>
        <v>0</v>
      </c>
      <c r="I5720" s="211">
        <f>'IWP17'!L$588</f>
        <v>0</v>
      </c>
      <c r="J5720" s="212">
        <f>'IWP17'!M$588</f>
        <v>0</v>
      </c>
      <c r="K5720" s="106"/>
      <c r="L5720" s="106"/>
      <c r="M5720" s="129"/>
    </row>
    <row r="5721" spans="1:13" s="146" customFormat="1">
      <c r="A5721" s="193" t="s">
        <v>515</v>
      </c>
      <c r="B5721" s="210">
        <v>16</v>
      </c>
      <c r="C5721" s="191" t="str">
        <f>IF('IWP17'!E$595=0,"",'IWP17'!E$595)</f>
        <v>Subtotal column D.</v>
      </c>
      <c r="D5721" s="211">
        <f>'IWP17'!G$595</f>
        <v>0</v>
      </c>
      <c r="E5721" s="211">
        <f>'IWP17'!H$595</f>
        <v>0</v>
      </c>
      <c r="F5721" s="211">
        <f>'IWP17'!I$595</f>
        <v>0</v>
      </c>
      <c r="G5721" s="191" t="str">
        <f>IF('IWP17'!J$595=0,"",'IWP17'!J$595)</f>
        <v/>
      </c>
      <c r="H5721" s="211">
        <f>'IWP17'!K$595</f>
        <v>0</v>
      </c>
      <c r="I5721" s="211">
        <f>'IWP17'!L$595</f>
        <v>0</v>
      </c>
      <c r="J5721" s="212">
        <f>'IWP17'!M$595</f>
        <v>0</v>
      </c>
      <c r="K5721" s="106"/>
      <c r="L5721" s="106"/>
      <c r="M5721" s="129"/>
    </row>
    <row r="5722" spans="1:13" s="146" customFormat="1">
      <c r="A5722" s="193" t="s">
        <v>515</v>
      </c>
      <c r="B5722" s="210">
        <v>16</v>
      </c>
      <c r="C5722" s="191" t="str">
        <f>IF('IWP17'!E$596=0,"",'IWP17'!E$596)</f>
        <v>Unverified/Undocumented (Subtotal D - C)</v>
      </c>
      <c r="D5722" s="211">
        <f>'IWP17'!G$596</f>
        <v>0</v>
      </c>
      <c r="E5722" s="211">
        <f>'IWP17'!H$596</f>
        <v>0</v>
      </c>
      <c r="F5722" s="211">
        <f>'IWP17'!I$596</f>
        <v>0</v>
      </c>
      <c r="G5722" s="191" t="str">
        <f>IF('IWP17'!J$596=0,"",'IWP17'!J$596)</f>
        <v/>
      </c>
      <c r="H5722" s="211">
        <f>'IWP17'!K$596</f>
        <v>0</v>
      </c>
      <c r="I5722" s="211">
        <f>'IWP17'!L$596</f>
        <v>0</v>
      </c>
      <c r="J5722" s="212">
        <f>'IWP17'!M$596</f>
        <v>0</v>
      </c>
      <c r="K5722" s="106"/>
      <c r="L5722" s="106"/>
      <c r="M5722" s="129"/>
    </row>
    <row r="5723" spans="1:13" s="146" customFormat="1">
      <c r="A5723" s="193" t="s">
        <v>515</v>
      </c>
      <c r="B5723" s="210">
        <v>16</v>
      </c>
      <c r="C5723" s="191" t="str">
        <f>IF('IWP17'!E$597=0,"",'IWP17'!E$597)</f>
        <v>J. Billing Period Total</v>
      </c>
      <c r="D5723" s="211">
        <f>'IWP17'!G$597</f>
        <v>0</v>
      </c>
      <c r="E5723" s="211">
        <f>'IWP17'!H$597</f>
        <v>0</v>
      </c>
      <c r="F5723" s="211">
        <f>'IWP17'!I$597</f>
        <v>0</v>
      </c>
      <c r="G5723" s="191" t="str">
        <f>IF('IWP17'!J$597=0,"",'IWP17'!J$597)</f>
        <v/>
      </c>
      <c r="H5723" s="211">
        <f>'IWP17'!K$597</f>
        <v>0</v>
      </c>
      <c r="I5723" s="211">
        <f>'IWP17'!L$597</f>
        <v>0</v>
      </c>
      <c r="J5723" s="212">
        <f>'IWP17'!M$597</f>
        <v>0</v>
      </c>
      <c r="K5723" s="106"/>
      <c r="L5723" s="106"/>
      <c r="M5723" s="129"/>
    </row>
    <row r="5724" spans="1:13" s="146" customFormat="1">
      <c r="A5724" s="193" t="s">
        <v>515</v>
      </c>
      <c r="B5724" s="210">
        <v>16</v>
      </c>
      <c r="C5724" s="191" t="str">
        <f>IF('IWP17'!E$598=0,"",'IWP17'!E$598)</f>
        <v>D.</v>
      </c>
      <c r="D5724" s="211">
        <f>'IWP17'!G$598</f>
        <v>0</v>
      </c>
      <c r="E5724" s="211" t="str">
        <f>'IWP17'!H$598</f>
        <v>E.</v>
      </c>
      <c r="F5724" s="211" t="str">
        <f>'IWP17'!I$598</f>
        <v>F.</v>
      </c>
      <c r="G5724" s="191" t="str">
        <f>IF('IWP17'!J$598=0,"",'IWP17'!J$598)</f>
        <v>G.</v>
      </c>
      <c r="H5724" s="211">
        <f>'IWP17'!K$598</f>
        <v>0</v>
      </c>
      <c r="I5724" s="211" t="str">
        <f>'IWP17'!L$598</f>
        <v>H.</v>
      </c>
      <c r="J5724" s="212" t="str">
        <f>'IWP17'!M$598</f>
        <v>I.</v>
      </c>
      <c r="K5724" s="106"/>
      <c r="L5724" s="106"/>
      <c r="M5724" s="129"/>
    </row>
    <row r="5725" spans="1:13" s="146" customFormat="1">
      <c r="A5725" s="193" t="s">
        <v>515</v>
      </c>
      <c r="B5725" s="210">
        <v>16</v>
      </c>
      <c r="C5725" s="191" t="str">
        <f>IF('IWP17'!E$599=0,"",'IWP17'!E$599)</f>
        <v xml:space="preserve">Items/Services Related to Billing Period </v>
      </c>
      <c r="D5725" s="211">
        <f>'IWP17'!G$599</f>
        <v>0</v>
      </c>
      <c r="E5725" s="211" t="str">
        <f>'IWP17'!H$599</f>
        <v xml:space="preserve">Item/
Service Verified Amounts
</v>
      </c>
      <c r="F5725" s="211" t="str">
        <f>'IWP17'!I$599</f>
        <v>Amount Due to DADS (E. - D.)</v>
      </c>
      <c r="G5725" s="191" t="str">
        <f>IF('IWP17'!J$599=0,"",'IWP17'!J$599)</f>
        <v>Amount Reimbursed to 
Employee(s)/Employer</v>
      </c>
      <c r="H5725" s="211">
        <f>'IWP17'!K$599</f>
        <v>0</v>
      </c>
      <c r="I5725" s="211" t="str">
        <f>'IWP17'!L$599</f>
        <v>Amount Due to Employee(s) (G. - E.)</v>
      </c>
      <c r="J5725" s="212" t="str">
        <f>'IWP17'!M$599</f>
        <v>Amount Due to Employer (G. - E.)</v>
      </c>
      <c r="K5725" s="106"/>
      <c r="L5725" s="106"/>
      <c r="M5725" s="129"/>
    </row>
    <row r="5726" spans="1:13" s="146" customFormat="1">
      <c r="A5726" s="193" t="s">
        <v>515</v>
      </c>
      <c r="B5726" s="210">
        <v>16</v>
      </c>
      <c r="C5726" s="191" t="str">
        <f>IF('IWP17'!E$600=0,"",'IWP17'!E$600)</f>
        <v>Item/Service</v>
      </c>
      <c r="D5726" s="211" t="str">
        <f>'IWP17'!G$600</f>
        <v>Itemized Amount Paid by DADS</v>
      </c>
      <c r="E5726" s="211">
        <f>'IWP17'!H$600</f>
        <v>0</v>
      </c>
      <c r="F5726" s="211">
        <f>'IWP17'!I$600</f>
        <v>0</v>
      </c>
      <c r="G5726" s="191" t="str">
        <f>IF('IWP17'!J$600=0,"",'IWP17'!J$600)</f>
        <v/>
      </c>
      <c r="H5726" s="211">
        <f>'IWP17'!K$600</f>
        <v>0</v>
      </c>
      <c r="I5726" s="211">
        <f>'IWP17'!L$600</f>
        <v>0</v>
      </c>
      <c r="J5726" s="212">
        <f>'IWP17'!M$600</f>
        <v>0</v>
      </c>
      <c r="K5726" s="106"/>
      <c r="L5726" s="106"/>
      <c r="M5726" s="129"/>
    </row>
    <row r="5727" spans="1:13" s="146" customFormat="1">
      <c r="A5727" s="193" t="s">
        <v>515</v>
      </c>
      <c r="B5727" s="210">
        <v>16</v>
      </c>
      <c r="C5727" s="191" t="str">
        <f>IF('IWP17'!E$601=0,"",'IWP17'!E$601)</f>
        <v/>
      </c>
      <c r="D5727" s="211">
        <f>'IWP17'!G$601</f>
        <v>0</v>
      </c>
      <c r="E5727" s="211">
        <f>'IWP17'!H$601</f>
        <v>0</v>
      </c>
      <c r="F5727" s="211">
        <f>'IWP17'!I$601</f>
        <v>0</v>
      </c>
      <c r="G5727" s="191" t="str">
        <f>IF('IWP17'!J$601=0,"",'IWP17'!J$601)</f>
        <v/>
      </c>
      <c r="H5727" s="211">
        <f>'IWP17'!K$601</f>
        <v>0</v>
      </c>
      <c r="I5727" s="211">
        <f>'IWP17'!L$601</f>
        <v>0</v>
      </c>
      <c r="J5727" s="212">
        <f>'IWP17'!M$601</f>
        <v>0</v>
      </c>
      <c r="K5727" s="106"/>
      <c r="L5727" s="106"/>
      <c r="M5727" s="129"/>
    </row>
    <row r="5728" spans="1:13" s="146" customFormat="1">
      <c r="A5728" s="193" t="s">
        <v>515</v>
      </c>
      <c r="B5728" s="210">
        <v>16</v>
      </c>
      <c r="C5728" s="191" t="str">
        <f>IF('IWP17'!E$602=0,"",'IWP17'!E$602)</f>
        <v/>
      </c>
      <c r="D5728" s="211">
        <f>'IWP17'!G$602</f>
        <v>0</v>
      </c>
      <c r="E5728" s="211">
        <f>'IWP17'!H$602</f>
        <v>0</v>
      </c>
      <c r="F5728" s="211">
        <f>'IWP17'!I$602</f>
        <v>0</v>
      </c>
      <c r="G5728" s="191" t="str">
        <f>IF('IWP17'!J$602=0,"",'IWP17'!J$602)</f>
        <v/>
      </c>
      <c r="H5728" s="211">
        <f>'IWP17'!K$602</f>
        <v>0</v>
      </c>
      <c r="I5728" s="211">
        <f>'IWP17'!L$602</f>
        <v>0</v>
      </c>
      <c r="J5728" s="212">
        <f>'IWP17'!M$602</f>
        <v>0</v>
      </c>
      <c r="K5728" s="106"/>
      <c r="L5728" s="106"/>
      <c r="M5728" s="129"/>
    </row>
    <row r="5729" spans="1:13" s="146" customFormat="1">
      <c r="A5729" s="193" t="s">
        <v>515</v>
      </c>
      <c r="B5729" s="210">
        <v>16</v>
      </c>
      <c r="C5729" s="191" t="str">
        <f>IF('IWP17'!E$603=0,"",'IWP17'!E$603)</f>
        <v/>
      </c>
      <c r="D5729" s="211">
        <f>'IWP17'!G$603</f>
        <v>0</v>
      </c>
      <c r="E5729" s="211">
        <f>'IWP17'!H$603</f>
        <v>0</v>
      </c>
      <c r="F5729" s="211">
        <f>'IWP17'!I$603</f>
        <v>0</v>
      </c>
      <c r="G5729" s="191" t="str">
        <f>IF('IWP17'!J$603=0,"",'IWP17'!J$603)</f>
        <v/>
      </c>
      <c r="H5729" s="211">
        <f>'IWP17'!K$603</f>
        <v>0</v>
      </c>
      <c r="I5729" s="211">
        <f>'IWP17'!L$603</f>
        <v>0</v>
      </c>
      <c r="J5729" s="212">
        <f>'IWP17'!M$603</f>
        <v>0</v>
      </c>
      <c r="K5729" s="106"/>
      <c r="L5729" s="106"/>
      <c r="M5729" s="129"/>
    </row>
    <row r="5730" spans="1:13" s="146" customFormat="1">
      <c r="A5730" s="193" t="s">
        <v>515</v>
      </c>
      <c r="B5730" s="210">
        <v>16</v>
      </c>
      <c r="C5730" s="191" t="str">
        <f>IF('IWP17'!E$604=0,"",'IWP17'!E$604)</f>
        <v/>
      </c>
      <c r="D5730" s="211">
        <f>'IWP17'!G$604</f>
        <v>0</v>
      </c>
      <c r="E5730" s="211">
        <f>'IWP17'!H$604</f>
        <v>0</v>
      </c>
      <c r="F5730" s="211">
        <f>'IWP17'!I$604</f>
        <v>0</v>
      </c>
      <c r="G5730" s="191" t="str">
        <f>IF('IWP17'!J$604=0,"",'IWP17'!J$604)</f>
        <v/>
      </c>
      <c r="H5730" s="211">
        <f>'IWP17'!K$604</f>
        <v>0</v>
      </c>
      <c r="I5730" s="211">
        <f>'IWP17'!L$604</f>
        <v>0</v>
      </c>
      <c r="J5730" s="212">
        <f>'IWP17'!M$604</f>
        <v>0</v>
      </c>
      <c r="K5730" s="106"/>
      <c r="L5730" s="106"/>
      <c r="M5730" s="129"/>
    </row>
    <row r="5731" spans="1:13" s="146" customFormat="1">
      <c r="A5731" s="193" t="s">
        <v>515</v>
      </c>
      <c r="B5731" s="210">
        <v>17</v>
      </c>
      <c r="C5731" s="191" t="str">
        <f>IF('IWP17'!E$611=0,"",'IWP17'!E$611)</f>
        <v>Subtotal column D.</v>
      </c>
      <c r="D5731" s="211">
        <f>'IWP17'!G$611</f>
        <v>0</v>
      </c>
      <c r="E5731" s="211">
        <f>'IWP17'!H$611</f>
        <v>0</v>
      </c>
      <c r="F5731" s="211">
        <f>'IWP17'!I$611</f>
        <v>0</v>
      </c>
      <c r="G5731" s="191" t="str">
        <f>IF('IWP17'!J$611=0,"",'IWP17'!J$611)</f>
        <v/>
      </c>
      <c r="H5731" s="211">
        <f>'IWP17'!K$611</f>
        <v>0</v>
      </c>
      <c r="I5731" s="211">
        <f>'IWP17'!L$611</f>
        <v>0</v>
      </c>
      <c r="J5731" s="212">
        <f>'IWP17'!M$611</f>
        <v>0</v>
      </c>
      <c r="K5731" s="106"/>
      <c r="L5731" s="106"/>
      <c r="M5731" s="129"/>
    </row>
    <row r="5732" spans="1:13" s="146" customFormat="1">
      <c r="A5732" s="193" t="s">
        <v>515</v>
      </c>
      <c r="B5732" s="210">
        <v>17</v>
      </c>
      <c r="C5732" s="191" t="str">
        <f>IF('IWP17'!E$612=0,"",'IWP17'!E$612)</f>
        <v>Unverified/Undocumented (Subtotal D - C)</v>
      </c>
      <c r="D5732" s="211">
        <f>'IWP17'!G$612</f>
        <v>0</v>
      </c>
      <c r="E5732" s="211">
        <f>'IWP17'!H$612</f>
        <v>0</v>
      </c>
      <c r="F5732" s="211">
        <f>'IWP17'!I$612</f>
        <v>0</v>
      </c>
      <c r="G5732" s="191" t="str">
        <f>IF('IWP17'!J$612=0,"",'IWP17'!J$612)</f>
        <v/>
      </c>
      <c r="H5732" s="211">
        <f>'IWP17'!K$612</f>
        <v>0</v>
      </c>
      <c r="I5732" s="211">
        <f>'IWP17'!L$612</f>
        <v>0</v>
      </c>
      <c r="J5732" s="212">
        <f>'IWP17'!M$612</f>
        <v>0</v>
      </c>
      <c r="K5732" s="106"/>
      <c r="L5732" s="106"/>
      <c r="M5732" s="129"/>
    </row>
    <row r="5733" spans="1:13" s="146" customFormat="1">
      <c r="A5733" s="193" t="s">
        <v>515</v>
      </c>
      <c r="B5733" s="210">
        <v>17</v>
      </c>
      <c r="C5733" s="191" t="str">
        <f>IF('IWP17'!E$613=0,"",'IWP17'!E$613)</f>
        <v>J. Billing Period Total</v>
      </c>
      <c r="D5733" s="211">
        <f>'IWP17'!G$613</f>
        <v>0</v>
      </c>
      <c r="E5733" s="211">
        <f>'IWP17'!H$613</f>
        <v>0</v>
      </c>
      <c r="F5733" s="211">
        <f>'IWP17'!I$613</f>
        <v>0</v>
      </c>
      <c r="G5733" s="191" t="str">
        <f>IF('IWP17'!J$613=0,"",'IWP17'!J$613)</f>
        <v/>
      </c>
      <c r="H5733" s="211">
        <f>'IWP17'!K$613</f>
        <v>0</v>
      </c>
      <c r="I5733" s="211">
        <f>'IWP17'!L$613</f>
        <v>0</v>
      </c>
      <c r="J5733" s="212">
        <f>'IWP17'!M$613</f>
        <v>0</v>
      </c>
      <c r="K5733" s="106"/>
      <c r="L5733" s="106"/>
      <c r="M5733" s="129"/>
    </row>
    <row r="5734" spans="1:13" s="146" customFormat="1">
      <c r="A5734" s="193" t="s">
        <v>515</v>
      </c>
      <c r="B5734" s="210">
        <v>17</v>
      </c>
      <c r="C5734" s="191" t="str">
        <f>IF('IWP17'!E$614=0,"",'IWP17'!E$614)</f>
        <v/>
      </c>
      <c r="D5734" s="211">
        <f>'IWP17'!G$614</f>
        <v>0</v>
      </c>
      <c r="E5734" s="211">
        <f>'IWP17'!H$614</f>
        <v>0</v>
      </c>
      <c r="F5734" s="211">
        <f>'IWP17'!I$614</f>
        <v>0</v>
      </c>
      <c r="G5734" s="191" t="str">
        <f>IF('IWP17'!J$614=0,"",'IWP17'!J$614)</f>
        <v/>
      </c>
      <c r="H5734" s="211">
        <f>'IWP17'!K$614</f>
        <v>0</v>
      </c>
      <c r="I5734" s="211">
        <f>'IWP17'!L$614</f>
        <v>0</v>
      </c>
      <c r="J5734" s="212">
        <f>'IWP17'!M$614</f>
        <v>0</v>
      </c>
      <c r="K5734" s="106"/>
      <c r="L5734" s="106"/>
      <c r="M5734" s="129"/>
    </row>
    <row r="5735" spans="1:13" s="146" customFormat="1">
      <c r="A5735" s="193" t="s">
        <v>515</v>
      </c>
      <c r="B5735" s="210">
        <v>17</v>
      </c>
      <c r="C5735" s="191" t="str">
        <f>IF('IWP17'!E$615=0,"",'IWP17'!E$615)</f>
        <v/>
      </c>
      <c r="D5735" s="211">
        <f>'IWP17'!G$615</f>
        <v>0</v>
      </c>
      <c r="E5735" s="211">
        <f>'IWP17'!H$615</f>
        <v>0</v>
      </c>
      <c r="F5735" s="211">
        <f>'IWP17'!I$615</f>
        <v>0</v>
      </c>
      <c r="G5735" s="191" t="str">
        <f>IF('IWP17'!J$615=0,"",'IWP17'!J$615)</f>
        <v/>
      </c>
      <c r="H5735" s="211">
        <f>'IWP17'!K$615</f>
        <v>0</v>
      </c>
      <c r="I5735" s="211">
        <f>'IWP17'!L$615</f>
        <v>0</v>
      </c>
      <c r="J5735" s="212">
        <f>'IWP17'!M$615</f>
        <v>0</v>
      </c>
      <c r="K5735" s="106"/>
      <c r="L5735" s="106"/>
      <c r="M5735" s="129"/>
    </row>
    <row r="5736" spans="1:13" s="146" customFormat="1">
      <c r="A5736" s="193" t="s">
        <v>515</v>
      </c>
      <c r="B5736" s="210">
        <v>17</v>
      </c>
      <c r="C5736" s="191" t="str">
        <f>IF('IWP17'!E$616=0,"",'IWP17'!E$616)</f>
        <v/>
      </c>
      <c r="D5736" s="211">
        <f>'IWP17'!G$616</f>
        <v>0</v>
      </c>
      <c r="E5736" s="211">
        <f>'IWP17'!H$616</f>
        <v>0</v>
      </c>
      <c r="F5736" s="211">
        <f>'IWP17'!I$616</f>
        <v>0</v>
      </c>
      <c r="G5736" s="191" t="str">
        <f>IF('IWP17'!J$616=0,"",'IWP17'!J$616)</f>
        <v/>
      </c>
      <c r="H5736" s="211">
        <f>'IWP17'!K$616</f>
        <v>0</v>
      </c>
      <c r="I5736" s="211">
        <f>'IWP17'!L$616</f>
        <v>0</v>
      </c>
      <c r="J5736" s="212">
        <f>'IWP17'!M$616</f>
        <v>0</v>
      </c>
      <c r="K5736" s="106"/>
      <c r="L5736" s="106"/>
      <c r="M5736" s="129"/>
    </row>
    <row r="5737" spans="1:13" s="146" customFormat="1">
      <c r="A5737" s="193" t="s">
        <v>515</v>
      </c>
      <c r="B5737" s="210">
        <v>17</v>
      </c>
      <c r="C5737" s="191" t="str">
        <f>IF('IWP17'!E$617=0,"",'IWP17'!E$617)</f>
        <v/>
      </c>
      <c r="D5737" s="211">
        <f>'IWP17'!G$617</f>
        <v>0</v>
      </c>
      <c r="E5737" s="211">
        <f>'IWP17'!H$617</f>
        <v>0</v>
      </c>
      <c r="F5737" s="211">
        <f>'IWP17'!I$617</f>
        <v>0</v>
      </c>
      <c r="G5737" s="191" t="str">
        <f>IF('IWP17'!J$617=0,"",'IWP17'!J$617)</f>
        <v/>
      </c>
      <c r="H5737" s="211">
        <f>'IWP17'!K$617</f>
        <v>0</v>
      </c>
      <c r="I5737" s="211">
        <f>'IWP17'!L$617</f>
        <v>0</v>
      </c>
      <c r="J5737" s="212">
        <f>'IWP17'!M$617</f>
        <v>0</v>
      </c>
      <c r="K5737" s="106"/>
      <c r="L5737" s="106"/>
      <c r="M5737" s="129"/>
    </row>
    <row r="5738" spans="1:13" s="146" customFormat="1">
      <c r="A5738" s="193" t="s">
        <v>515</v>
      </c>
      <c r="B5738" s="210">
        <v>17</v>
      </c>
      <c r="C5738" s="191" t="str">
        <f>IF('IWP17'!E$618=0,"",'IWP17'!E$618)</f>
        <v/>
      </c>
      <c r="D5738" s="211">
        <f>'IWP17'!G$618</f>
        <v>0</v>
      </c>
      <c r="E5738" s="211">
        <f>'IWP17'!H$618</f>
        <v>0</v>
      </c>
      <c r="F5738" s="211">
        <f>'IWP17'!I$618</f>
        <v>0</v>
      </c>
      <c r="G5738" s="191" t="str">
        <f>IF('IWP17'!J$618=0,"",'IWP17'!J$618)</f>
        <v/>
      </c>
      <c r="H5738" s="211">
        <f>'IWP17'!K$618</f>
        <v>0</v>
      </c>
      <c r="I5738" s="211">
        <f>'IWP17'!L$618</f>
        <v>0</v>
      </c>
      <c r="J5738" s="212">
        <f>'IWP17'!M$618</f>
        <v>0</v>
      </c>
      <c r="K5738" s="106"/>
      <c r="L5738" s="106"/>
      <c r="M5738" s="129"/>
    </row>
    <row r="5739" spans="1:13" s="146" customFormat="1">
      <c r="A5739" s="193" t="s">
        <v>515</v>
      </c>
      <c r="B5739" s="210">
        <v>17</v>
      </c>
      <c r="C5739" s="191" t="str">
        <f>IF('IWP17'!E$619=0,"",'IWP17'!E$619)</f>
        <v/>
      </c>
      <c r="D5739" s="211">
        <f>'IWP17'!G$619</f>
        <v>0</v>
      </c>
      <c r="E5739" s="211">
        <f>'IWP17'!H$619</f>
        <v>0</v>
      </c>
      <c r="F5739" s="211">
        <f>'IWP17'!I$619</f>
        <v>0</v>
      </c>
      <c r="G5739" s="191" t="str">
        <f>IF('IWP17'!J$619=0,"",'IWP17'!J$619)</f>
        <v/>
      </c>
      <c r="H5739" s="211">
        <f>'IWP17'!K$619</f>
        <v>0</v>
      </c>
      <c r="I5739" s="211">
        <f>'IWP17'!L$619</f>
        <v>0</v>
      </c>
      <c r="J5739" s="212">
        <f>'IWP17'!M$619</f>
        <v>0</v>
      </c>
      <c r="K5739" s="106"/>
      <c r="L5739" s="106"/>
      <c r="M5739" s="129"/>
    </row>
    <row r="5740" spans="1:13" s="146" customFormat="1">
      <c r="A5740" s="193" t="s">
        <v>515</v>
      </c>
      <c r="B5740" s="210">
        <v>17</v>
      </c>
      <c r="C5740" s="191" t="str">
        <f>IF('IWP17'!E$620=0,"",'IWP17'!E$620)</f>
        <v/>
      </c>
      <c r="D5740" s="211">
        <f>'IWP17'!G$620</f>
        <v>0</v>
      </c>
      <c r="E5740" s="211">
        <f>'IWP17'!H$620</f>
        <v>0</v>
      </c>
      <c r="F5740" s="211">
        <f>'IWP17'!I$620</f>
        <v>0</v>
      </c>
      <c r="G5740" s="191" t="str">
        <f>IF('IWP17'!J$620=0,"",'IWP17'!J$620)</f>
        <v/>
      </c>
      <c r="H5740" s="211">
        <f>'IWP17'!K$620</f>
        <v>0</v>
      </c>
      <c r="I5740" s="211">
        <f>'IWP17'!L$620</f>
        <v>0</v>
      </c>
      <c r="J5740" s="212">
        <f>'IWP17'!M$620</f>
        <v>0</v>
      </c>
      <c r="K5740" s="106"/>
      <c r="L5740" s="106"/>
      <c r="M5740" s="129"/>
    </row>
    <row r="5741" spans="1:13" s="146" customFormat="1">
      <c r="A5741" s="193" t="s">
        <v>515</v>
      </c>
      <c r="B5741" s="210">
        <v>18</v>
      </c>
      <c r="C5741" s="191" t="str">
        <f>IF('IWP17'!E$627=0,"",'IWP17'!E$627)</f>
        <v/>
      </c>
      <c r="D5741" s="211">
        <f>'IWP17'!G$627</f>
        <v>0</v>
      </c>
      <c r="E5741" s="211">
        <f>'IWP17'!H$627</f>
        <v>0</v>
      </c>
      <c r="F5741" s="211">
        <f>'IWP17'!I$627</f>
        <v>0</v>
      </c>
      <c r="G5741" s="191" t="str">
        <f>IF('IWP17'!J$627=0,"",'IWP17'!J$627)</f>
        <v/>
      </c>
      <c r="H5741" s="211">
        <f>'IWP17'!K$627</f>
        <v>0</v>
      </c>
      <c r="I5741" s="211">
        <f>'IWP17'!L$627</f>
        <v>0</v>
      </c>
      <c r="J5741" s="212">
        <f>'IWP17'!M$627</f>
        <v>0</v>
      </c>
      <c r="K5741" s="106"/>
      <c r="L5741" s="106"/>
      <c r="M5741" s="129"/>
    </row>
    <row r="5742" spans="1:13" s="146" customFormat="1">
      <c r="A5742" s="193" t="s">
        <v>515</v>
      </c>
      <c r="B5742" s="210">
        <v>18</v>
      </c>
      <c r="C5742" s="191" t="str">
        <f>IF('IWP17'!E$628=0,"",'IWP17'!E$628)</f>
        <v/>
      </c>
      <c r="D5742" s="211">
        <f>'IWP17'!G$628</f>
        <v>0</v>
      </c>
      <c r="E5742" s="211">
        <f>'IWP17'!H$628</f>
        <v>0</v>
      </c>
      <c r="F5742" s="211">
        <f>'IWP17'!I$628</f>
        <v>0</v>
      </c>
      <c r="G5742" s="191" t="str">
        <f>IF('IWP17'!J$628=0,"",'IWP17'!J$628)</f>
        <v/>
      </c>
      <c r="H5742" s="211">
        <f>'IWP17'!K$628</f>
        <v>0</v>
      </c>
      <c r="I5742" s="211">
        <f>'IWP17'!L$628</f>
        <v>0</v>
      </c>
      <c r="J5742" s="212">
        <f>'IWP17'!M$628</f>
        <v>0</v>
      </c>
      <c r="K5742" s="106"/>
      <c r="L5742" s="106"/>
      <c r="M5742" s="129"/>
    </row>
    <row r="5743" spans="1:13" s="146" customFormat="1">
      <c r="A5743" s="193" t="s">
        <v>515</v>
      </c>
      <c r="B5743" s="210">
        <v>18</v>
      </c>
      <c r="C5743" s="191" t="str">
        <f>IF('IWP17'!E$629=0,"",'IWP17'!E$629)</f>
        <v/>
      </c>
      <c r="D5743" s="211">
        <f>'IWP17'!G$629</f>
        <v>0</v>
      </c>
      <c r="E5743" s="211">
        <f>'IWP17'!H$629</f>
        <v>0</v>
      </c>
      <c r="F5743" s="211">
        <f>'IWP17'!I$629</f>
        <v>0</v>
      </c>
      <c r="G5743" s="191" t="str">
        <f>IF('IWP17'!J$629=0,"",'IWP17'!J$629)</f>
        <v/>
      </c>
      <c r="H5743" s="211">
        <f>'IWP17'!K$629</f>
        <v>0</v>
      </c>
      <c r="I5743" s="211">
        <f>'IWP17'!L$629</f>
        <v>0</v>
      </c>
      <c r="J5743" s="212">
        <f>'IWP17'!M$629</f>
        <v>0</v>
      </c>
      <c r="K5743" s="106"/>
      <c r="L5743" s="106"/>
      <c r="M5743" s="129"/>
    </row>
    <row r="5744" spans="1:13" s="146" customFormat="1">
      <c r="A5744" s="193" t="s">
        <v>515</v>
      </c>
      <c r="B5744" s="210">
        <v>18</v>
      </c>
      <c r="C5744" s="191" t="str">
        <f>IF('IWP17'!E$630=0,"",'IWP17'!E$630)</f>
        <v/>
      </c>
      <c r="D5744" s="211">
        <f>'IWP17'!G$630</f>
        <v>0</v>
      </c>
      <c r="E5744" s="211">
        <f>'IWP17'!H$630</f>
        <v>0</v>
      </c>
      <c r="F5744" s="211">
        <f>'IWP17'!I$630</f>
        <v>0</v>
      </c>
      <c r="G5744" s="191" t="str">
        <f>IF('IWP17'!J$630=0,"",'IWP17'!J$630)</f>
        <v/>
      </c>
      <c r="H5744" s="211">
        <f>'IWP17'!K$630</f>
        <v>0</v>
      </c>
      <c r="I5744" s="211">
        <f>'IWP17'!L$630</f>
        <v>0</v>
      </c>
      <c r="J5744" s="212">
        <f>'IWP17'!M$630</f>
        <v>0</v>
      </c>
      <c r="K5744" s="106"/>
      <c r="L5744" s="106"/>
      <c r="M5744" s="129"/>
    </row>
    <row r="5745" spans="1:13" s="146" customFormat="1">
      <c r="A5745" s="193" t="s">
        <v>515</v>
      </c>
      <c r="B5745" s="210">
        <v>18</v>
      </c>
      <c r="C5745" s="191" t="str">
        <f>IF('IWP17'!E$631=0,"",'IWP17'!E$631)</f>
        <v/>
      </c>
      <c r="D5745" s="211">
        <f>'IWP17'!G$631</f>
        <v>0</v>
      </c>
      <c r="E5745" s="211">
        <f>'IWP17'!H$631</f>
        <v>0</v>
      </c>
      <c r="F5745" s="211">
        <f>'IWP17'!I$631</f>
        <v>0</v>
      </c>
      <c r="G5745" s="191" t="str">
        <f>IF('IWP17'!J$631=0,"",'IWP17'!J$631)</f>
        <v/>
      </c>
      <c r="H5745" s="211">
        <f>'IWP17'!K$631</f>
        <v>0</v>
      </c>
      <c r="I5745" s="211">
        <f>'IWP17'!L$631</f>
        <v>0</v>
      </c>
      <c r="J5745" s="212">
        <f>'IWP17'!M$631</f>
        <v>0</v>
      </c>
      <c r="K5745" s="106"/>
      <c r="L5745" s="106"/>
      <c r="M5745" s="129"/>
    </row>
    <row r="5746" spans="1:13" s="146" customFormat="1">
      <c r="A5746" s="193" t="s">
        <v>515</v>
      </c>
      <c r="B5746" s="210">
        <v>18</v>
      </c>
      <c r="C5746" s="191" t="str">
        <f>IF('IWP17'!E$632=0,"",'IWP17'!E$632)</f>
        <v/>
      </c>
      <c r="D5746" s="211">
        <f>'IWP17'!G$632</f>
        <v>0</v>
      </c>
      <c r="E5746" s="211">
        <f>'IWP17'!H$632</f>
        <v>0</v>
      </c>
      <c r="F5746" s="211">
        <f>'IWP17'!I$632</f>
        <v>0</v>
      </c>
      <c r="G5746" s="191" t="str">
        <f>IF('IWP17'!J$632=0,"",'IWP17'!J$632)</f>
        <v/>
      </c>
      <c r="H5746" s="211">
        <f>'IWP17'!K$632</f>
        <v>0</v>
      </c>
      <c r="I5746" s="211">
        <f>'IWP17'!L$632</f>
        <v>0</v>
      </c>
      <c r="J5746" s="212">
        <f>'IWP17'!M$632</f>
        <v>0</v>
      </c>
      <c r="K5746" s="106"/>
      <c r="L5746" s="106"/>
      <c r="M5746" s="129"/>
    </row>
    <row r="5747" spans="1:13" s="146" customFormat="1">
      <c r="A5747" s="193" t="s">
        <v>515</v>
      </c>
      <c r="B5747" s="210">
        <v>18</v>
      </c>
      <c r="C5747" s="191" t="str">
        <f>IF('IWP17'!E$633=0,"",'IWP17'!E$633)</f>
        <v/>
      </c>
      <c r="D5747" s="211">
        <f>'IWP17'!G$633</f>
        <v>0</v>
      </c>
      <c r="E5747" s="211">
        <f>'IWP17'!H$633</f>
        <v>0</v>
      </c>
      <c r="F5747" s="211">
        <f>'IWP17'!I$633</f>
        <v>0</v>
      </c>
      <c r="G5747" s="191" t="str">
        <f>IF('IWP17'!J$633=0,"",'IWP17'!J$633)</f>
        <v/>
      </c>
      <c r="H5747" s="211">
        <f>'IWP17'!K$633</f>
        <v>0</v>
      </c>
      <c r="I5747" s="211">
        <f>'IWP17'!L$633</f>
        <v>0</v>
      </c>
      <c r="J5747" s="212">
        <f>'IWP17'!M$633</f>
        <v>0</v>
      </c>
      <c r="K5747" s="106"/>
      <c r="L5747" s="106"/>
      <c r="M5747" s="129"/>
    </row>
    <row r="5748" spans="1:13" s="146" customFormat="1">
      <c r="A5748" s="193" t="s">
        <v>515</v>
      </c>
      <c r="B5748" s="210">
        <v>18</v>
      </c>
      <c r="C5748" s="191" t="str">
        <f>IF('IWP17'!E$634=0,"",'IWP17'!E$634)</f>
        <v/>
      </c>
      <c r="D5748" s="211">
        <f>'IWP17'!G$634</f>
        <v>0</v>
      </c>
      <c r="E5748" s="211">
        <f>'IWP17'!H$634</f>
        <v>0</v>
      </c>
      <c r="F5748" s="211">
        <f>'IWP17'!I$634</f>
        <v>0</v>
      </c>
      <c r="G5748" s="191" t="str">
        <f>IF('IWP17'!J$634=0,"",'IWP17'!J$634)</f>
        <v/>
      </c>
      <c r="H5748" s="211">
        <f>'IWP17'!K$634</f>
        <v>0</v>
      </c>
      <c r="I5748" s="211">
        <f>'IWP17'!L$634</f>
        <v>0</v>
      </c>
      <c r="J5748" s="212">
        <f>'IWP17'!M$634</f>
        <v>0</v>
      </c>
      <c r="K5748" s="106"/>
      <c r="L5748" s="106"/>
      <c r="M5748" s="129"/>
    </row>
    <row r="5749" spans="1:13" s="146" customFormat="1">
      <c r="A5749" s="193" t="s">
        <v>515</v>
      </c>
      <c r="B5749" s="210">
        <v>18</v>
      </c>
      <c r="C5749" s="191" t="str">
        <f>IF('IWP17'!E$635=0,"",'IWP17'!E$635)</f>
        <v/>
      </c>
      <c r="D5749" s="211">
        <f>'IWP17'!G$635</f>
        <v>0</v>
      </c>
      <c r="E5749" s="211">
        <f>'IWP17'!H$635</f>
        <v>0</v>
      </c>
      <c r="F5749" s="211">
        <f>'IWP17'!I$635</f>
        <v>0</v>
      </c>
      <c r="G5749" s="191" t="str">
        <f>IF('IWP17'!J$635=0,"",'IWP17'!J$635)</f>
        <v/>
      </c>
      <c r="H5749" s="211">
        <f>'IWP17'!K$635</f>
        <v>0</v>
      </c>
      <c r="I5749" s="211">
        <f>'IWP17'!L$635</f>
        <v>0</v>
      </c>
      <c r="J5749" s="212">
        <f>'IWP17'!M$635</f>
        <v>0</v>
      </c>
      <c r="K5749" s="106"/>
      <c r="L5749" s="106"/>
      <c r="M5749" s="129"/>
    </row>
    <row r="5750" spans="1:13" s="146" customFormat="1">
      <c r="A5750" s="193" t="s">
        <v>515</v>
      </c>
      <c r="B5750" s="210">
        <v>18</v>
      </c>
      <c r="C5750" s="191" t="str">
        <f>IF('IWP17'!E$636=0,"",'IWP17'!E$636)</f>
        <v/>
      </c>
      <c r="D5750" s="211">
        <f>'IWP17'!G$636</f>
        <v>0</v>
      </c>
      <c r="E5750" s="211">
        <f>'IWP17'!H$636</f>
        <v>0</v>
      </c>
      <c r="F5750" s="211">
        <f>'IWP17'!I$636</f>
        <v>0</v>
      </c>
      <c r="G5750" s="191" t="str">
        <f>IF('IWP17'!J$636=0,"",'IWP17'!J$636)</f>
        <v/>
      </c>
      <c r="H5750" s="211">
        <f>'IWP17'!K$636</f>
        <v>0</v>
      </c>
      <c r="I5750" s="211">
        <f>'IWP17'!L$636</f>
        <v>0</v>
      </c>
      <c r="J5750" s="212">
        <f>'IWP17'!M$636</f>
        <v>0</v>
      </c>
      <c r="K5750" s="106"/>
      <c r="L5750" s="106"/>
      <c r="M5750" s="129"/>
    </row>
    <row r="5751" spans="1:13" s="146" customFormat="1">
      <c r="A5751" s="193" t="s">
        <v>516</v>
      </c>
      <c r="B5751" s="210">
        <v>1</v>
      </c>
      <c r="C5751" s="191" t="str">
        <f>IF('IWP18'!E$355=0,"",'IWP18'!E$355)</f>
        <v>Subtotal column D.</v>
      </c>
      <c r="D5751" s="211">
        <f>'IWP18'!G$355</f>
        <v>0</v>
      </c>
      <c r="E5751" s="211">
        <f>'IWP18'!H$355</f>
        <v>0</v>
      </c>
      <c r="F5751" s="211">
        <f>'IWP18'!I$355</f>
        <v>0</v>
      </c>
      <c r="G5751" s="191" t="str">
        <f>IF('IWP18'!J$355=0,"",'IWP18'!J$355)</f>
        <v/>
      </c>
      <c r="H5751" s="211">
        <f>'IWP18'!K$355</f>
        <v>0</v>
      </c>
      <c r="I5751" s="211">
        <f>'IWP18'!L$355</f>
        <v>0</v>
      </c>
      <c r="J5751" s="212">
        <f>'IWP18'!M$355</f>
        <v>0</v>
      </c>
      <c r="K5751" s="106"/>
      <c r="L5751" s="106"/>
      <c r="M5751" s="129"/>
    </row>
    <row r="5752" spans="1:13" s="146" customFormat="1">
      <c r="A5752" s="193" t="s">
        <v>516</v>
      </c>
      <c r="B5752" s="210">
        <v>1</v>
      </c>
      <c r="C5752" s="191" t="str">
        <f>IF('IWP18'!E$356=0,"",'IWP18'!E$356)</f>
        <v>Unverified/Undocumented (Subtotall D - C)</v>
      </c>
      <c r="D5752" s="211">
        <f>'IWP18'!G$356</f>
        <v>0</v>
      </c>
      <c r="E5752" s="211">
        <f>'IWP18'!H$356</f>
        <v>0</v>
      </c>
      <c r="F5752" s="211">
        <f>'IWP18'!I$356</f>
        <v>0</v>
      </c>
      <c r="G5752" s="191" t="str">
        <f>IF('IWP18'!J$356=0,"",'IWP18'!J$356)</f>
        <v/>
      </c>
      <c r="H5752" s="211">
        <f>'IWP18'!K$356</f>
        <v>0</v>
      </c>
      <c r="I5752" s="211">
        <f>'IWP18'!L$356</f>
        <v>0</v>
      </c>
      <c r="J5752" s="212">
        <f>'IWP18'!M$356</f>
        <v>0</v>
      </c>
      <c r="K5752" s="106"/>
      <c r="L5752" s="106"/>
      <c r="M5752" s="129"/>
    </row>
    <row r="5753" spans="1:13" s="146" customFormat="1">
      <c r="A5753" s="193" t="s">
        <v>516</v>
      </c>
      <c r="B5753" s="210">
        <v>1</v>
      </c>
      <c r="C5753" s="191" t="str">
        <f>IF('IWP18'!E$357=0,"",'IWP18'!E$357)</f>
        <v>J. Billing Period Total</v>
      </c>
      <c r="D5753" s="211">
        <f>'IWP18'!G$357</f>
        <v>0</v>
      </c>
      <c r="E5753" s="211">
        <f>'IWP18'!H$357</f>
        <v>0</v>
      </c>
      <c r="F5753" s="211">
        <f>'IWP18'!I$357</f>
        <v>0</v>
      </c>
      <c r="G5753" s="191" t="str">
        <f>IF('IWP18'!J$357=0,"",'IWP18'!J$357)</f>
        <v/>
      </c>
      <c r="H5753" s="211">
        <f>'IWP18'!K$357</f>
        <v>0</v>
      </c>
      <c r="I5753" s="211">
        <f>'IWP18'!L$357</f>
        <v>0</v>
      </c>
      <c r="J5753" s="212">
        <f>'IWP18'!M$357</f>
        <v>0</v>
      </c>
      <c r="K5753" s="106"/>
      <c r="L5753" s="106"/>
      <c r="M5753" s="129"/>
    </row>
    <row r="5754" spans="1:13" s="146" customFormat="1">
      <c r="A5754" s="193" t="s">
        <v>516</v>
      </c>
      <c r="B5754" s="210">
        <v>1</v>
      </c>
      <c r="C5754" s="191" t="str">
        <f>IF('IWP18'!E$358=0,"",'IWP18'!E$358)</f>
        <v>D.</v>
      </c>
      <c r="D5754" s="211">
        <f>'IWP18'!G$358</f>
        <v>0</v>
      </c>
      <c r="E5754" s="211" t="str">
        <f>'IWP18'!H$358</f>
        <v>E.</v>
      </c>
      <c r="F5754" s="211" t="str">
        <f>'IWP18'!I$358</f>
        <v>F.</v>
      </c>
      <c r="G5754" s="191" t="str">
        <f>IF('IWP18'!J$358=0,"",'IWP18'!J$358)</f>
        <v>G.</v>
      </c>
      <c r="H5754" s="211">
        <f>'IWP18'!K$358</f>
        <v>0</v>
      </c>
      <c r="I5754" s="211" t="str">
        <f>'IWP18'!L$358</f>
        <v>H.</v>
      </c>
      <c r="J5754" s="212" t="str">
        <f>'IWP18'!M$358</f>
        <v>I.</v>
      </c>
      <c r="K5754" s="106"/>
      <c r="L5754" s="106"/>
      <c r="M5754" s="129"/>
    </row>
    <row r="5755" spans="1:13" s="146" customFormat="1">
      <c r="A5755" s="193" t="s">
        <v>516</v>
      </c>
      <c r="B5755" s="210">
        <v>1</v>
      </c>
      <c r="C5755" s="191" t="str">
        <f>IF('IWP18'!E$359=0,"",'IWP18'!E$359)</f>
        <v xml:space="preserve">Items/Services Related to Billing Period </v>
      </c>
      <c r="D5755" s="211">
        <f>'IWP18'!G$359</f>
        <v>0</v>
      </c>
      <c r="E5755" s="211" t="str">
        <f>'IWP18'!H$359</f>
        <v xml:space="preserve">Item/
Service Verified Amounts
</v>
      </c>
      <c r="F5755" s="211" t="str">
        <f>'IWP18'!I$359</f>
        <v>Amount Due to DADS (E. - D.)</v>
      </c>
      <c r="G5755" s="191" t="str">
        <f>IF('IWP18'!J$359=0,"",'IWP18'!J$359)</f>
        <v>Amount Reimbursed to 
Employee(s)/Employer</v>
      </c>
      <c r="H5755" s="211">
        <f>'IWP18'!K$359</f>
        <v>0</v>
      </c>
      <c r="I5755" s="211" t="str">
        <f>'IWP18'!L$359</f>
        <v>Amount Due to Employee(s) (G. - E.)</v>
      </c>
      <c r="J5755" s="212" t="str">
        <f>'IWP18'!M$359</f>
        <v>Amount Due to Employer (G. - E.)</v>
      </c>
      <c r="K5755" s="106"/>
      <c r="L5755" s="106"/>
      <c r="M5755" s="129"/>
    </row>
    <row r="5756" spans="1:13" s="146" customFormat="1">
      <c r="A5756" s="193" t="s">
        <v>516</v>
      </c>
      <c r="B5756" s="210">
        <v>1</v>
      </c>
      <c r="C5756" s="191" t="str">
        <f>IF('IWP18'!E$360=0,"",'IWP18'!E$360)</f>
        <v>Item/Service</v>
      </c>
      <c r="D5756" s="211" t="str">
        <f>'IWP18'!G$360</f>
        <v>Itemized Amount Paid by DADS</v>
      </c>
      <c r="E5756" s="211">
        <f>'IWP18'!H$360</f>
        <v>0</v>
      </c>
      <c r="F5756" s="211">
        <f>'IWP18'!I$360</f>
        <v>0</v>
      </c>
      <c r="G5756" s="191" t="str">
        <f>IF('IWP18'!J$360=0,"",'IWP18'!J$360)</f>
        <v/>
      </c>
      <c r="H5756" s="211">
        <f>'IWP18'!K$360</f>
        <v>0</v>
      </c>
      <c r="I5756" s="211">
        <f>'IWP18'!L$360</f>
        <v>0</v>
      </c>
      <c r="J5756" s="212">
        <f>'IWP18'!M$360</f>
        <v>0</v>
      </c>
      <c r="K5756" s="106"/>
      <c r="L5756" s="106"/>
      <c r="M5756" s="129"/>
    </row>
    <row r="5757" spans="1:13" s="146" customFormat="1">
      <c r="A5757" s="193" t="s">
        <v>516</v>
      </c>
      <c r="B5757" s="210">
        <v>1</v>
      </c>
      <c r="C5757" s="191" t="str">
        <f>IF('IWP18'!E$361=0,"",'IWP18'!E$361)</f>
        <v/>
      </c>
      <c r="D5757" s="211">
        <f>'IWP18'!G$361</f>
        <v>0</v>
      </c>
      <c r="E5757" s="211">
        <f>'IWP18'!H$361</f>
        <v>0</v>
      </c>
      <c r="F5757" s="211">
        <f>'IWP18'!I$361</f>
        <v>0</v>
      </c>
      <c r="G5757" s="191" t="str">
        <f>IF('IWP18'!J$361=0,"",'IWP18'!J$361)</f>
        <v/>
      </c>
      <c r="H5757" s="211">
        <f>'IWP18'!K$361</f>
        <v>0</v>
      </c>
      <c r="I5757" s="211">
        <f>'IWP18'!L$361</f>
        <v>0</v>
      </c>
      <c r="J5757" s="212">
        <f>'IWP18'!M$361</f>
        <v>0</v>
      </c>
      <c r="K5757" s="106"/>
      <c r="L5757" s="106"/>
      <c r="M5757" s="129"/>
    </row>
    <row r="5758" spans="1:13" s="146" customFormat="1">
      <c r="A5758" s="193" t="s">
        <v>516</v>
      </c>
      <c r="B5758" s="210">
        <v>1</v>
      </c>
      <c r="C5758" s="191" t="str">
        <f>IF('IWP18'!E$362=0,"",'IWP18'!E$362)</f>
        <v/>
      </c>
      <c r="D5758" s="211">
        <f>'IWP18'!G$362</f>
        <v>0</v>
      </c>
      <c r="E5758" s="211">
        <f>'IWP18'!H$362</f>
        <v>0</v>
      </c>
      <c r="F5758" s="211">
        <f>'IWP18'!I$362</f>
        <v>0</v>
      </c>
      <c r="G5758" s="191" t="str">
        <f>IF('IWP18'!J$362=0,"",'IWP18'!J$362)</f>
        <v/>
      </c>
      <c r="H5758" s="211">
        <f>'IWP18'!K$362</f>
        <v>0</v>
      </c>
      <c r="I5758" s="211">
        <f>'IWP18'!L$362</f>
        <v>0</v>
      </c>
      <c r="J5758" s="212">
        <f>'IWP18'!M$362</f>
        <v>0</v>
      </c>
      <c r="K5758" s="106"/>
      <c r="L5758" s="106"/>
      <c r="M5758" s="129"/>
    </row>
    <row r="5759" spans="1:13" s="146" customFormat="1">
      <c r="A5759" s="193" t="s">
        <v>516</v>
      </c>
      <c r="B5759" s="210">
        <v>1</v>
      </c>
      <c r="C5759" s="191" t="str">
        <f>IF('IWP18'!E$363=0,"",'IWP18'!E$363)</f>
        <v/>
      </c>
      <c r="D5759" s="211">
        <f>'IWP18'!G$363</f>
        <v>0</v>
      </c>
      <c r="E5759" s="211">
        <f>'IWP18'!H$363</f>
        <v>0</v>
      </c>
      <c r="F5759" s="211">
        <f>'IWP18'!I$363</f>
        <v>0</v>
      </c>
      <c r="G5759" s="191" t="str">
        <f>IF('IWP18'!J$363=0,"",'IWP18'!J$363)</f>
        <v/>
      </c>
      <c r="H5759" s="211">
        <f>'IWP18'!K$363</f>
        <v>0</v>
      </c>
      <c r="I5759" s="211">
        <f>'IWP18'!L$363</f>
        <v>0</v>
      </c>
      <c r="J5759" s="212">
        <f>'IWP18'!M$363</f>
        <v>0</v>
      </c>
      <c r="K5759" s="106"/>
      <c r="L5759" s="106"/>
      <c r="M5759" s="129"/>
    </row>
    <row r="5760" spans="1:13" s="146" customFormat="1">
      <c r="A5760" s="193" t="s">
        <v>516</v>
      </c>
      <c r="B5760" s="210">
        <v>1</v>
      </c>
      <c r="C5760" s="191" t="str">
        <f>IF('IWP18'!E$364=0,"",'IWP18'!E$364)</f>
        <v/>
      </c>
      <c r="D5760" s="211">
        <f>'IWP18'!G$364</f>
        <v>0</v>
      </c>
      <c r="E5760" s="211">
        <f>'IWP18'!H$364</f>
        <v>0</v>
      </c>
      <c r="F5760" s="211">
        <f>'IWP18'!I$364</f>
        <v>0</v>
      </c>
      <c r="G5760" s="191" t="str">
        <f>IF('IWP18'!J$364=0,"",'IWP18'!J$364)</f>
        <v/>
      </c>
      <c r="H5760" s="211">
        <f>'IWP18'!K$364</f>
        <v>0</v>
      </c>
      <c r="I5760" s="211">
        <f>'IWP18'!L$364</f>
        <v>0</v>
      </c>
      <c r="J5760" s="212">
        <f>'IWP18'!M$364</f>
        <v>0</v>
      </c>
      <c r="K5760" s="106"/>
      <c r="L5760" s="106"/>
      <c r="M5760" s="129"/>
    </row>
    <row r="5761" spans="1:13" s="146" customFormat="1">
      <c r="A5761" s="193" t="s">
        <v>516</v>
      </c>
      <c r="B5761" s="210">
        <v>2</v>
      </c>
      <c r="C5761" s="191" t="str">
        <f>IF('IWP18'!E$371=0,"",'IWP18'!E$371)</f>
        <v>Subtotal column D.</v>
      </c>
      <c r="D5761" s="211">
        <f>'IWP18'!G$371</f>
        <v>0</v>
      </c>
      <c r="E5761" s="211">
        <f>'IWP18'!H$371</f>
        <v>0</v>
      </c>
      <c r="F5761" s="211">
        <f>'IWP18'!I$371</f>
        <v>0</v>
      </c>
      <c r="G5761" s="191" t="str">
        <f>IF('IWP18'!J$371=0,"",'IWP18'!J$371)</f>
        <v/>
      </c>
      <c r="H5761" s="211">
        <f>'IWP18'!K$371</f>
        <v>0</v>
      </c>
      <c r="I5761" s="211">
        <f>'IWP18'!L$371</f>
        <v>0</v>
      </c>
      <c r="J5761" s="212">
        <f>'IWP18'!M$371</f>
        <v>0</v>
      </c>
      <c r="K5761" s="106"/>
      <c r="L5761" s="106"/>
      <c r="M5761" s="129"/>
    </row>
    <row r="5762" spans="1:13" s="146" customFormat="1">
      <c r="A5762" s="193" t="s">
        <v>516</v>
      </c>
      <c r="B5762" s="210">
        <v>2</v>
      </c>
      <c r="C5762" s="191" t="str">
        <f>IF('IWP18'!E$372=0,"",'IWP18'!E$372)</f>
        <v>Unverified/Undocumented (Subtotal D - C)</v>
      </c>
      <c r="D5762" s="211">
        <f>'IWP18'!G$372</f>
        <v>0</v>
      </c>
      <c r="E5762" s="211">
        <f>'IWP18'!H$372</f>
        <v>0</v>
      </c>
      <c r="F5762" s="211">
        <f>'IWP18'!I$372</f>
        <v>0</v>
      </c>
      <c r="G5762" s="191" t="str">
        <f>IF('IWP18'!J$372=0,"",'IWP18'!J$372)</f>
        <v/>
      </c>
      <c r="H5762" s="211">
        <f>'IWP18'!K$372</f>
        <v>0</v>
      </c>
      <c r="I5762" s="211">
        <f>'IWP18'!L$372</f>
        <v>0</v>
      </c>
      <c r="J5762" s="212">
        <f>'IWP18'!M$372</f>
        <v>0</v>
      </c>
      <c r="K5762" s="106"/>
      <c r="L5762" s="106"/>
      <c r="M5762" s="129"/>
    </row>
    <row r="5763" spans="1:13" s="146" customFormat="1">
      <c r="A5763" s="193" t="s">
        <v>516</v>
      </c>
      <c r="B5763" s="210">
        <v>2</v>
      </c>
      <c r="C5763" s="191" t="str">
        <f>IF('IWP18'!E$373=0,"",'IWP18'!E$373)</f>
        <v>J. Billing Period Total</v>
      </c>
      <c r="D5763" s="211">
        <f>'IWP18'!G$373</f>
        <v>0</v>
      </c>
      <c r="E5763" s="211">
        <f>'IWP18'!H$373</f>
        <v>0</v>
      </c>
      <c r="F5763" s="211">
        <f>'IWP18'!I$373</f>
        <v>0</v>
      </c>
      <c r="G5763" s="191" t="str">
        <f>IF('IWP18'!J$373=0,"",'IWP18'!J$373)</f>
        <v/>
      </c>
      <c r="H5763" s="211">
        <f>'IWP18'!K$373</f>
        <v>0</v>
      </c>
      <c r="I5763" s="211">
        <f>'IWP18'!L$373</f>
        <v>0</v>
      </c>
      <c r="J5763" s="212">
        <f>'IWP18'!M$373</f>
        <v>0</v>
      </c>
      <c r="K5763" s="106"/>
      <c r="L5763" s="106"/>
      <c r="M5763" s="129"/>
    </row>
    <row r="5764" spans="1:13" s="146" customFormat="1">
      <c r="A5764" s="193" t="s">
        <v>516</v>
      </c>
      <c r="B5764" s="210">
        <v>2</v>
      </c>
      <c r="C5764" s="191" t="str">
        <f>IF('IWP18'!E$374=0,"",'IWP18'!E$374)</f>
        <v>D.</v>
      </c>
      <c r="D5764" s="211">
        <f>'IWP18'!G$374</f>
        <v>0</v>
      </c>
      <c r="E5764" s="211" t="str">
        <f>'IWP18'!H$374</f>
        <v>E.</v>
      </c>
      <c r="F5764" s="211" t="str">
        <f>'IWP18'!I$374</f>
        <v>F.</v>
      </c>
      <c r="G5764" s="191" t="str">
        <f>IF('IWP18'!J$374=0,"",'IWP18'!J$374)</f>
        <v>G.</v>
      </c>
      <c r="H5764" s="211">
        <f>'IWP18'!K$374</f>
        <v>0</v>
      </c>
      <c r="I5764" s="211" t="str">
        <f>'IWP18'!L$374</f>
        <v>H.</v>
      </c>
      <c r="J5764" s="212" t="str">
        <f>'IWP18'!M$374</f>
        <v>I.</v>
      </c>
      <c r="K5764" s="106"/>
      <c r="L5764" s="106"/>
      <c r="M5764" s="129"/>
    </row>
    <row r="5765" spans="1:13" s="146" customFormat="1">
      <c r="A5765" s="193" t="s">
        <v>516</v>
      </c>
      <c r="B5765" s="210">
        <v>2</v>
      </c>
      <c r="C5765" s="191" t="str">
        <f>IF('IWP18'!E$375=0,"",'IWP18'!E$375)</f>
        <v xml:space="preserve">Items/Services Related to Billing Period </v>
      </c>
      <c r="D5765" s="211">
        <f>'IWP18'!G$375</f>
        <v>0</v>
      </c>
      <c r="E5765" s="211" t="str">
        <f>'IWP18'!H$375</f>
        <v xml:space="preserve">Item/
Service Verified Amounts
</v>
      </c>
      <c r="F5765" s="211" t="str">
        <f>'IWP18'!I$375</f>
        <v>Amount Due to DADS (E. - D.)</v>
      </c>
      <c r="G5765" s="191" t="str">
        <f>IF('IWP18'!J$375=0,"",'IWP18'!J$375)</f>
        <v>Amount Reimbursed to 
Employee(s)/Employer</v>
      </c>
      <c r="H5765" s="211">
        <f>'IWP18'!K$375</f>
        <v>0</v>
      </c>
      <c r="I5765" s="211" t="str">
        <f>'IWP18'!L$375</f>
        <v>Amount Due to Employee(s) (G. - E.)</v>
      </c>
      <c r="J5765" s="212" t="str">
        <f>'IWP18'!M$375</f>
        <v>Amount Due to Employer (G. - E.)</v>
      </c>
      <c r="K5765" s="106"/>
      <c r="L5765" s="106"/>
      <c r="M5765" s="129"/>
    </row>
    <row r="5766" spans="1:13" s="146" customFormat="1">
      <c r="A5766" s="193" t="s">
        <v>516</v>
      </c>
      <c r="B5766" s="210">
        <v>2</v>
      </c>
      <c r="C5766" s="191" t="str">
        <f>IF('IWP18'!E$376=0,"",'IWP18'!E$376)</f>
        <v>Item/Service</v>
      </c>
      <c r="D5766" s="211" t="str">
        <f>'IWP18'!G$376</f>
        <v>Itemized Amount Paid by DADS</v>
      </c>
      <c r="E5766" s="211">
        <f>'IWP18'!H$376</f>
        <v>0</v>
      </c>
      <c r="F5766" s="211">
        <f>'IWP18'!I$376</f>
        <v>0</v>
      </c>
      <c r="G5766" s="191" t="str">
        <f>IF('IWP18'!J$376=0,"",'IWP18'!J$376)</f>
        <v/>
      </c>
      <c r="H5766" s="211">
        <f>'IWP18'!K$376</f>
        <v>0</v>
      </c>
      <c r="I5766" s="211">
        <f>'IWP18'!L$376</f>
        <v>0</v>
      </c>
      <c r="J5766" s="212">
        <f>'IWP18'!M$376</f>
        <v>0</v>
      </c>
      <c r="K5766" s="106"/>
      <c r="L5766" s="106"/>
      <c r="M5766" s="129"/>
    </row>
    <row r="5767" spans="1:13" s="146" customFormat="1">
      <c r="A5767" s="193" t="s">
        <v>516</v>
      </c>
      <c r="B5767" s="210">
        <v>2</v>
      </c>
      <c r="C5767" s="191" t="str">
        <f>IF('IWP18'!E$377=0,"",'IWP18'!E$377)</f>
        <v/>
      </c>
      <c r="D5767" s="211">
        <f>'IWP18'!G$377</f>
        <v>0</v>
      </c>
      <c r="E5767" s="211">
        <f>'IWP18'!H$377</f>
        <v>0</v>
      </c>
      <c r="F5767" s="211">
        <f>'IWP18'!I$377</f>
        <v>0</v>
      </c>
      <c r="G5767" s="191" t="str">
        <f>IF('IWP18'!J$377=0,"",'IWP18'!J$377)</f>
        <v/>
      </c>
      <c r="H5767" s="211">
        <f>'IWP18'!K$377</f>
        <v>0</v>
      </c>
      <c r="I5767" s="211">
        <f>'IWP18'!L$377</f>
        <v>0</v>
      </c>
      <c r="J5767" s="212">
        <f>'IWP18'!M$377</f>
        <v>0</v>
      </c>
      <c r="K5767" s="106"/>
      <c r="L5767" s="106"/>
      <c r="M5767" s="129"/>
    </row>
    <row r="5768" spans="1:13" s="146" customFormat="1">
      <c r="A5768" s="193" t="s">
        <v>516</v>
      </c>
      <c r="B5768" s="210">
        <v>2</v>
      </c>
      <c r="C5768" s="191" t="str">
        <f>IF('IWP18'!E$378=0,"",'IWP18'!E$378)</f>
        <v/>
      </c>
      <c r="D5768" s="211">
        <f>'IWP18'!G$378</f>
        <v>0</v>
      </c>
      <c r="E5768" s="211">
        <f>'IWP18'!H$378</f>
        <v>0</v>
      </c>
      <c r="F5768" s="211">
        <f>'IWP18'!I$378</f>
        <v>0</v>
      </c>
      <c r="G5768" s="191" t="str">
        <f>IF('IWP18'!J$378=0,"",'IWP18'!J$378)</f>
        <v/>
      </c>
      <c r="H5768" s="211">
        <f>'IWP18'!K$378</f>
        <v>0</v>
      </c>
      <c r="I5768" s="211">
        <f>'IWP18'!L$378</f>
        <v>0</v>
      </c>
      <c r="J5768" s="212">
        <f>'IWP18'!M$378</f>
        <v>0</v>
      </c>
      <c r="K5768" s="106"/>
      <c r="L5768" s="106"/>
      <c r="M5768" s="129"/>
    </row>
    <row r="5769" spans="1:13" s="146" customFormat="1">
      <c r="A5769" s="193" t="s">
        <v>516</v>
      </c>
      <c r="B5769" s="210">
        <v>2</v>
      </c>
      <c r="C5769" s="191" t="str">
        <f>IF('IWP18'!E$379=0,"",'IWP18'!E$379)</f>
        <v/>
      </c>
      <c r="D5769" s="211">
        <f>'IWP18'!G$379</f>
        <v>0</v>
      </c>
      <c r="E5769" s="211">
        <f>'IWP18'!H$379</f>
        <v>0</v>
      </c>
      <c r="F5769" s="211">
        <f>'IWP18'!I$379</f>
        <v>0</v>
      </c>
      <c r="G5769" s="191" t="str">
        <f>IF('IWP18'!J$379=0,"",'IWP18'!J$379)</f>
        <v/>
      </c>
      <c r="H5769" s="211">
        <f>'IWP18'!K$379</f>
        <v>0</v>
      </c>
      <c r="I5769" s="211">
        <f>'IWP18'!L$379</f>
        <v>0</v>
      </c>
      <c r="J5769" s="212">
        <f>'IWP18'!M$379</f>
        <v>0</v>
      </c>
      <c r="K5769" s="106"/>
      <c r="L5769" s="106"/>
      <c r="M5769" s="129"/>
    </row>
    <row r="5770" spans="1:13" s="146" customFormat="1">
      <c r="A5770" s="193" t="s">
        <v>516</v>
      </c>
      <c r="B5770" s="210">
        <v>2</v>
      </c>
      <c r="C5770" s="191" t="str">
        <f>IF('IWP18'!E$380=0,"",'IWP18'!E$380)</f>
        <v/>
      </c>
      <c r="D5770" s="211">
        <f>'IWP18'!G$380</f>
        <v>0</v>
      </c>
      <c r="E5770" s="211">
        <f>'IWP18'!H$380</f>
        <v>0</v>
      </c>
      <c r="F5770" s="211">
        <f>'IWP18'!I$380</f>
        <v>0</v>
      </c>
      <c r="G5770" s="191" t="str">
        <f>IF('IWP18'!J$380=0,"",'IWP18'!J$380)</f>
        <v/>
      </c>
      <c r="H5770" s="211">
        <f>'IWP18'!K$380</f>
        <v>0</v>
      </c>
      <c r="I5770" s="211">
        <f>'IWP18'!L$380</f>
        <v>0</v>
      </c>
      <c r="J5770" s="212">
        <f>'IWP18'!M$380</f>
        <v>0</v>
      </c>
      <c r="K5770" s="106"/>
      <c r="L5770" s="106"/>
      <c r="M5770" s="129"/>
    </row>
    <row r="5771" spans="1:13" s="146" customFormat="1">
      <c r="A5771" s="193" t="s">
        <v>516</v>
      </c>
      <c r="B5771" s="210">
        <v>3</v>
      </c>
      <c r="C5771" s="191" t="str">
        <f>IF('IWP18'!E$387=0,"",'IWP18'!E$387)</f>
        <v>Subtotal column D.</v>
      </c>
      <c r="D5771" s="211">
        <f>'IWP18'!G$387</f>
        <v>0</v>
      </c>
      <c r="E5771" s="211">
        <f>'IWP18'!H$387</f>
        <v>0</v>
      </c>
      <c r="F5771" s="211">
        <f>'IWP18'!I$387</f>
        <v>0</v>
      </c>
      <c r="G5771" s="191" t="str">
        <f>IF('IWP18'!J$387=0,"",'IWP18'!J$387)</f>
        <v/>
      </c>
      <c r="H5771" s="211">
        <f>'IWP18'!K$387</f>
        <v>0</v>
      </c>
      <c r="I5771" s="211">
        <f>'IWP18'!L$387</f>
        <v>0</v>
      </c>
      <c r="J5771" s="212">
        <f>'IWP18'!M$387</f>
        <v>0</v>
      </c>
      <c r="K5771" s="106"/>
      <c r="L5771" s="106"/>
      <c r="M5771" s="129"/>
    </row>
    <row r="5772" spans="1:13" s="146" customFormat="1">
      <c r="A5772" s="193" t="s">
        <v>516</v>
      </c>
      <c r="B5772" s="210">
        <v>3</v>
      </c>
      <c r="C5772" s="191" t="str">
        <f>IF('IWP18'!E$388=0,"",'IWP18'!E$388)</f>
        <v>Unverified/Undocumented (Subtotal D - C)</v>
      </c>
      <c r="D5772" s="211">
        <f>'IWP18'!G$388</f>
        <v>0</v>
      </c>
      <c r="E5772" s="211">
        <f>'IWP18'!H$388</f>
        <v>0</v>
      </c>
      <c r="F5772" s="211">
        <f>'IWP18'!I$388</f>
        <v>0</v>
      </c>
      <c r="G5772" s="191" t="str">
        <f>IF('IWP18'!J$388=0,"",'IWP18'!J$388)</f>
        <v/>
      </c>
      <c r="H5772" s="211">
        <f>'IWP18'!K$388</f>
        <v>0</v>
      </c>
      <c r="I5772" s="211">
        <f>'IWP18'!L$388</f>
        <v>0</v>
      </c>
      <c r="J5772" s="212">
        <f>'IWP18'!M$388</f>
        <v>0</v>
      </c>
      <c r="K5772" s="106"/>
      <c r="L5772" s="106"/>
      <c r="M5772" s="129"/>
    </row>
    <row r="5773" spans="1:13" s="146" customFormat="1">
      <c r="A5773" s="193" t="s">
        <v>516</v>
      </c>
      <c r="B5773" s="210">
        <v>3</v>
      </c>
      <c r="C5773" s="191" t="str">
        <f>IF('IWP18'!E$389=0,"",'IWP18'!E$389)</f>
        <v>J. Billing Period Total</v>
      </c>
      <c r="D5773" s="211">
        <f>'IWP18'!G$389</f>
        <v>0</v>
      </c>
      <c r="E5773" s="211">
        <f>'IWP18'!H$389</f>
        <v>0</v>
      </c>
      <c r="F5773" s="211">
        <f>'IWP18'!I$389</f>
        <v>0</v>
      </c>
      <c r="G5773" s="191" t="str">
        <f>IF('IWP18'!J$389=0,"",'IWP18'!J$389)</f>
        <v/>
      </c>
      <c r="H5773" s="211">
        <f>'IWP18'!K$389</f>
        <v>0</v>
      </c>
      <c r="I5773" s="211">
        <f>'IWP18'!L$389</f>
        <v>0</v>
      </c>
      <c r="J5773" s="212">
        <f>'IWP18'!M$389</f>
        <v>0</v>
      </c>
      <c r="K5773" s="106"/>
      <c r="L5773" s="106"/>
      <c r="M5773" s="129"/>
    </row>
    <row r="5774" spans="1:13" s="146" customFormat="1">
      <c r="A5774" s="193" t="s">
        <v>516</v>
      </c>
      <c r="B5774" s="210">
        <v>3</v>
      </c>
      <c r="C5774" s="191" t="str">
        <f>IF('IWP18'!E$390=0,"",'IWP18'!E$390)</f>
        <v>D.</v>
      </c>
      <c r="D5774" s="211">
        <f>'IWP18'!G$390</f>
        <v>0</v>
      </c>
      <c r="E5774" s="211" t="str">
        <f>'IWP18'!H$390</f>
        <v>E.</v>
      </c>
      <c r="F5774" s="211" t="str">
        <f>'IWP18'!I$390</f>
        <v>F.</v>
      </c>
      <c r="G5774" s="191" t="str">
        <f>IF('IWP18'!J$390=0,"",'IWP18'!J$390)</f>
        <v>G.</v>
      </c>
      <c r="H5774" s="211">
        <f>'IWP18'!K$390</f>
        <v>0</v>
      </c>
      <c r="I5774" s="211" t="str">
        <f>'IWP18'!L$390</f>
        <v>H.</v>
      </c>
      <c r="J5774" s="212" t="str">
        <f>'IWP18'!M$390</f>
        <v>I.</v>
      </c>
      <c r="K5774" s="106"/>
      <c r="L5774" s="106"/>
      <c r="M5774" s="129"/>
    </row>
    <row r="5775" spans="1:13" s="146" customFormat="1">
      <c r="A5775" s="193" t="s">
        <v>516</v>
      </c>
      <c r="B5775" s="210">
        <v>3</v>
      </c>
      <c r="C5775" s="191" t="str">
        <f>IF('IWP18'!E$391=0,"",'IWP18'!E$391)</f>
        <v xml:space="preserve">Items/Services Related to Billing Period </v>
      </c>
      <c r="D5775" s="211">
        <f>'IWP18'!G$391</f>
        <v>0</v>
      </c>
      <c r="E5775" s="211" t="str">
        <f>'IWP18'!H$391</f>
        <v xml:space="preserve">Item/
Service Verified Amounts
</v>
      </c>
      <c r="F5775" s="211" t="str">
        <f>'IWP18'!I$391</f>
        <v>Amount Due to DADS (E. - D.)</v>
      </c>
      <c r="G5775" s="191" t="str">
        <f>IF('IWP18'!J$391=0,"",'IWP18'!J$391)</f>
        <v>Amount Reimbursed to 
Employee(s)/Employer</v>
      </c>
      <c r="H5775" s="211">
        <f>'IWP18'!K$391</f>
        <v>0</v>
      </c>
      <c r="I5775" s="211" t="str">
        <f>'IWP18'!L$391</f>
        <v>Amount Due to Employee(s) (G. - E.)</v>
      </c>
      <c r="J5775" s="212" t="str">
        <f>'IWP18'!M$391</f>
        <v>Amount Due to Employer (G. - E.)</v>
      </c>
      <c r="K5775" s="106"/>
      <c r="L5775" s="106"/>
      <c r="M5775" s="129"/>
    </row>
    <row r="5776" spans="1:13" s="146" customFormat="1">
      <c r="A5776" s="193" t="s">
        <v>516</v>
      </c>
      <c r="B5776" s="210">
        <v>3</v>
      </c>
      <c r="C5776" s="191" t="str">
        <f>IF('IWP18'!E$392=0,"",'IWP18'!E$392)</f>
        <v>Item/Service</v>
      </c>
      <c r="D5776" s="211" t="str">
        <f>'IWP18'!G$392</f>
        <v>Itemized Amount Paid by DADS</v>
      </c>
      <c r="E5776" s="211">
        <f>'IWP18'!H$392</f>
        <v>0</v>
      </c>
      <c r="F5776" s="211">
        <f>'IWP18'!I$392</f>
        <v>0</v>
      </c>
      <c r="G5776" s="191" t="str">
        <f>IF('IWP18'!J$392=0,"",'IWP18'!J$392)</f>
        <v/>
      </c>
      <c r="H5776" s="211">
        <f>'IWP18'!K$392</f>
        <v>0</v>
      </c>
      <c r="I5776" s="211">
        <f>'IWP18'!L$392</f>
        <v>0</v>
      </c>
      <c r="J5776" s="212">
        <f>'IWP18'!M$392</f>
        <v>0</v>
      </c>
      <c r="K5776" s="106"/>
      <c r="L5776" s="106"/>
      <c r="M5776" s="129"/>
    </row>
    <row r="5777" spans="1:13" s="146" customFormat="1">
      <c r="A5777" s="193" t="s">
        <v>516</v>
      </c>
      <c r="B5777" s="210">
        <v>3</v>
      </c>
      <c r="C5777" s="191" t="str">
        <f>IF('IWP18'!E$393=0,"",'IWP18'!E$393)</f>
        <v/>
      </c>
      <c r="D5777" s="211">
        <f>'IWP18'!G$393</f>
        <v>0</v>
      </c>
      <c r="E5777" s="211">
        <f>'IWP18'!H$393</f>
        <v>0</v>
      </c>
      <c r="F5777" s="211">
        <f>'IWP18'!I$393</f>
        <v>0</v>
      </c>
      <c r="G5777" s="191" t="str">
        <f>IF('IWP18'!J$393=0,"",'IWP18'!J$393)</f>
        <v/>
      </c>
      <c r="H5777" s="211">
        <f>'IWP18'!K$393</f>
        <v>0</v>
      </c>
      <c r="I5777" s="211">
        <f>'IWP18'!L$393</f>
        <v>0</v>
      </c>
      <c r="J5777" s="212">
        <f>'IWP18'!M$393</f>
        <v>0</v>
      </c>
      <c r="K5777" s="106"/>
      <c r="L5777" s="106"/>
      <c r="M5777" s="129"/>
    </row>
    <row r="5778" spans="1:13" s="146" customFormat="1">
      <c r="A5778" s="193" t="s">
        <v>516</v>
      </c>
      <c r="B5778" s="210">
        <v>3</v>
      </c>
      <c r="C5778" s="191" t="str">
        <f>IF('IWP18'!E$394=0,"",'IWP18'!E$394)</f>
        <v/>
      </c>
      <c r="D5778" s="211">
        <f>'IWP18'!G$394</f>
        <v>0</v>
      </c>
      <c r="E5778" s="211">
        <f>'IWP18'!H$394</f>
        <v>0</v>
      </c>
      <c r="F5778" s="211">
        <f>'IWP18'!I$394</f>
        <v>0</v>
      </c>
      <c r="G5778" s="191" t="str">
        <f>IF('IWP18'!J$394=0,"",'IWP18'!J$394)</f>
        <v/>
      </c>
      <c r="H5778" s="211">
        <f>'IWP18'!K$394</f>
        <v>0</v>
      </c>
      <c r="I5778" s="211">
        <f>'IWP18'!L$394</f>
        <v>0</v>
      </c>
      <c r="J5778" s="212">
        <f>'IWP18'!M$394</f>
        <v>0</v>
      </c>
      <c r="K5778" s="106"/>
      <c r="L5778" s="106"/>
      <c r="M5778" s="129"/>
    </row>
    <row r="5779" spans="1:13" s="146" customFormat="1">
      <c r="A5779" s="193" t="s">
        <v>516</v>
      </c>
      <c r="B5779" s="210">
        <v>3</v>
      </c>
      <c r="C5779" s="191" t="str">
        <f>IF('IWP18'!E$395=0,"",'IWP18'!E$395)</f>
        <v/>
      </c>
      <c r="D5779" s="211">
        <f>'IWP18'!G$395</f>
        <v>0</v>
      </c>
      <c r="E5779" s="211">
        <f>'IWP18'!H$395</f>
        <v>0</v>
      </c>
      <c r="F5779" s="211">
        <f>'IWP18'!I$395</f>
        <v>0</v>
      </c>
      <c r="G5779" s="191" t="str">
        <f>IF('IWP18'!J$395=0,"",'IWP18'!J$395)</f>
        <v/>
      </c>
      <c r="H5779" s="211">
        <f>'IWP18'!K$395</f>
        <v>0</v>
      </c>
      <c r="I5779" s="211">
        <f>'IWP18'!L$395</f>
        <v>0</v>
      </c>
      <c r="J5779" s="212">
        <f>'IWP18'!M$395</f>
        <v>0</v>
      </c>
      <c r="K5779" s="106"/>
      <c r="L5779" s="106"/>
      <c r="M5779" s="129"/>
    </row>
    <row r="5780" spans="1:13" s="146" customFormat="1">
      <c r="A5780" s="193" t="s">
        <v>516</v>
      </c>
      <c r="B5780" s="210">
        <v>3</v>
      </c>
      <c r="C5780" s="191" t="str">
        <f>IF('IWP18'!E$396=0,"",'IWP18'!E$396)</f>
        <v/>
      </c>
      <c r="D5780" s="211">
        <f>'IWP18'!G$396</f>
        <v>0</v>
      </c>
      <c r="E5780" s="211">
        <f>'IWP18'!H$396</f>
        <v>0</v>
      </c>
      <c r="F5780" s="211">
        <f>'IWP18'!I$396</f>
        <v>0</v>
      </c>
      <c r="G5780" s="191" t="str">
        <f>IF('IWP18'!J$396=0,"",'IWP18'!J$396)</f>
        <v/>
      </c>
      <c r="H5780" s="211">
        <f>'IWP18'!K$396</f>
        <v>0</v>
      </c>
      <c r="I5780" s="211">
        <f>'IWP18'!L$396</f>
        <v>0</v>
      </c>
      <c r="J5780" s="212">
        <f>'IWP18'!M$396</f>
        <v>0</v>
      </c>
      <c r="K5780" s="106"/>
      <c r="L5780" s="106"/>
      <c r="M5780" s="129"/>
    </row>
    <row r="5781" spans="1:13" s="146" customFormat="1">
      <c r="A5781" s="193" t="s">
        <v>516</v>
      </c>
      <c r="B5781" s="210">
        <v>4</v>
      </c>
      <c r="C5781" s="191" t="str">
        <f>IF('IWP18'!E$403=0,"",'IWP18'!E$403)</f>
        <v>Subtotal column D.</v>
      </c>
      <c r="D5781" s="211">
        <f>'IWP18'!G$403</f>
        <v>0</v>
      </c>
      <c r="E5781" s="211">
        <f>'IWP18'!H$403</f>
        <v>0</v>
      </c>
      <c r="F5781" s="211">
        <f>'IWP18'!I$403</f>
        <v>0</v>
      </c>
      <c r="G5781" s="191" t="str">
        <f>IF('IWP18'!J$403=0,"",'IWP18'!J$403)</f>
        <v/>
      </c>
      <c r="H5781" s="211">
        <f>'IWP18'!K$403</f>
        <v>0</v>
      </c>
      <c r="I5781" s="211">
        <f>'IWP18'!L$403</f>
        <v>0</v>
      </c>
      <c r="J5781" s="212">
        <f>'IWP18'!M$403</f>
        <v>0</v>
      </c>
      <c r="K5781" s="106"/>
      <c r="L5781" s="106"/>
      <c r="M5781" s="129"/>
    </row>
    <row r="5782" spans="1:13" s="146" customFormat="1">
      <c r="A5782" s="193" t="s">
        <v>516</v>
      </c>
      <c r="B5782" s="210">
        <v>4</v>
      </c>
      <c r="C5782" s="191" t="str">
        <f>IF('IWP18'!E$404=0,"",'IWP18'!E$404)</f>
        <v>Unverified/Undocumented (Subtotal D - C)</v>
      </c>
      <c r="D5782" s="211">
        <f>'IWP18'!G$404</f>
        <v>0</v>
      </c>
      <c r="E5782" s="211">
        <f>'IWP18'!H$404</f>
        <v>0</v>
      </c>
      <c r="F5782" s="211">
        <f>'IWP18'!I$404</f>
        <v>0</v>
      </c>
      <c r="G5782" s="191" t="str">
        <f>IF('IWP18'!J$404=0,"",'IWP18'!J$404)</f>
        <v/>
      </c>
      <c r="H5782" s="211">
        <f>'IWP18'!K$404</f>
        <v>0</v>
      </c>
      <c r="I5782" s="211">
        <f>'IWP18'!L$404</f>
        <v>0</v>
      </c>
      <c r="J5782" s="212">
        <f>'IWP18'!M$404</f>
        <v>0</v>
      </c>
      <c r="K5782" s="106"/>
      <c r="L5782" s="106"/>
      <c r="M5782" s="129"/>
    </row>
    <row r="5783" spans="1:13" s="146" customFormat="1">
      <c r="A5783" s="193" t="s">
        <v>516</v>
      </c>
      <c r="B5783" s="210">
        <v>4</v>
      </c>
      <c r="C5783" s="191" t="str">
        <f>IF('IWP18'!E$405=0,"",'IWP18'!E$405)</f>
        <v>J. Billing Period Total</v>
      </c>
      <c r="D5783" s="211">
        <f>'IWP18'!G$405</f>
        <v>0</v>
      </c>
      <c r="E5783" s="211">
        <f>'IWP18'!H$405</f>
        <v>0</v>
      </c>
      <c r="F5783" s="211">
        <f>'IWP18'!I$405</f>
        <v>0</v>
      </c>
      <c r="G5783" s="191" t="str">
        <f>IF('IWP18'!J$405=0,"",'IWP18'!J$405)</f>
        <v/>
      </c>
      <c r="H5783" s="211">
        <f>'IWP18'!K$405</f>
        <v>0</v>
      </c>
      <c r="I5783" s="211">
        <f>'IWP18'!L$405</f>
        <v>0</v>
      </c>
      <c r="J5783" s="212">
        <f>'IWP18'!M$405</f>
        <v>0</v>
      </c>
      <c r="K5783" s="106"/>
      <c r="L5783" s="106"/>
      <c r="M5783" s="129"/>
    </row>
    <row r="5784" spans="1:13" s="146" customFormat="1">
      <c r="A5784" s="193" t="s">
        <v>516</v>
      </c>
      <c r="B5784" s="210">
        <v>4</v>
      </c>
      <c r="C5784" s="191" t="str">
        <f>IF('IWP18'!E$406=0,"",'IWP18'!E$406)</f>
        <v>D.</v>
      </c>
      <c r="D5784" s="211">
        <f>'IWP18'!G$406</f>
        <v>0</v>
      </c>
      <c r="E5784" s="211" t="str">
        <f>'IWP18'!H$406</f>
        <v>E.</v>
      </c>
      <c r="F5784" s="211" t="str">
        <f>'IWP18'!I$406</f>
        <v>F.</v>
      </c>
      <c r="G5784" s="191" t="str">
        <f>IF('IWP18'!J$406=0,"",'IWP18'!J$406)</f>
        <v>G.</v>
      </c>
      <c r="H5784" s="211">
        <f>'IWP18'!K$406</f>
        <v>0</v>
      </c>
      <c r="I5784" s="211" t="str">
        <f>'IWP18'!L$406</f>
        <v>H.</v>
      </c>
      <c r="J5784" s="212" t="str">
        <f>'IWP18'!M$406</f>
        <v>I.</v>
      </c>
      <c r="K5784" s="106"/>
      <c r="L5784" s="106"/>
      <c r="M5784" s="129"/>
    </row>
    <row r="5785" spans="1:13" s="146" customFormat="1">
      <c r="A5785" s="193" t="s">
        <v>516</v>
      </c>
      <c r="B5785" s="210">
        <v>4</v>
      </c>
      <c r="C5785" s="191" t="str">
        <f>IF('IWP18'!E$407=0,"",'IWP18'!E$407)</f>
        <v xml:space="preserve">Items/Services Related to Billing Period </v>
      </c>
      <c r="D5785" s="211">
        <f>'IWP18'!G$407</f>
        <v>0</v>
      </c>
      <c r="E5785" s="211" t="str">
        <f>'IWP18'!H$407</f>
        <v xml:space="preserve">Item/
Service Verified Amounts
</v>
      </c>
      <c r="F5785" s="211" t="str">
        <f>'IWP18'!I$407</f>
        <v>Amount Due to DADS (E. - D.)</v>
      </c>
      <c r="G5785" s="191" t="str">
        <f>IF('IWP18'!J$407=0,"",'IWP18'!J$407)</f>
        <v>Amount Reimbursed to 
Employee(s)/Employer</v>
      </c>
      <c r="H5785" s="211">
        <f>'IWP18'!K$407</f>
        <v>0</v>
      </c>
      <c r="I5785" s="211" t="str">
        <f>'IWP18'!L$407</f>
        <v>Amount Due to Employee(s) (G. - E.)</v>
      </c>
      <c r="J5785" s="212" t="str">
        <f>'IWP18'!M$407</f>
        <v>Amount Due to Employer (G. - E.)</v>
      </c>
      <c r="K5785" s="106"/>
      <c r="L5785" s="106"/>
      <c r="M5785" s="129"/>
    </row>
    <row r="5786" spans="1:13" s="146" customFormat="1">
      <c r="A5786" s="193" t="s">
        <v>516</v>
      </c>
      <c r="B5786" s="210">
        <v>4</v>
      </c>
      <c r="C5786" s="191" t="str">
        <f>IF('IWP18'!E$408=0,"",'IWP18'!E$408)</f>
        <v>Item/Service</v>
      </c>
      <c r="D5786" s="211" t="str">
        <f>'IWP18'!G$408</f>
        <v>Itemized Amount Paid by DADS</v>
      </c>
      <c r="E5786" s="211">
        <f>'IWP18'!H$408</f>
        <v>0</v>
      </c>
      <c r="F5786" s="211">
        <f>'IWP18'!I$408</f>
        <v>0</v>
      </c>
      <c r="G5786" s="191" t="str">
        <f>IF('IWP18'!J$408=0,"",'IWP18'!J$408)</f>
        <v/>
      </c>
      <c r="H5786" s="211">
        <f>'IWP18'!K$408</f>
        <v>0</v>
      </c>
      <c r="I5786" s="211">
        <f>'IWP18'!L$408</f>
        <v>0</v>
      </c>
      <c r="J5786" s="212">
        <f>'IWP18'!M$408</f>
        <v>0</v>
      </c>
      <c r="K5786" s="106"/>
      <c r="L5786" s="106"/>
      <c r="M5786" s="129"/>
    </row>
    <row r="5787" spans="1:13" s="146" customFormat="1">
      <c r="A5787" s="193" t="s">
        <v>516</v>
      </c>
      <c r="B5787" s="210">
        <v>4</v>
      </c>
      <c r="C5787" s="191" t="str">
        <f>IF('IWP18'!E$409=0,"",'IWP18'!E$409)</f>
        <v/>
      </c>
      <c r="D5787" s="211">
        <f>'IWP18'!G$409</f>
        <v>0</v>
      </c>
      <c r="E5787" s="211">
        <f>'IWP18'!H$409</f>
        <v>0</v>
      </c>
      <c r="F5787" s="211">
        <f>'IWP18'!I$409</f>
        <v>0</v>
      </c>
      <c r="G5787" s="191" t="str">
        <f>IF('IWP18'!J$409=0,"",'IWP18'!J$409)</f>
        <v/>
      </c>
      <c r="H5787" s="211">
        <f>'IWP18'!K$409</f>
        <v>0</v>
      </c>
      <c r="I5787" s="211">
        <f>'IWP18'!L$409</f>
        <v>0</v>
      </c>
      <c r="J5787" s="212">
        <f>'IWP18'!M$409</f>
        <v>0</v>
      </c>
      <c r="K5787" s="106"/>
      <c r="L5787" s="106"/>
      <c r="M5787" s="129"/>
    </row>
    <row r="5788" spans="1:13" s="146" customFormat="1">
      <c r="A5788" s="193" t="s">
        <v>516</v>
      </c>
      <c r="B5788" s="210">
        <v>4</v>
      </c>
      <c r="C5788" s="191" t="str">
        <f>IF('IWP18'!E$410=0,"",'IWP18'!E$410)</f>
        <v/>
      </c>
      <c r="D5788" s="211">
        <f>'IWP18'!G$410</f>
        <v>0</v>
      </c>
      <c r="E5788" s="211">
        <f>'IWP18'!H$410</f>
        <v>0</v>
      </c>
      <c r="F5788" s="211">
        <f>'IWP18'!I$410</f>
        <v>0</v>
      </c>
      <c r="G5788" s="191" t="str">
        <f>IF('IWP18'!J$410=0,"",'IWP18'!J$410)</f>
        <v/>
      </c>
      <c r="H5788" s="211">
        <f>'IWP18'!K$410</f>
        <v>0</v>
      </c>
      <c r="I5788" s="211">
        <f>'IWP18'!L$410</f>
        <v>0</v>
      </c>
      <c r="J5788" s="212">
        <f>'IWP18'!M$410</f>
        <v>0</v>
      </c>
      <c r="K5788" s="106"/>
      <c r="L5788" s="106"/>
      <c r="M5788" s="129"/>
    </row>
    <row r="5789" spans="1:13" s="146" customFormat="1">
      <c r="A5789" s="193" t="s">
        <v>516</v>
      </c>
      <c r="B5789" s="210">
        <v>4</v>
      </c>
      <c r="C5789" s="191" t="str">
        <f>IF('IWP18'!E$411=0,"",'IWP18'!E$411)</f>
        <v/>
      </c>
      <c r="D5789" s="211">
        <f>'IWP18'!G$411</f>
        <v>0</v>
      </c>
      <c r="E5789" s="211">
        <f>'IWP18'!H$411</f>
        <v>0</v>
      </c>
      <c r="F5789" s="211">
        <f>'IWP18'!I$411</f>
        <v>0</v>
      </c>
      <c r="G5789" s="191" t="str">
        <f>IF('IWP18'!J$411=0,"",'IWP18'!J$411)</f>
        <v/>
      </c>
      <c r="H5789" s="211">
        <f>'IWP18'!K$411</f>
        <v>0</v>
      </c>
      <c r="I5789" s="211">
        <f>'IWP18'!L$411</f>
        <v>0</v>
      </c>
      <c r="J5789" s="212">
        <f>'IWP18'!M$411</f>
        <v>0</v>
      </c>
      <c r="K5789" s="106"/>
      <c r="L5789" s="106"/>
      <c r="M5789" s="129"/>
    </row>
    <row r="5790" spans="1:13" s="146" customFormat="1">
      <c r="A5790" s="193" t="s">
        <v>516</v>
      </c>
      <c r="B5790" s="210">
        <v>4</v>
      </c>
      <c r="C5790" s="191" t="str">
        <f>IF('IWP18'!E$412=0,"",'IWP18'!E$412)</f>
        <v/>
      </c>
      <c r="D5790" s="211">
        <f>'IWP18'!G$412</f>
        <v>0</v>
      </c>
      <c r="E5790" s="211">
        <f>'IWP18'!H$412</f>
        <v>0</v>
      </c>
      <c r="F5790" s="211">
        <f>'IWP18'!I$412</f>
        <v>0</v>
      </c>
      <c r="G5790" s="191" t="str">
        <f>IF('IWP18'!J$412=0,"",'IWP18'!J$412)</f>
        <v/>
      </c>
      <c r="H5790" s="211">
        <f>'IWP18'!K$412</f>
        <v>0</v>
      </c>
      <c r="I5790" s="211">
        <f>'IWP18'!L$412</f>
        <v>0</v>
      </c>
      <c r="J5790" s="212">
        <f>'IWP18'!M$412</f>
        <v>0</v>
      </c>
      <c r="K5790" s="106"/>
      <c r="L5790" s="106"/>
      <c r="M5790" s="129"/>
    </row>
    <row r="5791" spans="1:13" s="146" customFormat="1">
      <c r="A5791" s="193" t="s">
        <v>516</v>
      </c>
      <c r="B5791" s="210">
        <v>5</v>
      </c>
      <c r="C5791" s="191" t="str">
        <f>IF('IWP18'!E$419=0,"",'IWP18'!E$419)</f>
        <v>Subtotal column D.</v>
      </c>
      <c r="D5791" s="211">
        <f>'IWP18'!G$419</f>
        <v>0</v>
      </c>
      <c r="E5791" s="211">
        <f>'IWP18'!H$419</f>
        <v>0</v>
      </c>
      <c r="F5791" s="211">
        <f>'IWP18'!I$419</f>
        <v>0</v>
      </c>
      <c r="G5791" s="191" t="str">
        <f>IF('IWP18'!J$419=0,"",'IWP18'!J$419)</f>
        <v/>
      </c>
      <c r="H5791" s="211">
        <f>'IWP18'!K$419</f>
        <v>0</v>
      </c>
      <c r="I5791" s="211">
        <f>'IWP18'!L$419</f>
        <v>0</v>
      </c>
      <c r="J5791" s="212">
        <f>'IWP18'!M$419</f>
        <v>0</v>
      </c>
      <c r="K5791" s="106"/>
      <c r="L5791" s="106"/>
      <c r="M5791" s="129"/>
    </row>
    <row r="5792" spans="1:13" s="146" customFormat="1">
      <c r="A5792" s="193" t="s">
        <v>516</v>
      </c>
      <c r="B5792" s="210">
        <v>5</v>
      </c>
      <c r="C5792" s="191" t="str">
        <f>IF('IWP18'!E$420=0,"",'IWP18'!E$420)</f>
        <v>Unverified/Undocumented (Subtotal D - C)</v>
      </c>
      <c r="D5792" s="211">
        <f>'IWP18'!G$420</f>
        <v>0</v>
      </c>
      <c r="E5792" s="211">
        <f>'IWP18'!H$420</f>
        <v>0</v>
      </c>
      <c r="F5792" s="211">
        <f>'IWP18'!I$420</f>
        <v>0</v>
      </c>
      <c r="G5792" s="191" t="str">
        <f>IF('IWP18'!J$420=0,"",'IWP18'!J$420)</f>
        <v/>
      </c>
      <c r="H5792" s="211">
        <f>'IWP18'!K$420</f>
        <v>0</v>
      </c>
      <c r="I5792" s="211">
        <f>'IWP18'!L$420</f>
        <v>0</v>
      </c>
      <c r="J5792" s="212">
        <f>'IWP18'!M$420</f>
        <v>0</v>
      </c>
      <c r="K5792" s="106"/>
      <c r="L5792" s="106"/>
      <c r="M5792" s="129"/>
    </row>
    <row r="5793" spans="1:13" s="146" customFormat="1">
      <c r="A5793" s="193" t="s">
        <v>516</v>
      </c>
      <c r="B5793" s="210">
        <v>5</v>
      </c>
      <c r="C5793" s="191" t="str">
        <f>IF('IWP18'!E$421=0,"",'IWP18'!E$421)</f>
        <v>J. Billing Period Total</v>
      </c>
      <c r="D5793" s="211">
        <f>'IWP18'!G$421</f>
        <v>0</v>
      </c>
      <c r="E5793" s="211">
        <f>'IWP18'!H$421</f>
        <v>0</v>
      </c>
      <c r="F5793" s="211">
        <f>'IWP18'!I$421</f>
        <v>0</v>
      </c>
      <c r="G5793" s="191" t="str">
        <f>IF('IWP18'!J$421=0,"",'IWP18'!J$421)</f>
        <v/>
      </c>
      <c r="H5793" s="211">
        <f>'IWP18'!K$421</f>
        <v>0</v>
      </c>
      <c r="I5793" s="211">
        <f>'IWP18'!L$421</f>
        <v>0</v>
      </c>
      <c r="J5793" s="212">
        <f>'IWP18'!M$421</f>
        <v>0</v>
      </c>
      <c r="K5793" s="106"/>
      <c r="L5793" s="106"/>
      <c r="M5793" s="129"/>
    </row>
    <row r="5794" spans="1:13" s="146" customFormat="1">
      <c r="A5794" s="193" t="s">
        <v>516</v>
      </c>
      <c r="B5794" s="210">
        <v>5</v>
      </c>
      <c r="C5794" s="191" t="str">
        <f>IF('IWP18'!E$422=0,"",'IWP18'!E$422)</f>
        <v>D.</v>
      </c>
      <c r="D5794" s="211">
        <f>'IWP18'!G$422</f>
        <v>0</v>
      </c>
      <c r="E5794" s="211" t="str">
        <f>'IWP18'!H$422</f>
        <v>E.</v>
      </c>
      <c r="F5794" s="211" t="str">
        <f>'IWP18'!I$422</f>
        <v>F.</v>
      </c>
      <c r="G5794" s="191" t="str">
        <f>IF('IWP18'!J$422=0,"",'IWP18'!J$422)</f>
        <v>G.</v>
      </c>
      <c r="H5794" s="211">
        <f>'IWP18'!K$422</f>
        <v>0</v>
      </c>
      <c r="I5794" s="211" t="str">
        <f>'IWP18'!L$422</f>
        <v>H.</v>
      </c>
      <c r="J5794" s="212" t="str">
        <f>'IWP18'!M$422</f>
        <v>I.</v>
      </c>
      <c r="K5794" s="106"/>
      <c r="L5794" s="106"/>
      <c r="M5794" s="129"/>
    </row>
    <row r="5795" spans="1:13" s="146" customFormat="1">
      <c r="A5795" s="193" t="s">
        <v>516</v>
      </c>
      <c r="B5795" s="210">
        <v>5</v>
      </c>
      <c r="C5795" s="191" t="str">
        <f>IF('IWP18'!E$423=0,"",'IWP18'!E$423)</f>
        <v xml:space="preserve">Items/Services Related to Billing Period </v>
      </c>
      <c r="D5795" s="211">
        <f>'IWP18'!G$423</f>
        <v>0</v>
      </c>
      <c r="E5795" s="211" t="str">
        <f>'IWP18'!H$423</f>
        <v xml:space="preserve">Item/
Service Verified Amounts
</v>
      </c>
      <c r="F5795" s="211" t="str">
        <f>'IWP18'!I$423</f>
        <v>Amount Due to DADS (E. - D.)</v>
      </c>
      <c r="G5795" s="191" t="str">
        <f>IF('IWP18'!J$423=0,"",'IWP18'!J$423)</f>
        <v>Amount Reimbursed to 
Employee(s)/Employer</v>
      </c>
      <c r="H5795" s="211">
        <f>'IWP18'!K$423</f>
        <v>0</v>
      </c>
      <c r="I5795" s="211" t="str">
        <f>'IWP18'!L$423</f>
        <v>Amount Due to Employee(s) (G. - E.)</v>
      </c>
      <c r="J5795" s="212" t="str">
        <f>'IWP18'!M$423</f>
        <v>Amount Due to Employer (G. - E.)</v>
      </c>
      <c r="K5795" s="106"/>
      <c r="L5795" s="106"/>
      <c r="M5795" s="129"/>
    </row>
    <row r="5796" spans="1:13" s="146" customFormat="1">
      <c r="A5796" s="193" t="s">
        <v>516</v>
      </c>
      <c r="B5796" s="210">
        <v>5</v>
      </c>
      <c r="C5796" s="191" t="str">
        <f>IF('IWP18'!E$424=0,"",'IWP18'!E$424)</f>
        <v>Item/Service</v>
      </c>
      <c r="D5796" s="211" t="str">
        <f>'IWP18'!G$424</f>
        <v>Itemized Amount Paid by DADS</v>
      </c>
      <c r="E5796" s="211">
        <f>'IWP18'!H$424</f>
        <v>0</v>
      </c>
      <c r="F5796" s="211">
        <f>'IWP18'!I$424</f>
        <v>0</v>
      </c>
      <c r="G5796" s="191" t="str">
        <f>IF('IWP18'!J$424=0,"",'IWP18'!J$424)</f>
        <v/>
      </c>
      <c r="H5796" s="211">
        <f>'IWP18'!K$424</f>
        <v>0</v>
      </c>
      <c r="I5796" s="211">
        <f>'IWP18'!L$424</f>
        <v>0</v>
      </c>
      <c r="J5796" s="212">
        <f>'IWP18'!M$424</f>
        <v>0</v>
      </c>
      <c r="K5796" s="106"/>
      <c r="L5796" s="106"/>
      <c r="M5796" s="129"/>
    </row>
    <row r="5797" spans="1:13" s="146" customFormat="1">
      <c r="A5797" s="193" t="s">
        <v>516</v>
      </c>
      <c r="B5797" s="210">
        <v>5</v>
      </c>
      <c r="C5797" s="191" t="str">
        <f>IF('IWP18'!E$425=0,"",'IWP18'!E$425)</f>
        <v/>
      </c>
      <c r="D5797" s="211">
        <f>'IWP18'!G$425</f>
        <v>0</v>
      </c>
      <c r="E5797" s="211">
        <f>'IWP18'!H$425</f>
        <v>0</v>
      </c>
      <c r="F5797" s="211">
        <f>'IWP18'!I$425</f>
        <v>0</v>
      </c>
      <c r="G5797" s="191" t="str">
        <f>IF('IWP18'!J$425=0,"",'IWP18'!J$425)</f>
        <v/>
      </c>
      <c r="H5797" s="211">
        <f>'IWP18'!K$425</f>
        <v>0</v>
      </c>
      <c r="I5797" s="211">
        <f>'IWP18'!L$425</f>
        <v>0</v>
      </c>
      <c r="J5797" s="212">
        <f>'IWP18'!M$425</f>
        <v>0</v>
      </c>
      <c r="K5797" s="106"/>
      <c r="L5797" s="106"/>
      <c r="M5797" s="129"/>
    </row>
    <row r="5798" spans="1:13" s="146" customFormat="1">
      <c r="A5798" s="193" t="s">
        <v>516</v>
      </c>
      <c r="B5798" s="210">
        <v>5</v>
      </c>
      <c r="C5798" s="191" t="str">
        <f>IF('IWP18'!E$426=0,"",'IWP18'!E$426)</f>
        <v/>
      </c>
      <c r="D5798" s="211">
        <f>'IWP18'!G$426</f>
        <v>0</v>
      </c>
      <c r="E5798" s="211">
        <f>'IWP18'!H$426</f>
        <v>0</v>
      </c>
      <c r="F5798" s="211">
        <f>'IWP18'!I$426</f>
        <v>0</v>
      </c>
      <c r="G5798" s="191" t="str">
        <f>IF('IWP18'!J$426=0,"",'IWP18'!J$426)</f>
        <v/>
      </c>
      <c r="H5798" s="211">
        <f>'IWP18'!K$426</f>
        <v>0</v>
      </c>
      <c r="I5798" s="211">
        <f>'IWP18'!L$426</f>
        <v>0</v>
      </c>
      <c r="J5798" s="212">
        <f>'IWP18'!M$426</f>
        <v>0</v>
      </c>
      <c r="K5798" s="106"/>
      <c r="L5798" s="106"/>
      <c r="M5798" s="129"/>
    </row>
    <row r="5799" spans="1:13" s="146" customFormat="1">
      <c r="A5799" s="193" t="s">
        <v>516</v>
      </c>
      <c r="B5799" s="210">
        <v>5</v>
      </c>
      <c r="C5799" s="191" t="str">
        <f>IF('IWP18'!E$427=0,"",'IWP18'!E$427)</f>
        <v/>
      </c>
      <c r="D5799" s="211">
        <f>'IWP18'!G$427</f>
        <v>0</v>
      </c>
      <c r="E5799" s="211">
        <f>'IWP18'!H$427</f>
        <v>0</v>
      </c>
      <c r="F5799" s="211">
        <f>'IWP18'!I$427</f>
        <v>0</v>
      </c>
      <c r="G5799" s="191" t="str">
        <f>IF('IWP18'!J$427=0,"",'IWP18'!J$427)</f>
        <v/>
      </c>
      <c r="H5799" s="211">
        <f>'IWP18'!K$427</f>
        <v>0</v>
      </c>
      <c r="I5799" s="211">
        <f>'IWP18'!L$427</f>
        <v>0</v>
      </c>
      <c r="J5799" s="212">
        <f>'IWP18'!M$427</f>
        <v>0</v>
      </c>
      <c r="K5799" s="106"/>
      <c r="L5799" s="106"/>
      <c r="M5799" s="129"/>
    </row>
    <row r="5800" spans="1:13" s="146" customFormat="1">
      <c r="A5800" s="193" t="s">
        <v>516</v>
      </c>
      <c r="B5800" s="210">
        <v>5</v>
      </c>
      <c r="C5800" s="191" t="str">
        <f>IF('IWP18'!E$428=0,"",'IWP18'!E$428)</f>
        <v/>
      </c>
      <c r="D5800" s="211">
        <f>'IWP18'!G$428</f>
        <v>0</v>
      </c>
      <c r="E5800" s="211">
        <f>'IWP18'!H$428</f>
        <v>0</v>
      </c>
      <c r="F5800" s="211">
        <f>'IWP18'!I$428</f>
        <v>0</v>
      </c>
      <c r="G5800" s="191" t="str">
        <f>IF('IWP18'!J$428=0,"",'IWP18'!J$428)</f>
        <v/>
      </c>
      <c r="H5800" s="211">
        <f>'IWP18'!K$428</f>
        <v>0</v>
      </c>
      <c r="I5800" s="211">
        <f>'IWP18'!L$428</f>
        <v>0</v>
      </c>
      <c r="J5800" s="212">
        <f>'IWP18'!M$428</f>
        <v>0</v>
      </c>
      <c r="K5800" s="106"/>
      <c r="L5800" s="106"/>
      <c r="M5800" s="129"/>
    </row>
    <row r="5801" spans="1:13" s="146" customFormat="1">
      <c r="A5801" s="193" t="s">
        <v>516</v>
      </c>
      <c r="B5801" s="210">
        <v>6</v>
      </c>
      <c r="C5801" s="191" t="str">
        <f>IF('IWP18'!E$435=0,"",'IWP18'!E$435)</f>
        <v>Subtotal column D.</v>
      </c>
      <c r="D5801" s="211">
        <f>'IWP18'!G$435</f>
        <v>0</v>
      </c>
      <c r="E5801" s="211">
        <f>'IWP18'!H$435</f>
        <v>0</v>
      </c>
      <c r="F5801" s="211">
        <f>'IWP18'!I$435</f>
        <v>0</v>
      </c>
      <c r="G5801" s="191" t="str">
        <f>IF('IWP18'!J$435=0,"",'IWP18'!J$435)</f>
        <v/>
      </c>
      <c r="H5801" s="211">
        <f>'IWP18'!K$435</f>
        <v>0</v>
      </c>
      <c r="I5801" s="211">
        <f>'IWP18'!L$435</f>
        <v>0</v>
      </c>
      <c r="J5801" s="212">
        <f>'IWP18'!M$435</f>
        <v>0</v>
      </c>
      <c r="K5801" s="106"/>
      <c r="L5801" s="106"/>
      <c r="M5801" s="129"/>
    </row>
    <row r="5802" spans="1:13" s="146" customFormat="1">
      <c r="A5802" s="193" t="s">
        <v>516</v>
      </c>
      <c r="B5802" s="210">
        <v>6</v>
      </c>
      <c r="C5802" s="191" t="str">
        <f>IF('IWP18'!E$436=0,"",'IWP18'!E$436)</f>
        <v>Unverified/Undocumented (Subtotal D - C)</v>
      </c>
      <c r="D5802" s="211">
        <f>'IWP18'!G$436</f>
        <v>0</v>
      </c>
      <c r="E5802" s="211">
        <f>'IWP18'!H$436</f>
        <v>0</v>
      </c>
      <c r="F5802" s="211">
        <f>'IWP18'!I$436</f>
        <v>0</v>
      </c>
      <c r="G5802" s="191" t="str">
        <f>IF('IWP18'!J$436=0,"",'IWP18'!J$436)</f>
        <v/>
      </c>
      <c r="H5802" s="211">
        <f>'IWP18'!K$436</f>
        <v>0</v>
      </c>
      <c r="I5802" s="211">
        <f>'IWP18'!L$436</f>
        <v>0</v>
      </c>
      <c r="J5802" s="212">
        <f>'IWP18'!M$436</f>
        <v>0</v>
      </c>
      <c r="K5802" s="106"/>
      <c r="L5802" s="106"/>
      <c r="M5802" s="129"/>
    </row>
    <row r="5803" spans="1:13" s="146" customFormat="1">
      <c r="A5803" s="193" t="s">
        <v>516</v>
      </c>
      <c r="B5803" s="210">
        <v>6</v>
      </c>
      <c r="C5803" s="191" t="str">
        <f>IF('IWP18'!E$437=0,"",'IWP18'!E$437)</f>
        <v>J. Billing Period Total</v>
      </c>
      <c r="D5803" s="211">
        <f>'IWP18'!G$437</f>
        <v>0</v>
      </c>
      <c r="E5803" s="211">
        <f>'IWP18'!H$437</f>
        <v>0</v>
      </c>
      <c r="F5803" s="211">
        <f>'IWP18'!I$437</f>
        <v>0</v>
      </c>
      <c r="G5803" s="191" t="str">
        <f>IF('IWP18'!J$437=0,"",'IWP18'!J$437)</f>
        <v/>
      </c>
      <c r="H5803" s="211">
        <f>'IWP18'!K$437</f>
        <v>0</v>
      </c>
      <c r="I5803" s="211">
        <f>'IWP18'!L$437</f>
        <v>0</v>
      </c>
      <c r="J5803" s="212">
        <f>'IWP18'!M$437</f>
        <v>0</v>
      </c>
      <c r="K5803" s="106"/>
      <c r="L5803" s="106"/>
      <c r="M5803" s="129"/>
    </row>
    <row r="5804" spans="1:13" s="146" customFormat="1">
      <c r="A5804" s="193" t="s">
        <v>516</v>
      </c>
      <c r="B5804" s="210">
        <v>6</v>
      </c>
      <c r="C5804" s="191" t="str">
        <f>IF('IWP18'!E$438=0,"",'IWP18'!E$438)</f>
        <v>D.</v>
      </c>
      <c r="D5804" s="211">
        <f>'IWP18'!G$438</f>
        <v>0</v>
      </c>
      <c r="E5804" s="211" t="str">
        <f>'IWP18'!H$438</f>
        <v>E.</v>
      </c>
      <c r="F5804" s="211" t="str">
        <f>'IWP18'!I$438</f>
        <v>F.</v>
      </c>
      <c r="G5804" s="191" t="str">
        <f>IF('IWP18'!J$438=0,"",'IWP18'!J$438)</f>
        <v>G.</v>
      </c>
      <c r="H5804" s="211">
        <f>'IWP18'!K$438</f>
        <v>0</v>
      </c>
      <c r="I5804" s="211" t="str">
        <f>'IWP18'!L$438</f>
        <v>H.</v>
      </c>
      <c r="J5804" s="212" t="str">
        <f>'IWP18'!M$438</f>
        <v>I.</v>
      </c>
      <c r="K5804" s="106"/>
      <c r="L5804" s="106"/>
      <c r="M5804" s="129"/>
    </row>
    <row r="5805" spans="1:13" s="146" customFormat="1">
      <c r="A5805" s="193" t="s">
        <v>516</v>
      </c>
      <c r="B5805" s="210">
        <v>6</v>
      </c>
      <c r="C5805" s="191" t="str">
        <f>IF('IWP18'!E$439=0,"",'IWP18'!E$439)</f>
        <v xml:space="preserve">Items/Services Related to Billing Period </v>
      </c>
      <c r="D5805" s="211">
        <f>'IWP18'!G$439</f>
        <v>0</v>
      </c>
      <c r="E5805" s="211" t="str">
        <f>'IWP18'!H$439</f>
        <v xml:space="preserve">Item/
Service Verified Amounts
</v>
      </c>
      <c r="F5805" s="211" t="str">
        <f>'IWP18'!I$439</f>
        <v>Amount Due to DADS (E. - D.)</v>
      </c>
      <c r="G5805" s="191" t="str">
        <f>IF('IWP18'!J$439=0,"",'IWP18'!J$439)</f>
        <v>Amount Reimbursed to 
Employee(s)/Employer</v>
      </c>
      <c r="H5805" s="211">
        <f>'IWP18'!K$439</f>
        <v>0</v>
      </c>
      <c r="I5805" s="211" t="str">
        <f>'IWP18'!L$439</f>
        <v>Amount Due to Employee(s) (G. - E.)</v>
      </c>
      <c r="J5805" s="212" t="str">
        <f>'IWP18'!M$439</f>
        <v>Amount Due to Employer (G. - E.)</v>
      </c>
      <c r="K5805" s="106"/>
      <c r="L5805" s="106"/>
      <c r="M5805" s="129"/>
    </row>
    <row r="5806" spans="1:13" s="146" customFormat="1">
      <c r="A5806" s="193" t="s">
        <v>516</v>
      </c>
      <c r="B5806" s="210">
        <v>6</v>
      </c>
      <c r="C5806" s="191" t="str">
        <f>IF('IWP18'!E$440=0,"",'IWP18'!E$440)</f>
        <v>Item/Service</v>
      </c>
      <c r="D5806" s="211" t="str">
        <f>'IWP18'!G$440</f>
        <v>Itemized Amount Paid by DADS</v>
      </c>
      <c r="E5806" s="211">
        <f>'IWP18'!H$440</f>
        <v>0</v>
      </c>
      <c r="F5806" s="211">
        <f>'IWP18'!I$440</f>
        <v>0</v>
      </c>
      <c r="G5806" s="191" t="str">
        <f>IF('IWP18'!J$440=0,"",'IWP18'!J$440)</f>
        <v/>
      </c>
      <c r="H5806" s="211">
        <f>'IWP18'!K$440</f>
        <v>0</v>
      </c>
      <c r="I5806" s="211">
        <f>'IWP18'!L$440</f>
        <v>0</v>
      </c>
      <c r="J5806" s="212">
        <f>'IWP18'!M$440</f>
        <v>0</v>
      </c>
      <c r="K5806" s="106"/>
      <c r="L5806" s="106"/>
      <c r="M5806" s="129"/>
    </row>
    <row r="5807" spans="1:13" s="146" customFormat="1">
      <c r="A5807" s="193" t="s">
        <v>516</v>
      </c>
      <c r="B5807" s="210">
        <v>6</v>
      </c>
      <c r="C5807" s="191" t="str">
        <f>IF('IWP18'!E$441=0,"",'IWP18'!E$441)</f>
        <v/>
      </c>
      <c r="D5807" s="211">
        <f>'IWP18'!G$441</f>
        <v>0</v>
      </c>
      <c r="E5807" s="211">
        <f>'IWP18'!H$441</f>
        <v>0</v>
      </c>
      <c r="F5807" s="211">
        <f>'IWP18'!I$441</f>
        <v>0</v>
      </c>
      <c r="G5807" s="191" t="str">
        <f>IF('IWP18'!J$441=0,"",'IWP18'!J$441)</f>
        <v/>
      </c>
      <c r="H5807" s="211">
        <f>'IWP18'!K$441</f>
        <v>0</v>
      </c>
      <c r="I5807" s="211">
        <f>'IWP18'!L$441</f>
        <v>0</v>
      </c>
      <c r="J5807" s="212">
        <f>'IWP18'!M$441</f>
        <v>0</v>
      </c>
      <c r="K5807" s="106"/>
      <c r="L5807" s="106"/>
      <c r="M5807" s="129"/>
    </row>
    <row r="5808" spans="1:13" s="146" customFormat="1">
      <c r="A5808" s="193" t="s">
        <v>516</v>
      </c>
      <c r="B5808" s="210">
        <v>6</v>
      </c>
      <c r="C5808" s="191" t="str">
        <f>IF('IWP18'!E$442=0,"",'IWP18'!E$442)</f>
        <v/>
      </c>
      <c r="D5808" s="211">
        <f>'IWP18'!G$442</f>
        <v>0</v>
      </c>
      <c r="E5808" s="211">
        <f>'IWP18'!H$442</f>
        <v>0</v>
      </c>
      <c r="F5808" s="211">
        <f>'IWP18'!I$442</f>
        <v>0</v>
      </c>
      <c r="G5808" s="191" t="str">
        <f>IF('IWP18'!J$442=0,"",'IWP18'!J$442)</f>
        <v/>
      </c>
      <c r="H5808" s="211">
        <f>'IWP18'!K$442</f>
        <v>0</v>
      </c>
      <c r="I5808" s="211">
        <f>'IWP18'!L$442</f>
        <v>0</v>
      </c>
      <c r="J5808" s="212">
        <f>'IWP18'!M$442</f>
        <v>0</v>
      </c>
      <c r="K5808" s="106"/>
      <c r="L5808" s="106"/>
      <c r="M5808" s="129"/>
    </row>
    <row r="5809" spans="1:13" s="146" customFormat="1">
      <c r="A5809" s="193" t="s">
        <v>516</v>
      </c>
      <c r="B5809" s="210">
        <v>6</v>
      </c>
      <c r="C5809" s="191" t="str">
        <f>IF('IWP18'!E$443=0,"",'IWP18'!E$443)</f>
        <v/>
      </c>
      <c r="D5809" s="211">
        <f>'IWP18'!G$443</f>
        <v>0</v>
      </c>
      <c r="E5809" s="211">
        <f>'IWP18'!H$443</f>
        <v>0</v>
      </c>
      <c r="F5809" s="211">
        <f>'IWP18'!I$443</f>
        <v>0</v>
      </c>
      <c r="G5809" s="191" t="str">
        <f>IF('IWP18'!J$443=0,"",'IWP18'!J$443)</f>
        <v/>
      </c>
      <c r="H5809" s="211">
        <f>'IWP18'!K$443</f>
        <v>0</v>
      </c>
      <c r="I5809" s="211">
        <f>'IWP18'!L$443</f>
        <v>0</v>
      </c>
      <c r="J5809" s="212">
        <f>'IWP18'!M$443</f>
        <v>0</v>
      </c>
      <c r="K5809" s="106"/>
      <c r="L5809" s="106"/>
      <c r="M5809" s="129"/>
    </row>
    <row r="5810" spans="1:13" s="146" customFormat="1">
      <c r="A5810" s="193" t="s">
        <v>516</v>
      </c>
      <c r="B5810" s="210">
        <v>6</v>
      </c>
      <c r="C5810" s="191" t="str">
        <f>IF('IWP18'!E$444=0,"",'IWP18'!E$444)</f>
        <v/>
      </c>
      <c r="D5810" s="211">
        <f>'IWP18'!G$444</f>
        <v>0</v>
      </c>
      <c r="E5810" s="211">
        <f>'IWP18'!H$444</f>
        <v>0</v>
      </c>
      <c r="F5810" s="211">
        <f>'IWP18'!I$444</f>
        <v>0</v>
      </c>
      <c r="G5810" s="191" t="str">
        <f>IF('IWP18'!J$444=0,"",'IWP18'!J$444)</f>
        <v/>
      </c>
      <c r="H5810" s="211">
        <f>'IWP18'!K$444</f>
        <v>0</v>
      </c>
      <c r="I5810" s="211">
        <f>'IWP18'!L$444</f>
        <v>0</v>
      </c>
      <c r="J5810" s="212">
        <f>'IWP18'!M$444</f>
        <v>0</v>
      </c>
      <c r="K5810" s="106"/>
      <c r="L5810" s="106"/>
      <c r="M5810" s="129"/>
    </row>
    <row r="5811" spans="1:13" s="146" customFormat="1">
      <c r="A5811" s="193" t="s">
        <v>516</v>
      </c>
      <c r="B5811" s="210">
        <v>7</v>
      </c>
      <c r="C5811" s="191" t="str">
        <f>IF('IWP18'!E$451=0,"",'IWP18'!E$451)</f>
        <v>Subtotal column D.</v>
      </c>
      <c r="D5811" s="211">
        <f>'IWP18'!G$451</f>
        <v>0</v>
      </c>
      <c r="E5811" s="211">
        <f>'IWP18'!H$451</f>
        <v>0</v>
      </c>
      <c r="F5811" s="211">
        <f>'IWP18'!I$451</f>
        <v>0</v>
      </c>
      <c r="G5811" s="191" t="str">
        <f>IF('IWP18'!J$451=0,"",'IWP18'!J$451)</f>
        <v/>
      </c>
      <c r="H5811" s="211">
        <f>'IWP18'!K$451</f>
        <v>0</v>
      </c>
      <c r="I5811" s="211">
        <f>'IWP18'!L$451</f>
        <v>0</v>
      </c>
      <c r="J5811" s="212">
        <f>'IWP18'!M$451</f>
        <v>0</v>
      </c>
      <c r="K5811" s="106"/>
      <c r="L5811" s="106"/>
      <c r="M5811" s="129"/>
    </row>
    <row r="5812" spans="1:13" s="146" customFormat="1">
      <c r="A5812" s="193" t="s">
        <v>516</v>
      </c>
      <c r="B5812" s="210">
        <v>7</v>
      </c>
      <c r="C5812" s="191" t="str">
        <f>IF('IWP18'!E$452=0,"",'IWP18'!E$452)</f>
        <v>Unverified/Undocumented (Subtotal D - C)</v>
      </c>
      <c r="D5812" s="211">
        <f>'IWP18'!G$452</f>
        <v>0</v>
      </c>
      <c r="E5812" s="211">
        <f>'IWP18'!H$452</f>
        <v>0</v>
      </c>
      <c r="F5812" s="211">
        <f>'IWP18'!I$452</f>
        <v>0</v>
      </c>
      <c r="G5812" s="191" t="str">
        <f>IF('IWP18'!J$452=0,"",'IWP18'!J$452)</f>
        <v/>
      </c>
      <c r="H5812" s="211">
        <f>'IWP18'!K$452</f>
        <v>0</v>
      </c>
      <c r="I5812" s="211">
        <f>'IWP18'!L$452</f>
        <v>0</v>
      </c>
      <c r="J5812" s="212">
        <f>'IWP18'!M$452</f>
        <v>0</v>
      </c>
      <c r="K5812" s="106"/>
      <c r="L5812" s="106"/>
      <c r="M5812" s="129"/>
    </row>
    <row r="5813" spans="1:13" s="146" customFormat="1">
      <c r="A5813" s="193" t="s">
        <v>516</v>
      </c>
      <c r="B5813" s="210">
        <v>7</v>
      </c>
      <c r="C5813" s="191" t="str">
        <f>IF('IWP18'!E$453=0,"",'IWP18'!E$453)</f>
        <v>J. Billing Period Total</v>
      </c>
      <c r="D5813" s="211">
        <f>'IWP18'!G$453</f>
        <v>0</v>
      </c>
      <c r="E5813" s="211">
        <f>'IWP18'!H$453</f>
        <v>0</v>
      </c>
      <c r="F5813" s="211">
        <f>'IWP18'!I$453</f>
        <v>0</v>
      </c>
      <c r="G5813" s="191" t="str">
        <f>IF('IWP18'!J$453=0,"",'IWP18'!J$453)</f>
        <v/>
      </c>
      <c r="H5813" s="211">
        <f>'IWP18'!K$453</f>
        <v>0</v>
      </c>
      <c r="I5813" s="211">
        <f>'IWP18'!L$453</f>
        <v>0</v>
      </c>
      <c r="J5813" s="212">
        <f>'IWP18'!M$453</f>
        <v>0</v>
      </c>
      <c r="K5813" s="106"/>
      <c r="L5813" s="106"/>
      <c r="M5813" s="129"/>
    </row>
    <row r="5814" spans="1:13" s="146" customFormat="1">
      <c r="A5814" s="193" t="s">
        <v>516</v>
      </c>
      <c r="B5814" s="210">
        <v>7</v>
      </c>
      <c r="C5814" s="191" t="str">
        <f>IF('IWP18'!E$454=0,"",'IWP18'!E$454)</f>
        <v>D.</v>
      </c>
      <c r="D5814" s="211">
        <f>'IWP18'!G$454</f>
        <v>0</v>
      </c>
      <c r="E5814" s="211" t="str">
        <f>'IWP18'!H$454</f>
        <v>E.</v>
      </c>
      <c r="F5814" s="211" t="str">
        <f>'IWP18'!I$454</f>
        <v>F.</v>
      </c>
      <c r="G5814" s="191" t="str">
        <f>IF('IWP18'!J$454=0,"",'IWP18'!J$454)</f>
        <v>G.</v>
      </c>
      <c r="H5814" s="211">
        <f>'IWP18'!K$454</f>
        <v>0</v>
      </c>
      <c r="I5814" s="211" t="str">
        <f>'IWP18'!L$454</f>
        <v>H.</v>
      </c>
      <c r="J5814" s="212" t="str">
        <f>'IWP18'!M$454</f>
        <v>I.</v>
      </c>
      <c r="K5814" s="106"/>
      <c r="L5814" s="106"/>
      <c r="M5814" s="129"/>
    </row>
    <row r="5815" spans="1:13" s="146" customFormat="1">
      <c r="A5815" s="193" t="s">
        <v>516</v>
      </c>
      <c r="B5815" s="210">
        <v>7</v>
      </c>
      <c r="C5815" s="191" t="str">
        <f>IF('IWP18'!E$455=0,"",'IWP18'!E$455)</f>
        <v xml:space="preserve">Items/Services Related to Billing Period </v>
      </c>
      <c r="D5815" s="211">
        <f>'IWP18'!G$455</f>
        <v>0</v>
      </c>
      <c r="E5815" s="211" t="str">
        <f>'IWP18'!H$455</f>
        <v xml:space="preserve">Item/
Service Verified Amounts
</v>
      </c>
      <c r="F5815" s="211" t="str">
        <f>'IWP18'!I$455</f>
        <v>Amount Due to DADS (E. - D.)</v>
      </c>
      <c r="G5815" s="191" t="str">
        <f>IF('IWP18'!J$455=0,"",'IWP18'!J$455)</f>
        <v>Amount Reimbursed to 
Employee(s)/Employer</v>
      </c>
      <c r="H5815" s="211">
        <f>'IWP18'!K$455</f>
        <v>0</v>
      </c>
      <c r="I5815" s="211" t="str">
        <f>'IWP18'!L$455</f>
        <v>Amount Due to Employee(s) (G. - E.)</v>
      </c>
      <c r="J5815" s="212" t="str">
        <f>'IWP18'!M$455</f>
        <v>Amount Due to Employer (G. - E.)</v>
      </c>
      <c r="K5815" s="106"/>
      <c r="L5815" s="106"/>
      <c r="M5815" s="129"/>
    </row>
    <row r="5816" spans="1:13" s="146" customFormat="1">
      <c r="A5816" s="193" t="s">
        <v>516</v>
      </c>
      <c r="B5816" s="210">
        <v>7</v>
      </c>
      <c r="C5816" s="191" t="str">
        <f>IF('IWP18'!E$456=0,"",'IWP18'!E$456)</f>
        <v>Item/Service</v>
      </c>
      <c r="D5816" s="211" t="str">
        <f>'IWP18'!G$456</f>
        <v>Itemized Amount Paid by DADS</v>
      </c>
      <c r="E5816" s="211">
        <f>'IWP18'!H$456</f>
        <v>0</v>
      </c>
      <c r="F5816" s="211">
        <f>'IWP18'!I$456</f>
        <v>0</v>
      </c>
      <c r="G5816" s="191" t="str">
        <f>IF('IWP18'!J$456=0,"",'IWP18'!J$456)</f>
        <v/>
      </c>
      <c r="H5816" s="211">
        <f>'IWP18'!K$456</f>
        <v>0</v>
      </c>
      <c r="I5816" s="211">
        <f>'IWP18'!L$456</f>
        <v>0</v>
      </c>
      <c r="J5816" s="212">
        <f>'IWP18'!M$456</f>
        <v>0</v>
      </c>
      <c r="K5816" s="106"/>
      <c r="L5816" s="106"/>
      <c r="M5816" s="129"/>
    </row>
    <row r="5817" spans="1:13" s="146" customFormat="1">
      <c r="A5817" s="193" t="s">
        <v>516</v>
      </c>
      <c r="B5817" s="210">
        <v>7</v>
      </c>
      <c r="C5817" s="191" t="str">
        <f>IF('IWP18'!E$457=0,"",'IWP18'!E$457)</f>
        <v/>
      </c>
      <c r="D5817" s="211">
        <f>'IWP18'!G$457</f>
        <v>0</v>
      </c>
      <c r="E5817" s="211">
        <f>'IWP18'!H$457</f>
        <v>0</v>
      </c>
      <c r="F5817" s="211">
        <f>'IWP18'!I$457</f>
        <v>0</v>
      </c>
      <c r="G5817" s="191" t="str">
        <f>IF('IWP18'!J$457=0,"",'IWP18'!J$457)</f>
        <v/>
      </c>
      <c r="H5817" s="211">
        <f>'IWP18'!K$457</f>
        <v>0</v>
      </c>
      <c r="I5817" s="211">
        <f>'IWP18'!L$457</f>
        <v>0</v>
      </c>
      <c r="J5817" s="212">
        <f>'IWP18'!M$457</f>
        <v>0</v>
      </c>
      <c r="K5817" s="106"/>
      <c r="L5817" s="106"/>
      <c r="M5817" s="129"/>
    </row>
    <row r="5818" spans="1:13" s="146" customFormat="1">
      <c r="A5818" s="193" t="s">
        <v>516</v>
      </c>
      <c r="B5818" s="210">
        <v>7</v>
      </c>
      <c r="C5818" s="191" t="str">
        <f>IF('IWP18'!E$458=0,"",'IWP18'!E$458)</f>
        <v/>
      </c>
      <c r="D5818" s="211">
        <f>'IWP18'!G$458</f>
        <v>0</v>
      </c>
      <c r="E5818" s="211">
        <f>'IWP18'!H$458</f>
        <v>0</v>
      </c>
      <c r="F5818" s="211">
        <f>'IWP18'!I$458</f>
        <v>0</v>
      </c>
      <c r="G5818" s="191" t="str">
        <f>IF('IWP18'!J$458=0,"",'IWP18'!J$458)</f>
        <v/>
      </c>
      <c r="H5818" s="211">
        <f>'IWP18'!K$458</f>
        <v>0</v>
      </c>
      <c r="I5818" s="211">
        <f>'IWP18'!L$458</f>
        <v>0</v>
      </c>
      <c r="J5818" s="212">
        <f>'IWP18'!M$458</f>
        <v>0</v>
      </c>
      <c r="K5818" s="106"/>
      <c r="L5818" s="106"/>
      <c r="M5818" s="129"/>
    </row>
    <row r="5819" spans="1:13" s="146" customFormat="1">
      <c r="A5819" s="193" t="s">
        <v>516</v>
      </c>
      <c r="B5819" s="210">
        <v>7</v>
      </c>
      <c r="C5819" s="191" t="str">
        <f>IF('IWP18'!E$459=0,"",'IWP18'!E$459)</f>
        <v/>
      </c>
      <c r="D5819" s="211">
        <f>'IWP18'!G$459</f>
        <v>0</v>
      </c>
      <c r="E5819" s="211">
        <f>'IWP18'!H$459</f>
        <v>0</v>
      </c>
      <c r="F5819" s="211">
        <f>'IWP18'!I$459</f>
        <v>0</v>
      </c>
      <c r="G5819" s="191" t="str">
        <f>IF('IWP18'!J$459=0,"",'IWP18'!J$459)</f>
        <v/>
      </c>
      <c r="H5819" s="211">
        <f>'IWP18'!K$459</f>
        <v>0</v>
      </c>
      <c r="I5819" s="211">
        <f>'IWP18'!L$459</f>
        <v>0</v>
      </c>
      <c r="J5819" s="212">
        <f>'IWP18'!M$459</f>
        <v>0</v>
      </c>
      <c r="K5819" s="106"/>
      <c r="L5819" s="106"/>
      <c r="M5819" s="129"/>
    </row>
    <row r="5820" spans="1:13" s="146" customFormat="1">
      <c r="A5820" s="193" t="s">
        <v>516</v>
      </c>
      <c r="B5820" s="210">
        <v>7</v>
      </c>
      <c r="C5820" s="191" t="str">
        <f>IF('IWP18'!E$460=0,"",'IWP18'!E$460)</f>
        <v/>
      </c>
      <c r="D5820" s="211">
        <f>'IWP18'!G$460</f>
        <v>0</v>
      </c>
      <c r="E5820" s="211">
        <f>'IWP18'!H$460</f>
        <v>0</v>
      </c>
      <c r="F5820" s="211">
        <f>'IWP18'!I$460</f>
        <v>0</v>
      </c>
      <c r="G5820" s="191" t="str">
        <f>IF('IWP18'!J$460=0,"",'IWP18'!J$460)</f>
        <v/>
      </c>
      <c r="H5820" s="211">
        <f>'IWP18'!K$460</f>
        <v>0</v>
      </c>
      <c r="I5820" s="211">
        <f>'IWP18'!L$460</f>
        <v>0</v>
      </c>
      <c r="J5820" s="212">
        <f>'IWP18'!M$460</f>
        <v>0</v>
      </c>
      <c r="K5820" s="106"/>
      <c r="L5820" s="106"/>
      <c r="M5820" s="129"/>
    </row>
    <row r="5821" spans="1:13" s="146" customFormat="1">
      <c r="A5821" s="193" t="s">
        <v>516</v>
      </c>
      <c r="B5821" s="210">
        <v>8</v>
      </c>
      <c r="C5821" s="191" t="str">
        <f>IF('IWP18'!E$467=0,"",'IWP18'!E$467)</f>
        <v>Subtotal column D.</v>
      </c>
      <c r="D5821" s="211">
        <f>'IWP18'!G$467</f>
        <v>0</v>
      </c>
      <c r="E5821" s="211">
        <f>'IWP18'!H$467</f>
        <v>0</v>
      </c>
      <c r="F5821" s="211">
        <f>'IWP18'!I$467</f>
        <v>0</v>
      </c>
      <c r="G5821" s="191" t="str">
        <f>IF('IWP18'!J$467=0,"",'IWP18'!J$467)</f>
        <v/>
      </c>
      <c r="H5821" s="211">
        <f>'IWP18'!K$467</f>
        <v>0</v>
      </c>
      <c r="I5821" s="211">
        <f>'IWP18'!L$467</f>
        <v>0</v>
      </c>
      <c r="J5821" s="212">
        <f>'IWP18'!M$467</f>
        <v>0</v>
      </c>
      <c r="K5821" s="106"/>
      <c r="L5821" s="106"/>
      <c r="M5821" s="129"/>
    </row>
    <row r="5822" spans="1:13" s="146" customFormat="1">
      <c r="A5822" s="193" t="s">
        <v>516</v>
      </c>
      <c r="B5822" s="210">
        <v>8</v>
      </c>
      <c r="C5822" s="191" t="str">
        <f>IF('IWP18'!E$468=0,"",'IWP18'!E$468)</f>
        <v>Unverified/Undocumented (Subtotal D - C)</v>
      </c>
      <c r="D5822" s="211">
        <f>'IWP18'!G$468</f>
        <v>0</v>
      </c>
      <c r="E5822" s="211">
        <f>'IWP18'!H$468</f>
        <v>0</v>
      </c>
      <c r="F5822" s="211">
        <f>'IWP18'!I$468</f>
        <v>0</v>
      </c>
      <c r="G5822" s="191" t="str">
        <f>IF('IWP18'!J$468=0,"",'IWP18'!J$468)</f>
        <v/>
      </c>
      <c r="H5822" s="211">
        <f>'IWP18'!K$468</f>
        <v>0</v>
      </c>
      <c r="I5822" s="211">
        <f>'IWP18'!L$468</f>
        <v>0</v>
      </c>
      <c r="J5822" s="212">
        <f>'IWP18'!M$468</f>
        <v>0</v>
      </c>
      <c r="K5822" s="106"/>
      <c r="L5822" s="106"/>
      <c r="M5822" s="129"/>
    </row>
    <row r="5823" spans="1:13" s="146" customFormat="1">
      <c r="A5823" s="193" t="s">
        <v>516</v>
      </c>
      <c r="B5823" s="210">
        <v>8</v>
      </c>
      <c r="C5823" s="191" t="str">
        <f>IF('IWP18'!E$469=0,"",'IWP18'!E$469)</f>
        <v>J. Billing Period Total</v>
      </c>
      <c r="D5823" s="211">
        <f>'IWP18'!G$469</f>
        <v>0</v>
      </c>
      <c r="E5823" s="211">
        <f>'IWP18'!H$469</f>
        <v>0</v>
      </c>
      <c r="F5823" s="211">
        <f>'IWP18'!I$469</f>
        <v>0</v>
      </c>
      <c r="G5823" s="191" t="str">
        <f>IF('IWP18'!J$469=0,"",'IWP18'!J$469)</f>
        <v/>
      </c>
      <c r="H5823" s="211">
        <f>'IWP18'!K$469</f>
        <v>0</v>
      </c>
      <c r="I5823" s="211">
        <f>'IWP18'!L$469</f>
        <v>0</v>
      </c>
      <c r="J5823" s="212">
        <f>'IWP18'!M$469</f>
        <v>0</v>
      </c>
      <c r="K5823" s="106"/>
      <c r="L5823" s="106"/>
      <c r="M5823" s="129"/>
    </row>
    <row r="5824" spans="1:13" s="146" customFormat="1">
      <c r="A5824" s="193" t="s">
        <v>516</v>
      </c>
      <c r="B5824" s="210">
        <v>8</v>
      </c>
      <c r="C5824" s="191" t="str">
        <f>IF('IWP18'!E$470=0,"",'IWP18'!E$470)</f>
        <v>D.</v>
      </c>
      <c r="D5824" s="211">
        <f>'IWP18'!G$470</f>
        <v>0</v>
      </c>
      <c r="E5824" s="211" t="str">
        <f>'IWP18'!H$470</f>
        <v>E.</v>
      </c>
      <c r="F5824" s="211" t="str">
        <f>'IWP18'!I$470</f>
        <v>F.</v>
      </c>
      <c r="G5824" s="191" t="str">
        <f>IF('IWP18'!J$470=0,"",'IWP18'!J$470)</f>
        <v>G.</v>
      </c>
      <c r="H5824" s="211">
        <f>'IWP18'!K$470</f>
        <v>0</v>
      </c>
      <c r="I5824" s="211" t="str">
        <f>'IWP18'!L$470</f>
        <v>H.</v>
      </c>
      <c r="J5824" s="212" t="str">
        <f>'IWP18'!M$470</f>
        <v>I.</v>
      </c>
      <c r="K5824" s="106"/>
      <c r="L5824" s="106"/>
      <c r="M5824" s="129"/>
    </row>
    <row r="5825" spans="1:13" s="146" customFormat="1">
      <c r="A5825" s="193" t="s">
        <v>516</v>
      </c>
      <c r="B5825" s="210">
        <v>8</v>
      </c>
      <c r="C5825" s="191" t="str">
        <f>IF('IWP18'!E$471=0,"",'IWP18'!E$471)</f>
        <v xml:space="preserve">Items/Services Related to Billing Period </v>
      </c>
      <c r="D5825" s="211">
        <f>'IWP18'!G$471</f>
        <v>0</v>
      </c>
      <c r="E5825" s="211" t="str">
        <f>'IWP18'!H$471</f>
        <v xml:space="preserve">Item/
Service Verified Amounts
</v>
      </c>
      <c r="F5825" s="211" t="str">
        <f>'IWP18'!I$471</f>
        <v>Amount Due to DADS (E. - D.)</v>
      </c>
      <c r="G5825" s="191" t="str">
        <f>IF('IWP18'!J$471=0,"",'IWP18'!J$471)</f>
        <v>Amount Reimbursed to 
Employee(s)/Employer</v>
      </c>
      <c r="H5825" s="211">
        <f>'IWP18'!K$471</f>
        <v>0</v>
      </c>
      <c r="I5825" s="211" t="str">
        <f>'IWP18'!L$471</f>
        <v>Amount Due to Employee(s) (G. - E.)</v>
      </c>
      <c r="J5825" s="212" t="str">
        <f>'IWP18'!M$471</f>
        <v>Amount Due to Employer (G. - E.)</v>
      </c>
      <c r="K5825" s="106"/>
      <c r="L5825" s="106"/>
      <c r="M5825" s="129"/>
    </row>
    <row r="5826" spans="1:13" s="146" customFormat="1">
      <c r="A5826" s="193" t="s">
        <v>516</v>
      </c>
      <c r="B5826" s="210">
        <v>8</v>
      </c>
      <c r="C5826" s="191" t="str">
        <f>IF('IWP18'!E$472=0,"",'IWP18'!E$472)</f>
        <v>Item/Service</v>
      </c>
      <c r="D5826" s="211" t="str">
        <f>'IWP18'!G$472</f>
        <v>Itemized Amount Paid by DADS</v>
      </c>
      <c r="E5826" s="211">
        <f>'IWP18'!H$472</f>
        <v>0</v>
      </c>
      <c r="F5826" s="211">
        <f>'IWP18'!I$472</f>
        <v>0</v>
      </c>
      <c r="G5826" s="191" t="str">
        <f>IF('IWP18'!J$472=0,"",'IWP18'!J$472)</f>
        <v/>
      </c>
      <c r="H5826" s="211">
        <f>'IWP18'!K$472</f>
        <v>0</v>
      </c>
      <c r="I5826" s="211">
        <f>'IWP18'!L$472</f>
        <v>0</v>
      </c>
      <c r="J5826" s="212">
        <f>'IWP18'!M$472</f>
        <v>0</v>
      </c>
      <c r="K5826" s="106"/>
      <c r="L5826" s="106"/>
      <c r="M5826" s="129"/>
    </row>
    <row r="5827" spans="1:13" s="146" customFormat="1">
      <c r="A5827" s="193" t="s">
        <v>516</v>
      </c>
      <c r="B5827" s="210">
        <v>8</v>
      </c>
      <c r="C5827" s="191" t="str">
        <f>IF('IWP18'!E$473=0,"",'IWP18'!E$473)</f>
        <v/>
      </c>
      <c r="D5827" s="211">
        <f>'IWP18'!G$473</f>
        <v>0</v>
      </c>
      <c r="E5827" s="211">
        <f>'IWP18'!H$473</f>
        <v>0</v>
      </c>
      <c r="F5827" s="211">
        <f>'IWP18'!I$473</f>
        <v>0</v>
      </c>
      <c r="G5827" s="191" t="str">
        <f>IF('IWP18'!J$473=0,"",'IWP18'!J$473)</f>
        <v/>
      </c>
      <c r="H5827" s="211">
        <f>'IWP18'!K$473</f>
        <v>0</v>
      </c>
      <c r="I5827" s="211">
        <f>'IWP18'!L$473</f>
        <v>0</v>
      </c>
      <c r="J5827" s="212">
        <f>'IWP18'!M$473</f>
        <v>0</v>
      </c>
      <c r="K5827" s="106"/>
      <c r="L5827" s="106"/>
      <c r="M5827" s="129"/>
    </row>
    <row r="5828" spans="1:13" s="146" customFormat="1">
      <c r="A5828" s="193" t="s">
        <v>516</v>
      </c>
      <c r="B5828" s="210">
        <v>8</v>
      </c>
      <c r="C5828" s="191" t="str">
        <f>IF('IWP18'!E$474=0,"",'IWP18'!E$474)</f>
        <v/>
      </c>
      <c r="D5828" s="211">
        <f>'IWP18'!G$474</f>
        <v>0</v>
      </c>
      <c r="E5828" s="211">
        <f>'IWP18'!H$474</f>
        <v>0</v>
      </c>
      <c r="F5828" s="211">
        <f>'IWP18'!I$474</f>
        <v>0</v>
      </c>
      <c r="G5828" s="191" t="str">
        <f>IF('IWP18'!J$474=0,"",'IWP18'!J$474)</f>
        <v/>
      </c>
      <c r="H5828" s="211">
        <f>'IWP18'!K$474</f>
        <v>0</v>
      </c>
      <c r="I5828" s="211">
        <f>'IWP18'!L$474</f>
        <v>0</v>
      </c>
      <c r="J5828" s="212">
        <f>'IWP18'!M$474</f>
        <v>0</v>
      </c>
      <c r="K5828" s="106"/>
      <c r="L5828" s="106"/>
      <c r="M5828" s="129"/>
    </row>
    <row r="5829" spans="1:13" s="146" customFormat="1">
      <c r="A5829" s="193" t="s">
        <v>516</v>
      </c>
      <c r="B5829" s="210">
        <v>8</v>
      </c>
      <c r="C5829" s="191" t="str">
        <f>IF('IWP18'!E$475=0,"",'IWP18'!E$475)</f>
        <v/>
      </c>
      <c r="D5829" s="211">
        <f>'IWP18'!G$475</f>
        <v>0</v>
      </c>
      <c r="E5829" s="211">
        <f>'IWP18'!H$475</f>
        <v>0</v>
      </c>
      <c r="F5829" s="211">
        <f>'IWP18'!I$475</f>
        <v>0</v>
      </c>
      <c r="G5829" s="191" t="str">
        <f>IF('IWP18'!J$475=0,"",'IWP18'!J$475)</f>
        <v/>
      </c>
      <c r="H5829" s="211">
        <f>'IWP18'!K$475</f>
        <v>0</v>
      </c>
      <c r="I5829" s="211">
        <f>'IWP18'!L$475</f>
        <v>0</v>
      </c>
      <c r="J5829" s="212">
        <f>'IWP18'!M$475</f>
        <v>0</v>
      </c>
      <c r="K5829" s="106"/>
      <c r="L5829" s="106"/>
      <c r="M5829" s="129"/>
    </row>
    <row r="5830" spans="1:13" s="146" customFormat="1">
      <c r="A5830" s="193" t="s">
        <v>516</v>
      </c>
      <c r="B5830" s="210">
        <v>8</v>
      </c>
      <c r="C5830" s="191" t="str">
        <f>IF('IWP18'!E$476=0,"",'IWP18'!E$476)</f>
        <v/>
      </c>
      <c r="D5830" s="211">
        <f>'IWP18'!G$476</f>
        <v>0</v>
      </c>
      <c r="E5830" s="211">
        <f>'IWP18'!H$476</f>
        <v>0</v>
      </c>
      <c r="F5830" s="211">
        <f>'IWP18'!I$476</f>
        <v>0</v>
      </c>
      <c r="G5830" s="191" t="str">
        <f>IF('IWP18'!J$476=0,"",'IWP18'!J$476)</f>
        <v/>
      </c>
      <c r="H5830" s="211">
        <f>'IWP18'!K$476</f>
        <v>0</v>
      </c>
      <c r="I5830" s="211">
        <f>'IWP18'!L$476</f>
        <v>0</v>
      </c>
      <c r="J5830" s="212">
        <f>'IWP18'!M$476</f>
        <v>0</v>
      </c>
      <c r="K5830" s="106"/>
      <c r="L5830" s="106"/>
      <c r="M5830" s="129"/>
    </row>
    <row r="5831" spans="1:13" s="146" customFormat="1">
      <c r="A5831" s="193" t="s">
        <v>516</v>
      </c>
      <c r="B5831" s="210">
        <v>9</v>
      </c>
      <c r="C5831" s="191" t="str">
        <f>IF('IWP18'!E$483=0,"",'IWP18'!E$483)</f>
        <v>Subtotal column D.</v>
      </c>
      <c r="D5831" s="211">
        <f>'IWP18'!G$483</f>
        <v>0</v>
      </c>
      <c r="E5831" s="211">
        <f>'IWP18'!H$483</f>
        <v>0</v>
      </c>
      <c r="F5831" s="211">
        <f>'IWP18'!I$483</f>
        <v>0</v>
      </c>
      <c r="G5831" s="191" t="str">
        <f>IF('IWP18'!J$483=0,"",'IWP18'!J$483)</f>
        <v/>
      </c>
      <c r="H5831" s="211">
        <f>'IWP18'!K$483</f>
        <v>0</v>
      </c>
      <c r="I5831" s="211">
        <f>'IWP18'!L$483</f>
        <v>0</v>
      </c>
      <c r="J5831" s="212">
        <f>'IWP18'!M$483</f>
        <v>0</v>
      </c>
      <c r="K5831" s="106"/>
      <c r="L5831" s="106"/>
      <c r="M5831" s="129"/>
    </row>
    <row r="5832" spans="1:13" s="146" customFormat="1">
      <c r="A5832" s="193" t="s">
        <v>516</v>
      </c>
      <c r="B5832" s="210">
        <v>9</v>
      </c>
      <c r="C5832" s="191" t="str">
        <f>IF('IWP18'!E$484=0,"",'IWP18'!E$484)</f>
        <v>Unverified/Undocumented (Subtotal D - C)</v>
      </c>
      <c r="D5832" s="211">
        <f>'IWP18'!G$484</f>
        <v>0</v>
      </c>
      <c r="E5832" s="211">
        <f>'IWP18'!H$484</f>
        <v>0</v>
      </c>
      <c r="F5832" s="211">
        <f>'IWP18'!I$484</f>
        <v>0</v>
      </c>
      <c r="G5832" s="191" t="str">
        <f>IF('IWP18'!J$484=0,"",'IWP18'!J$484)</f>
        <v/>
      </c>
      <c r="H5832" s="211">
        <f>'IWP18'!K$484</f>
        <v>0</v>
      </c>
      <c r="I5832" s="211">
        <f>'IWP18'!L$484</f>
        <v>0</v>
      </c>
      <c r="J5832" s="212">
        <f>'IWP18'!M$484</f>
        <v>0</v>
      </c>
      <c r="K5832" s="106"/>
      <c r="L5832" s="106"/>
      <c r="M5832" s="129"/>
    </row>
    <row r="5833" spans="1:13" s="146" customFormat="1">
      <c r="A5833" s="193" t="s">
        <v>516</v>
      </c>
      <c r="B5833" s="210">
        <v>9</v>
      </c>
      <c r="C5833" s="191" t="str">
        <f>IF('IWP18'!E$485=0,"",'IWP18'!E$485)</f>
        <v>J. Billing Period Total</v>
      </c>
      <c r="D5833" s="211">
        <f>'IWP18'!G$485</f>
        <v>0</v>
      </c>
      <c r="E5833" s="211">
        <f>'IWP18'!H$485</f>
        <v>0</v>
      </c>
      <c r="F5833" s="211">
        <f>'IWP18'!I$485</f>
        <v>0</v>
      </c>
      <c r="G5833" s="191" t="str">
        <f>IF('IWP18'!J$485=0,"",'IWP18'!J$485)</f>
        <v/>
      </c>
      <c r="H5833" s="211">
        <f>'IWP18'!K$485</f>
        <v>0</v>
      </c>
      <c r="I5833" s="211">
        <f>'IWP18'!L$485</f>
        <v>0</v>
      </c>
      <c r="J5833" s="212">
        <f>'IWP18'!M$485</f>
        <v>0</v>
      </c>
      <c r="K5833" s="106"/>
      <c r="L5833" s="106"/>
      <c r="M5833" s="129"/>
    </row>
    <row r="5834" spans="1:13" s="146" customFormat="1">
      <c r="A5834" s="193" t="s">
        <v>516</v>
      </c>
      <c r="B5834" s="210">
        <v>9</v>
      </c>
      <c r="C5834" s="191" t="str">
        <f>IF('IWP18'!E$486=0,"",'IWP18'!E$486)</f>
        <v>D.</v>
      </c>
      <c r="D5834" s="211">
        <f>'IWP18'!G$486</f>
        <v>0</v>
      </c>
      <c r="E5834" s="211" t="str">
        <f>'IWP18'!H$486</f>
        <v>E.</v>
      </c>
      <c r="F5834" s="211" t="str">
        <f>'IWP18'!I$486</f>
        <v>F.</v>
      </c>
      <c r="G5834" s="191" t="str">
        <f>IF('IWP18'!J$486=0,"",'IWP18'!J$486)</f>
        <v>G.</v>
      </c>
      <c r="H5834" s="211">
        <f>'IWP18'!K$486</f>
        <v>0</v>
      </c>
      <c r="I5834" s="211" t="str">
        <f>'IWP18'!L$486</f>
        <v>H.</v>
      </c>
      <c r="J5834" s="212" t="str">
        <f>'IWP18'!M$486</f>
        <v>I.</v>
      </c>
      <c r="K5834" s="106"/>
      <c r="L5834" s="106"/>
      <c r="M5834" s="129"/>
    </row>
    <row r="5835" spans="1:13" s="146" customFormat="1">
      <c r="A5835" s="193" t="s">
        <v>516</v>
      </c>
      <c r="B5835" s="210">
        <v>9</v>
      </c>
      <c r="C5835" s="191" t="str">
        <f>IF('IWP18'!E$487=0,"",'IWP18'!E$487)</f>
        <v xml:space="preserve">Items/Services Related to Billing Period </v>
      </c>
      <c r="D5835" s="211">
        <f>'IWP18'!G$487</f>
        <v>0</v>
      </c>
      <c r="E5835" s="211" t="str">
        <f>'IWP18'!H$487</f>
        <v xml:space="preserve">Item/
Service Verified Amounts
</v>
      </c>
      <c r="F5835" s="211" t="str">
        <f>'IWP18'!I$487</f>
        <v>Amount Due to DADS (E. - D.)</v>
      </c>
      <c r="G5835" s="191" t="str">
        <f>IF('IWP18'!J$487=0,"",'IWP18'!J$487)</f>
        <v>Amount Reimbursed to 
Employee(s)/Employer</v>
      </c>
      <c r="H5835" s="211">
        <f>'IWP18'!K$487</f>
        <v>0</v>
      </c>
      <c r="I5835" s="211" t="str">
        <f>'IWP18'!L$487</f>
        <v>Amount Due to Employee(s) (G. - E.)</v>
      </c>
      <c r="J5835" s="212" t="str">
        <f>'IWP18'!M$487</f>
        <v>Amount Due to Employer (G. - E.)</v>
      </c>
      <c r="K5835" s="106"/>
      <c r="L5835" s="106"/>
      <c r="M5835" s="129"/>
    </row>
    <row r="5836" spans="1:13" s="146" customFormat="1">
      <c r="A5836" s="193" t="s">
        <v>516</v>
      </c>
      <c r="B5836" s="210">
        <v>9</v>
      </c>
      <c r="C5836" s="191" t="str">
        <f>IF('IWP18'!E$488=0,"",'IWP18'!E$488)</f>
        <v>Item/Service</v>
      </c>
      <c r="D5836" s="211" t="str">
        <f>'IWP18'!G$488</f>
        <v>Itemized Amount Paid by DADS</v>
      </c>
      <c r="E5836" s="211">
        <f>'IWP18'!H$488</f>
        <v>0</v>
      </c>
      <c r="F5836" s="211">
        <f>'IWP18'!I$488</f>
        <v>0</v>
      </c>
      <c r="G5836" s="191" t="str">
        <f>IF('IWP18'!J$488=0,"",'IWP18'!J$488)</f>
        <v/>
      </c>
      <c r="H5836" s="211">
        <f>'IWP18'!K$488</f>
        <v>0</v>
      </c>
      <c r="I5836" s="211">
        <f>'IWP18'!L$488</f>
        <v>0</v>
      </c>
      <c r="J5836" s="212">
        <f>'IWP18'!M$488</f>
        <v>0</v>
      </c>
      <c r="K5836" s="106"/>
      <c r="L5836" s="106"/>
      <c r="M5836" s="129"/>
    </row>
    <row r="5837" spans="1:13" s="146" customFormat="1">
      <c r="A5837" s="193" t="s">
        <v>516</v>
      </c>
      <c r="B5837" s="210">
        <v>9</v>
      </c>
      <c r="C5837" s="191" t="str">
        <f>IF('IWP18'!E$489=0,"",'IWP18'!E$489)</f>
        <v/>
      </c>
      <c r="D5837" s="211">
        <f>'IWP18'!G$489</f>
        <v>0</v>
      </c>
      <c r="E5837" s="211">
        <f>'IWP18'!H$489</f>
        <v>0</v>
      </c>
      <c r="F5837" s="211">
        <f>'IWP18'!I$489</f>
        <v>0</v>
      </c>
      <c r="G5837" s="191" t="str">
        <f>IF('IWP18'!J$489=0,"",'IWP18'!J$489)</f>
        <v/>
      </c>
      <c r="H5837" s="211">
        <f>'IWP18'!K$489</f>
        <v>0</v>
      </c>
      <c r="I5837" s="211">
        <f>'IWP18'!L$489</f>
        <v>0</v>
      </c>
      <c r="J5837" s="212">
        <f>'IWP18'!M$489</f>
        <v>0</v>
      </c>
      <c r="K5837" s="106"/>
      <c r="L5837" s="106"/>
      <c r="M5837" s="129"/>
    </row>
    <row r="5838" spans="1:13" s="146" customFormat="1">
      <c r="A5838" s="193" t="s">
        <v>516</v>
      </c>
      <c r="B5838" s="210">
        <v>9</v>
      </c>
      <c r="C5838" s="191" t="str">
        <f>IF('IWP18'!E$490=0,"",'IWP18'!E$490)</f>
        <v/>
      </c>
      <c r="D5838" s="211">
        <f>'IWP18'!G$490</f>
        <v>0</v>
      </c>
      <c r="E5838" s="211">
        <f>'IWP18'!H$490</f>
        <v>0</v>
      </c>
      <c r="F5838" s="211">
        <f>'IWP18'!I$490</f>
        <v>0</v>
      </c>
      <c r="G5838" s="191" t="str">
        <f>IF('IWP18'!J$490=0,"",'IWP18'!J$490)</f>
        <v/>
      </c>
      <c r="H5838" s="211">
        <f>'IWP18'!K$490</f>
        <v>0</v>
      </c>
      <c r="I5838" s="211">
        <f>'IWP18'!L$490</f>
        <v>0</v>
      </c>
      <c r="J5838" s="212">
        <f>'IWP18'!M$490</f>
        <v>0</v>
      </c>
      <c r="K5838" s="106"/>
      <c r="L5838" s="106"/>
      <c r="M5838" s="129"/>
    </row>
    <row r="5839" spans="1:13" s="146" customFormat="1">
      <c r="A5839" s="193" t="s">
        <v>516</v>
      </c>
      <c r="B5839" s="210">
        <v>9</v>
      </c>
      <c r="C5839" s="191" t="str">
        <f>IF('IWP18'!E$491=0,"",'IWP18'!E$491)</f>
        <v/>
      </c>
      <c r="D5839" s="211">
        <f>'IWP18'!G$491</f>
        <v>0</v>
      </c>
      <c r="E5839" s="211">
        <f>'IWP18'!H$491</f>
        <v>0</v>
      </c>
      <c r="F5839" s="211">
        <f>'IWP18'!I$491</f>
        <v>0</v>
      </c>
      <c r="G5839" s="191" t="str">
        <f>IF('IWP18'!J$491=0,"",'IWP18'!J$491)</f>
        <v/>
      </c>
      <c r="H5839" s="211">
        <f>'IWP18'!K$491</f>
        <v>0</v>
      </c>
      <c r="I5839" s="211">
        <f>'IWP18'!L$491</f>
        <v>0</v>
      </c>
      <c r="J5839" s="212">
        <f>'IWP18'!M$491</f>
        <v>0</v>
      </c>
      <c r="K5839" s="106"/>
      <c r="L5839" s="106"/>
      <c r="M5839" s="129"/>
    </row>
    <row r="5840" spans="1:13" s="146" customFormat="1">
      <c r="A5840" s="193" t="s">
        <v>516</v>
      </c>
      <c r="B5840" s="210">
        <v>9</v>
      </c>
      <c r="C5840" s="191" t="str">
        <f>IF('IWP18'!E$492=0,"",'IWP18'!E$492)</f>
        <v/>
      </c>
      <c r="D5840" s="211">
        <f>'IWP18'!G$492</f>
        <v>0</v>
      </c>
      <c r="E5840" s="211">
        <f>'IWP18'!H$492</f>
        <v>0</v>
      </c>
      <c r="F5840" s="211">
        <f>'IWP18'!I$492</f>
        <v>0</v>
      </c>
      <c r="G5840" s="191" t="str">
        <f>IF('IWP18'!J$492=0,"",'IWP18'!J$492)</f>
        <v/>
      </c>
      <c r="H5840" s="211">
        <f>'IWP18'!K$492</f>
        <v>0</v>
      </c>
      <c r="I5840" s="211">
        <f>'IWP18'!L$492</f>
        <v>0</v>
      </c>
      <c r="J5840" s="212">
        <f>'IWP18'!M$492</f>
        <v>0</v>
      </c>
      <c r="K5840" s="106"/>
      <c r="L5840" s="106"/>
      <c r="M5840" s="129"/>
    </row>
    <row r="5841" spans="1:13" s="146" customFormat="1">
      <c r="A5841" s="193" t="s">
        <v>516</v>
      </c>
      <c r="B5841" s="210">
        <v>10</v>
      </c>
      <c r="C5841" s="191" t="str">
        <f>IF('IWP18'!E$499=0,"",'IWP18'!E$499)</f>
        <v>Subtotal column D.</v>
      </c>
      <c r="D5841" s="211">
        <f>'IWP18'!G$499</f>
        <v>0</v>
      </c>
      <c r="E5841" s="211">
        <f>'IWP18'!H$499</f>
        <v>0</v>
      </c>
      <c r="F5841" s="211">
        <f>'IWP18'!I$499</f>
        <v>0</v>
      </c>
      <c r="G5841" s="191" t="str">
        <f>IF('IWP18'!J$499=0,"",'IWP18'!J$499)</f>
        <v/>
      </c>
      <c r="H5841" s="211">
        <f>'IWP18'!K$499</f>
        <v>0</v>
      </c>
      <c r="I5841" s="211">
        <f>'IWP18'!L$499</f>
        <v>0</v>
      </c>
      <c r="J5841" s="212">
        <f>'IWP18'!M$499</f>
        <v>0</v>
      </c>
      <c r="K5841" s="106"/>
      <c r="L5841" s="106"/>
      <c r="M5841" s="129"/>
    </row>
    <row r="5842" spans="1:13" s="146" customFormat="1">
      <c r="A5842" s="193" t="s">
        <v>516</v>
      </c>
      <c r="B5842" s="210">
        <v>10</v>
      </c>
      <c r="C5842" s="191" t="str">
        <f>IF('IWP18'!E$500=0,"",'IWP18'!E$500)</f>
        <v>Unverified/Undocumented (Subtotal D - C)</v>
      </c>
      <c r="D5842" s="211">
        <f>'IWP18'!G$500</f>
        <v>0</v>
      </c>
      <c r="E5842" s="211">
        <f>'IWP18'!H$500</f>
        <v>0</v>
      </c>
      <c r="F5842" s="211">
        <f>'IWP18'!I$500</f>
        <v>0</v>
      </c>
      <c r="G5842" s="191" t="str">
        <f>IF('IWP18'!J$500=0,"",'IWP18'!J$500)</f>
        <v/>
      </c>
      <c r="H5842" s="211">
        <f>'IWP18'!K$500</f>
        <v>0</v>
      </c>
      <c r="I5842" s="211">
        <f>'IWP18'!L$500</f>
        <v>0</v>
      </c>
      <c r="J5842" s="212">
        <f>'IWP18'!M$500</f>
        <v>0</v>
      </c>
      <c r="K5842" s="106"/>
      <c r="L5842" s="106"/>
      <c r="M5842" s="129"/>
    </row>
    <row r="5843" spans="1:13" s="146" customFormat="1">
      <c r="A5843" s="193" t="s">
        <v>516</v>
      </c>
      <c r="B5843" s="210">
        <v>10</v>
      </c>
      <c r="C5843" s="191" t="str">
        <f>IF('IWP18'!E$501=0,"",'IWP18'!E$501)</f>
        <v>J. Billing Period Total</v>
      </c>
      <c r="D5843" s="211">
        <f>'IWP18'!G$501</f>
        <v>0</v>
      </c>
      <c r="E5843" s="211">
        <f>'IWP18'!H$501</f>
        <v>0</v>
      </c>
      <c r="F5843" s="211">
        <f>'IWP18'!I$501</f>
        <v>0</v>
      </c>
      <c r="G5843" s="191" t="str">
        <f>IF('IWP18'!J$501=0,"",'IWP18'!J$501)</f>
        <v/>
      </c>
      <c r="H5843" s="211">
        <f>'IWP18'!K$501</f>
        <v>0</v>
      </c>
      <c r="I5843" s="211">
        <f>'IWP18'!L$501</f>
        <v>0</v>
      </c>
      <c r="J5843" s="212">
        <f>'IWP18'!M$501</f>
        <v>0</v>
      </c>
      <c r="K5843" s="106"/>
      <c r="L5843" s="106"/>
      <c r="M5843" s="129"/>
    </row>
    <row r="5844" spans="1:13" s="146" customFormat="1">
      <c r="A5844" s="193" t="s">
        <v>516</v>
      </c>
      <c r="B5844" s="210">
        <v>10</v>
      </c>
      <c r="C5844" s="191" t="str">
        <f>IF('IWP18'!E$502=0,"",'IWP18'!E$502)</f>
        <v>D.</v>
      </c>
      <c r="D5844" s="211">
        <f>'IWP18'!G$502</f>
        <v>0</v>
      </c>
      <c r="E5844" s="211" t="str">
        <f>'IWP18'!H$502</f>
        <v>E.</v>
      </c>
      <c r="F5844" s="211" t="str">
        <f>'IWP18'!I$502</f>
        <v>F.</v>
      </c>
      <c r="G5844" s="191" t="str">
        <f>IF('IWP18'!J$502=0,"",'IWP18'!J$502)</f>
        <v>G.</v>
      </c>
      <c r="H5844" s="211">
        <f>'IWP18'!K$502</f>
        <v>0</v>
      </c>
      <c r="I5844" s="211" t="str">
        <f>'IWP18'!L$502</f>
        <v>H.</v>
      </c>
      <c r="J5844" s="212" t="str">
        <f>'IWP18'!M$502</f>
        <v>I.</v>
      </c>
      <c r="K5844" s="106"/>
      <c r="L5844" s="106"/>
      <c r="M5844" s="129"/>
    </row>
    <row r="5845" spans="1:13" s="146" customFormat="1">
      <c r="A5845" s="193" t="s">
        <v>516</v>
      </c>
      <c r="B5845" s="210">
        <v>10</v>
      </c>
      <c r="C5845" s="191" t="str">
        <f>IF('IWP18'!E$503=0,"",'IWP18'!E$503)</f>
        <v xml:space="preserve">Items/Services Related to Billing Period </v>
      </c>
      <c r="D5845" s="211">
        <f>'IWP18'!G$503</f>
        <v>0</v>
      </c>
      <c r="E5845" s="211" t="str">
        <f>'IWP18'!H$503</f>
        <v xml:space="preserve">Item/
Service Verified Amounts
</v>
      </c>
      <c r="F5845" s="211" t="str">
        <f>'IWP18'!I$503</f>
        <v>Amount Due to DADS (E. - D.)</v>
      </c>
      <c r="G5845" s="191" t="str">
        <f>IF('IWP18'!J$503=0,"",'IWP18'!J$503)</f>
        <v>Amount Reimbursed to 
Employee(s)/Employer</v>
      </c>
      <c r="H5845" s="211">
        <f>'IWP18'!K$503</f>
        <v>0</v>
      </c>
      <c r="I5845" s="211" t="str">
        <f>'IWP18'!L$503</f>
        <v>Amount Due to Employee(s) (G. - E.)</v>
      </c>
      <c r="J5845" s="212" t="str">
        <f>'IWP18'!M$503</f>
        <v>Amount Due to Employer (G. - E.)</v>
      </c>
      <c r="K5845" s="106"/>
      <c r="L5845" s="106"/>
      <c r="M5845" s="129"/>
    </row>
    <row r="5846" spans="1:13" s="146" customFormat="1">
      <c r="A5846" s="193" t="s">
        <v>516</v>
      </c>
      <c r="B5846" s="210">
        <v>10</v>
      </c>
      <c r="C5846" s="191" t="str">
        <f>IF('IWP18'!E$504=0,"",'IWP18'!E$504)</f>
        <v>Item/Service</v>
      </c>
      <c r="D5846" s="211" t="str">
        <f>'IWP18'!G$504</f>
        <v>Itemized Amount Paid by DADS</v>
      </c>
      <c r="E5846" s="211">
        <f>'IWP18'!H$504</f>
        <v>0</v>
      </c>
      <c r="F5846" s="211">
        <f>'IWP18'!I$504</f>
        <v>0</v>
      </c>
      <c r="G5846" s="191" t="str">
        <f>IF('IWP18'!J$504=0,"",'IWP18'!J$504)</f>
        <v/>
      </c>
      <c r="H5846" s="211">
        <f>'IWP18'!K$504</f>
        <v>0</v>
      </c>
      <c r="I5846" s="211">
        <f>'IWP18'!L$504</f>
        <v>0</v>
      </c>
      <c r="J5846" s="212">
        <f>'IWP18'!M$504</f>
        <v>0</v>
      </c>
      <c r="K5846" s="106"/>
      <c r="L5846" s="106"/>
      <c r="M5846" s="129"/>
    </row>
    <row r="5847" spans="1:13" s="146" customFormat="1">
      <c r="A5847" s="193" t="s">
        <v>516</v>
      </c>
      <c r="B5847" s="210">
        <v>10</v>
      </c>
      <c r="C5847" s="191" t="str">
        <f>IF('IWP18'!E$505=0,"",'IWP18'!E$505)</f>
        <v/>
      </c>
      <c r="D5847" s="211">
        <f>'IWP18'!G$505</f>
        <v>0</v>
      </c>
      <c r="E5847" s="211">
        <f>'IWP18'!H$505</f>
        <v>0</v>
      </c>
      <c r="F5847" s="211">
        <f>'IWP18'!I$505</f>
        <v>0</v>
      </c>
      <c r="G5847" s="191" t="str">
        <f>IF('IWP18'!J$505=0,"",'IWP18'!J$505)</f>
        <v/>
      </c>
      <c r="H5847" s="211">
        <f>'IWP18'!K$505</f>
        <v>0</v>
      </c>
      <c r="I5847" s="211">
        <f>'IWP18'!L$505</f>
        <v>0</v>
      </c>
      <c r="J5847" s="212">
        <f>'IWP18'!M$505</f>
        <v>0</v>
      </c>
      <c r="K5847" s="106"/>
      <c r="L5847" s="106"/>
      <c r="M5847" s="129"/>
    </row>
    <row r="5848" spans="1:13" s="146" customFormat="1">
      <c r="A5848" s="193" t="s">
        <v>516</v>
      </c>
      <c r="B5848" s="210">
        <v>10</v>
      </c>
      <c r="C5848" s="191" t="str">
        <f>IF('IWP18'!E$506=0,"",'IWP18'!E$506)</f>
        <v/>
      </c>
      <c r="D5848" s="211">
        <f>'IWP18'!G$506</f>
        <v>0</v>
      </c>
      <c r="E5848" s="211">
        <f>'IWP18'!H$506</f>
        <v>0</v>
      </c>
      <c r="F5848" s="211">
        <f>'IWP18'!I$506</f>
        <v>0</v>
      </c>
      <c r="G5848" s="191" t="str">
        <f>IF('IWP18'!J$506=0,"",'IWP18'!J$506)</f>
        <v/>
      </c>
      <c r="H5848" s="211">
        <f>'IWP18'!K$506</f>
        <v>0</v>
      </c>
      <c r="I5848" s="211">
        <f>'IWP18'!L$506</f>
        <v>0</v>
      </c>
      <c r="J5848" s="212">
        <f>'IWP18'!M$506</f>
        <v>0</v>
      </c>
      <c r="K5848" s="106"/>
      <c r="L5848" s="106"/>
      <c r="M5848" s="129"/>
    </row>
    <row r="5849" spans="1:13" s="146" customFormat="1">
      <c r="A5849" s="193" t="s">
        <v>516</v>
      </c>
      <c r="B5849" s="210">
        <v>10</v>
      </c>
      <c r="C5849" s="191" t="str">
        <f>IF('IWP18'!E$507=0,"",'IWP18'!E$507)</f>
        <v/>
      </c>
      <c r="D5849" s="211">
        <f>'IWP18'!G$507</f>
        <v>0</v>
      </c>
      <c r="E5849" s="211">
        <f>'IWP18'!H$507</f>
        <v>0</v>
      </c>
      <c r="F5849" s="211">
        <f>'IWP18'!I$507</f>
        <v>0</v>
      </c>
      <c r="G5849" s="191" t="str">
        <f>IF('IWP18'!J$507=0,"",'IWP18'!J$507)</f>
        <v/>
      </c>
      <c r="H5849" s="211">
        <f>'IWP18'!K$507</f>
        <v>0</v>
      </c>
      <c r="I5849" s="211">
        <f>'IWP18'!L$507</f>
        <v>0</v>
      </c>
      <c r="J5849" s="212">
        <f>'IWP18'!M$507</f>
        <v>0</v>
      </c>
      <c r="K5849" s="106"/>
      <c r="L5849" s="106"/>
      <c r="M5849" s="129"/>
    </row>
    <row r="5850" spans="1:13" s="146" customFormat="1">
      <c r="A5850" s="193" t="s">
        <v>516</v>
      </c>
      <c r="B5850" s="210">
        <v>10</v>
      </c>
      <c r="C5850" s="191" t="str">
        <f>IF('IWP18'!E$508=0,"",'IWP18'!E$508)</f>
        <v/>
      </c>
      <c r="D5850" s="211">
        <f>'IWP18'!G$508</f>
        <v>0</v>
      </c>
      <c r="E5850" s="211">
        <f>'IWP18'!H$508</f>
        <v>0</v>
      </c>
      <c r="F5850" s="211">
        <f>'IWP18'!I$508</f>
        <v>0</v>
      </c>
      <c r="G5850" s="191" t="str">
        <f>IF('IWP18'!J$508=0,"",'IWP18'!J$508)</f>
        <v/>
      </c>
      <c r="H5850" s="211">
        <f>'IWP18'!K$508</f>
        <v>0</v>
      </c>
      <c r="I5850" s="211">
        <f>'IWP18'!L$508</f>
        <v>0</v>
      </c>
      <c r="J5850" s="212">
        <f>'IWP18'!M$508</f>
        <v>0</v>
      </c>
      <c r="K5850" s="106"/>
      <c r="L5850" s="106"/>
      <c r="M5850" s="129"/>
    </row>
    <row r="5851" spans="1:13" s="146" customFormat="1">
      <c r="A5851" s="193" t="s">
        <v>516</v>
      </c>
      <c r="B5851" s="210">
        <v>11</v>
      </c>
      <c r="C5851" s="191" t="str">
        <f>IF('IWP18'!E$515=0,"",'IWP18'!E$515)</f>
        <v>Subtotal column D.</v>
      </c>
      <c r="D5851" s="211">
        <f>'IWP18'!G$515</f>
        <v>0</v>
      </c>
      <c r="E5851" s="211">
        <f>'IWP18'!H$515</f>
        <v>0</v>
      </c>
      <c r="F5851" s="211">
        <f>'IWP18'!I$515</f>
        <v>0</v>
      </c>
      <c r="G5851" s="191" t="str">
        <f>IF('IWP18'!J$515=0,"",'IWP18'!J$515)</f>
        <v/>
      </c>
      <c r="H5851" s="211">
        <f>'IWP18'!K$515</f>
        <v>0</v>
      </c>
      <c r="I5851" s="211">
        <f>'IWP18'!L$515</f>
        <v>0</v>
      </c>
      <c r="J5851" s="212">
        <f>'IWP18'!M$515</f>
        <v>0</v>
      </c>
      <c r="K5851" s="106"/>
      <c r="L5851" s="106"/>
      <c r="M5851" s="129"/>
    </row>
    <row r="5852" spans="1:13" s="146" customFormat="1">
      <c r="A5852" s="193" t="s">
        <v>516</v>
      </c>
      <c r="B5852" s="210">
        <v>11</v>
      </c>
      <c r="C5852" s="191" t="str">
        <f>IF('IWP18'!E$516=0,"",'IWP18'!E$516)</f>
        <v>Unverified/Undocumented (Subtotal D - C)</v>
      </c>
      <c r="D5852" s="211">
        <f>'IWP18'!G$516</f>
        <v>0</v>
      </c>
      <c r="E5852" s="211">
        <f>'IWP18'!H$516</f>
        <v>0</v>
      </c>
      <c r="F5852" s="211">
        <f>'IWP18'!I$516</f>
        <v>0</v>
      </c>
      <c r="G5852" s="191" t="str">
        <f>IF('IWP18'!J$516=0,"",'IWP18'!J$516)</f>
        <v/>
      </c>
      <c r="H5852" s="211">
        <f>'IWP18'!K$516</f>
        <v>0</v>
      </c>
      <c r="I5852" s="211">
        <f>'IWP18'!L$516</f>
        <v>0</v>
      </c>
      <c r="J5852" s="212">
        <f>'IWP18'!M$516</f>
        <v>0</v>
      </c>
      <c r="K5852" s="106"/>
      <c r="L5852" s="106"/>
      <c r="M5852" s="129"/>
    </row>
    <row r="5853" spans="1:13" s="146" customFormat="1">
      <c r="A5853" s="193" t="s">
        <v>516</v>
      </c>
      <c r="B5853" s="210">
        <v>11</v>
      </c>
      <c r="C5853" s="191" t="str">
        <f>IF('IWP18'!E$517=0,"",'IWP18'!E$517)</f>
        <v>J. Billing Period Total</v>
      </c>
      <c r="D5853" s="211">
        <f>'IWP18'!G$517</f>
        <v>0</v>
      </c>
      <c r="E5853" s="211">
        <f>'IWP18'!H$517</f>
        <v>0</v>
      </c>
      <c r="F5853" s="211">
        <f>'IWP18'!I$517</f>
        <v>0</v>
      </c>
      <c r="G5853" s="191" t="str">
        <f>IF('IWP18'!J$517=0,"",'IWP18'!J$517)</f>
        <v/>
      </c>
      <c r="H5853" s="211">
        <f>'IWP18'!K$517</f>
        <v>0</v>
      </c>
      <c r="I5853" s="211">
        <f>'IWP18'!L$517</f>
        <v>0</v>
      </c>
      <c r="J5853" s="212">
        <f>'IWP18'!M$517</f>
        <v>0</v>
      </c>
      <c r="K5853" s="106"/>
      <c r="L5853" s="106"/>
      <c r="M5853" s="129"/>
    </row>
    <row r="5854" spans="1:13" s="146" customFormat="1">
      <c r="A5854" s="193" t="s">
        <v>516</v>
      </c>
      <c r="B5854" s="210">
        <v>11</v>
      </c>
      <c r="C5854" s="191" t="str">
        <f>IF('IWP18'!E$518=0,"",'IWP18'!E$518)</f>
        <v>D.</v>
      </c>
      <c r="D5854" s="211">
        <f>'IWP18'!G$518</f>
        <v>0</v>
      </c>
      <c r="E5854" s="211" t="str">
        <f>'IWP18'!H$518</f>
        <v>E.</v>
      </c>
      <c r="F5854" s="211" t="str">
        <f>'IWP18'!I$518</f>
        <v>F.</v>
      </c>
      <c r="G5854" s="191" t="str">
        <f>IF('IWP18'!J$518=0,"",'IWP18'!J$518)</f>
        <v>G.</v>
      </c>
      <c r="H5854" s="211">
        <f>'IWP18'!K$518</f>
        <v>0</v>
      </c>
      <c r="I5854" s="211" t="str">
        <f>'IWP18'!L$518</f>
        <v>H.</v>
      </c>
      <c r="J5854" s="212" t="str">
        <f>'IWP18'!M$518</f>
        <v>I.</v>
      </c>
      <c r="K5854" s="106"/>
      <c r="L5854" s="106"/>
      <c r="M5854" s="129"/>
    </row>
    <row r="5855" spans="1:13" s="146" customFormat="1">
      <c r="A5855" s="193" t="s">
        <v>516</v>
      </c>
      <c r="B5855" s="210">
        <v>11</v>
      </c>
      <c r="C5855" s="191" t="str">
        <f>IF('IWP18'!E$519=0,"",'IWP18'!E$519)</f>
        <v xml:space="preserve">Items/Services Related to Billing Period </v>
      </c>
      <c r="D5855" s="211">
        <f>'IWP18'!G$519</f>
        <v>0</v>
      </c>
      <c r="E5855" s="211" t="str">
        <f>'IWP18'!H$519</f>
        <v xml:space="preserve">Item/
Service Verified Amounts
</v>
      </c>
      <c r="F5855" s="211" t="str">
        <f>'IWP18'!I$519</f>
        <v>Amount Due to DADS (E. - D.)</v>
      </c>
      <c r="G5855" s="191" t="str">
        <f>IF('IWP18'!J$519=0,"",'IWP18'!J$519)</f>
        <v>Amount Reimbursed to 
Employee(s)/Employer</v>
      </c>
      <c r="H5855" s="211">
        <f>'IWP18'!K$519</f>
        <v>0</v>
      </c>
      <c r="I5855" s="211" t="str">
        <f>'IWP18'!L$519</f>
        <v>Amount Due to Employee(s) (G. - E.)</v>
      </c>
      <c r="J5855" s="212" t="str">
        <f>'IWP18'!M$519</f>
        <v>Amount Due to Employer (G. - E.)</v>
      </c>
      <c r="K5855" s="106"/>
      <c r="L5855" s="106"/>
      <c r="M5855" s="129"/>
    </row>
    <row r="5856" spans="1:13" s="146" customFormat="1">
      <c r="A5856" s="193" t="s">
        <v>516</v>
      </c>
      <c r="B5856" s="210">
        <v>11</v>
      </c>
      <c r="C5856" s="191" t="str">
        <f>IF('IWP18'!E$520=0,"",'IWP18'!E$520)</f>
        <v>Item/Service</v>
      </c>
      <c r="D5856" s="211" t="str">
        <f>'IWP18'!G$520</f>
        <v>Itemized Amount Paid by DADS</v>
      </c>
      <c r="E5856" s="211">
        <f>'IWP18'!H$520</f>
        <v>0</v>
      </c>
      <c r="F5856" s="211">
        <f>'IWP18'!I$520</f>
        <v>0</v>
      </c>
      <c r="G5856" s="191" t="str">
        <f>IF('IWP18'!J$520=0,"",'IWP18'!J$520)</f>
        <v/>
      </c>
      <c r="H5856" s="211">
        <f>'IWP18'!K$520</f>
        <v>0</v>
      </c>
      <c r="I5856" s="211">
        <f>'IWP18'!L$520</f>
        <v>0</v>
      </c>
      <c r="J5856" s="212">
        <f>'IWP18'!M$520</f>
        <v>0</v>
      </c>
      <c r="K5856" s="106"/>
      <c r="L5856" s="106"/>
      <c r="M5856" s="129"/>
    </row>
    <row r="5857" spans="1:13" s="146" customFormat="1">
      <c r="A5857" s="193" t="s">
        <v>516</v>
      </c>
      <c r="B5857" s="210">
        <v>11</v>
      </c>
      <c r="C5857" s="191" t="str">
        <f>IF('IWP18'!E$521=0,"",'IWP18'!E$521)</f>
        <v/>
      </c>
      <c r="D5857" s="211">
        <f>'IWP18'!G$521</f>
        <v>0</v>
      </c>
      <c r="E5857" s="211">
        <f>'IWP18'!H$521</f>
        <v>0</v>
      </c>
      <c r="F5857" s="211">
        <f>'IWP18'!I$521</f>
        <v>0</v>
      </c>
      <c r="G5857" s="191" t="str">
        <f>IF('IWP18'!J$521=0,"",'IWP18'!J$521)</f>
        <v/>
      </c>
      <c r="H5857" s="211">
        <f>'IWP18'!K$521</f>
        <v>0</v>
      </c>
      <c r="I5857" s="211">
        <f>'IWP18'!L$521</f>
        <v>0</v>
      </c>
      <c r="J5857" s="212">
        <f>'IWP18'!M$521</f>
        <v>0</v>
      </c>
      <c r="K5857" s="106"/>
      <c r="L5857" s="106"/>
      <c r="M5857" s="129"/>
    </row>
    <row r="5858" spans="1:13" s="146" customFormat="1">
      <c r="A5858" s="193" t="s">
        <v>516</v>
      </c>
      <c r="B5858" s="210">
        <v>11</v>
      </c>
      <c r="C5858" s="191" t="str">
        <f>IF('IWP18'!E$522=0,"",'IWP18'!E$522)</f>
        <v/>
      </c>
      <c r="D5858" s="211">
        <f>'IWP18'!G$522</f>
        <v>0</v>
      </c>
      <c r="E5858" s="211">
        <f>'IWP18'!H$522</f>
        <v>0</v>
      </c>
      <c r="F5858" s="211">
        <f>'IWP18'!I$522</f>
        <v>0</v>
      </c>
      <c r="G5858" s="191" t="str">
        <f>IF('IWP18'!J$522=0,"",'IWP18'!J$522)</f>
        <v/>
      </c>
      <c r="H5858" s="211">
        <f>'IWP18'!K$522</f>
        <v>0</v>
      </c>
      <c r="I5858" s="211">
        <f>'IWP18'!L$522</f>
        <v>0</v>
      </c>
      <c r="J5858" s="212">
        <f>'IWP18'!M$522</f>
        <v>0</v>
      </c>
      <c r="K5858" s="106"/>
      <c r="L5858" s="106"/>
      <c r="M5858" s="129"/>
    </row>
    <row r="5859" spans="1:13" s="146" customFormat="1">
      <c r="A5859" s="193" t="s">
        <v>516</v>
      </c>
      <c r="B5859" s="210">
        <v>11</v>
      </c>
      <c r="C5859" s="191" t="str">
        <f>IF('IWP18'!E$523=0,"",'IWP18'!E$523)</f>
        <v/>
      </c>
      <c r="D5859" s="211">
        <f>'IWP18'!G$523</f>
        <v>0</v>
      </c>
      <c r="E5859" s="211">
        <f>'IWP18'!H$523</f>
        <v>0</v>
      </c>
      <c r="F5859" s="211">
        <f>'IWP18'!I$523</f>
        <v>0</v>
      </c>
      <c r="G5859" s="191" t="str">
        <f>IF('IWP18'!J$523=0,"",'IWP18'!J$523)</f>
        <v/>
      </c>
      <c r="H5859" s="211">
        <f>'IWP18'!K$523</f>
        <v>0</v>
      </c>
      <c r="I5859" s="211">
        <f>'IWP18'!L$523</f>
        <v>0</v>
      </c>
      <c r="J5859" s="212">
        <f>'IWP18'!M$523</f>
        <v>0</v>
      </c>
      <c r="K5859" s="106"/>
      <c r="L5859" s="106"/>
      <c r="M5859" s="129"/>
    </row>
    <row r="5860" spans="1:13" s="146" customFormat="1">
      <c r="A5860" s="193" t="s">
        <v>516</v>
      </c>
      <c r="B5860" s="210">
        <v>11</v>
      </c>
      <c r="C5860" s="191" t="str">
        <f>IF('IWP18'!E$524=0,"",'IWP18'!E$524)</f>
        <v/>
      </c>
      <c r="D5860" s="211">
        <f>'IWP18'!G$524</f>
        <v>0</v>
      </c>
      <c r="E5860" s="211">
        <f>'IWP18'!H$524</f>
        <v>0</v>
      </c>
      <c r="F5860" s="211">
        <f>'IWP18'!I$524</f>
        <v>0</v>
      </c>
      <c r="G5860" s="191" t="str">
        <f>IF('IWP18'!J$524=0,"",'IWP18'!J$524)</f>
        <v/>
      </c>
      <c r="H5860" s="211">
        <f>'IWP18'!K$524</f>
        <v>0</v>
      </c>
      <c r="I5860" s="211">
        <f>'IWP18'!L$524</f>
        <v>0</v>
      </c>
      <c r="J5860" s="212">
        <f>'IWP18'!M$524</f>
        <v>0</v>
      </c>
      <c r="K5860" s="106"/>
      <c r="L5860" s="106"/>
      <c r="M5860" s="129"/>
    </row>
    <row r="5861" spans="1:13" s="146" customFormat="1">
      <c r="A5861" s="193" t="s">
        <v>516</v>
      </c>
      <c r="B5861" s="210">
        <v>12</v>
      </c>
      <c r="C5861" s="191" t="str">
        <f>IF('IWP18'!E$531=0,"",'IWP18'!E$531)</f>
        <v>Subtotal column D.</v>
      </c>
      <c r="D5861" s="211">
        <f>'IWP18'!G$531</f>
        <v>0</v>
      </c>
      <c r="E5861" s="211">
        <f>'IWP18'!H$531</f>
        <v>0</v>
      </c>
      <c r="F5861" s="211">
        <f>'IWP18'!I$531</f>
        <v>0</v>
      </c>
      <c r="G5861" s="191" t="str">
        <f>IF('IWP18'!J$531=0,"",'IWP18'!J$531)</f>
        <v/>
      </c>
      <c r="H5861" s="211">
        <f>'IWP18'!K$531</f>
        <v>0</v>
      </c>
      <c r="I5861" s="211">
        <f>'IWP18'!L$531</f>
        <v>0</v>
      </c>
      <c r="J5861" s="212">
        <f>'IWP18'!M$531</f>
        <v>0</v>
      </c>
      <c r="K5861" s="106"/>
      <c r="L5861" s="106"/>
      <c r="M5861" s="129"/>
    </row>
    <row r="5862" spans="1:13" s="146" customFormat="1">
      <c r="A5862" s="193" t="s">
        <v>516</v>
      </c>
      <c r="B5862" s="210">
        <v>12</v>
      </c>
      <c r="C5862" s="191" t="str">
        <f>IF('IWP18'!E$532=0,"",'IWP18'!E$532)</f>
        <v>Unverified/Undocumented (Subtotal D - C)</v>
      </c>
      <c r="D5862" s="211">
        <f>'IWP18'!G$532</f>
        <v>0</v>
      </c>
      <c r="E5862" s="211">
        <f>'IWP18'!H$532</f>
        <v>0</v>
      </c>
      <c r="F5862" s="211">
        <f>'IWP18'!I$532</f>
        <v>0</v>
      </c>
      <c r="G5862" s="191" t="str">
        <f>IF('IWP18'!J$532=0,"",'IWP18'!J$532)</f>
        <v/>
      </c>
      <c r="H5862" s="211">
        <f>'IWP18'!K$532</f>
        <v>0</v>
      </c>
      <c r="I5862" s="211">
        <f>'IWP18'!L$532</f>
        <v>0</v>
      </c>
      <c r="J5862" s="212">
        <f>'IWP18'!M$532</f>
        <v>0</v>
      </c>
      <c r="K5862" s="106"/>
      <c r="L5862" s="106"/>
      <c r="M5862" s="129"/>
    </row>
    <row r="5863" spans="1:13" s="146" customFormat="1">
      <c r="A5863" s="193" t="s">
        <v>516</v>
      </c>
      <c r="B5863" s="210">
        <v>12</v>
      </c>
      <c r="C5863" s="191" t="str">
        <f>IF('IWP18'!E$533=0,"",'IWP18'!E$533)</f>
        <v>J. Billing Period Total</v>
      </c>
      <c r="D5863" s="211">
        <f>'IWP18'!G$533</f>
        <v>0</v>
      </c>
      <c r="E5863" s="211">
        <f>'IWP18'!H$533</f>
        <v>0</v>
      </c>
      <c r="F5863" s="211">
        <f>'IWP18'!I$533</f>
        <v>0</v>
      </c>
      <c r="G5863" s="191" t="str">
        <f>IF('IWP18'!J$533=0,"",'IWP18'!J$533)</f>
        <v/>
      </c>
      <c r="H5863" s="211">
        <f>'IWP18'!K$533</f>
        <v>0</v>
      </c>
      <c r="I5863" s="211">
        <f>'IWP18'!L$533</f>
        <v>0</v>
      </c>
      <c r="J5863" s="212">
        <f>'IWP18'!M$533</f>
        <v>0</v>
      </c>
      <c r="K5863" s="106"/>
      <c r="L5863" s="106"/>
      <c r="M5863" s="129"/>
    </row>
    <row r="5864" spans="1:13" s="146" customFormat="1">
      <c r="A5864" s="193" t="s">
        <v>516</v>
      </c>
      <c r="B5864" s="210">
        <v>12</v>
      </c>
      <c r="C5864" s="191" t="str">
        <f>IF('IWP18'!E$534=0,"",'IWP18'!E$534)</f>
        <v>D.</v>
      </c>
      <c r="D5864" s="211">
        <f>'IWP18'!G$534</f>
        <v>0</v>
      </c>
      <c r="E5864" s="211" t="str">
        <f>'IWP18'!H$534</f>
        <v>E.</v>
      </c>
      <c r="F5864" s="211" t="str">
        <f>'IWP18'!I$534</f>
        <v>F.</v>
      </c>
      <c r="G5864" s="191" t="str">
        <f>IF('IWP18'!J$534=0,"",'IWP18'!J$534)</f>
        <v>G.</v>
      </c>
      <c r="H5864" s="211">
        <f>'IWP18'!K$534</f>
        <v>0</v>
      </c>
      <c r="I5864" s="211" t="str">
        <f>'IWP18'!L$534</f>
        <v>H.</v>
      </c>
      <c r="J5864" s="212" t="str">
        <f>'IWP18'!M$534</f>
        <v>I.</v>
      </c>
      <c r="K5864" s="106"/>
      <c r="L5864" s="106"/>
      <c r="M5864" s="129"/>
    </row>
    <row r="5865" spans="1:13" s="146" customFormat="1">
      <c r="A5865" s="193" t="s">
        <v>516</v>
      </c>
      <c r="B5865" s="210">
        <v>12</v>
      </c>
      <c r="C5865" s="191" t="str">
        <f>IF('IWP18'!E$535=0,"",'IWP18'!E$535)</f>
        <v xml:space="preserve">Items/Services Related to Billing Period </v>
      </c>
      <c r="D5865" s="211">
        <f>'IWP18'!G$535</f>
        <v>0</v>
      </c>
      <c r="E5865" s="211" t="str">
        <f>'IWP18'!H$535</f>
        <v xml:space="preserve">Item/
Service Verified Amounts
</v>
      </c>
      <c r="F5865" s="211" t="str">
        <f>'IWP18'!I$535</f>
        <v>Amount Due to DADS (E. - D.)</v>
      </c>
      <c r="G5865" s="191" t="str">
        <f>IF('IWP18'!J$535=0,"",'IWP18'!J$535)</f>
        <v>Amount Reimbursed to 
Employee(s)/Employer</v>
      </c>
      <c r="H5865" s="211">
        <f>'IWP18'!K$535</f>
        <v>0</v>
      </c>
      <c r="I5865" s="211" t="str">
        <f>'IWP18'!L$535</f>
        <v>Amount Due to Employee(s) (G. - E.)</v>
      </c>
      <c r="J5865" s="212" t="str">
        <f>'IWP18'!M$535</f>
        <v>Amount Due to Employer (G. - E.)</v>
      </c>
      <c r="K5865" s="106"/>
      <c r="L5865" s="106"/>
      <c r="M5865" s="129"/>
    </row>
    <row r="5866" spans="1:13" s="146" customFormat="1">
      <c r="A5866" s="193" t="s">
        <v>516</v>
      </c>
      <c r="B5866" s="210">
        <v>12</v>
      </c>
      <c r="C5866" s="191" t="str">
        <f>IF('IWP18'!E$536=0,"",'IWP18'!E$536)</f>
        <v>Item/Service</v>
      </c>
      <c r="D5866" s="211" t="str">
        <f>'IWP18'!G$536</f>
        <v>Itemized Amount Paid by DADS</v>
      </c>
      <c r="E5866" s="211">
        <f>'IWP18'!H$536</f>
        <v>0</v>
      </c>
      <c r="F5866" s="211">
        <f>'IWP18'!I$536</f>
        <v>0</v>
      </c>
      <c r="G5866" s="191" t="str">
        <f>IF('IWP18'!J$536=0,"",'IWP18'!J$536)</f>
        <v/>
      </c>
      <c r="H5866" s="211">
        <f>'IWP18'!K$536</f>
        <v>0</v>
      </c>
      <c r="I5866" s="211">
        <f>'IWP18'!L$536</f>
        <v>0</v>
      </c>
      <c r="J5866" s="212">
        <f>'IWP18'!M$536</f>
        <v>0</v>
      </c>
      <c r="K5866" s="106"/>
      <c r="L5866" s="106"/>
      <c r="M5866" s="129"/>
    </row>
    <row r="5867" spans="1:13" s="146" customFormat="1">
      <c r="A5867" s="193" t="s">
        <v>516</v>
      </c>
      <c r="B5867" s="210">
        <v>12</v>
      </c>
      <c r="C5867" s="191" t="str">
        <f>IF('IWP18'!E$537=0,"",'IWP18'!E$537)</f>
        <v/>
      </c>
      <c r="D5867" s="211">
        <f>'IWP18'!G$537</f>
        <v>0</v>
      </c>
      <c r="E5867" s="211">
        <f>'IWP18'!H$537</f>
        <v>0</v>
      </c>
      <c r="F5867" s="211">
        <f>'IWP18'!I$537</f>
        <v>0</v>
      </c>
      <c r="G5867" s="191" t="str">
        <f>IF('IWP18'!J$537=0,"",'IWP18'!J$537)</f>
        <v/>
      </c>
      <c r="H5867" s="211">
        <f>'IWP18'!K$537</f>
        <v>0</v>
      </c>
      <c r="I5867" s="211">
        <f>'IWP18'!L$537</f>
        <v>0</v>
      </c>
      <c r="J5867" s="212">
        <f>'IWP18'!M$537</f>
        <v>0</v>
      </c>
      <c r="K5867" s="106"/>
      <c r="L5867" s="106"/>
      <c r="M5867" s="129"/>
    </row>
    <row r="5868" spans="1:13" s="146" customFormat="1">
      <c r="A5868" s="193" t="s">
        <v>516</v>
      </c>
      <c r="B5868" s="210">
        <v>12</v>
      </c>
      <c r="C5868" s="191" t="str">
        <f>IF('IWP18'!E$538=0,"",'IWP18'!E$538)</f>
        <v/>
      </c>
      <c r="D5868" s="211">
        <f>'IWP18'!G$538</f>
        <v>0</v>
      </c>
      <c r="E5868" s="211">
        <f>'IWP18'!H$538</f>
        <v>0</v>
      </c>
      <c r="F5868" s="211">
        <f>'IWP18'!I$538</f>
        <v>0</v>
      </c>
      <c r="G5868" s="191" t="str">
        <f>IF('IWP18'!J$538=0,"",'IWP18'!J$538)</f>
        <v/>
      </c>
      <c r="H5868" s="211">
        <f>'IWP18'!K$538</f>
        <v>0</v>
      </c>
      <c r="I5868" s="211">
        <f>'IWP18'!L$538</f>
        <v>0</v>
      </c>
      <c r="J5868" s="212">
        <f>'IWP18'!M$538</f>
        <v>0</v>
      </c>
      <c r="K5868" s="106"/>
      <c r="L5868" s="106"/>
      <c r="M5868" s="129"/>
    </row>
    <row r="5869" spans="1:13" s="146" customFormat="1">
      <c r="A5869" s="193" t="s">
        <v>516</v>
      </c>
      <c r="B5869" s="210">
        <v>12</v>
      </c>
      <c r="C5869" s="191" t="str">
        <f>IF('IWP18'!E$539=0,"",'IWP18'!E$539)</f>
        <v/>
      </c>
      <c r="D5869" s="211">
        <f>'IWP18'!G$539</f>
        <v>0</v>
      </c>
      <c r="E5869" s="211">
        <f>'IWP18'!H$539</f>
        <v>0</v>
      </c>
      <c r="F5869" s="211">
        <f>'IWP18'!I$539</f>
        <v>0</v>
      </c>
      <c r="G5869" s="191" t="str">
        <f>IF('IWP18'!J$539=0,"",'IWP18'!J$539)</f>
        <v/>
      </c>
      <c r="H5869" s="211">
        <f>'IWP18'!K$539</f>
        <v>0</v>
      </c>
      <c r="I5869" s="211">
        <f>'IWP18'!L$539</f>
        <v>0</v>
      </c>
      <c r="J5869" s="212">
        <f>'IWP18'!M$539</f>
        <v>0</v>
      </c>
      <c r="K5869" s="106"/>
      <c r="L5869" s="106"/>
      <c r="M5869" s="129"/>
    </row>
    <row r="5870" spans="1:13" s="146" customFormat="1">
      <c r="A5870" s="193" t="s">
        <v>516</v>
      </c>
      <c r="B5870" s="210">
        <v>12</v>
      </c>
      <c r="C5870" s="191" t="str">
        <f>IF('IWP18'!E$540=0,"",'IWP18'!E$540)</f>
        <v/>
      </c>
      <c r="D5870" s="211">
        <f>'IWP18'!G$540</f>
        <v>0</v>
      </c>
      <c r="E5870" s="211">
        <f>'IWP18'!H$540</f>
        <v>0</v>
      </c>
      <c r="F5870" s="211">
        <f>'IWP18'!I$540</f>
        <v>0</v>
      </c>
      <c r="G5870" s="191" t="str">
        <f>IF('IWP18'!J$540=0,"",'IWP18'!J$540)</f>
        <v/>
      </c>
      <c r="H5870" s="211">
        <f>'IWP18'!K$540</f>
        <v>0</v>
      </c>
      <c r="I5870" s="211">
        <f>'IWP18'!L$540</f>
        <v>0</v>
      </c>
      <c r="J5870" s="212">
        <f>'IWP18'!M$540</f>
        <v>0</v>
      </c>
      <c r="K5870" s="106"/>
      <c r="L5870" s="106"/>
      <c r="M5870" s="129"/>
    </row>
    <row r="5871" spans="1:13" s="146" customFormat="1">
      <c r="A5871" s="193" t="s">
        <v>516</v>
      </c>
      <c r="B5871" s="210">
        <v>13</v>
      </c>
      <c r="C5871" s="191" t="str">
        <f>IF('IWP18'!E$547=0,"",'IWP18'!E$547)</f>
        <v>Subtotal column D.</v>
      </c>
      <c r="D5871" s="211">
        <f>'IWP18'!G$547</f>
        <v>0</v>
      </c>
      <c r="E5871" s="211">
        <f>'IWP18'!H$547</f>
        <v>0</v>
      </c>
      <c r="F5871" s="211">
        <f>'IWP18'!I$547</f>
        <v>0</v>
      </c>
      <c r="G5871" s="191" t="str">
        <f>IF('IWP18'!J$547=0,"",'IWP18'!J$547)</f>
        <v/>
      </c>
      <c r="H5871" s="211">
        <f>'IWP18'!K$547</f>
        <v>0</v>
      </c>
      <c r="I5871" s="211">
        <f>'IWP18'!L$547</f>
        <v>0</v>
      </c>
      <c r="J5871" s="212">
        <f>'IWP18'!M$547</f>
        <v>0</v>
      </c>
      <c r="K5871" s="106"/>
      <c r="L5871" s="106"/>
      <c r="M5871" s="129"/>
    </row>
    <row r="5872" spans="1:13" s="146" customFormat="1">
      <c r="A5872" s="193" t="s">
        <v>516</v>
      </c>
      <c r="B5872" s="210">
        <v>13</v>
      </c>
      <c r="C5872" s="191" t="str">
        <f>IF('IWP18'!E$548=0,"",'IWP18'!E$548)</f>
        <v>Unverified/Undocumented (Subtotal D - C)</v>
      </c>
      <c r="D5872" s="211">
        <f>'IWP18'!G$548</f>
        <v>0</v>
      </c>
      <c r="E5872" s="211">
        <f>'IWP18'!H$548</f>
        <v>0</v>
      </c>
      <c r="F5872" s="211">
        <f>'IWP18'!I$548</f>
        <v>0</v>
      </c>
      <c r="G5872" s="191" t="str">
        <f>IF('IWP18'!J$548=0,"",'IWP18'!J$548)</f>
        <v/>
      </c>
      <c r="H5872" s="211">
        <f>'IWP18'!K$548</f>
        <v>0</v>
      </c>
      <c r="I5872" s="211">
        <f>'IWP18'!L$548</f>
        <v>0</v>
      </c>
      <c r="J5872" s="212">
        <f>'IWP18'!M$548</f>
        <v>0</v>
      </c>
      <c r="K5872" s="106"/>
      <c r="L5872" s="106"/>
      <c r="M5872" s="129"/>
    </row>
    <row r="5873" spans="1:13" s="146" customFormat="1">
      <c r="A5873" s="193" t="s">
        <v>516</v>
      </c>
      <c r="B5873" s="210">
        <v>13</v>
      </c>
      <c r="C5873" s="191" t="str">
        <f>IF('IWP18'!E$549=0,"",'IWP18'!E$549)</f>
        <v>J. Billing Period Total</v>
      </c>
      <c r="D5873" s="211">
        <f>'IWP18'!G$549</f>
        <v>0</v>
      </c>
      <c r="E5873" s="211">
        <f>'IWP18'!H$549</f>
        <v>0</v>
      </c>
      <c r="F5873" s="211">
        <f>'IWP18'!I$549</f>
        <v>0</v>
      </c>
      <c r="G5873" s="191" t="str">
        <f>IF('IWP18'!J$549=0,"",'IWP18'!J$549)</f>
        <v/>
      </c>
      <c r="H5873" s="211">
        <f>'IWP18'!K$549</f>
        <v>0</v>
      </c>
      <c r="I5873" s="211">
        <f>'IWP18'!L$549</f>
        <v>0</v>
      </c>
      <c r="J5873" s="212">
        <f>'IWP18'!M$549</f>
        <v>0</v>
      </c>
      <c r="K5873" s="106"/>
      <c r="L5873" s="106"/>
      <c r="M5873" s="129"/>
    </row>
    <row r="5874" spans="1:13" s="146" customFormat="1">
      <c r="A5874" s="193" t="s">
        <v>516</v>
      </c>
      <c r="B5874" s="210">
        <v>13</v>
      </c>
      <c r="C5874" s="191" t="str">
        <f>IF('IWP18'!E$550=0,"",'IWP18'!E$550)</f>
        <v>D.</v>
      </c>
      <c r="D5874" s="211">
        <f>'IWP18'!G$550</f>
        <v>0</v>
      </c>
      <c r="E5874" s="211" t="str">
        <f>'IWP18'!H$550</f>
        <v>E.</v>
      </c>
      <c r="F5874" s="211" t="str">
        <f>'IWP18'!I$550</f>
        <v>F.</v>
      </c>
      <c r="G5874" s="191" t="str">
        <f>IF('IWP18'!J$550=0,"",'IWP18'!J$550)</f>
        <v>G.</v>
      </c>
      <c r="H5874" s="211">
        <f>'IWP18'!K$550</f>
        <v>0</v>
      </c>
      <c r="I5874" s="211" t="str">
        <f>'IWP18'!L$550</f>
        <v>H.</v>
      </c>
      <c r="J5874" s="212" t="str">
        <f>'IWP18'!M$550</f>
        <v>I.</v>
      </c>
      <c r="K5874" s="106"/>
      <c r="L5874" s="106"/>
      <c r="M5874" s="129"/>
    </row>
    <row r="5875" spans="1:13" s="146" customFormat="1">
      <c r="A5875" s="193" t="s">
        <v>516</v>
      </c>
      <c r="B5875" s="210">
        <v>13</v>
      </c>
      <c r="C5875" s="191" t="str">
        <f>IF('IWP18'!E$551=0,"",'IWP18'!E$551)</f>
        <v xml:space="preserve">Items/Services Related to Billing Period </v>
      </c>
      <c r="D5875" s="211">
        <f>'IWP18'!G$551</f>
        <v>0</v>
      </c>
      <c r="E5875" s="211" t="str">
        <f>'IWP18'!H$551</f>
        <v xml:space="preserve">Item/
Service Verified Amounts
</v>
      </c>
      <c r="F5875" s="211" t="str">
        <f>'IWP18'!I$551</f>
        <v>Amount Due to DADS (E. - D.)</v>
      </c>
      <c r="G5875" s="191" t="str">
        <f>IF('IWP18'!J$551=0,"",'IWP18'!J$551)</f>
        <v>Amount Reimbursed to 
Employee(s)/Employer</v>
      </c>
      <c r="H5875" s="211">
        <f>'IWP18'!K$551</f>
        <v>0</v>
      </c>
      <c r="I5875" s="211" t="str">
        <f>'IWP18'!L$551</f>
        <v>Amount Due to Employee(s) (G. - E.)</v>
      </c>
      <c r="J5875" s="212" t="str">
        <f>'IWP18'!M$551</f>
        <v>Amount Due to Employer (G. - E.)</v>
      </c>
      <c r="K5875" s="106"/>
      <c r="L5875" s="106"/>
      <c r="M5875" s="129"/>
    </row>
    <row r="5876" spans="1:13" s="146" customFormat="1">
      <c r="A5876" s="193" t="s">
        <v>516</v>
      </c>
      <c r="B5876" s="210">
        <v>13</v>
      </c>
      <c r="C5876" s="191" t="str">
        <f>IF('IWP18'!E$552=0,"",'IWP18'!E$552)</f>
        <v>Item/Service</v>
      </c>
      <c r="D5876" s="211" t="str">
        <f>'IWP18'!G$552</f>
        <v>Itemized Amount Paid by DADS</v>
      </c>
      <c r="E5876" s="211">
        <f>'IWP18'!H$552</f>
        <v>0</v>
      </c>
      <c r="F5876" s="211">
        <f>'IWP18'!I$552</f>
        <v>0</v>
      </c>
      <c r="G5876" s="191" t="str">
        <f>IF('IWP18'!J$552=0,"",'IWP18'!J$552)</f>
        <v/>
      </c>
      <c r="H5876" s="211">
        <f>'IWP18'!K$552</f>
        <v>0</v>
      </c>
      <c r="I5876" s="211">
        <f>'IWP18'!L$552</f>
        <v>0</v>
      </c>
      <c r="J5876" s="212">
        <f>'IWP18'!M$552</f>
        <v>0</v>
      </c>
      <c r="K5876" s="106"/>
      <c r="L5876" s="106"/>
      <c r="M5876" s="129"/>
    </row>
    <row r="5877" spans="1:13" s="146" customFormat="1">
      <c r="A5877" s="193" t="s">
        <v>516</v>
      </c>
      <c r="B5877" s="210">
        <v>13</v>
      </c>
      <c r="C5877" s="191" t="str">
        <f>IF('IWP18'!E$553=0,"",'IWP18'!E$553)</f>
        <v/>
      </c>
      <c r="D5877" s="211">
        <f>'IWP18'!G$553</f>
        <v>0</v>
      </c>
      <c r="E5877" s="211">
        <f>'IWP18'!H$553</f>
        <v>0</v>
      </c>
      <c r="F5877" s="211">
        <f>'IWP18'!I$553</f>
        <v>0</v>
      </c>
      <c r="G5877" s="191" t="str">
        <f>IF('IWP18'!J$553=0,"",'IWP18'!J$553)</f>
        <v/>
      </c>
      <c r="H5877" s="211">
        <f>'IWP18'!K$553</f>
        <v>0</v>
      </c>
      <c r="I5877" s="211">
        <f>'IWP18'!L$553</f>
        <v>0</v>
      </c>
      <c r="J5877" s="212">
        <f>'IWP18'!M$553</f>
        <v>0</v>
      </c>
      <c r="K5877" s="106"/>
      <c r="L5877" s="106"/>
      <c r="M5877" s="129"/>
    </row>
    <row r="5878" spans="1:13" s="146" customFormat="1">
      <c r="A5878" s="193" t="s">
        <v>516</v>
      </c>
      <c r="B5878" s="210">
        <v>13</v>
      </c>
      <c r="C5878" s="191" t="str">
        <f>IF('IWP18'!E$554=0,"",'IWP18'!E$554)</f>
        <v/>
      </c>
      <c r="D5878" s="211">
        <f>'IWP18'!G$554</f>
        <v>0</v>
      </c>
      <c r="E5878" s="211">
        <f>'IWP18'!H$554</f>
        <v>0</v>
      </c>
      <c r="F5878" s="211">
        <f>'IWP18'!I$554</f>
        <v>0</v>
      </c>
      <c r="G5878" s="191" t="str">
        <f>IF('IWP18'!J$554=0,"",'IWP18'!J$554)</f>
        <v/>
      </c>
      <c r="H5878" s="211">
        <f>'IWP18'!K$554</f>
        <v>0</v>
      </c>
      <c r="I5878" s="211">
        <f>'IWP18'!L$554</f>
        <v>0</v>
      </c>
      <c r="J5878" s="212">
        <f>'IWP18'!M$554</f>
        <v>0</v>
      </c>
      <c r="K5878" s="106"/>
      <c r="L5878" s="106"/>
      <c r="M5878" s="129"/>
    </row>
    <row r="5879" spans="1:13" s="146" customFormat="1">
      <c r="A5879" s="193" t="s">
        <v>516</v>
      </c>
      <c r="B5879" s="210">
        <v>13</v>
      </c>
      <c r="C5879" s="191" t="str">
        <f>IF('IWP18'!E$555=0,"",'IWP18'!E$555)</f>
        <v/>
      </c>
      <c r="D5879" s="211">
        <f>'IWP18'!G$555</f>
        <v>0</v>
      </c>
      <c r="E5879" s="211">
        <f>'IWP18'!H$555</f>
        <v>0</v>
      </c>
      <c r="F5879" s="211">
        <f>'IWP18'!I$555</f>
        <v>0</v>
      </c>
      <c r="G5879" s="191" t="str">
        <f>IF('IWP18'!J$555=0,"",'IWP18'!J$555)</f>
        <v/>
      </c>
      <c r="H5879" s="211">
        <f>'IWP18'!K$555</f>
        <v>0</v>
      </c>
      <c r="I5879" s="211">
        <f>'IWP18'!L$555</f>
        <v>0</v>
      </c>
      <c r="J5879" s="212">
        <f>'IWP18'!M$555</f>
        <v>0</v>
      </c>
      <c r="K5879" s="106"/>
      <c r="L5879" s="106"/>
      <c r="M5879" s="129"/>
    </row>
    <row r="5880" spans="1:13" s="146" customFormat="1">
      <c r="A5880" s="193" t="s">
        <v>516</v>
      </c>
      <c r="B5880" s="210">
        <v>13</v>
      </c>
      <c r="C5880" s="191" t="str">
        <f>IF('IWP18'!E$556=0,"",'IWP18'!E$556)</f>
        <v/>
      </c>
      <c r="D5880" s="211">
        <f>'IWP18'!G$556</f>
        <v>0</v>
      </c>
      <c r="E5880" s="211">
        <f>'IWP18'!H$556</f>
        <v>0</v>
      </c>
      <c r="F5880" s="211">
        <f>'IWP18'!I$556</f>
        <v>0</v>
      </c>
      <c r="G5880" s="191" t="str">
        <f>IF('IWP18'!J$556=0,"",'IWP18'!J$556)</f>
        <v/>
      </c>
      <c r="H5880" s="211">
        <f>'IWP18'!K$556</f>
        <v>0</v>
      </c>
      <c r="I5880" s="211">
        <f>'IWP18'!L$556</f>
        <v>0</v>
      </c>
      <c r="J5880" s="212">
        <f>'IWP18'!M$556</f>
        <v>0</v>
      </c>
      <c r="K5880" s="106"/>
      <c r="L5880" s="106"/>
      <c r="M5880" s="129"/>
    </row>
    <row r="5881" spans="1:13" s="146" customFormat="1">
      <c r="A5881" s="193" t="s">
        <v>516</v>
      </c>
      <c r="B5881" s="210">
        <v>14</v>
      </c>
      <c r="C5881" s="191" t="str">
        <f>IF('IWP18'!E$563=0,"",'IWP18'!E$563)</f>
        <v>Subtotal column D.</v>
      </c>
      <c r="D5881" s="211">
        <f>'IWP18'!G$563</f>
        <v>0</v>
      </c>
      <c r="E5881" s="211">
        <f>'IWP18'!H$563</f>
        <v>0</v>
      </c>
      <c r="F5881" s="211">
        <f>'IWP18'!I$563</f>
        <v>0</v>
      </c>
      <c r="G5881" s="191" t="str">
        <f>IF('IWP18'!J$563=0,"",'IWP18'!J$563)</f>
        <v/>
      </c>
      <c r="H5881" s="211">
        <f>'IWP18'!K$563</f>
        <v>0</v>
      </c>
      <c r="I5881" s="211">
        <f>'IWP18'!L$563</f>
        <v>0</v>
      </c>
      <c r="J5881" s="212">
        <f>'IWP18'!M$563</f>
        <v>0</v>
      </c>
      <c r="K5881" s="106"/>
      <c r="L5881" s="106"/>
      <c r="M5881" s="129"/>
    </row>
    <row r="5882" spans="1:13" s="146" customFormat="1">
      <c r="A5882" s="193" t="s">
        <v>516</v>
      </c>
      <c r="B5882" s="210">
        <v>14</v>
      </c>
      <c r="C5882" s="191" t="str">
        <f>IF('IWP18'!E$564=0,"",'IWP18'!E$564)</f>
        <v>Unverified/Undocumented (Subtotal D - C)</v>
      </c>
      <c r="D5882" s="211">
        <f>'IWP18'!G$564</f>
        <v>0</v>
      </c>
      <c r="E5882" s="211">
        <f>'IWP18'!H$564</f>
        <v>0</v>
      </c>
      <c r="F5882" s="211">
        <f>'IWP18'!I$564</f>
        <v>0</v>
      </c>
      <c r="G5882" s="191" t="str">
        <f>IF('IWP18'!J$564=0,"",'IWP18'!J$564)</f>
        <v/>
      </c>
      <c r="H5882" s="211">
        <f>'IWP18'!K$564</f>
        <v>0</v>
      </c>
      <c r="I5882" s="211">
        <f>'IWP18'!L$564</f>
        <v>0</v>
      </c>
      <c r="J5882" s="212">
        <f>'IWP18'!M$564</f>
        <v>0</v>
      </c>
      <c r="K5882" s="106"/>
      <c r="L5882" s="106"/>
      <c r="M5882" s="129"/>
    </row>
    <row r="5883" spans="1:13" s="146" customFormat="1">
      <c r="A5883" s="193" t="s">
        <v>516</v>
      </c>
      <c r="B5883" s="210">
        <v>14</v>
      </c>
      <c r="C5883" s="191" t="str">
        <f>IF('IWP18'!E$565=0,"",'IWP18'!E$565)</f>
        <v>J. Billing Period Total</v>
      </c>
      <c r="D5883" s="211">
        <f>'IWP18'!G$565</f>
        <v>0</v>
      </c>
      <c r="E5883" s="211">
        <f>'IWP18'!H$565</f>
        <v>0</v>
      </c>
      <c r="F5883" s="211">
        <f>'IWP18'!I$565</f>
        <v>0</v>
      </c>
      <c r="G5883" s="191" t="str">
        <f>IF('IWP18'!J$565=0,"",'IWP18'!J$565)</f>
        <v/>
      </c>
      <c r="H5883" s="211">
        <f>'IWP18'!K$565</f>
        <v>0</v>
      </c>
      <c r="I5883" s="211">
        <f>'IWP18'!L$565</f>
        <v>0</v>
      </c>
      <c r="J5883" s="212">
        <f>'IWP18'!M$565</f>
        <v>0</v>
      </c>
      <c r="K5883" s="106"/>
      <c r="L5883" s="106"/>
      <c r="M5883" s="129"/>
    </row>
    <row r="5884" spans="1:13" s="146" customFormat="1">
      <c r="A5884" s="193" t="s">
        <v>516</v>
      </c>
      <c r="B5884" s="210">
        <v>14</v>
      </c>
      <c r="C5884" s="191" t="str">
        <f>IF('IWP18'!E$566=0,"",'IWP18'!E$566)</f>
        <v>D.</v>
      </c>
      <c r="D5884" s="211">
        <f>'IWP18'!G$566</f>
        <v>0</v>
      </c>
      <c r="E5884" s="211" t="str">
        <f>'IWP18'!H$566</f>
        <v>E.</v>
      </c>
      <c r="F5884" s="211" t="str">
        <f>'IWP18'!I$566</f>
        <v>F.</v>
      </c>
      <c r="G5884" s="191" t="str">
        <f>IF('IWP18'!J$566=0,"",'IWP18'!J$566)</f>
        <v>G.</v>
      </c>
      <c r="H5884" s="211">
        <f>'IWP18'!K$566</f>
        <v>0</v>
      </c>
      <c r="I5884" s="211" t="str">
        <f>'IWP18'!L$566</f>
        <v>H.</v>
      </c>
      <c r="J5884" s="212" t="str">
        <f>'IWP18'!M$566</f>
        <v>I.</v>
      </c>
      <c r="K5884" s="106"/>
      <c r="L5884" s="106"/>
      <c r="M5884" s="129"/>
    </row>
    <row r="5885" spans="1:13" s="146" customFormat="1">
      <c r="A5885" s="193" t="s">
        <v>516</v>
      </c>
      <c r="B5885" s="210">
        <v>14</v>
      </c>
      <c r="C5885" s="191" t="str">
        <f>IF('IWP18'!E$567=0,"",'IWP18'!E$567)</f>
        <v xml:space="preserve">Items/Services Related to Billing Period </v>
      </c>
      <c r="D5885" s="211">
        <f>'IWP18'!G$567</f>
        <v>0</v>
      </c>
      <c r="E5885" s="211" t="str">
        <f>'IWP18'!H$567</f>
        <v xml:space="preserve">Item/
Service Verified Amounts
</v>
      </c>
      <c r="F5885" s="211" t="str">
        <f>'IWP18'!I$567</f>
        <v>Amount Due to DADS (E. - D.)</v>
      </c>
      <c r="G5885" s="191" t="str">
        <f>IF('IWP18'!J$567=0,"",'IWP18'!J$567)</f>
        <v>Amount Reimbursed to 
Employee(s)/Employer</v>
      </c>
      <c r="H5885" s="211">
        <f>'IWP18'!K$567</f>
        <v>0</v>
      </c>
      <c r="I5885" s="211" t="str">
        <f>'IWP18'!L$567</f>
        <v>Amount Due to Employee(s) (G. - E.)</v>
      </c>
      <c r="J5885" s="212" t="str">
        <f>'IWP18'!M$567</f>
        <v>Amount Due to Employer (G. - E.)</v>
      </c>
      <c r="K5885" s="106"/>
      <c r="L5885" s="106"/>
      <c r="M5885" s="129"/>
    </row>
    <row r="5886" spans="1:13" s="146" customFormat="1">
      <c r="A5886" s="193" t="s">
        <v>516</v>
      </c>
      <c r="B5886" s="210">
        <v>14</v>
      </c>
      <c r="C5886" s="191" t="str">
        <f>IF('IWP18'!E$568=0,"",'IWP18'!E$568)</f>
        <v>Item/Service</v>
      </c>
      <c r="D5886" s="211" t="str">
        <f>'IWP18'!G$568</f>
        <v>Itemized Amount Paid by DADS</v>
      </c>
      <c r="E5886" s="211">
        <f>'IWP18'!H$568</f>
        <v>0</v>
      </c>
      <c r="F5886" s="211">
        <f>'IWP18'!I$568</f>
        <v>0</v>
      </c>
      <c r="G5886" s="191" t="str">
        <f>IF('IWP18'!J$568=0,"",'IWP18'!J$568)</f>
        <v/>
      </c>
      <c r="H5886" s="211">
        <f>'IWP18'!K$568</f>
        <v>0</v>
      </c>
      <c r="I5886" s="211">
        <f>'IWP18'!L$568</f>
        <v>0</v>
      </c>
      <c r="J5886" s="212">
        <f>'IWP18'!M$568</f>
        <v>0</v>
      </c>
      <c r="K5886" s="106"/>
      <c r="L5886" s="106"/>
      <c r="M5886" s="129"/>
    </row>
    <row r="5887" spans="1:13" s="146" customFormat="1">
      <c r="A5887" s="193" t="s">
        <v>516</v>
      </c>
      <c r="B5887" s="210">
        <v>14</v>
      </c>
      <c r="C5887" s="191" t="str">
        <f>IF('IWP18'!E$569=0,"",'IWP18'!E$569)</f>
        <v/>
      </c>
      <c r="D5887" s="211">
        <f>'IWP18'!G$569</f>
        <v>0</v>
      </c>
      <c r="E5887" s="211">
        <f>'IWP18'!H$569</f>
        <v>0</v>
      </c>
      <c r="F5887" s="211">
        <f>'IWP18'!I$569</f>
        <v>0</v>
      </c>
      <c r="G5887" s="191" t="str">
        <f>IF('IWP18'!J$569=0,"",'IWP18'!J$569)</f>
        <v/>
      </c>
      <c r="H5887" s="211">
        <f>'IWP18'!K$569</f>
        <v>0</v>
      </c>
      <c r="I5887" s="211">
        <f>'IWP18'!L$569</f>
        <v>0</v>
      </c>
      <c r="J5887" s="212">
        <f>'IWP18'!M$569</f>
        <v>0</v>
      </c>
      <c r="K5887" s="106"/>
      <c r="L5887" s="106"/>
      <c r="M5887" s="129"/>
    </row>
    <row r="5888" spans="1:13" s="146" customFormat="1">
      <c r="A5888" s="193" t="s">
        <v>516</v>
      </c>
      <c r="B5888" s="210">
        <v>14</v>
      </c>
      <c r="C5888" s="191" t="str">
        <f>IF('IWP18'!E$570=0,"",'IWP18'!E$570)</f>
        <v/>
      </c>
      <c r="D5888" s="211">
        <f>'IWP18'!G$570</f>
        <v>0</v>
      </c>
      <c r="E5888" s="211">
        <f>'IWP18'!H$570</f>
        <v>0</v>
      </c>
      <c r="F5888" s="211">
        <f>'IWP18'!I$570</f>
        <v>0</v>
      </c>
      <c r="G5888" s="191" t="str">
        <f>IF('IWP18'!J$570=0,"",'IWP18'!J$570)</f>
        <v/>
      </c>
      <c r="H5888" s="211">
        <f>'IWP18'!K$570</f>
        <v>0</v>
      </c>
      <c r="I5888" s="211">
        <f>'IWP18'!L$570</f>
        <v>0</v>
      </c>
      <c r="J5888" s="212">
        <f>'IWP18'!M$570</f>
        <v>0</v>
      </c>
      <c r="K5888" s="106"/>
      <c r="L5888" s="106"/>
      <c r="M5888" s="129"/>
    </row>
    <row r="5889" spans="1:13" s="146" customFormat="1">
      <c r="A5889" s="193" t="s">
        <v>516</v>
      </c>
      <c r="B5889" s="210">
        <v>14</v>
      </c>
      <c r="C5889" s="191" t="str">
        <f>IF('IWP18'!E$571=0,"",'IWP18'!E$571)</f>
        <v/>
      </c>
      <c r="D5889" s="211">
        <f>'IWP18'!G$571</f>
        <v>0</v>
      </c>
      <c r="E5889" s="211">
        <f>'IWP18'!H$571</f>
        <v>0</v>
      </c>
      <c r="F5889" s="211">
        <f>'IWP18'!I$571</f>
        <v>0</v>
      </c>
      <c r="G5889" s="191" t="str">
        <f>IF('IWP18'!J$571=0,"",'IWP18'!J$571)</f>
        <v/>
      </c>
      <c r="H5889" s="211">
        <f>'IWP18'!K$571</f>
        <v>0</v>
      </c>
      <c r="I5889" s="211">
        <f>'IWP18'!L$571</f>
        <v>0</v>
      </c>
      <c r="J5889" s="212">
        <f>'IWP18'!M$571</f>
        <v>0</v>
      </c>
      <c r="K5889" s="106"/>
      <c r="L5889" s="106"/>
      <c r="M5889" s="129"/>
    </row>
    <row r="5890" spans="1:13" s="146" customFormat="1">
      <c r="A5890" s="193" t="s">
        <v>516</v>
      </c>
      <c r="B5890" s="210">
        <v>14</v>
      </c>
      <c r="C5890" s="191" t="str">
        <f>IF('IWP18'!E$572=0,"",'IWP18'!E$572)</f>
        <v/>
      </c>
      <c r="D5890" s="211">
        <f>'IWP18'!G$572</f>
        <v>0</v>
      </c>
      <c r="E5890" s="211">
        <f>'IWP18'!H$572</f>
        <v>0</v>
      </c>
      <c r="F5890" s="211">
        <f>'IWP18'!I$572</f>
        <v>0</v>
      </c>
      <c r="G5890" s="191" t="str">
        <f>IF('IWP18'!J$572=0,"",'IWP18'!J$572)</f>
        <v/>
      </c>
      <c r="H5890" s="211">
        <f>'IWP18'!K$572</f>
        <v>0</v>
      </c>
      <c r="I5890" s="211">
        <f>'IWP18'!L$572</f>
        <v>0</v>
      </c>
      <c r="J5890" s="212">
        <f>'IWP18'!M$572</f>
        <v>0</v>
      </c>
      <c r="K5890" s="106"/>
      <c r="L5890" s="106"/>
      <c r="M5890" s="129"/>
    </row>
    <row r="5891" spans="1:13" s="146" customFormat="1">
      <c r="A5891" s="193" t="s">
        <v>516</v>
      </c>
      <c r="B5891" s="210">
        <v>15</v>
      </c>
      <c r="C5891" s="191" t="str">
        <f>IF('IWP18'!E$579=0,"",'IWP18'!E$579)</f>
        <v>Subtotal column D.</v>
      </c>
      <c r="D5891" s="211">
        <f>'IWP18'!G$579</f>
        <v>0</v>
      </c>
      <c r="E5891" s="211">
        <f>'IWP18'!H$579</f>
        <v>0</v>
      </c>
      <c r="F5891" s="211">
        <f>'IWP18'!I$579</f>
        <v>0</v>
      </c>
      <c r="G5891" s="191" t="str">
        <f>IF('IWP18'!J$579=0,"",'IWP18'!J$579)</f>
        <v/>
      </c>
      <c r="H5891" s="211">
        <f>'IWP18'!K$579</f>
        <v>0</v>
      </c>
      <c r="I5891" s="211">
        <f>'IWP18'!L$579</f>
        <v>0</v>
      </c>
      <c r="J5891" s="212">
        <f>'IWP18'!M$579</f>
        <v>0</v>
      </c>
      <c r="K5891" s="106"/>
      <c r="L5891" s="106"/>
      <c r="M5891" s="129"/>
    </row>
    <row r="5892" spans="1:13" s="146" customFormat="1">
      <c r="A5892" s="193" t="s">
        <v>516</v>
      </c>
      <c r="B5892" s="210">
        <v>15</v>
      </c>
      <c r="C5892" s="191" t="str">
        <f>IF('IWP18'!E$580=0,"",'IWP18'!E$580)</f>
        <v>Unverified/Undocumented (Subtotal D - C)</v>
      </c>
      <c r="D5892" s="211">
        <f>'IWP18'!G$580</f>
        <v>0</v>
      </c>
      <c r="E5892" s="211">
        <f>'IWP18'!H$580</f>
        <v>0</v>
      </c>
      <c r="F5892" s="211">
        <f>'IWP18'!I$580</f>
        <v>0</v>
      </c>
      <c r="G5892" s="191" t="str">
        <f>IF('IWP18'!J$580=0,"",'IWP18'!J$580)</f>
        <v/>
      </c>
      <c r="H5892" s="211">
        <f>'IWP18'!K$580</f>
        <v>0</v>
      </c>
      <c r="I5892" s="211">
        <f>'IWP18'!L$580</f>
        <v>0</v>
      </c>
      <c r="J5892" s="212">
        <f>'IWP18'!M$580</f>
        <v>0</v>
      </c>
      <c r="K5892" s="106"/>
      <c r="L5892" s="106"/>
      <c r="M5892" s="129"/>
    </row>
    <row r="5893" spans="1:13" s="146" customFormat="1">
      <c r="A5893" s="193" t="s">
        <v>516</v>
      </c>
      <c r="B5893" s="210">
        <v>15</v>
      </c>
      <c r="C5893" s="191" t="str">
        <f>IF('IWP18'!E$581=0,"",'IWP18'!E$581)</f>
        <v>J. Billing Period Total</v>
      </c>
      <c r="D5893" s="211">
        <f>'IWP18'!G$581</f>
        <v>0</v>
      </c>
      <c r="E5893" s="211">
        <f>'IWP18'!H$581</f>
        <v>0</v>
      </c>
      <c r="F5893" s="211">
        <f>'IWP18'!I$581</f>
        <v>0</v>
      </c>
      <c r="G5893" s="191" t="str">
        <f>IF('IWP18'!J$581=0,"",'IWP18'!J$581)</f>
        <v/>
      </c>
      <c r="H5893" s="211">
        <f>'IWP18'!K$581</f>
        <v>0</v>
      </c>
      <c r="I5893" s="211">
        <f>'IWP18'!L$581</f>
        <v>0</v>
      </c>
      <c r="J5893" s="212">
        <f>'IWP18'!M$581</f>
        <v>0</v>
      </c>
      <c r="K5893" s="106"/>
      <c r="L5893" s="106"/>
      <c r="M5893" s="129"/>
    </row>
    <row r="5894" spans="1:13" s="146" customFormat="1">
      <c r="A5894" s="193" t="s">
        <v>516</v>
      </c>
      <c r="B5894" s="210">
        <v>15</v>
      </c>
      <c r="C5894" s="191" t="str">
        <f>IF('IWP18'!E$582=0,"",'IWP18'!E$582)</f>
        <v>D.</v>
      </c>
      <c r="D5894" s="211">
        <f>'IWP18'!G$582</f>
        <v>0</v>
      </c>
      <c r="E5894" s="211" t="str">
        <f>'IWP18'!H$582</f>
        <v>E.</v>
      </c>
      <c r="F5894" s="211" t="str">
        <f>'IWP18'!I$582</f>
        <v>F.</v>
      </c>
      <c r="G5894" s="191" t="str">
        <f>IF('IWP18'!J$582=0,"",'IWP18'!J$582)</f>
        <v>G.</v>
      </c>
      <c r="H5894" s="211">
        <f>'IWP18'!K$582</f>
        <v>0</v>
      </c>
      <c r="I5894" s="211" t="str">
        <f>'IWP18'!L$582</f>
        <v>H.</v>
      </c>
      <c r="J5894" s="212" t="str">
        <f>'IWP18'!M$582</f>
        <v>I.</v>
      </c>
      <c r="K5894" s="106"/>
      <c r="L5894" s="106"/>
      <c r="M5894" s="129"/>
    </row>
    <row r="5895" spans="1:13" s="146" customFormat="1">
      <c r="A5895" s="193" t="s">
        <v>516</v>
      </c>
      <c r="B5895" s="210">
        <v>15</v>
      </c>
      <c r="C5895" s="191" t="str">
        <f>IF('IWP18'!E$583=0,"",'IWP18'!E$583)</f>
        <v xml:space="preserve">Items/Services Related to Billing Period </v>
      </c>
      <c r="D5895" s="211">
        <f>'IWP18'!G$583</f>
        <v>0</v>
      </c>
      <c r="E5895" s="211" t="str">
        <f>'IWP18'!H$583</f>
        <v xml:space="preserve">Item/
Service Verified Amounts
</v>
      </c>
      <c r="F5895" s="211" t="str">
        <f>'IWP18'!I$583</f>
        <v>Amount Due to DADS (E. - D.)</v>
      </c>
      <c r="G5895" s="191" t="str">
        <f>IF('IWP18'!J$583=0,"",'IWP18'!J$583)</f>
        <v>Amount Reimbursed to 
Employee(s)/Employer</v>
      </c>
      <c r="H5895" s="211">
        <f>'IWP18'!K$583</f>
        <v>0</v>
      </c>
      <c r="I5895" s="211" t="str">
        <f>'IWP18'!L$583</f>
        <v>Amount Due to Employee(s) (G. - E.)</v>
      </c>
      <c r="J5895" s="212" t="str">
        <f>'IWP18'!M$583</f>
        <v>Amount Due to Employer (G. - E.)</v>
      </c>
      <c r="K5895" s="106"/>
      <c r="L5895" s="106"/>
      <c r="M5895" s="129"/>
    </row>
    <row r="5896" spans="1:13" s="146" customFormat="1">
      <c r="A5896" s="193" t="s">
        <v>516</v>
      </c>
      <c r="B5896" s="210">
        <v>15</v>
      </c>
      <c r="C5896" s="191" t="str">
        <f>IF('IWP18'!E$584=0,"",'IWP18'!E$584)</f>
        <v>Item/Service</v>
      </c>
      <c r="D5896" s="211" t="str">
        <f>'IWP18'!G$584</f>
        <v>Itemized Amount Paid by DADS</v>
      </c>
      <c r="E5896" s="211">
        <f>'IWP18'!H$584</f>
        <v>0</v>
      </c>
      <c r="F5896" s="211">
        <f>'IWP18'!I$584</f>
        <v>0</v>
      </c>
      <c r="G5896" s="191" t="str">
        <f>IF('IWP18'!J$584=0,"",'IWP18'!J$584)</f>
        <v/>
      </c>
      <c r="H5896" s="211">
        <f>'IWP18'!K$584</f>
        <v>0</v>
      </c>
      <c r="I5896" s="211">
        <f>'IWP18'!L$584</f>
        <v>0</v>
      </c>
      <c r="J5896" s="212">
        <f>'IWP18'!M$584</f>
        <v>0</v>
      </c>
      <c r="K5896" s="106"/>
      <c r="L5896" s="106"/>
      <c r="M5896" s="129"/>
    </row>
    <row r="5897" spans="1:13" s="146" customFormat="1">
      <c r="A5897" s="193" t="s">
        <v>516</v>
      </c>
      <c r="B5897" s="210">
        <v>15</v>
      </c>
      <c r="C5897" s="191" t="str">
        <f>IF('IWP18'!E$585=0,"",'IWP18'!E$585)</f>
        <v/>
      </c>
      <c r="D5897" s="211">
        <f>'IWP18'!G$585</f>
        <v>0</v>
      </c>
      <c r="E5897" s="211">
        <f>'IWP18'!H$585</f>
        <v>0</v>
      </c>
      <c r="F5897" s="211">
        <f>'IWP18'!I$585</f>
        <v>0</v>
      </c>
      <c r="G5897" s="191" t="str">
        <f>IF('IWP18'!J$585=0,"",'IWP18'!J$585)</f>
        <v/>
      </c>
      <c r="H5897" s="211">
        <f>'IWP18'!K$585</f>
        <v>0</v>
      </c>
      <c r="I5897" s="211">
        <f>'IWP18'!L$585</f>
        <v>0</v>
      </c>
      <c r="J5897" s="212">
        <f>'IWP18'!M$585</f>
        <v>0</v>
      </c>
      <c r="K5897" s="106"/>
      <c r="L5897" s="106"/>
      <c r="M5897" s="129"/>
    </row>
    <row r="5898" spans="1:13" s="146" customFormat="1">
      <c r="A5898" s="193" t="s">
        <v>516</v>
      </c>
      <c r="B5898" s="210">
        <v>15</v>
      </c>
      <c r="C5898" s="191" t="str">
        <f>IF('IWP18'!E$586=0,"",'IWP18'!E$586)</f>
        <v/>
      </c>
      <c r="D5898" s="211">
        <f>'IWP18'!G$586</f>
        <v>0</v>
      </c>
      <c r="E5898" s="211">
        <f>'IWP18'!H$586</f>
        <v>0</v>
      </c>
      <c r="F5898" s="211">
        <f>'IWP18'!I$586</f>
        <v>0</v>
      </c>
      <c r="G5898" s="191" t="str">
        <f>IF('IWP18'!J$586=0,"",'IWP18'!J$586)</f>
        <v/>
      </c>
      <c r="H5898" s="211">
        <f>'IWP18'!K$586</f>
        <v>0</v>
      </c>
      <c r="I5898" s="211">
        <f>'IWP18'!L$586</f>
        <v>0</v>
      </c>
      <c r="J5898" s="212">
        <f>'IWP18'!M$586</f>
        <v>0</v>
      </c>
      <c r="K5898" s="106"/>
      <c r="L5898" s="106"/>
      <c r="M5898" s="129"/>
    </row>
    <row r="5899" spans="1:13" s="146" customFormat="1">
      <c r="A5899" s="193" t="s">
        <v>516</v>
      </c>
      <c r="B5899" s="210">
        <v>15</v>
      </c>
      <c r="C5899" s="191" t="str">
        <f>IF('IWP18'!E$587=0,"",'IWP18'!E$587)</f>
        <v/>
      </c>
      <c r="D5899" s="211">
        <f>'IWP18'!G$587</f>
        <v>0</v>
      </c>
      <c r="E5899" s="211">
        <f>'IWP18'!H$587</f>
        <v>0</v>
      </c>
      <c r="F5899" s="211">
        <f>'IWP18'!I$587</f>
        <v>0</v>
      </c>
      <c r="G5899" s="191" t="str">
        <f>IF('IWP18'!J$587=0,"",'IWP18'!J$587)</f>
        <v/>
      </c>
      <c r="H5899" s="211">
        <f>'IWP18'!K$587</f>
        <v>0</v>
      </c>
      <c r="I5899" s="211">
        <f>'IWP18'!L$587</f>
        <v>0</v>
      </c>
      <c r="J5899" s="212">
        <f>'IWP18'!M$587</f>
        <v>0</v>
      </c>
      <c r="K5899" s="106"/>
      <c r="L5899" s="106"/>
      <c r="M5899" s="129"/>
    </row>
    <row r="5900" spans="1:13" s="146" customFormat="1">
      <c r="A5900" s="193" t="s">
        <v>516</v>
      </c>
      <c r="B5900" s="210">
        <v>15</v>
      </c>
      <c r="C5900" s="191" t="str">
        <f>IF('IWP18'!E$588=0,"",'IWP18'!E$588)</f>
        <v/>
      </c>
      <c r="D5900" s="211">
        <f>'IWP18'!G$588</f>
        <v>0</v>
      </c>
      <c r="E5900" s="211">
        <f>'IWP18'!H$588</f>
        <v>0</v>
      </c>
      <c r="F5900" s="211">
        <f>'IWP18'!I$588</f>
        <v>0</v>
      </c>
      <c r="G5900" s="191" t="str">
        <f>IF('IWP18'!J$588=0,"",'IWP18'!J$588)</f>
        <v/>
      </c>
      <c r="H5900" s="211">
        <f>'IWP18'!K$588</f>
        <v>0</v>
      </c>
      <c r="I5900" s="211">
        <f>'IWP18'!L$588</f>
        <v>0</v>
      </c>
      <c r="J5900" s="212">
        <f>'IWP18'!M$588</f>
        <v>0</v>
      </c>
      <c r="K5900" s="106"/>
      <c r="L5900" s="106"/>
      <c r="M5900" s="129"/>
    </row>
    <row r="5901" spans="1:13" s="146" customFormat="1">
      <c r="A5901" s="193" t="s">
        <v>516</v>
      </c>
      <c r="B5901" s="210">
        <v>16</v>
      </c>
      <c r="C5901" s="191" t="str">
        <f>IF('IWP18'!E$595=0,"",'IWP18'!E$595)</f>
        <v>Subtotal column D.</v>
      </c>
      <c r="D5901" s="211">
        <f>'IWP18'!G$595</f>
        <v>0</v>
      </c>
      <c r="E5901" s="211">
        <f>'IWP18'!H$595</f>
        <v>0</v>
      </c>
      <c r="F5901" s="211">
        <f>'IWP18'!I$595</f>
        <v>0</v>
      </c>
      <c r="G5901" s="191" t="str">
        <f>IF('IWP18'!J$595=0,"",'IWP18'!J$595)</f>
        <v/>
      </c>
      <c r="H5901" s="211">
        <f>'IWP18'!K$595</f>
        <v>0</v>
      </c>
      <c r="I5901" s="211">
        <f>'IWP18'!L$595</f>
        <v>0</v>
      </c>
      <c r="J5901" s="212">
        <f>'IWP18'!M$595</f>
        <v>0</v>
      </c>
      <c r="K5901" s="106"/>
      <c r="L5901" s="106"/>
      <c r="M5901" s="129"/>
    </row>
    <row r="5902" spans="1:13" s="146" customFormat="1">
      <c r="A5902" s="193" t="s">
        <v>516</v>
      </c>
      <c r="B5902" s="210">
        <v>16</v>
      </c>
      <c r="C5902" s="191" t="str">
        <f>IF('IWP18'!E$596=0,"",'IWP18'!E$596)</f>
        <v>Unverified/Undocumented (Subtotal D - C)</v>
      </c>
      <c r="D5902" s="211">
        <f>'IWP18'!G$596</f>
        <v>0</v>
      </c>
      <c r="E5902" s="211">
        <f>'IWP18'!H$596</f>
        <v>0</v>
      </c>
      <c r="F5902" s="211">
        <f>'IWP18'!I$596</f>
        <v>0</v>
      </c>
      <c r="G5902" s="191" t="str">
        <f>IF('IWP18'!J$596=0,"",'IWP18'!J$596)</f>
        <v/>
      </c>
      <c r="H5902" s="211">
        <f>'IWP18'!K$596</f>
        <v>0</v>
      </c>
      <c r="I5902" s="211">
        <f>'IWP18'!L$596</f>
        <v>0</v>
      </c>
      <c r="J5902" s="212">
        <f>'IWP18'!M$596</f>
        <v>0</v>
      </c>
      <c r="K5902" s="106"/>
      <c r="L5902" s="106"/>
      <c r="M5902" s="129"/>
    </row>
    <row r="5903" spans="1:13" s="146" customFormat="1">
      <c r="A5903" s="193" t="s">
        <v>516</v>
      </c>
      <c r="B5903" s="210">
        <v>16</v>
      </c>
      <c r="C5903" s="191" t="str">
        <f>IF('IWP18'!E$597=0,"",'IWP18'!E$597)</f>
        <v>J. Billing Period Total</v>
      </c>
      <c r="D5903" s="211">
        <f>'IWP18'!G$597</f>
        <v>0</v>
      </c>
      <c r="E5903" s="211">
        <f>'IWP18'!H$597</f>
        <v>0</v>
      </c>
      <c r="F5903" s="211">
        <f>'IWP18'!I$597</f>
        <v>0</v>
      </c>
      <c r="G5903" s="191" t="str">
        <f>IF('IWP18'!J$597=0,"",'IWP18'!J$597)</f>
        <v/>
      </c>
      <c r="H5903" s="211">
        <f>'IWP18'!K$597</f>
        <v>0</v>
      </c>
      <c r="I5903" s="211">
        <f>'IWP18'!L$597</f>
        <v>0</v>
      </c>
      <c r="J5903" s="212">
        <f>'IWP18'!M$597</f>
        <v>0</v>
      </c>
      <c r="K5903" s="106"/>
      <c r="L5903" s="106"/>
      <c r="M5903" s="129"/>
    </row>
    <row r="5904" spans="1:13" s="146" customFormat="1">
      <c r="A5904" s="193" t="s">
        <v>516</v>
      </c>
      <c r="B5904" s="210">
        <v>16</v>
      </c>
      <c r="C5904" s="191" t="str">
        <f>IF('IWP18'!E$598=0,"",'IWP18'!E$598)</f>
        <v>D.</v>
      </c>
      <c r="D5904" s="211">
        <f>'IWP18'!G$598</f>
        <v>0</v>
      </c>
      <c r="E5904" s="211" t="str">
        <f>'IWP18'!H$598</f>
        <v>E.</v>
      </c>
      <c r="F5904" s="211" t="str">
        <f>'IWP18'!I$598</f>
        <v>F.</v>
      </c>
      <c r="G5904" s="191" t="str">
        <f>IF('IWP18'!J$598=0,"",'IWP18'!J$598)</f>
        <v>G.</v>
      </c>
      <c r="H5904" s="211">
        <f>'IWP18'!K$598</f>
        <v>0</v>
      </c>
      <c r="I5904" s="211" t="str">
        <f>'IWP18'!L$598</f>
        <v>H.</v>
      </c>
      <c r="J5904" s="212" t="str">
        <f>'IWP18'!M$598</f>
        <v>I.</v>
      </c>
      <c r="K5904" s="106"/>
      <c r="L5904" s="106"/>
      <c r="M5904" s="129"/>
    </row>
    <row r="5905" spans="1:13" s="146" customFormat="1">
      <c r="A5905" s="193" t="s">
        <v>516</v>
      </c>
      <c r="B5905" s="210">
        <v>16</v>
      </c>
      <c r="C5905" s="191" t="str">
        <f>IF('IWP18'!E$599=0,"",'IWP18'!E$599)</f>
        <v xml:space="preserve">Items/Services Related to Billing Period </v>
      </c>
      <c r="D5905" s="211">
        <f>'IWP18'!G$599</f>
        <v>0</v>
      </c>
      <c r="E5905" s="211" t="str">
        <f>'IWP18'!H$599</f>
        <v xml:space="preserve">Item/
Service Verified Amounts
</v>
      </c>
      <c r="F5905" s="211" t="str">
        <f>'IWP18'!I$599</f>
        <v>Amount Due to DADS (E. - D.)</v>
      </c>
      <c r="G5905" s="191" t="str">
        <f>IF('IWP18'!J$599=0,"",'IWP18'!J$599)</f>
        <v>Amount Reimbursed to 
Employee(s)/Employer</v>
      </c>
      <c r="H5905" s="211">
        <f>'IWP18'!K$599</f>
        <v>0</v>
      </c>
      <c r="I5905" s="211" t="str">
        <f>'IWP18'!L$599</f>
        <v>Amount Due to Employee(s) (G. - E.)</v>
      </c>
      <c r="J5905" s="212" t="str">
        <f>'IWP18'!M$599</f>
        <v>Amount Due to Employer (G. - E.)</v>
      </c>
      <c r="K5905" s="106"/>
      <c r="L5905" s="106"/>
      <c r="M5905" s="129"/>
    </row>
    <row r="5906" spans="1:13" s="146" customFormat="1">
      <c r="A5906" s="193" t="s">
        <v>516</v>
      </c>
      <c r="B5906" s="210">
        <v>16</v>
      </c>
      <c r="C5906" s="191" t="str">
        <f>IF('IWP18'!E$600=0,"",'IWP18'!E$600)</f>
        <v>Item/Service</v>
      </c>
      <c r="D5906" s="211" t="str">
        <f>'IWP18'!G$600</f>
        <v>Itemized Amount Paid by DADS</v>
      </c>
      <c r="E5906" s="211">
        <f>'IWP18'!H$600</f>
        <v>0</v>
      </c>
      <c r="F5906" s="211">
        <f>'IWP18'!I$600</f>
        <v>0</v>
      </c>
      <c r="G5906" s="191" t="str">
        <f>IF('IWP18'!J$600=0,"",'IWP18'!J$600)</f>
        <v/>
      </c>
      <c r="H5906" s="211">
        <f>'IWP18'!K$600</f>
        <v>0</v>
      </c>
      <c r="I5906" s="211">
        <f>'IWP18'!L$600</f>
        <v>0</v>
      </c>
      <c r="J5906" s="212">
        <f>'IWP18'!M$600</f>
        <v>0</v>
      </c>
      <c r="K5906" s="106"/>
      <c r="L5906" s="106"/>
      <c r="M5906" s="129"/>
    </row>
    <row r="5907" spans="1:13" s="146" customFormat="1">
      <c r="A5907" s="193" t="s">
        <v>516</v>
      </c>
      <c r="B5907" s="210">
        <v>16</v>
      </c>
      <c r="C5907" s="191" t="str">
        <f>IF('IWP18'!E$601=0,"",'IWP18'!E$601)</f>
        <v/>
      </c>
      <c r="D5907" s="211">
        <f>'IWP18'!G$601</f>
        <v>0</v>
      </c>
      <c r="E5907" s="211">
        <f>'IWP18'!H$601</f>
        <v>0</v>
      </c>
      <c r="F5907" s="211">
        <f>'IWP18'!I$601</f>
        <v>0</v>
      </c>
      <c r="G5907" s="191" t="str">
        <f>IF('IWP18'!J$601=0,"",'IWP18'!J$601)</f>
        <v/>
      </c>
      <c r="H5907" s="211">
        <f>'IWP18'!K$601</f>
        <v>0</v>
      </c>
      <c r="I5907" s="211">
        <f>'IWP18'!L$601</f>
        <v>0</v>
      </c>
      <c r="J5907" s="212">
        <f>'IWP18'!M$601</f>
        <v>0</v>
      </c>
      <c r="K5907" s="106"/>
      <c r="L5907" s="106"/>
      <c r="M5907" s="129"/>
    </row>
    <row r="5908" spans="1:13" s="146" customFormat="1">
      <c r="A5908" s="193" t="s">
        <v>516</v>
      </c>
      <c r="B5908" s="210">
        <v>16</v>
      </c>
      <c r="C5908" s="191" t="str">
        <f>IF('IWP18'!E$602=0,"",'IWP18'!E$602)</f>
        <v/>
      </c>
      <c r="D5908" s="211">
        <f>'IWP18'!G$602</f>
        <v>0</v>
      </c>
      <c r="E5908" s="211">
        <f>'IWP18'!H$602</f>
        <v>0</v>
      </c>
      <c r="F5908" s="211">
        <f>'IWP18'!I$602</f>
        <v>0</v>
      </c>
      <c r="G5908" s="191" t="str">
        <f>IF('IWP18'!J$602=0,"",'IWP18'!J$602)</f>
        <v/>
      </c>
      <c r="H5908" s="211">
        <f>'IWP18'!K$602</f>
        <v>0</v>
      </c>
      <c r="I5908" s="211">
        <f>'IWP18'!L$602</f>
        <v>0</v>
      </c>
      <c r="J5908" s="212">
        <f>'IWP18'!M$602</f>
        <v>0</v>
      </c>
      <c r="K5908" s="106"/>
      <c r="L5908" s="106"/>
      <c r="M5908" s="129"/>
    </row>
    <row r="5909" spans="1:13" s="146" customFormat="1">
      <c r="A5909" s="193" t="s">
        <v>516</v>
      </c>
      <c r="B5909" s="210">
        <v>16</v>
      </c>
      <c r="C5909" s="191" t="str">
        <f>IF('IWP18'!E$603=0,"",'IWP18'!E$603)</f>
        <v/>
      </c>
      <c r="D5909" s="211">
        <f>'IWP18'!G$603</f>
        <v>0</v>
      </c>
      <c r="E5909" s="211">
        <f>'IWP18'!H$603</f>
        <v>0</v>
      </c>
      <c r="F5909" s="211">
        <f>'IWP18'!I$603</f>
        <v>0</v>
      </c>
      <c r="G5909" s="191" t="str">
        <f>IF('IWP18'!J$603=0,"",'IWP18'!J$603)</f>
        <v/>
      </c>
      <c r="H5909" s="211">
        <f>'IWP18'!K$603</f>
        <v>0</v>
      </c>
      <c r="I5909" s="211">
        <f>'IWP18'!L$603</f>
        <v>0</v>
      </c>
      <c r="J5909" s="212">
        <f>'IWP18'!M$603</f>
        <v>0</v>
      </c>
      <c r="K5909" s="106"/>
      <c r="L5909" s="106"/>
      <c r="M5909" s="129"/>
    </row>
    <row r="5910" spans="1:13" s="146" customFormat="1">
      <c r="A5910" s="193" t="s">
        <v>516</v>
      </c>
      <c r="B5910" s="210">
        <v>16</v>
      </c>
      <c r="C5910" s="191" t="str">
        <f>IF('IWP18'!E$604=0,"",'IWP18'!E$604)</f>
        <v/>
      </c>
      <c r="D5910" s="211">
        <f>'IWP18'!G$604</f>
        <v>0</v>
      </c>
      <c r="E5910" s="211">
        <f>'IWP18'!H$604</f>
        <v>0</v>
      </c>
      <c r="F5910" s="211">
        <f>'IWP18'!I$604</f>
        <v>0</v>
      </c>
      <c r="G5910" s="191" t="str">
        <f>IF('IWP18'!J$604=0,"",'IWP18'!J$604)</f>
        <v/>
      </c>
      <c r="H5910" s="211">
        <f>'IWP18'!K$604</f>
        <v>0</v>
      </c>
      <c r="I5910" s="211">
        <f>'IWP18'!L$604</f>
        <v>0</v>
      </c>
      <c r="J5910" s="212">
        <f>'IWP18'!M$604</f>
        <v>0</v>
      </c>
      <c r="K5910" s="106"/>
      <c r="L5910" s="106"/>
      <c r="M5910" s="129"/>
    </row>
    <row r="5911" spans="1:13" s="146" customFormat="1">
      <c r="A5911" s="193" t="s">
        <v>516</v>
      </c>
      <c r="B5911" s="210">
        <v>17</v>
      </c>
      <c r="C5911" s="191" t="str">
        <f>IF('IWP18'!E$611=0,"",'IWP18'!E$611)</f>
        <v>Subtotal column D.</v>
      </c>
      <c r="D5911" s="211">
        <f>'IWP18'!G$611</f>
        <v>0</v>
      </c>
      <c r="E5911" s="211">
        <f>'IWP18'!H$611</f>
        <v>0</v>
      </c>
      <c r="F5911" s="211">
        <f>'IWP18'!I$611</f>
        <v>0</v>
      </c>
      <c r="G5911" s="191" t="str">
        <f>IF('IWP18'!J$611=0,"",'IWP18'!J$611)</f>
        <v/>
      </c>
      <c r="H5911" s="211">
        <f>'IWP18'!K$611</f>
        <v>0</v>
      </c>
      <c r="I5911" s="211">
        <f>'IWP18'!L$611</f>
        <v>0</v>
      </c>
      <c r="J5911" s="212">
        <f>'IWP18'!M$611</f>
        <v>0</v>
      </c>
      <c r="K5911" s="106"/>
      <c r="L5911" s="106"/>
      <c r="M5911" s="129"/>
    </row>
    <row r="5912" spans="1:13" s="146" customFormat="1">
      <c r="A5912" s="193" t="s">
        <v>516</v>
      </c>
      <c r="B5912" s="210">
        <v>17</v>
      </c>
      <c r="C5912" s="191" t="str">
        <f>IF('IWP18'!E$612=0,"",'IWP18'!E$612)</f>
        <v>Unverified/Undocumented (Subtotal D - C)</v>
      </c>
      <c r="D5912" s="211">
        <f>'IWP18'!G$612</f>
        <v>0</v>
      </c>
      <c r="E5912" s="211">
        <f>'IWP18'!H$612</f>
        <v>0</v>
      </c>
      <c r="F5912" s="211">
        <f>'IWP18'!I$612</f>
        <v>0</v>
      </c>
      <c r="G5912" s="191" t="str">
        <f>IF('IWP18'!J$612=0,"",'IWP18'!J$612)</f>
        <v/>
      </c>
      <c r="H5912" s="211">
        <f>'IWP18'!K$612</f>
        <v>0</v>
      </c>
      <c r="I5912" s="211">
        <f>'IWP18'!L$612</f>
        <v>0</v>
      </c>
      <c r="J5912" s="212">
        <f>'IWP18'!M$612</f>
        <v>0</v>
      </c>
      <c r="K5912" s="106"/>
      <c r="L5912" s="106"/>
      <c r="M5912" s="129"/>
    </row>
    <row r="5913" spans="1:13" s="146" customFormat="1">
      <c r="A5913" s="193" t="s">
        <v>516</v>
      </c>
      <c r="B5913" s="210">
        <v>17</v>
      </c>
      <c r="C5913" s="191" t="str">
        <f>IF('IWP18'!E$613=0,"",'IWP18'!E$613)</f>
        <v>J. Billing Period Total</v>
      </c>
      <c r="D5913" s="211">
        <f>'IWP18'!G$613</f>
        <v>0</v>
      </c>
      <c r="E5913" s="211">
        <f>'IWP18'!H$613</f>
        <v>0</v>
      </c>
      <c r="F5913" s="211">
        <f>'IWP18'!I$613</f>
        <v>0</v>
      </c>
      <c r="G5913" s="191" t="str">
        <f>IF('IWP18'!J$613=0,"",'IWP18'!J$613)</f>
        <v/>
      </c>
      <c r="H5913" s="211">
        <f>'IWP18'!K$613</f>
        <v>0</v>
      </c>
      <c r="I5913" s="211">
        <f>'IWP18'!L$613</f>
        <v>0</v>
      </c>
      <c r="J5913" s="212">
        <f>'IWP18'!M$613</f>
        <v>0</v>
      </c>
      <c r="K5913" s="106"/>
      <c r="L5913" s="106"/>
      <c r="M5913" s="129"/>
    </row>
    <row r="5914" spans="1:13" s="146" customFormat="1">
      <c r="A5914" s="193" t="s">
        <v>516</v>
      </c>
      <c r="B5914" s="210">
        <v>17</v>
      </c>
      <c r="C5914" s="191" t="str">
        <f>IF('IWP18'!E$614=0,"",'IWP18'!E$614)</f>
        <v/>
      </c>
      <c r="D5914" s="211">
        <f>'IWP18'!G$614</f>
        <v>0</v>
      </c>
      <c r="E5914" s="211">
        <f>'IWP18'!H$614</f>
        <v>0</v>
      </c>
      <c r="F5914" s="211">
        <f>'IWP18'!I$614</f>
        <v>0</v>
      </c>
      <c r="G5914" s="191" t="str">
        <f>IF('IWP18'!J$614=0,"",'IWP18'!J$614)</f>
        <v/>
      </c>
      <c r="H5914" s="211">
        <f>'IWP18'!K$614</f>
        <v>0</v>
      </c>
      <c r="I5914" s="211">
        <f>'IWP18'!L$614</f>
        <v>0</v>
      </c>
      <c r="J5914" s="212">
        <f>'IWP18'!M$614</f>
        <v>0</v>
      </c>
      <c r="K5914" s="106"/>
      <c r="L5914" s="106"/>
      <c r="M5914" s="129"/>
    </row>
    <row r="5915" spans="1:13" s="146" customFormat="1">
      <c r="A5915" s="193" t="s">
        <v>516</v>
      </c>
      <c r="B5915" s="210">
        <v>17</v>
      </c>
      <c r="C5915" s="191" t="str">
        <f>IF('IWP18'!E$615=0,"",'IWP18'!E$615)</f>
        <v/>
      </c>
      <c r="D5915" s="211">
        <f>'IWP18'!G$615</f>
        <v>0</v>
      </c>
      <c r="E5915" s="211">
        <f>'IWP18'!H$615</f>
        <v>0</v>
      </c>
      <c r="F5915" s="211">
        <f>'IWP18'!I$615</f>
        <v>0</v>
      </c>
      <c r="G5915" s="191" t="str">
        <f>IF('IWP18'!J$615=0,"",'IWP18'!J$615)</f>
        <v/>
      </c>
      <c r="H5915" s="211">
        <f>'IWP18'!K$615</f>
        <v>0</v>
      </c>
      <c r="I5915" s="211">
        <f>'IWP18'!L$615</f>
        <v>0</v>
      </c>
      <c r="J5915" s="212">
        <f>'IWP18'!M$615</f>
        <v>0</v>
      </c>
      <c r="K5915" s="106"/>
      <c r="L5915" s="106"/>
      <c r="M5915" s="129"/>
    </row>
    <row r="5916" spans="1:13" s="146" customFormat="1">
      <c r="A5916" s="193" t="s">
        <v>516</v>
      </c>
      <c r="B5916" s="210">
        <v>17</v>
      </c>
      <c r="C5916" s="191" t="str">
        <f>IF('IWP18'!E$616=0,"",'IWP18'!E$616)</f>
        <v/>
      </c>
      <c r="D5916" s="211">
        <f>'IWP18'!G$616</f>
        <v>0</v>
      </c>
      <c r="E5916" s="211">
        <f>'IWP18'!H$616</f>
        <v>0</v>
      </c>
      <c r="F5916" s="211">
        <f>'IWP18'!I$616</f>
        <v>0</v>
      </c>
      <c r="G5916" s="191" t="str">
        <f>IF('IWP18'!J$616=0,"",'IWP18'!J$616)</f>
        <v/>
      </c>
      <c r="H5916" s="211">
        <f>'IWP18'!K$616</f>
        <v>0</v>
      </c>
      <c r="I5916" s="211">
        <f>'IWP18'!L$616</f>
        <v>0</v>
      </c>
      <c r="J5916" s="212">
        <f>'IWP18'!M$616</f>
        <v>0</v>
      </c>
      <c r="K5916" s="106"/>
      <c r="L5916" s="106"/>
      <c r="M5916" s="129"/>
    </row>
    <row r="5917" spans="1:13" s="146" customFormat="1">
      <c r="A5917" s="193" t="s">
        <v>516</v>
      </c>
      <c r="B5917" s="210">
        <v>17</v>
      </c>
      <c r="C5917" s="191" t="str">
        <f>IF('IWP18'!E$617=0,"",'IWP18'!E$617)</f>
        <v/>
      </c>
      <c r="D5917" s="211">
        <f>'IWP18'!G$617</f>
        <v>0</v>
      </c>
      <c r="E5917" s="211">
        <f>'IWP18'!H$617</f>
        <v>0</v>
      </c>
      <c r="F5917" s="211">
        <f>'IWP18'!I$617</f>
        <v>0</v>
      </c>
      <c r="G5917" s="191" t="str">
        <f>IF('IWP18'!J$617=0,"",'IWP18'!J$617)</f>
        <v/>
      </c>
      <c r="H5917" s="211">
        <f>'IWP18'!K$617</f>
        <v>0</v>
      </c>
      <c r="I5917" s="211">
        <f>'IWP18'!L$617</f>
        <v>0</v>
      </c>
      <c r="J5917" s="212">
        <f>'IWP18'!M$617</f>
        <v>0</v>
      </c>
      <c r="K5917" s="106"/>
      <c r="L5917" s="106"/>
      <c r="M5917" s="129"/>
    </row>
    <row r="5918" spans="1:13" s="146" customFormat="1">
      <c r="A5918" s="193" t="s">
        <v>516</v>
      </c>
      <c r="B5918" s="210">
        <v>17</v>
      </c>
      <c r="C5918" s="191" t="str">
        <f>IF('IWP18'!E$618=0,"",'IWP18'!E$618)</f>
        <v/>
      </c>
      <c r="D5918" s="211">
        <f>'IWP18'!G$618</f>
        <v>0</v>
      </c>
      <c r="E5918" s="211">
        <f>'IWP18'!H$618</f>
        <v>0</v>
      </c>
      <c r="F5918" s="211">
        <f>'IWP18'!I$618</f>
        <v>0</v>
      </c>
      <c r="G5918" s="191" t="str">
        <f>IF('IWP18'!J$618=0,"",'IWP18'!J$618)</f>
        <v/>
      </c>
      <c r="H5918" s="211">
        <f>'IWP18'!K$618</f>
        <v>0</v>
      </c>
      <c r="I5918" s="211">
        <f>'IWP18'!L$618</f>
        <v>0</v>
      </c>
      <c r="J5918" s="212">
        <f>'IWP18'!M$618</f>
        <v>0</v>
      </c>
      <c r="K5918" s="106"/>
      <c r="L5918" s="106"/>
      <c r="M5918" s="129"/>
    </row>
    <row r="5919" spans="1:13" s="146" customFormat="1">
      <c r="A5919" s="193" t="s">
        <v>516</v>
      </c>
      <c r="B5919" s="210">
        <v>17</v>
      </c>
      <c r="C5919" s="191" t="str">
        <f>IF('IWP18'!E$619=0,"",'IWP18'!E$619)</f>
        <v/>
      </c>
      <c r="D5919" s="211">
        <f>'IWP18'!G$619</f>
        <v>0</v>
      </c>
      <c r="E5919" s="211">
        <f>'IWP18'!H$619</f>
        <v>0</v>
      </c>
      <c r="F5919" s="211">
        <f>'IWP18'!I$619</f>
        <v>0</v>
      </c>
      <c r="G5919" s="191" t="str">
        <f>IF('IWP18'!J$619=0,"",'IWP18'!J$619)</f>
        <v/>
      </c>
      <c r="H5919" s="211">
        <f>'IWP18'!K$619</f>
        <v>0</v>
      </c>
      <c r="I5919" s="211">
        <f>'IWP18'!L$619</f>
        <v>0</v>
      </c>
      <c r="J5919" s="212">
        <f>'IWP18'!M$619</f>
        <v>0</v>
      </c>
      <c r="K5919" s="106"/>
      <c r="L5919" s="106"/>
      <c r="M5919" s="129"/>
    </row>
    <row r="5920" spans="1:13" s="146" customFormat="1">
      <c r="A5920" s="193" t="s">
        <v>516</v>
      </c>
      <c r="B5920" s="210">
        <v>17</v>
      </c>
      <c r="C5920" s="191" t="str">
        <f>IF('IWP18'!E$620=0,"",'IWP18'!E$620)</f>
        <v/>
      </c>
      <c r="D5920" s="211">
        <f>'IWP18'!G$620</f>
        <v>0</v>
      </c>
      <c r="E5920" s="211">
        <f>'IWP18'!H$620</f>
        <v>0</v>
      </c>
      <c r="F5920" s="211">
        <f>'IWP18'!I$620</f>
        <v>0</v>
      </c>
      <c r="G5920" s="191" t="str">
        <f>IF('IWP18'!J$620=0,"",'IWP18'!J$620)</f>
        <v/>
      </c>
      <c r="H5920" s="211">
        <f>'IWP18'!K$620</f>
        <v>0</v>
      </c>
      <c r="I5920" s="211">
        <f>'IWP18'!L$620</f>
        <v>0</v>
      </c>
      <c r="J5920" s="212">
        <f>'IWP18'!M$620</f>
        <v>0</v>
      </c>
      <c r="K5920" s="106"/>
      <c r="L5920" s="106"/>
      <c r="M5920" s="129"/>
    </row>
    <row r="5921" spans="1:13" s="146" customFormat="1">
      <c r="A5921" s="193" t="s">
        <v>516</v>
      </c>
      <c r="B5921" s="210">
        <v>18</v>
      </c>
      <c r="C5921" s="191" t="str">
        <f>IF('IWP18'!E$627=0,"",'IWP18'!E$627)</f>
        <v/>
      </c>
      <c r="D5921" s="211">
        <f>'IWP18'!G$627</f>
        <v>0</v>
      </c>
      <c r="E5921" s="211">
        <f>'IWP18'!H$627</f>
        <v>0</v>
      </c>
      <c r="F5921" s="211">
        <f>'IWP18'!I$627</f>
        <v>0</v>
      </c>
      <c r="G5921" s="191" t="str">
        <f>IF('IWP18'!J$627=0,"",'IWP18'!J$627)</f>
        <v/>
      </c>
      <c r="H5921" s="211">
        <f>'IWP18'!K$627</f>
        <v>0</v>
      </c>
      <c r="I5921" s="211">
        <f>'IWP18'!L$627</f>
        <v>0</v>
      </c>
      <c r="J5921" s="212">
        <f>'IWP18'!M$627</f>
        <v>0</v>
      </c>
      <c r="K5921" s="106"/>
      <c r="L5921" s="106"/>
      <c r="M5921" s="129"/>
    </row>
    <row r="5922" spans="1:13" s="146" customFormat="1">
      <c r="A5922" s="193" t="s">
        <v>516</v>
      </c>
      <c r="B5922" s="210">
        <v>18</v>
      </c>
      <c r="C5922" s="191" t="str">
        <f>IF('IWP18'!E$628=0,"",'IWP18'!E$628)</f>
        <v/>
      </c>
      <c r="D5922" s="211">
        <f>'IWP18'!G$628</f>
        <v>0</v>
      </c>
      <c r="E5922" s="211">
        <f>'IWP18'!H$628</f>
        <v>0</v>
      </c>
      <c r="F5922" s="211">
        <f>'IWP18'!I$628</f>
        <v>0</v>
      </c>
      <c r="G5922" s="191" t="str">
        <f>IF('IWP18'!J$628=0,"",'IWP18'!J$628)</f>
        <v/>
      </c>
      <c r="H5922" s="211">
        <f>'IWP18'!K$628</f>
        <v>0</v>
      </c>
      <c r="I5922" s="211">
        <f>'IWP18'!L$628</f>
        <v>0</v>
      </c>
      <c r="J5922" s="212">
        <f>'IWP18'!M$628</f>
        <v>0</v>
      </c>
      <c r="K5922" s="106"/>
      <c r="L5922" s="106"/>
      <c r="M5922" s="129"/>
    </row>
    <row r="5923" spans="1:13" s="146" customFormat="1">
      <c r="A5923" s="193" t="s">
        <v>516</v>
      </c>
      <c r="B5923" s="210">
        <v>18</v>
      </c>
      <c r="C5923" s="191" t="str">
        <f>IF('IWP18'!E$629=0,"",'IWP18'!E$629)</f>
        <v/>
      </c>
      <c r="D5923" s="211">
        <f>'IWP18'!G$629</f>
        <v>0</v>
      </c>
      <c r="E5923" s="211">
        <f>'IWP18'!H$629</f>
        <v>0</v>
      </c>
      <c r="F5923" s="211">
        <f>'IWP18'!I$629</f>
        <v>0</v>
      </c>
      <c r="G5923" s="191" t="str">
        <f>IF('IWP18'!J$629=0,"",'IWP18'!J$629)</f>
        <v/>
      </c>
      <c r="H5923" s="211">
        <f>'IWP18'!K$629</f>
        <v>0</v>
      </c>
      <c r="I5923" s="211">
        <f>'IWP18'!L$629</f>
        <v>0</v>
      </c>
      <c r="J5923" s="212">
        <f>'IWP18'!M$629</f>
        <v>0</v>
      </c>
      <c r="K5923" s="106"/>
      <c r="L5923" s="106"/>
      <c r="M5923" s="129"/>
    </row>
    <row r="5924" spans="1:13" s="146" customFormat="1">
      <c r="A5924" s="193" t="s">
        <v>516</v>
      </c>
      <c r="B5924" s="210">
        <v>18</v>
      </c>
      <c r="C5924" s="191" t="str">
        <f>IF('IWP18'!E$630=0,"",'IWP18'!E$630)</f>
        <v/>
      </c>
      <c r="D5924" s="211">
        <f>'IWP18'!G$630</f>
        <v>0</v>
      </c>
      <c r="E5924" s="211">
        <f>'IWP18'!H$630</f>
        <v>0</v>
      </c>
      <c r="F5924" s="211">
        <f>'IWP18'!I$630</f>
        <v>0</v>
      </c>
      <c r="G5924" s="191" t="str">
        <f>IF('IWP18'!J$630=0,"",'IWP18'!J$630)</f>
        <v/>
      </c>
      <c r="H5924" s="211">
        <f>'IWP18'!K$630</f>
        <v>0</v>
      </c>
      <c r="I5924" s="211">
        <f>'IWP18'!L$630</f>
        <v>0</v>
      </c>
      <c r="J5924" s="212">
        <f>'IWP18'!M$630</f>
        <v>0</v>
      </c>
      <c r="K5924" s="106"/>
      <c r="L5924" s="106"/>
      <c r="M5924" s="129"/>
    </row>
    <row r="5925" spans="1:13" s="146" customFormat="1">
      <c r="A5925" s="193" t="s">
        <v>516</v>
      </c>
      <c r="B5925" s="210">
        <v>18</v>
      </c>
      <c r="C5925" s="191" t="str">
        <f>IF('IWP18'!E$631=0,"",'IWP18'!E$631)</f>
        <v/>
      </c>
      <c r="D5925" s="211">
        <f>'IWP18'!G$631</f>
        <v>0</v>
      </c>
      <c r="E5925" s="211">
        <f>'IWP18'!H$631</f>
        <v>0</v>
      </c>
      <c r="F5925" s="211">
        <f>'IWP18'!I$631</f>
        <v>0</v>
      </c>
      <c r="G5925" s="191" t="str">
        <f>IF('IWP18'!J$631=0,"",'IWP18'!J$631)</f>
        <v/>
      </c>
      <c r="H5925" s="211">
        <f>'IWP18'!K$631</f>
        <v>0</v>
      </c>
      <c r="I5925" s="211">
        <f>'IWP18'!L$631</f>
        <v>0</v>
      </c>
      <c r="J5925" s="212">
        <f>'IWP18'!M$631</f>
        <v>0</v>
      </c>
      <c r="K5925" s="106"/>
      <c r="L5925" s="106"/>
      <c r="M5925" s="129"/>
    </row>
    <row r="5926" spans="1:13" s="146" customFormat="1">
      <c r="A5926" s="193" t="s">
        <v>516</v>
      </c>
      <c r="B5926" s="210">
        <v>18</v>
      </c>
      <c r="C5926" s="191" t="str">
        <f>IF('IWP18'!E$632=0,"",'IWP18'!E$632)</f>
        <v/>
      </c>
      <c r="D5926" s="211">
        <f>'IWP18'!G$632</f>
        <v>0</v>
      </c>
      <c r="E5926" s="211">
        <f>'IWP18'!H$632</f>
        <v>0</v>
      </c>
      <c r="F5926" s="211">
        <f>'IWP18'!I$632</f>
        <v>0</v>
      </c>
      <c r="G5926" s="191" t="str">
        <f>IF('IWP18'!J$632=0,"",'IWP18'!J$632)</f>
        <v/>
      </c>
      <c r="H5926" s="211">
        <f>'IWP18'!K$632</f>
        <v>0</v>
      </c>
      <c r="I5926" s="211">
        <f>'IWP18'!L$632</f>
        <v>0</v>
      </c>
      <c r="J5926" s="212">
        <f>'IWP18'!M$632</f>
        <v>0</v>
      </c>
      <c r="K5926" s="106"/>
      <c r="L5926" s="106"/>
      <c r="M5926" s="129"/>
    </row>
    <row r="5927" spans="1:13" s="146" customFormat="1">
      <c r="A5927" s="193" t="s">
        <v>516</v>
      </c>
      <c r="B5927" s="210">
        <v>18</v>
      </c>
      <c r="C5927" s="191" t="str">
        <f>IF('IWP18'!E$633=0,"",'IWP18'!E$633)</f>
        <v/>
      </c>
      <c r="D5927" s="211">
        <f>'IWP18'!G$633</f>
        <v>0</v>
      </c>
      <c r="E5927" s="211">
        <f>'IWP18'!H$633</f>
        <v>0</v>
      </c>
      <c r="F5927" s="211">
        <f>'IWP18'!I$633</f>
        <v>0</v>
      </c>
      <c r="G5927" s="191" t="str">
        <f>IF('IWP18'!J$633=0,"",'IWP18'!J$633)</f>
        <v/>
      </c>
      <c r="H5927" s="211">
        <f>'IWP18'!K$633</f>
        <v>0</v>
      </c>
      <c r="I5927" s="211">
        <f>'IWP18'!L$633</f>
        <v>0</v>
      </c>
      <c r="J5927" s="212">
        <f>'IWP18'!M$633</f>
        <v>0</v>
      </c>
      <c r="K5927" s="106"/>
      <c r="L5927" s="106"/>
      <c r="M5927" s="129"/>
    </row>
    <row r="5928" spans="1:13" s="146" customFormat="1">
      <c r="A5928" s="193" t="s">
        <v>516</v>
      </c>
      <c r="B5928" s="210">
        <v>18</v>
      </c>
      <c r="C5928" s="191" t="str">
        <f>IF('IWP18'!E$634=0,"",'IWP18'!E$634)</f>
        <v/>
      </c>
      <c r="D5928" s="211">
        <f>'IWP18'!G$634</f>
        <v>0</v>
      </c>
      <c r="E5928" s="211">
        <f>'IWP18'!H$634</f>
        <v>0</v>
      </c>
      <c r="F5928" s="211">
        <f>'IWP18'!I$634</f>
        <v>0</v>
      </c>
      <c r="G5928" s="191" t="str">
        <f>IF('IWP18'!J$634=0,"",'IWP18'!J$634)</f>
        <v/>
      </c>
      <c r="H5928" s="211">
        <f>'IWP18'!K$634</f>
        <v>0</v>
      </c>
      <c r="I5928" s="211">
        <f>'IWP18'!L$634</f>
        <v>0</v>
      </c>
      <c r="J5928" s="212">
        <f>'IWP18'!M$634</f>
        <v>0</v>
      </c>
      <c r="K5928" s="106"/>
      <c r="L5928" s="106"/>
      <c r="M5928" s="129"/>
    </row>
    <row r="5929" spans="1:13" s="146" customFormat="1">
      <c r="A5929" s="193" t="s">
        <v>516</v>
      </c>
      <c r="B5929" s="210">
        <v>18</v>
      </c>
      <c r="C5929" s="191" t="str">
        <f>IF('IWP18'!E$635=0,"",'IWP18'!E$635)</f>
        <v/>
      </c>
      <c r="D5929" s="211">
        <f>'IWP18'!G$635</f>
        <v>0</v>
      </c>
      <c r="E5929" s="211">
        <f>'IWP18'!H$635</f>
        <v>0</v>
      </c>
      <c r="F5929" s="211">
        <f>'IWP18'!I$635</f>
        <v>0</v>
      </c>
      <c r="G5929" s="191" t="str">
        <f>IF('IWP18'!J$635=0,"",'IWP18'!J$635)</f>
        <v/>
      </c>
      <c r="H5929" s="211">
        <f>'IWP18'!K$635</f>
        <v>0</v>
      </c>
      <c r="I5929" s="211">
        <f>'IWP18'!L$635</f>
        <v>0</v>
      </c>
      <c r="J5929" s="212">
        <f>'IWP18'!M$635</f>
        <v>0</v>
      </c>
      <c r="K5929" s="106"/>
      <c r="L5929" s="106"/>
      <c r="M5929" s="129"/>
    </row>
    <row r="5930" spans="1:13" s="146" customFormat="1">
      <c r="A5930" s="193" t="s">
        <v>516</v>
      </c>
      <c r="B5930" s="210">
        <v>18</v>
      </c>
      <c r="C5930" s="191" t="str">
        <f>IF('IWP18'!E$636=0,"",'IWP18'!E$636)</f>
        <v/>
      </c>
      <c r="D5930" s="211">
        <f>'IWP18'!G$636</f>
        <v>0</v>
      </c>
      <c r="E5930" s="211">
        <f>'IWP18'!H$636</f>
        <v>0</v>
      </c>
      <c r="F5930" s="211">
        <f>'IWP18'!I$636</f>
        <v>0</v>
      </c>
      <c r="G5930" s="191" t="str">
        <f>IF('IWP18'!J$636=0,"",'IWP18'!J$636)</f>
        <v/>
      </c>
      <c r="H5930" s="211">
        <f>'IWP18'!K$636</f>
        <v>0</v>
      </c>
      <c r="I5930" s="211">
        <f>'IWP18'!L$636</f>
        <v>0</v>
      </c>
      <c r="J5930" s="212">
        <f>'IWP18'!M$636</f>
        <v>0</v>
      </c>
      <c r="K5930" s="106"/>
      <c r="L5930" s="106"/>
      <c r="M5930" s="129"/>
    </row>
    <row r="5931" spans="1:13" s="146" customFormat="1">
      <c r="A5931" s="193" t="s">
        <v>517</v>
      </c>
      <c r="B5931" s="210">
        <v>1</v>
      </c>
      <c r="C5931" s="191" t="str">
        <f>IF('IWP19'!E$355=0,"",'IWP19'!E$355)</f>
        <v>Subtotal column D.</v>
      </c>
      <c r="D5931" s="211">
        <f>'IWP19'!G$355</f>
        <v>0</v>
      </c>
      <c r="E5931" s="211">
        <f>'IWP19'!H$355</f>
        <v>0</v>
      </c>
      <c r="F5931" s="211">
        <f>'IWP19'!I$355</f>
        <v>0</v>
      </c>
      <c r="G5931" s="191" t="str">
        <f>IF('IWP19'!J$355=0,"",'IWP19'!J$355)</f>
        <v/>
      </c>
      <c r="H5931" s="211">
        <f>'IWP19'!K$355</f>
        <v>0</v>
      </c>
      <c r="I5931" s="211">
        <f>'IWP19'!L$355</f>
        <v>0</v>
      </c>
      <c r="J5931" s="212">
        <f>'IWP19'!M$355</f>
        <v>0</v>
      </c>
      <c r="K5931" s="106"/>
      <c r="L5931" s="106"/>
      <c r="M5931" s="129"/>
    </row>
    <row r="5932" spans="1:13" s="146" customFormat="1">
      <c r="A5932" s="193" t="s">
        <v>517</v>
      </c>
      <c r="B5932" s="210">
        <v>1</v>
      </c>
      <c r="C5932" s="191" t="str">
        <f>IF('IWP19'!E$356=0,"",'IWP19'!E$356)</f>
        <v>Unverified/Undocumented (Subtotall D - C)</v>
      </c>
      <c r="D5932" s="211">
        <f>'IWP19'!G$356</f>
        <v>0</v>
      </c>
      <c r="E5932" s="211">
        <f>'IWP19'!H$356</f>
        <v>0</v>
      </c>
      <c r="F5932" s="211">
        <f>'IWP19'!I$356</f>
        <v>0</v>
      </c>
      <c r="G5932" s="191" t="str">
        <f>IF('IWP19'!J$356=0,"",'IWP19'!J$356)</f>
        <v/>
      </c>
      <c r="H5932" s="211">
        <f>'IWP19'!K$356</f>
        <v>0</v>
      </c>
      <c r="I5932" s="211">
        <f>'IWP19'!L$356</f>
        <v>0</v>
      </c>
      <c r="J5932" s="212">
        <f>'IWP19'!M$356</f>
        <v>0</v>
      </c>
      <c r="K5932" s="106"/>
      <c r="L5932" s="106"/>
      <c r="M5932" s="129"/>
    </row>
    <row r="5933" spans="1:13" s="146" customFormat="1">
      <c r="A5933" s="193" t="s">
        <v>517</v>
      </c>
      <c r="B5933" s="210">
        <v>1</v>
      </c>
      <c r="C5933" s="191" t="str">
        <f>IF('IWP19'!E$357=0,"",'IWP19'!E$357)</f>
        <v>J. Billing Period Total</v>
      </c>
      <c r="D5933" s="211">
        <f>'IWP19'!G$357</f>
        <v>0</v>
      </c>
      <c r="E5933" s="211">
        <f>'IWP19'!H$357</f>
        <v>0</v>
      </c>
      <c r="F5933" s="211">
        <f>'IWP19'!I$357</f>
        <v>0</v>
      </c>
      <c r="G5933" s="191" t="str">
        <f>IF('IWP19'!J$357=0,"",'IWP19'!J$357)</f>
        <v/>
      </c>
      <c r="H5933" s="211">
        <f>'IWP19'!K$357</f>
        <v>0</v>
      </c>
      <c r="I5933" s="211">
        <f>'IWP19'!L$357</f>
        <v>0</v>
      </c>
      <c r="J5933" s="212">
        <f>'IWP19'!M$357</f>
        <v>0</v>
      </c>
      <c r="K5933" s="106"/>
      <c r="L5933" s="106"/>
      <c r="M5933" s="129"/>
    </row>
    <row r="5934" spans="1:13" s="146" customFormat="1">
      <c r="A5934" s="193" t="s">
        <v>517</v>
      </c>
      <c r="B5934" s="210">
        <v>1</v>
      </c>
      <c r="C5934" s="191" t="str">
        <f>IF('IWP19'!E$358=0,"",'IWP19'!E$358)</f>
        <v>D.</v>
      </c>
      <c r="D5934" s="211">
        <f>'IWP19'!G$358</f>
        <v>0</v>
      </c>
      <c r="E5934" s="211" t="str">
        <f>'IWP19'!H$358</f>
        <v>E.</v>
      </c>
      <c r="F5934" s="211" t="str">
        <f>'IWP19'!I$358</f>
        <v>F.</v>
      </c>
      <c r="G5934" s="191" t="str">
        <f>IF('IWP19'!J$358=0,"",'IWP19'!J$358)</f>
        <v>G.</v>
      </c>
      <c r="H5934" s="211">
        <f>'IWP19'!K$358</f>
        <v>0</v>
      </c>
      <c r="I5934" s="211" t="str">
        <f>'IWP19'!L$358</f>
        <v>H.</v>
      </c>
      <c r="J5934" s="212" t="str">
        <f>'IWP19'!M$358</f>
        <v>I.</v>
      </c>
      <c r="K5934" s="106"/>
      <c r="L5934" s="106"/>
      <c r="M5934" s="129"/>
    </row>
    <row r="5935" spans="1:13" s="146" customFormat="1">
      <c r="A5935" s="193" t="s">
        <v>517</v>
      </c>
      <c r="B5935" s="210">
        <v>1</v>
      </c>
      <c r="C5935" s="191" t="str">
        <f>IF('IWP19'!E$359=0,"",'IWP19'!E$359)</f>
        <v xml:space="preserve">Items/Services Related to Billing Period </v>
      </c>
      <c r="D5935" s="211">
        <f>'IWP19'!G$359</f>
        <v>0</v>
      </c>
      <c r="E5935" s="211" t="str">
        <f>'IWP19'!H$359</f>
        <v xml:space="preserve">Item/
Service Verified Amounts
</v>
      </c>
      <c r="F5935" s="211" t="str">
        <f>'IWP19'!I$359</f>
        <v>Amount Due to DADS (E. - D.)</v>
      </c>
      <c r="G5935" s="191" t="str">
        <f>IF('IWP19'!J$359=0,"",'IWP19'!J$359)</f>
        <v>Amount Reimbursed to 
Employee(s)/Employer</v>
      </c>
      <c r="H5935" s="211">
        <f>'IWP19'!K$359</f>
        <v>0</v>
      </c>
      <c r="I5935" s="211" t="str">
        <f>'IWP19'!L$359</f>
        <v>Amount Due to Employee(s) (G. - E.)</v>
      </c>
      <c r="J5935" s="212" t="str">
        <f>'IWP19'!M$359</f>
        <v>Amount Due to Employer (G. - E.)</v>
      </c>
      <c r="K5935" s="106"/>
      <c r="L5935" s="106"/>
      <c r="M5935" s="129"/>
    </row>
    <row r="5936" spans="1:13" s="146" customFormat="1">
      <c r="A5936" s="193" t="s">
        <v>517</v>
      </c>
      <c r="B5936" s="210">
        <v>1</v>
      </c>
      <c r="C5936" s="191" t="str">
        <f>IF('IWP19'!E$360=0,"",'IWP19'!E$360)</f>
        <v>Item/Service</v>
      </c>
      <c r="D5936" s="211" t="str">
        <f>'IWP19'!G$360</f>
        <v>Itemized Amount Paid by DADS</v>
      </c>
      <c r="E5936" s="211">
        <f>'IWP19'!H$360</f>
        <v>0</v>
      </c>
      <c r="F5936" s="211">
        <f>'IWP19'!I$360</f>
        <v>0</v>
      </c>
      <c r="G5936" s="191" t="str">
        <f>IF('IWP19'!J$360=0,"",'IWP19'!J$360)</f>
        <v/>
      </c>
      <c r="H5936" s="211">
        <f>'IWP19'!K$360</f>
        <v>0</v>
      </c>
      <c r="I5936" s="211">
        <f>'IWP19'!L$360</f>
        <v>0</v>
      </c>
      <c r="J5936" s="212">
        <f>'IWP19'!M$360</f>
        <v>0</v>
      </c>
      <c r="K5936" s="106"/>
      <c r="L5936" s="106"/>
      <c r="M5936" s="129"/>
    </row>
    <row r="5937" spans="1:13" s="146" customFormat="1">
      <c r="A5937" s="193" t="s">
        <v>517</v>
      </c>
      <c r="B5937" s="210">
        <v>1</v>
      </c>
      <c r="C5937" s="191" t="str">
        <f>IF('IWP19'!E$361=0,"",'IWP19'!E$361)</f>
        <v/>
      </c>
      <c r="D5937" s="211">
        <f>'IWP19'!G$361</f>
        <v>0</v>
      </c>
      <c r="E5937" s="211">
        <f>'IWP19'!H$361</f>
        <v>0</v>
      </c>
      <c r="F5937" s="211">
        <f>'IWP19'!I$361</f>
        <v>0</v>
      </c>
      <c r="G5937" s="191" t="str">
        <f>IF('IWP19'!J$361=0,"",'IWP19'!J$361)</f>
        <v/>
      </c>
      <c r="H5937" s="211">
        <f>'IWP19'!K$361</f>
        <v>0</v>
      </c>
      <c r="I5937" s="211">
        <f>'IWP19'!L$361</f>
        <v>0</v>
      </c>
      <c r="J5937" s="212">
        <f>'IWP19'!M$361</f>
        <v>0</v>
      </c>
      <c r="K5937" s="106"/>
      <c r="L5937" s="106"/>
      <c r="M5937" s="129"/>
    </row>
    <row r="5938" spans="1:13" s="146" customFormat="1">
      <c r="A5938" s="193" t="s">
        <v>517</v>
      </c>
      <c r="B5938" s="210">
        <v>1</v>
      </c>
      <c r="C5938" s="191" t="str">
        <f>IF('IWP19'!E$362=0,"",'IWP19'!E$362)</f>
        <v/>
      </c>
      <c r="D5938" s="211">
        <f>'IWP19'!G$362</f>
        <v>0</v>
      </c>
      <c r="E5938" s="211">
        <f>'IWP19'!H$362</f>
        <v>0</v>
      </c>
      <c r="F5938" s="211">
        <f>'IWP19'!I$362</f>
        <v>0</v>
      </c>
      <c r="G5938" s="191" t="str">
        <f>IF('IWP19'!J$362=0,"",'IWP19'!J$362)</f>
        <v/>
      </c>
      <c r="H5938" s="211">
        <f>'IWP19'!K$362</f>
        <v>0</v>
      </c>
      <c r="I5938" s="211">
        <f>'IWP19'!L$362</f>
        <v>0</v>
      </c>
      <c r="J5938" s="212">
        <f>'IWP19'!M$362</f>
        <v>0</v>
      </c>
      <c r="K5938" s="106"/>
      <c r="L5938" s="106"/>
      <c r="M5938" s="129"/>
    </row>
    <row r="5939" spans="1:13" s="146" customFormat="1">
      <c r="A5939" s="193" t="s">
        <v>517</v>
      </c>
      <c r="B5939" s="210">
        <v>1</v>
      </c>
      <c r="C5939" s="191" t="str">
        <f>IF('IWP19'!E$363=0,"",'IWP19'!E$363)</f>
        <v/>
      </c>
      <c r="D5939" s="211">
        <f>'IWP19'!G$363</f>
        <v>0</v>
      </c>
      <c r="E5939" s="211">
        <f>'IWP19'!H$363</f>
        <v>0</v>
      </c>
      <c r="F5939" s="211">
        <f>'IWP19'!I$363</f>
        <v>0</v>
      </c>
      <c r="G5939" s="191" t="str">
        <f>IF('IWP19'!J$363=0,"",'IWP19'!J$363)</f>
        <v/>
      </c>
      <c r="H5939" s="211">
        <f>'IWP19'!K$363</f>
        <v>0</v>
      </c>
      <c r="I5939" s="211">
        <f>'IWP19'!L$363</f>
        <v>0</v>
      </c>
      <c r="J5939" s="212">
        <f>'IWP19'!M$363</f>
        <v>0</v>
      </c>
      <c r="K5939" s="106"/>
      <c r="L5939" s="106"/>
      <c r="M5939" s="129"/>
    </row>
    <row r="5940" spans="1:13" s="146" customFormat="1">
      <c r="A5940" s="193" t="s">
        <v>517</v>
      </c>
      <c r="B5940" s="210">
        <v>1</v>
      </c>
      <c r="C5940" s="191" t="str">
        <f>IF('IWP19'!E$364=0,"",'IWP19'!E$364)</f>
        <v/>
      </c>
      <c r="D5940" s="211">
        <f>'IWP19'!G$364</f>
        <v>0</v>
      </c>
      <c r="E5940" s="211">
        <f>'IWP19'!H$364</f>
        <v>0</v>
      </c>
      <c r="F5940" s="211">
        <f>'IWP19'!I$364</f>
        <v>0</v>
      </c>
      <c r="G5940" s="191" t="str">
        <f>IF('IWP19'!J$364=0,"",'IWP19'!J$364)</f>
        <v/>
      </c>
      <c r="H5940" s="211">
        <f>'IWP19'!K$364</f>
        <v>0</v>
      </c>
      <c r="I5940" s="211">
        <f>'IWP19'!L$364</f>
        <v>0</v>
      </c>
      <c r="J5940" s="212">
        <f>'IWP19'!M$364</f>
        <v>0</v>
      </c>
      <c r="K5940" s="106"/>
      <c r="L5940" s="106"/>
      <c r="M5940" s="129"/>
    </row>
    <row r="5941" spans="1:13" s="146" customFormat="1">
      <c r="A5941" s="193" t="s">
        <v>517</v>
      </c>
      <c r="B5941" s="210">
        <v>2</v>
      </c>
      <c r="C5941" s="191" t="str">
        <f>IF('IWP19'!E$371=0,"",'IWP19'!E$371)</f>
        <v>Subtotal column D.</v>
      </c>
      <c r="D5941" s="211">
        <f>'IWP19'!G$371</f>
        <v>0</v>
      </c>
      <c r="E5941" s="211">
        <f>'IWP19'!H$371</f>
        <v>0</v>
      </c>
      <c r="F5941" s="211">
        <f>'IWP19'!I$371</f>
        <v>0</v>
      </c>
      <c r="G5941" s="191" t="str">
        <f>IF('IWP19'!J$371=0,"",'IWP19'!J$371)</f>
        <v/>
      </c>
      <c r="H5941" s="211">
        <f>'IWP19'!K$371</f>
        <v>0</v>
      </c>
      <c r="I5941" s="211">
        <f>'IWP19'!L$371</f>
        <v>0</v>
      </c>
      <c r="J5941" s="212">
        <f>'IWP19'!M$371</f>
        <v>0</v>
      </c>
      <c r="K5941" s="106"/>
      <c r="L5941" s="106"/>
      <c r="M5941" s="129"/>
    </row>
    <row r="5942" spans="1:13" s="146" customFormat="1">
      <c r="A5942" s="193" t="s">
        <v>517</v>
      </c>
      <c r="B5942" s="210">
        <v>2</v>
      </c>
      <c r="C5942" s="191" t="str">
        <f>IF('IWP19'!E$372=0,"",'IWP19'!E$372)</f>
        <v>Unverified/Undocumented (Subtotal D - C)</v>
      </c>
      <c r="D5942" s="211">
        <f>'IWP19'!G$372</f>
        <v>0</v>
      </c>
      <c r="E5942" s="211">
        <f>'IWP19'!H$372</f>
        <v>0</v>
      </c>
      <c r="F5942" s="211">
        <f>'IWP19'!I$372</f>
        <v>0</v>
      </c>
      <c r="G5942" s="191" t="str">
        <f>IF('IWP19'!J$372=0,"",'IWP19'!J$372)</f>
        <v/>
      </c>
      <c r="H5942" s="211">
        <f>'IWP19'!K$372</f>
        <v>0</v>
      </c>
      <c r="I5942" s="211">
        <f>'IWP19'!L$372</f>
        <v>0</v>
      </c>
      <c r="J5942" s="212">
        <f>'IWP19'!M$372</f>
        <v>0</v>
      </c>
      <c r="K5942" s="106"/>
      <c r="L5942" s="106"/>
      <c r="M5942" s="129"/>
    </row>
    <row r="5943" spans="1:13" s="146" customFormat="1">
      <c r="A5943" s="193" t="s">
        <v>517</v>
      </c>
      <c r="B5943" s="210">
        <v>2</v>
      </c>
      <c r="C5943" s="191" t="str">
        <f>IF('IWP19'!E$373=0,"",'IWP19'!E$373)</f>
        <v>J. Billing Period Total</v>
      </c>
      <c r="D5943" s="211">
        <f>'IWP19'!G$373</f>
        <v>0</v>
      </c>
      <c r="E5943" s="211">
        <f>'IWP19'!H$373</f>
        <v>0</v>
      </c>
      <c r="F5943" s="211">
        <f>'IWP19'!I$373</f>
        <v>0</v>
      </c>
      <c r="G5943" s="191" t="str">
        <f>IF('IWP19'!J$373=0,"",'IWP19'!J$373)</f>
        <v/>
      </c>
      <c r="H5943" s="211">
        <f>'IWP19'!K$373</f>
        <v>0</v>
      </c>
      <c r="I5943" s="211">
        <f>'IWP19'!L$373</f>
        <v>0</v>
      </c>
      <c r="J5943" s="212">
        <f>'IWP19'!M$373</f>
        <v>0</v>
      </c>
      <c r="K5943" s="106"/>
      <c r="L5943" s="106"/>
      <c r="M5943" s="129"/>
    </row>
    <row r="5944" spans="1:13" s="146" customFormat="1">
      <c r="A5944" s="193" t="s">
        <v>517</v>
      </c>
      <c r="B5944" s="210">
        <v>2</v>
      </c>
      <c r="C5944" s="191" t="str">
        <f>IF('IWP19'!E$374=0,"",'IWP19'!E$374)</f>
        <v>D.</v>
      </c>
      <c r="D5944" s="211">
        <f>'IWP19'!G$374</f>
        <v>0</v>
      </c>
      <c r="E5944" s="211" t="str">
        <f>'IWP19'!H$374</f>
        <v>E.</v>
      </c>
      <c r="F5944" s="211" t="str">
        <f>'IWP19'!I$374</f>
        <v>F.</v>
      </c>
      <c r="G5944" s="191" t="str">
        <f>IF('IWP19'!J$374=0,"",'IWP19'!J$374)</f>
        <v>G.</v>
      </c>
      <c r="H5944" s="211">
        <f>'IWP19'!K$374</f>
        <v>0</v>
      </c>
      <c r="I5944" s="211" t="str">
        <f>'IWP19'!L$374</f>
        <v>H.</v>
      </c>
      <c r="J5944" s="212" t="str">
        <f>'IWP19'!M$374</f>
        <v>I.</v>
      </c>
      <c r="K5944" s="106"/>
      <c r="L5944" s="106"/>
      <c r="M5944" s="129"/>
    </row>
    <row r="5945" spans="1:13" s="146" customFormat="1">
      <c r="A5945" s="193" t="s">
        <v>517</v>
      </c>
      <c r="B5945" s="210">
        <v>2</v>
      </c>
      <c r="C5945" s="191" t="str">
        <f>IF('IWP19'!E$375=0,"",'IWP19'!E$375)</f>
        <v xml:space="preserve">Items/Services Related to Billing Period </v>
      </c>
      <c r="D5945" s="211">
        <f>'IWP19'!G$375</f>
        <v>0</v>
      </c>
      <c r="E5945" s="211" t="str">
        <f>'IWP19'!H$375</f>
        <v xml:space="preserve">Item/
Service Verified Amounts
</v>
      </c>
      <c r="F5945" s="211" t="str">
        <f>'IWP19'!I$375</f>
        <v>Amount Due to DADS (E. - D.)</v>
      </c>
      <c r="G5945" s="191" t="str">
        <f>IF('IWP19'!J$375=0,"",'IWP19'!J$375)</f>
        <v>Amount Reimbursed to 
Employee(s)/Employer</v>
      </c>
      <c r="H5945" s="211">
        <f>'IWP19'!K$375</f>
        <v>0</v>
      </c>
      <c r="I5945" s="211" t="str">
        <f>'IWP19'!L$375</f>
        <v>Amount Due to Employee(s) (G. - E.)</v>
      </c>
      <c r="J5945" s="212" t="str">
        <f>'IWP19'!M$375</f>
        <v>Amount Due to Employer (G. - E.)</v>
      </c>
      <c r="K5945" s="106"/>
      <c r="L5945" s="106"/>
      <c r="M5945" s="129"/>
    </row>
    <row r="5946" spans="1:13" s="146" customFormat="1">
      <c r="A5946" s="193" t="s">
        <v>517</v>
      </c>
      <c r="B5946" s="210">
        <v>2</v>
      </c>
      <c r="C5946" s="191" t="str">
        <f>IF('IWP19'!E$376=0,"",'IWP19'!E$376)</f>
        <v>Item/Service</v>
      </c>
      <c r="D5946" s="211" t="str">
        <f>'IWP19'!G$376</f>
        <v>Itemized Amount Paid by DADS</v>
      </c>
      <c r="E5946" s="211">
        <f>'IWP19'!H$376</f>
        <v>0</v>
      </c>
      <c r="F5946" s="211">
        <f>'IWP19'!I$376</f>
        <v>0</v>
      </c>
      <c r="G5946" s="191" t="str">
        <f>IF('IWP19'!J$376=0,"",'IWP19'!J$376)</f>
        <v/>
      </c>
      <c r="H5946" s="211">
        <f>'IWP19'!K$376</f>
        <v>0</v>
      </c>
      <c r="I5946" s="211">
        <f>'IWP19'!L$376</f>
        <v>0</v>
      </c>
      <c r="J5946" s="212">
        <f>'IWP19'!M$376</f>
        <v>0</v>
      </c>
      <c r="K5946" s="106"/>
      <c r="L5946" s="106"/>
      <c r="M5946" s="129"/>
    </row>
    <row r="5947" spans="1:13" s="146" customFormat="1">
      <c r="A5947" s="193" t="s">
        <v>517</v>
      </c>
      <c r="B5947" s="210">
        <v>2</v>
      </c>
      <c r="C5947" s="191" t="str">
        <f>IF('IWP19'!E$377=0,"",'IWP19'!E$377)</f>
        <v/>
      </c>
      <c r="D5947" s="211">
        <f>'IWP19'!G$377</f>
        <v>0</v>
      </c>
      <c r="E5947" s="211">
        <f>'IWP19'!H$377</f>
        <v>0</v>
      </c>
      <c r="F5947" s="211">
        <f>'IWP19'!I$377</f>
        <v>0</v>
      </c>
      <c r="G5947" s="191" t="str">
        <f>IF('IWP19'!J$377=0,"",'IWP19'!J$377)</f>
        <v/>
      </c>
      <c r="H5947" s="211">
        <f>'IWP19'!K$377</f>
        <v>0</v>
      </c>
      <c r="I5947" s="211">
        <f>'IWP19'!L$377</f>
        <v>0</v>
      </c>
      <c r="J5947" s="212">
        <f>'IWP19'!M$377</f>
        <v>0</v>
      </c>
      <c r="K5947" s="106"/>
      <c r="L5947" s="106"/>
      <c r="M5947" s="129"/>
    </row>
    <row r="5948" spans="1:13" s="146" customFormat="1">
      <c r="A5948" s="193" t="s">
        <v>517</v>
      </c>
      <c r="B5948" s="210">
        <v>2</v>
      </c>
      <c r="C5948" s="191" t="str">
        <f>IF('IWP19'!E$378=0,"",'IWP19'!E$378)</f>
        <v/>
      </c>
      <c r="D5948" s="211">
        <f>'IWP19'!G$378</f>
        <v>0</v>
      </c>
      <c r="E5948" s="211">
        <f>'IWP19'!H$378</f>
        <v>0</v>
      </c>
      <c r="F5948" s="211">
        <f>'IWP19'!I$378</f>
        <v>0</v>
      </c>
      <c r="G5948" s="191" t="str">
        <f>IF('IWP19'!J$378=0,"",'IWP19'!J$378)</f>
        <v/>
      </c>
      <c r="H5948" s="211">
        <f>'IWP19'!K$378</f>
        <v>0</v>
      </c>
      <c r="I5948" s="211">
        <f>'IWP19'!L$378</f>
        <v>0</v>
      </c>
      <c r="J5948" s="212">
        <f>'IWP19'!M$378</f>
        <v>0</v>
      </c>
      <c r="K5948" s="106"/>
      <c r="L5948" s="106"/>
      <c r="M5948" s="129"/>
    </row>
    <row r="5949" spans="1:13" s="146" customFormat="1">
      <c r="A5949" s="193" t="s">
        <v>517</v>
      </c>
      <c r="B5949" s="210">
        <v>2</v>
      </c>
      <c r="C5949" s="191" t="str">
        <f>IF('IWP19'!E$379=0,"",'IWP19'!E$379)</f>
        <v/>
      </c>
      <c r="D5949" s="211">
        <f>'IWP19'!G$379</f>
        <v>0</v>
      </c>
      <c r="E5949" s="211">
        <f>'IWP19'!H$379</f>
        <v>0</v>
      </c>
      <c r="F5949" s="211">
        <f>'IWP19'!I$379</f>
        <v>0</v>
      </c>
      <c r="G5949" s="191" t="str">
        <f>IF('IWP19'!J$379=0,"",'IWP19'!J$379)</f>
        <v/>
      </c>
      <c r="H5949" s="211">
        <f>'IWP19'!K$379</f>
        <v>0</v>
      </c>
      <c r="I5949" s="211">
        <f>'IWP19'!L$379</f>
        <v>0</v>
      </c>
      <c r="J5949" s="212">
        <f>'IWP19'!M$379</f>
        <v>0</v>
      </c>
      <c r="K5949" s="106"/>
      <c r="L5949" s="106"/>
      <c r="M5949" s="129"/>
    </row>
    <row r="5950" spans="1:13" s="146" customFormat="1">
      <c r="A5950" s="193" t="s">
        <v>517</v>
      </c>
      <c r="B5950" s="210">
        <v>2</v>
      </c>
      <c r="C5950" s="191" t="str">
        <f>IF('IWP19'!E$380=0,"",'IWP19'!E$380)</f>
        <v/>
      </c>
      <c r="D5950" s="211">
        <f>'IWP19'!G$380</f>
        <v>0</v>
      </c>
      <c r="E5950" s="211">
        <f>'IWP19'!H$380</f>
        <v>0</v>
      </c>
      <c r="F5950" s="211">
        <f>'IWP19'!I$380</f>
        <v>0</v>
      </c>
      <c r="G5950" s="191" t="str">
        <f>IF('IWP19'!J$380=0,"",'IWP19'!J$380)</f>
        <v/>
      </c>
      <c r="H5950" s="211">
        <f>'IWP19'!K$380</f>
        <v>0</v>
      </c>
      <c r="I5950" s="211">
        <f>'IWP19'!L$380</f>
        <v>0</v>
      </c>
      <c r="J5950" s="212">
        <f>'IWP19'!M$380</f>
        <v>0</v>
      </c>
      <c r="K5950" s="106"/>
      <c r="L5950" s="106"/>
      <c r="M5950" s="129"/>
    </row>
    <row r="5951" spans="1:13" s="146" customFormat="1">
      <c r="A5951" s="193" t="s">
        <v>517</v>
      </c>
      <c r="B5951" s="210">
        <v>3</v>
      </c>
      <c r="C5951" s="191" t="str">
        <f>IF('IWP19'!E$387=0,"",'IWP19'!E$387)</f>
        <v>Subtotal column D.</v>
      </c>
      <c r="D5951" s="211">
        <f>'IWP19'!G$387</f>
        <v>0</v>
      </c>
      <c r="E5951" s="211">
        <f>'IWP19'!H$387</f>
        <v>0</v>
      </c>
      <c r="F5951" s="211">
        <f>'IWP19'!I$387</f>
        <v>0</v>
      </c>
      <c r="G5951" s="191" t="str">
        <f>IF('IWP19'!J$387=0,"",'IWP19'!J$387)</f>
        <v/>
      </c>
      <c r="H5951" s="211">
        <f>'IWP19'!K$387</f>
        <v>0</v>
      </c>
      <c r="I5951" s="211">
        <f>'IWP19'!L$387</f>
        <v>0</v>
      </c>
      <c r="J5951" s="212">
        <f>'IWP19'!M$387</f>
        <v>0</v>
      </c>
      <c r="K5951" s="106"/>
      <c r="L5951" s="106"/>
      <c r="M5951" s="129"/>
    </row>
    <row r="5952" spans="1:13" s="146" customFormat="1">
      <c r="A5952" s="193" t="s">
        <v>517</v>
      </c>
      <c r="B5952" s="210">
        <v>3</v>
      </c>
      <c r="C5952" s="191" t="str">
        <f>IF('IWP19'!E$388=0,"",'IWP19'!E$388)</f>
        <v>Unverified/Undocumented (Subtotal D - C)</v>
      </c>
      <c r="D5952" s="211">
        <f>'IWP19'!G$388</f>
        <v>0</v>
      </c>
      <c r="E5952" s="211">
        <f>'IWP19'!H$388</f>
        <v>0</v>
      </c>
      <c r="F5952" s="211">
        <f>'IWP19'!I$388</f>
        <v>0</v>
      </c>
      <c r="G5952" s="191" t="str">
        <f>IF('IWP19'!J$388=0,"",'IWP19'!J$388)</f>
        <v/>
      </c>
      <c r="H5952" s="211">
        <f>'IWP19'!K$388</f>
        <v>0</v>
      </c>
      <c r="I5952" s="211">
        <f>'IWP19'!L$388</f>
        <v>0</v>
      </c>
      <c r="J5952" s="212">
        <f>'IWP19'!M$388</f>
        <v>0</v>
      </c>
      <c r="K5952" s="106"/>
      <c r="L5952" s="106"/>
      <c r="M5952" s="129"/>
    </row>
    <row r="5953" spans="1:13" s="146" customFormat="1">
      <c r="A5953" s="193" t="s">
        <v>517</v>
      </c>
      <c r="B5953" s="210">
        <v>3</v>
      </c>
      <c r="C5953" s="191" t="str">
        <f>IF('IWP19'!E$389=0,"",'IWP19'!E$389)</f>
        <v>J. Billing Period Total</v>
      </c>
      <c r="D5953" s="211">
        <f>'IWP19'!G$389</f>
        <v>0</v>
      </c>
      <c r="E5953" s="211">
        <f>'IWP19'!H$389</f>
        <v>0</v>
      </c>
      <c r="F5953" s="211">
        <f>'IWP19'!I$389</f>
        <v>0</v>
      </c>
      <c r="G5953" s="191" t="str">
        <f>IF('IWP19'!J$389=0,"",'IWP19'!J$389)</f>
        <v/>
      </c>
      <c r="H5953" s="211">
        <f>'IWP19'!K$389</f>
        <v>0</v>
      </c>
      <c r="I5953" s="211">
        <f>'IWP19'!L$389</f>
        <v>0</v>
      </c>
      <c r="J5953" s="212">
        <f>'IWP19'!M$389</f>
        <v>0</v>
      </c>
      <c r="K5953" s="106"/>
      <c r="L5953" s="106"/>
      <c r="M5953" s="129"/>
    </row>
    <row r="5954" spans="1:13" s="146" customFormat="1">
      <c r="A5954" s="193" t="s">
        <v>517</v>
      </c>
      <c r="B5954" s="210">
        <v>3</v>
      </c>
      <c r="C5954" s="191" t="str">
        <f>IF('IWP19'!E$390=0,"",'IWP19'!E$390)</f>
        <v>D.</v>
      </c>
      <c r="D5954" s="211">
        <f>'IWP19'!G$390</f>
        <v>0</v>
      </c>
      <c r="E5954" s="211" t="str">
        <f>'IWP19'!H$390</f>
        <v>E.</v>
      </c>
      <c r="F5954" s="211" t="str">
        <f>'IWP19'!I$390</f>
        <v>F.</v>
      </c>
      <c r="G5954" s="191" t="str">
        <f>IF('IWP19'!J$390=0,"",'IWP19'!J$390)</f>
        <v>G.</v>
      </c>
      <c r="H5954" s="211">
        <f>'IWP19'!K$390</f>
        <v>0</v>
      </c>
      <c r="I5954" s="211" t="str">
        <f>'IWP19'!L$390</f>
        <v>H.</v>
      </c>
      <c r="J5954" s="212" t="str">
        <f>'IWP19'!M$390</f>
        <v>I.</v>
      </c>
      <c r="K5954" s="106"/>
      <c r="L5954" s="106"/>
      <c r="M5954" s="129"/>
    </row>
    <row r="5955" spans="1:13" s="146" customFormat="1">
      <c r="A5955" s="193" t="s">
        <v>517</v>
      </c>
      <c r="B5955" s="210">
        <v>3</v>
      </c>
      <c r="C5955" s="191" t="str">
        <f>IF('IWP19'!E$391=0,"",'IWP19'!E$391)</f>
        <v xml:space="preserve">Items/Services Related to Billing Period </v>
      </c>
      <c r="D5955" s="211">
        <f>'IWP19'!G$391</f>
        <v>0</v>
      </c>
      <c r="E5955" s="211" t="str">
        <f>'IWP19'!H$391</f>
        <v xml:space="preserve">Item/
Service Verified Amounts
</v>
      </c>
      <c r="F5955" s="211" t="str">
        <f>'IWP19'!I$391</f>
        <v>Amount Due to DADS (E. - D.)</v>
      </c>
      <c r="G5955" s="191" t="str">
        <f>IF('IWP19'!J$391=0,"",'IWP19'!J$391)</f>
        <v>Amount Reimbursed to 
Employee(s)/Employer</v>
      </c>
      <c r="H5955" s="211">
        <f>'IWP19'!K$391</f>
        <v>0</v>
      </c>
      <c r="I5955" s="211" t="str">
        <f>'IWP19'!L$391</f>
        <v>Amount Due to Employee(s) (G. - E.)</v>
      </c>
      <c r="J5955" s="212" t="str">
        <f>'IWP19'!M$391</f>
        <v>Amount Due to Employer (G. - E.)</v>
      </c>
      <c r="K5955" s="106"/>
      <c r="L5955" s="106"/>
      <c r="M5955" s="129"/>
    </row>
    <row r="5956" spans="1:13" s="146" customFormat="1">
      <c r="A5956" s="193" t="s">
        <v>517</v>
      </c>
      <c r="B5956" s="210">
        <v>3</v>
      </c>
      <c r="C5956" s="191" t="str">
        <f>IF('IWP19'!E$392=0,"",'IWP19'!E$392)</f>
        <v>Item/Service</v>
      </c>
      <c r="D5956" s="211" t="str">
        <f>'IWP19'!G$392</f>
        <v>Itemized Amount Paid by DADS</v>
      </c>
      <c r="E5956" s="211">
        <f>'IWP19'!H$392</f>
        <v>0</v>
      </c>
      <c r="F5956" s="211">
        <f>'IWP19'!I$392</f>
        <v>0</v>
      </c>
      <c r="G5956" s="191" t="str">
        <f>IF('IWP19'!J$392=0,"",'IWP19'!J$392)</f>
        <v/>
      </c>
      <c r="H5956" s="211">
        <f>'IWP19'!K$392</f>
        <v>0</v>
      </c>
      <c r="I5956" s="211">
        <f>'IWP19'!L$392</f>
        <v>0</v>
      </c>
      <c r="J5956" s="212">
        <f>'IWP19'!M$392</f>
        <v>0</v>
      </c>
      <c r="K5956" s="106"/>
      <c r="L5956" s="106"/>
      <c r="M5956" s="129"/>
    </row>
    <row r="5957" spans="1:13" s="146" customFormat="1">
      <c r="A5957" s="193" t="s">
        <v>517</v>
      </c>
      <c r="B5957" s="210">
        <v>3</v>
      </c>
      <c r="C5957" s="191" t="str">
        <f>IF('IWP19'!E$393=0,"",'IWP19'!E$393)</f>
        <v/>
      </c>
      <c r="D5957" s="211">
        <f>'IWP19'!G$393</f>
        <v>0</v>
      </c>
      <c r="E5957" s="211">
        <f>'IWP19'!H$393</f>
        <v>0</v>
      </c>
      <c r="F5957" s="211">
        <f>'IWP19'!I$393</f>
        <v>0</v>
      </c>
      <c r="G5957" s="191" t="str">
        <f>IF('IWP19'!J$393=0,"",'IWP19'!J$393)</f>
        <v/>
      </c>
      <c r="H5957" s="211">
        <f>'IWP19'!K$393</f>
        <v>0</v>
      </c>
      <c r="I5957" s="211">
        <f>'IWP19'!L$393</f>
        <v>0</v>
      </c>
      <c r="J5957" s="212">
        <f>'IWP19'!M$393</f>
        <v>0</v>
      </c>
      <c r="K5957" s="106"/>
      <c r="L5957" s="106"/>
      <c r="M5957" s="129"/>
    </row>
    <row r="5958" spans="1:13" s="146" customFormat="1">
      <c r="A5958" s="193" t="s">
        <v>517</v>
      </c>
      <c r="B5958" s="210">
        <v>3</v>
      </c>
      <c r="C5958" s="191" t="str">
        <f>IF('IWP19'!E$394=0,"",'IWP19'!E$394)</f>
        <v/>
      </c>
      <c r="D5958" s="211">
        <f>'IWP19'!G$394</f>
        <v>0</v>
      </c>
      <c r="E5958" s="211">
        <f>'IWP19'!H$394</f>
        <v>0</v>
      </c>
      <c r="F5958" s="211">
        <f>'IWP19'!I$394</f>
        <v>0</v>
      </c>
      <c r="G5958" s="191" t="str">
        <f>IF('IWP19'!J$394=0,"",'IWP19'!J$394)</f>
        <v/>
      </c>
      <c r="H5958" s="211">
        <f>'IWP19'!K$394</f>
        <v>0</v>
      </c>
      <c r="I5958" s="211">
        <f>'IWP19'!L$394</f>
        <v>0</v>
      </c>
      <c r="J5958" s="212">
        <f>'IWP19'!M$394</f>
        <v>0</v>
      </c>
      <c r="K5958" s="106"/>
      <c r="L5958" s="106"/>
      <c r="M5958" s="129"/>
    </row>
    <row r="5959" spans="1:13" s="146" customFormat="1">
      <c r="A5959" s="193" t="s">
        <v>517</v>
      </c>
      <c r="B5959" s="210">
        <v>3</v>
      </c>
      <c r="C5959" s="191" t="str">
        <f>IF('IWP19'!E$395=0,"",'IWP19'!E$395)</f>
        <v/>
      </c>
      <c r="D5959" s="211">
        <f>'IWP19'!G$395</f>
        <v>0</v>
      </c>
      <c r="E5959" s="211">
        <f>'IWP19'!H$395</f>
        <v>0</v>
      </c>
      <c r="F5959" s="211">
        <f>'IWP19'!I$395</f>
        <v>0</v>
      </c>
      <c r="G5959" s="191" t="str">
        <f>IF('IWP19'!J$395=0,"",'IWP19'!J$395)</f>
        <v/>
      </c>
      <c r="H5959" s="211">
        <f>'IWP19'!K$395</f>
        <v>0</v>
      </c>
      <c r="I5959" s="211">
        <f>'IWP19'!L$395</f>
        <v>0</v>
      </c>
      <c r="J5959" s="212">
        <f>'IWP19'!M$395</f>
        <v>0</v>
      </c>
      <c r="K5959" s="106"/>
      <c r="L5959" s="106"/>
      <c r="M5959" s="129"/>
    </row>
    <row r="5960" spans="1:13" s="146" customFormat="1">
      <c r="A5960" s="193" t="s">
        <v>517</v>
      </c>
      <c r="B5960" s="210">
        <v>3</v>
      </c>
      <c r="C5960" s="191" t="str">
        <f>IF('IWP19'!E$396=0,"",'IWP19'!E$396)</f>
        <v/>
      </c>
      <c r="D5960" s="211">
        <f>'IWP19'!G$396</f>
        <v>0</v>
      </c>
      <c r="E5960" s="211">
        <f>'IWP19'!H$396</f>
        <v>0</v>
      </c>
      <c r="F5960" s="211">
        <f>'IWP19'!I$396</f>
        <v>0</v>
      </c>
      <c r="G5960" s="191" t="str">
        <f>IF('IWP19'!J$396=0,"",'IWP19'!J$396)</f>
        <v/>
      </c>
      <c r="H5960" s="211">
        <f>'IWP19'!K$396</f>
        <v>0</v>
      </c>
      <c r="I5960" s="211">
        <f>'IWP19'!L$396</f>
        <v>0</v>
      </c>
      <c r="J5960" s="212">
        <f>'IWP19'!M$396</f>
        <v>0</v>
      </c>
      <c r="K5960" s="106"/>
      <c r="L5960" s="106"/>
      <c r="M5960" s="129"/>
    </row>
    <row r="5961" spans="1:13" s="146" customFormat="1">
      <c r="A5961" s="193" t="s">
        <v>517</v>
      </c>
      <c r="B5961" s="210">
        <v>4</v>
      </c>
      <c r="C5961" s="191" t="str">
        <f>IF('IWP19'!E$403=0,"",'IWP19'!E$403)</f>
        <v>Subtotal column D.</v>
      </c>
      <c r="D5961" s="211">
        <f>'IWP19'!G$403</f>
        <v>0</v>
      </c>
      <c r="E5961" s="211">
        <f>'IWP19'!H$403</f>
        <v>0</v>
      </c>
      <c r="F5961" s="211">
        <f>'IWP19'!I$403</f>
        <v>0</v>
      </c>
      <c r="G5961" s="191" t="str">
        <f>IF('IWP19'!J$403=0,"",'IWP19'!J$403)</f>
        <v/>
      </c>
      <c r="H5961" s="211">
        <f>'IWP19'!K$403</f>
        <v>0</v>
      </c>
      <c r="I5961" s="211">
        <f>'IWP19'!L$403</f>
        <v>0</v>
      </c>
      <c r="J5961" s="212">
        <f>'IWP19'!M$403</f>
        <v>0</v>
      </c>
      <c r="K5961" s="106"/>
      <c r="L5961" s="106"/>
      <c r="M5961" s="129"/>
    </row>
    <row r="5962" spans="1:13" s="146" customFormat="1">
      <c r="A5962" s="193" t="s">
        <v>517</v>
      </c>
      <c r="B5962" s="210">
        <v>4</v>
      </c>
      <c r="C5962" s="191" t="str">
        <f>IF('IWP19'!E$404=0,"",'IWP19'!E$404)</f>
        <v>Unverified/Undocumented (Subtotal D - C)</v>
      </c>
      <c r="D5962" s="211">
        <f>'IWP19'!G$404</f>
        <v>0</v>
      </c>
      <c r="E5962" s="211">
        <f>'IWP19'!H$404</f>
        <v>0</v>
      </c>
      <c r="F5962" s="211">
        <f>'IWP19'!I$404</f>
        <v>0</v>
      </c>
      <c r="G5962" s="191" t="str">
        <f>IF('IWP19'!J$404=0,"",'IWP19'!J$404)</f>
        <v/>
      </c>
      <c r="H5962" s="211">
        <f>'IWP19'!K$404</f>
        <v>0</v>
      </c>
      <c r="I5962" s="211">
        <f>'IWP19'!L$404</f>
        <v>0</v>
      </c>
      <c r="J5962" s="212">
        <f>'IWP19'!M$404</f>
        <v>0</v>
      </c>
      <c r="K5962" s="106"/>
      <c r="L5962" s="106"/>
      <c r="M5962" s="129"/>
    </row>
    <row r="5963" spans="1:13" s="146" customFormat="1">
      <c r="A5963" s="193" t="s">
        <v>517</v>
      </c>
      <c r="B5963" s="210">
        <v>4</v>
      </c>
      <c r="C5963" s="191" t="str">
        <f>IF('IWP19'!E$405=0,"",'IWP19'!E$405)</f>
        <v>J. Billing Period Total</v>
      </c>
      <c r="D5963" s="211">
        <f>'IWP19'!G$405</f>
        <v>0</v>
      </c>
      <c r="E5963" s="211">
        <f>'IWP19'!H$405</f>
        <v>0</v>
      </c>
      <c r="F5963" s="211">
        <f>'IWP19'!I$405</f>
        <v>0</v>
      </c>
      <c r="G5963" s="191" t="str">
        <f>IF('IWP19'!J$405=0,"",'IWP19'!J$405)</f>
        <v/>
      </c>
      <c r="H5963" s="211">
        <f>'IWP19'!K$405</f>
        <v>0</v>
      </c>
      <c r="I5963" s="211">
        <f>'IWP19'!L$405</f>
        <v>0</v>
      </c>
      <c r="J5963" s="212">
        <f>'IWP19'!M$405</f>
        <v>0</v>
      </c>
      <c r="K5963" s="106"/>
      <c r="L5963" s="106"/>
      <c r="M5963" s="129"/>
    </row>
    <row r="5964" spans="1:13" s="146" customFormat="1">
      <c r="A5964" s="193" t="s">
        <v>517</v>
      </c>
      <c r="B5964" s="210">
        <v>4</v>
      </c>
      <c r="C5964" s="191" t="str">
        <f>IF('IWP19'!E$406=0,"",'IWP19'!E$406)</f>
        <v>D.</v>
      </c>
      <c r="D5964" s="211">
        <f>'IWP19'!G$406</f>
        <v>0</v>
      </c>
      <c r="E5964" s="211" t="str">
        <f>'IWP19'!H$406</f>
        <v>E.</v>
      </c>
      <c r="F5964" s="211" t="str">
        <f>'IWP19'!I$406</f>
        <v>F.</v>
      </c>
      <c r="G5964" s="191" t="str">
        <f>IF('IWP19'!J$406=0,"",'IWP19'!J$406)</f>
        <v>G.</v>
      </c>
      <c r="H5964" s="211">
        <f>'IWP19'!K$406</f>
        <v>0</v>
      </c>
      <c r="I5964" s="211" t="str">
        <f>'IWP19'!L$406</f>
        <v>H.</v>
      </c>
      <c r="J5964" s="212" t="str">
        <f>'IWP19'!M$406</f>
        <v>I.</v>
      </c>
      <c r="K5964" s="106"/>
      <c r="L5964" s="106"/>
      <c r="M5964" s="129"/>
    </row>
    <row r="5965" spans="1:13" s="146" customFormat="1">
      <c r="A5965" s="193" t="s">
        <v>517</v>
      </c>
      <c r="B5965" s="210">
        <v>4</v>
      </c>
      <c r="C5965" s="191" t="str">
        <f>IF('IWP19'!E$407=0,"",'IWP19'!E$407)</f>
        <v xml:space="preserve">Items/Services Related to Billing Period </v>
      </c>
      <c r="D5965" s="211">
        <f>'IWP19'!G$407</f>
        <v>0</v>
      </c>
      <c r="E5965" s="211" t="str">
        <f>'IWP19'!H$407</f>
        <v xml:space="preserve">Item/
Service Verified Amounts
</v>
      </c>
      <c r="F5965" s="211" t="str">
        <f>'IWP19'!I$407</f>
        <v>Amount Due to DADS (E. - D.)</v>
      </c>
      <c r="G5965" s="191" t="str">
        <f>IF('IWP19'!J$407=0,"",'IWP19'!J$407)</f>
        <v>Amount Reimbursed to 
Employee(s)/Employer</v>
      </c>
      <c r="H5965" s="211">
        <f>'IWP19'!K$407</f>
        <v>0</v>
      </c>
      <c r="I5965" s="211" t="str">
        <f>'IWP19'!L$407</f>
        <v>Amount Due to Employee(s) (G. - E.)</v>
      </c>
      <c r="J5965" s="212" t="str">
        <f>'IWP19'!M$407</f>
        <v>Amount Due to Employer (G. - E.)</v>
      </c>
      <c r="K5965" s="106"/>
      <c r="L5965" s="106"/>
      <c r="M5965" s="129"/>
    </row>
    <row r="5966" spans="1:13" s="146" customFormat="1">
      <c r="A5966" s="193" t="s">
        <v>517</v>
      </c>
      <c r="B5966" s="210">
        <v>4</v>
      </c>
      <c r="C5966" s="191" t="str">
        <f>IF('IWP19'!E$408=0,"",'IWP19'!E$408)</f>
        <v>Item/Service</v>
      </c>
      <c r="D5966" s="211" t="str">
        <f>'IWP19'!G$408</f>
        <v>Itemized Amount Paid by DADS</v>
      </c>
      <c r="E5966" s="211">
        <f>'IWP19'!H$408</f>
        <v>0</v>
      </c>
      <c r="F5966" s="211">
        <f>'IWP19'!I$408</f>
        <v>0</v>
      </c>
      <c r="G5966" s="191" t="str">
        <f>IF('IWP19'!J$408=0,"",'IWP19'!J$408)</f>
        <v/>
      </c>
      <c r="H5966" s="211">
        <f>'IWP19'!K$408</f>
        <v>0</v>
      </c>
      <c r="I5966" s="211">
        <f>'IWP19'!L$408</f>
        <v>0</v>
      </c>
      <c r="J5966" s="212">
        <f>'IWP19'!M$408</f>
        <v>0</v>
      </c>
      <c r="K5966" s="106"/>
      <c r="L5966" s="106"/>
      <c r="M5966" s="129"/>
    </row>
    <row r="5967" spans="1:13" s="146" customFormat="1">
      <c r="A5967" s="193" t="s">
        <v>517</v>
      </c>
      <c r="B5967" s="210">
        <v>4</v>
      </c>
      <c r="C5967" s="191" t="str">
        <f>IF('IWP19'!E$409=0,"",'IWP19'!E$409)</f>
        <v/>
      </c>
      <c r="D5967" s="211">
        <f>'IWP19'!G$409</f>
        <v>0</v>
      </c>
      <c r="E5967" s="211">
        <f>'IWP19'!H$409</f>
        <v>0</v>
      </c>
      <c r="F5967" s="211">
        <f>'IWP19'!I$409</f>
        <v>0</v>
      </c>
      <c r="G5967" s="191" t="str">
        <f>IF('IWP19'!J$409=0,"",'IWP19'!J$409)</f>
        <v/>
      </c>
      <c r="H5967" s="211">
        <f>'IWP19'!K$409</f>
        <v>0</v>
      </c>
      <c r="I5967" s="211">
        <f>'IWP19'!L$409</f>
        <v>0</v>
      </c>
      <c r="J5967" s="212">
        <f>'IWP19'!M$409</f>
        <v>0</v>
      </c>
      <c r="K5967" s="106"/>
      <c r="L5967" s="106"/>
      <c r="M5967" s="129"/>
    </row>
    <row r="5968" spans="1:13" s="146" customFormat="1">
      <c r="A5968" s="193" t="s">
        <v>517</v>
      </c>
      <c r="B5968" s="210">
        <v>4</v>
      </c>
      <c r="C5968" s="191" t="str">
        <f>IF('IWP19'!E$410=0,"",'IWP19'!E$410)</f>
        <v/>
      </c>
      <c r="D5968" s="211">
        <f>'IWP19'!G$410</f>
        <v>0</v>
      </c>
      <c r="E5968" s="211">
        <f>'IWP19'!H$410</f>
        <v>0</v>
      </c>
      <c r="F5968" s="211">
        <f>'IWP19'!I$410</f>
        <v>0</v>
      </c>
      <c r="G5968" s="191" t="str">
        <f>IF('IWP19'!J$410=0,"",'IWP19'!J$410)</f>
        <v/>
      </c>
      <c r="H5968" s="211">
        <f>'IWP19'!K$410</f>
        <v>0</v>
      </c>
      <c r="I5968" s="211">
        <f>'IWP19'!L$410</f>
        <v>0</v>
      </c>
      <c r="J5968" s="212">
        <f>'IWP19'!M$410</f>
        <v>0</v>
      </c>
      <c r="K5968" s="106"/>
      <c r="L5968" s="106"/>
      <c r="M5968" s="129"/>
    </row>
    <row r="5969" spans="1:13" s="146" customFormat="1">
      <c r="A5969" s="193" t="s">
        <v>517</v>
      </c>
      <c r="B5969" s="210">
        <v>4</v>
      </c>
      <c r="C5969" s="191" t="str">
        <f>IF('IWP19'!E$411=0,"",'IWP19'!E$411)</f>
        <v/>
      </c>
      <c r="D5969" s="211">
        <f>'IWP19'!G$411</f>
        <v>0</v>
      </c>
      <c r="E5969" s="211">
        <f>'IWP19'!H$411</f>
        <v>0</v>
      </c>
      <c r="F5969" s="211">
        <f>'IWP19'!I$411</f>
        <v>0</v>
      </c>
      <c r="G5969" s="191" t="str">
        <f>IF('IWP19'!J$411=0,"",'IWP19'!J$411)</f>
        <v/>
      </c>
      <c r="H5969" s="211">
        <f>'IWP19'!K$411</f>
        <v>0</v>
      </c>
      <c r="I5969" s="211">
        <f>'IWP19'!L$411</f>
        <v>0</v>
      </c>
      <c r="J5969" s="212">
        <f>'IWP19'!M$411</f>
        <v>0</v>
      </c>
      <c r="K5969" s="106"/>
      <c r="L5969" s="106"/>
      <c r="M5969" s="129"/>
    </row>
    <row r="5970" spans="1:13" s="146" customFormat="1">
      <c r="A5970" s="193" t="s">
        <v>517</v>
      </c>
      <c r="B5970" s="210">
        <v>4</v>
      </c>
      <c r="C5970" s="191" t="str">
        <f>IF('IWP19'!E$412=0,"",'IWP19'!E$412)</f>
        <v/>
      </c>
      <c r="D5970" s="211">
        <f>'IWP19'!G$412</f>
        <v>0</v>
      </c>
      <c r="E5970" s="211">
        <f>'IWP19'!H$412</f>
        <v>0</v>
      </c>
      <c r="F5970" s="211">
        <f>'IWP19'!I$412</f>
        <v>0</v>
      </c>
      <c r="G5970" s="191" t="str">
        <f>IF('IWP19'!J$412=0,"",'IWP19'!J$412)</f>
        <v/>
      </c>
      <c r="H5970" s="211">
        <f>'IWP19'!K$412</f>
        <v>0</v>
      </c>
      <c r="I5970" s="211">
        <f>'IWP19'!L$412</f>
        <v>0</v>
      </c>
      <c r="J5970" s="212">
        <f>'IWP19'!M$412</f>
        <v>0</v>
      </c>
      <c r="K5970" s="106"/>
      <c r="L5970" s="106"/>
      <c r="M5970" s="129"/>
    </row>
    <row r="5971" spans="1:13" s="146" customFormat="1">
      <c r="A5971" s="193" t="s">
        <v>517</v>
      </c>
      <c r="B5971" s="210">
        <v>5</v>
      </c>
      <c r="C5971" s="191" t="str">
        <f>IF('IWP19'!E$419=0,"",'IWP19'!E$419)</f>
        <v>Subtotal column D.</v>
      </c>
      <c r="D5971" s="211">
        <f>'IWP19'!G$419</f>
        <v>0</v>
      </c>
      <c r="E5971" s="211">
        <f>'IWP19'!H$419</f>
        <v>0</v>
      </c>
      <c r="F5971" s="211">
        <f>'IWP19'!I$419</f>
        <v>0</v>
      </c>
      <c r="G5971" s="191" t="str">
        <f>IF('IWP19'!J$419=0,"",'IWP19'!J$419)</f>
        <v/>
      </c>
      <c r="H5971" s="211">
        <f>'IWP19'!K$419</f>
        <v>0</v>
      </c>
      <c r="I5971" s="211">
        <f>'IWP19'!L$419</f>
        <v>0</v>
      </c>
      <c r="J5971" s="212">
        <f>'IWP19'!M$419</f>
        <v>0</v>
      </c>
      <c r="K5971" s="106"/>
      <c r="L5971" s="106"/>
      <c r="M5971" s="129"/>
    </row>
    <row r="5972" spans="1:13" s="146" customFormat="1">
      <c r="A5972" s="193" t="s">
        <v>517</v>
      </c>
      <c r="B5972" s="210">
        <v>5</v>
      </c>
      <c r="C5972" s="191" t="str">
        <f>IF('IWP19'!E$420=0,"",'IWP19'!E$420)</f>
        <v>Unverified/Undocumented (Subtotal D - C)</v>
      </c>
      <c r="D5972" s="211">
        <f>'IWP19'!G$420</f>
        <v>0</v>
      </c>
      <c r="E5972" s="211">
        <f>'IWP19'!H$420</f>
        <v>0</v>
      </c>
      <c r="F5972" s="211">
        <f>'IWP19'!I$420</f>
        <v>0</v>
      </c>
      <c r="G5972" s="191" t="str">
        <f>IF('IWP19'!J$420=0,"",'IWP19'!J$420)</f>
        <v/>
      </c>
      <c r="H5972" s="211">
        <f>'IWP19'!K$420</f>
        <v>0</v>
      </c>
      <c r="I5972" s="211">
        <f>'IWP19'!L$420</f>
        <v>0</v>
      </c>
      <c r="J5972" s="212">
        <f>'IWP19'!M$420</f>
        <v>0</v>
      </c>
      <c r="K5972" s="106"/>
      <c r="L5972" s="106"/>
      <c r="M5972" s="129"/>
    </row>
    <row r="5973" spans="1:13" s="146" customFormat="1">
      <c r="A5973" s="193" t="s">
        <v>517</v>
      </c>
      <c r="B5973" s="210">
        <v>5</v>
      </c>
      <c r="C5973" s="191" t="str">
        <f>IF('IWP19'!E$421=0,"",'IWP19'!E$421)</f>
        <v>J. Billing Period Total</v>
      </c>
      <c r="D5973" s="211">
        <f>'IWP19'!G$421</f>
        <v>0</v>
      </c>
      <c r="E5973" s="211">
        <f>'IWP19'!H$421</f>
        <v>0</v>
      </c>
      <c r="F5973" s="211">
        <f>'IWP19'!I$421</f>
        <v>0</v>
      </c>
      <c r="G5973" s="191" t="str">
        <f>IF('IWP19'!J$421=0,"",'IWP19'!J$421)</f>
        <v/>
      </c>
      <c r="H5973" s="211">
        <f>'IWP19'!K$421</f>
        <v>0</v>
      </c>
      <c r="I5973" s="211">
        <f>'IWP19'!L$421</f>
        <v>0</v>
      </c>
      <c r="J5973" s="212">
        <f>'IWP19'!M$421</f>
        <v>0</v>
      </c>
      <c r="K5973" s="106"/>
      <c r="L5973" s="106"/>
      <c r="M5973" s="129"/>
    </row>
    <row r="5974" spans="1:13" s="146" customFormat="1">
      <c r="A5974" s="193" t="s">
        <v>517</v>
      </c>
      <c r="B5974" s="210">
        <v>5</v>
      </c>
      <c r="C5974" s="191" t="str">
        <f>IF('IWP19'!E$422=0,"",'IWP19'!E$422)</f>
        <v>D.</v>
      </c>
      <c r="D5974" s="211">
        <f>'IWP19'!G$422</f>
        <v>0</v>
      </c>
      <c r="E5974" s="211" t="str">
        <f>'IWP19'!H$422</f>
        <v>E.</v>
      </c>
      <c r="F5974" s="211" t="str">
        <f>'IWP19'!I$422</f>
        <v>F.</v>
      </c>
      <c r="G5974" s="191" t="str">
        <f>IF('IWP19'!J$422=0,"",'IWP19'!J$422)</f>
        <v>G.</v>
      </c>
      <c r="H5974" s="211">
        <f>'IWP19'!K$422</f>
        <v>0</v>
      </c>
      <c r="I5974" s="211" t="str">
        <f>'IWP19'!L$422</f>
        <v>H.</v>
      </c>
      <c r="J5974" s="212" t="str">
        <f>'IWP19'!M$422</f>
        <v>I.</v>
      </c>
      <c r="K5974" s="106"/>
      <c r="L5974" s="106"/>
      <c r="M5974" s="129"/>
    </row>
    <row r="5975" spans="1:13" s="146" customFormat="1">
      <c r="A5975" s="193" t="s">
        <v>517</v>
      </c>
      <c r="B5975" s="210">
        <v>5</v>
      </c>
      <c r="C5975" s="191" t="str">
        <f>IF('IWP19'!E$423=0,"",'IWP19'!E$423)</f>
        <v xml:space="preserve">Items/Services Related to Billing Period </v>
      </c>
      <c r="D5975" s="211">
        <f>'IWP19'!G$423</f>
        <v>0</v>
      </c>
      <c r="E5975" s="211" t="str">
        <f>'IWP19'!H$423</f>
        <v xml:space="preserve">Item/
Service Verified Amounts
</v>
      </c>
      <c r="F5975" s="211" t="str">
        <f>'IWP19'!I$423</f>
        <v>Amount Due to DADS (E. - D.)</v>
      </c>
      <c r="G5975" s="191" t="str">
        <f>IF('IWP19'!J$423=0,"",'IWP19'!J$423)</f>
        <v>Amount Reimbursed to 
Employee(s)/Employer</v>
      </c>
      <c r="H5975" s="211">
        <f>'IWP19'!K$423</f>
        <v>0</v>
      </c>
      <c r="I5975" s="211" t="str">
        <f>'IWP19'!L$423</f>
        <v>Amount Due to Employee(s) (G. - E.)</v>
      </c>
      <c r="J5975" s="212" t="str">
        <f>'IWP19'!M$423</f>
        <v>Amount Due to Employer (G. - E.)</v>
      </c>
      <c r="K5975" s="106"/>
      <c r="L5975" s="106"/>
      <c r="M5975" s="129"/>
    </row>
    <row r="5976" spans="1:13" s="146" customFormat="1">
      <c r="A5976" s="193" t="s">
        <v>517</v>
      </c>
      <c r="B5976" s="210">
        <v>5</v>
      </c>
      <c r="C5976" s="191" t="str">
        <f>IF('IWP19'!E$424=0,"",'IWP19'!E$424)</f>
        <v>Item/Service</v>
      </c>
      <c r="D5976" s="211" t="str">
        <f>'IWP19'!G$424</f>
        <v>Itemized Amount Paid by DADS</v>
      </c>
      <c r="E5976" s="211">
        <f>'IWP19'!H$424</f>
        <v>0</v>
      </c>
      <c r="F5976" s="211">
        <f>'IWP19'!I$424</f>
        <v>0</v>
      </c>
      <c r="G5976" s="191" t="str">
        <f>IF('IWP19'!J$424=0,"",'IWP19'!J$424)</f>
        <v/>
      </c>
      <c r="H5976" s="211">
        <f>'IWP19'!K$424</f>
        <v>0</v>
      </c>
      <c r="I5976" s="211">
        <f>'IWP19'!L$424</f>
        <v>0</v>
      </c>
      <c r="J5976" s="212">
        <f>'IWP19'!M$424</f>
        <v>0</v>
      </c>
      <c r="K5976" s="106"/>
      <c r="L5976" s="106"/>
      <c r="M5976" s="129"/>
    </row>
    <row r="5977" spans="1:13" s="146" customFormat="1">
      <c r="A5977" s="193" t="s">
        <v>517</v>
      </c>
      <c r="B5977" s="210">
        <v>5</v>
      </c>
      <c r="C5977" s="191" t="str">
        <f>IF('IWP19'!E$425=0,"",'IWP19'!E$425)</f>
        <v/>
      </c>
      <c r="D5977" s="211">
        <f>'IWP19'!G$425</f>
        <v>0</v>
      </c>
      <c r="E5977" s="211">
        <f>'IWP19'!H$425</f>
        <v>0</v>
      </c>
      <c r="F5977" s="211">
        <f>'IWP19'!I$425</f>
        <v>0</v>
      </c>
      <c r="G5977" s="191" t="str">
        <f>IF('IWP19'!J$425=0,"",'IWP19'!J$425)</f>
        <v/>
      </c>
      <c r="H5977" s="211">
        <f>'IWP19'!K$425</f>
        <v>0</v>
      </c>
      <c r="I5977" s="211">
        <f>'IWP19'!L$425</f>
        <v>0</v>
      </c>
      <c r="J5977" s="212">
        <f>'IWP19'!M$425</f>
        <v>0</v>
      </c>
      <c r="K5977" s="106"/>
      <c r="L5977" s="106"/>
      <c r="M5977" s="129"/>
    </row>
    <row r="5978" spans="1:13" s="146" customFormat="1">
      <c r="A5978" s="193" t="s">
        <v>517</v>
      </c>
      <c r="B5978" s="210">
        <v>5</v>
      </c>
      <c r="C5978" s="191" t="str">
        <f>IF('IWP19'!E$426=0,"",'IWP19'!E$426)</f>
        <v/>
      </c>
      <c r="D5978" s="211">
        <f>'IWP19'!G$426</f>
        <v>0</v>
      </c>
      <c r="E5978" s="211">
        <f>'IWP19'!H$426</f>
        <v>0</v>
      </c>
      <c r="F5978" s="211">
        <f>'IWP19'!I$426</f>
        <v>0</v>
      </c>
      <c r="G5978" s="191" t="str">
        <f>IF('IWP19'!J$426=0,"",'IWP19'!J$426)</f>
        <v/>
      </c>
      <c r="H5978" s="211">
        <f>'IWP19'!K$426</f>
        <v>0</v>
      </c>
      <c r="I5978" s="211">
        <f>'IWP19'!L$426</f>
        <v>0</v>
      </c>
      <c r="J5978" s="212">
        <f>'IWP19'!M$426</f>
        <v>0</v>
      </c>
      <c r="K5978" s="106"/>
      <c r="L5978" s="106"/>
      <c r="M5978" s="129"/>
    </row>
    <row r="5979" spans="1:13" s="146" customFormat="1">
      <c r="A5979" s="193" t="s">
        <v>517</v>
      </c>
      <c r="B5979" s="210">
        <v>5</v>
      </c>
      <c r="C5979" s="191" t="str">
        <f>IF('IWP19'!E$427=0,"",'IWP19'!E$427)</f>
        <v/>
      </c>
      <c r="D5979" s="211">
        <f>'IWP19'!G$427</f>
        <v>0</v>
      </c>
      <c r="E5979" s="211">
        <f>'IWP19'!H$427</f>
        <v>0</v>
      </c>
      <c r="F5979" s="211">
        <f>'IWP19'!I$427</f>
        <v>0</v>
      </c>
      <c r="G5979" s="191" t="str">
        <f>IF('IWP19'!J$427=0,"",'IWP19'!J$427)</f>
        <v/>
      </c>
      <c r="H5979" s="211">
        <f>'IWP19'!K$427</f>
        <v>0</v>
      </c>
      <c r="I5979" s="211">
        <f>'IWP19'!L$427</f>
        <v>0</v>
      </c>
      <c r="J5979" s="212">
        <f>'IWP19'!M$427</f>
        <v>0</v>
      </c>
      <c r="K5979" s="106"/>
      <c r="L5979" s="106"/>
      <c r="M5979" s="129"/>
    </row>
    <row r="5980" spans="1:13" s="146" customFormat="1">
      <c r="A5980" s="193" t="s">
        <v>517</v>
      </c>
      <c r="B5980" s="210">
        <v>5</v>
      </c>
      <c r="C5980" s="191" t="str">
        <f>IF('IWP19'!E$428=0,"",'IWP19'!E$428)</f>
        <v/>
      </c>
      <c r="D5980" s="211">
        <f>'IWP19'!G$428</f>
        <v>0</v>
      </c>
      <c r="E5980" s="211">
        <f>'IWP19'!H$428</f>
        <v>0</v>
      </c>
      <c r="F5980" s="211">
        <f>'IWP19'!I$428</f>
        <v>0</v>
      </c>
      <c r="G5980" s="191" t="str">
        <f>IF('IWP19'!J$428=0,"",'IWP19'!J$428)</f>
        <v/>
      </c>
      <c r="H5980" s="211">
        <f>'IWP19'!K$428</f>
        <v>0</v>
      </c>
      <c r="I5980" s="211">
        <f>'IWP19'!L$428</f>
        <v>0</v>
      </c>
      <c r="J5980" s="212">
        <f>'IWP19'!M$428</f>
        <v>0</v>
      </c>
      <c r="K5980" s="106"/>
      <c r="L5980" s="106"/>
      <c r="M5980" s="129"/>
    </row>
    <row r="5981" spans="1:13" s="146" customFormat="1">
      <c r="A5981" s="193" t="s">
        <v>517</v>
      </c>
      <c r="B5981" s="210">
        <v>6</v>
      </c>
      <c r="C5981" s="191" t="str">
        <f>IF('IWP19'!E$435=0,"",'IWP19'!E$435)</f>
        <v>Subtotal column D.</v>
      </c>
      <c r="D5981" s="211">
        <f>'IWP19'!G$435</f>
        <v>0</v>
      </c>
      <c r="E5981" s="211">
        <f>'IWP19'!H$435</f>
        <v>0</v>
      </c>
      <c r="F5981" s="211">
        <f>'IWP19'!I$435</f>
        <v>0</v>
      </c>
      <c r="G5981" s="191" t="str">
        <f>IF('IWP19'!J$435=0,"",'IWP19'!J$435)</f>
        <v/>
      </c>
      <c r="H5981" s="211">
        <f>'IWP19'!K$435</f>
        <v>0</v>
      </c>
      <c r="I5981" s="211">
        <f>'IWP19'!L$435</f>
        <v>0</v>
      </c>
      <c r="J5981" s="212">
        <f>'IWP19'!M$435</f>
        <v>0</v>
      </c>
      <c r="K5981" s="106"/>
      <c r="L5981" s="106"/>
      <c r="M5981" s="129"/>
    </row>
    <row r="5982" spans="1:13" s="146" customFormat="1">
      <c r="A5982" s="193" t="s">
        <v>517</v>
      </c>
      <c r="B5982" s="210">
        <v>6</v>
      </c>
      <c r="C5982" s="191" t="str">
        <f>IF('IWP19'!E$436=0,"",'IWP19'!E$436)</f>
        <v>Unverified/Undocumented (Subtotal D - C)</v>
      </c>
      <c r="D5982" s="211">
        <f>'IWP19'!G$436</f>
        <v>0</v>
      </c>
      <c r="E5982" s="211">
        <f>'IWP19'!H$436</f>
        <v>0</v>
      </c>
      <c r="F5982" s="211">
        <f>'IWP19'!I$436</f>
        <v>0</v>
      </c>
      <c r="G5982" s="191" t="str">
        <f>IF('IWP19'!J$436=0,"",'IWP19'!J$436)</f>
        <v/>
      </c>
      <c r="H5982" s="211">
        <f>'IWP19'!K$436</f>
        <v>0</v>
      </c>
      <c r="I5982" s="211">
        <f>'IWP19'!L$436</f>
        <v>0</v>
      </c>
      <c r="J5982" s="212">
        <f>'IWP19'!M$436</f>
        <v>0</v>
      </c>
      <c r="K5982" s="106"/>
      <c r="L5982" s="106"/>
      <c r="M5982" s="129"/>
    </row>
    <row r="5983" spans="1:13" s="146" customFormat="1">
      <c r="A5983" s="193" t="s">
        <v>517</v>
      </c>
      <c r="B5983" s="210">
        <v>6</v>
      </c>
      <c r="C5983" s="191" t="str">
        <f>IF('IWP19'!E$437=0,"",'IWP19'!E$437)</f>
        <v>J. Billing Period Total</v>
      </c>
      <c r="D5983" s="211">
        <f>'IWP19'!G$437</f>
        <v>0</v>
      </c>
      <c r="E5983" s="211">
        <f>'IWP19'!H$437</f>
        <v>0</v>
      </c>
      <c r="F5983" s="211">
        <f>'IWP19'!I$437</f>
        <v>0</v>
      </c>
      <c r="G5983" s="191" t="str">
        <f>IF('IWP19'!J$437=0,"",'IWP19'!J$437)</f>
        <v/>
      </c>
      <c r="H5983" s="211">
        <f>'IWP19'!K$437</f>
        <v>0</v>
      </c>
      <c r="I5983" s="211">
        <f>'IWP19'!L$437</f>
        <v>0</v>
      </c>
      <c r="J5983" s="212">
        <f>'IWP19'!M$437</f>
        <v>0</v>
      </c>
      <c r="K5983" s="106"/>
      <c r="L5983" s="106"/>
      <c r="M5983" s="129"/>
    </row>
    <row r="5984" spans="1:13" s="146" customFormat="1">
      <c r="A5984" s="193" t="s">
        <v>517</v>
      </c>
      <c r="B5984" s="210">
        <v>6</v>
      </c>
      <c r="C5984" s="191" t="str">
        <f>IF('IWP19'!E$438=0,"",'IWP19'!E$438)</f>
        <v>D.</v>
      </c>
      <c r="D5984" s="211">
        <f>'IWP19'!G$438</f>
        <v>0</v>
      </c>
      <c r="E5984" s="211" t="str">
        <f>'IWP19'!H$438</f>
        <v>E.</v>
      </c>
      <c r="F5984" s="211" t="str">
        <f>'IWP19'!I$438</f>
        <v>F.</v>
      </c>
      <c r="G5984" s="191" t="str">
        <f>IF('IWP19'!J$438=0,"",'IWP19'!J$438)</f>
        <v>G.</v>
      </c>
      <c r="H5984" s="211">
        <f>'IWP19'!K$438</f>
        <v>0</v>
      </c>
      <c r="I5984" s="211" t="str">
        <f>'IWP19'!L$438</f>
        <v>H.</v>
      </c>
      <c r="J5984" s="212" t="str">
        <f>'IWP19'!M$438</f>
        <v>I.</v>
      </c>
      <c r="K5984" s="106"/>
      <c r="L5984" s="106"/>
      <c r="M5984" s="129"/>
    </row>
    <row r="5985" spans="1:13" s="146" customFormat="1">
      <c r="A5985" s="193" t="s">
        <v>517</v>
      </c>
      <c r="B5985" s="210">
        <v>6</v>
      </c>
      <c r="C5985" s="191" t="str">
        <f>IF('IWP19'!E$439=0,"",'IWP19'!E$439)</f>
        <v xml:space="preserve">Items/Services Related to Billing Period </v>
      </c>
      <c r="D5985" s="211">
        <f>'IWP19'!G$439</f>
        <v>0</v>
      </c>
      <c r="E5985" s="211" t="str">
        <f>'IWP19'!H$439</f>
        <v xml:space="preserve">Item/
Service Verified Amounts
</v>
      </c>
      <c r="F5985" s="211" t="str">
        <f>'IWP19'!I$439</f>
        <v>Amount Due to DADS (E. - D.)</v>
      </c>
      <c r="G5985" s="191" t="str">
        <f>IF('IWP19'!J$439=0,"",'IWP19'!J$439)</f>
        <v>Amount Reimbursed to 
Employee(s)/Employer</v>
      </c>
      <c r="H5985" s="211">
        <f>'IWP19'!K$439</f>
        <v>0</v>
      </c>
      <c r="I5985" s="211" t="str">
        <f>'IWP19'!L$439</f>
        <v>Amount Due to Employee(s) (G. - E.)</v>
      </c>
      <c r="J5985" s="212" t="str">
        <f>'IWP19'!M$439</f>
        <v>Amount Due to Employer (G. - E.)</v>
      </c>
      <c r="K5985" s="106"/>
      <c r="L5985" s="106"/>
      <c r="M5985" s="129"/>
    </row>
    <row r="5986" spans="1:13" s="146" customFormat="1">
      <c r="A5986" s="193" t="s">
        <v>517</v>
      </c>
      <c r="B5986" s="210">
        <v>6</v>
      </c>
      <c r="C5986" s="191" t="str">
        <f>IF('IWP19'!E$440=0,"",'IWP19'!E$440)</f>
        <v>Item/Service</v>
      </c>
      <c r="D5986" s="211" t="str">
        <f>'IWP19'!G$440</f>
        <v>Itemized Amount Paid by DADS</v>
      </c>
      <c r="E5986" s="211">
        <f>'IWP19'!H$440</f>
        <v>0</v>
      </c>
      <c r="F5986" s="211">
        <f>'IWP19'!I$440</f>
        <v>0</v>
      </c>
      <c r="G5986" s="191" t="str">
        <f>IF('IWP19'!J$440=0,"",'IWP19'!J$440)</f>
        <v/>
      </c>
      <c r="H5986" s="211">
        <f>'IWP19'!K$440</f>
        <v>0</v>
      </c>
      <c r="I5986" s="211">
        <f>'IWP19'!L$440</f>
        <v>0</v>
      </c>
      <c r="J5986" s="212">
        <f>'IWP19'!M$440</f>
        <v>0</v>
      </c>
      <c r="K5986" s="106"/>
      <c r="L5986" s="106"/>
      <c r="M5986" s="129"/>
    </row>
    <row r="5987" spans="1:13" s="146" customFormat="1">
      <c r="A5987" s="193" t="s">
        <v>517</v>
      </c>
      <c r="B5987" s="210">
        <v>6</v>
      </c>
      <c r="C5987" s="191" t="str">
        <f>IF('IWP19'!E$441=0,"",'IWP19'!E$441)</f>
        <v/>
      </c>
      <c r="D5987" s="211">
        <f>'IWP19'!G$441</f>
        <v>0</v>
      </c>
      <c r="E5987" s="211">
        <f>'IWP19'!H$441</f>
        <v>0</v>
      </c>
      <c r="F5987" s="211">
        <f>'IWP19'!I$441</f>
        <v>0</v>
      </c>
      <c r="G5987" s="191" t="str">
        <f>IF('IWP19'!J$441=0,"",'IWP19'!J$441)</f>
        <v/>
      </c>
      <c r="H5987" s="211">
        <f>'IWP19'!K$441</f>
        <v>0</v>
      </c>
      <c r="I5987" s="211">
        <f>'IWP19'!L$441</f>
        <v>0</v>
      </c>
      <c r="J5987" s="212">
        <f>'IWP19'!M$441</f>
        <v>0</v>
      </c>
      <c r="K5987" s="106"/>
      <c r="L5987" s="106"/>
      <c r="M5987" s="129"/>
    </row>
    <row r="5988" spans="1:13" s="146" customFormat="1">
      <c r="A5988" s="193" t="s">
        <v>517</v>
      </c>
      <c r="B5988" s="210">
        <v>6</v>
      </c>
      <c r="C5988" s="191" t="str">
        <f>IF('IWP19'!E$442=0,"",'IWP19'!E$442)</f>
        <v/>
      </c>
      <c r="D5988" s="211">
        <f>'IWP19'!G$442</f>
        <v>0</v>
      </c>
      <c r="E5988" s="211">
        <f>'IWP19'!H$442</f>
        <v>0</v>
      </c>
      <c r="F5988" s="211">
        <f>'IWP19'!I$442</f>
        <v>0</v>
      </c>
      <c r="G5988" s="191" t="str">
        <f>IF('IWP19'!J$442=0,"",'IWP19'!J$442)</f>
        <v/>
      </c>
      <c r="H5988" s="211">
        <f>'IWP19'!K$442</f>
        <v>0</v>
      </c>
      <c r="I5988" s="211">
        <f>'IWP19'!L$442</f>
        <v>0</v>
      </c>
      <c r="J5988" s="212">
        <f>'IWP19'!M$442</f>
        <v>0</v>
      </c>
      <c r="K5988" s="106"/>
      <c r="L5988" s="106"/>
      <c r="M5988" s="129"/>
    </row>
    <row r="5989" spans="1:13" s="146" customFormat="1">
      <c r="A5989" s="193" t="s">
        <v>517</v>
      </c>
      <c r="B5989" s="210">
        <v>6</v>
      </c>
      <c r="C5989" s="191" t="str">
        <f>IF('IWP19'!E$443=0,"",'IWP19'!E$443)</f>
        <v/>
      </c>
      <c r="D5989" s="211">
        <f>'IWP19'!G$443</f>
        <v>0</v>
      </c>
      <c r="E5989" s="211">
        <f>'IWP19'!H$443</f>
        <v>0</v>
      </c>
      <c r="F5989" s="211">
        <f>'IWP19'!I$443</f>
        <v>0</v>
      </c>
      <c r="G5989" s="191" t="str">
        <f>IF('IWP19'!J$443=0,"",'IWP19'!J$443)</f>
        <v/>
      </c>
      <c r="H5989" s="211">
        <f>'IWP19'!K$443</f>
        <v>0</v>
      </c>
      <c r="I5989" s="211">
        <f>'IWP19'!L$443</f>
        <v>0</v>
      </c>
      <c r="J5989" s="212">
        <f>'IWP19'!M$443</f>
        <v>0</v>
      </c>
      <c r="K5989" s="106"/>
      <c r="L5989" s="106"/>
      <c r="M5989" s="129"/>
    </row>
    <row r="5990" spans="1:13" s="146" customFormat="1">
      <c r="A5990" s="193" t="s">
        <v>517</v>
      </c>
      <c r="B5990" s="210">
        <v>6</v>
      </c>
      <c r="C5990" s="191" t="str">
        <f>IF('IWP19'!E$444=0,"",'IWP19'!E$444)</f>
        <v/>
      </c>
      <c r="D5990" s="211">
        <f>'IWP19'!G$444</f>
        <v>0</v>
      </c>
      <c r="E5990" s="211">
        <f>'IWP19'!H$444</f>
        <v>0</v>
      </c>
      <c r="F5990" s="211">
        <f>'IWP19'!I$444</f>
        <v>0</v>
      </c>
      <c r="G5990" s="191" t="str">
        <f>IF('IWP19'!J$444=0,"",'IWP19'!J$444)</f>
        <v/>
      </c>
      <c r="H5990" s="211">
        <f>'IWP19'!K$444</f>
        <v>0</v>
      </c>
      <c r="I5990" s="211">
        <f>'IWP19'!L$444</f>
        <v>0</v>
      </c>
      <c r="J5990" s="212">
        <f>'IWP19'!M$444</f>
        <v>0</v>
      </c>
      <c r="K5990" s="106"/>
      <c r="L5990" s="106"/>
      <c r="M5990" s="129"/>
    </row>
    <row r="5991" spans="1:13" s="146" customFormat="1">
      <c r="A5991" s="193" t="s">
        <v>517</v>
      </c>
      <c r="B5991" s="210">
        <v>7</v>
      </c>
      <c r="C5991" s="191" t="str">
        <f>IF('IWP19'!E$451=0,"",'IWP19'!E$451)</f>
        <v>Subtotal column D.</v>
      </c>
      <c r="D5991" s="211">
        <f>'IWP19'!G$451</f>
        <v>0</v>
      </c>
      <c r="E5991" s="211">
        <f>'IWP19'!H$451</f>
        <v>0</v>
      </c>
      <c r="F5991" s="211">
        <f>'IWP19'!I$451</f>
        <v>0</v>
      </c>
      <c r="G5991" s="191" t="str">
        <f>IF('IWP19'!J$451=0,"",'IWP19'!J$451)</f>
        <v/>
      </c>
      <c r="H5991" s="211">
        <f>'IWP19'!K$451</f>
        <v>0</v>
      </c>
      <c r="I5991" s="211">
        <f>'IWP19'!L$451</f>
        <v>0</v>
      </c>
      <c r="J5991" s="212">
        <f>'IWP19'!M$451</f>
        <v>0</v>
      </c>
      <c r="K5991" s="106"/>
      <c r="L5991" s="106"/>
      <c r="M5991" s="129"/>
    </row>
    <row r="5992" spans="1:13" s="146" customFormat="1">
      <c r="A5992" s="193" t="s">
        <v>517</v>
      </c>
      <c r="B5992" s="210">
        <v>7</v>
      </c>
      <c r="C5992" s="191" t="str">
        <f>IF('IWP19'!E$452=0,"",'IWP19'!E$452)</f>
        <v>Unverified/Undocumented (Subtotal D - C)</v>
      </c>
      <c r="D5992" s="211">
        <f>'IWP19'!G$452</f>
        <v>0</v>
      </c>
      <c r="E5992" s="211">
        <f>'IWP19'!H$452</f>
        <v>0</v>
      </c>
      <c r="F5992" s="211">
        <f>'IWP19'!I$452</f>
        <v>0</v>
      </c>
      <c r="G5992" s="191" t="str">
        <f>IF('IWP19'!J$452=0,"",'IWP19'!J$452)</f>
        <v/>
      </c>
      <c r="H5992" s="211">
        <f>'IWP19'!K$452</f>
        <v>0</v>
      </c>
      <c r="I5992" s="211">
        <f>'IWP19'!L$452</f>
        <v>0</v>
      </c>
      <c r="J5992" s="212">
        <f>'IWP19'!M$452</f>
        <v>0</v>
      </c>
      <c r="K5992" s="106"/>
      <c r="L5992" s="106"/>
      <c r="M5992" s="129"/>
    </row>
    <row r="5993" spans="1:13" s="146" customFormat="1">
      <c r="A5993" s="193" t="s">
        <v>517</v>
      </c>
      <c r="B5993" s="210">
        <v>7</v>
      </c>
      <c r="C5993" s="191" t="str">
        <f>IF('IWP19'!E$453=0,"",'IWP19'!E$453)</f>
        <v>J. Billing Period Total</v>
      </c>
      <c r="D5993" s="211">
        <f>'IWP19'!G$453</f>
        <v>0</v>
      </c>
      <c r="E5993" s="211">
        <f>'IWP19'!H$453</f>
        <v>0</v>
      </c>
      <c r="F5993" s="211">
        <f>'IWP19'!I$453</f>
        <v>0</v>
      </c>
      <c r="G5993" s="191" t="str">
        <f>IF('IWP19'!J$453=0,"",'IWP19'!J$453)</f>
        <v/>
      </c>
      <c r="H5993" s="211">
        <f>'IWP19'!K$453</f>
        <v>0</v>
      </c>
      <c r="I5993" s="211">
        <f>'IWP19'!L$453</f>
        <v>0</v>
      </c>
      <c r="J5993" s="212">
        <f>'IWP19'!M$453</f>
        <v>0</v>
      </c>
      <c r="K5993" s="106"/>
      <c r="L5993" s="106"/>
      <c r="M5993" s="129"/>
    </row>
    <row r="5994" spans="1:13" s="146" customFormat="1">
      <c r="A5994" s="193" t="s">
        <v>517</v>
      </c>
      <c r="B5994" s="210">
        <v>7</v>
      </c>
      <c r="C5994" s="191" t="str">
        <f>IF('IWP19'!E$454=0,"",'IWP19'!E$454)</f>
        <v>D.</v>
      </c>
      <c r="D5994" s="211">
        <f>'IWP19'!G$454</f>
        <v>0</v>
      </c>
      <c r="E5994" s="211" t="str">
        <f>'IWP19'!H$454</f>
        <v>E.</v>
      </c>
      <c r="F5994" s="211" t="str">
        <f>'IWP19'!I$454</f>
        <v>F.</v>
      </c>
      <c r="G5994" s="191" t="str">
        <f>IF('IWP19'!J$454=0,"",'IWP19'!J$454)</f>
        <v>G.</v>
      </c>
      <c r="H5994" s="211">
        <f>'IWP19'!K$454</f>
        <v>0</v>
      </c>
      <c r="I5994" s="211" t="str">
        <f>'IWP19'!L$454</f>
        <v>H.</v>
      </c>
      <c r="J5994" s="212" t="str">
        <f>'IWP19'!M$454</f>
        <v>I.</v>
      </c>
      <c r="K5994" s="106"/>
      <c r="L5994" s="106"/>
      <c r="M5994" s="129"/>
    </row>
    <row r="5995" spans="1:13" s="146" customFormat="1">
      <c r="A5995" s="193" t="s">
        <v>517</v>
      </c>
      <c r="B5995" s="210">
        <v>7</v>
      </c>
      <c r="C5995" s="191" t="str">
        <f>IF('IWP19'!E$455=0,"",'IWP19'!E$455)</f>
        <v xml:space="preserve">Items/Services Related to Billing Period </v>
      </c>
      <c r="D5995" s="211">
        <f>'IWP19'!G$455</f>
        <v>0</v>
      </c>
      <c r="E5995" s="211" t="str">
        <f>'IWP19'!H$455</f>
        <v xml:space="preserve">Item/
Service Verified Amounts
</v>
      </c>
      <c r="F5995" s="211" t="str">
        <f>'IWP19'!I$455</f>
        <v>Amount Due to DADS (E. - D.)</v>
      </c>
      <c r="G5995" s="191" t="str">
        <f>IF('IWP19'!J$455=0,"",'IWP19'!J$455)</f>
        <v>Amount Reimbursed to 
Employee(s)/Employer</v>
      </c>
      <c r="H5995" s="211">
        <f>'IWP19'!K$455</f>
        <v>0</v>
      </c>
      <c r="I5995" s="211" t="str">
        <f>'IWP19'!L$455</f>
        <v>Amount Due to Employee(s) (G. - E.)</v>
      </c>
      <c r="J5995" s="212" t="str">
        <f>'IWP19'!M$455</f>
        <v>Amount Due to Employer (G. - E.)</v>
      </c>
      <c r="K5995" s="106"/>
      <c r="L5995" s="106"/>
      <c r="M5995" s="129"/>
    </row>
    <row r="5996" spans="1:13" s="146" customFormat="1">
      <c r="A5996" s="193" t="s">
        <v>517</v>
      </c>
      <c r="B5996" s="210">
        <v>7</v>
      </c>
      <c r="C5996" s="191" t="str">
        <f>IF('IWP19'!E$456=0,"",'IWP19'!E$456)</f>
        <v>Item/Service</v>
      </c>
      <c r="D5996" s="211" t="str">
        <f>'IWP19'!G$456</f>
        <v>Itemized Amount Paid by DADS</v>
      </c>
      <c r="E5996" s="211">
        <f>'IWP19'!H$456</f>
        <v>0</v>
      </c>
      <c r="F5996" s="211">
        <f>'IWP19'!I$456</f>
        <v>0</v>
      </c>
      <c r="G5996" s="191" t="str">
        <f>IF('IWP19'!J$456=0,"",'IWP19'!J$456)</f>
        <v/>
      </c>
      <c r="H5996" s="211">
        <f>'IWP19'!K$456</f>
        <v>0</v>
      </c>
      <c r="I5996" s="211">
        <f>'IWP19'!L$456</f>
        <v>0</v>
      </c>
      <c r="J5996" s="212">
        <f>'IWP19'!M$456</f>
        <v>0</v>
      </c>
      <c r="K5996" s="106"/>
      <c r="L5996" s="106"/>
      <c r="M5996" s="129"/>
    </row>
    <row r="5997" spans="1:13" s="146" customFormat="1">
      <c r="A5997" s="193" t="s">
        <v>517</v>
      </c>
      <c r="B5997" s="210">
        <v>7</v>
      </c>
      <c r="C5997" s="191" t="str">
        <f>IF('IWP19'!E$457=0,"",'IWP19'!E$457)</f>
        <v/>
      </c>
      <c r="D5997" s="211">
        <f>'IWP19'!G$457</f>
        <v>0</v>
      </c>
      <c r="E5997" s="211">
        <f>'IWP19'!H$457</f>
        <v>0</v>
      </c>
      <c r="F5997" s="211">
        <f>'IWP19'!I$457</f>
        <v>0</v>
      </c>
      <c r="G5997" s="191" t="str">
        <f>IF('IWP19'!J$457=0,"",'IWP19'!J$457)</f>
        <v/>
      </c>
      <c r="H5997" s="211">
        <f>'IWP19'!K$457</f>
        <v>0</v>
      </c>
      <c r="I5997" s="211">
        <f>'IWP19'!L$457</f>
        <v>0</v>
      </c>
      <c r="J5997" s="212">
        <f>'IWP19'!M$457</f>
        <v>0</v>
      </c>
      <c r="K5997" s="106"/>
      <c r="L5997" s="106"/>
      <c r="M5997" s="129"/>
    </row>
    <row r="5998" spans="1:13" s="146" customFormat="1">
      <c r="A5998" s="193" t="s">
        <v>517</v>
      </c>
      <c r="B5998" s="210">
        <v>7</v>
      </c>
      <c r="C5998" s="191" t="str">
        <f>IF('IWP19'!E$458=0,"",'IWP19'!E$458)</f>
        <v/>
      </c>
      <c r="D5998" s="211">
        <f>'IWP19'!G$458</f>
        <v>0</v>
      </c>
      <c r="E5998" s="211">
        <f>'IWP19'!H$458</f>
        <v>0</v>
      </c>
      <c r="F5998" s="211">
        <f>'IWP19'!I$458</f>
        <v>0</v>
      </c>
      <c r="G5998" s="191" t="str">
        <f>IF('IWP19'!J$458=0,"",'IWP19'!J$458)</f>
        <v/>
      </c>
      <c r="H5998" s="211">
        <f>'IWP19'!K$458</f>
        <v>0</v>
      </c>
      <c r="I5998" s="211">
        <f>'IWP19'!L$458</f>
        <v>0</v>
      </c>
      <c r="J5998" s="212">
        <f>'IWP19'!M$458</f>
        <v>0</v>
      </c>
      <c r="K5998" s="106"/>
      <c r="L5998" s="106"/>
      <c r="M5998" s="129"/>
    </row>
    <row r="5999" spans="1:13" s="146" customFormat="1">
      <c r="A5999" s="193" t="s">
        <v>517</v>
      </c>
      <c r="B5999" s="210">
        <v>7</v>
      </c>
      <c r="C5999" s="191" t="str">
        <f>IF('IWP19'!E$459=0,"",'IWP19'!E$459)</f>
        <v/>
      </c>
      <c r="D5999" s="211">
        <f>'IWP19'!G$459</f>
        <v>0</v>
      </c>
      <c r="E5999" s="211">
        <f>'IWP19'!H$459</f>
        <v>0</v>
      </c>
      <c r="F5999" s="211">
        <f>'IWP19'!I$459</f>
        <v>0</v>
      </c>
      <c r="G5999" s="191" t="str">
        <f>IF('IWP19'!J$459=0,"",'IWP19'!J$459)</f>
        <v/>
      </c>
      <c r="H5999" s="211">
        <f>'IWP19'!K$459</f>
        <v>0</v>
      </c>
      <c r="I5999" s="211">
        <f>'IWP19'!L$459</f>
        <v>0</v>
      </c>
      <c r="J5999" s="212">
        <f>'IWP19'!M$459</f>
        <v>0</v>
      </c>
      <c r="K5999" s="106"/>
      <c r="L5999" s="106"/>
      <c r="M5999" s="129"/>
    </row>
    <row r="6000" spans="1:13" s="146" customFormat="1">
      <c r="A6000" s="193" t="s">
        <v>517</v>
      </c>
      <c r="B6000" s="210">
        <v>7</v>
      </c>
      <c r="C6000" s="191" t="str">
        <f>IF('IWP19'!E$460=0,"",'IWP19'!E$460)</f>
        <v/>
      </c>
      <c r="D6000" s="211">
        <f>'IWP19'!G$460</f>
        <v>0</v>
      </c>
      <c r="E6000" s="211">
        <f>'IWP19'!H$460</f>
        <v>0</v>
      </c>
      <c r="F6000" s="211">
        <f>'IWP19'!I$460</f>
        <v>0</v>
      </c>
      <c r="G6000" s="191" t="str">
        <f>IF('IWP19'!J$460=0,"",'IWP19'!J$460)</f>
        <v/>
      </c>
      <c r="H6000" s="211">
        <f>'IWP19'!K$460</f>
        <v>0</v>
      </c>
      <c r="I6000" s="211">
        <f>'IWP19'!L$460</f>
        <v>0</v>
      </c>
      <c r="J6000" s="212">
        <f>'IWP19'!M$460</f>
        <v>0</v>
      </c>
      <c r="K6000" s="106"/>
      <c r="L6000" s="106"/>
      <c r="M6000" s="129"/>
    </row>
    <row r="6001" spans="1:13" s="146" customFormat="1">
      <c r="A6001" s="193" t="s">
        <v>517</v>
      </c>
      <c r="B6001" s="210">
        <v>8</v>
      </c>
      <c r="C6001" s="191" t="str">
        <f>IF('IWP19'!E$467=0,"",'IWP19'!E$467)</f>
        <v>Subtotal column D.</v>
      </c>
      <c r="D6001" s="211">
        <f>'IWP19'!G$467</f>
        <v>0</v>
      </c>
      <c r="E6001" s="211">
        <f>'IWP19'!H$467</f>
        <v>0</v>
      </c>
      <c r="F6001" s="211">
        <f>'IWP19'!I$467</f>
        <v>0</v>
      </c>
      <c r="G6001" s="191" t="str">
        <f>IF('IWP19'!J$467=0,"",'IWP19'!J$467)</f>
        <v/>
      </c>
      <c r="H6001" s="211">
        <f>'IWP19'!K$467</f>
        <v>0</v>
      </c>
      <c r="I6001" s="211">
        <f>'IWP19'!L$467</f>
        <v>0</v>
      </c>
      <c r="J6001" s="212">
        <f>'IWP19'!M$467</f>
        <v>0</v>
      </c>
      <c r="K6001" s="106"/>
      <c r="L6001" s="106"/>
      <c r="M6001" s="129"/>
    </row>
    <row r="6002" spans="1:13" s="146" customFormat="1">
      <c r="A6002" s="193" t="s">
        <v>517</v>
      </c>
      <c r="B6002" s="210">
        <v>8</v>
      </c>
      <c r="C6002" s="191" t="str">
        <f>IF('IWP19'!E$468=0,"",'IWP19'!E$468)</f>
        <v>Unverified/Undocumented (Subtotal D - C)</v>
      </c>
      <c r="D6002" s="211">
        <f>'IWP19'!G$468</f>
        <v>0</v>
      </c>
      <c r="E6002" s="211">
        <f>'IWP19'!H$468</f>
        <v>0</v>
      </c>
      <c r="F6002" s="211">
        <f>'IWP19'!I$468</f>
        <v>0</v>
      </c>
      <c r="G6002" s="191" t="str">
        <f>IF('IWP19'!J$468=0,"",'IWP19'!J$468)</f>
        <v/>
      </c>
      <c r="H6002" s="211">
        <f>'IWP19'!K$468</f>
        <v>0</v>
      </c>
      <c r="I6002" s="211">
        <f>'IWP19'!L$468</f>
        <v>0</v>
      </c>
      <c r="J6002" s="212">
        <f>'IWP19'!M$468</f>
        <v>0</v>
      </c>
      <c r="K6002" s="106"/>
      <c r="L6002" s="106"/>
      <c r="M6002" s="129"/>
    </row>
    <row r="6003" spans="1:13" s="146" customFormat="1">
      <c r="A6003" s="193" t="s">
        <v>517</v>
      </c>
      <c r="B6003" s="210">
        <v>8</v>
      </c>
      <c r="C6003" s="191" t="str">
        <f>IF('IWP19'!E$469=0,"",'IWP19'!E$469)</f>
        <v>J. Billing Period Total</v>
      </c>
      <c r="D6003" s="211">
        <f>'IWP19'!G$469</f>
        <v>0</v>
      </c>
      <c r="E6003" s="211">
        <f>'IWP19'!H$469</f>
        <v>0</v>
      </c>
      <c r="F6003" s="211">
        <f>'IWP19'!I$469</f>
        <v>0</v>
      </c>
      <c r="G6003" s="191" t="str">
        <f>IF('IWP19'!J$469=0,"",'IWP19'!J$469)</f>
        <v/>
      </c>
      <c r="H6003" s="211">
        <f>'IWP19'!K$469</f>
        <v>0</v>
      </c>
      <c r="I6003" s="211">
        <f>'IWP19'!L$469</f>
        <v>0</v>
      </c>
      <c r="J6003" s="212">
        <f>'IWP19'!M$469</f>
        <v>0</v>
      </c>
      <c r="K6003" s="106"/>
      <c r="L6003" s="106"/>
      <c r="M6003" s="129"/>
    </row>
    <row r="6004" spans="1:13" s="146" customFormat="1">
      <c r="A6004" s="193" t="s">
        <v>517</v>
      </c>
      <c r="B6004" s="210">
        <v>8</v>
      </c>
      <c r="C6004" s="191" t="str">
        <f>IF('IWP19'!E$470=0,"",'IWP19'!E$470)</f>
        <v>D.</v>
      </c>
      <c r="D6004" s="211">
        <f>'IWP19'!G$470</f>
        <v>0</v>
      </c>
      <c r="E6004" s="211" t="str">
        <f>'IWP19'!H$470</f>
        <v>E.</v>
      </c>
      <c r="F6004" s="211" t="str">
        <f>'IWP19'!I$470</f>
        <v>F.</v>
      </c>
      <c r="G6004" s="191" t="str">
        <f>IF('IWP19'!J$470=0,"",'IWP19'!J$470)</f>
        <v>G.</v>
      </c>
      <c r="H6004" s="211">
        <f>'IWP19'!K$470</f>
        <v>0</v>
      </c>
      <c r="I6004" s="211" t="str">
        <f>'IWP19'!L$470</f>
        <v>H.</v>
      </c>
      <c r="J6004" s="212" t="str">
        <f>'IWP19'!M$470</f>
        <v>I.</v>
      </c>
      <c r="K6004" s="106"/>
      <c r="L6004" s="106"/>
      <c r="M6004" s="129"/>
    </row>
    <row r="6005" spans="1:13" s="146" customFormat="1">
      <c r="A6005" s="193" t="s">
        <v>517</v>
      </c>
      <c r="B6005" s="210">
        <v>8</v>
      </c>
      <c r="C6005" s="191" t="str">
        <f>IF('IWP19'!E$471=0,"",'IWP19'!E$471)</f>
        <v xml:space="preserve">Items/Services Related to Billing Period </v>
      </c>
      <c r="D6005" s="211">
        <f>'IWP19'!G$471</f>
        <v>0</v>
      </c>
      <c r="E6005" s="211" t="str">
        <f>'IWP19'!H$471</f>
        <v xml:space="preserve">Item/
Service Verified Amounts
</v>
      </c>
      <c r="F6005" s="211" t="str">
        <f>'IWP19'!I$471</f>
        <v>Amount Due to DADS (E. - D.)</v>
      </c>
      <c r="G6005" s="191" t="str">
        <f>IF('IWP19'!J$471=0,"",'IWP19'!J$471)</f>
        <v>Amount Reimbursed to 
Employee(s)/Employer</v>
      </c>
      <c r="H6005" s="211">
        <f>'IWP19'!K$471</f>
        <v>0</v>
      </c>
      <c r="I6005" s="211" t="str">
        <f>'IWP19'!L$471</f>
        <v>Amount Due to Employee(s) (G. - E.)</v>
      </c>
      <c r="J6005" s="212" t="str">
        <f>'IWP19'!M$471</f>
        <v>Amount Due to Employer (G. - E.)</v>
      </c>
      <c r="K6005" s="106"/>
      <c r="L6005" s="106"/>
      <c r="M6005" s="129"/>
    </row>
    <row r="6006" spans="1:13" s="146" customFormat="1">
      <c r="A6006" s="193" t="s">
        <v>517</v>
      </c>
      <c r="B6006" s="210">
        <v>8</v>
      </c>
      <c r="C6006" s="191" t="str">
        <f>IF('IWP19'!E$472=0,"",'IWP19'!E$472)</f>
        <v>Item/Service</v>
      </c>
      <c r="D6006" s="211" t="str">
        <f>'IWP19'!G$472</f>
        <v>Itemized Amount Paid by DADS</v>
      </c>
      <c r="E6006" s="211">
        <f>'IWP19'!H$472</f>
        <v>0</v>
      </c>
      <c r="F6006" s="211">
        <f>'IWP19'!I$472</f>
        <v>0</v>
      </c>
      <c r="G6006" s="191" t="str">
        <f>IF('IWP19'!J$472=0,"",'IWP19'!J$472)</f>
        <v/>
      </c>
      <c r="H6006" s="211">
        <f>'IWP19'!K$472</f>
        <v>0</v>
      </c>
      <c r="I6006" s="211">
        <f>'IWP19'!L$472</f>
        <v>0</v>
      </c>
      <c r="J6006" s="212">
        <f>'IWP19'!M$472</f>
        <v>0</v>
      </c>
      <c r="K6006" s="106"/>
      <c r="L6006" s="106"/>
      <c r="M6006" s="129"/>
    </row>
    <row r="6007" spans="1:13" s="146" customFormat="1">
      <c r="A6007" s="193" t="s">
        <v>517</v>
      </c>
      <c r="B6007" s="210">
        <v>8</v>
      </c>
      <c r="C6007" s="191" t="str">
        <f>IF('IWP19'!E$473=0,"",'IWP19'!E$473)</f>
        <v/>
      </c>
      <c r="D6007" s="211">
        <f>'IWP19'!G$473</f>
        <v>0</v>
      </c>
      <c r="E6007" s="211">
        <f>'IWP19'!H$473</f>
        <v>0</v>
      </c>
      <c r="F6007" s="211">
        <f>'IWP19'!I$473</f>
        <v>0</v>
      </c>
      <c r="G6007" s="191" t="str">
        <f>IF('IWP19'!J$473=0,"",'IWP19'!J$473)</f>
        <v/>
      </c>
      <c r="H6007" s="211">
        <f>'IWP19'!K$473</f>
        <v>0</v>
      </c>
      <c r="I6007" s="211">
        <f>'IWP19'!L$473</f>
        <v>0</v>
      </c>
      <c r="J6007" s="212">
        <f>'IWP19'!M$473</f>
        <v>0</v>
      </c>
      <c r="K6007" s="106"/>
      <c r="L6007" s="106"/>
      <c r="M6007" s="129"/>
    </row>
    <row r="6008" spans="1:13" s="146" customFormat="1">
      <c r="A6008" s="193" t="s">
        <v>517</v>
      </c>
      <c r="B6008" s="210">
        <v>8</v>
      </c>
      <c r="C6008" s="191" t="str">
        <f>IF('IWP19'!E$474=0,"",'IWP19'!E$474)</f>
        <v/>
      </c>
      <c r="D6008" s="211">
        <f>'IWP19'!G$474</f>
        <v>0</v>
      </c>
      <c r="E6008" s="211">
        <f>'IWP19'!H$474</f>
        <v>0</v>
      </c>
      <c r="F6008" s="211">
        <f>'IWP19'!I$474</f>
        <v>0</v>
      </c>
      <c r="G6008" s="191" t="str">
        <f>IF('IWP19'!J$474=0,"",'IWP19'!J$474)</f>
        <v/>
      </c>
      <c r="H6008" s="211">
        <f>'IWP19'!K$474</f>
        <v>0</v>
      </c>
      <c r="I6008" s="211">
        <f>'IWP19'!L$474</f>
        <v>0</v>
      </c>
      <c r="J6008" s="212">
        <f>'IWP19'!M$474</f>
        <v>0</v>
      </c>
      <c r="K6008" s="106"/>
      <c r="L6008" s="106"/>
      <c r="M6008" s="129"/>
    </row>
    <row r="6009" spans="1:13" s="146" customFormat="1">
      <c r="A6009" s="193" t="s">
        <v>517</v>
      </c>
      <c r="B6009" s="210">
        <v>8</v>
      </c>
      <c r="C6009" s="191" t="str">
        <f>IF('IWP19'!E$475=0,"",'IWP19'!E$475)</f>
        <v/>
      </c>
      <c r="D6009" s="211">
        <f>'IWP19'!G$475</f>
        <v>0</v>
      </c>
      <c r="E6009" s="211">
        <f>'IWP19'!H$475</f>
        <v>0</v>
      </c>
      <c r="F6009" s="211">
        <f>'IWP19'!I$475</f>
        <v>0</v>
      </c>
      <c r="G6009" s="191" t="str">
        <f>IF('IWP19'!J$475=0,"",'IWP19'!J$475)</f>
        <v/>
      </c>
      <c r="H6009" s="211">
        <f>'IWP19'!K$475</f>
        <v>0</v>
      </c>
      <c r="I6009" s="211">
        <f>'IWP19'!L$475</f>
        <v>0</v>
      </c>
      <c r="J6009" s="212">
        <f>'IWP19'!M$475</f>
        <v>0</v>
      </c>
      <c r="K6009" s="106"/>
      <c r="L6009" s="106"/>
      <c r="M6009" s="129"/>
    </row>
    <row r="6010" spans="1:13" s="146" customFormat="1">
      <c r="A6010" s="193" t="s">
        <v>517</v>
      </c>
      <c r="B6010" s="210">
        <v>8</v>
      </c>
      <c r="C6010" s="191" t="str">
        <f>IF('IWP19'!E$476=0,"",'IWP19'!E$476)</f>
        <v/>
      </c>
      <c r="D6010" s="211">
        <f>'IWP19'!G$476</f>
        <v>0</v>
      </c>
      <c r="E6010" s="211">
        <f>'IWP19'!H$476</f>
        <v>0</v>
      </c>
      <c r="F6010" s="211">
        <f>'IWP19'!I$476</f>
        <v>0</v>
      </c>
      <c r="G6010" s="191" t="str">
        <f>IF('IWP19'!J$476=0,"",'IWP19'!J$476)</f>
        <v/>
      </c>
      <c r="H6010" s="211">
        <f>'IWP19'!K$476</f>
        <v>0</v>
      </c>
      <c r="I6010" s="211">
        <f>'IWP19'!L$476</f>
        <v>0</v>
      </c>
      <c r="J6010" s="212">
        <f>'IWP19'!M$476</f>
        <v>0</v>
      </c>
      <c r="K6010" s="106"/>
      <c r="L6010" s="106"/>
      <c r="M6010" s="129"/>
    </row>
    <row r="6011" spans="1:13" s="146" customFormat="1">
      <c r="A6011" s="193" t="s">
        <v>517</v>
      </c>
      <c r="B6011" s="210">
        <v>9</v>
      </c>
      <c r="C6011" s="191" t="str">
        <f>IF('IWP19'!E$483=0,"",'IWP19'!E$483)</f>
        <v>Subtotal column D.</v>
      </c>
      <c r="D6011" s="211">
        <f>'IWP19'!G$483</f>
        <v>0</v>
      </c>
      <c r="E6011" s="211">
        <f>'IWP19'!H$483</f>
        <v>0</v>
      </c>
      <c r="F6011" s="211">
        <f>'IWP19'!I$483</f>
        <v>0</v>
      </c>
      <c r="G6011" s="191" t="str">
        <f>IF('IWP19'!J$483=0,"",'IWP19'!J$483)</f>
        <v/>
      </c>
      <c r="H6011" s="211">
        <f>'IWP19'!K$483</f>
        <v>0</v>
      </c>
      <c r="I6011" s="211">
        <f>'IWP19'!L$483</f>
        <v>0</v>
      </c>
      <c r="J6011" s="212">
        <f>'IWP19'!M$483</f>
        <v>0</v>
      </c>
      <c r="K6011" s="106"/>
      <c r="L6011" s="106"/>
      <c r="M6011" s="129"/>
    </row>
    <row r="6012" spans="1:13" s="146" customFormat="1">
      <c r="A6012" s="193" t="s">
        <v>517</v>
      </c>
      <c r="B6012" s="210">
        <v>9</v>
      </c>
      <c r="C6012" s="191" t="str">
        <f>IF('IWP19'!E$484=0,"",'IWP19'!E$484)</f>
        <v>Unverified/Undocumented (Subtotal D - C)</v>
      </c>
      <c r="D6012" s="211">
        <f>'IWP19'!G$484</f>
        <v>0</v>
      </c>
      <c r="E6012" s="211">
        <f>'IWP19'!H$484</f>
        <v>0</v>
      </c>
      <c r="F6012" s="211">
        <f>'IWP19'!I$484</f>
        <v>0</v>
      </c>
      <c r="G6012" s="191" t="str">
        <f>IF('IWP19'!J$484=0,"",'IWP19'!J$484)</f>
        <v/>
      </c>
      <c r="H6012" s="211">
        <f>'IWP19'!K$484</f>
        <v>0</v>
      </c>
      <c r="I6012" s="211">
        <f>'IWP19'!L$484</f>
        <v>0</v>
      </c>
      <c r="J6012" s="212">
        <f>'IWP19'!M$484</f>
        <v>0</v>
      </c>
      <c r="K6012" s="106"/>
      <c r="L6012" s="106"/>
      <c r="M6012" s="129"/>
    </row>
    <row r="6013" spans="1:13" s="146" customFormat="1">
      <c r="A6013" s="193" t="s">
        <v>517</v>
      </c>
      <c r="B6013" s="210">
        <v>9</v>
      </c>
      <c r="C6013" s="191" t="str">
        <f>IF('IWP19'!E$485=0,"",'IWP19'!E$485)</f>
        <v>J. Billing Period Total</v>
      </c>
      <c r="D6013" s="211">
        <f>'IWP19'!G$485</f>
        <v>0</v>
      </c>
      <c r="E6013" s="211">
        <f>'IWP19'!H$485</f>
        <v>0</v>
      </c>
      <c r="F6013" s="211">
        <f>'IWP19'!I$485</f>
        <v>0</v>
      </c>
      <c r="G6013" s="191" t="str">
        <f>IF('IWP19'!J$485=0,"",'IWP19'!J$485)</f>
        <v/>
      </c>
      <c r="H6013" s="211">
        <f>'IWP19'!K$485</f>
        <v>0</v>
      </c>
      <c r="I6013" s="211">
        <f>'IWP19'!L$485</f>
        <v>0</v>
      </c>
      <c r="J6013" s="212">
        <f>'IWP19'!M$485</f>
        <v>0</v>
      </c>
      <c r="K6013" s="106"/>
      <c r="L6013" s="106"/>
      <c r="M6013" s="129"/>
    </row>
    <row r="6014" spans="1:13" s="146" customFormat="1">
      <c r="A6014" s="193" t="s">
        <v>517</v>
      </c>
      <c r="B6014" s="210">
        <v>9</v>
      </c>
      <c r="C6014" s="191" t="str">
        <f>IF('IWP19'!E$486=0,"",'IWP19'!E$486)</f>
        <v>D.</v>
      </c>
      <c r="D6014" s="211">
        <f>'IWP19'!G$486</f>
        <v>0</v>
      </c>
      <c r="E6014" s="211" t="str">
        <f>'IWP19'!H$486</f>
        <v>E.</v>
      </c>
      <c r="F6014" s="211" t="str">
        <f>'IWP19'!I$486</f>
        <v>F.</v>
      </c>
      <c r="G6014" s="191" t="str">
        <f>IF('IWP19'!J$486=0,"",'IWP19'!J$486)</f>
        <v>G.</v>
      </c>
      <c r="H6014" s="211">
        <f>'IWP19'!K$486</f>
        <v>0</v>
      </c>
      <c r="I6014" s="211" t="str">
        <f>'IWP19'!L$486</f>
        <v>H.</v>
      </c>
      <c r="J6014" s="212" t="str">
        <f>'IWP19'!M$486</f>
        <v>I.</v>
      </c>
      <c r="K6014" s="106"/>
      <c r="L6014" s="106"/>
      <c r="M6014" s="129"/>
    </row>
    <row r="6015" spans="1:13" s="146" customFormat="1">
      <c r="A6015" s="193" t="s">
        <v>517</v>
      </c>
      <c r="B6015" s="210">
        <v>9</v>
      </c>
      <c r="C6015" s="191" t="str">
        <f>IF('IWP19'!E$487=0,"",'IWP19'!E$487)</f>
        <v xml:space="preserve">Items/Services Related to Billing Period </v>
      </c>
      <c r="D6015" s="211">
        <f>'IWP19'!G$487</f>
        <v>0</v>
      </c>
      <c r="E6015" s="211" t="str">
        <f>'IWP19'!H$487</f>
        <v xml:space="preserve">Item/
Service Verified Amounts
</v>
      </c>
      <c r="F6015" s="211" t="str">
        <f>'IWP19'!I$487</f>
        <v>Amount Due to DADS (E. - D.)</v>
      </c>
      <c r="G6015" s="191" t="str">
        <f>IF('IWP19'!J$487=0,"",'IWP19'!J$487)</f>
        <v>Amount Reimbursed to 
Employee(s)/Employer</v>
      </c>
      <c r="H6015" s="211">
        <f>'IWP19'!K$487</f>
        <v>0</v>
      </c>
      <c r="I6015" s="211" t="str">
        <f>'IWP19'!L$487</f>
        <v>Amount Due to Employee(s) (G. - E.)</v>
      </c>
      <c r="J6015" s="212" t="str">
        <f>'IWP19'!M$487</f>
        <v>Amount Due to Employer (G. - E.)</v>
      </c>
      <c r="K6015" s="106"/>
      <c r="L6015" s="106"/>
      <c r="M6015" s="129"/>
    </row>
    <row r="6016" spans="1:13" s="146" customFormat="1">
      <c r="A6016" s="193" t="s">
        <v>517</v>
      </c>
      <c r="B6016" s="210">
        <v>9</v>
      </c>
      <c r="C6016" s="191" t="str">
        <f>IF('IWP19'!E$488=0,"",'IWP19'!E$488)</f>
        <v>Item/Service</v>
      </c>
      <c r="D6016" s="211" t="str">
        <f>'IWP19'!G$488</f>
        <v>Itemized Amount Paid by DADS</v>
      </c>
      <c r="E6016" s="211">
        <f>'IWP19'!H$488</f>
        <v>0</v>
      </c>
      <c r="F6016" s="211">
        <f>'IWP19'!I$488</f>
        <v>0</v>
      </c>
      <c r="G6016" s="191" t="str">
        <f>IF('IWP19'!J$488=0,"",'IWP19'!J$488)</f>
        <v/>
      </c>
      <c r="H6016" s="211">
        <f>'IWP19'!K$488</f>
        <v>0</v>
      </c>
      <c r="I6016" s="211">
        <f>'IWP19'!L$488</f>
        <v>0</v>
      </c>
      <c r="J6016" s="212">
        <f>'IWP19'!M$488</f>
        <v>0</v>
      </c>
      <c r="K6016" s="106"/>
      <c r="L6016" s="106"/>
      <c r="M6016" s="129"/>
    </row>
    <row r="6017" spans="1:13" s="146" customFormat="1">
      <c r="A6017" s="193" t="s">
        <v>517</v>
      </c>
      <c r="B6017" s="210">
        <v>9</v>
      </c>
      <c r="C6017" s="191" t="str">
        <f>IF('IWP19'!E$489=0,"",'IWP19'!E$489)</f>
        <v/>
      </c>
      <c r="D6017" s="211">
        <f>'IWP19'!G$489</f>
        <v>0</v>
      </c>
      <c r="E6017" s="211">
        <f>'IWP19'!H$489</f>
        <v>0</v>
      </c>
      <c r="F6017" s="211">
        <f>'IWP19'!I$489</f>
        <v>0</v>
      </c>
      <c r="G6017" s="191" t="str">
        <f>IF('IWP19'!J$489=0,"",'IWP19'!J$489)</f>
        <v/>
      </c>
      <c r="H6017" s="211">
        <f>'IWP19'!K$489</f>
        <v>0</v>
      </c>
      <c r="I6017" s="211">
        <f>'IWP19'!L$489</f>
        <v>0</v>
      </c>
      <c r="J6017" s="212">
        <f>'IWP19'!M$489</f>
        <v>0</v>
      </c>
      <c r="K6017" s="106"/>
      <c r="L6017" s="106"/>
      <c r="M6017" s="129"/>
    </row>
    <row r="6018" spans="1:13" s="146" customFormat="1">
      <c r="A6018" s="193" t="s">
        <v>517</v>
      </c>
      <c r="B6018" s="210">
        <v>9</v>
      </c>
      <c r="C6018" s="191" t="str">
        <f>IF('IWP19'!E$490=0,"",'IWP19'!E$490)</f>
        <v/>
      </c>
      <c r="D6018" s="211">
        <f>'IWP19'!G$490</f>
        <v>0</v>
      </c>
      <c r="E6018" s="211">
        <f>'IWP19'!H$490</f>
        <v>0</v>
      </c>
      <c r="F6018" s="211">
        <f>'IWP19'!I$490</f>
        <v>0</v>
      </c>
      <c r="G6018" s="191" t="str">
        <f>IF('IWP19'!J$490=0,"",'IWP19'!J$490)</f>
        <v/>
      </c>
      <c r="H6018" s="211">
        <f>'IWP19'!K$490</f>
        <v>0</v>
      </c>
      <c r="I6018" s="211">
        <f>'IWP19'!L$490</f>
        <v>0</v>
      </c>
      <c r="J6018" s="212">
        <f>'IWP19'!M$490</f>
        <v>0</v>
      </c>
      <c r="K6018" s="106"/>
      <c r="L6018" s="106"/>
      <c r="M6018" s="129"/>
    </row>
    <row r="6019" spans="1:13" s="146" customFormat="1">
      <c r="A6019" s="193" t="s">
        <v>517</v>
      </c>
      <c r="B6019" s="210">
        <v>9</v>
      </c>
      <c r="C6019" s="191" t="str">
        <f>IF('IWP19'!E$491=0,"",'IWP19'!E$491)</f>
        <v/>
      </c>
      <c r="D6019" s="211">
        <f>'IWP19'!G$491</f>
        <v>0</v>
      </c>
      <c r="E6019" s="211">
        <f>'IWP19'!H$491</f>
        <v>0</v>
      </c>
      <c r="F6019" s="211">
        <f>'IWP19'!I$491</f>
        <v>0</v>
      </c>
      <c r="G6019" s="191" t="str">
        <f>IF('IWP19'!J$491=0,"",'IWP19'!J$491)</f>
        <v/>
      </c>
      <c r="H6019" s="211">
        <f>'IWP19'!K$491</f>
        <v>0</v>
      </c>
      <c r="I6019" s="211">
        <f>'IWP19'!L$491</f>
        <v>0</v>
      </c>
      <c r="J6019" s="212">
        <f>'IWP19'!M$491</f>
        <v>0</v>
      </c>
      <c r="K6019" s="106"/>
      <c r="L6019" s="106"/>
      <c r="M6019" s="129"/>
    </row>
    <row r="6020" spans="1:13" s="146" customFormat="1">
      <c r="A6020" s="193" t="s">
        <v>517</v>
      </c>
      <c r="B6020" s="210">
        <v>9</v>
      </c>
      <c r="C6020" s="191" t="str">
        <f>IF('IWP19'!E$492=0,"",'IWP19'!E$492)</f>
        <v/>
      </c>
      <c r="D6020" s="211">
        <f>'IWP19'!G$492</f>
        <v>0</v>
      </c>
      <c r="E6020" s="211">
        <f>'IWP19'!H$492</f>
        <v>0</v>
      </c>
      <c r="F6020" s="211">
        <f>'IWP19'!I$492</f>
        <v>0</v>
      </c>
      <c r="G6020" s="191" t="str">
        <f>IF('IWP19'!J$492=0,"",'IWP19'!J$492)</f>
        <v/>
      </c>
      <c r="H6020" s="211">
        <f>'IWP19'!K$492</f>
        <v>0</v>
      </c>
      <c r="I6020" s="211">
        <f>'IWP19'!L$492</f>
        <v>0</v>
      </c>
      <c r="J6020" s="212">
        <f>'IWP19'!M$492</f>
        <v>0</v>
      </c>
      <c r="K6020" s="106"/>
      <c r="L6020" s="106"/>
      <c r="M6020" s="129"/>
    </row>
    <row r="6021" spans="1:13" s="146" customFormat="1">
      <c r="A6021" s="193" t="s">
        <v>517</v>
      </c>
      <c r="B6021" s="210">
        <v>10</v>
      </c>
      <c r="C6021" s="191" t="str">
        <f>IF('IWP19'!E$499=0,"",'IWP19'!E$499)</f>
        <v>Subtotal column D.</v>
      </c>
      <c r="D6021" s="211">
        <f>'IWP19'!G$499</f>
        <v>0</v>
      </c>
      <c r="E6021" s="211">
        <f>'IWP19'!H$499</f>
        <v>0</v>
      </c>
      <c r="F6021" s="211">
        <f>'IWP19'!I$499</f>
        <v>0</v>
      </c>
      <c r="G6021" s="191" t="str">
        <f>IF('IWP19'!J$499=0,"",'IWP19'!J$499)</f>
        <v/>
      </c>
      <c r="H6021" s="211">
        <f>'IWP19'!K$499</f>
        <v>0</v>
      </c>
      <c r="I6021" s="211">
        <f>'IWP19'!L$499</f>
        <v>0</v>
      </c>
      <c r="J6021" s="212">
        <f>'IWP19'!M$499</f>
        <v>0</v>
      </c>
      <c r="K6021" s="106"/>
      <c r="L6021" s="106"/>
      <c r="M6021" s="129"/>
    </row>
    <row r="6022" spans="1:13" s="146" customFormat="1">
      <c r="A6022" s="193" t="s">
        <v>517</v>
      </c>
      <c r="B6022" s="210">
        <v>10</v>
      </c>
      <c r="C6022" s="191" t="str">
        <f>IF('IWP19'!E$500=0,"",'IWP19'!E$500)</f>
        <v>Unverified/Undocumented (Subtotal D - C)</v>
      </c>
      <c r="D6022" s="211">
        <f>'IWP19'!G$500</f>
        <v>0</v>
      </c>
      <c r="E6022" s="211">
        <f>'IWP19'!H$500</f>
        <v>0</v>
      </c>
      <c r="F6022" s="211">
        <f>'IWP19'!I$500</f>
        <v>0</v>
      </c>
      <c r="G6022" s="191" t="str">
        <f>IF('IWP19'!J$500=0,"",'IWP19'!J$500)</f>
        <v/>
      </c>
      <c r="H6022" s="211">
        <f>'IWP19'!K$500</f>
        <v>0</v>
      </c>
      <c r="I6022" s="211">
        <f>'IWP19'!L$500</f>
        <v>0</v>
      </c>
      <c r="J6022" s="212">
        <f>'IWP19'!M$500</f>
        <v>0</v>
      </c>
      <c r="K6022" s="106"/>
      <c r="L6022" s="106"/>
      <c r="M6022" s="129"/>
    </row>
    <row r="6023" spans="1:13" s="146" customFormat="1">
      <c r="A6023" s="193" t="s">
        <v>517</v>
      </c>
      <c r="B6023" s="210">
        <v>10</v>
      </c>
      <c r="C6023" s="191" t="str">
        <f>IF('IWP19'!E$501=0,"",'IWP19'!E$501)</f>
        <v>J. Billing Period Total</v>
      </c>
      <c r="D6023" s="211">
        <f>'IWP19'!G$501</f>
        <v>0</v>
      </c>
      <c r="E6023" s="211">
        <f>'IWP19'!H$501</f>
        <v>0</v>
      </c>
      <c r="F6023" s="211">
        <f>'IWP19'!I$501</f>
        <v>0</v>
      </c>
      <c r="G6023" s="191" t="str">
        <f>IF('IWP19'!J$501=0,"",'IWP19'!J$501)</f>
        <v/>
      </c>
      <c r="H6023" s="211">
        <f>'IWP19'!K$501</f>
        <v>0</v>
      </c>
      <c r="I6023" s="211">
        <f>'IWP19'!L$501</f>
        <v>0</v>
      </c>
      <c r="J6023" s="212">
        <f>'IWP19'!M$501</f>
        <v>0</v>
      </c>
      <c r="K6023" s="106"/>
      <c r="L6023" s="106"/>
      <c r="M6023" s="129"/>
    </row>
    <row r="6024" spans="1:13" s="146" customFormat="1">
      <c r="A6024" s="193" t="s">
        <v>517</v>
      </c>
      <c r="B6024" s="210">
        <v>10</v>
      </c>
      <c r="C6024" s="191" t="str">
        <f>IF('IWP19'!E$502=0,"",'IWP19'!E$502)</f>
        <v>D.</v>
      </c>
      <c r="D6024" s="211">
        <f>'IWP19'!G$502</f>
        <v>0</v>
      </c>
      <c r="E6024" s="211" t="str">
        <f>'IWP19'!H$502</f>
        <v>E.</v>
      </c>
      <c r="F6024" s="211" t="str">
        <f>'IWP19'!I$502</f>
        <v>F.</v>
      </c>
      <c r="G6024" s="191" t="str">
        <f>IF('IWP19'!J$502=0,"",'IWP19'!J$502)</f>
        <v>G.</v>
      </c>
      <c r="H6024" s="211">
        <f>'IWP19'!K$502</f>
        <v>0</v>
      </c>
      <c r="I6024" s="211" t="str">
        <f>'IWP19'!L$502</f>
        <v>H.</v>
      </c>
      <c r="J6024" s="212" t="str">
        <f>'IWP19'!M$502</f>
        <v>I.</v>
      </c>
      <c r="K6024" s="106"/>
      <c r="L6024" s="106"/>
      <c r="M6024" s="129"/>
    </row>
    <row r="6025" spans="1:13" s="146" customFormat="1">
      <c r="A6025" s="193" t="s">
        <v>517</v>
      </c>
      <c r="B6025" s="210">
        <v>10</v>
      </c>
      <c r="C6025" s="191" t="str">
        <f>IF('IWP19'!E$503=0,"",'IWP19'!E$503)</f>
        <v xml:space="preserve">Items/Services Related to Billing Period </v>
      </c>
      <c r="D6025" s="211">
        <f>'IWP19'!G$503</f>
        <v>0</v>
      </c>
      <c r="E6025" s="211" t="str">
        <f>'IWP19'!H$503</f>
        <v xml:space="preserve">Item/
Service Verified Amounts
</v>
      </c>
      <c r="F6025" s="211" t="str">
        <f>'IWP19'!I$503</f>
        <v>Amount Due to DADS (E. - D.)</v>
      </c>
      <c r="G6025" s="191" t="str">
        <f>IF('IWP19'!J$503=0,"",'IWP19'!J$503)</f>
        <v>Amount Reimbursed to 
Employee(s)/Employer</v>
      </c>
      <c r="H6025" s="211">
        <f>'IWP19'!K$503</f>
        <v>0</v>
      </c>
      <c r="I6025" s="211" t="str">
        <f>'IWP19'!L$503</f>
        <v>Amount Due to Employee(s) (G. - E.)</v>
      </c>
      <c r="J6025" s="212" t="str">
        <f>'IWP19'!M$503</f>
        <v>Amount Due to Employer (G. - E.)</v>
      </c>
      <c r="K6025" s="106"/>
      <c r="L6025" s="106"/>
      <c r="M6025" s="129"/>
    </row>
    <row r="6026" spans="1:13" s="146" customFormat="1">
      <c r="A6026" s="193" t="s">
        <v>517</v>
      </c>
      <c r="B6026" s="210">
        <v>10</v>
      </c>
      <c r="C6026" s="191" t="str">
        <f>IF('IWP19'!E$504=0,"",'IWP19'!E$504)</f>
        <v>Item/Service</v>
      </c>
      <c r="D6026" s="211" t="str">
        <f>'IWP19'!G$504</f>
        <v>Itemized Amount Paid by DADS</v>
      </c>
      <c r="E6026" s="211">
        <f>'IWP19'!H$504</f>
        <v>0</v>
      </c>
      <c r="F6026" s="211">
        <f>'IWP19'!I$504</f>
        <v>0</v>
      </c>
      <c r="G6026" s="191" t="str">
        <f>IF('IWP19'!J$504=0,"",'IWP19'!J$504)</f>
        <v/>
      </c>
      <c r="H6026" s="211">
        <f>'IWP19'!K$504</f>
        <v>0</v>
      </c>
      <c r="I6026" s="211">
        <f>'IWP19'!L$504</f>
        <v>0</v>
      </c>
      <c r="J6026" s="212">
        <f>'IWP19'!M$504</f>
        <v>0</v>
      </c>
      <c r="K6026" s="106"/>
      <c r="L6026" s="106"/>
      <c r="M6026" s="129"/>
    </row>
    <row r="6027" spans="1:13" s="146" customFormat="1">
      <c r="A6027" s="193" t="s">
        <v>517</v>
      </c>
      <c r="B6027" s="210">
        <v>10</v>
      </c>
      <c r="C6027" s="191" t="str">
        <f>IF('IWP19'!E$505=0,"",'IWP19'!E$505)</f>
        <v/>
      </c>
      <c r="D6027" s="211">
        <f>'IWP19'!G$505</f>
        <v>0</v>
      </c>
      <c r="E6027" s="211">
        <f>'IWP19'!H$505</f>
        <v>0</v>
      </c>
      <c r="F6027" s="211">
        <f>'IWP19'!I$505</f>
        <v>0</v>
      </c>
      <c r="G6027" s="191" t="str">
        <f>IF('IWP19'!J$505=0,"",'IWP19'!J$505)</f>
        <v/>
      </c>
      <c r="H6027" s="211">
        <f>'IWP19'!K$505</f>
        <v>0</v>
      </c>
      <c r="I6027" s="211">
        <f>'IWP19'!L$505</f>
        <v>0</v>
      </c>
      <c r="J6027" s="212">
        <f>'IWP19'!M$505</f>
        <v>0</v>
      </c>
      <c r="K6027" s="106"/>
      <c r="L6027" s="106"/>
      <c r="M6027" s="129"/>
    </row>
    <row r="6028" spans="1:13" s="146" customFormat="1">
      <c r="A6028" s="193" t="s">
        <v>517</v>
      </c>
      <c r="B6028" s="210">
        <v>10</v>
      </c>
      <c r="C6028" s="191" t="str">
        <f>IF('IWP19'!E$506=0,"",'IWP19'!E$506)</f>
        <v/>
      </c>
      <c r="D6028" s="211">
        <f>'IWP19'!G$506</f>
        <v>0</v>
      </c>
      <c r="E6028" s="211">
        <f>'IWP19'!H$506</f>
        <v>0</v>
      </c>
      <c r="F6028" s="211">
        <f>'IWP19'!I$506</f>
        <v>0</v>
      </c>
      <c r="G6028" s="191" t="str">
        <f>IF('IWP19'!J$506=0,"",'IWP19'!J$506)</f>
        <v/>
      </c>
      <c r="H6028" s="211">
        <f>'IWP19'!K$506</f>
        <v>0</v>
      </c>
      <c r="I6028" s="211">
        <f>'IWP19'!L$506</f>
        <v>0</v>
      </c>
      <c r="J6028" s="212">
        <f>'IWP19'!M$506</f>
        <v>0</v>
      </c>
      <c r="K6028" s="106"/>
      <c r="L6028" s="106"/>
      <c r="M6028" s="129"/>
    </row>
    <row r="6029" spans="1:13" s="146" customFormat="1">
      <c r="A6029" s="193" t="s">
        <v>517</v>
      </c>
      <c r="B6029" s="210">
        <v>10</v>
      </c>
      <c r="C6029" s="191" t="str">
        <f>IF('IWP19'!E$507=0,"",'IWP19'!E$507)</f>
        <v/>
      </c>
      <c r="D6029" s="211">
        <f>'IWP19'!G$507</f>
        <v>0</v>
      </c>
      <c r="E6029" s="211">
        <f>'IWP19'!H$507</f>
        <v>0</v>
      </c>
      <c r="F6029" s="211">
        <f>'IWP19'!I$507</f>
        <v>0</v>
      </c>
      <c r="G6029" s="191" t="str">
        <f>IF('IWP19'!J$507=0,"",'IWP19'!J$507)</f>
        <v/>
      </c>
      <c r="H6029" s="211">
        <f>'IWP19'!K$507</f>
        <v>0</v>
      </c>
      <c r="I6029" s="211">
        <f>'IWP19'!L$507</f>
        <v>0</v>
      </c>
      <c r="J6029" s="212">
        <f>'IWP19'!M$507</f>
        <v>0</v>
      </c>
      <c r="K6029" s="106"/>
      <c r="L6029" s="106"/>
      <c r="M6029" s="129"/>
    </row>
    <row r="6030" spans="1:13" s="146" customFormat="1">
      <c r="A6030" s="193" t="s">
        <v>517</v>
      </c>
      <c r="B6030" s="210">
        <v>10</v>
      </c>
      <c r="C6030" s="191" t="str">
        <f>IF('IWP19'!E$508=0,"",'IWP19'!E$508)</f>
        <v/>
      </c>
      <c r="D6030" s="211">
        <f>'IWP19'!G$508</f>
        <v>0</v>
      </c>
      <c r="E6030" s="211">
        <f>'IWP19'!H$508</f>
        <v>0</v>
      </c>
      <c r="F6030" s="211">
        <f>'IWP19'!I$508</f>
        <v>0</v>
      </c>
      <c r="G6030" s="191" t="str">
        <f>IF('IWP19'!J$508=0,"",'IWP19'!J$508)</f>
        <v/>
      </c>
      <c r="H6030" s="211">
        <f>'IWP19'!K$508</f>
        <v>0</v>
      </c>
      <c r="I6030" s="211">
        <f>'IWP19'!L$508</f>
        <v>0</v>
      </c>
      <c r="J6030" s="212">
        <f>'IWP19'!M$508</f>
        <v>0</v>
      </c>
      <c r="K6030" s="106"/>
      <c r="L6030" s="106"/>
      <c r="M6030" s="129"/>
    </row>
    <row r="6031" spans="1:13" s="146" customFormat="1">
      <c r="A6031" s="193" t="s">
        <v>517</v>
      </c>
      <c r="B6031" s="210">
        <v>11</v>
      </c>
      <c r="C6031" s="191" t="str">
        <f>IF('IWP19'!E$515=0,"",'IWP19'!E$515)</f>
        <v>Subtotal column D.</v>
      </c>
      <c r="D6031" s="211">
        <f>'IWP19'!G$515</f>
        <v>0</v>
      </c>
      <c r="E6031" s="211">
        <f>'IWP19'!H$515</f>
        <v>0</v>
      </c>
      <c r="F6031" s="211">
        <f>'IWP19'!I$515</f>
        <v>0</v>
      </c>
      <c r="G6031" s="191" t="str">
        <f>IF('IWP19'!J$515=0,"",'IWP19'!J$515)</f>
        <v/>
      </c>
      <c r="H6031" s="211">
        <f>'IWP19'!K$515</f>
        <v>0</v>
      </c>
      <c r="I6031" s="211">
        <f>'IWP19'!L$515</f>
        <v>0</v>
      </c>
      <c r="J6031" s="212">
        <f>'IWP19'!M$515</f>
        <v>0</v>
      </c>
      <c r="K6031" s="106"/>
      <c r="L6031" s="106"/>
      <c r="M6031" s="129"/>
    </row>
    <row r="6032" spans="1:13" s="146" customFormat="1">
      <c r="A6032" s="193" t="s">
        <v>517</v>
      </c>
      <c r="B6032" s="210">
        <v>11</v>
      </c>
      <c r="C6032" s="191" t="str">
        <f>IF('IWP19'!E$516=0,"",'IWP19'!E$516)</f>
        <v>Unverified/Undocumented (Subtotal D - C)</v>
      </c>
      <c r="D6032" s="211">
        <f>'IWP19'!G$516</f>
        <v>0</v>
      </c>
      <c r="E6032" s="211">
        <f>'IWP19'!H$516</f>
        <v>0</v>
      </c>
      <c r="F6032" s="211">
        <f>'IWP19'!I$516</f>
        <v>0</v>
      </c>
      <c r="G6032" s="191" t="str">
        <f>IF('IWP19'!J$516=0,"",'IWP19'!J$516)</f>
        <v/>
      </c>
      <c r="H6032" s="211">
        <f>'IWP19'!K$516</f>
        <v>0</v>
      </c>
      <c r="I6032" s="211">
        <f>'IWP19'!L$516</f>
        <v>0</v>
      </c>
      <c r="J6032" s="212">
        <f>'IWP19'!M$516</f>
        <v>0</v>
      </c>
      <c r="K6032" s="106"/>
      <c r="L6032" s="106"/>
      <c r="M6032" s="129"/>
    </row>
    <row r="6033" spans="1:13" s="146" customFormat="1">
      <c r="A6033" s="193" t="s">
        <v>517</v>
      </c>
      <c r="B6033" s="210">
        <v>11</v>
      </c>
      <c r="C6033" s="191" t="str">
        <f>IF('IWP19'!E$517=0,"",'IWP19'!E$517)</f>
        <v>J. Billing Period Total</v>
      </c>
      <c r="D6033" s="211">
        <f>'IWP19'!G$517</f>
        <v>0</v>
      </c>
      <c r="E6033" s="211">
        <f>'IWP19'!H$517</f>
        <v>0</v>
      </c>
      <c r="F6033" s="211">
        <f>'IWP19'!I$517</f>
        <v>0</v>
      </c>
      <c r="G6033" s="191" t="str">
        <f>IF('IWP19'!J$517=0,"",'IWP19'!J$517)</f>
        <v/>
      </c>
      <c r="H6033" s="211">
        <f>'IWP19'!K$517</f>
        <v>0</v>
      </c>
      <c r="I6033" s="211">
        <f>'IWP19'!L$517</f>
        <v>0</v>
      </c>
      <c r="J6033" s="212">
        <f>'IWP19'!M$517</f>
        <v>0</v>
      </c>
      <c r="K6033" s="106"/>
      <c r="L6033" s="106"/>
      <c r="M6033" s="129"/>
    </row>
    <row r="6034" spans="1:13" s="146" customFormat="1">
      <c r="A6034" s="193" t="s">
        <v>517</v>
      </c>
      <c r="B6034" s="210">
        <v>11</v>
      </c>
      <c r="C6034" s="191" t="str">
        <f>IF('IWP19'!E$518=0,"",'IWP19'!E$518)</f>
        <v>D.</v>
      </c>
      <c r="D6034" s="211">
        <f>'IWP19'!G$518</f>
        <v>0</v>
      </c>
      <c r="E6034" s="211" t="str">
        <f>'IWP19'!H$518</f>
        <v>E.</v>
      </c>
      <c r="F6034" s="211" t="str">
        <f>'IWP19'!I$518</f>
        <v>F.</v>
      </c>
      <c r="G6034" s="191" t="str">
        <f>IF('IWP19'!J$518=0,"",'IWP19'!J$518)</f>
        <v>G.</v>
      </c>
      <c r="H6034" s="211">
        <f>'IWP19'!K$518</f>
        <v>0</v>
      </c>
      <c r="I6034" s="211" t="str">
        <f>'IWP19'!L$518</f>
        <v>H.</v>
      </c>
      <c r="J6034" s="212" t="str">
        <f>'IWP19'!M$518</f>
        <v>I.</v>
      </c>
      <c r="K6034" s="106"/>
      <c r="L6034" s="106"/>
      <c r="M6034" s="129"/>
    </row>
    <row r="6035" spans="1:13" s="146" customFormat="1">
      <c r="A6035" s="193" t="s">
        <v>517</v>
      </c>
      <c r="B6035" s="210">
        <v>11</v>
      </c>
      <c r="C6035" s="191" t="str">
        <f>IF('IWP19'!E$519=0,"",'IWP19'!E$519)</f>
        <v xml:space="preserve">Items/Services Related to Billing Period </v>
      </c>
      <c r="D6035" s="211">
        <f>'IWP19'!G$519</f>
        <v>0</v>
      </c>
      <c r="E6035" s="211" t="str">
        <f>'IWP19'!H$519</f>
        <v xml:space="preserve">Item/
Service Verified Amounts
</v>
      </c>
      <c r="F6035" s="211" t="str">
        <f>'IWP19'!I$519</f>
        <v>Amount Due to DADS (E. - D.)</v>
      </c>
      <c r="G6035" s="191" t="str">
        <f>IF('IWP19'!J$519=0,"",'IWP19'!J$519)</f>
        <v>Amount Reimbursed to 
Employee(s)/Employer</v>
      </c>
      <c r="H6035" s="211">
        <f>'IWP19'!K$519</f>
        <v>0</v>
      </c>
      <c r="I6035" s="211" t="str">
        <f>'IWP19'!L$519</f>
        <v>Amount Due to Employee(s) (G. - E.)</v>
      </c>
      <c r="J6035" s="212" t="str">
        <f>'IWP19'!M$519</f>
        <v>Amount Due to Employer (G. - E.)</v>
      </c>
      <c r="K6035" s="106"/>
      <c r="L6035" s="106"/>
      <c r="M6035" s="129"/>
    </row>
    <row r="6036" spans="1:13" s="146" customFormat="1">
      <c r="A6036" s="193" t="s">
        <v>517</v>
      </c>
      <c r="B6036" s="210">
        <v>11</v>
      </c>
      <c r="C6036" s="191" t="str">
        <f>IF('IWP19'!E$520=0,"",'IWP19'!E$520)</f>
        <v>Item/Service</v>
      </c>
      <c r="D6036" s="211" t="str">
        <f>'IWP19'!G$520</f>
        <v>Itemized Amount Paid by DADS</v>
      </c>
      <c r="E6036" s="211">
        <f>'IWP19'!H$520</f>
        <v>0</v>
      </c>
      <c r="F6036" s="211">
        <f>'IWP19'!I$520</f>
        <v>0</v>
      </c>
      <c r="G6036" s="191" t="str">
        <f>IF('IWP19'!J$520=0,"",'IWP19'!J$520)</f>
        <v/>
      </c>
      <c r="H6036" s="211">
        <f>'IWP19'!K$520</f>
        <v>0</v>
      </c>
      <c r="I6036" s="211">
        <f>'IWP19'!L$520</f>
        <v>0</v>
      </c>
      <c r="J6036" s="212">
        <f>'IWP19'!M$520</f>
        <v>0</v>
      </c>
      <c r="K6036" s="106"/>
      <c r="L6036" s="106"/>
      <c r="M6036" s="129"/>
    </row>
    <row r="6037" spans="1:13" s="146" customFormat="1">
      <c r="A6037" s="193" t="s">
        <v>517</v>
      </c>
      <c r="B6037" s="210">
        <v>11</v>
      </c>
      <c r="C6037" s="191" t="str">
        <f>IF('IWP19'!E$521=0,"",'IWP19'!E$521)</f>
        <v/>
      </c>
      <c r="D6037" s="211">
        <f>'IWP19'!G$521</f>
        <v>0</v>
      </c>
      <c r="E6037" s="211">
        <f>'IWP19'!H$521</f>
        <v>0</v>
      </c>
      <c r="F6037" s="211">
        <f>'IWP19'!I$521</f>
        <v>0</v>
      </c>
      <c r="G6037" s="191" t="str">
        <f>IF('IWP19'!J$521=0,"",'IWP19'!J$521)</f>
        <v/>
      </c>
      <c r="H6037" s="211">
        <f>'IWP19'!K$521</f>
        <v>0</v>
      </c>
      <c r="I6037" s="211">
        <f>'IWP19'!L$521</f>
        <v>0</v>
      </c>
      <c r="J6037" s="212">
        <f>'IWP19'!M$521</f>
        <v>0</v>
      </c>
      <c r="K6037" s="106"/>
      <c r="L6037" s="106"/>
      <c r="M6037" s="129"/>
    </row>
    <row r="6038" spans="1:13" s="146" customFormat="1">
      <c r="A6038" s="193" t="s">
        <v>517</v>
      </c>
      <c r="B6038" s="210">
        <v>11</v>
      </c>
      <c r="C6038" s="191" t="str">
        <f>IF('IWP19'!E$522=0,"",'IWP19'!E$522)</f>
        <v/>
      </c>
      <c r="D6038" s="211">
        <f>'IWP19'!G$522</f>
        <v>0</v>
      </c>
      <c r="E6038" s="211">
        <f>'IWP19'!H$522</f>
        <v>0</v>
      </c>
      <c r="F6038" s="211">
        <f>'IWP19'!I$522</f>
        <v>0</v>
      </c>
      <c r="G6038" s="191" t="str">
        <f>IF('IWP19'!J$522=0,"",'IWP19'!J$522)</f>
        <v/>
      </c>
      <c r="H6038" s="211">
        <f>'IWP19'!K$522</f>
        <v>0</v>
      </c>
      <c r="I6038" s="211">
        <f>'IWP19'!L$522</f>
        <v>0</v>
      </c>
      <c r="J6038" s="212">
        <f>'IWP19'!M$522</f>
        <v>0</v>
      </c>
      <c r="K6038" s="106"/>
      <c r="L6038" s="106"/>
      <c r="M6038" s="129"/>
    </row>
    <row r="6039" spans="1:13" s="146" customFormat="1">
      <c r="A6039" s="193" t="s">
        <v>517</v>
      </c>
      <c r="B6039" s="210">
        <v>11</v>
      </c>
      <c r="C6039" s="191" t="str">
        <f>IF('IWP19'!E$523=0,"",'IWP19'!E$523)</f>
        <v/>
      </c>
      <c r="D6039" s="211">
        <f>'IWP19'!G$523</f>
        <v>0</v>
      </c>
      <c r="E6039" s="211">
        <f>'IWP19'!H$523</f>
        <v>0</v>
      </c>
      <c r="F6039" s="211">
        <f>'IWP19'!I$523</f>
        <v>0</v>
      </c>
      <c r="G6039" s="191" t="str">
        <f>IF('IWP19'!J$523=0,"",'IWP19'!J$523)</f>
        <v/>
      </c>
      <c r="H6039" s="211">
        <f>'IWP19'!K$523</f>
        <v>0</v>
      </c>
      <c r="I6039" s="211">
        <f>'IWP19'!L$523</f>
        <v>0</v>
      </c>
      <c r="J6039" s="212">
        <f>'IWP19'!M$523</f>
        <v>0</v>
      </c>
      <c r="K6039" s="106"/>
      <c r="L6039" s="106"/>
      <c r="M6039" s="129"/>
    </row>
    <row r="6040" spans="1:13" s="146" customFormat="1">
      <c r="A6040" s="193" t="s">
        <v>517</v>
      </c>
      <c r="B6040" s="210">
        <v>11</v>
      </c>
      <c r="C6040" s="191" t="str">
        <f>IF('IWP19'!E$524=0,"",'IWP19'!E$524)</f>
        <v/>
      </c>
      <c r="D6040" s="211">
        <f>'IWP19'!G$524</f>
        <v>0</v>
      </c>
      <c r="E6040" s="211">
        <f>'IWP19'!H$524</f>
        <v>0</v>
      </c>
      <c r="F6040" s="211">
        <f>'IWP19'!I$524</f>
        <v>0</v>
      </c>
      <c r="G6040" s="191" t="str">
        <f>IF('IWP19'!J$524=0,"",'IWP19'!J$524)</f>
        <v/>
      </c>
      <c r="H6040" s="211">
        <f>'IWP19'!K$524</f>
        <v>0</v>
      </c>
      <c r="I6040" s="211">
        <f>'IWP19'!L$524</f>
        <v>0</v>
      </c>
      <c r="J6040" s="212">
        <f>'IWP19'!M$524</f>
        <v>0</v>
      </c>
      <c r="K6040" s="106"/>
      <c r="L6040" s="106"/>
      <c r="M6040" s="129"/>
    </row>
    <row r="6041" spans="1:13" s="146" customFormat="1">
      <c r="A6041" s="193" t="s">
        <v>517</v>
      </c>
      <c r="B6041" s="210">
        <v>12</v>
      </c>
      <c r="C6041" s="191" t="str">
        <f>IF('IWP19'!E$531=0,"",'IWP19'!E$531)</f>
        <v>Subtotal column D.</v>
      </c>
      <c r="D6041" s="211">
        <f>'IWP19'!G$531</f>
        <v>0</v>
      </c>
      <c r="E6041" s="211">
        <f>'IWP19'!H$531</f>
        <v>0</v>
      </c>
      <c r="F6041" s="211">
        <f>'IWP19'!I$531</f>
        <v>0</v>
      </c>
      <c r="G6041" s="191" t="str">
        <f>IF('IWP19'!J$531=0,"",'IWP19'!J$531)</f>
        <v/>
      </c>
      <c r="H6041" s="211">
        <f>'IWP19'!K$531</f>
        <v>0</v>
      </c>
      <c r="I6041" s="211">
        <f>'IWP19'!L$531</f>
        <v>0</v>
      </c>
      <c r="J6041" s="212">
        <f>'IWP19'!M$531</f>
        <v>0</v>
      </c>
      <c r="K6041" s="106"/>
      <c r="L6041" s="106"/>
      <c r="M6041" s="129"/>
    </row>
    <row r="6042" spans="1:13" s="146" customFormat="1">
      <c r="A6042" s="193" t="s">
        <v>517</v>
      </c>
      <c r="B6042" s="210">
        <v>12</v>
      </c>
      <c r="C6042" s="191" t="str">
        <f>IF('IWP19'!E$532=0,"",'IWP19'!E$532)</f>
        <v>Unverified/Undocumented (Subtotal D - C)</v>
      </c>
      <c r="D6042" s="211">
        <f>'IWP19'!G$532</f>
        <v>0</v>
      </c>
      <c r="E6042" s="211">
        <f>'IWP19'!H$532</f>
        <v>0</v>
      </c>
      <c r="F6042" s="211">
        <f>'IWP19'!I$532</f>
        <v>0</v>
      </c>
      <c r="G6042" s="191" t="str">
        <f>IF('IWP19'!J$532=0,"",'IWP19'!J$532)</f>
        <v/>
      </c>
      <c r="H6042" s="211">
        <f>'IWP19'!K$532</f>
        <v>0</v>
      </c>
      <c r="I6042" s="211">
        <f>'IWP19'!L$532</f>
        <v>0</v>
      </c>
      <c r="J6042" s="212">
        <f>'IWP19'!M$532</f>
        <v>0</v>
      </c>
      <c r="K6042" s="106"/>
      <c r="L6042" s="106"/>
      <c r="M6042" s="129"/>
    </row>
    <row r="6043" spans="1:13" s="146" customFormat="1">
      <c r="A6043" s="193" t="s">
        <v>517</v>
      </c>
      <c r="B6043" s="210">
        <v>12</v>
      </c>
      <c r="C6043" s="191" t="str">
        <f>IF('IWP19'!E$533=0,"",'IWP19'!E$533)</f>
        <v>J. Billing Period Total</v>
      </c>
      <c r="D6043" s="211">
        <f>'IWP19'!G$533</f>
        <v>0</v>
      </c>
      <c r="E6043" s="211">
        <f>'IWP19'!H$533</f>
        <v>0</v>
      </c>
      <c r="F6043" s="211">
        <f>'IWP19'!I$533</f>
        <v>0</v>
      </c>
      <c r="G6043" s="191" t="str">
        <f>IF('IWP19'!J$533=0,"",'IWP19'!J$533)</f>
        <v/>
      </c>
      <c r="H6043" s="211">
        <f>'IWP19'!K$533</f>
        <v>0</v>
      </c>
      <c r="I6043" s="211">
        <f>'IWP19'!L$533</f>
        <v>0</v>
      </c>
      <c r="J6043" s="212">
        <f>'IWP19'!M$533</f>
        <v>0</v>
      </c>
      <c r="K6043" s="106"/>
      <c r="L6043" s="106"/>
      <c r="M6043" s="129"/>
    </row>
    <row r="6044" spans="1:13" s="146" customFormat="1">
      <c r="A6044" s="193" t="s">
        <v>517</v>
      </c>
      <c r="B6044" s="210">
        <v>12</v>
      </c>
      <c r="C6044" s="191" t="str">
        <f>IF('IWP19'!E$534=0,"",'IWP19'!E$534)</f>
        <v>D.</v>
      </c>
      <c r="D6044" s="211">
        <f>'IWP19'!G$534</f>
        <v>0</v>
      </c>
      <c r="E6044" s="211" t="str">
        <f>'IWP19'!H$534</f>
        <v>E.</v>
      </c>
      <c r="F6044" s="211" t="str">
        <f>'IWP19'!I$534</f>
        <v>F.</v>
      </c>
      <c r="G6044" s="191" t="str">
        <f>IF('IWP19'!J$534=0,"",'IWP19'!J$534)</f>
        <v>G.</v>
      </c>
      <c r="H6044" s="211">
        <f>'IWP19'!K$534</f>
        <v>0</v>
      </c>
      <c r="I6044" s="211" t="str">
        <f>'IWP19'!L$534</f>
        <v>H.</v>
      </c>
      <c r="J6044" s="212" t="str">
        <f>'IWP19'!M$534</f>
        <v>I.</v>
      </c>
      <c r="K6044" s="106"/>
      <c r="L6044" s="106"/>
      <c r="M6044" s="129"/>
    </row>
    <row r="6045" spans="1:13" s="146" customFormat="1">
      <c r="A6045" s="193" t="s">
        <v>517</v>
      </c>
      <c r="B6045" s="210">
        <v>12</v>
      </c>
      <c r="C6045" s="191" t="str">
        <f>IF('IWP19'!E$535=0,"",'IWP19'!E$535)</f>
        <v xml:space="preserve">Items/Services Related to Billing Period </v>
      </c>
      <c r="D6045" s="211">
        <f>'IWP19'!G$535</f>
        <v>0</v>
      </c>
      <c r="E6045" s="211" t="str">
        <f>'IWP19'!H$535</f>
        <v xml:space="preserve">Item/
Service Verified Amounts
</v>
      </c>
      <c r="F6045" s="211" t="str">
        <f>'IWP19'!I$535</f>
        <v>Amount Due to DADS (E. - D.)</v>
      </c>
      <c r="G6045" s="191" t="str">
        <f>IF('IWP19'!J$535=0,"",'IWP19'!J$535)</f>
        <v>Amount Reimbursed to 
Employee(s)/Employer</v>
      </c>
      <c r="H6045" s="211">
        <f>'IWP19'!K$535</f>
        <v>0</v>
      </c>
      <c r="I6045" s="211" t="str">
        <f>'IWP19'!L$535</f>
        <v>Amount Due to Employee(s) (G. - E.)</v>
      </c>
      <c r="J6045" s="212" t="str">
        <f>'IWP19'!M$535</f>
        <v>Amount Due to Employer (G. - E.)</v>
      </c>
      <c r="K6045" s="106"/>
      <c r="L6045" s="106"/>
      <c r="M6045" s="129"/>
    </row>
    <row r="6046" spans="1:13" s="146" customFormat="1">
      <c r="A6046" s="193" t="s">
        <v>517</v>
      </c>
      <c r="B6046" s="210">
        <v>12</v>
      </c>
      <c r="C6046" s="191" t="str">
        <f>IF('IWP19'!E$536=0,"",'IWP19'!E$536)</f>
        <v>Item/Service</v>
      </c>
      <c r="D6046" s="211" t="str">
        <f>'IWP19'!G$536</f>
        <v>Itemized Amount Paid by DADS</v>
      </c>
      <c r="E6046" s="211">
        <f>'IWP19'!H$536</f>
        <v>0</v>
      </c>
      <c r="F6046" s="211">
        <f>'IWP19'!I$536</f>
        <v>0</v>
      </c>
      <c r="G6046" s="191" t="str">
        <f>IF('IWP19'!J$536=0,"",'IWP19'!J$536)</f>
        <v/>
      </c>
      <c r="H6046" s="211">
        <f>'IWP19'!K$536</f>
        <v>0</v>
      </c>
      <c r="I6046" s="211">
        <f>'IWP19'!L$536</f>
        <v>0</v>
      </c>
      <c r="J6046" s="212">
        <f>'IWP19'!M$536</f>
        <v>0</v>
      </c>
      <c r="K6046" s="106"/>
      <c r="L6046" s="106"/>
      <c r="M6046" s="129"/>
    </row>
    <row r="6047" spans="1:13" s="146" customFormat="1">
      <c r="A6047" s="193" t="s">
        <v>517</v>
      </c>
      <c r="B6047" s="210">
        <v>12</v>
      </c>
      <c r="C6047" s="191" t="str">
        <f>IF('IWP19'!E$537=0,"",'IWP19'!E$537)</f>
        <v/>
      </c>
      <c r="D6047" s="211">
        <f>'IWP19'!G$537</f>
        <v>0</v>
      </c>
      <c r="E6047" s="211">
        <f>'IWP19'!H$537</f>
        <v>0</v>
      </c>
      <c r="F6047" s="211">
        <f>'IWP19'!I$537</f>
        <v>0</v>
      </c>
      <c r="G6047" s="191" t="str">
        <f>IF('IWP19'!J$537=0,"",'IWP19'!J$537)</f>
        <v/>
      </c>
      <c r="H6047" s="211">
        <f>'IWP19'!K$537</f>
        <v>0</v>
      </c>
      <c r="I6047" s="211">
        <f>'IWP19'!L$537</f>
        <v>0</v>
      </c>
      <c r="J6047" s="212">
        <f>'IWP19'!M$537</f>
        <v>0</v>
      </c>
      <c r="K6047" s="106"/>
      <c r="L6047" s="106"/>
      <c r="M6047" s="129"/>
    </row>
    <row r="6048" spans="1:13" s="146" customFormat="1">
      <c r="A6048" s="193" t="s">
        <v>517</v>
      </c>
      <c r="B6048" s="210">
        <v>12</v>
      </c>
      <c r="C6048" s="191" t="str">
        <f>IF('IWP19'!E$538=0,"",'IWP19'!E$538)</f>
        <v/>
      </c>
      <c r="D6048" s="211">
        <f>'IWP19'!G$538</f>
        <v>0</v>
      </c>
      <c r="E6048" s="211">
        <f>'IWP19'!H$538</f>
        <v>0</v>
      </c>
      <c r="F6048" s="211">
        <f>'IWP19'!I$538</f>
        <v>0</v>
      </c>
      <c r="G6048" s="191" t="str">
        <f>IF('IWP19'!J$538=0,"",'IWP19'!J$538)</f>
        <v/>
      </c>
      <c r="H6048" s="211">
        <f>'IWP19'!K$538</f>
        <v>0</v>
      </c>
      <c r="I6048" s="211">
        <f>'IWP19'!L$538</f>
        <v>0</v>
      </c>
      <c r="J6048" s="212">
        <f>'IWP19'!M$538</f>
        <v>0</v>
      </c>
      <c r="K6048" s="106"/>
      <c r="L6048" s="106"/>
      <c r="M6048" s="129"/>
    </row>
    <row r="6049" spans="1:13" s="146" customFormat="1">
      <c r="A6049" s="193" t="s">
        <v>517</v>
      </c>
      <c r="B6049" s="210">
        <v>12</v>
      </c>
      <c r="C6049" s="191" t="str">
        <f>IF('IWP19'!E$539=0,"",'IWP19'!E$539)</f>
        <v/>
      </c>
      <c r="D6049" s="211">
        <f>'IWP19'!G$539</f>
        <v>0</v>
      </c>
      <c r="E6049" s="211">
        <f>'IWP19'!H$539</f>
        <v>0</v>
      </c>
      <c r="F6049" s="211">
        <f>'IWP19'!I$539</f>
        <v>0</v>
      </c>
      <c r="G6049" s="191" t="str">
        <f>IF('IWP19'!J$539=0,"",'IWP19'!J$539)</f>
        <v/>
      </c>
      <c r="H6049" s="211">
        <f>'IWP19'!K$539</f>
        <v>0</v>
      </c>
      <c r="I6049" s="211">
        <f>'IWP19'!L$539</f>
        <v>0</v>
      </c>
      <c r="J6049" s="212">
        <f>'IWP19'!M$539</f>
        <v>0</v>
      </c>
      <c r="K6049" s="106"/>
      <c r="L6049" s="106"/>
      <c r="M6049" s="129"/>
    </row>
    <row r="6050" spans="1:13" s="146" customFormat="1">
      <c r="A6050" s="193" t="s">
        <v>517</v>
      </c>
      <c r="B6050" s="210">
        <v>12</v>
      </c>
      <c r="C6050" s="191" t="str">
        <f>IF('IWP19'!E$540=0,"",'IWP19'!E$540)</f>
        <v/>
      </c>
      <c r="D6050" s="211">
        <f>'IWP19'!G$540</f>
        <v>0</v>
      </c>
      <c r="E6050" s="211">
        <f>'IWP19'!H$540</f>
        <v>0</v>
      </c>
      <c r="F6050" s="211">
        <f>'IWP19'!I$540</f>
        <v>0</v>
      </c>
      <c r="G6050" s="191" t="str">
        <f>IF('IWP19'!J$540=0,"",'IWP19'!J$540)</f>
        <v/>
      </c>
      <c r="H6050" s="211">
        <f>'IWP19'!K$540</f>
        <v>0</v>
      </c>
      <c r="I6050" s="211">
        <f>'IWP19'!L$540</f>
        <v>0</v>
      </c>
      <c r="J6050" s="212">
        <f>'IWP19'!M$540</f>
        <v>0</v>
      </c>
      <c r="K6050" s="106"/>
      <c r="L6050" s="106"/>
      <c r="M6050" s="129"/>
    </row>
    <row r="6051" spans="1:13" s="146" customFormat="1">
      <c r="A6051" s="193" t="s">
        <v>517</v>
      </c>
      <c r="B6051" s="210">
        <v>13</v>
      </c>
      <c r="C6051" s="191" t="str">
        <f>IF('IWP19'!E$547=0,"",'IWP19'!E$547)</f>
        <v>Subtotal column D.</v>
      </c>
      <c r="D6051" s="211">
        <f>'IWP19'!G$547</f>
        <v>0</v>
      </c>
      <c r="E6051" s="211">
        <f>'IWP19'!H$547</f>
        <v>0</v>
      </c>
      <c r="F6051" s="211">
        <f>'IWP19'!I$547</f>
        <v>0</v>
      </c>
      <c r="G6051" s="191" t="str">
        <f>IF('IWP19'!J$547=0,"",'IWP19'!J$547)</f>
        <v/>
      </c>
      <c r="H6051" s="211">
        <f>'IWP19'!K$547</f>
        <v>0</v>
      </c>
      <c r="I6051" s="211">
        <f>'IWP19'!L$547</f>
        <v>0</v>
      </c>
      <c r="J6051" s="212">
        <f>'IWP19'!M$547</f>
        <v>0</v>
      </c>
      <c r="K6051" s="106"/>
      <c r="L6051" s="106"/>
      <c r="M6051" s="129"/>
    </row>
    <row r="6052" spans="1:13" s="146" customFormat="1">
      <c r="A6052" s="193" t="s">
        <v>517</v>
      </c>
      <c r="B6052" s="210">
        <v>13</v>
      </c>
      <c r="C6052" s="191" t="str">
        <f>IF('IWP19'!E$548=0,"",'IWP19'!E$548)</f>
        <v>Unverified/Undocumented (Subtotal D - C)</v>
      </c>
      <c r="D6052" s="211">
        <f>'IWP19'!G$548</f>
        <v>0</v>
      </c>
      <c r="E6052" s="211">
        <f>'IWP19'!H$548</f>
        <v>0</v>
      </c>
      <c r="F6052" s="211">
        <f>'IWP19'!I$548</f>
        <v>0</v>
      </c>
      <c r="G6052" s="191" t="str">
        <f>IF('IWP19'!J$548=0,"",'IWP19'!J$548)</f>
        <v/>
      </c>
      <c r="H6052" s="211">
        <f>'IWP19'!K$548</f>
        <v>0</v>
      </c>
      <c r="I6052" s="211">
        <f>'IWP19'!L$548</f>
        <v>0</v>
      </c>
      <c r="J6052" s="212">
        <f>'IWP19'!M$548</f>
        <v>0</v>
      </c>
      <c r="K6052" s="106"/>
      <c r="L6052" s="106"/>
      <c r="M6052" s="129"/>
    </row>
    <row r="6053" spans="1:13" s="146" customFormat="1">
      <c r="A6053" s="193" t="s">
        <v>517</v>
      </c>
      <c r="B6053" s="210">
        <v>13</v>
      </c>
      <c r="C6053" s="191" t="str">
        <f>IF('IWP19'!E$549=0,"",'IWP19'!E$549)</f>
        <v>J. Billing Period Total</v>
      </c>
      <c r="D6053" s="211">
        <f>'IWP19'!G$549</f>
        <v>0</v>
      </c>
      <c r="E6053" s="211">
        <f>'IWP19'!H$549</f>
        <v>0</v>
      </c>
      <c r="F6053" s="211">
        <f>'IWP19'!I$549</f>
        <v>0</v>
      </c>
      <c r="G6053" s="191" t="str">
        <f>IF('IWP19'!J$549=0,"",'IWP19'!J$549)</f>
        <v/>
      </c>
      <c r="H6053" s="211">
        <f>'IWP19'!K$549</f>
        <v>0</v>
      </c>
      <c r="I6053" s="211">
        <f>'IWP19'!L$549</f>
        <v>0</v>
      </c>
      <c r="J6053" s="212">
        <f>'IWP19'!M$549</f>
        <v>0</v>
      </c>
      <c r="K6053" s="106"/>
      <c r="L6053" s="106"/>
      <c r="M6053" s="129"/>
    </row>
    <row r="6054" spans="1:13" s="146" customFormat="1">
      <c r="A6054" s="193" t="s">
        <v>517</v>
      </c>
      <c r="B6054" s="210">
        <v>13</v>
      </c>
      <c r="C6054" s="191" t="str">
        <f>IF('IWP19'!E$550=0,"",'IWP19'!E$550)</f>
        <v>D.</v>
      </c>
      <c r="D6054" s="211">
        <f>'IWP19'!G$550</f>
        <v>0</v>
      </c>
      <c r="E6054" s="211" t="str">
        <f>'IWP19'!H$550</f>
        <v>E.</v>
      </c>
      <c r="F6054" s="211" t="str">
        <f>'IWP19'!I$550</f>
        <v>F.</v>
      </c>
      <c r="G6054" s="191" t="str">
        <f>IF('IWP19'!J$550=0,"",'IWP19'!J$550)</f>
        <v>G.</v>
      </c>
      <c r="H6054" s="211">
        <f>'IWP19'!K$550</f>
        <v>0</v>
      </c>
      <c r="I6054" s="211" t="str">
        <f>'IWP19'!L$550</f>
        <v>H.</v>
      </c>
      <c r="J6054" s="212" t="str">
        <f>'IWP19'!M$550</f>
        <v>I.</v>
      </c>
      <c r="K6054" s="106"/>
      <c r="L6054" s="106"/>
      <c r="M6054" s="129"/>
    </row>
    <row r="6055" spans="1:13" s="146" customFormat="1">
      <c r="A6055" s="193" t="s">
        <v>517</v>
      </c>
      <c r="B6055" s="210">
        <v>13</v>
      </c>
      <c r="C6055" s="191" t="str">
        <f>IF('IWP19'!E$551=0,"",'IWP19'!E$551)</f>
        <v xml:space="preserve">Items/Services Related to Billing Period </v>
      </c>
      <c r="D6055" s="211">
        <f>'IWP19'!G$551</f>
        <v>0</v>
      </c>
      <c r="E6055" s="211" t="str">
        <f>'IWP19'!H$551</f>
        <v xml:space="preserve">Item/
Service Verified Amounts
</v>
      </c>
      <c r="F6055" s="211" t="str">
        <f>'IWP19'!I$551</f>
        <v>Amount Due to DADS (E. - D.)</v>
      </c>
      <c r="G6055" s="191" t="str">
        <f>IF('IWP19'!J$551=0,"",'IWP19'!J$551)</f>
        <v>Amount Reimbursed to 
Employee(s)/Employer</v>
      </c>
      <c r="H6055" s="211">
        <f>'IWP19'!K$551</f>
        <v>0</v>
      </c>
      <c r="I6055" s="211" t="str">
        <f>'IWP19'!L$551</f>
        <v>Amount Due to Employee(s) (G. - E.)</v>
      </c>
      <c r="J6055" s="212" t="str">
        <f>'IWP19'!M$551</f>
        <v>Amount Due to Employer (G. - E.)</v>
      </c>
      <c r="K6055" s="106"/>
      <c r="L6055" s="106"/>
      <c r="M6055" s="129"/>
    </row>
    <row r="6056" spans="1:13" s="146" customFormat="1">
      <c r="A6056" s="193" t="s">
        <v>517</v>
      </c>
      <c r="B6056" s="210">
        <v>13</v>
      </c>
      <c r="C6056" s="191" t="str">
        <f>IF('IWP19'!E$552=0,"",'IWP19'!E$552)</f>
        <v>Item/Service</v>
      </c>
      <c r="D6056" s="211" t="str">
        <f>'IWP19'!G$552</f>
        <v>Itemized Amount Paid by DADS</v>
      </c>
      <c r="E6056" s="211">
        <f>'IWP19'!H$552</f>
        <v>0</v>
      </c>
      <c r="F6056" s="211">
        <f>'IWP19'!I$552</f>
        <v>0</v>
      </c>
      <c r="G6056" s="191" t="str">
        <f>IF('IWP19'!J$552=0,"",'IWP19'!J$552)</f>
        <v/>
      </c>
      <c r="H6056" s="211">
        <f>'IWP19'!K$552</f>
        <v>0</v>
      </c>
      <c r="I6056" s="211">
        <f>'IWP19'!L$552</f>
        <v>0</v>
      </c>
      <c r="J6056" s="212">
        <f>'IWP19'!M$552</f>
        <v>0</v>
      </c>
      <c r="K6056" s="106"/>
      <c r="L6056" s="106"/>
      <c r="M6056" s="129"/>
    </row>
    <row r="6057" spans="1:13" s="146" customFormat="1">
      <c r="A6057" s="193" t="s">
        <v>517</v>
      </c>
      <c r="B6057" s="210">
        <v>13</v>
      </c>
      <c r="C6057" s="191" t="str">
        <f>IF('IWP19'!E$553=0,"",'IWP19'!E$553)</f>
        <v/>
      </c>
      <c r="D6057" s="211">
        <f>'IWP19'!G$553</f>
        <v>0</v>
      </c>
      <c r="E6057" s="211">
        <f>'IWP19'!H$553</f>
        <v>0</v>
      </c>
      <c r="F6057" s="211">
        <f>'IWP19'!I$553</f>
        <v>0</v>
      </c>
      <c r="G6057" s="191" t="str">
        <f>IF('IWP19'!J$553=0,"",'IWP19'!J$553)</f>
        <v/>
      </c>
      <c r="H6057" s="211">
        <f>'IWP19'!K$553</f>
        <v>0</v>
      </c>
      <c r="I6057" s="211">
        <f>'IWP19'!L$553</f>
        <v>0</v>
      </c>
      <c r="J6057" s="212">
        <f>'IWP19'!M$553</f>
        <v>0</v>
      </c>
      <c r="K6057" s="106"/>
      <c r="L6057" s="106"/>
      <c r="M6057" s="129"/>
    </row>
    <row r="6058" spans="1:13" s="146" customFormat="1">
      <c r="A6058" s="193" t="s">
        <v>517</v>
      </c>
      <c r="B6058" s="210">
        <v>13</v>
      </c>
      <c r="C6058" s="191" t="str">
        <f>IF('IWP19'!E$554=0,"",'IWP19'!E$554)</f>
        <v/>
      </c>
      <c r="D6058" s="211">
        <f>'IWP19'!G$554</f>
        <v>0</v>
      </c>
      <c r="E6058" s="211">
        <f>'IWP19'!H$554</f>
        <v>0</v>
      </c>
      <c r="F6058" s="211">
        <f>'IWP19'!I$554</f>
        <v>0</v>
      </c>
      <c r="G6058" s="191" t="str">
        <f>IF('IWP19'!J$554=0,"",'IWP19'!J$554)</f>
        <v/>
      </c>
      <c r="H6058" s="211">
        <f>'IWP19'!K$554</f>
        <v>0</v>
      </c>
      <c r="I6058" s="211">
        <f>'IWP19'!L$554</f>
        <v>0</v>
      </c>
      <c r="J6058" s="212">
        <f>'IWP19'!M$554</f>
        <v>0</v>
      </c>
      <c r="K6058" s="106"/>
      <c r="L6058" s="106"/>
      <c r="M6058" s="129"/>
    </row>
    <row r="6059" spans="1:13" s="146" customFormat="1">
      <c r="A6059" s="193" t="s">
        <v>517</v>
      </c>
      <c r="B6059" s="210">
        <v>13</v>
      </c>
      <c r="C6059" s="191" t="str">
        <f>IF('IWP19'!E$555=0,"",'IWP19'!E$555)</f>
        <v/>
      </c>
      <c r="D6059" s="211">
        <f>'IWP19'!G$555</f>
        <v>0</v>
      </c>
      <c r="E6059" s="211">
        <f>'IWP19'!H$555</f>
        <v>0</v>
      </c>
      <c r="F6059" s="211">
        <f>'IWP19'!I$555</f>
        <v>0</v>
      </c>
      <c r="G6059" s="191" t="str">
        <f>IF('IWP19'!J$555=0,"",'IWP19'!J$555)</f>
        <v/>
      </c>
      <c r="H6059" s="211">
        <f>'IWP19'!K$555</f>
        <v>0</v>
      </c>
      <c r="I6059" s="211">
        <f>'IWP19'!L$555</f>
        <v>0</v>
      </c>
      <c r="J6059" s="212">
        <f>'IWP19'!M$555</f>
        <v>0</v>
      </c>
      <c r="K6059" s="106"/>
      <c r="L6059" s="106"/>
      <c r="M6059" s="129"/>
    </row>
    <row r="6060" spans="1:13" s="146" customFormat="1">
      <c r="A6060" s="193" t="s">
        <v>517</v>
      </c>
      <c r="B6060" s="210">
        <v>13</v>
      </c>
      <c r="C6060" s="191" t="str">
        <f>IF('IWP19'!E$556=0,"",'IWP19'!E$556)</f>
        <v/>
      </c>
      <c r="D6060" s="211">
        <f>'IWP19'!G$556</f>
        <v>0</v>
      </c>
      <c r="E6060" s="211">
        <f>'IWP19'!H$556</f>
        <v>0</v>
      </c>
      <c r="F6060" s="211">
        <f>'IWP19'!I$556</f>
        <v>0</v>
      </c>
      <c r="G6060" s="191" t="str">
        <f>IF('IWP19'!J$556=0,"",'IWP19'!J$556)</f>
        <v/>
      </c>
      <c r="H6060" s="211">
        <f>'IWP19'!K$556</f>
        <v>0</v>
      </c>
      <c r="I6060" s="211">
        <f>'IWP19'!L$556</f>
        <v>0</v>
      </c>
      <c r="J6060" s="212">
        <f>'IWP19'!M$556</f>
        <v>0</v>
      </c>
      <c r="K6060" s="106"/>
      <c r="L6060" s="106"/>
      <c r="M6060" s="129"/>
    </row>
    <row r="6061" spans="1:13" s="146" customFormat="1">
      <c r="A6061" s="193" t="s">
        <v>517</v>
      </c>
      <c r="B6061" s="210">
        <v>14</v>
      </c>
      <c r="C6061" s="191" t="str">
        <f>IF('IWP19'!E$563=0,"",'IWP19'!E$563)</f>
        <v>Subtotal column D.</v>
      </c>
      <c r="D6061" s="211">
        <f>'IWP19'!G$563</f>
        <v>0</v>
      </c>
      <c r="E6061" s="211">
        <f>'IWP19'!H$563</f>
        <v>0</v>
      </c>
      <c r="F6061" s="211">
        <f>'IWP19'!I$563</f>
        <v>0</v>
      </c>
      <c r="G6061" s="191" t="str">
        <f>IF('IWP19'!J$563=0,"",'IWP19'!J$563)</f>
        <v/>
      </c>
      <c r="H6061" s="211">
        <f>'IWP19'!K$563</f>
        <v>0</v>
      </c>
      <c r="I6061" s="211">
        <f>'IWP19'!L$563</f>
        <v>0</v>
      </c>
      <c r="J6061" s="212">
        <f>'IWP19'!M$563</f>
        <v>0</v>
      </c>
      <c r="K6061" s="106"/>
      <c r="L6061" s="106"/>
      <c r="M6061" s="129"/>
    </row>
    <row r="6062" spans="1:13" s="146" customFormat="1">
      <c r="A6062" s="193" t="s">
        <v>517</v>
      </c>
      <c r="B6062" s="210">
        <v>14</v>
      </c>
      <c r="C6062" s="191" t="str">
        <f>IF('IWP19'!E$564=0,"",'IWP19'!E$564)</f>
        <v>Unverified/Undocumented (Subtotal D - C)</v>
      </c>
      <c r="D6062" s="211">
        <f>'IWP19'!G$564</f>
        <v>0</v>
      </c>
      <c r="E6062" s="211">
        <f>'IWP19'!H$564</f>
        <v>0</v>
      </c>
      <c r="F6062" s="211">
        <f>'IWP19'!I$564</f>
        <v>0</v>
      </c>
      <c r="G6062" s="191" t="str">
        <f>IF('IWP19'!J$564=0,"",'IWP19'!J$564)</f>
        <v/>
      </c>
      <c r="H6062" s="211">
        <f>'IWP19'!K$564</f>
        <v>0</v>
      </c>
      <c r="I6062" s="211">
        <f>'IWP19'!L$564</f>
        <v>0</v>
      </c>
      <c r="J6062" s="212">
        <f>'IWP19'!M$564</f>
        <v>0</v>
      </c>
      <c r="K6062" s="106"/>
      <c r="L6062" s="106"/>
      <c r="M6062" s="129"/>
    </row>
    <row r="6063" spans="1:13" s="146" customFormat="1">
      <c r="A6063" s="193" t="s">
        <v>517</v>
      </c>
      <c r="B6063" s="210">
        <v>14</v>
      </c>
      <c r="C6063" s="191" t="str">
        <f>IF('IWP19'!E$565=0,"",'IWP19'!E$565)</f>
        <v>J. Billing Period Total</v>
      </c>
      <c r="D6063" s="211">
        <f>'IWP19'!G$565</f>
        <v>0</v>
      </c>
      <c r="E6063" s="211">
        <f>'IWP19'!H$565</f>
        <v>0</v>
      </c>
      <c r="F6063" s="211">
        <f>'IWP19'!I$565</f>
        <v>0</v>
      </c>
      <c r="G6063" s="191" t="str">
        <f>IF('IWP19'!J$565=0,"",'IWP19'!J$565)</f>
        <v/>
      </c>
      <c r="H6063" s="211">
        <f>'IWP19'!K$565</f>
        <v>0</v>
      </c>
      <c r="I6063" s="211">
        <f>'IWP19'!L$565</f>
        <v>0</v>
      </c>
      <c r="J6063" s="212">
        <f>'IWP19'!M$565</f>
        <v>0</v>
      </c>
      <c r="K6063" s="106"/>
      <c r="L6063" s="106"/>
      <c r="M6063" s="129"/>
    </row>
    <row r="6064" spans="1:13" s="146" customFormat="1">
      <c r="A6064" s="193" t="s">
        <v>517</v>
      </c>
      <c r="B6064" s="210">
        <v>14</v>
      </c>
      <c r="C6064" s="191" t="str">
        <f>IF('IWP19'!E$566=0,"",'IWP19'!E$566)</f>
        <v>D.</v>
      </c>
      <c r="D6064" s="211">
        <f>'IWP19'!G$566</f>
        <v>0</v>
      </c>
      <c r="E6064" s="211" t="str">
        <f>'IWP19'!H$566</f>
        <v>E.</v>
      </c>
      <c r="F6064" s="211" t="str">
        <f>'IWP19'!I$566</f>
        <v>F.</v>
      </c>
      <c r="G6064" s="191" t="str">
        <f>IF('IWP19'!J$566=0,"",'IWP19'!J$566)</f>
        <v>G.</v>
      </c>
      <c r="H6064" s="211">
        <f>'IWP19'!K$566</f>
        <v>0</v>
      </c>
      <c r="I6064" s="211" t="str">
        <f>'IWP19'!L$566</f>
        <v>H.</v>
      </c>
      <c r="J6064" s="212" t="str">
        <f>'IWP19'!M$566</f>
        <v>I.</v>
      </c>
      <c r="K6064" s="106"/>
      <c r="L6064" s="106"/>
      <c r="M6064" s="129"/>
    </row>
    <row r="6065" spans="1:13" s="146" customFormat="1">
      <c r="A6065" s="193" t="s">
        <v>517</v>
      </c>
      <c r="B6065" s="210">
        <v>14</v>
      </c>
      <c r="C6065" s="191" t="str">
        <f>IF('IWP19'!E$567=0,"",'IWP19'!E$567)</f>
        <v xml:space="preserve">Items/Services Related to Billing Period </v>
      </c>
      <c r="D6065" s="211">
        <f>'IWP19'!G$567</f>
        <v>0</v>
      </c>
      <c r="E6065" s="211" t="str">
        <f>'IWP19'!H$567</f>
        <v xml:space="preserve">Item/
Service Verified Amounts
</v>
      </c>
      <c r="F6065" s="211" t="str">
        <f>'IWP19'!I$567</f>
        <v>Amount Due to DADS (E. - D.)</v>
      </c>
      <c r="G6065" s="191" t="str">
        <f>IF('IWP19'!J$567=0,"",'IWP19'!J$567)</f>
        <v>Amount Reimbursed to 
Employee(s)/Employer</v>
      </c>
      <c r="H6065" s="211">
        <f>'IWP19'!K$567</f>
        <v>0</v>
      </c>
      <c r="I6065" s="211" t="str">
        <f>'IWP19'!L$567</f>
        <v>Amount Due to Employee(s) (G. - E.)</v>
      </c>
      <c r="J6065" s="212" t="str">
        <f>'IWP19'!M$567</f>
        <v>Amount Due to Employer (G. - E.)</v>
      </c>
      <c r="K6065" s="106"/>
      <c r="L6065" s="106"/>
      <c r="M6065" s="129"/>
    </row>
    <row r="6066" spans="1:13" s="146" customFormat="1">
      <c r="A6066" s="193" t="s">
        <v>517</v>
      </c>
      <c r="B6066" s="210">
        <v>14</v>
      </c>
      <c r="C6066" s="191" t="str">
        <f>IF('IWP19'!E$568=0,"",'IWP19'!E$568)</f>
        <v>Item/Service</v>
      </c>
      <c r="D6066" s="211" t="str">
        <f>'IWP19'!G$568</f>
        <v>Itemized Amount Paid by DADS</v>
      </c>
      <c r="E6066" s="211">
        <f>'IWP19'!H$568</f>
        <v>0</v>
      </c>
      <c r="F6066" s="211">
        <f>'IWP19'!I$568</f>
        <v>0</v>
      </c>
      <c r="G6066" s="191" t="str">
        <f>IF('IWP19'!J$568=0,"",'IWP19'!J$568)</f>
        <v/>
      </c>
      <c r="H6066" s="211">
        <f>'IWP19'!K$568</f>
        <v>0</v>
      </c>
      <c r="I6066" s="211">
        <f>'IWP19'!L$568</f>
        <v>0</v>
      </c>
      <c r="J6066" s="212">
        <f>'IWP19'!M$568</f>
        <v>0</v>
      </c>
      <c r="K6066" s="106"/>
      <c r="L6066" s="106"/>
      <c r="M6066" s="129"/>
    </row>
    <row r="6067" spans="1:13" s="146" customFormat="1">
      <c r="A6067" s="193" t="s">
        <v>517</v>
      </c>
      <c r="B6067" s="210">
        <v>14</v>
      </c>
      <c r="C6067" s="191" t="str">
        <f>IF('IWP19'!E$569=0,"",'IWP19'!E$569)</f>
        <v/>
      </c>
      <c r="D6067" s="211">
        <f>'IWP19'!G$569</f>
        <v>0</v>
      </c>
      <c r="E6067" s="211">
        <f>'IWP19'!H$569</f>
        <v>0</v>
      </c>
      <c r="F6067" s="211">
        <f>'IWP19'!I$569</f>
        <v>0</v>
      </c>
      <c r="G6067" s="191" t="str">
        <f>IF('IWP19'!J$569=0,"",'IWP19'!J$569)</f>
        <v/>
      </c>
      <c r="H6067" s="211">
        <f>'IWP19'!K$569</f>
        <v>0</v>
      </c>
      <c r="I6067" s="211">
        <f>'IWP19'!L$569</f>
        <v>0</v>
      </c>
      <c r="J6067" s="212">
        <f>'IWP19'!M$569</f>
        <v>0</v>
      </c>
      <c r="K6067" s="106"/>
      <c r="L6067" s="106"/>
      <c r="M6067" s="129"/>
    </row>
    <row r="6068" spans="1:13" s="146" customFormat="1">
      <c r="A6068" s="193" t="s">
        <v>517</v>
      </c>
      <c r="B6068" s="210">
        <v>14</v>
      </c>
      <c r="C6068" s="191" t="str">
        <f>IF('IWP19'!E$570=0,"",'IWP19'!E$570)</f>
        <v/>
      </c>
      <c r="D6068" s="211">
        <f>'IWP19'!G$570</f>
        <v>0</v>
      </c>
      <c r="E6068" s="211">
        <f>'IWP19'!H$570</f>
        <v>0</v>
      </c>
      <c r="F6068" s="211">
        <f>'IWP19'!I$570</f>
        <v>0</v>
      </c>
      <c r="G6068" s="191" t="str">
        <f>IF('IWP19'!J$570=0,"",'IWP19'!J$570)</f>
        <v/>
      </c>
      <c r="H6068" s="211">
        <f>'IWP19'!K$570</f>
        <v>0</v>
      </c>
      <c r="I6068" s="211">
        <f>'IWP19'!L$570</f>
        <v>0</v>
      </c>
      <c r="J6068" s="212">
        <f>'IWP19'!M$570</f>
        <v>0</v>
      </c>
      <c r="K6068" s="106"/>
      <c r="L6068" s="106"/>
      <c r="M6068" s="129"/>
    </row>
    <row r="6069" spans="1:13" s="146" customFormat="1">
      <c r="A6069" s="193" t="s">
        <v>517</v>
      </c>
      <c r="B6069" s="210">
        <v>14</v>
      </c>
      <c r="C6069" s="191" t="str">
        <f>IF('IWP19'!E$571=0,"",'IWP19'!E$571)</f>
        <v/>
      </c>
      <c r="D6069" s="211">
        <f>'IWP19'!G$571</f>
        <v>0</v>
      </c>
      <c r="E6069" s="211">
        <f>'IWP19'!H$571</f>
        <v>0</v>
      </c>
      <c r="F6069" s="211">
        <f>'IWP19'!I$571</f>
        <v>0</v>
      </c>
      <c r="G6069" s="191" t="str">
        <f>IF('IWP19'!J$571=0,"",'IWP19'!J$571)</f>
        <v/>
      </c>
      <c r="H6069" s="211">
        <f>'IWP19'!K$571</f>
        <v>0</v>
      </c>
      <c r="I6069" s="211">
        <f>'IWP19'!L$571</f>
        <v>0</v>
      </c>
      <c r="J6069" s="212">
        <f>'IWP19'!M$571</f>
        <v>0</v>
      </c>
      <c r="K6069" s="106"/>
      <c r="L6069" s="106"/>
      <c r="M6069" s="129"/>
    </row>
    <row r="6070" spans="1:13" s="146" customFormat="1">
      <c r="A6070" s="193" t="s">
        <v>517</v>
      </c>
      <c r="B6070" s="210">
        <v>14</v>
      </c>
      <c r="C6070" s="191" t="str">
        <f>IF('IWP19'!E$572=0,"",'IWP19'!E$572)</f>
        <v/>
      </c>
      <c r="D6070" s="211">
        <f>'IWP19'!G$572</f>
        <v>0</v>
      </c>
      <c r="E6070" s="211">
        <f>'IWP19'!H$572</f>
        <v>0</v>
      </c>
      <c r="F6070" s="211">
        <f>'IWP19'!I$572</f>
        <v>0</v>
      </c>
      <c r="G6070" s="191" t="str">
        <f>IF('IWP19'!J$572=0,"",'IWP19'!J$572)</f>
        <v/>
      </c>
      <c r="H6070" s="211">
        <f>'IWP19'!K$572</f>
        <v>0</v>
      </c>
      <c r="I6070" s="211">
        <f>'IWP19'!L$572</f>
        <v>0</v>
      </c>
      <c r="J6070" s="212">
        <f>'IWP19'!M$572</f>
        <v>0</v>
      </c>
      <c r="K6070" s="106"/>
      <c r="L6070" s="106"/>
      <c r="M6070" s="129"/>
    </row>
    <row r="6071" spans="1:13" s="146" customFormat="1">
      <c r="A6071" s="193" t="s">
        <v>517</v>
      </c>
      <c r="B6071" s="210">
        <v>15</v>
      </c>
      <c r="C6071" s="191" t="str">
        <f>IF('IWP19'!E$579=0,"",'IWP19'!E$579)</f>
        <v>Subtotal column D.</v>
      </c>
      <c r="D6071" s="211">
        <f>'IWP19'!G$579</f>
        <v>0</v>
      </c>
      <c r="E6071" s="211">
        <f>'IWP19'!H$579</f>
        <v>0</v>
      </c>
      <c r="F6071" s="211">
        <f>'IWP19'!I$579</f>
        <v>0</v>
      </c>
      <c r="G6071" s="191" t="str">
        <f>IF('IWP19'!J$579=0,"",'IWP19'!J$579)</f>
        <v/>
      </c>
      <c r="H6071" s="211">
        <f>'IWP19'!K$579</f>
        <v>0</v>
      </c>
      <c r="I6071" s="211">
        <f>'IWP19'!L$579</f>
        <v>0</v>
      </c>
      <c r="J6071" s="212">
        <f>'IWP19'!M$579</f>
        <v>0</v>
      </c>
      <c r="K6071" s="106"/>
      <c r="L6071" s="106"/>
      <c r="M6071" s="129"/>
    </row>
    <row r="6072" spans="1:13" s="146" customFormat="1">
      <c r="A6072" s="193" t="s">
        <v>517</v>
      </c>
      <c r="B6072" s="210">
        <v>15</v>
      </c>
      <c r="C6072" s="191" t="str">
        <f>IF('IWP19'!E$580=0,"",'IWP19'!E$580)</f>
        <v>Unverified/Undocumented (Subtotal D - C)</v>
      </c>
      <c r="D6072" s="211">
        <f>'IWP19'!G$580</f>
        <v>0</v>
      </c>
      <c r="E6072" s="211">
        <f>'IWP19'!H$580</f>
        <v>0</v>
      </c>
      <c r="F6072" s="211">
        <f>'IWP19'!I$580</f>
        <v>0</v>
      </c>
      <c r="G6072" s="191" t="str">
        <f>IF('IWP19'!J$580=0,"",'IWP19'!J$580)</f>
        <v/>
      </c>
      <c r="H6072" s="211">
        <f>'IWP19'!K$580</f>
        <v>0</v>
      </c>
      <c r="I6072" s="211">
        <f>'IWP19'!L$580</f>
        <v>0</v>
      </c>
      <c r="J6072" s="212">
        <f>'IWP19'!M$580</f>
        <v>0</v>
      </c>
      <c r="K6072" s="106"/>
      <c r="L6072" s="106"/>
      <c r="M6072" s="129"/>
    </row>
    <row r="6073" spans="1:13" s="146" customFormat="1">
      <c r="A6073" s="193" t="s">
        <v>517</v>
      </c>
      <c r="B6073" s="210">
        <v>15</v>
      </c>
      <c r="C6073" s="191" t="str">
        <f>IF('IWP19'!E$581=0,"",'IWP19'!E$581)</f>
        <v>J. Billing Period Total</v>
      </c>
      <c r="D6073" s="211">
        <f>'IWP19'!G$581</f>
        <v>0</v>
      </c>
      <c r="E6073" s="211">
        <f>'IWP19'!H$581</f>
        <v>0</v>
      </c>
      <c r="F6073" s="211">
        <f>'IWP19'!I$581</f>
        <v>0</v>
      </c>
      <c r="G6073" s="191" t="str">
        <f>IF('IWP19'!J$581=0,"",'IWP19'!J$581)</f>
        <v/>
      </c>
      <c r="H6073" s="211">
        <f>'IWP19'!K$581</f>
        <v>0</v>
      </c>
      <c r="I6073" s="211">
        <f>'IWP19'!L$581</f>
        <v>0</v>
      </c>
      <c r="J6073" s="212">
        <f>'IWP19'!M$581</f>
        <v>0</v>
      </c>
      <c r="K6073" s="106"/>
      <c r="L6073" s="106"/>
      <c r="M6073" s="129"/>
    </row>
    <row r="6074" spans="1:13" s="146" customFormat="1">
      <c r="A6074" s="193" t="s">
        <v>517</v>
      </c>
      <c r="B6074" s="210">
        <v>15</v>
      </c>
      <c r="C6074" s="191" t="str">
        <f>IF('IWP19'!E$582=0,"",'IWP19'!E$582)</f>
        <v>D.</v>
      </c>
      <c r="D6074" s="211">
        <f>'IWP19'!G$582</f>
        <v>0</v>
      </c>
      <c r="E6074" s="211" t="str">
        <f>'IWP19'!H$582</f>
        <v>E.</v>
      </c>
      <c r="F6074" s="211" t="str">
        <f>'IWP19'!I$582</f>
        <v>F.</v>
      </c>
      <c r="G6074" s="191" t="str">
        <f>IF('IWP19'!J$582=0,"",'IWP19'!J$582)</f>
        <v>G.</v>
      </c>
      <c r="H6074" s="211">
        <f>'IWP19'!K$582</f>
        <v>0</v>
      </c>
      <c r="I6074" s="211" t="str">
        <f>'IWP19'!L$582</f>
        <v>H.</v>
      </c>
      <c r="J6074" s="212" t="str">
        <f>'IWP19'!M$582</f>
        <v>I.</v>
      </c>
      <c r="K6074" s="106"/>
      <c r="L6074" s="106"/>
      <c r="M6074" s="129"/>
    </row>
    <row r="6075" spans="1:13" s="146" customFormat="1">
      <c r="A6075" s="193" t="s">
        <v>517</v>
      </c>
      <c r="B6075" s="210">
        <v>15</v>
      </c>
      <c r="C6075" s="191" t="str">
        <f>IF('IWP19'!E$583=0,"",'IWP19'!E$583)</f>
        <v xml:space="preserve">Items/Services Related to Billing Period </v>
      </c>
      <c r="D6075" s="211">
        <f>'IWP19'!G$583</f>
        <v>0</v>
      </c>
      <c r="E6075" s="211" t="str">
        <f>'IWP19'!H$583</f>
        <v xml:space="preserve">Item/
Service Verified Amounts
</v>
      </c>
      <c r="F6075" s="211" t="str">
        <f>'IWP19'!I$583</f>
        <v>Amount Due to DADS (E. - D.)</v>
      </c>
      <c r="G6075" s="191" t="str">
        <f>IF('IWP19'!J$583=0,"",'IWP19'!J$583)</f>
        <v>Amount Reimbursed to 
Employee(s)/Employer</v>
      </c>
      <c r="H6075" s="211">
        <f>'IWP19'!K$583</f>
        <v>0</v>
      </c>
      <c r="I6075" s="211" t="str">
        <f>'IWP19'!L$583</f>
        <v>Amount Due to Employee(s) (G. - E.)</v>
      </c>
      <c r="J6075" s="212" t="str">
        <f>'IWP19'!M$583</f>
        <v>Amount Due to Employer (G. - E.)</v>
      </c>
      <c r="K6075" s="106"/>
      <c r="L6075" s="106"/>
      <c r="M6075" s="129"/>
    </row>
    <row r="6076" spans="1:13" s="146" customFormat="1">
      <c r="A6076" s="193" t="s">
        <v>517</v>
      </c>
      <c r="B6076" s="210">
        <v>15</v>
      </c>
      <c r="C6076" s="191" t="str">
        <f>IF('IWP19'!E$584=0,"",'IWP19'!E$584)</f>
        <v>Item/Service</v>
      </c>
      <c r="D6076" s="211" t="str">
        <f>'IWP19'!G$584</f>
        <v>Itemized Amount Paid by DADS</v>
      </c>
      <c r="E6076" s="211">
        <f>'IWP19'!H$584</f>
        <v>0</v>
      </c>
      <c r="F6076" s="211">
        <f>'IWP19'!I$584</f>
        <v>0</v>
      </c>
      <c r="G6076" s="191" t="str">
        <f>IF('IWP19'!J$584=0,"",'IWP19'!J$584)</f>
        <v/>
      </c>
      <c r="H6076" s="211">
        <f>'IWP19'!K$584</f>
        <v>0</v>
      </c>
      <c r="I6076" s="211">
        <f>'IWP19'!L$584</f>
        <v>0</v>
      </c>
      <c r="J6076" s="212">
        <f>'IWP19'!M$584</f>
        <v>0</v>
      </c>
      <c r="K6076" s="106"/>
      <c r="L6076" s="106"/>
      <c r="M6076" s="129"/>
    </row>
    <row r="6077" spans="1:13" s="146" customFormat="1">
      <c r="A6077" s="193" t="s">
        <v>517</v>
      </c>
      <c r="B6077" s="210">
        <v>15</v>
      </c>
      <c r="C6077" s="191" t="str">
        <f>IF('IWP19'!E$585=0,"",'IWP19'!E$585)</f>
        <v/>
      </c>
      <c r="D6077" s="211">
        <f>'IWP19'!G$585</f>
        <v>0</v>
      </c>
      <c r="E6077" s="211">
        <f>'IWP19'!H$585</f>
        <v>0</v>
      </c>
      <c r="F6077" s="211">
        <f>'IWP19'!I$585</f>
        <v>0</v>
      </c>
      <c r="G6077" s="191" t="str">
        <f>IF('IWP19'!J$585=0,"",'IWP19'!J$585)</f>
        <v/>
      </c>
      <c r="H6077" s="211">
        <f>'IWP19'!K$585</f>
        <v>0</v>
      </c>
      <c r="I6077" s="211">
        <f>'IWP19'!L$585</f>
        <v>0</v>
      </c>
      <c r="J6077" s="212">
        <f>'IWP19'!M$585</f>
        <v>0</v>
      </c>
      <c r="K6077" s="106"/>
      <c r="L6077" s="106"/>
      <c r="M6077" s="129"/>
    </row>
    <row r="6078" spans="1:13" s="146" customFormat="1">
      <c r="A6078" s="193" t="s">
        <v>517</v>
      </c>
      <c r="B6078" s="210">
        <v>15</v>
      </c>
      <c r="C6078" s="191" t="str">
        <f>IF('IWP19'!E$586=0,"",'IWP19'!E$586)</f>
        <v/>
      </c>
      <c r="D6078" s="211">
        <f>'IWP19'!G$586</f>
        <v>0</v>
      </c>
      <c r="E6078" s="211">
        <f>'IWP19'!H$586</f>
        <v>0</v>
      </c>
      <c r="F6078" s="211">
        <f>'IWP19'!I$586</f>
        <v>0</v>
      </c>
      <c r="G6078" s="191" t="str">
        <f>IF('IWP19'!J$586=0,"",'IWP19'!J$586)</f>
        <v/>
      </c>
      <c r="H6078" s="211">
        <f>'IWP19'!K$586</f>
        <v>0</v>
      </c>
      <c r="I6078" s="211">
        <f>'IWP19'!L$586</f>
        <v>0</v>
      </c>
      <c r="J6078" s="212">
        <f>'IWP19'!M$586</f>
        <v>0</v>
      </c>
      <c r="K6078" s="106"/>
      <c r="L6078" s="106"/>
      <c r="M6078" s="129"/>
    </row>
    <row r="6079" spans="1:13" s="146" customFormat="1">
      <c r="A6079" s="193" t="s">
        <v>517</v>
      </c>
      <c r="B6079" s="210">
        <v>15</v>
      </c>
      <c r="C6079" s="191" t="str">
        <f>IF('IWP19'!E$587=0,"",'IWP19'!E$587)</f>
        <v/>
      </c>
      <c r="D6079" s="211">
        <f>'IWP19'!G$587</f>
        <v>0</v>
      </c>
      <c r="E6079" s="211">
        <f>'IWP19'!H$587</f>
        <v>0</v>
      </c>
      <c r="F6079" s="211">
        <f>'IWP19'!I$587</f>
        <v>0</v>
      </c>
      <c r="G6079" s="191" t="str">
        <f>IF('IWP19'!J$587=0,"",'IWP19'!J$587)</f>
        <v/>
      </c>
      <c r="H6079" s="211">
        <f>'IWP19'!K$587</f>
        <v>0</v>
      </c>
      <c r="I6079" s="211">
        <f>'IWP19'!L$587</f>
        <v>0</v>
      </c>
      <c r="J6079" s="212">
        <f>'IWP19'!M$587</f>
        <v>0</v>
      </c>
      <c r="K6079" s="106"/>
      <c r="L6079" s="106"/>
      <c r="M6079" s="129"/>
    </row>
    <row r="6080" spans="1:13" s="146" customFormat="1">
      <c r="A6080" s="193" t="s">
        <v>517</v>
      </c>
      <c r="B6080" s="210">
        <v>15</v>
      </c>
      <c r="C6080" s="191" t="str">
        <f>IF('IWP19'!E$588=0,"",'IWP19'!E$588)</f>
        <v/>
      </c>
      <c r="D6080" s="211">
        <f>'IWP19'!G$588</f>
        <v>0</v>
      </c>
      <c r="E6080" s="211">
        <f>'IWP19'!H$588</f>
        <v>0</v>
      </c>
      <c r="F6080" s="211">
        <f>'IWP19'!I$588</f>
        <v>0</v>
      </c>
      <c r="G6080" s="191" t="str">
        <f>IF('IWP19'!J$588=0,"",'IWP19'!J$588)</f>
        <v/>
      </c>
      <c r="H6080" s="211">
        <f>'IWP19'!K$588</f>
        <v>0</v>
      </c>
      <c r="I6080" s="211">
        <f>'IWP19'!L$588</f>
        <v>0</v>
      </c>
      <c r="J6080" s="212">
        <f>'IWP19'!M$588</f>
        <v>0</v>
      </c>
      <c r="K6080" s="106"/>
      <c r="L6080" s="106"/>
      <c r="M6080" s="129"/>
    </row>
    <row r="6081" spans="1:13" s="146" customFormat="1">
      <c r="A6081" s="193" t="s">
        <v>517</v>
      </c>
      <c r="B6081" s="210">
        <v>16</v>
      </c>
      <c r="C6081" s="191" t="str">
        <f>IF('IWP19'!E$595=0,"",'IWP19'!E$595)</f>
        <v>Subtotal column D.</v>
      </c>
      <c r="D6081" s="211">
        <f>'IWP19'!G$595</f>
        <v>0</v>
      </c>
      <c r="E6081" s="211">
        <f>'IWP19'!H$595</f>
        <v>0</v>
      </c>
      <c r="F6081" s="211">
        <f>'IWP19'!I$595</f>
        <v>0</v>
      </c>
      <c r="G6081" s="191" t="str">
        <f>IF('IWP19'!J$595=0,"",'IWP19'!J$595)</f>
        <v/>
      </c>
      <c r="H6081" s="211">
        <f>'IWP19'!K$595</f>
        <v>0</v>
      </c>
      <c r="I6081" s="211">
        <f>'IWP19'!L$595</f>
        <v>0</v>
      </c>
      <c r="J6081" s="212">
        <f>'IWP19'!M$595</f>
        <v>0</v>
      </c>
      <c r="K6081" s="106"/>
      <c r="L6081" s="106"/>
      <c r="M6081" s="129"/>
    </row>
    <row r="6082" spans="1:13" s="146" customFormat="1">
      <c r="A6082" s="193" t="s">
        <v>517</v>
      </c>
      <c r="B6082" s="210">
        <v>16</v>
      </c>
      <c r="C6082" s="191" t="str">
        <f>IF('IWP19'!E$596=0,"",'IWP19'!E$596)</f>
        <v>Unverified/Undocumented (Subtotal D - C)</v>
      </c>
      <c r="D6082" s="211">
        <f>'IWP19'!G$596</f>
        <v>0</v>
      </c>
      <c r="E6082" s="211">
        <f>'IWP19'!H$596</f>
        <v>0</v>
      </c>
      <c r="F6082" s="211">
        <f>'IWP19'!I$596</f>
        <v>0</v>
      </c>
      <c r="G6082" s="191" t="str">
        <f>IF('IWP19'!J$596=0,"",'IWP19'!J$596)</f>
        <v/>
      </c>
      <c r="H6082" s="211">
        <f>'IWP19'!K$596</f>
        <v>0</v>
      </c>
      <c r="I6082" s="211">
        <f>'IWP19'!L$596</f>
        <v>0</v>
      </c>
      <c r="J6082" s="212">
        <f>'IWP19'!M$596</f>
        <v>0</v>
      </c>
      <c r="K6082" s="106"/>
      <c r="L6082" s="106"/>
      <c r="M6082" s="129"/>
    </row>
    <row r="6083" spans="1:13" s="146" customFormat="1">
      <c r="A6083" s="193" t="s">
        <v>517</v>
      </c>
      <c r="B6083" s="210">
        <v>16</v>
      </c>
      <c r="C6083" s="191" t="str">
        <f>IF('IWP19'!E$597=0,"",'IWP19'!E$597)</f>
        <v>J. Billing Period Total</v>
      </c>
      <c r="D6083" s="211">
        <f>'IWP19'!G$597</f>
        <v>0</v>
      </c>
      <c r="E6083" s="211">
        <f>'IWP19'!H$597</f>
        <v>0</v>
      </c>
      <c r="F6083" s="211">
        <f>'IWP19'!I$597</f>
        <v>0</v>
      </c>
      <c r="G6083" s="191" t="str">
        <f>IF('IWP19'!J$597=0,"",'IWP19'!J$597)</f>
        <v/>
      </c>
      <c r="H6083" s="211">
        <f>'IWP19'!K$597</f>
        <v>0</v>
      </c>
      <c r="I6083" s="211">
        <f>'IWP19'!L$597</f>
        <v>0</v>
      </c>
      <c r="J6083" s="212">
        <f>'IWP19'!M$597</f>
        <v>0</v>
      </c>
      <c r="K6083" s="106"/>
      <c r="L6083" s="106"/>
      <c r="M6083" s="129"/>
    </row>
    <row r="6084" spans="1:13" s="146" customFormat="1">
      <c r="A6084" s="193" t="s">
        <v>517</v>
      </c>
      <c r="B6084" s="210">
        <v>16</v>
      </c>
      <c r="C6084" s="191" t="str">
        <f>IF('IWP19'!E$598=0,"",'IWP19'!E$598)</f>
        <v>D.</v>
      </c>
      <c r="D6084" s="211">
        <f>'IWP19'!G$598</f>
        <v>0</v>
      </c>
      <c r="E6084" s="211" t="str">
        <f>'IWP19'!H$598</f>
        <v>E.</v>
      </c>
      <c r="F6084" s="211" t="str">
        <f>'IWP19'!I$598</f>
        <v>F.</v>
      </c>
      <c r="G6084" s="191" t="str">
        <f>IF('IWP19'!J$598=0,"",'IWP19'!J$598)</f>
        <v>G.</v>
      </c>
      <c r="H6084" s="211">
        <f>'IWP19'!K$598</f>
        <v>0</v>
      </c>
      <c r="I6084" s="211" t="str">
        <f>'IWP19'!L$598</f>
        <v>H.</v>
      </c>
      <c r="J6084" s="212" t="str">
        <f>'IWP19'!M$598</f>
        <v>I.</v>
      </c>
      <c r="K6084" s="106"/>
      <c r="L6084" s="106"/>
      <c r="M6084" s="129"/>
    </row>
    <row r="6085" spans="1:13" s="146" customFormat="1">
      <c r="A6085" s="193" t="s">
        <v>517</v>
      </c>
      <c r="B6085" s="210">
        <v>16</v>
      </c>
      <c r="C6085" s="191" t="str">
        <f>IF('IWP19'!E$599=0,"",'IWP19'!E$599)</f>
        <v xml:space="preserve">Items/Services Related to Billing Period </v>
      </c>
      <c r="D6085" s="211">
        <f>'IWP19'!G$599</f>
        <v>0</v>
      </c>
      <c r="E6085" s="211" t="str">
        <f>'IWP19'!H$599</f>
        <v xml:space="preserve">Item/
Service Verified Amounts
</v>
      </c>
      <c r="F6085" s="211" t="str">
        <f>'IWP19'!I$599</f>
        <v>Amount Due to DADS (E. - D.)</v>
      </c>
      <c r="G6085" s="191" t="str">
        <f>IF('IWP19'!J$599=0,"",'IWP19'!J$599)</f>
        <v>Amount Reimbursed to 
Employee(s)/Employer</v>
      </c>
      <c r="H6085" s="211">
        <f>'IWP19'!K$599</f>
        <v>0</v>
      </c>
      <c r="I6085" s="211" t="str">
        <f>'IWP19'!L$599</f>
        <v>Amount Due to Employee(s) (G. - E.)</v>
      </c>
      <c r="J6085" s="212" t="str">
        <f>'IWP19'!M$599</f>
        <v>Amount Due to Employer (G. - E.)</v>
      </c>
      <c r="K6085" s="106"/>
      <c r="L6085" s="106"/>
      <c r="M6085" s="129"/>
    </row>
    <row r="6086" spans="1:13" s="146" customFormat="1">
      <c r="A6086" s="193" t="s">
        <v>517</v>
      </c>
      <c r="B6086" s="210">
        <v>16</v>
      </c>
      <c r="C6086" s="191" t="str">
        <f>IF('IWP19'!E$600=0,"",'IWP19'!E$600)</f>
        <v>Item/Service</v>
      </c>
      <c r="D6086" s="211" t="str">
        <f>'IWP19'!G$600</f>
        <v>Itemized Amount Paid by DADS</v>
      </c>
      <c r="E6086" s="211">
        <f>'IWP19'!H$600</f>
        <v>0</v>
      </c>
      <c r="F6086" s="211">
        <f>'IWP19'!I$600</f>
        <v>0</v>
      </c>
      <c r="G6086" s="191" t="str">
        <f>IF('IWP19'!J$600=0,"",'IWP19'!J$600)</f>
        <v/>
      </c>
      <c r="H6086" s="211">
        <f>'IWP19'!K$600</f>
        <v>0</v>
      </c>
      <c r="I6086" s="211">
        <f>'IWP19'!L$600</f>
        <v>0</v>
      </c>
      <c r="J6086" s="212">
        <f>'IWP19'!M$600</f>
        <v>0</v>
      </c>
      <c r="K6086" s="106"/>
      <c r="L6086" s="106"/>
      <c r="M6086" s="129"/>
    </row>
    <row r="6087" spans="1:13" s="146" customFormat="1">
      <c r="A6087" s="193" t="s">
        <v>517</v>
      </c>
      <c r="B6087" s="210">
        <v>16</v>
      </c>
      <c r="C6087" s="191" t="str">
        <f>IF('IWP19'!E$601=0,"",'IWP19'!E$601)</f>
        <v/>
      </c>
      <c r="D6087" s="211">
        <f>'IWP19'!G$601</f>
        <v>0</v>
      </c>
      <c r="E6087" s="211">
        <f>'IWP19'!H$601</f>
        <v>0</v>
      </c>
      <c r="F6087" s="211">
        <f>'IWP19'!I$601</f>
        <v>0</v>
      </c>
      <c r="G6087" s="191" t="str">
        <f>IF('IWP19'!J$601=0,"",'IWP19'!J$601)</f>
        <v/>
      </c>
      <c r="H6087" s="211">
        <f>'IWP19'!K$601</f>
        <v>0</v>
      </c>
      <c r="I6087" s="211">
        <f>'IWP19'!L$601</f>
        <v>0</v>
      </c>
      <c r="J6087" s="212">
        <f>'IWP19'!M$601</f>
        <v>0</v>
      </c>
      <c r="K6087" s="106"/>
      <c r="L6087" s="106"/>
      <c r="M6087" s="129"/>
    </row>
    <row r="6088" spans="1:13" s="146" customFormat="1">
      <c r="A6088" s="193" t="s">
        <v>517</v>
      </c>
      <c r="B6088" s="210">
        <v>16</v>
      </c>
      <c r="C6088" s="191" t="str">
        <f>IF('IWP19'!E$602=0,"",'IWP19'!E$602)</f>
        <v/>
      </c>
      <c r="D6088" s="211">
        <f>'IWP19'!G$602</f>
        <v>0</v>
      </c>
      <c r="E6088" s="211">
        <f>'IWP19'!H$602</f>
        <v>0</v>
      </c>
      <c r="F6088" s="211">
        <f>'IWP19'!I$602</f>
        <v>0</v>
      </c>
      <c r="G6088" s="191" t="str">
        <f>IF('IWP19'!J$602=0,"",'IWP19'!J$602)</f>
        <v/>
      </c>
      <c r="H6088" s="211">
        <f>'IWP19'!K$602</f>
        <v>0</v>
      </c>
      <c r="I6088" s="211">
        <f>'IWP19'!L$602</f>
        <v>0</v>
      </c>
      <c r="J6088" s="212">
        <f>'IWP19'!M$602</f>
        <v>0</v>
      </c>
      <c r="K6088" s="106"/>
      <c r="L6088" s="106"/>
      <c r="M6088" s="129"/>
    </row>
    <row r="6089" spans="1:13" s="146" customFormat="1">
      <c r="A6089" s="193" t="s">
        <v>517</v>
      </c>
      <c r="B6089" s="210">
        <v>16</v>
      </c>
      <c r="C6089" s="191" t="str">
        <f>IF('IWP19'!E$603=0,"",'IWP19'!E$603)</f>
        <v/>
      </c>
      <c r="D6089" s="211">
        <f>'IWP19'!G$603</f>
        <v>0</v>
      </c>
      <c r="E6089" s="211">
        <f>'IWP19'!H$603</f>
        <v>0</v>
      </c>
      <c r="F6089" s="211">
        <f>'IWP19'!I$603</f>
        <v>0</v>
      </c>
      <c r="G6089" s="191" t="str">
        <f>IF('IWP19'!J$603=0,"",'IWP19'!J$603)</f>
        <v/>
      </c>
      <c r="H6089" s="211">
        <f>'IWP19'!K$603</f>
        <v>0</v>
      </c>
      <c r="I6089" s="211">
        <f>'IWP19'!L$603</f>
        <v>0</v>
      </c>
      <c r="J6089" s="212">
        <f>'IWP19'!M$603</f>
        <v>0</v>
      </c>
      <c r="K6089" s="106"/>
      <c r="L6089" s="106"/>
      <c r="M6089" s="129"/>
    </row>
    <row r="6090" spans="1:13" s="146" customFormat="1">
      <c r="A6090" s="193" t="s">
        <v>517</v>
      </c>
      <c r="B6090" s="210">
        <v>16</v>
      </c>
      <c r="C6090" s="191" t="str">
        <f>IF('IWP19'!E$604=0,"",'IWP19'!E$604)</f>
        <v/>
      </c>
      <c r="D6090" s="211">
        <f>'IWP19'!G$604</f>
        <v>0</v>
      </c>
      <c r="E6090" s="211">
        <f>'IWP19'!H$604</f>
        <v>0</v>
      </c>
      <c r="F6090" s="211">
        <f>'IWP19'!I$604</f>
        <v>0</v>
      </c>
      <c r="G6090" s="191" t="str">
        <f>IF('IWP19'!J$604=0,"",'IWP19'!J$604)</f>
        <v/>
      </c>
      <c r="H6090" s="211">
        <f>'IWP19'!K$604</f>
        <v>0</v>
      </c>
      <c r="I6090" s="211">
        <f>'IWP19'!L$604</f>
        <v>0</v>
      </c>
      <c r="J6090" s="212">
        <f>'IWP19'!M$604</f>
        <v>0</v>
      </c>
      <c r="K6090" s="106"/>
      <c r="L6090" s="106"/>
      <c r="M6090" s="129"/>
    </row>
    <row r="6091" spans="1:13" s="146" customFormat="1">
      <c r="A6091" s="193" t="s">
        <v>517</v>
      </c>
      <c r="B6091" s="210">
        <v>17</v>
      </c>
      <c r="C6091" s="191" t="str">
        <f>IF('IWP19'!E$611=0,"",'IWP19'!E$611)</f>
        <v>Subtotal column D.</v>
      </c>
      <c r="D6091" s="211">
        <f>'IWP19'!G$611</f>
        <v>0</v>
      </c>
      <c r="E6091" s="211">
        <f>'IWP19'!H$611</f>
        <v>0</v>
      </c>
      <c r="F6091" s="211">
        <f>'IWP19'!I$611</f>
        <v>0</v>
      </c>
      <c r="G6091" s="191" t="str">
        <f>IF('IWP19'!J$611=0,"",'IWP19'!J$611)</f>
        <v/>
      </c>
      <c r="H6091" s="211">
        <f>'IWP19'!K$611</f>
        <v>0</v>
      </c>
      <c r="I6091" s="211">
        <f>'IWP19'!L$611</f>
        <v>0</v>
      </c>
      <c r="J6091" s="212">
        <f>'IWP19'!M$611</f>
        <v>0</v>
      </c>
      <c r="K6091" s="106"/>
      <c r="L6091" s="106"/>
      <c r="M6091" s="129"/>
    </row>
    <row r="6092" spans="1:13" s="146" customFormat="1">
      <c r="A6092" s="193" t="s">
        <v>517</v>
      </c>
      <c r="B6092" s="210">
        <v>17</v>
      </c>
      <c r="C6092" s="191" t="str">
        <f>IF('IWP19'!E$612=0,"",'IWP19'!E$612)</f>
        <v>Unverified/Undocumented (Subtotal D - C)</v>
      </c>
      <c r="D6092" s="211">
        <f>'IWP19'!G$612</f>
        <v>0</v>
      </c>
      <c r="E6092" s="211">
        <f>'IWP19'!H$612</f>
        <v>0</v>
      </c>
      <c r="F6092" s="211">
        <f>'IWP19'!I$612</f>
        <v>0</v>
      </c>
      <c r="G6092" s="191" t="str">
        <f>IF('IWP19'!J$612=0,"",'IWP19'!J$612)</f>
        <v/>
      </c>
      <c r="H6092" s="211">
        <f>'IWP19'!K$612</f>
        <v>0</v>
      </c>
      <c r="I6092" s="211">
        <f>'IWP19'!L$612</f>
        <v>0</v>
      </c>
      <c r="J6092" s="212">
        <f>'IWP19'!M$612</f>
        <v>0</v>
      </c>
      <c r="K6092" s="106"/>
      <c r="L6092" s="106"/>
      <c r="M6092" s="129"/>
    </row>
    <row r="6093" spans="1:13" s="146" customFormat="1">
      <c r="A6093" s="193" t="s">
        <v>517</v>
      </c>
      <c r="B6093" s="210">
        <v>17</v>
      </c>
      <c r="C6093" s="191" t="str">
        <f>IF('IWP19'!E$613=0,"",'IWP19'!E$613)</f>
        <v>J. Billing Period Total</v>
      </c>
      <c r="D6093" s="211">
        <f>'IWP19'!G$613</f>
        <v>0</v>
      </c>
      <c r="E6093" s="211">
        <f>'IWP19'!H$613</f>
        <v>0</v>
      </c>
      <c r="F6093" s="211">
        <f>'IWP19'!I$613</f>
        <v>0</v>
      </c>
      <c r="G6093" s="191" t="str">
        <f>IF('IWP19'!J$613=0,"",'IWP19'!J$613)</f>
        <v/>
      </c>
      <c r="H6093" s="211">
        <f>'IWP19'!K$613</f>
        <v>0</v>
      </c>
      <c r="I6093" s="211">
        <f>'IWP19'!L$613</f>
        <v>0</v>
      </c>
      <c r="J6093" s="212">
        <f>'IWP19'!M$613</f>
        <v>0</v>
      </c>
      <c r="K6093" s="106"/>
      <c r="L6093" s="106"/>
      <c r="M6093" s="129"/>
    </row>
    <row r="6094" spans="1:13" s="146" customFormat="1">
      <c r="A6094" s="193" t="s">
        <v>517</v>
      </c>
      <c r="B6094" s="210">
        <v>17</v>
      </c>
      <c r="C6094" s="191" t="str">
        <f>IF('IWP19'!E$614=0,"",'IWP19'!E$614)</f>
        <v/>
      </c>
      <c r="D6094" s="211">
        <f>'IWP19'!G$614</f>
        <v>0</v>
      </c>
      <c r="E6094" s="211">
        <f>'IWP19'!H$614</f>
        <v>0</v>
      </c>
      <c r="F6094" s="211">
        <f>'IWP19'!I$614</f>
        <v>0</v>
      </c>
      <c r="G6094" s="191" t="str">
        <f>IF('IWP19'!J$614=0,"",'IWP19'!J$614)</f>
        <v/>
      </c>
      <c r="H6094" s="211">
        <f>'IWP19'!K$614</f>
        <v>0</v>
      </c>
      <c r="I6094" s="211">
        <f>'IWP19'!L$614</f>
        <v>0</v>
      </c>
      <c r="J6094" s="212">
        <f>'IWP19'!M$614</f>
        <v>0</v>
      </c>
      <c r="K6094" s="106"/>
      <c r="L6094" s="106"/>
      <c r="M6094" s="129"/>
    </row>
    <row r="6095" spans="1:13" s="146" customFormat="1">
      <c r="A6095" s="193" t="s">
        <v>517</v>
      </c>
      <c r="B6095" s="210">
        <v>17</v>
      </c>
      <c r="C6095" s="191" t="str">
        <f>IF('IWP19'!E$615=0,"",'IWP19'!E$615)</f>
        <v/>
      </c>
      <c r="D6095" s="211">
        <f>'IWP19'!G$615</f>
        <v>0</v>
      </c>
      <c r="E6095" s="211">
        <f>'IWP19'!H$615</f>
        <v>0</v>
      </c>
      <c r="F6095" s="211">
        <f>'IWP19'!I$615</f>
        <v>0</v>
      </c>
      <c r="G6095" s="191" t="str">
        <f>IF('IWP19'!J$615=0,"",'IWP19'!J$615)</f>
        <v/>
      </c>
      <c r="H6095" s="211">
        <f>'IWP19'!K$615</f>
        <v>0</v>
      </c>
      <c r="I6095" s="211">
        <f>'IWP19'!L$615</f>
        <v>0</v>
      </c>
      <c r="J6095" s="212">
        <f>'IWP19'!M$615</f>
        <v>0</v>
      </c>
      <c r="K6095" s="106"/>
      <c r="L6095" s="106"/>
      <c r="M6095" s="129"/>
    </row>
    <row r="6096" spans="1:13" s="146" customFormat="1">
      <c r="A6096" s="193" t="s">
        <v>517</v>
      </c>
      <c r="B6096" s="210">
        <v>17</v>
      </c>
      <c r="C6096" s="191" t="str">
        <f>IF('IWP19'!E$616=0,"",'IWP19'!E$616)</f>
        <v/>
      </c>
      <c r="D6096" s="211">
        <f>'IWP19'!G$616</f>
        <v>0</v>
      </c>
      <c r="E6096" s="211">
        <f>'IWP19'!H$616</f>
        <v>0</v>
      </c>
      <c r="F6096" s="211">
        <f>'IWP19'!I$616</f>
        <v>0</v>
      </c>
      <c r="G6096" s="191" t="str">
        <f>IF('IWP19'!J$616=0,"",'IWP19'!J$616)</f>
        <v/>
      </c>
      <c r="H6096" s="211">
        <f>'IWP19'!K$616</f>
        <v>0</v>
      </c>
      <c r="I6096" s="211">
        <f>'IWP19'!L$616</f>
        <v>0</v>
      </c>
      <c r="J6096" s="212">
        <f>'IWP19'!M$616</f>
        <v>0</v>
      </c>
      <c r="K6096" s="106"/>
      <c r="L6096" s="106"/>
      <c r="M6096" s="129"/>
    </row>
    <row r="6097" spans="1:13" s="146" customFormat="1">
      <c r="A6097" s="193" t="s">
        <v>517</v>
      </c>
      <c r="B6097" s="210">
        <v>17</v>
      </c>
      <c r="C6097" s="191" t="str">
        <f>IF('IWP19'!E$617=0,"",'IWP19'!E$617)</f>
        <v/>
      </c>
      <c r="D6097" s="211">
        <f>'IWP19'!G$617</f>
        <v>0</v>
      </c>
      <c r="E6097" s="211">
        <f>'IWP19'!H$617</f>
        <v>0</v>
      </c>
      <c r="F6097" s="211">
        <f>'IWP19'!I$617</f>
        <v>0</v>
      </c>
      <c r="G6097" s="191" t="str">
        <f>IF('IWP19'!J$617=0,"",'IWP19'!J$617)</f>
        <v/>
      </c>
      <c r="H6097" s="211">
        <f>'IWP19'!K$617</f>
        <v>0</v>
      </c>
      <c r="I6097" s="211">
        <f>'IWP19'!L$617</f>
        <v>0</v>
      </c>
      <c r="J6097" s="212">
        <f>'IWP19'!M$617</f>
        <v>0</v>
      </c>
      <c r="K6097" s="106"/>
      <c r="L6097" s="106"/>
      <c r="M6097" s="129"/>
    </row>
    <row r="6098" spans="1:13" s="146" customFormat="1">
      <c r="A6098" s="193" t="s">
        <v>517</v>
      </c>
      <c r="B6098" s="210">
        <v>17</v>
      </c>
      <c r="C6098" s="191" t="str">
        <f>IF('IWP19'!E$618=0,"",'IWP19'!E$618)</f>
        <v/>
      </c>
      <c r="D6098" s="211">
        <f>'IWP19'!G$618</f>
        <v>0</v>
      </c>
      <c r="E6098" s="211">
        <f>'IWP19'!H$618</f>
        <v>0</v>
      </c>
      <c r="F6098" s="211">
        <f>'IWP19'!I$618</f>
        <v>0</v>
      </c>
      <c r="G6098" s="191" t="str">
        <f>IF('IWP19'!J$618=0,"",'IWP19'!J$618)</f>
        <v/>
      </c>
      <c r="H6098" s="211">
        <f>'IWP19'!K$618</f>
        <v>0</v>
      </c>
      <c r="I6098" s="211">
        <f>'IWP19'!L$618</f>
        <v>0</v>
      </c>
      <c r="J6098" s="212">
        <f>'IWP19'!M$618</f>
        <v>0</v>
      </c>
      <c r="K6098" s="106"/>
      <c r="L6098" s="106"/>
      <c r="M6098" s="129"/>
    </row>
    <row r="6099" spans="1:13" s="146" customFormat="1">
      <c r="A6099" s="193" t="s">
        <v>517</v>
      </c>
      <c r="B6099" s="210">
        <v>17</v>
      </c>
      <c r="C6099" s="191" t="str">
        <f>IF('IWP19'!E$619=0,"",'IWP19'!E$619)</f>
        <v/>
      </c>
      <c r="D6099" s="211">
        <f>'IWP19'!G$619</f>
        <v>0</v>
      </c>
      <c r="E6099" s="211">
        <f>'IWP19'!H$619</f>
        <v>0</v>
      </c>
      <c r="F6099" s="211">
        <f>'IWP19'!I$619</f>
        <v>0</v>
      </c>
      <c r="G6099" s="191" t="str">
        <f>IF('IWP19'!J$619=0,"",'IWP19'!J$619)</f>
        <v/>
      </c>
      <c r="H6099" s="211">
        <f>'IWP19'!K$619</f>
        <v>0</v>
      </c>
      <c r="I6099" s="211">
        <f>'IWP19'!L$619</f>
        <v>0</v>
      </c>
      <c r="J6099" s="212">
        <f>'IWP19'!M$619</f>
        <v>0</v>
      </c>
      <c r="K6099" s="106"/>
      <c r="L6099" s="106"/>
      <c r="M6099" s="129"/>
    </row>
    <row r="6100" spans="1:13" s="146" customFormat="1">
      <c r="A6100" s="193" t="s">
        <v>517</v>
      </c>
      <c r="B6100" s="210">
        <v>17</v>
      </c>
      <c r="C6100" s="191" t="str">
        <f>IF('IWP19'!E$620=0,"",'IWP19'!E$620)</f>
        <v/>
      </c>
      <c r="D6100" s="211">
        <f>'IWP19'!G$620</f>
        <v>0</v>
      </c>
      <c r="E6100" s="211">
        <f>'IWP19'!H$620</f>
        <v>0</v>
      </c>
      <c r="F6100" s="211">
        <f>'IWP19'!I$620</f>
        <v>0</v>
      </c>
      <c r="G6100" s="191" t="str">
        <f>IF('IWP19'!J$620=0,"",'IWP19'!J$620)</f>
        <v/>
      </c>
      <c r="H6100" s="211">
        <f>'IWP19'!K$620</f>
        <v>0</v>
      </c>
      <c r="I6100" s="211">
        <f>'IWP19'!L$620</f>
        <v>0</v>
      </c>
      <c r="J6100" s="212">
        <f>'IWP19'!M$620</f>
        <v>0</v>
      </c>
      <c r="K6100" s="106"/>
      <c r="L6100" s="106"/>
      <c r="M6100" s="129"/>
    </row>
    <row r="6101" spans="1:13" s="146" customFormat="1">
      <c r="A6101" s="193" t="s">
        <v>517</v>
      </c>
      <c r="B6101" s="210">
        <v>18</v>
      </c>
      <c r="C6101" s="191" t="str">
        <f>IF('IWP19'!E$627=0,"",'IWP19'!E$627)</f>
        <v/>
      </c>
      <c r="D6101" s="211">
        <f>'IWP19'!G$627</f>
        <v>0</v>
      </c>
      <c r="E6101" s="211">
        <f>'IWP19'!H$627</f>
        <v>0</v>
      </c>
      <c r="F6101" s="211">
        <f>'IWP19'!I$627</f>
        <v>0</v>
      </c>
      <c r="G6101" s="191" t="str">
        <f>IF('IWP19'!J$627=0,"",'IWP19'!J$627)</f>
        <v/>
      </c>
      <c r="H6101" s="211">
        <f>'IWP19'!K$627</f>
        <v>0</v>
      </c>
      <c r="I6101" s="211">
        <f>'IWP19'!L$627</f>
        <v>0</v>
      </c>
      <c r="J6101" s="212">
        <f>'IWP19'!M$627</f>
        <v>0</v>
      </c>
      <c r="K6101" s="106"/>
      <c r="L6101" s="106"/>
      <c r="M6101" s="129"/>
    </row>
    <row r="6102" spans="1:13" s="146" customFormat="1">
      <c r="A6102" s="193" t="s">
        <v>517</v>
      </c>
      <c r="B6102" s="210">
        <v>18</v>
      </c>
      <c r="C6102" s="191" t="str">
        <f>IF('IWP19'!E$628=0,"",'IWP19'!E$628)</f>
        <v/>
      </c>
      <c r="D6102" s="211">
        <f>'IWP19'!G$628</f>
        <v>0</v>
      </c>
      <c r="E6102" s="211">
        <f>'IWP19'!H$628</f>
        <v>0</v>
      </c>
      <c r="F6102" s="211">
        <f>'IWP19'!I$628</f>
        <v>0</v>
      </c>
      <c r="G6102" s="191" t="str">
        <f>IF('IWP19'!J$628=0,"",'IWP19'!J$628)</f>
        <v/>
      </c>
      <c r="H6102" s="211">
        <f>'IWP19'!K$628</f>
        <v>0</v>
      </c>
      <c r="I6102" s="211">
        <f>'IWP19'!L$628</f>
        <v>0</v>
      </c>
      <c r="J6102" s="212">
        <f>'IWP19'!M$628</f>
        <v>0</v>
      </c>
      <c r="K6102" s="106"/>
      <c r="L6102" s="106"/>
      <c r="M6102" s="129"/>
    </row>
    <row r="6103" spans="1:13" s="146" customFormat="1">
      <c r="A6103" s="193" t="s">
        <v>517</v>
      </c>
      <c r="B6103" s="210">
        <v>18</v>
      </c>
      <c r="C6103" s="191" t="str">
        <f>IF('IWP19'!E$629=0,"",'IWP19'!E$629)</f>
        <v/>
      </c>
      <c r="D6103" s="211">
        <f>'IWP19'!G$629</f>
        <v>0</v>
      </c>
      <c r="E6103" s="211">
        <f>'IWP19'!H$629</f>
        <v>0</v>
      </c>
      <c r="F6103" s="211">
        <f>'IWP19'!I$629</f>
        <v>0</v>
      </c>
      <c r="G6103" s="191" t="str">
        <f>IF('IWP19'!J$629=0,"",'IWP19'!J$629)</f>
        <v/>
      </c>
      <c r="H6103" s="211">
        <f>'IWP19'!K$629</f>
        <v>0</v>
      </c>
      <c r="I6103" s="211">
        <f>'IWP19'!L$629</f>
        <v>0</v>
      </c>
      <c r="J6103" s="212">
        <f>'IWP19'!M$629</f>
        <v>0</v>
      </c>
      <c r="K6103" s="106"/>
      <c r="L6103" s="106"/>
      <c r="M6103" s="129"/>
    </row>
    <row r="6104" spans="1:13" s="146" customFormat="1">
      <c r="A6104" s="193" t="s">
        <v>517</v>
      </c>
      <c r="B6104" s="210">
        <v>18</v>
      </c>
      <c r="C6104" s="191" t="str">
        <f>IF('IWP19'!E$630=0,"",'IWP19'!E$630)</f>
        <v/>
      </c>
      <c r="D6104" s="211">
        <f>'IWP19'!G$630</f>
        <v>0</v>
      </c>
      <c r="E6104" s="211">
        <f>'IWP19'!H$630</f>
        <v>0</v>
      </c>
      <c r="F6104" s="211">
        <f>'IWP19'!I$630</f>
        <v>0</v>
      </c>
      <c r="G6104" s="191" t="str">
        <f>IF('IWP19'!J$630=0,"",'IWP19'!J$630)</f>
        <v/>
      </c>
      <c r="H6104" s="211">
        <f>'IWP19'!K$630</f>
        <v>0</v>
      </c>
      <c r="I6104" s="211">
        <f>'IWP19'!L$630</f>
        <v>0</v>
      </c>
      <c r="J6104" s="212">
        <f>'IWP19'!M$630</f>
        <v>0</v>
      </c>
      <c r="K6104" s="106"/>
      <c r="L6104" s="106"/>
      <c r="M6104" s="129"/>
    </row>
    <row r="6105" spans="1:13" s="146" customFormat="1">
      <c r="A6105" s="193" t="s">
        <v>517</v>
      </c>
      <c r="B6105" s="210">
        <v>18</v>
      </c>
      <c r="C6105" s="191" t="str">
        <f>IF('IWP19'!E$631=0,"",'IWP19'!E$631)</f>
        <v/>
      </c>
      <c r="D6105" s="211">
        <f>'IWP19'!G$631</f>
        <v>0</v>
      </c>
      <c r="E6105" s="211">
        <f>'IWP19'!H$631</f>
        <v>0</v>
      </c>
      <c r="F6105" s="211">
        <f>'IWP19'!I$631</f>
        <v>0</v>
      </c>
      <c r="G6105" s="191" t="str">
        <f>IF('IWP19'!J$631=0,"",'IWP19'!J$631)</f>
        <v/>
      </c>
      <c r="H6105" s="211">
        <f>'IWP19'!K$631</f>
        <v>0</v>
      </c>
      <c r="I6105" s="211">
        <f>'IWP19'!L$631</f>
        <v>0</v>
      </c>
      <c r="J6105" s="212">
        <f>'IWP19'!M$631</f>
        <v>0</v>
      </c>
      <c r="K6105" s="106"/>
      <c r="L6105" s="106"/>
      <c r="M6105" s="129"/>
    </row>
    <row r="6106" spans="1:13" s="146" customFormat="1">
      <c r="A6106" s="193" t="s">
        <v>517</v>
      </c>
      <c r="B6106" s="210">
        <v>18</v>
      </c>
      <c r="C6106" s="191" t="str">
        <f>IF('IWP19'!E$632=0,"",'IWP19'!E$632)</f>
        <v/>
      </c>
      <c r="D6106" s="211">
        <f>'IWP19'!G$632</f>
        <v>0</v>
      </c>
      <c r="E6106" s="211">
        <f>'IWP19'!H$632</f>
        <v>0</v>
      </c>
      <c r="F6106" s="211">
        <f>'IWP19'!I$632</f>
        <v>0</v>
      </c>
      <c r="G6106" s="191" t="str">
        <f>IF('IWP19'!J$632=0,"",'IWP19'!J$632)</f>
        <v/>
      </c>
      <c r="H6106" s="211">
        <f>'IWP19'!K$632</f>
        <v>0</v>
      </c>
      <c r="I6106" s="211">
        <f>'IWP19'!L$632</f>
        <v>0</v>
      </c>
      <c r="J6106" s="212">
        <f>'IWP19'!M$632</f>
        <v>0</v>
      </c>
      <c r="K6106" s="106"/>
      <c r="L6106" s="106"/>
      <c r="M6106" s="129"/>
    </row>
    <row r="6107" spans="1:13" s="146" customFormat="1">
      <c r="A6107" s="193" t="s">
        <v>517</v>
      </c>
      <c r="B6107" s="210">
        <v>18</v>
      </c>
      <c r="C6107" s="191" t="str">
        <f>IF('IWP19'!E$633=0,"",'IWP19'!E$633)</f>
        <v/>
      </c>
      <c r="D6107" s="211">
        <f>'IWP19'!G$633</f>
        <v>0</v>
      </c>
      <c r="E6107" s="211">
        <f>'IWP19'!H$633</f>
        <v>0</v>
      </c>
      <c r="F6107" s="211">
        <f>'IWP19'!I$633</f>
        <v>0</v>
      </c>
      <c r="G6107" s="191" t="str">
        <f>IF('IWP19'!J$633=0,"",'IWP19'!J$633)</f>
        <v/>
      </c>
      <c r="H6107" s="211">
        <f>'IWP19'!K$633</f>
        <v>0</v>
      </c>
      <c r="I6107" s="211">
        <f>'IWP19'!L$633</f>
        <v>0</v>
      </c>
      <c r="J6107" s="212">
        <f>'IWP19'!M$633</f>
        <v>0</v>
      </c>
      <c r="K6107" s="106"/>
      <c r="L6107" s="106"/>
      <c r="M6107" s="129"/>
    </row>
    <row r="6108" spans="1:13" s="146" customFormat="1">
      <c r="A6108" s="193" t="s">
        <v>517</v>
      </c>
      <c r="B6108" s="210">
        <v>18</v>
      </c>
      <c r="C6108" s="191" t="str">
        <f>IF('IWP19'!E$634=0,"",'IWP19'!E$634)</f>
        <v/>
      </c>
      <c r="D6108" s="211">
        <f>'IWP19'!G$634</f>
        <v>0</v>
      </c>
      <c r="E6108" s="211">
        <f>'IWP19'!H$634</f>
        <v>0</v>
      </c>
      <c r="F6108" s="211">
        <f>'IWP19'!I$634</f>
        <v>0</v>
      </c>
      <c r="G6108" s="191" t="str">
        <f>IF('IWP19'!J$634=0,"",'IWP19'!J$634)</f>
        <v/>
      </c>
      <c r="H6108" s="211">
        <f>'IWP19'!K$634</f>
        <v>0</v>
      </c>
      <c r="I6108" s="211">
        <f>'IWP19'!L$634</f>
        <v>0</v>
      </c>
      <c r="J6108" s="212">
        <f>'IWP19'!M$634</f>
        <v>0</v>
      </c>
      <c r="K6108" s="106"/>
      <c r="L6108" s="106"/>
      <c r="M6108" s="129"/>
    </row>
    <row r="6109" spans="1:13" s="146" customFormat="1">
      <c r="A6109" s="193" t="s">
        <v>517</v>
      </c>
      <c r="B6109" s="210">
        <v>18</v>
      </c>
      <c r="C6109" s="191" t="str">
        <f>IF('IWP19'!E$635=0,"",'IWP19'!E$635)</f>
        <v/>
      </c>
      <c r="D6109" s="211">
        <f>'IWP19'!G$635</f>
        <v>0</v>
      </c>
      <c r="E6109" s="211">
        <f>'IWP19'!H$635</f>
        <v>0</v>
      </c>
      <c r="F6109" s="211">
        <f>'IWP19'!I$635</f>
        <v>0</v>
      </c>
      <c r="G6109" s="191" t="str">
        <f>IF('IWP19'!J$635=0,"",'IWP19'!J$635)</f>
        <v/>
      </c>
      <c r="H6109" s="211">
        <f>'IWP19'!K$635</f>
        <v>0</v>
      </c>
      <c r="I6109" s="211">
        <f>'IWP19'!L$635</f>
        <v>0</v>
      </c>
      <c r="J6109" s="212">
        <f>'IWP19'!M$635</f>
        <v>0</v>
      </c>
      <c r="K6109" s="106"/>
      <c r="L6109" s="106"/>
      <c r="M6109" s="129"/>
    </row>
    <row r="6110" spans="1:13" s="146" customFormat="1">
      <c r="A6110" s="193" t="s">
        <v>517</v>
      </c>
      <c r="B6110" s="210">
        <v>18</v>
      </c>
      <c r="C6110" s="191" t="str">
        <f>IF('IWP19'!E$636=0,"",'IWP19'!E$636)</f>
        <v/>
      </c>
      <c r="D6110" s="211">
        <f>'IWP19'!G$636</f>
        <v>0</v>
      </c>
      <c r="E6110" s="211">
        <f>'IWP19'!H$636</f>
        <v>0</v>
      </c>
      <c r="F6110" s="211">
        <f>'IWP19'!I$636</f>
        <v>0</v>
      </c>
      <c r="G6110" s="191" t="str">
        <f>IF('IWP19'!J$636=0,"",'IWP19'!J$636)</f>
        <v/>
      </c>
      <c r="H6110" s="211">
        <f>'IWP19'!K$636</f>
        <v>0</v>
      </c>
      <c r="I6110" s="211">
        <f>'IWP19'!L$636</f>
        <v>0</v>
      </c>
      <c r="J6110" s="212">
        <f>'IWP19'!M$636</f>
        <v>0</v>
      </c>
      <c r="K6110" s="106"/>
      <c r="L6110" s="106"/>
      <c r="M6110" s="129"/>
    </row>
    <row r="6111" spans="1:13" s="146" customFormat="1">
      <c r="A6111" s="193" t="s">
        <v>518</v>
      </c>
      <c r="B6111" s="210">
        <v>1</v>
      </c>
      <c r="C6111" s="191" t="str">
        <f>IF('IWP20'!E$355=0,"",'IWP20'!E$355)</f>
        <v>Subtotal column D.</v>
      </c>
      <c r="D6111" s="211">
        <f>'IWP20'!G$355</f>
        <v>0</v>
      </c>
      <c r="E6111" s="211">
        <f>'IWP20'!H$355</f>
        <v>0</v>
      </c>
      <c r="F6111" s="211">
        <f>'IWP20'!I$355</f>
        <v>0</v>
      </c>
      <c r="G6111" s="191" t="str">
        <f>IF('IWP20'!J$355=0,"",'IWP20'!J$355)</f>
        <v/>
      </c>
      <c r="H6111" s="211">
        <f>'IWP20'!K$355</f>
        <v>0</v>
      </c>
      <c r="I6111" s="211">
        <f>'IWP20'!L$355</f>
        <v>0</v>
      </c>
      <c r="J6111" s="212">
        <f>'IWP20'!M$355</f>
        <v>0</v>
      </c>
      <c r="K6111" s="106"/>
      <c r="L6111" s="106"/>
      <c r="M6111" s="129"/>
    </row>
    <row r="6112" spans="1:13" s="146" customFormat="1">
      <c r="A6112" s="193" t="s">
        <v>518</v>
      </c>
      <c r="B6112" s="210">
        <v>1</v>
      </c>
      <c r="C6112" s="191" t="str">
        <f>IF('IWP20'!E$356=0,"",'IWP20'!E$356)</f>
        <v>Unverified/Undocumented (Subtotall D - C)</v>
      </c>
      <c r="D6112" s="211">
        <f>'IWP20'!G$356</f>
        <v>0</v>
      </c>
      <c r="E6112" s="211">
        <f>'IWP20'!H$356</f>
        <v>0</v>
      </c>
      <c r="F6112" s="211">
        <f>'IWP20'!I$356</f>
        <v>0</v>
      </c>
      <c r="G6112" s="191" t="str">
        <f>IF('IWP20'!J$356=0,"",'IWP20'!J$356)</f>
        <v/>
      </c>
      <c r="H6112" s="211">
        <f>'IWP20'!K$356</f>
        <v>0</v>
      </c>
      <c r="I6112" s="211">
        <f>'IWP20'!L$356</f>
        <v>0</v>
      </c>
      <c r="J6112" s="212">
        <f>'IWP20'!M$356</f>
        <v>0</v>
      </c>
      <c r="K6112" s="106"/>
      <c r="L6112" s="106"/>
      <c r="M6112" s="129"/>
    </row>
    <row r="6113" spans="1:13" s="146" customFormat="1">
      <c r="A6113" s="193" t="s">
        <v>518</v>
      </c>
      <c r="B6113" s="210">
        <v>1</v>
      </c>
      <c r="C6113" s="191" t="str">
        <f>IF('IWP20'!E$357=0,"",'IWP20'!E$357)</f>
        <v>J. Billing Period Total</v>
      </c>
      <c r="D6113" s="211">
        <f>'IWP20'!G$357</f>
        <v>0</v>
      </c>
      <c r="E6113" s="211">
        <f>'IWP20'!H$357</f>
        <v>0</v>
      </c>
      <c r="F6113" s="211">
        <f>'IWP20'!I$357</f>
        <v>0</v>
      </c>
      <c r="G6113" s="191" t="str">
        <f>IF('IWP20'!J$357=0,"",'IWP20'!J$357)</f>
        <v/>
      </c>
      <c r="H6113" s="211">
        <f>'IWP20'!K$357</f>
        <v>0</v>
      </c>
      <c r="I6113" s="211">
        <f>'IWP20'!L$357</f>
        <v>0</v>
      </c>
      <c r="J6113" s="212">
        <f>'IWP20'!M$357</f>
        <v>0</v>
      </c>
      <c r="K6113" s="106"/>
      <c r="L6113" s="106"/>
      <c r="M6113" s="129"/>
    </row>
    <row r="6114" spans="1:13" s="146" customFormat="1">
      <c r="A6114" s="193" t="s">
        <v>518</v>
      </c>
      <c r="B6114" s="210">
        <v>1</v>
      </c>
      <c r="C6114" s="191" t="str">
        <f>IF('IWP20'!E$358=0,"",'IWP20'!E$358)</f>
        <v>D.</v>
      </c>
      <c r="D6114" s="211">
        <f>'IWP20'!G$358</f>
        <v>0</v>
      </c>
      <c r="E6114" s="211" t="str">
        <f>'IWP20'!H$358</f>
        <v>E.</v>
      </c>
      <c r="F6114" s="211" t="str">
        <f>'IWP20'!I$358</f>
        <v>F.</v>
      </c>
      <c r="G6114" s="191" t="str">
        <f>IF('IWP20'!J$358=0,"",'IWP20'!J$358)</f>
        <v>G.</v>
      </c>
      <c r="H6114" s="211">
        <f>'IWP20'!K$358</f>
        <v>0</v>
      </c>
      <c r="I6114" s="211" t="str">
        <f>'IWP20'!L$358</f>
        <v>H.</v>
      </c>
      <c r="J6114" s="212" t="str">
        <f>'IWP20'!M$358</f>
        <v>I.</v>
      </c>
      <c r="K6114" s="106"/>
      <c r="L6114" s="106"/>
      <c r="M6114" s="129"/>
    </row>
    <row r="6115" spans="1:13" s="146" customFormat="1">
      <c r="A6115" s="193" t="s">
        <v>518</v>
      </c>
      <c r="B6115" s="210">
        <v>1</v>
      </c>
      <c r="C6115" s="191" t="str">
        <f>IF('IWP20'!E$359=0,"",'IWP20'!E$359)</f>
        <v xml:space="preserve">Items/Services Related to Billing Period </v>
      </c>
      <c r="D6115" s="211">
        <f>'IWP20'!G$359</f>
        <v>0</v>
      </c>
      <c r="E6115" s="211" t="str">
        <f>'IWP20'!H$359</f>
        <v xml:space="preserve">Item/
Service Verified Amounts
</v>
      </c>
      <c r="F6115" s="211" t="str">
        <f>'IWP20'!I$359</f>
        <v>Amount Due to DADS (E. - D.)</v>
      </c>
      <c r="G6115" s="191" t="str">
        <f>IF('IWP20'!J$359=0,"",'IWP20'!J$359)</f>
        <v>Amount Reimbursed to 
Employee(s)/Employer</v>
      </c>
      <c r="H6115" s="211">
        <f>'IWP20'!K$359</f>
        <v>0</v>
      </c>
      <c r="I6115" s="211" t="str">
        <f>'IWP20'!L$359</f>
        <v>Amount Due to Employee(s) (G. - E.)</v>
      </c>
      <c r="J6115" s="212" t="str">
        <f>'IWP20'!M$359</f>
        <v>Amount Due to Employer (G. - E.)</v>
      </c>
      <c r="K6115" s="106"/>
      <c r="L6115" s="106"/>
      <c r="M6115" s="129"/>
    </row>
    <row r="6116" spans="1:13" s="146" customFormat="1">
      <c r="A6116" s="193" t="s">
        <v>518</v>
      </c>
      <c r="B6116" s="210">
        <v>1</v>
      </c>
      <c r="C6116" s="191" t="str">
        <f>IF('IWP20'!E$360=0,"",'IWP20'!E$360)</f>
        <v>Item/Service</v>
      </c>
      <c r="D6116" s="211" t="str">
        <f>'IWP20'!G$360</f>
        <v>Itemized Amount Paid by DADS</v>
      </c>
      <c r="E6116" s="211">
        <f>'IWP20'!H$360</f>
        <v>0</v>
      </c>
      <c r="F6116" s="211">
        <f>'IWP20'!I$360</f>
        <v>0</v>
      </c>
      <c r="G6116" s="191" t="str">
        <f>IF('IWP20'!J$360=0,"",'IWP20'!J$360)</f>
        <v/>
      </c>
      <c r="H6116" s="211">
        <f>'IWP20'!K$360</f>
        <v>0</v>
      </c>
      <c r="I6116" s="211">
        <f>'IWP20'!L$360</f>
        <v>0</v>
      </c>
      <c r="J6116" s="212">
        <f>'IWP20'!M$360</f>
        <v>0</v>
      </c>
      <c r="K6116" s="106"/>
      <c r="L6116" s="106"/>
      <c r="M6116" s="129"/>
    </row>
    <row r="6117" spans="1:13" s="146" customFormat="1">
      <c r="A6117" s="193" t="s">
        <v>518</v>
      </c>
      <c r="B6117" s="210">
        <v>1</v>
      </c>
      <c r="C6117" s="191" t="str">
        <f>IF('IWP20'!E$361=0,"",'IWP20'!E$361)</f>
        <v/>
      </c>
      <c r="D6117" s="211">
        <f>'IWP20'!G$361</f>
        <v>0</v>
      </c>
      <c r="E6117" s="211">
        <f>'IWP20'!H$361</f>
        <v>0</v>
      </c>
      <c r="F6117" s="211">
        <f>'IWP20'!I$361</f>
        <v>0</v>
      </c>
      <c r="G6117" s="191" t="str">
        <f>IF('IWP20'!J$361=0,"",'IWP20'!J$361)</f>
        <v/>
      </c>
      <c r="H6117" s="211">
        <f>'IWP20'!K$361</f>
        <v>0</v>
      </c>
      <c r="I6117" s="211">
        <f>'IWP20'!L$361</f>
        <v>0</v>
      </c>
      <c r="J6117" s="212">
        <f>'IWP20'!M$361</f>
        <v>0</v>
      </c>
      <c r="K6117" s="106"/>
      <c r="L6117" s="106"/>
      <c r="M6117" s="129"/>
    </row>
    <row r="6118" spans="1:13" s="146" customFormat="1">
      <c r="A6118" s="193" t="s">
        <v>518</v>
      </c>
      <c r="B6118" s="210">
        <v>1</v>
      </c>
      <c r="C6118" s="191" t="str">
        <f>IF('IWP20'!E$362=0,"",'IWP20'!E$362)</f>
        <v/>
      </c>
      <c r="D6118" s="211">
        <f>'IWP20'!G$362</f>
        <v>0</v>
      </c>
      <c r="E6118" s="211">
        <f>'IWP20'!H$362</f>
        <v>0</v>
      </c>
      <c r="F6118" s="211">
        <f>'IWP20'!I$362</f>
        <v>0</v>
      </c>
      <c r="G6118" s="191" t="str">
        <f>IF('IWP20'!J$362=0,"",'IWP20'!J$362)</f>
        <v/>
      </c>
      <c r="H6118" s="211">
        <f>'IWP20'!K$362</f>
        <v>0</v>
      </c>
      <c r="I6118" s="211">
        <f>'IWP20'!L$362</f>
        <v>0</v>
      </c>
      <c r="J6118" s="212">
        <f>'IWP20'!M$362</f>
        <v>0</v>
      </c>
      <c r="K6118" s="106"/>
      <c r="L6118" s="106"/>
      <c r="M6118" s="129"/>
    </row>
    <row r="6119" spans="1:13" s="146" customFormat="1">
      <c r="A6119" s="193" t="s">
        <v>518</v>
      </c>
      <c r="B6119" s="210">
        <v>1</v>
      </c>
      <c r="C6119" s="191" t="str">
        <f>IF('IWP20'!E$363=0,"",'IWP20'!E$363)</f>
        <v/>
      </c>
      <c r="D6119" s="211">
        <f>'IWP20'!G$363</f>
        <v>0</v>
      </c>
      <c r="E6119" s="211">
        <f>'IWP20'!H$363</f>
        <v>0</v>
      </c>
      <c r="F6119" s="211">
        <f>'IWP20'!I$363</f>
        <v>0</v>
      </c>
      <c r="G6119" s="191" t="str">
        <f>IF('IWP20'!J$363=0,"",'IWP20'!J$363)</f>
        <v/>
      </c>
      <c r="H6119" s="211">
        <f>'IWP20'!K$363</f>
        <v>0</v>
      </c>
      <c r="I6119" s="211">
        <f>'IWP20'!L$363</f>
        <v>0</v>
      </c>
      <c r="J6119" s="212">
        <f>'IWP20'!M$363</f>
        <v>0</v>
      </c>
      <c r="K6119" s="106"/>
      <c r="L6119" s="106"/>
      <c r="M6119" s="129"/>
    </row>
    <row r="6120" spans="1:13" s="146" customFormat="1">
      <c r="A6120" s="193" t="s">
        <v>518</v>
      </c>
      <c r="B6120" s="210">
        <v>1</v>
      </c>
      <c r="C6120" s="191" t="str">
        <f>IF('IWP20'!E$364=0,"",'IWP20'!E$364)</f>
        <v/>
      </c>
      <c r="D6120" s="211">
        <f>'IWP20'!G$364</f>
        <v>0</v>
      </c>
      <c r="E6120" s="211">
        <f>'IWP20'!H$364</f>
        <v>0</v>
      </c>
      <c r="F6120" s="211">
        <f>'IWP20'!I$364</f>
        <v>0</v>
      </c>
      <c r="G6120" s="191" t="str">
        <f>IF('IWP20'!J$364=0,"",'IWP20'!J$364)</f>
        <v/>
      </c>
      <c r="H6120" s="211">
        <f>'IWP20'!K$364</f>
        <v>0</v>
      </c>
      <c r="I6120" s="211">
        <f>'IWP20'!L$364</f>
        <v>0</v>
      </c>
      <c r="J6120" s="212">
        <f>'IWP20'!M$364</f>
        <v>0</v>
      </c>
      <c r="K6120" s="106"/>
      <c r="L6120" s="106"/>
      <c r="M6120" s="129"/>
    </row>
    <row r="6121" spans="1:13" s="146" customFormat="1">
      <c r="A6121" s="193" t="s">
        <v>518</v>
      </c>
      <c r="B6121" s="210">
        <v>2</v>
      </c>
      <c r="C6121" s="191" t="str">
        <f>IF('IWP20'!E$371=0,"",'IWP20'!E$371)</f>
        <v>Subtotal column D.</v>
      </c>
      <c r="D6121" s="211">
        <f>'IWP20'!G$371</f>
        <v>0</v>
      </c>
      <c r="E6121" s="211">
        <f>'IWP20'!H$371</f>
        <v>0</v>
      </c>
      <c r="F6121" s="211">
        <f>'IWP20'!I$371</f>
        <v>0</v>
      </c>
      <c r="G6121" s="191" t="str">
        <f>IF('IWP20'!J$371=0,"",'IWP20'!J$371)</f>
        <v/>
      </c>
      <c r="H6121" s="211">
        <f>'IWP20'!K$371</f>
        <v>0</v>
      </c>
      <c r="I6121" s="211">
        <f>'IWP20'!L$371</f>
        <v>0</v>
      </c>
      <c r="J6121" s="212">
        <f>'IWP20'!M$371</f>
        <v>0</v>
      </c>
      <c r="K6121" s="106"/>
      <c r="L6121" s="106"/>
      <c r="M6121" s="129"/>
    </row>
    <row r="6122" spans="1:13" s="146" customFormat="1">
      <c r="A6122" s="193" t="s">
        <v>518</v>
      </c>
      <c r="B6122" s="210">
        <v>2</v>
      </c>
      <c r="C6122" s="191" t="str">
        <f>IF('IWP20'!E$372=0,"",'IWP20'!E$372)</f>
        <v>Unverified/Undocumented (Subtotal D - C)</v>
      </c>
      <c r="D6122" s="211">
        <f>'IWP20'!G$372</f>
        <v>0</v>
      </c>
      <c r="E6122" s="211">
        <f>'IWP20'!H$372</f>
        <v>0</v>
      </c>
      <c r="F6122" s="211">
        <f>'IWP20'!I$372</f>
        <v>0</v>
      </c>
      <c r="G6122" s="191" t="str">
        <f>IF('IWP20'!J$372=0,"",'IWP20'!J$372)</f>
        <v/>
      </c>
      <c r="H6122" s="211">
        <f>'IWP20'!K$372</f>
        <v>0</v>
      </c>
      <c r="I6122" s="211">
        <f>'IWP20'!L$372</f>
        <v>0</v>
      </c>
      <c r="J6122" s="212">
        <f>'IWP20'!M$372</f>
        <v>0</v>
      </c>
      <c r="K6122" s="106"/>
      <c r="L6122" s="106"/>
      <c r="M6122" s="129"/>
    </row>
    <row r="6123" spans="1:13" s="146" customFormat="1">
      <c r="A6123" s="193" t="s">
        <v>518</v>
      </c>
      <c r="B6123" s="210">
        <v>2</v>
      </c>
      <c r="C6123" s="191" t="str">
        <f>IF('IWP20'!E$373=0,"",'IWP20'!E$373)</f>
        <v>J. Billing Period Total</v>
      </c>
      <c r="D6123" s="211">
        <f>'IWP20'!G$373</f>
        <v>0</v>
      </c>
      <c r="E6123" s="211">
        <f>'IWP20'!H$373</f>
        <v>0</v>
      </c>
      <c r="F6123" s="211">
        <f>'IWP20'!I$373</f>
        <v>0</v>
      </c>
      <c r="G6123" s="191" t="str">
        <f>IF('IWP20'!J$373=0,"",'IWP20'!J$373)</f>
        <v/>
      </c>
      <c r="H6123" s="211">
        <f>'IWP20'!K$373</f>
        <v>0</v>
      </c>
      <c r="I6123" s="211">
        <f>'IWP20'!L$373</f>
        <v>0</v>
      </c>
      <c r="J6123" s="212">
        <f>'IWP20'!M$373</f>
        <v>0</v>
      </c>
      <c r="K6123" s="106"/>
      <c r="L6123" s="106"/>
      <c r="M6123" s="129"/>
    </row>
    <row r="6124" spans="1:13" s="146" customFormat="1">
      <c r="A6124" s="193" t="s">
        <v>518</v>
      </c>
      <c r="B6124" s="210">
        <v>2</v>
      </c>
      <c r="C6124" s="191" t="str">
        <f>IF('IWP20'!E$374=0,"",'IWP20'!E$374)</f>
        <v>D.</v>
      </c>
      <c r="D6124" s="211">
        <f>'IWP20'!G$374</f>
        <v>0</v>
      </c>
      <c r="E6124" s="211" t="str">
        <f>'IWP20'!H$374</f>
        <v>E.</v>
      </c>
      <c r="F6124" s="211" t="str">
        <f>'IWP20'!I$374</f>
        <v>F.</v>
      </c>
      <c r="G6124" s="191" t="str">
        <f>IF('IWP20'!J$374=0,"",'IWP20'!J$374)</f>
        <v>G.</v>
      </c>
      <c r="H6124" s="211">
        <f>'IWP20'!K$374</f>
        <v>0</v>
      </c>
      <c r="I6124" s="211" t="str">
        <f>'IWP20'!L$374</f>
        <v>H.</v>
      </c>
      <c r="J6124" s="212" t="str">
        <f>'IWP20'!M$374</f>
        <v>I.</v>
      </c>
      <c r="K6124" s="106"/>
      <c r="L6124" s="106"/>
      <c r="M6124" s="129"/>
    </row>
    <row r="6125" spans="1:13" s="146" customFormat="1">
      <c r="A6125" s="193" t="s">
        <v>518</v>
      </c>
      <c r="B6125" s="210">
        <v>2</v>
      </c>
      <c r="C6125" s="191" t="str">
        <f>IF('IWP20'!E$375=0,"",'IWP20'!E$375)</f>
        <v xml:space="preserve">Items/Services Related to Billing Period </v>
      </c>
      <c r="D6125" s="211">
        <f>'IWP20'!G$375</f>
        <v>0</v>
      </c>
      <c r="E6125" s="211" t="str">
        <f>'IWP20'!H$375</f>
        <v xml:space="preserve">Item/
Service Verified Amounts
</v>
      </c>
      <c r="F6125" s="211" t="str">
        <f>'IWP20'!I$375</f>
        <v>Amount Due to DADS (E. - D.)</v>
      </c>
      <c r="G6125" s="191" t="str">
        <f>IF('IWP20'!J$375=0,"",'IWP20'!J$375)</f>
        <v>Amount Reimbursed to 
Employee(s)/Employer</v>
      </c>
      <c r="H6125" s="211">
        <f>'IWP20'!K$375</f>
        <v>0</v>
      </c>
      <c r="I6125" s="211" t="str">
        <f>'IWP20'!L$375</f>
        <v>Amount Due to Employee(s) (G. - E.)</v>
      </c>
      <c r="J6125" s="212" t="str">
        <f>'IWP20'!M$375</f>
        <v>Amount Due to Employer (G. - E.)</v>
      </c>
      <c r="K6125" s="106"/>
      <c r="L6125" s="106"/>
      <c r="M6125" s="129"/>
    </row>
    <row r="6126" spans="1:13" s="146" customFormat="1">
      <c r="A6126" s="193" t="s">
        <v>518</v>
      </c>
      <c r="B6126" s="210">
        <v>2</v>
      </c>
      <c r="C6126" s="191" t="str">
        <f>IF('IWP20'!E$376=0,"",'IWP20'!E$376)</f>
        <v>Item/Service</v>
      </c>
      <c r="D6126" s="211" t="str">
        <f>'IWP20'!G$376</f>
        <v>Itemized Amount Paid by DADS</v>
      </c>
      <c r="E6126" s="211">
        <f>'IWP20'!H$376</f>
        <v>0</v>
      </c>
      <c r="F6126" s="211">
        <f>'IWP20'!I$376</f>
        <v>0</v>
      </c>
      <c r="G6126" s="191" t="str">
        <f>IF('IWP20'!J$376=0,"",'IWP20'!J$376)</f>
        <v/>
      </c>
      <c r="H6126" s="211">
        <f>'IWP20'!K$376</f>
        <v>0</v>
      </c>
      <c r="I6126" s="211">
        <f>'IWP20'!L$376</f>
        <v>0</v>
      </c>
      <c r="J6126" s="212">
        <f>'IWP20'!M$376</f>
        <v>0</v>
      </c>
      <c r="K6126" s="106"/>
      <c r="L6126" s="106"/>
      <c r="M6126" s="129"/>
    </row>
    <row r="6127" spans="1:13" s="146" customFormat="1">
      <c r="A6127" s="193" t="s">
        <v>518</v>
      </c>
      <c r="B6127" s="210">
        <v>2</v>
      </c>
      <c r="C6127" s="191" t="str">
        <f>IF('IWP20'!E$377=0,"",'IWP20'!E$377)</f>
        <v/>
      </c>
      <c r="D6127" s="211">
        <f>'IWP20'!G$377</f>
        <v>0</v>
      </c>
      <c r="E6127" s="211">
        <f>'IWP20'!H$377</f>
        <v>0</v>
      </c>
      <c r="F6127" s="211">
        <f>'IWP20'!I$377</f>
        <v>0</v>
      </c>
      <c r="G6127" s="191" t="str">
        <f>IF('IWP20'!J$377=0,"",'IWP20'!J$377)</f>
        <v/>
      </c>
      <c r="H6127" s="211">
        <f>'IWP20'!K$377</f>
        <v>0</v>
      </c>
      <c r="I6127" s="211">
        <f>'IWP20'!L$377</f>
        <v>0</v>
      </c>
      <c r="J6127" s="212">
        <f>'IWP20'!M$377</f>
        <v>0</v>
      </c>
      <c r="K6127" s="106"/>
      <c r="L6127" s="106"/>
      <c r="M6127" s="129"/>
    </row>
    <row r="6128" spans="1:13" s="146" customFormat="1">
      <c r="A6128" s="193" t="s">
        <v>518</v>
      </c>
      <c r="B6128" s="210">
        <v>2</v>
      </c>
      <c r="C6128" s="191" t="str">
        <f>IF('IWP20'!E$378=0,"",'IWP20'!E$378)</f>
        <v/>
      </c>
      <c r="D6128" s="211">
        <f>'IWP20'!G$378</f>
        <v>0</v>
      </c>
      <c r="E6128" s="211">
        <f>'IWP20'!H$378</f>
        <v>0</v>
      </c>
      <c r="F6128" s="211">
        <f>'IWP20'!I$378</f>
        <v>0</v>
      </c>
      <c r="G6128" s="191" t="str">
        <f>IF('IWP20'!J$378=0,"",'IWP20'!J$378)</f>
        <v/>
      </c>
      <c r="H6128" s="211">
        <f>'IWP20'!K$378</f>
        <v>0</v>
      </c>
      <c r="I6128" s="211">
        <f>'IWP20'!L$378</f>
        <v>0</v>
      </c>
      <c r="J6128" s="212">
        <f>'IWP20'!M$378</f>
        <v>0</v>
      </c>
      <c r="K6128" s="106"/>
      <c r="L6128" s="106"/>
      <c r="M6128" s="129"/>
    </row>
    <row r="6129" spans="1:13" s="146" customFormat="1">
      <c r="A6129" s="193" t="s">
        <v>518</v>
      </c>
      <c r="B6129" s="210">
        <v>2</v>
      </c>
      <c r="C6129" s="191" t="str">
        <f>IF('IWP20'!E$379=0,"",'IWP20'!E$379)</f>
        <v/>
      </c>
      <c r="D6129" s="211">
        <f>'IWP20'!G$379</f>
        <v>0</v>
      </c>
      <c r="E6129" s="211">
        <f>'IWP20'!H$379</f>
        <v>0</v>
      </c>
      <c r="F6129" s="211">
        <f>'IWP20'!I$379</f>
        <v>0</v>
      </c>
      <c r="G6129" s="191" t="str">
        <f>IF('IWP20'!J$379=0,"",'IWP20'!J$379)</f>
        <v/>
      </c>
      <c r="H6129" s="211">
        <f>'IWP20'!K$379</f>
        <v>0</v>
      </c>
      <c r="I6129" s="211">
        <f>'IWP20'!L$379</f>
        <v>0</v>
      </c>
      <c r="J6129" s="212">
        <f>'IWP20'!M$379</f>
        <v>0</v>
      </c>
      <c r="K6129" s="106"/>
      <c r="L6129" s="106"/>
      <c r="M6129" s="129"/>
    </row>
    <row r="6130" spans="1:13" s="146" customFormat="1">
      <c r="A6130" s="193" t="s">
        <v>518</v>
      </c>
      <c r="B6130" s="210">
        <v>2</v>
      </c>
      <c r="C6130" s="191" t="str">
        <f>IF('IWP20'!E$380=0,"",'IWP20'!E$380)</f>
        <v/>
      </c>
      <c r="D6130" s="211">
        <f>'IWP20'!G$380</f>
        <v>0</v>
      </c>
      <c r="E6130" s="211">
        <f>'IWP20'!H$380</f>
        <v>0</v>
      </c>
      <c r="F6130" s="211">
        <f>'IWP20'!I$380</f>
        <v>0</v>
      </c>
      <c r="G6130" s="191" t="str">
        <f>IF('IWP20'!J$380=0,"",'IWP20'!J$380)</f>
        <v/>
      </c>
      <c r="H6130" s="211">
        <f>'IWP20'!K$380</f>
        <v>0</v>
      </c>
      <c r="I6130" s="211">
        <f>'IWP20'!L$380</f>
        <v>0</v>
      </c>
      <c r="J6130" s="212">
        <f>'IWP20'!M$380</f>
        <v>0</v>
      </c>
      <c r="K6130" s="106"/>
      <c r="L6130" s="106"/>
      <c r="M6130" s="129"/>
    </row>
    <row r="6131" spans="1:13" s="146" customFormat="1">
      <c r="A6131" s="193" t="s">
        <v>518</v>
      </c>
      <c r="B6131" s="210">
        <v>3</v>
      </c>
      <c r="C6131" s="191" t="str">
        <f>IF('IWP20'!E$387=0,"",'IWP20'!E$387)</f>
        <v>Subtotal column D.</v>
      </c>
      <c r="D6131" s="211">
        <f>'IWP20'!G$387</f>
        <v>0</v>
      </c>
      <c r="E6131" s="211">
        <f>'IWP20'!H$387</f>
        <v>0</v>
      </c>
      <c r="F6131" s="211">
        <f>'IWP20'!I$387</f>
        <v>0</v>
      </c>
      <c r="G6131" s="191" t="str">
        <f>IF('IWP20'!J$387=0,"",'IWP20'!J$387)</f>
        <v/>
      </c>
      <c r="H6131" s="211">
        <f>'IWP20'!K$387</f>
        <v>0</v>
      </c>
      <c r="I6131" s="211">
        <f>'IWP20'!L$387</f>
        <v>0</v>
      </c>
      <c r="J6131" s="212">
        <f>'IWP20'!M$387</f>
        <v>0</v>
      </c>
      <c r="K6131" s="106"/>
      <c r="L6131" s="106"/>
      <c r="M6131" s="129"/>
    </row>
    <row r="6132" spans="1:13" s="146" customFormat="1">
      <c r="A6132" s="193" t="s">
        <v>518</v>
      </c>
      <c r="B6132" s="210">
        <v>3</v>
      </c>
      <c r="C6132" s="191" t="str">
        <f>IF('IWP20'!E$388=0,"",'IWP20'!E$388)</f>
        <v>Unverified/Undocumented (Subtotal D - C)</v>
      </c>
      <c r="D6132" s="211">
        <f>'IWP20'!G$388</f>
        <v>0</v>
      </c>
      <c r="E6132" s="211">
        <f>'IWP20'!H$388</f>
        <v>0</v>
      </c>
      <c r="F6132" s="211">
        <f>'IWP20'!I$388</f>
        <v>0</v>
      </c>
      <c r="G6132" s="191" t="str">
        <f>IF('IWP20'!J$388=0,"",'IWP20'!J$388)</f>
        <v/>
      </c>
      <c r="H6132" s="211">
        <f>'IWP20'!K$388</f>
        <v>0</v>
      </c>
      <c r="I6132" s="211">
        <f>'IWP20'!L$388</f>
        <v>0</v>
      </c>
      <c r="J6132" s="212">
        <f>'IWP20'!M$388</f>
        <v>0</v>
      </c>
      <c r="K6132" s="106"/>
      <c r="L6132" s="106"/>
      <c r="M6132" s="129"/>
    </row>
    <row r="6133" spans="1:13" s="146" customFormat="1">
      <c r="A6133" s="193" t="s">
        <v>518</v>
      </c>
      <c r="B6133" s="210">
        <v>3</v>
      </c>
      <c r="C6133" s="191" t="str">
        <f>IF('IWP20'!E$389=0,"",'IWP20'!E$389)</f>
        <v>J. Billing Period Total</v>
      </c>
      <c r="D6133" s="211">
        <f>'IWP20'!G$389</f>
        <v>0</v>
      </c>
      <c r="E6133" s="211">
        <f>'IWP20'!H$389</f>
        <v>0</v>
      </c>
      <c r="F6133" s="211">
        <f>'IWP20'!I$389</f>
        <v>0</v>
      </c>
      <c r="G6133" s="191" t="str">
        <f>IF('IWP20'!J$389=0,"",'IWP20'!J$389)</f>
        <v/>
      </c>
      <c r="H6133" s="211">
        <f>'IWP20'!K$389</f>
        <v>0</v>
      </c>
      <c r="I6133" s="211">
        <f>'IWP20'!L$389</f>
        <v>0</v>
      </c>
      <c r="J6133" s="212">
        <f>'IWP20'!M$389</f>
        <v>0</v>
      </c>
      <c r="K6133" s="106"/>
      <c r="L6133" s="106"/>
      <c r="M6133" s="129"/>
    </row>
    <row r="6134" spans="1:13" s="146" customFormat="1">
      <c r="A6134" s="193" t="s">
        <v>518</v>
      </c>
      <c r="B6134" s="210">
        <v>3</v>
      </c>
      <c r="C6134" s="191" t="str">
        <f>IF('IWP20'!E$390=0,"",'IWP20'!E$390)</f>
        <v>D.</v>
      </c>
      <c r="D6134" s="211">
        <f>'IWP20'!G$390</f>
        <v>0</v>
      </c>
      <c r="E6134" s="211" t="str">
        <f>'IWP20'!H$390</f>
        <v>E.</v>
      </c>
      <c r="F6134" s="211" t="str">
        <f>'IWP20'!I$390</f>
        <v>F.</v>
      </c>
      <c r="G6134" s="191" t="str">
        <f>IF('IWP20'!J$390=0,"",'IWP20'!J$390)</f>
        <v>G.</v>
      </c>
      <c r="H6134" s="211">
        <f>'IWP20'!K$390</f>
        <v>0</v>
      </c>
      <c r="I6134" s="211" t="str">
        <f>'IWP20'!L$390</f>
        <v>H.</v>
      </c>
      <c r="J6134" s="212" t="str">
        <f>'IWP20'!M$390</f>
        <v>I.</v>
      </c>
      <c r="K6134" s="106"/>
      <c r="L6134" s="106"/>
      <c r="M6134" s="129"/>
    </row>
    <row r="6135" spans="1:13" s="146" customFormat="1">
      <c r="A6135" s="193" t="s">
        <v>518</v>
      </c>
      <c r="B6135" s="210">
        <v>3</v>
      </c>
      <c r="C6135" s="191" t="str">
        <f>IF('IWP20'!E$391=0,"",'IWP20'!E$391)</f>
        <v xml:space="preserve">Items/Services Related to Billing Period </v>
      </c>
      <c r="D6135" s="211">
        <f>'IWP20'!G$391</f>
        <v>0</v>
      </c>
      <c r="E6135" s="211" t="str">
        <f>'IWP20'!H$391</f>
        <v xml:space="preserve">Item/
Service Verified Amounts
</v>
      </c>
      <c r="F6135" s="211" t="str">
        <f>'IWP20'!I$391</f>
        <v>Amount Due to DADS (E. - D.)</v>
      </c>
      <c r="G6135" s="191" t="str">
        <f>IF('IWP20'!J$391=0,"",'IWP20'!J$391)</f>
        <v>Amount Reimbursed to 
Employee(s)/Employer</v>
      </c>
      <c r="H6135" s="211">
        <f>'IWP20'!K$391</f>
        <v>0</v>
      </c>
      <c r="I6135" s="211" t="str">
        <f>'IWP20'!L$391</f>
        <v>Amount Due to Employee(s) (G. - E.)</v>
      </c>
      <c r="J6135" s="212" t="str">
        <f>'IWP20'!M$391</f>
        <v>Amount Due to Employer (G. - E.)</v>
      </c>
      <c r="K6135" s="106"/>
      <c r="L6135" s="106"/>
      <c r="M6135" s="129"/>
    </row>
    <row r="6136" spans="1:13" s="146" customFormat="1">
      <c r="A6136" s="193" t="s">
        <v>518</v>
      </c>
      <c r="B6136" s="210">
        <v>3</v>
      </c>
      <c r="C6136" s="191" t="str">
        <f>IF('IWP20'!E$392=0,"",'IWP20'!E$392)</f>
        <v>Item/Service</v>
      </c>
      <c r="D6136" s="211" t="str">
        <f>'IWP20'!G$392</f>
        <v>Itemized Amount Paid by DADS</v>
      </c>
      <c r="E6136" s="211">
        <f>'IWP20'!H$392</f>
        <v>0</v>
      </c>
      <c r="F6136" s="211">
        <f>'IWP20'!I$392</f>
        <v>0</v>
      </c>
      <c r="G6136" s="191" t="str">
        <f>IF('IWP20'!J$392=0,"",'IWP20'!J$392)</f>
        <v/>
      </c>
      <c r="H6136" s="211">
        <f>'IWP20'!K$392</f>
        <v>0</v>
      </c>
      <c r="I6136" s="211">
        <f>'IWP20'!L$392</f>
        <v>0</v>
      </c>
      <c r="J6136" s="212">
        <f>'IWP20'!M$392</f>
        <v>0</v>
      </c>
      <c r="K6136" s="106"/>
      <c r="L6136" s="106"/>
      <c r="M6136" s="129"/>
    </row>
    <row r="6137" spans="1:13" s="146" customFormat="1">
      <c r="A6137" s="193" t="s">
        <v>518</v>
      </c>
      <c r="B6137" s="210">
        <v>3</v>
      </c>
      <c r="C6137" s="191" t="str">
        <f>IF('IWP20'!E$393=0,"",'IWP20'!E$393)</f>
        <v/>
      </c>
      <c r="D6137" s="211">
        <f>'IWP20'!G$393</f>
        <v>0</v>
      </c>
      <c r="E6137" s="211">
        <f>'IWP20'!H$393</f>
        <v>0</v>
      </c>
      <c r="F6137" s="211">
        <f>'IWP20'!I$393</f>
        <v>0</v>
      </c>
      <c r="G6137" s="191" t="str">
        <f>IF('IWP20'!J$393=0,"",'IWP20'!J$393)</f>
        <v/>
      </c>
      <c r="H6137" s="211">
        <f>'IWP20'!K$393</f>
        <v>0</v>
      </c>
      <c r="I6137" s="211">
        <f>'IWP20'!L$393</f>
        <v>0</v>
      </c>
      <c r="J6137" s="212">
        <f>'IWP20'!M$393</f>
        <v>0</v>
      </c>
      <c r="K6137" s="106"/>
      <c r="L6137" s="106"/>
      <c r="M6137" s="129"/>
    </row>
    <row r="6138" spans="1:13" s="146" customFormat="1">
      <c r="A6138" s="193" t="s">
        <v>518</v>
      </c>
      <c r="B6138" s="210">
        <v>3</v>
      </c>
      <c r="C6138" s="191" t="str">
        <f>IF('IWP20'!E$394=0,"",'IWP20'!E$394)</f>
        <v/>
      </c>
      <c r="D6138" s="211">
        <f>'IWP20'!G$394</f>
        <v>0</v>
      </c>
      <c r="E6138" s="211">
        <f>'IWP20'!H$394</f>
        <v>0</v>
      </c>
      <c r="F6138" s="211">
        <f>'IWP20'!I$394</f>
        <v>0</v>
      </c>
      <c r="G6138" s="191" t="str">
        <f>IF('IWP20'!J$394=0,"",'IWP20'!J$394)</f>
        <v/>
      </c>
      <c r="H6138" s="211">
        <f>'IWP20'!K$394</f>
        <v>0</v>
      </c>
      <c r="I6138" s="211">
        <f>'IWP20'!L$394</f>
        <v>0</v>
      </c>
      <c r="J6138" s="212">
        <f>'IWP20'!M$394</f>
        <v>0</v>
      </c>
      <c r="K6138" s="106"/>
      <c r="L6138" s="106"/>
      <c r="M6138" s="129"/>
    </row>
    <row r="6139" spans="1:13" s="146" customFormat="1">
      <c r="A6139" s="193" t="s">
        <v>518</v>
      </c>
      <c r="B6139" s="210">
        <v>3</v>
      </c>
      <c r="C6139" s="191" t="str">
        <f>IF('IWP20'!E$395=0,"",'IWP20'!E$395)</f>
        <v/>
      </c>
      <c r="D6139" s="211">
        <f>'IWP20'!G$395</f>
        <v>0</v>
      </c>
      <c r="E6139" s="211">
        <f>'IWP20'!H$395</f>
        <v>0</v>
      </c>
      <c r="F6139" s="211">
        <f>'IWP20'!I$395</f>
        <v>0</v>
      </c>
      <c r="G6139" s="191" t="str">
        <f>IF('IWP20'!J$395=0,"",'IWP20'!J$395)</f>
        <v/>
      </c>
      <c r="H6139" s="211">
        <f>'IWP20'!K$395</f>
        <v>0</v>
      </c>
      <c r="I6139" s="211">
        <f>'IWP20'!L$395</f>
        <v>0</v>
      </c>
      <c r="J6139" s="212">
        <f>'IWP20'!M$395</f>
        <v>0</v>
      </c>
      <c r="K6139" s="106"/>
      <c r="L6139" s="106"/>
      <c r="M6139" s="129"/>
    </row>
    <row r="6140" spans="1:13" s="146" customFormat="1">
      <c r="A6140" s="193" t="s">
        <v>518</v>
      </c>
      <c r="B6140" s="210">
        <v>3</v>
      </c>
      <c r="C6140" s="191" t="str">
        <f>IF('IWP20'!E$396=0,"",'IWP20'!E$396)</f>
        <v/>
      </c>
      <c r="D6140" s="211">
        <f>'IWP20'!G$396</f>
        <v>0</v>
      </c>
      <c r="E6140" s="211">
        <f>'IWP20'!H$396</f>
        <v>0</v>
      </c>
      <c r="F6140" s="211">
        <f>'IWP20'!I$396</f>
        <v>0</v>
      </c>
      <c r="G6140" s="191" t="str">
        <f>IF('IWP20'!J$396=0,"",'IWP20'!J$396)</f>
        <v/>
      </c>
      <c r="H6140" s="211">
        <f>'IWP20'!K$396</f>
        <v>0</v>
      </c>
      <c r="I6140" s="211">
        <f>'IWP20'!L$396</f>
        <v>0</v>
      </c>
      <c r="J6140" s="212">
        <f>'IWP20'!M$396</f>
        <v>0</v>
      </c>
      <c r="K6140" s="106"/>
      <c r="L6140" s="106"/>
      <c r="M6140" s="129"/>
    </row>
    <row r="6141" spans="1:13" s="146" customFormat="1">
      <c r="A6141" s="193" t="s">
        <v>518</v>
      </c>
      <c r="B6141" s="210">
        <v>4</v>
      </c>
      <c r="C6141" s="191" t="str">
        <f>IF('IWP20'!E$403=0,"",'IWP20'!E$403)</f>
        <v>Subtotal column D.</v>
      </c>
      <c r="D6141" s="211">
        <f>'IWP20'!G$403</f>
        <v>0</v>
      </c>
      <c r="E6141" s="211">
        <f>'IWP20'!H$403</f>
        <v>0</v>
      </c>
      <c r="F6141" s="211">
        <f>'IWP20'!I$403</f>
        <v>0</v>
      </c>
      <c r="G6141" s="191" t="str">
        <f>IF('IWP20'!J$403=0,"",'IWP20'!J$403)</f>
        <v/>
      </c>
      <c r="H6141" s="211">
        <f>'IWP20'!K$403</f>
        <v>0</v>
      </c>
      <c r="I6141" s="211">
        <f>'IWP20'!L$403</f>
        <v>0</v>
      </c>
      <c r="J6141" s="212">
        <f>'IWP20'!M$403</f>
        <v>0</v>
      </c>
      <c r="K6141" s="106"/>
      <c r="L6141" s="106"/>
      <c r="M6141" s="129"/>
    </row>
    <row r="6142" spans="1:13" s="146" customFormat="1">
      <c r="A6142" s="193" t="s">
        <v>518</v>
      </c>
      <c r="B6142" s="210">
        <v>4</v>
      </c>
      <c r="C6142" s="191" t="str">
        <f>IF('IWP20'!E$404=0,"",'IWP20'!E$404)</f>
        <v>Unverified/Undocumented (Subtotal D - C)</v>
      </c>
      <c r="D6142" s="211">
        <f>'IWP20'!G$404</f>
        <v>0</v>
      </c>
      <c r="E6142" s="211">
        <f>'IWP20'!H$404</f>
        <v>0</v>
      </c>
      <c r="F6142" s="211">
        <f>'IWP20'!I$404</f>
        <v>0</v>
      </c>
      <c r="G6142" s="191" t="str">
        <f>IF('IWP20'!J$404=0,"",'IWP20'!J$404)</f>
        <v/>
      </c>
      <c r="H6142" s="211">
        <f>'IWP20'!K$404</f>
        <v>0</v>
      </c>
      <c r="I6142" s="211">
        <f>'IWP20'!L$404</f>
        <v>0</v>
      </c>
      <c r="J6142" s="212">
        <f>'IWP20'!M$404</f>
        <v>0</v>
      </c>
      <c r="K6142" s="106"/>
      <c r="L6142" s="106"/>
      <c r="M6142" s="129"/>
    </row>
    <row r="6143" spans="1:13" s="146" customFormat="1">
      <c r="A6143" s="193" t="s">
        <v>518</v>
      </c>
      <c r="B6143" s="210">
        <v>4</v>
      </c>
      <c r="C6143" s="191" t="str">
        <f>IF('IWP20'!E$405=0,"",'IWP20'!E$405)</f>
        <v>J. Billing Period Total</v>
      </c>
      <c r="D6143" s="211">
        <f>'IWP20'!G$405</f>
        <v>0</v>
      </c>
      <c r="E6143" s="211">
        <f>'IWP20'!H$405</f>
        <v>0</v>
      </c>
      <c r="F6143" s="211">
        <f>'IWP20'!I$405</f>
        <v>0</v>
      </c>
      <c r="G6143" s="191" t="str">
        <f>IF('IWP20'!J$405=0,"",'IWP20'!J$405)</f>
        <v/>
      </c>
      <c r="H6143" s="211">
        <f>'IWP20'!K$405</f>
        <v>0</v>
      </c>
      <c r="I6143" s="211">
        <f>'IWP20'!L$405</f>
        <v>0</v>
      </c>
      <c r="J6143" s="212">
        <f>'IWP20'!M$405</f>
        <v>0</v>
      </c>
      <c r="K6143" s="106"/>
      <c r="L6143" s="106"/>
      <c r="M6143" s="129"/>
    </row>
    <row r="6144" spans="1:13" s="146" customFormat="1">
      <c r="A6144" s="193" t="s">
        <v>518</v>
      </c>
      <c r="B6144" s="210">
        <v>4</v>
      </c>
      <c r="C6144" s="191" t="str">
        <f>IF('IWP20'!E$406=0,"",'IWP20'!E$406)</f>
        <v>D.</v>
      </c>
      <c r="D6144" s="211">
        <f>'IWP20'!G$406</f>
        <v>0</v>
      </c>
      <c r="E6144" s="211" t="str">
        <f>'IWP20'!H$406</f>
        <v>E.</v>
      </c>
      <c r="F6144" s="211" t="str">
        <f>'IWP20'!I$406</f>
        <v>F.</v>
      </c>
      <c r="G6144" s="191" t="str">
        <f>IF('IWP20'!J$406=0,"",'IWP20'!J$406)</f>
        <v>G.</v>
      </c>
      <c r="H6144" s="211">
        <f>'IWP20'!K$406</f>
        <v>0</v>
      </c>
      <c r="I6144" s="211" t="str">
        <f>'IWP20'!L$406</f>
        <v>H.</v>
      </c>
      <c r="J6144" s="212" t="str">
        <f>'IWP20'!M$406</f>
        <v>I.</v>
      </c>
      <c r="K6144" s="106"/>
      <c r="L6144" s="106"/>
      <c r="M6144" s="129"/>
    </row>
    <row r="6145" spans="1:13" s="146" customFormat="1">
      <c r="A6145" s="193" t="s">
        <v>518</v>
      </c>
      <c r="B6145" s="210">
        <v>4</v>
      </c>
      <c r="C6145" s="191" t="str">
        <f>IF('IWP20'!E$407=0,"",'IWP20'!E$407)</f>
        <v xml:space="preserve">Items/Services Related to Billing Period </v>
      </c>
      <c r="D6145" s="211">
        <f>'IWP20'!G$407</f>
        <v>0</v>
      </c>
      <c r="E6145" s="211" t="str">
        <f>'IWP20'!H$407</f>
        <v xml:space="preserve">Item/
Service Verified Amounts
</v>
      </c>
      <c r="F6145" s="211" t="str">
        <f>'IWP20'!I$407</f>
        <v>Amount Due to DADS (E. - D.)</v>
      </c>
      <c r="G6145" s="191" t="str">
        <f>IF('IWP20'!J$407=0,"",'IWP20'!J$407)</f>
        <v>Amount Reimbursed to 
Employee(s)/Employer</v>
      </c>
      <c r="H6145" s="211">
        <f>'IWP20'!K$407</f>
        <v>0</v>
      </c>
      <c r="I6145" s="211" t="str">
        <f>'IWP20'!L$407</f>
        <v>Amount Due to Employee(s) (G. - E.)</v>
      </c>
      <c r="J6145" s="212" t="str">
        <f>'IWP20'!M$407</f>
        <v>Amount Due to Employer (G. - E.)</v>
      </c>
      <c r="K6145" s="106"/>
      <c r="L6145" s="106"/>
      <c r="M6145" s="129"/>
    </row>
    <row r="6146" spans="1:13" s="146" customFormat="1">
      <c r="A6146" s="193" t="s">
        <v>518</v>
      </c>
      <c r="B6146" s="210">
        <v>4</v>
      </c>
      <c r="C6146" s="191" t="str">
        <f>IF('IWP20'!E$408=0,"",'IWP20'!E$408)</f>
        <v>Item/Service</v>
      </c>
      <c r="D6146" s="211" t="str">
        <f>'IWP20'!G$408</f>
        <v>Itemized Amount Paid by DADS</v>
      </c>
      <c r="E6146" s="211">
        <f>'IWP20'!H$408</f>
        <v>0</v>
      </c>
      <c r="F6146" s="211">
        <f>'IWP20'!I$408</f>
        <v>0</v>
      </c>
      <c r="G6146" s="191" t="str">
        <f>IF('IWP20'!J$408=0,"",'IWP20'!J$408)</f>
        <v/>
      </c>
      <c r="H6146" s="211">
        <f>'IWP20'!K$408</f>
        <v>0</v>
      </c>
      <c r="I6146" s="211">
        <f>'IWP20'!L$408</f>
        <v>0</v>
      </c>
      <c r="J6146" s="212">
        <f>'IWP20'!M$408</f>
        <v>0</v>
      </c>
      <c r="K6146" s="106"/>
      <c r="L6146" s="106"/>
      <c r="M6146" s="129"/>
    </row>
    <row r="6147" spans="1:13" s="146" customFormat="1">
      <c r="A6147" s="193" t="s">
        <v>518</v>
      </c>
      <c r="B6147" s="210">
        <v>4</v>
      </c>
      <c r="C6147" s="191" t="str">
        <f>IF('IWP20'!E$409=0,"",'IWP20'!E$409)</f>
        <v/>
      </c>
      <c r="D6147" s="211">
        <f>'IWP20'!G$409</f>
        <v>0</v>
      </c>
      <c r="E6147" s="211">
        <f>'IWP20'!H$409</f>
        <v>0</v>
      </c>
      <c r="F6147" s="211">
        <f>'IWP20'!I$409</f>
        <v>0</v>
      </c>
      <c r="G6147" s="191" t="str">
        <f>IF('IWP20'!J$409=0,"",'IWP20'!J$409)</f>
        <v/>
      </c>
      <c r="H6147" s="211">
        <f>'IWP20'!K$409</f>
        <v>0</v>
      </c>
      <c r="I6147" s="211">
        <f>'IWP20'!L$409</f>
        <v>0</v>
      </c>
      <c r="J6147" s="212">
        <f>'IWP20'!M$409</f>
        <v>0</v>
      </c>
      <c r="K6147" s="106"/>
      <c r="L6147" s="106"/>
      <c r="M6147" s="129"/>
    </row>
    <row r="6148" spans="1:13" s="146" customFormat="1">
      <c r="A6148" s="193" t="s">
        <v>518</v>
      </c>
      <c r="B6148" s="210">
        <v>4</v>
      </c>
      <c r="C6148" s="191" t="str">
        <f>IF('IWP20'!E$410=0,"",'IWP20'!E$410)</f>
        <v/>
      </c>
      <c r="D6148" s="211">
        <f>'IWP20'!G$410</f>
        <v>0</v>
      </c>
      <c r="E6148" s="211">
        <f>'IWP20'!H$410</f>
        <v>0</v>
      </c>
      <c r="F6148" s="211">
        <f>'IWP20'!I$410</f>
        <v>0</v>
      </c>
      <c r="G6148" s="191" t="str">
        <f>IF('IWP20'!J$410=0,"",'IWP20'!J$410)</f>
        <v/>
      </c>
      <c r="H6148" s="211">
        <f>'IWP20'!K$410</f>
        <v>0</v>
      </c>
      <c r="I6148" s="211">
        <f>'IWP20'!L$410</f>
        <v>0</v>
      </c>
      <c r="J6148" s="212">
        <f>'IWP20'!M$410</f>
        <v>0</v>
      </c>
      <c r="K6148" s="106"/>
      <c r="L6148" s="106"/>
      <c r="M6148" s="129"/>
    </row>
    <row r="6149" spans="1:13" s="146" customFormat="1">
      <c r="A6149" s="193" t="s">
        <v>518</v>
      </c>
      <c r="B6149" s="210">
        <v>4</v>
      </c>
      <c r="C6149" s="191" t="str">
        <f>IF('IWP20'!E$411=0,"",'IWP20'!E$411)</f>
        <v/>
      </c>
      <c r="D6149" s="211">
        <f>'IWP20'!G$411</f>
        <v>0</v>
      </c>
      <c r="E6149" s="211">
        <f>'IWP20'!H$411</f>
        <v>0</v>
      </c>
      <c r="F6149" s="211">
        <f>'IWP20'!I$411</f>
        <v>0</v>
      </c>
      <c r="G6149" s="191" t="str">
        <f>IF('IWP20'!J$411=0,"",'IWP20'!J$411)</f>
        <v/>
      </c>
      <c r="H6149" s="211">
        <f>'IWP20'!K$411</f>
        <v>0</v>
      </c>
      <c r="I6149" s="211">
        <f>'IWP20'!L$411</f>
        <v>0</v>
      </c>
      <c r="J6149" s="212">
        <f>'IWP20'!M$411</f>
        <v>0</v>
      </c>
      <c r="K6149" s="106"/>
      <c r="L6149" s="106"/>
      <c r="M6149" s="129"/>
    </row>
    <row r="6150" spans="1:13" s="146" customFormat="1">
      <c r="A6150" s="193" t="s">
        <v>518</v>
      </c>
      <c r="B6150" s="210">
        <v>4</v>
      </c>
      <c r="C6150" s="191" t="str">
        <f>IF('IWP20'!E$412=0,"",'IWP20'!E$412)</f>
        <v/>
      </c>
      <c r="D6150" s="211">
        <f>'IWP20'!G$412</f>
        <v>0</v>
      </c>
      <c r="E6150" s="211">
        <f>'IWP20'!H$412</f>
        <v>0</v>
      </c>
      <c r="F6150" s="211">
        <f>'IWP20'!I$412</f>
        <v>0</v>
      </c>
      <c r="G6150" s="191" t="str">
        <f>IF('IWP20'!J$412=0,"",'IWP20'!J$412)</f>
        <v/>
      </c>
      <c r="H6150" s="211">
        <f>'IWP20'!K$412</f>
        <v>0</v>
      </c>
      <c r="I6150" s="211">
        <f>'IWP20'!L$412</f>
        <v>0</v>
      </c>
      <c r="J6150" s="212">
        <f>'IWP20'!M$412</f>
        <v>0</v>
      </c>
      <c r="K6150" s="106"/>
      <c r="L6150" s="106"/>
      <c r="M6150" s="129"/>
    </row>
    <row r="6151" spans="1:13" s="146" customFormat="1">
      <c r="A6151" s="193" t="s">
        <v>518</v>
      </c>
      <c r="B6151" s="210">
        <v>5</v>
      </c>
      <c r="C6151" s="191" t="str">
        <f>IF('IWP20'!E$419=0,"",'IWP20'!E$419)</f>
        <v>Subtotal column D.</v>
      </c>
      <c r="D6151" s="211">
        <f>'IWP20'!G$419</f>
        <v>0</v>
      </c>
      <c r="E6151" s="211">
        <f>'IWP20'!H$419</f>
        <v>0</v>
      </c>
      <c r="F6151" s="211">
        <f>'IWP20'!I$419</f>
        <v>0</v>
      </c>
      <c r="G6151" s="191" t="str">
        <f>IF('IWP20'!J$419=0,"",'IWP20'!J$419)</f>
        <v/>
      </c>
      <c r="H6151" s="211">
        <f>'IWP20'!K$419</f>
        <v>0</v>
      </c>
      <c r="I6151" s="211">
        <f>'IWP20'!L$419</f>
        <v>0</v>
      </c>
      <c r="J6151" s="212">
        <f>'IWP20'!M$419</f>
        <v>0</v>
      </c>
      <c r="K6151" s="106"/>
      <c r="L6151" s="106"/>
      <c r="M6151" s="129"/>
    </row>
    <row r="6152" spans="1:13" s="146" customFormat="1">
      <c r="A6152" s="193" t="s">
        <v>518</v>
      </c>
      <c r="B6152" s="210">
        <v>5</v>
      </c>
      <c r="C6152" s="191" t="str">
        <f>IF('IWP20'!E$420=0,"",'IWP20'!E$420)</f>
        <v>Unverified/Undocumented (Subtotal D - C)</v>
      </c>
      <c r="D6152" s="211">
        <f>'IWP20'!G$420</f>
        <v>0</v>
      </c>
      <c r="E6152" s="211">
        <f>'IWP20'!H$420</f>
        <v>0</v>
      </c>
      <c r="F6152" s="211">
        <f>'IWP20'!I$420</f>
        <v>0</v>
      </c>
      <c r="G6152" s="191" t="str">
        <f>IF('IWP20'!J$420=0,"",'IWP20'!J$420)</f>
        <v/>
      </c>
      <c r="H6152" s="211">
        <f>'IWP20'!K$420</f>
        <v>0</v>
      </c>
      <c r="I6152" s="211">
        <f>'IWP20'!L$420</f>
        <v>0</v>
      </c>
      <c r="J6152" s="212">
        <f>'IWP20'!M$420</f>
        <v>0</v>
      </c>
      <c r="K6152" s="106"/>
      <c r="L6152" s="106"/>
      <c r="M6152" s="129"/>
    </row>
    <row r="6153" spans="1:13" s="146" customFormat="1">
      <c r="A6153" s="193" t="s">
        <v>518</v>
      </c>
      <c r="B6153" s="210">
        <v>5</v>
      </c>
      <c r="C6153" s="191" t="str">
        <f>IF('IWP20'!E$421=0,"",'IWP20'!E$421)</f>
        <v>J. Billing Period Total</v>
      </c>
      <c r="D6153" s="211">
        <f>'IWP20'!G$421</f>
        <v>0</v>
      </c>
      <c r="E6153" s="211">
        <f>'IWP20'!H$421</f>
        <v>0</v>
      </c>
      <c r="F6153" s="211">
        <f>'IWP20'!I$421</f>
        <v>0</v>
      </c>
      <c r="G6153" s="191" t="str">
        <f>IF('IWP20'!J$421=0,"",'IWP20'!J$421)</f>
        <v/>
      </c>
      <c r="H6153" s="211">
        <f>'IWP20'!K$421</f>
        <v>0</v>
      </c>
      <c r="I6153" s="211">
        <f>'IWP20'!L$421</f>
        <v>0</v>
      </c>
      <c r="J6153" s="212">
        <f>'IWP20'!M$421</f>
        <v>0</v>
      </c>
      <c r="K6153" s="106"/>
      <c r="L6153" s="106"/>
      <c r="M6153" s="129"/>
    </row>
    <row r="6154" spans="1:13" s="146" customFormat="1">
      <c r="A6154" s="193" t="s">
        <v>518</v>
      </c>
      <c r="B6154" s="210">
        <v>5</v>
      </c>
      <c r="C6154" s="191" t="str">
        <f>IF('IWP20'!E$422=0,"",'IWP20'!E$422)</f>
        <v>D.</v>
      </c>
      <c r="D6154" s="211">
        <f>'IWP20'!G$422</f>
        <v>0</v>
      </c>
      <c r="E6154" s="211" t="str">
        <f>'IWP20'!H$422</f>
        <v>E.</v>
      </c>
      <c r="F6154" s="211" t="str">
        <f>'IWP20'!I$422</f>
        <v>F.</v>
      </c>
      <c r="G6154" s="191" t="str">
        <f>IF('IWP20'!J$422=0,"",'IWP20'!J$422)</f>
        <v>G.</v>
      </c>
      <c r="H6154" s="211">
        <f>'IWP20'!K$422</f>
        <v>0</v>
      </c>
      <c r="I6154" s="211" t="str">
        <f>'IWP20'!L$422</f>
        <v>H.</v>
      </c>
      <c r="J6154" s="212" t="str">
        <f>'IWP20'!M$422</f>
        <v>I.</v>
      </c>
      <c r="K6154" s="106"/>
      <c r="L6154" s="106"/>
      <c r="M6154" s="129"/>
    </row>
    <row r="6155" spans="1:13" s="146" customFormat="1">
      <c r="A6155" s="193" t="s">
        <v>518</v>
      </c>
      <c r="B6155" s="210">
        <v>5</v>
      </c>
      <c r="C6155" s="191" t="str">
        <f>IF('IWP20'!E$423=0,"",'IWP20'!E$423)</f>
        <v xml:space="preserve">Items/Services Related to Billing Period </v>
      </c>
      <c r="D6155" s="211">
        <f>'IWP20'!G$423</f>
        <v>0</v>
      </c>
      <c r="E6155" s="211" t="str">
        <f>'IWP20'!H$423</f>
        <v xml:space="preserve">Item/
Service Verified Amounts
</v>
      </c>
      <c r="F6155" s="211" t="str">
        <f>'IWP20'!I$423</f>
        <v>Amount Due to DADS (E. - D.)</v>
      </c>
      <c r="G6155" s="191" t="str">
        <f>IF('IWP20'!J$423=0,"",'IWP20'!J$423)</f>
        <v>Amount Reimbursed to 
Employee(s)/Employer</v>
      </c>
      <c r="H6155" s="211">
        <f>'IWP20'!K$423</f>
        <v>0</v>
      </c>
      <c r="I6155" s="211" t="str">
        <f>'IWP20'!L$423</f>
        <v>Amount Due to Employee(s) (G. - E.)</v>
      </c>
      <c r="J6155" s="212" t="str">
        <f>'IWP20'!M$423</f>
        <v>Amount Due to Employer (G. - E.)</v>
      </c>
      <c r="K6155" s="106"/>
      <c r="L6155" s="106"/>
      <c r="M6155" s="129"/>
    </row>
    <row r="6156" spans="1:13" s="146" customFormat="1">
      <c r="A6156" s="193" t="s">
        <v>518</v>
      </c>
      <c r="B6156" s="210">
        <v>5</v>
      </c>
      <c r="C6156" s="191" t="str">
        <f>IF('IWP20'!E$424=0,"",'IWP20'!E$424)</f>
        <v>Item/Service</v>
      </c>
      <c r="D6156" s="211" t="str">
        <f>'IWP20'!G$424</f>
        <v>Itemized Amount Paid by DADS</v>
      </c>
      <c r="E6156" s="211">
        <f>'IWP20'!H$424</f>
        <v>0</v>
      </c>
      <c r="F6156" s="211">
        <f>'IWP20'!I$424</f>
        <v>0</v>
      </c>
      <c r="G6156" s="191" t="str">
        <f>IF('IWP20'!J$424=0,"",'IWP20'!J$424)</f>
        <v/>
      </c>
      <c r="H6156" s="211">
        <f>'IWP20'!K$424</f>
        <v>0</v>
      </c>
      <c r="I6156" s="211">
        <f>'IWP20'!L$424</f>
        <v>0</v>
      </c>
      <c r="J6156" s="212">
        <f>'IWP20'!M$424</f>
        <v>0</v>
      </c>
      <c r="K6156" s="106"/>
      <c r="L6156" s="106"/>
      <c r="M6156" s="129"/>
    </row>
    <row r="6157" spans="1:13" s="146" customFormat="1">
      <c r="A6157" s="193" t="s">
        <v>518</v>
      </c>
      <c r="B6157" s="210">
        <v>5</v>
      </c>
      <c r="C6157" s="191" t="str">
        <f>IF('IWP20'!E$425=0,"",'IWP20'!E$425)</f>
        <v/>
      </c>
      <c r="D6157" s="211">
        <f>'IWP20'!G$425</f>
        <v>0</v>
      </c>
      <c r="E6157" s="211">
        <f>'IWP20'!H$425</f>
        <v>0</v>
      </c>
      <c r="F6157" s="211">
        <f>'IWP20'!I$425</f>
        <v>0</v>
      </c>
      <c r="G6157" s="191" t="str">
        <f>IF('IWP20'!J$425=0,"",'IWP20'!J$425)</f>
        <v/>
      </c>
      <c r="H6157" s="211">
        <f>'IWP20'!K$425</f>
        <v>0</v>
      </c>
      <c r="I6157" s="211">
        <f>'IWP20'!L$425</f>
        <v>0</v>
      </c>
      <c r="J6157" s="212">
        <f>'IWP20'!M$425</f>
        <v>0</v>
      </c>
      <c r="K6157" s="106"/>
      <c r="L6157" s="106"/>
      <c r="M6157" s="129"/>
    </row>
    <row r="6158" spans="1:13" s="146" customFormat="1">
      <c r="A6158" s="193" t="s">
        <v>518</v>
      </c>
      <c r="B6158" s="210">
        <v>5</v>
      </c>
      <c r="C6158" s="191" t="str">
        <f>IF('IWP20'!E$426=0,"",'IWP20'!E$426)</f>
        <v/>
      </c>
      <c r="D6158" s="211">
        <f>'IWP20'!G$426</f>
        <v>0</v>
      </c>
      <c r="E6158" s="211">
        <f>'IWP20'!H$426</f>
        <v>0</v>
      </c>
      <c r="F6158" s="211">
        <f>'IWP20'!I$426</f>
        <v>0</v>
      </c>
      <c r="G6158" s="191" t="str">
        <f>IF('IWP20'!J$426=0,"",'IWP20'!J$426)</f>
        <v/>
      </c>
      <c r="H6158" s="211">
        <f>'IWP20'!K$426</f>
        <v>0</v>
      </c>
      <c r="I6158" s="211">
        <f>'IWP20'!L$426</f>
        <v>0</v>
      </c>
      <c r="J6158" s="212">
        <f>'IWP20'!M$426</f>
        <v>0</v>
      </c>
      <c r="K6158" s="106"/>
      <c r="L6158" s="106"/>
      <c r="M6158" s="129"/>
    </row>
    <row r="6159" spans="1:13" s="146" customFormat="1">
      <c r="A6159" s="193" t="s">
        <v>518</v>
      </c>
      <c r="B6159" s="210">
        <v>5</v>
      </c>
      <c r="C6159" s="191" t="str">
        <f>IF('IWP20'!E$427=0,"",'IWP20'!E$427)</f>
        <v/>
      </c>
      <c r="D6159" s="211">
        <f>'IWP20'!G$427</f>
        <v>0</v>
      </c>
      <c r="E6159" s="211">
        <f>'IWP20'!H$427</f>
        <v>0</v>
      </c>
      <c r="F6159" s="211">
        <f>'IWP20'!I$427</f>
        <v>0</v>
      </c>
      <c r="G6159" s="191" t="str">
        <f>IF('IWP20'!J$427=0,"",'IWP20'!J$427)</f>
        <v/>
      </c>
      <c r="H6159" s="211">
        <f>'IWP20'!K$427</f>
        <v>0</v>
      </c>
      <c r="I6159" s="211">
        <f>'IWP20'!L$427</f>
        <v>0</v>
      </c>
      <c r="J6159" s="212">
        <f>'IWP20'!M$427</f>
        <v>0</v>
      </c>
      <c r="K6159" s="106"/>
      <c r="L6159" s="106"/>
      <c r="M6159" s="129"/>
    </row>
    <row r="6160" spans="1:13" s="146" customFormat="1">
      <c r="A6160" s="193" t="s">
        <v>518</v>
      </c>
      <c r="B6160" s="210">
        <v>5</v>
      </c>
      <c r="C6160" s="191" t="str">
        <f>IF('IWP20'!E$428=0,"",'IWP20'!E$428)</f>
        <v/>
      </c>
      <c r="D6160" s="211">
        <f>'IWP20'!G$428</f>
        <v>0</v>
      </c>
      <c r="E6160" s="211">
        <f>'IWP20'!H$428</f>
        <v>0</v>
      </c>
      <c r="F6160" s="211">
        <f>'IWP20'!I$428</f>
        <v>0</v>
      </c>
      <c r="G6160" s="191" t="str">
        <f>IF('IWP20'!J$428=0,"",'IWP20'!J$428)</f>
        <v/>
      </c>
      <c r="H6160" s="211">
        <f>'IWP20'!K$428</f>
        <v>0</v>
      </c>
      <c r="I6160" s="211">
        <f>'IWP20'!L$428</f>
        <v>0</v>
      </c>
      <c r="J6160" s="212">
        <f>'IWP20'!M$428</f>
        <v>0</v>
      </c>
      <c r="K6160" s="106"/>
      <c r="L6160" s="106"/>
      <c r="M6160" s="129"/>
    </row>
    <row r="6161" spans="1:13" s="146" customFormat="1">
      <c r="A6161" s="193" t="s">
        <v>518</v>
      </c>
      <c r="B6161" s="210">
        <v>6</v>
      </c>
      <c r="C6161" s="191" t="str">
        <f>IF('IWP20'!E$435=0,"",'IWP20'!E$435)</f>
        <v>Subtotal column D.</v>
      </c>
      <c r="D6161" s="211">
        <f>'IWP20'!G$435</f>
        <v>0</v>
      </c>
      <c r="E6161" s="211">
        <f>'IWP20'!H$435</f>
        <v>0</v>
      </c>
      <c r="F6161" s="211">
        <f>'IWP20'!I$435</f>
        <v>0</v>
      </c>
      <c r="G6161" s="191" t="str">
        <f>IF('IWP20'!J$435=0,"",'IWP20'!J$435)</f>
        <v/>
      </c>
      <c r="H6161" s="211">
        <f>'IWP20'!K$435</f>
        <v>0</v>
      </c>
      <c r="I6161" s="211">
        <f>'IWP20'!L$435</f>
        <v>0</v>
      </c>
      <c r="J6161" s="212">
        <f>'IWP20'!M$435</f>
        <v>0</v>
      </c>
      <c r="K6161" s="106"/>
      <c r="L6161" s="106"/>
      <c r="M6161" s="129"/>
    </row>
    <row r="6162" spans="1:13" s="146" customFormat="1">
      <c r="A6162" s="193" t="s">
        <v>518</v>
      </c>
      <c r="B6162" s="210">
        <v>6</v>
      </c>
      <c r="C6162" s="191" t="str">
        <f>IF('IWP20'!E$436=0,"",'IWP20'!E$436)</f>
        <v>Unverified/Undocumented (Subtotal D - C)</v>
      </c>
      <c r="D6162" s="211">
        <f>'IWP20'!G$436</f>
        <v>0</v>
      </c>
      <c r="E6162" s="211">
        <f>'IWP20'!H$436</f>
        <v>0</v>
      </c>
      <c r="F6162" s="211">
        <f>'IWP20'!I$436</f>
        <v>0</v>
      </c>
      <c r="G6162" s="191" t="str">
        <f>IF('IWP20'!J$436=0,"",'IWP20'!J$436)</f>
        <v/>
      </c>
      <c r="H6162" s="211">
        <f>'IWP20'!K$436</f>
        <v>0</v>
      </c>
      <c r="I6162" s="211">
        <f>'IWP20'!L$436</f>
        <v>0</v>
      </c>
      <c r="J6162" s="212">
        <f>'IWP20'!M$436</f>
        <v>0</v>
      </c>
      <c r="K6162" s="106"/>
      <c r="L6162" s="106"/>
      <c r="M6162" s="129"/>
    </row>
    <row r="6163" spans="1:13" s="146" customFormat="1">
      <c r="A6163" s="193" t="s">
        <v>518</v>
      </c>
      <c r="B6163" s="210">
        <v>6</v>
      </c>
      <c r="C6163" s="191" t="str">
        <f>IF('IWP20'!E$437=0,"",'IWP20'!E$437)</f>
        <v>J. Billing Period Total</v>
      </c>
      <c r="D6163" s="211">
        <f>'IWP20'!G$437</f>
        <v>0</v>
      </c>
      <c r="E6163" s="211">
        <f>'IWP20'!H$437</f>
        <v>0</v>
      </c>
      <c r="F6163" s="211">
        <f>'IWP20'!I$437</f>
        <v>0</v>
      </c>
      <c r="G6163" s="191" t="str">
        <f>IF('IWP20'!J$437=0,"",'IWP20'!J$437)</f>
        <v/>
      </c>
      <c r="H6163" s="211">
        <f>'IWP20'!K$437</f>
        <v>0</v>
      </c>
      <c r="I6163" s="211">
        <f>'IWP20'!L$437</f>
        <v>0</v>
      </c>
      <c r="J6163" s="212">
        <f>'IWP20'!M$437</f>
        <v>0</v>
      </c>
      <c r="K6163" s="106"/>
      <c r="L6163" s="106"/>
      <c r="M6163" s="129"/>
    </row>
    <row r="6164" spans="1:13" s="146" customFormat="1">
      <c r="A6164" s="193" t="s">
        <v>518</v>
      </c>
      <c r="B6164" s="210">
        <v>6</v>
      </c>
      <c r="C6164" s="191" t="str">
        <f>IF('IWP20'!E$438=0,"",'IWP20'!E$438)</f>
        <v>D.</v>
      </c>
      <c r="D6164" s="211">
        <f>'IWP20'!G$438</f>
        <v>0</v>
      </c>
      <c r="E6164" s="211" t="str">
        <f>'IWP20'!H$438</f>
        <v>E.</v>
      </c>
      <c r="F6164" s="211" t="str">
        <f>'IWP20'!I$438</f>
        <v>F.</v>
      </c>
      <c r="G6164" s="191" t="str">
        <f>IF('IWP20'!J$438=0,"",'IWP20'!J$438)</f>
        <v>G.</v>
      </c>
      <c r="H6164" s="211">
        <f>'IWP20'!K$438</f>
        <v>0</v>
      </c>
      <c r="I6164" s="211" t="str">
        <f>'IWP20'!L$438</f>
        <v>H.</v>
      </c>
      <c r="J6164" s="212" t="str">
        <f>'IWP20'!M$438</f>
        <v>I.</v>
      </c>
      <c r="K6164" s="106"/>
      <c r="L6164" s="106"/>
      <c r="M6164" s="129"/>
    </row>
    <row r="6165" spans="1:13" s="146" customFormat="1">
      <c r="A6165" s="193" t="s">
        <v>518</v>
      </c>
      <c r="B6165" s="210">
        <v>6</v>
      </c>
      <c r="C6165" s="191" t="str">
        <f>IF('IWP20'!E$439=0,"",'IWP20'!E$439)</f>
        <v xml:space="preserve">Items/Services Related to Billing Period </v>
      </c>
      <c r="D6165" s="211">
        <f>'IWP20'!G$439</f>
        <v>0</v>
      </c>
      <c r="E6165" s="211" t="str">
        <f>'IWP20'!H$439</f>
        <v xml:space="preserve">Item/
Service Verified Amounts
</v>
      </c>
      <c r="F6165" s="211" t="str">
        <f>'IWP20'!I$439</f>
        <v>Amount Due to DADS (E. - D.)</v>
      </c>
      <c r="G6165" s="191" t="str">
        <f>IF('IWP20'!J$439=0,"",'IWP20'!J$439)</f>
        <v>Amount Reimbursed to 
Employee(s)/Employer</v>
      </c>
      <c r="H6165" s="211">
        <f>'IWP20'!K$439</f>
        <v>0</v>
      </c>
      <c r="I6165" s="211" t="str">
        <f>'IWP20'!L$439</f>
        <v>Amount Due to Employee(s) (G. - E.)</v>
      </c>
      <c r="J6165" s="212" t="str">
        <f>'IWP20'!M$439</f>
        <v>Amount Due to Employer (G. - E.)</v>
      </c>
      <c r="K6165" s="106"/>
      <c r="L6165" s="106"/>
      <c r="M6165" s="129"/>
    </row>
    <row r="6166" spans="1:13" s="146" customFormat="1">
      <c r="A6166" s="193" t="s">
        <v>518</v>
      </c>
      <c r="B6166" s="210">
        <v>6</v>
      </c>
      <c r="C6166" s="191" t="str">
        <f>IF('IWP20'!E$440=0,"",'IWP20'!E$440)</f>
        <v>Item/Service</v>
      </c>
      <c r="D6166" s="211" t="str">
        <f>'IWP20'!G$440</f>
        <v>Itemized Amount Paid by DADS</v>
      </c>
      <c r="E6166" s="211">
        <f>'IWP20'!H$440</f>
        <v>0</v>
      </c>
      <c r="F6166" s="211">
        <f>'IWP20'!I$440</f>
        <v>0</v>
      </c>
      <c r="G6166" s="191" t="str">
        <f>IF('IWP20'!J$440=0,"",'IWP20'!J$440)</f>
        <v/>
      </c>
      <c r="H6166" s="211">
        <f>'IWP20'!K$440</f>
        <v>0</v>
      </c>
      <c r="I6166" s="211">
        <f>'IWP20'!L$440</f>
        <v>0</v>
      </c>
      <c r="J6166" s="212">
        <f>'IWP20'!M$440</f>
        <v>0</v>
      </c>
      <c r="K6166" s="106"/>
      <c r="L6166" s="106"/>
      <c r="M6166" s="129"/>
    </row>
    <row r="6167" spans="1:13" s="146" customFormat="1">
      <c r="A6167" s="193" t="s">
        <v>518</v>
      </c>
      <c r="B6167" s="210">
        <v>6</v>
      </c>
      <c r="C6167" s="191" t="str">
        <f>IF('IWP20'!E$441=0,"",'IWP20'!E$441)</f>
        <v/>
      </c>
      <c r="D6167" s="211">
        <f>'IWP20'!G$441</f>
        <v>0</v>
      </c>
      <c r="E6167" s="211">
        <f>'IWP20'!H$441</f>
        <v>0</v>
      </c>
      <c r="F6167" s="211">
        <f>'IWP20'!I$441</f>
        <v>0</v>
      </c>
      <c r="G6167" s="191" t="str">
        <f>IF('IWP20'!J$441=0,"",'IWP20'!J$441)</f>
        <v/>
      </c>
      <c r="H6167" s="211">
        <f>'IWP20'!K$441</f>
        <v>0</v>
      </c>
      <c r="I6167" s="211">
        <f>'IWP20'!L$441</f>
        <v>0</v>
      </c>
      <c r="J6167" s="212">
        <f>'IWP20'!M$441</f>
        <v>0</v>
      </c>
      <c r="K6167" s="106"/>
      <c r="L6167" s="106"/>
      <c r="M6167" s="129"/>
    </row>
    <row r="6168" spans="1:13" s="146" customFormat="1">
      <c r="A6168" s="193" t="s">
        <v>518</v>
      </c>
      <c r="B6168" s="210">
        <v>6</v>
      </c>
      <c r="C6168" s="191" t="str">
        <f>IF('IWP20'!E$442=0,"",'IWP20'!E$442)</f>
        <v/>
      </c>
      <c r="D6168" s="211">
        <f>'IWP20'!G$442</f>
        <v>0</v>
      </c>
      <c r="E6168" s="211">
        <f>'IWP20'!H$442</f>
        <v>0</v>
      </c>
      <c r="F6168" s="211">
        <f>'IWP20'!I$442</f>
        <v>0</v>
      </c>
      <c r="G6168" s="191" t="str">
        <f>IF('IWP20'!J$442=0,"",'IWP20'!J$442)</f>
        <v/>
      </c>
      <c r="H6168" s="211">
        <f>'IWP20'!K$442</f>
        <v>0</v>
      </c>
      <c r="I6168" s="211">
        <f>'IWP20'!L$442</f>
        <v>0</v>
      </c>
      <c r="J6168" s="212">
        <f>'IWP20'!M$442</f>
        <v>0</v>
      </c>
      <c r="K6168" s="106"/>
      <c r="L6168" s="106"/>
      <c r="M6168" s="129"/>
    </row>
    <row r="6169" spans="1:13" s="146" customFormat="1">
      <c r="A6169" s="193" t="s">
        <v>518</v>
      </c>
      <c r="B6169" s="210">
        <v>6</v>
      </c>
      <c r="C6169" s="191" t="str">
        <f>IF('IWP20'!E$443=0,"",'IWP20'!E$443)</f>
        <v/>
      </c>
      <c r="D6169" s="211">
        <f>'IWP20'!G$443</f>
        <v>0</v>
      </c>
      <c r="E6169" s="211">
        <f>'IWP20'!H$443</f>
        <v>0</v>
      </c>
      <c r="F6169" s="211">
        <f>'IWP20'!I$443</f>
        <v>0</v>
      </c>
      <c r="G6169" s="191" t="str">
        <f>IF('IWP20'!J$443=0,"",'IWP20'!J$443)</f>
        <v/>
      </c>
      <c r="H6169" s="211">
        <f>'IWP20'!K$443</f>
        <v>0</v>
      </c>
      <c r="I6169" s="211">
        <f>'IWP20'!L$443</f>
        <v>0</v>
      </c>
      <c r="J6169" s="212">
        <f>'IWP20'!M$443</f>
        <v>0</v>
      </c>
      <c r="K6169" s="106"/>
      <c r="L6169" s="106"/>
      <c r="M6169" s="129"/>
    </row>
    <row r="6170" spans="1:13" s="146" customFormat="1">
      <c r="A6170" s="193" t="s">
        <v>518</v>
      </c>
      <c r="B6170" s="210">
        <v>6</v>
      </c>
      <c r="C6170" s="191" t="str">
        <f>IF('IWP20'!E$444=0,"",'IWP20'!E$444)</f>
        <v/>
      </c>
      <c r="D6170" s="211">
        <f>'IWP20'!G$444</f>
        <v>0</v>
      </c>
      <c r="E6170" s="211">
        <f>'IWP20'!H$444</f>
        <v>0</v>
      </c>
      <c r="F6170" s="211">
        <f>'IWP20'!I$444</f>
        <v>0</v>
      </c>
      <c r="G6170" s="191" t="str">
        <f>IF('IWP20'!J$444=0,"",'IWP20'!J$444)</f>
        <v/>
      </c>
      <c r="H6170" s="211">
        <f>'IWP20'!K$444</f>
        <v>0</v>
      </c>
      <c r="I6170" s="211">
        <f>'IWP20'!L$444</f>
        <v>0</v>
      </c>
      <c r="J6170" s="212">
        <f>'IWP20'!M$444</f>
        <v>0</v>
      </c>
      <c r="K6170" s="106"/>
      <c r="L6170" s="106"/>
      <c r="M6170" s="129"/>
    </row>
    <row r="6171" spans="1:13" s="146" customFormat="1">
      <c r="A6171" s="193" t="s">
        <v>518</v>
      </c>
      <c r="B6171" s="210">
        <v>7</v>
      </c>
      <c r="C6171" s="191" t="str">
        <f>IF('IWP20'!E$451=0,"",'IWP20'!E$451)</f>
        <v>Subtotal column D.</v>
      </c>
      <c r="D6171" s="211">
        <f>'IWP20'!G$451</f>
        <v>0</v>
      </c>
      <c r="E6171" s="211">
        <f>'IWP20'!H$451</f>
        <v>0</v>
      </c>
      <c r="F6171" s="211">
        <f>'IWP20'!I$451</f>
        <v>0</v>
      </c>
      <c r="G6171" s="191" t="str">
        <f>IF('IWP20'!J$451=0,"",'IWP20'!J$451)</f>
        <v/>
      </c>
      <c r="H6171" s="211">
        <f>'IWP20'!K$451</f>
        <v>0</v>
      </c>
      <c r="I6171" s="211">
        <f>'IWP20'!L$451</f>
        <v>0</v>
      </c>
      <c r="J6171" s="212">
        <f>'IWP20'!M$451</f>
        <v>0</v>
      </c>
      <c r="K6171" s="106"/>
      <c r="L6171" s="106"/>
      <c r="M6171" s="129"/>
    </row>
    <row r="6172" spans="1:13" s="146" customFormat="1">
      <c r="A6172" s="193" t="s">
        <v>518</v>
      </c>
      <c r="B6172" s="210">
        <v>7</v>
      </c>
      <c r="C6172" s="191" t="str">
        <f>IF('IWP20'!E$452=0,"",'IWP20'!E$452)</f>
        <v>Unverified/Undocumented (Subtotal D - C)</v>
      </c>
      <c r="D6172" s="211">
        <f>'IWP20'!G$452</f>
        <v>0</v>
      </c>
      <c r="E6172" s="211">
        <f>'IWP20'!H$452</f>
        <v>0</v>
      </c>
      <c r="F6172" s="211">
        <f>'IWP20'!I$452</f>
        <v>0</v>
      </c>
      <c r="G6172" s="191" t="str">
        <f>IF('IWP20'!J$452=0,"",'IWP20'!J$452)</f>
        <v/>
      </c>
      <c r="H6172" s="211">
        <f>'IWP20'!K$452</f>
        <v>0</v>
      </c>
      <c r="I6172" s="211">
        <f>'IWP20'!L$452</f>
        <v>0</v>
      </c>
      <c r="J6172" s="212">
        <f>'IWP20'!M$452</f>
        <v>0</v>
      </c>
      <c r="K6172" s="106"/>
      <c r="L6172" s="106"/>
      <c r="M6172" s="129"/>
    </row>
    <row r="6173" spans="1:13" s="146" customFormat="1">
      <c r="A6173" s="193" t="s">
        <v>518</v>
      </c>
      <c r="B6173" s="210">
        <v>7</v>
      </c>
      <c r="C6173" s="191" t="str">
        <f>IF('IWP20'!E$453=0,"",'IWP20'!E$453)</f>
        <v>J. Billing Period Total</v>
      </c>
      <c r="D6173" s="211">
        <f>'IWP20'!G$453</f>
        <v>0</v>
      </c>
      <c r="E6173" s="211">
        <f>'IWP20'!H$453</f>
        <v>0</v>
      </c>
      <c r="F6173" s="211">
        <f>'IWP20'!I$453</f>
        <v>0</v>
      </c>
      <c r="G6173" s="191" t="str">
        <f>IF('IWP20'!J$453=0,"",'IWP20'!J$453)</f>
        <v/>
      </c>
      <c r="H6173" s="211">
        <f>'IWP20'!K$453</f>
        <v>0</v>
      </c>
      <c r="I6173" s="211">
        <f>'IWP20'!L$453</f>
        <v>0</v>
      </c>
      <c r="J6173" s="212">
        <f>'IWP20'!M$453</f>
        <v>0</v>
      </c>
      <c r="K6173" s="106"/>
      <c r="L6173" s="106"/>
      <c r="M6173" s="129"/>
    </row>
    <row r="6174" spans="1:13" s="146" customFormat="1">
      <c r="A6174" s="193" t="s">
        <v>518</v>
      </c>
      <c r="B6174" s="210">
        <v>7</v>
      </c>
      <c r="C6174" s="191" t="str">
        <f>IF('IWP20'!E$454=0,"",'IWP20'!E$454)</f>
        <v>D.</v>
      </c>
      <c r="D6174" s="211">
        <f>'IWP20'!G$454</f>
        <v>0</v>
      </c>
      <c r="E6174" s="211" t="str">
        <f>'IWP20'!H$454</f>
        <v>E.</v>
      </c>
      <c r="F6174" s="211" t="str">
        <f>'IWP20'!I$454</f>
        <v>F.</v>
      </c>
      <c r="G6174" s="191" t="str">
        <f>IF('IWP20'!J$454=0,"",'IWP20'!J$454)</f>
        <v>G.</v>
      </c>
      <c r="H6174" s="211">
        <f>'IWP20'!K$454</f>
        <v>0</v>
      </c>
      <c r="I6174" s="211" t="str">
        <f>'IWP20'!L$454</f>
        <v>H.</v>
      </c>
      <c r="J6174" s="212" t="str">
        <f>'IWP20'!M$454</f>
        <v>I.</v>
      </c>
      <c r="K6174" s="106"/>
      <c r="L6174" s="106"/>
      <c r="M6174" s="129"/>
    </row>
    <row r="6175" spans="1:13" s="146" customFormat="1">
      <c r="A6175" s="193" t="s">
        <v>518</v>
      </c>
      <c r="B6175" s="210">
        <v>7</v>
      </c>
      <c r="C6175" s="191" t="str">
        <f>IF('IWP20'!E$455=0,"",'IWP20'!E$455)</f>
        <v xml:space="preserve">Items/Services Related to Billing Period </v>
      </c>
      <c r="D6175" s="211">
        <f>'IWP20'!G$455</f>
        <v>0</v>
      </c>
      <c r="E6175" s="211" t="str">
        <f>'IWP20'!H$455</f>
        <v xml:space="preserve">Item/
Service Verified Amounts
</v>
      </c>
      <c r="F6175" s="211" t="str">
        <f>'IWP20'!I$455</f>
        <v>Amount Due to DADS (E. - D.)</v>
      </c>
      <c r="G6175" s="191" t="str">
        <f>IF('IWP20'!J$455=0,"",'IWP20'!J$455)</f>
        <v>Amount Reimbursed to 
Employee(s)/Employer</v>
      </c>
      <c r="H6175" s="211">
        <f>'IWP20'!K$455</f>
        <v>0</v>
      </c>
      <c r="I6175" s="211" t="str">
        <f>'IWP20'!L$455</f>
        <v>Amount Due to Employee(s) (G. - E.)</v>
      </c>
      <c r="J6175" s="212" t="str">
        <f>'IWP20'!M$455</f>
        <v>Amount Due to Employer (G. - E.)</v>
      </c>
      <c r="K6175" s="106"/>
      <c r="L6175" s="106"/>
      <c r="M6175" s="129"/>
    </row>
    <row r="6176" spans="1:13" s="146" customFormat="1">
      <c r="A6176" s="193" t="s">
        <v>518</v>
      </c>
      <c r="B6176" s="210">
        <v>7</v>
      </c>
      <c r="C6176" s="191" t="str">
        <f>IF('IWP20'!E$456=0,"",'IWP20'!E$456)</f>
        <v>Item/Service</v>
      </c>
      <c r="D6176" s="211" t="str">
        <f>'IWP20'!G$456</f>
        <v>Itemized Amount Paid by DADS</v>
      </c>
      <c r="E6176" s="211">
        <f>'IWP20'!H$456</f>
        <v>0</v>
      </c>
      <c r="F6176" s="211">
        <f>'IWP20'!I$456</f>
        <v>0</v>
      </c>
      <c r="G6176" s="191" t="str">
        <f>IF('IWP20'!J$456=0,"",'IWP20'!J$456)</f>
        <v/>
      </c>
      <c r="H6176" s="211">
        <f>'IWP20'!K$456</f>
        <v>0</v>
      </c>
      <c r="I6176" s="211">
        <f>'IWP20'!L$456</f>
        <v>0</v>
      </c>
      <c r="J6176" s="212">
        <f>'IWP20'!M$456</f>
        <v>0</v>
      </c>
      <c r="K6176" s="106"/>
      <c r="L6176" s="106"/>
      <c r="M6176" s="129"/>
    </row>
    <row r="6177" spans="1:13" s="146" customFormat="1">
      <c r="A6177" s="193" t="s">
        <v>518</v>
      </c>
      <c r="B6177" s="210">
        <v>7</v>
      </c>
      <c r="C6177" s="191" t="str">
        <f>IF('IWP20'!E$457=0,"",'IWP20'!E$457)</f>
        <v/>
      </c>
      <c r="D6177" s="211">
        <f>'IWP20'!G$457</f>
        <v>0</v>
      </c>
      <c r="E6177" s="211">
        <f>'IWP20'!H$457</f>
        <v>0</v>
      </c>
      <c r="F6177" s="211">
        <f>'IWP20'!I$457</f>
        <v>0</v>
      </c>
      <c r="G6177" s="191" t="str">
        <f>IF('IWP20'!J$457=0,"",'IWP20'!J$457)</f>
        <v/>
      </c>
      <c r="H6177" s="211">
        <f>'IWP20'!K$457</f>
        <v>0</v>
      </c>
      <c r="I6177" s="211">
        <f>'IWP20'!L$457</f>
        <v>0</v>
      </c>
      <c r="J6177" s="212">
        <f>'IWP20'!M$457</f>
        <v>0</v>
      </c>
      <c r="K6177" s="106"/>
      <c r="L6177" s="106"/>
      <c r="M6177" s="129"/>
    </row>
    <row r="6178" spans="1:13" s="146" customFormat="1">
      <c r="A6178" s="193" t="s">
        <v>518</v>
      </c>
      <c r="B6178" s="210">
        <v>7</v>
      </c>
      <c r="C6178" s="191" t="str">
        <f>IF('IWP20'!E$458=0,"",'IWP20'!E$458)</f>
        <v/>
      </c>
      <c r="D6178" s="211">
        <f>'IWP20'!G$458</f>
        <v>0</v>
      </c>
      <c r="E6178" s="211">
        <f>'IWP20'!H$458</f>
        <v>0</v>
      </c>
      <c r="F6178" s="211">
        <f>'IWP20'!I$458</f>
        <v>0</v>
      </c>
      <c r="G6178" s="191" t="str">
        <f>IF('IWP20'!J$458=0,"",'IWP20'!J$458)</f>
        <v/>
      </c>
      <c r="H6178" s="211">
        <f>'IWP20'!K$458</f>
        <v>0</v>
      </c>
      <c r="I6178" s="211">
        <f>'IWP20'!L$458</f>
        <v>0</v>
      </c>
      <c r="J6178" s="212">
        <f>'IWP20'!M$458</f>
        <v>0</v>
      </c>
      <c r="K6178" s="106"/>
      <c r="L6178" s="106"/>
      <c r="M6178" s="129"/>
    </row>
    <row r="6179" spans="1:13" s="146" customFormat="1">
      <c r="A6179" s="193" t="s">
        <v>518</v>
      </c>
      <c r="B6179" s="210">
        <v>7</v>
      </c>
      <c r="C6179" s="191" t="str">
        <f>IF('IWP20'!E$459=0,"",'IWP20'!E$459)</f>
        <v/>
      </c>
      <c r="D6179" s="211">
        <f>'IWP20'!G$459</f>
        <v>0</v>
      </c>
      <c r="E6179" s="211">
        <f>'IWP20'!H$459</f>
        <v>0</v>
      </c>
      <c r="F6179" s="211">
        <f>'IWP20'!I$459</f>
        <v>0</v>
      </c>
      <c r="G6179" s="191" t="str">
        <f>IF('IWP20'!J$459=0,"",'IWP20'!J$459)</f>
        <v/>
      </c>
      <c r="H6179" s="211">
        <f>'IWP20'!K$459</f>
        <v>0</v>
      </c>
      <c r="I6179" s="211">
        <f>'IWP20'!L$459</f>
        <v>0</v>
      </c>
      <c r="J6179" s="212">
        <f>'IWP20'!M$459</f>
        <v>0</v>
      </c>
      <c r="K6179" s="106"/>
      <c r="L6179" s="106"/>
      <c r="M6179" s="129"/>
    </row>
    <row r="6180" spans="1:13" s="146" customFormat="1">
      <c r="A6180" s="193" t="s">
        <v>518</v>
      </c>
      <c r="B6180" s="210">
        <v>7</v>
      </c>
      <c r="C6180" s="191" t="str">
        <f>IF('IWP20'!E$460=0,"",'IWP20'!E$460)</f>
        <v/>
      </c>
      <c r="D6180" s="211">
        <f>'IWP20'!G$460</f>
        <v>0</v>
      </c>
      <c r="E6180" s="211">
        <f>'IWP20'!H$460</f>
        <v>0</v>
      </c>
      <c r="F6180" s="211">
        <f>'IWP20'!I$460</f>
        <v>0</v>
      </c>
      <c r="G6180" s="191" t="str">
        <f>IF('IWP20'!J$460=0,"",'IWP20'!J$460)</f>
        <v/>
      </c>
      <c r="H6180" s="211">
        <f>'IWP20'!K$460</f>
        <v>0</v>
      </c>
      <c r="I6180" s="211">
        <f>'IWP20'!L$460</f>
        <v>0</v>
      </c>
      <c r="J6180" s="212">
        <f>'IWP20'!M$460</f>
        <v>0</v>
      </c>
      <c r="K6180" s="106"/>
      <c r="L6180" s="106"/>
      <c r="M6180" s="129"/>
    </row>
    <row r="6181" spans="1:13" s="146" customFormat="1">
      <c r="A6181" s="193" t="s">
        <v>518</v>
      </c>
      <c r="B6181" s="210">
        <v>8</v>
      </c>
      <c r="C6181" s="191" t="str">
        <f>IF('IWP20'!E$467=0,"",'IWP20'!E$467)</f>
        <v>Subtotal column D.</v>
      </c>
      <c r="D6181" s="211">
        <f>'IWP20'!G$467</f>
        <v>0</v>
      </c>
      <c r="E6181" s="211">
        <f>'IWP20'!H$467</f>
        <v>0</v>
      </c>
      <c r="F6181" s="211">
        <f>'IWP20'!I$467</f>
        <v>0</v>
      </c>
      <c r="G6181" s="191" t="str">
        <f>IF('IWP20'!J$467=0,"",'IWP20'!J$467)</f>
        <v/>
      </c>
      <c r="H6181" s="211">
        <f>'IWP20'!K$467</f>
        <v>0</v>
      </c>
      <c r="I6181" s="211">
        <f>'IWP20'!L$467</f>
        <v>0</v>
      </c>
      <c r="J6181" s="212">
        <f>'IWP20'!M$467</f>
        <v>0</v>
      </c>
      <c r="K6181" s="106"/>
      <c r="L6181" s="106"/>
      <c r="M6181" s="129"/>
    </row>
    <row r="6182" spans="1:13" s="146" customFormat="1">
      <c r="A6182" s="193" t="s">
        <v>518</v>
      </c>
      <c r="B6182" s="210">
        <v>8</v>
      </c>
      <c r="C6182" s="191" t="str">
        <f>IF('IWP20'!E$468=0,"",'IWP20'!E$468)</f>
        <v>Unverified/Undocumented (Subtotal D - C)</v>
      </c>
      <c r="D6182" s="211">
        <f>'IWP20'!G$468</f>
        <v>0</v>
      </c>
      <c r="E6182" s="211">
        <f>'IWP20'!H$468</f>
        <v>0</v>
      </c>
      <c r="F6182" s="211">
        <f>'IWP20'!I$468</f>
        <v>0</v>
      </c>
      <c r="G6182" s="191" t="str">
        <f>IF('IWP20'!J$468=0,"",'IWP20'!J$468)</f>
        <v/>
      </c>
      <c r="H6182" s="211">
        <f>'IWP20'!K$468</f>
        <v>0</v>
      </c>
      <c r="I6182" s="211">
        <f>'IWP20'!L$468</f>
        <v>0</v>
      </c>
      <c r="J6182" s="212">
        <f>'IWP20'!M$468</f>
        <v>0</v>
      </c>
      <c r="K6182" s="106"/>
      <c r="L6182" s="106"/>
      <c r="M6182" s="129"/>
    </row>
    <row r="6183" spans="1:13" s="146" customFormat="1">
      <c r="A6183" s="193" t="s">
        <v>518</v>
      </c>
      <c r="B6183" s="210">
        <v>8</v>
      </c>
      <c r="C6183" s="191" t="str">
        <f>IF('IWP20'!E$469=0,"",'IWP20'!E$469)</f>
        <v>J. Billing Period Total</v>
      </c>
      <c r="D6183" s="211">
        <f>'IWP20'!G$469</f>
        <v>0</v>
      </c>
      <c r="E6183" s="211">
        <f>'IWP20'!H$469</f>
        <v>0</v>
      </c>
      <c r="F6183" s="211">
        <f>'IWP20'!I$469</f>
        <v>0</v>
      </c>
      <c r="G6183" s="191" t="str">
        <f>IF('IWP20'!J$469=0,"",'IWP20'!J$469)</f>
        <v/>
      </c>
      <c r="H6183" s="211">
        <f>'IWP20'!K$469</f>
        <v>0</v>
      </c>
      <c r="I6183" s="211">
        <f>'IWP20'!L$469</f>
        <v>0</v>
      </c>
      <c r="J6183" s="212">
        <f>'IWP20'!M$469</f>
        <v>0</v>
      </c>
      <c r="K6183" s="106"/>
      <c r="L6183" s="106"/>
      <c r="M6183" s="129"/>
    </row>
    <row r="6184" spans="1:13" s="146" customFormat="1">
      <c r="A6184" s="193" t="s">
        <v>518</v>
      </c>
      <c r="B6184" s="210">
        <v>8</v>
      </c>
      <c r="C6184" s="191" t="str">
        <f>IF('IWP20'!E$470=0,"",'IWP20'!E$470)</f>
        <v>D.</v>
      </c>
      <c r="D6184" s="211">
        <f>'IWP20'!G$470</f>
        <v>0</v>
      </c>
      <c r="E6184" s="211" t="str">
        <f>'IWP20'!H$470</f>
        <v>E.</v>
      </c>
      <c r="F6184" s="211" t="str">
        <f>'IWP20'!I$470</f>
        <v>F.</v>
      </c>
      <c r="G6184" s="191" t="str">
        <f>IF('IWP20'!J$470=0,"",'IWP20'!J$470)</f>
        <v>G.</v>
      </c>
      <c r="H6184" s="211">
        <f>'IWP20'!K$470</f>
        <v>0</v>
      </c>
      <c r="I6184" s="211" t="str">
        <f>'IWP20'!L$470</f>
        <v>H.</v>
      </c>
      <c r="J6184" s="212" t="str">
        <f>'IWP20'!M$470</f>
        <v>I.</v>
      </c>
      <c r="K6184" s="106"/>
      <c r="L6184" s="106"/>
      <c r="M6184" s="129"/>
    </row>
    <row r="6185" spans="1:13" s="146" customFormat="1">
      <c r="A6185" s="193" t="s">
        <v>518</v>
      </c>
      <c r="B6185" s="210">
        <v>8</v>
      </c>
      <c r="C6185" s="191" t="str">
        <f>IF('IWP20'!E$471=0,"",'IWP20'!E$471)</f>
        <v xml:space="preserve">Items/Services Related to Billing Period </v>
      </c>
      <c r="D6185" s="211">
        <f>'IWP20'!G$471</f>
        <v>0</v>
      </c>
      <c r="E6185" s="211" t="str">
        <f>'IWP20'!H$471</f>
        <v xml:space="preserve">Item/
Service Verified Amounts
</v>
      </c>
      <c r="F6185" s="211" t="str">
        <f>'IWP20'!I$471</f>
        <v>Amount Due to DADS (E. - D.)</v>
      </c>
      <c r="G6185" s="191" t="str">
        <f>IF('IWP20'!J$471=0,"",'IWP20'!J$471)</f>
        <v>Amount Reimbursed to 
Employee(s)/Employer</v>
      </c>
      <c r="H6185" s="211">
        <f>'IWP20'!K$471</f>
        <v>0</v>
      </c>
      <c r="I6185" s="211" t="str">
        <f>'IWP20'!L$471</f>
        <v>Amount Due to Employee(s) (G. - E.)</v>
      </c>
      <c r="J6185" s="212" t="str">
        <f>'IWP20'!M$471</f>
        <v>Amount Due to Employer (G. - E.)</v>
      </c>
      <c r="K6185" s="106"/>
      <c r="L6185" s="106"/>
      <c r="M6185" s="129"/>
    </row>
    <row r="6186" spans="1:13" s="146" customFormat="1">
      <c r="A6186" s="193" t="s">
        <v>518</v>
      </c>
      <c r="B6186" s="210">
        <v>8</v>
      </c>
      <c r="C6186" s="191" t="str">
        <f>IF('IWP20'!E$472=0,"",'IWP20'!E$472)</f>
        <v>Item/Service</v>
      </c>
      <c r="D6186" s="211" t="str">
        <f>'IWP20'!G$472</f>
        <v>Itemized Amount Paid by DADS</v>
      </c>
      <c r="E6186" s="211">
        <f>'IWP20'!H$472</f>
        <v>0</v>
      </c>
      <c r="F6186" s="211">
        <f>'IWP20'!I$472</f>
        <v>0</v>
      </c>
      <c r="G6186" s="191" t="str">
        <f>IF('IWP20'!J$472=0,"",'IWP20'!J$472)</f>
        <v/>
      </c>
      <c r="H6186" s="211">
        <f>'IWP20'!K$472</f>
        <v>0</v>
      </c>
      <c r="I6186" s="211">
        <f>'IWP20'!L$472</f>
        <v>0</v>
      </c>
      <c r="J6186" s="212">
        <f>'IWP20'!M$472</f>
        <v>0</v>
      </c>
      <c r="K6186" s="106"/>
      <c r="L6186" s="106"/>
      <c r="M6186" s="129"/>
    </row>
    <row r="6187" spans="1:13" s="146" customFormat="1">
      <c r="A6187" s="193" t="s">
        <v>518</v>
      </c>
      <c r="B6187" s="210">
        <v>8</v>
      </c>
      <c r="C6187" s="191" t="str">
        <f>IF('IWP20'!E$473=0,"",'IWP20'!E$473)</f>
        <v/>
      </c>
      <c r="D6187" s="211">
        <f>'IWP20'!G$473</f>
        <v>0</v>
      </c>
      <c r="E6187" s="211">
        <f>'IWP20'!H$473</f>
        <v>0</v>
      </c>
      <c r="F6187" s="211">
        <f>'IWP20'!I$473</f>
        <v>0</v>
      </c>
      <c r="G6187" s="191" t="str">
        <f>IF('IWP20'!J$473=0,"",'IWP20'!J$473)</f>
        <v/>
      </c>
      <c r="H6187" s="211">
        <f>'IWP20'!K$473</f>
        <v>0</v>
      </c>
      <c r="I6187" s="211">
        <f>'IWP20'!L$473</f>
        <v>0</v>
      </c>
      <c r="J6187" s="212">
        <f>'IWP20'!M$473</f>
        <v>0</v>
      </c>
      <c r="K6187" s="106"/>
      <c r="L6187" s="106"/>
      <c r="M6187" s="129"/>
    </row>
    <row r="6188" spans="1:13" s="146" customFormat="1">
      <c r="A6188" s="193" t="s">
        <v>518</v>
      </c>
      <c r="B6188" s="210">
        <v>8</v>
      </c>
      <c r="C6188" s="191" t="str">
        <f>IF('IWP20'!E$474=0,"",'IWP20'!E$474)</f>
        <v/>
      </c>
      <c r="D6188" s="211">
        <f>'IWP20'!G$474</f>
        <v>0</v>
      </c>
      <c r="E6188" s="211">
        <f>'IWP20'!H$474</f>
        <v>0</v>
      </c>
      <c r="F6188" s="211">
        <f>'IWP20'!I$474</f>
        <v>0</v>
      </c>
      <c r="G6188" s="191" t="str">
        <f>IF('IWP20'!J$474=0,"",'IWP20'!J$474)</f>
        <v/>
      </c>
      <c r="H6188" s="211">
        <f>'IWP20'!K$474</f>
        <v>0</v>
      </c>
      <c r="I6188" s="211">
        <f>'IWP20'!L$474</f>
        <v>0</v>
      </c>
      <c r="J6188" s="212">
        <f>'IWP20'!M$474</f>
        <v>0</v>
      </c>
      <c r="K6188" s="106"/>
      <c r="L6188" s="106"/>
      <c r="M6188" s="129"/>
    </row>
    <row r="6189" spans="1:13" s="146" customFormat="1">
      <c r="A6189" s="193" t="s">
        <v>518</v>
      </c>
      <c r="B6189" s="210">
        <v>8</v>
      </c>
      <c r="C6189" s="191" t="str">
        <f>IF('IWP20'!E$475=0,"",'IWP20'!E$475)</f>
        <v/>
      </c>
      <c r="D6189" s="211">
        <f>'IWP20'!G$475</f>
        <v>0</v>
      </c>
      <c r="E6189" s="211">
        <f>'IWP20'!H$475</f>
        <v>0</v>
      </c>
      <c r="F6189" s="211">
        <f>'IWP20'!I$475</f>
        <v>0</v>
      </c>
      <c r="G6189" s="191" t="str">
        <f>IF('IWP20'!J$475=0,"",'IWP20'!J$475)</f>
        <v/>
      </c>
      <c r="H6189" s="211">
        <f>'IWP20'!K$475</f>
        <v>0</v>
      </c>
      <c r="I6189" s="211">
        <f>'IWP20'!L$475</f>
        <v>0</v>
      </c>
      <c r="J6189" s="212">
        <f>'IWP20'!M$475</f>
        <v>0</v>
      </c>
      <c r="K6189" s="106"/>
      <c r="L6189" s="106"/>
      <c r="M6189" s="129"/>
    </row>
    <row r="6190" spans="1:13" s="146" customFormat="1">
      <c r="A6190" s="193" t="s">
        <v>518</v>
      </c>
      <c r="B6190" s="210">
        <v>8</v>
      </c>
      <c r="C6190" s="191" t="str">
        <f>IF('IWP20'!E$476=0,"",'IWP20'!E$476)</f>
        <v/>
      </c>
      <c r="D6190" s="211">
        <f>'IWP20'!G$476</f>
        <v>0</v>
      </c>
      <c r="E6190" s="211">
        <f>'IWP20'!H$476</f>
        <v>0</v>
      </c>
      <c r="F6190" s="211">
        <f>'IWP20'!I$476</f>
        <v>0</v>
      </c>
      <c r="G6190" s="191" t="str">
        <f>IF('IWP20'!J$476=0,"",'IWP20'!J$476)</f>
        <v/>
      </c>
      <c r="H6190" s="211">
        <f>'IWP20'!K$476</f>
        <v>0</v>
      </c>
      <c r="I6190" s="211">
        <f>'IWP20'!L$476</f>
        <v>0</v>
      </c>
      <c r="J6190" s="212">
        <f>'IWP20'!M$476</f>
        <v>0</v>
      </c>
      <c r="K6190" s="106"/>
      <c r="L6190" s="106"/>
      <c r="M6190" s="129"/>
    </row>
    <row r="6191" spans="1:13" s="146" customFormat="1">
      <c r="A6191" s="193" t="s">
        <v>518</v>
      </c>
      <c r="B6191" s="210">
        <v>9</v>
      </c>
      <c r="C6191" s="191" t="str">
        <f>IF('IWP20'!E$483=0,"",'IWP20'!E$483)</f>
        <v>Subtotal column D.</v>
      </c>
      <c r="D6191" s="211">
        <f>'IWP20'!G$483</f>
        <v>0</v>
      </c>
      <c r="E6191" s="211">
        <f>'IWP20'!H$483</f>
        <v>0</v>
      </c>
      <c r="F6191" s="211">
        <f>'IWP20'!I$483</f>
        <v>0</v>
      </c>
      <c r="G6191" s="191" t="str">
        <f>IF('IWP20'!J$483=0,"",'IWP20'!J$483)</f>
        <v/>
      </c>
      <c r="H6191" s="211">
        <f>'IWP20'!K$483</f>
        <v>0</v>
      </c>
      <c r="I6191" s="211">
        <f>'IWP20'!L$483</f>
        <v>0</v>
      </c>
      <c r="J6191" s="212">
        <f>'IWP20'!M$483</f>
        <v>0</v>
      </c>
      <c r="K6191" s="106"/>
      <c r="L6191" s="106"/>
      <c r="M6191" s="129"/>
    </row>
    <row r="6192" spans="1:13" s="146" customFormat="1">
      <c r="A6192" s="193" t="s">
        <v>518</v>
      </c>
      <c r="B6192" s="210">
        <v>9</v>
      </c>
      <c r="C6192" s="191" t="str">
        <f>IF('IWP20'!E$484=0,"",'IWP20'!E$484)</f>
        <v>Unverified/Undocumented (Subtotal D - C)</v>
      </c>
      <c r="D6192" s="211">
        <f>'IWP20'!G$484</f>
        <v>0</v>
      </c>
      <c r="E6192" s="211">
        <f>'IWP20'!H$484</f>
        <v>0</v>
      </c>
      <c r="F6192" s="211">
        <f>'IWP20'!I$484</f>
        <v>0</v>
      </c>
      <c r="G6192" s="191" t="str">
        <f>IF('IWP20'!J$484=0,"",'IWP20'!J$484)</f>
        <v/>
      </c>
      <c r="H6192" s="211">
        <f>'IWP20'!K$484</f>
        <v>0</v>
      </c>
      <c r="I6192" s="211">
        <f>'IWP20'!L$484</f>
        <v>0</v>
      </c>
      <c r="J6192" s="212">
        <f>'IWP20'!M$484</f>
        <v>0</v>
      </c>
      <c r="K6192" s="106"/>
      <c r="L6192" s="106"/>
      <c r="M6192" s="129"/>
    </row>
    <row r="6193" spans="1:13" s="146" customFormat="1">
      <c r="A6193" s="193" t="s">
        <v>518</v>
      </c>
      <c r="B6193" s="210">
        <v>9</v>
      </c>
      <c r="C6193" s="191" t="str">
        <f>IF('IWP20'!E$485=0,"",'IWP20'!E$485)</f>
        <v>J. Billing Period Total</v>
      </c>
      <c r="D6193" s="211">
        <f>'IWP20'!G$485</f>
        <v>0</v>
      </c>
      <c r="E6193" s="211">
        <f>'IWP20'!H$485</f>
        <v>0</v>
      </c>
      <c r="F6193" s="211">
        <f>'IWP20'!I$485</f>
        <v>0</v>
      </c>
      <c r="G6193" s="191" t="str">
        <f>IF('IWP20'!J$485=0,"",'IWP20'!J$485)</f>
        <v/>
      </c>
      <c r="H6193" s="211">
        <f>'IWP20'!K$485</f>
        <v>0</v>
      </c>
      <c r="I6193" s="211">
        <f>'IWP20'!L$485</f>
        <v>0</v>
      </c>
      <c r="J6193" s="212">
        <f>'IWP20'!M$485</f>
        <v>0</v>
      </c>
      <c r="K6193" s="106"/>
      <c r="L6193" s="106"/>
      <c r="M6193" s="129"/>
    </row>
    <row r="6194" spans="1:13" s="146" customFormat="1">
      <c r="A6194" s="193" t="s">
        <v>518</v>
      </c>
      <c r="B6194" s="210">
        <v>9</v>
      </c>
      <c r="C6194" s="191" t="str">
        <f>IF('IWP20'!E$486=0,"",'IWP20'!E$486)</f>
        <v>D.</v>
      </c>
      <c r="D6194" s="211">
        <f>'IWP20'!G$486</f>
        <v>0</v>
      </c>
      <c r="E6194" s="211" t="str">
        <f>'IWP20'!H$486</f>
        <v>E.</v>
      </c>
      <c r="F6194" s="211" t="str">
        <f>'IWP20'!I$486</f>
        <v>F.</v>
      </c>
      <c r="G6194" s="191" t="str">
        <f>IF('IWP20'!J$486=0,"",'IWP20'!J$486)</f>
        <v>G.</v>
      </c>
      <c r="H6194" s="211">
        <f>'IWP20'!K$486</f>
        <v>0</v>
      </c>
      <c r="I6194" s="211" t="str">
        <f>'IWP20'!L$486</f>
        <v>H.</v>
      </c>
      <c r="J6194" s="212" t="str">
        <f>'IWP20'!M$486</f>
        <v>I.</v>
      </c>
      <c r="K6194" s="106"/>
      <c r="L6194" s="106"/>
      <c r="M6194" s="129"/>
    </row>
    <row r="6195" spans="1:13" s="146" customFormat="1">
      <c r="A6195" s="193" t="s">
        <v>518</v>
      </c>
      <c r="B6195" s="210">
        <v>9</v>
      </c>
      <c r="C6195" s="191" t="str">
        <f>IF('IWP20'!E$487=0,"",'IWP20'!E$487)</f>
        <v xml:space="preserve">Items/Services Related to Billing Period </v>
      </c>
      <c r="D6195" s="211">
        <f>'IWP20'!G$487</f>
        <v>0</v>
      </c>
      <c r="E6195" s="211" t="str">
        <f>'IWP20'!H$487</f>
        <v xml:space="preserve">Item/
Service Verified Amounts
</v>
      </c>
      <c r="F6195" s="211" t="str">
        <f>'IWP20'!I$487</f>
        <v>Amount Due to DADS (E. - D.)</v>
      </c>
      <c r="G6195" s="191" t="str">
        <f>IF('IWP20'!J$487=0,"",'IWP20'!J$487)</f>
        <v>Amount Reimbursed to 
Employee(s)/Employer</v>
      </c>
      <c r="H6195" s="211">
        <f>'IWP20'!K$487</f>
        <v>0</v>
      </c>
      <c r="I6195" s="211" t="str">
        <f>'IWP20'!L$487</f>
        <v>Amount Due to Employee(s) (G. - E.)</v>
      </c>
      <c r="J6195" s="212" t="str">
        <f>'IWP20'!M$487</f>
        <v>Amount Due to Employer (G. - E.)</v>
      </c>
      <c r="K6195" s="106"/>
      <c r="L6195" s="106"/>
      <c r="M6195" s="129"/>
    </row>
    <row r="6196" spans="1:13" s="146" customFormat="1">
      <c r="A6196" s="193" t="s">
        <v>518</v>
      </c>
      <c r="B6196" s="210">
        <v>9</v>
      </c>
      <c r="C6196" s="191" t="str">
        <f>IF('IWP20'!E$488=0,"",'IWP20'!E$488)</f>
        <v>Item/Service</v>
      </c>
      <c r="D6196" s="211" t="str">
        <f>'IWP20'!G$488</f>
        <v>Itemized Amount Paid by DADS</v>
      </c>
      <c r="E6196" s="211">
        <f>'IWP20'!H$488</f>
        <v>0</v>
      </c>
      <c r="F6196" s="211">
        <f>'IWP20'!I$488</f>
        <v>0</v>
      </c>
      <c r="G6196" s="191" t="str">
        <f>IF('IWP20'!J$488=0,"",'IWP20'!J$488)</f>
        <v/>
      </c>
      <c r="H6196" s="211">
        <f>'IWP20'!K$488</f>
        <v>0</v>
      </c>
      <c r="I6196" s="211">
        <f>'IWP20'!L$488</f>
        <v>0</v>
      </c>
      <c r="J6196" s="212">
        <f>'IWP20'!M$488</f>
        <v>0</v>
      </c>
      <c r="K6196" s="106"/>
      <c r="L6196" s="106"/>
      <c r="M6196" s="129"/>
    </row>
    <row r="6197" spans="1:13" s="146" customFormat="1">
      <c r="A6197" s="193" t="s">
        <v>518</v>
      </c>
      <c r="B6197" s="210">
        <v>9</v>
      </c>
      <c r="C6197" s="191" t="str">
        <f>IF('IWP20'!E$489=0,"",'IWP20'!E$489)</f>
        <v/>
      </c>
      <c r="D6197" s="211">
        <f>'IWP20'!G$489</f>
        <v>0</v>
      </c>
      <c r="E6197" s="211">
        <f>'IWP20'!H$489</f>
        <v>0</v>
      </c>
      <c r="F6197" s="211">
        <f>'IWP20'!I$489</f>
        <v>0</v>
      </c>
      <c r="G6197" s="191" t="str">
        <f>IF('IWP20'!J$489=0,"",'IWP20'!J$489)</f>
        <v/>
      </c>
      <c r="H6197" s="211">
        <f>'IWP20'!K$489</f>
        <v>0</v>
      </c>
      <c r="I6197" s="211">
        <f>'IWP20'!L$489</f>
        <v>0</v>
      </c>
      <c r="J6197" s="212">
        <f>'IWP20'!M$489</f>
        <v>0</v>
      </c>
      <c r="K6197" s="106"/>
      <c r="L6197" s="106"/>
      <c r="M6197" s="129"/>
    </row>
    <row r="6198" spans="1:13" s="146" customFormat="1">
      <c r="A6198" s="193" t="s">
        <v>518</v>
      </c>
      <c r="B6198" s="210">
        <v>9</v>
      </c>
      <c r="C6198" s="191" t="str">
        <f>IF('IWP20'!E$490=0,"",'IWP20'!E$490)</f>
        <v/>
      </c>
      <c r="D6198" s="211">
        <f>'IWP20'!G$490</f>
        <v>0</v>
      </c>
      <c r="E6198" s="211">
        <f>'IWP20'!H$490</f>
        <v>0</v>
      </c>
      <c r="F6198" s="211">
        <f>'IWP20'!I$490</f>
        <v>0</v>
      </c>
      <c r="G6198" s="191" t="str">
        <f>IF('IWP20'!J$490=0,"",'IWP20'!J$490)</f>
        <v/>
      </c>
      <c r="H6198" s="211">
        <f>'IWP20'!K$490</f>
        <v>0</v>
      </c>
      <c r="I6198" s="211">
        <f>'IWP20'!L$490</f>
        <v>0</v>
      </c>
      <c r="J6198" s="212">
        <f>'IWP20'!M$490</f>
        <v>0</v>
      </c>
      <c r="K6198" s="106"/>
      <c r="L6198" s="106"/>
      <c r="M6198" s="129"/>
    </row>
    <row r="6199" spans="1:13" s="146" customFormat="1">
      <c r="A6199" s="193" t="s">
        <v>518</v>
      </c>
      <c r="B6199" s="210">
        <v>9</v>
      </c>
      <c r="C6199" s="191" t="str">
        <f>IF('IWP20'!E$491=0,"",'IWP20'!E$491)</f>
        <v/>
      </c>
      <c r="D6199" s="211">
        <f>'IWP20'!G$491</f>
        <v>0</v>
      </c>
      <c r="E6199" s="211">
        <f>'IWP20'!H$491</f>
        <v>0</v>
      </c>
      <c r="F6199" s="211">
        <f>'IWP20'!I$491</f>
        <v>0</v>
      </c>
      <c r="G6199" s="191" t="str">
        <f>IF('IWP20'!J$491=0,"",'IWP20'!J$491)</f>
        <v/>
      </c>
      <c r="H6199" s="211">
        <f>'IWP20'!K$491</f>
        <v>0</v>
      </c>
      <c r="I6199" s="211">
        <f>'IWP20'!L$491</f>
        <v>0</v>
      </c>
      <c r="J6199" s="212">
        <f>'IWP20'!M$491</f>
        <v>0</v>
      </c>
      <c r="K6199" s="106"/>
      <c r="L6199" s="106"/>
      <c r="M6199" s="129"/>
    </row>
    <row r="6200" spans="1:13" s="146" customFormat="1">
      <c r="A6200" s="193" t="s">
        <v>518</v>
      </c>
      <c r="B6200" s="210">
        <v>9</v>
      </c>
      <c r="C6200" s="191" t="str">
        <f>IF('IWP20'!E$492=0,"",'IWP20'!E$492)</f>
        <v/>
      </c>
      <c r="D6200" s="211">
        <f>'IWP20'!G$492</f>
        <v>0</v>
      </c>
      <c r="E6200" s="211">
        <f>'IWP20'!H$492</f>
        <v>0</v>
      </c>
      <c r="F6200" s="211">
        <f>'IWP20'!I$492</f>
        <v>0</v>
      </c>
      <c r="G6200" s="191" t="str">
        <f>IF('IWP20'!J$492=0,"",'IWP20'!J$492)</f>
        <v/>
      </c>
      <c r="H6200" s="211">
        <f>'IWP20'!K$492</f>
        <v>0</v>
      </c>
      <c r="I6200" s="211">
        <f>'IWP20'!L$492</f>
        <v>0</v>
      </c>
      <c r="J6200" s="212">
        <f>'IWP20'!M$492</f>
        <v>0</v>
      </c>
      <c r="K6200" s="106"/>
      <c r="L6200" s="106"/>
      <c r="M6200" s="129"/>
    </row>
    <row r="6201" spans="1:13" s="146" customFormat="1">
      <c r="A6201" s="193" t="s">
        <v>518</v>
      </c>
      <c r="B6201" s="210">
        <v>10</v>
      </c>
      <c r="C6201" s="191" t="str">
        <f>IF('IWP20'!E$499=0,"",'IWP20'!E$499)</f>
        <v>Subtotal column D.</v>
      </c>
      <c r="D6201" s="211">
        <f>'IWP20'!G$499</f>
        <v>0</v>
      </c>
      <c r="E6201" s="211">
        <f>'IWP20'!H$499</f>
        <v>0</v>
      </c>
      <c r="F6201" s="211">
        <f>'IWP20'!I$499</f>
        <v>0</v>
      </c>
      <c r="G6201" s="191" t="str">
        <f>IF('IWP20'!J$499=0,"",'IWP20'!J$499)</f>
        <v/>
      </c>
      <c r="H6201" s="211">
        <f>'IWP20'!K$499</f>
        <v>0</v>
      </c>
      <c r="I6201" s="211">
        <f>'IWP20'!L$499</f>
        <v>0</v>
      </c>
      <c r="J6201" s="212">
        <f>'IWP20'!M$499</f>
        <v>0</v>
      </c>
      <c r="K6201" s="106"/>
      <c r="L6201" s="106"/>
      <c r="M6201" s="129"/>
    </row>
    <row r="6202" spans="1:13" s="146" customFormat="1">
      <c r="A6202" s="193" t="s">
        <v>518</v>
      </c>
      <c r="B6202" s="210">
        <v>10</v>
      </c>
      <c r="C6202" s="191" t="str">
        <f>IF('IWP20'!E$500=0,"",'IWP20'!E$500)</f>
        <v>Unverified/Undocumented (Subtotal D - C)</v>
      </c>
      <c r="D6202" s="211">
        <f>'IWP20'!G$500</f>
        <v>0</v>
      </c>
      <c r="E6202" s="211">
        <f>'IWP20'!H$500</f>
        <v>0</v>
      </c>
      <c r="F6202" s="211">
        <f>'IWP20'!I$500</f>
        <v>0</v>
      </c>
      <c r="G6202" s="191" t="str">
        <f>IF('IWP20'!J$500=0,"",'IWP20'!J$500)</f>
        <v/>
      </c>
      <c r="H6202" s="211">
        <f>'IWP20'!K$500</f>
        <v>0</v>
      </c>
      <c r="I6202" s="211">
        <f>'IWP20'!L$500</f>
        <v>0</v>
      </c>
      <c r="J6202" s="212">
        <f>'IWP20'!M$500</f>
        <v>0</v>
      </c>
      <c r="K6202" s="106"/>
      <c r="L6202" s="106"/>
      <c r="M6202" s="129"/>
    </row>
    <row r="6203" spans="1:13" s="146" customFormat="1">
      <c r="A6203" s="193" t="s">
        <v>518</v>
      </c>
      <c r="B6203" s="210">
        <v>10</v>
      </c>
      <c r="C6203" s="191" t="str">
        <f>IF('IWP20'!E$501=0,"",'IWP20'!E$501)</f>
        <v>J. Billing Period Total</v>
      </c>
      <c r="D6203" s="211">
        <f>'IWP20'!G$501</f>
        <v>0</v>
      </c>
      <c r="E6203" s="211">
        <f>'IWP20'!H$501</f>
        <v>0</v>
      </c>
      <c r="F6203" s="211">
        <f>'IWP20'!I$501</f>
        <v>0</v>
      </c>
      <c r="G6203" s="191" t="str">
        <f>IF('IWP20'!J$501=0,"",'IWP20'!J$501)</f>
        <v/>
      </c>
      <c r="H6203" s="211">
        <f>'IWP20'!K$501</f>
        <v>0</v>
      </c>
      <c r="I6203" s="211">
        <f>'IWP20'!L$501</f>
        <v>0</v>
      </c>
      <c r="J6203" s="212">
        <f>'IWP20'!M$501</f>
        <v>0</v>
      </c>
      <c r="K6203" s="106"/>
      <c r="L6203" s="106"/>
      <c r="M6203" s="129"/>
    </row>
    <row r="6204" spans="1:13" s="146" customFormat="1">
      <c r="A6204" s="193" t="s">
        <v>518</v>
      </c>
      <c r="B6204" s="210">
        <v>10</v>
      </c>
      <c r="C6204" s="191" t="str">
        <f>IF('IWP20'!E$502=0,"",'IWP20'!E$502)</f>
        <v>D.</v>
      </c>
      <c r="D6204" s="211">
        <f>'IWP20'!G$502</f>
        <v>0</v>
      </c>
      <c r="E6204" s="211" t="str">
        <f>'IWP20'!H$502</f>
        <v>E.</v>
      </c>
      <c r="F6204" s="211" t="str">
        <f>'IWP20'!I$502</f>
        <v>F.</v>
      </c>
      <c r="G6204" s="191" t="str">
        <f>IF('IWP20'!J$502=0,"",'IWP20'!J$502)</f>
        <v>G.</v>
      </c>
      <c r="H6204" s="211">
        <f>'IWP20'!K$502</f>
        <v>0</v>
      </c>
      <c r="I6204" s="211" t="str">
        <f>'IWP20'!L$502</f>
        <v>H.</v>
      </c>
      <c r="J6204" s="212" t="str">
        <f>'IWP20'!M$502</f>
        <v>I.</v>
      </c>
      <c r="K6204" s="106"/>
      <c r="L6204" s="106"/>
      <c r="M6204" s="129"/>
    </row>
    <row r="6205" spans="1:13" s="146" customFormat="1">
      <c r="A6205" s="193" t="s">
        <v>518</v>
      </c>
      <c r="B6205" s="210">
        <v>10</v>
      </c>
      <c r="C6205" s="191" t="str">
        <f>IF('IWP20'!E$503=0,"",'IWP20'!E$503)</f>
        <v xml:space="preserve">Items/Services Related to Billing Period </v>
      </c>
      <c r="D6205" s="211">
        <f>'IWP20'!G$503</f>
        <v>0</v>
      </c>
      <c r="E6205" s="211" t="str">
        <f>'IWP20'!H$503</f>
        <v xml:space="preserve">Item/
Service Verified Amounts
</v>
      </c>
      <c r="F6205" s="211" t="str">
        <f>'IWP20'!I$503</f>
        <v>Amount Due to DADS (E. - D.)</v>
      </c>
      <c r="G6205" s="191" t="str">
        <f>IF('IWP20'!J$503=0,"",'IWP20'!J$503)</f>
        <v>Amount Reimbursed to 
Employee(s)/Employer</v>
      </c>
      <c r="H6205" s="211">
        <f>'IWP20'!K$503</f>
        <v>0</v>
      </c>
      <c r="I6205" s="211" t="str">
        <f>'IWP20'!L$503</f>
        <v>Amount Due to Employee(s) (G. - E.)</v>
      </c>
      <c r="J6205" s="212" t="str">
        <f>'IWP20'!M$503</f>
        <v>Amount Due to Employer (G. - E.)</v>
      </c>
      <c r="K6205" s="106"/>
      <c r="L6205" s="106"/>
      <c r="M6205" s="129"/>
    </row>
    <row r="6206" spans="1:13" s="146" customFormat="1">
      <c r="A6206" s="193" t="s">
        <v>518</v>
      </c>
      <c r="B6206" s="210">
        <v>10</v>
      </c>
      <c r="C6206" s="191" t="str">
        <f>IF('IWP20'!E$504=0,"",'IWP20'!E$504)</f>
        <v>Item/Service</v>
      </c>
      <c r="D6206" s="211" t="str">
        <f>'IWP20'!G$504</f>
        <v>Itemized Amount Paid by DADS</v>
      </c>
      <c r="E6206" s="211">
        <f>'IWP20'!H$504</f>
        <v>0</v>
      </c>
      <c r="F6206" s="211">
        <f>'IWP20'!I$504</f>
        <v>0</v>
      </c>
      <c r="G6206" s="191" t="str">
        <f>IF('IWP20'!J$504=0,"",'IWP20'!J$504)</f>
        <v/>
      </c>
      <c r="H6206" s="211">
        <f>'IWP20'!K$504</f>
        <v>0</v>
      </c>
      <c r="I6206" s="211">
        <f>'IWP20'!L$504</f>
        <v>0</v>
      </c>
      <c r="J6206" s="212">
        <f>'IWP20'!M$504</f>
        <v>0</v>
      </c>
      <c r="K6206" s="106"/>
      <c r="L6206" s="106"/>
      <c r="M6206" s="129"/>
    </row>
    <row r="6207" spans="1:13" s="146" customFormat="1">
      <c r="A6207" s="193" t="s">
        <v>518</v>
      </c>
      <c r="B6207" s="210">
        <v>10</v>
      </c>
      <c r="C6207" s="191" t="str">
        <f>IF('IWP20'!E$505=0,"",'IWP20'!E$505)</f>
        <v/>
      </c>
      <c r="D6207" s="211">
        <f>'IWP20'!G$505</f>
        <v>0</v>
      </c>
      <c r="E6207" s="211">
        <f>'IWP20'!H$505</f>
        <v>0</v>
      </c>
      <c r="F6207" s="211">
        <f>'IWP20'!I$505</f>
        <v>0</v>
      </c>
      <c r="G6207" s="191" t="str">
        <f>IF('IWP20'!J$505=0,"",'IWP20'!J$505)</f>
        <v/>
      </c>
      <c r="H6207" s="211">
        <f>'IWP20'!K$505</f>
        <v>0</v>
      </c>
      <c r="I6207" s="211">
        <f>'IWP20'!L$505</f>
        <v>0</v>
      </c>
      <c r="J6207" s="212">
        <f>'IWP20'!M$505</f>
        <v>0</v>
      </c>
      <c r="K6207" s="106"/>
      <c r="L6207" s="106"/>
      <c r="M6207" s="129"/>
    </row>
    <row r="6208" spans="1:13" s="146" customFormat="1">
      <c r="A6208" s="193" t="s">
        <v>518</v>
      </c>
      <c r="B6208" s="210">
        <v>10</v>
      </c>
      <c r="C6208" s="191" t="str">
        <f>IF('IWP20'!E$506=0,"",'IWP20'!E$506)</f>
        <v/>
      </c>
      <c r="D6208" s="211">
        <f>'IWP20'!G$506</f>
        <v>0</v>
      </c>
      <c r="E6208" s="211">
        <f>'IWP20'!H$506</f>
        <v>0</v>
      </c>
      <c r="F6208" s="211">
        <f>'IWP20'!I$506</f>
        <v>0</v>
      </c>
      <c r="G6208" s="191" t="str">
        <f>IF('IWP20'!J$506=0,"",'IWP20'!J$506)</f>
        <v/>
      </c>
      <c r="H6208" s="211">
        <f>'IWP20'!K$506</f>
        <v>0</v>
      </c>
      <c r="I6208" s="211">
        <f>'IWP20'!L$506</f>
        <v>0</v>
      </c>
      <c r="J6208" s="212">
        <f>'IWP20'!M$506</f>
        <v>0</v>
      </c>
      <c r="K6208" s="106"/>
      <c r="L6208" s="106"/>
      <c r="M6208" s="129"/>
    </row>
    <row r="6209" spans="1:13" s="146" customFormat="1">
      <c r="A6209" s="193" t="s">
        <v>518</v>
      </c>
      <c r="B6209" s="210">
        <v>10</v>
      </c>
      <c r="C6209" s="191" t="str">
        <f>IF('IWP20'!E$507=0,"",'IWP20'!E$507)</f>
        <v/>
      </c>
      <c r="D6209" s="211">
        <f>'IWP20'!G$507</f>
        <v>0</v>
      </c>
      <c r="E6209" s="211">
        <f>'IWP20'!H$507</f>
        <v>0</v>
      </c>
      <c r="F6209" s="211">
        <f>'IWP20'!I$507</f>
        <v>0</v>
      </c>
      <c r="G6209" s="191" t="str">
        <f>IF('IWP20'!J$507=0,"",'IWP20'!J$507)</f>
        <v/>
      </c>
      <c r="H6209" s="211">
        <f>'IWP20'!K$507</f>
        <v>0</v>
      </c>
      <c r="I6209" s="211">
        <f>'IWP20'!L$507</f>
        <v>0</v>
      </c>
      <c r="J6209" s="212">
        <f>'IWP20'!M$507</f>
        <v>0</v>
      </c>
      <c r="K6209" s="106"/>
      <c r="L6209" s="106"/>
      <c r="M6209" s="129"/>
    </row>
    <row r="6210" spans="1:13" s="146" customFormat="1">
      <c r="A6210" s="193" t="s">
        <v>518</v>
      </c>
      <c r="B6210" s="210">
        <v>10</v>
      </c>
      <c r="C6210" s="191" t="str">
        <f>IF('IWP20'!E$508=0,"",'IWP20'!E$508)</f>
        <v/>
      </c>
      <c r="D6210" s="211">
        <f>'IWP20'!G$508</f>
        <v>0</v>
      </c>
      <c r="E6210" s="211">
        <f>'IWP20'!H$508</f>
        <v>0</v>
      </c>
      <c r="F6210" s="211">
        <f>'IWP20'!I$508</f>
        <v>0</v>
      </c>
      <c r="G6210" s="191" t="str">
        <f>IF('IWP20'!J$508=0,"",'IWP20'!J$508)</f>
        <v/>
      </c>
      <c r="H6210" s="211">
        <f>'IWP20'!K$508</f>
        <v>0</v>
      </c>
      <c r="I6210" s="211">
        <f>'IWP20'!L$508</f>
        <v>0</v>
      </c>
      <c r="J6210" s="212">
        <f>'IWP20'!M$508</f>
        <v>0</v>
      </c>
      <c r="K6210" s="106"/>
      <c r="L6210" s="106"/>
      <c r="M6210" s="129"/>
    </row>
    <row r="6211" spans="1:13" s="146" customFormat="1">
      <c r="A6211" s="193" t="s">
        <v>518</v>
      </c>
      <c r="B6211" s="210">
        <v>11</v>
      </c>
      <c r="C6211" s="191" t="str">
        <f>IF('IWP20'!E$515=0,"",'IWP20'!E$515)</f>
        <v>Subtotal column D.</v>
      </c>
      <c r="D6211" s="211">
        <f>'IWP20'!G$515</f>
        <v>0</v>
      </c>
      <c r="E6211" s="211">
        <f>'IWP20'!H$515</f>
        <v>0</v>
      </c>
      <c r="F6211" s="211">
        <f>'IWP20'!I$515</f>
        <v>0</v>
      </c>
      <c r="G6211" s="191" t="str">
        <f>IF('IWP20'!J$515=0,"",'IWP20'!J$515)</f>
        <v/>
      </c>
      <c r="H6211" s="211">
        <f>'IWP20'!K$515</f>
        <v>0</v>
      </c>
      <c r="I6211" s="211">
        <f>'IWP20'!L$515</f>
        <v>0</v>
      </c>
      <c r="J6211" s="212">
        <f>'IWP20'!M$515</f>
        <v>0</v>
      </c>
      <c r="K6211" s="106"/>
      <c r="L6211" s="106"/>
      <c r="M6211" s="129"/>
    </row>
    <row r="6212" spans="1:13" s="146" customFormat="1">
      <c r="A6212" s="193" t="s">
        <v>518</v>
      </c>
      <c r="B6212" s="210">
        <v>11</v>
      </c>
      <c r="C6212" s="191" t="str">
        <f>IF('IWP20'!E$516=0,"",'IWP20'!E$516)</f>
        <v>Unverified/Undocumented (Subtotal D - C)</v>
      </c>
      <c r="D6212" s="211">
        <f>'IWP20'!G$516</f>
        <v>0</v>
      </c>
      <c r="E6212" s="211">
        <f>'IWP20'!H$516</f>
        <v>0</v>
      </c>
      <c r="F6212" s="211">
        <f>'IWP20'!I$516</f>
        <v>0</v>
      </c>
      <c r="G6212" s="191" t="str">
        <f>IF('IWP20'!J$516=0,"",'IWP20'!J$516)</f>
        <v/>
      </c>
      <c r="H6212" s="211">
        <f>'IWP20'!K$516</f>
        <v>0</v>
      </c>
      <c r="I6212" s="211">
        <f>'IWP20'!L$516</f>
        <v>0</v>
      </c>
      <c r="J6212" s="212">
        <f>'IWP20'!M$516</f>
        <v>0</v>
      </c>
      <c r="K6212" s="106"/>
      <c r="L6212" s="106"/>
      <c r="M6212" s="129"/>
    </row>
    <row r="6213" spans="1:13" s="146" customFormat="1">
      <c r="A6213" s="193" t="s">
        <v>518</v>
      </c>
      <c r="B6213" s="210">
        <v>11</v>
      </c>
      <c r="C6213" s="191" t="str">
        <f>IF('IWP20'!E$517=0,"",'IWP20'!E$517)</f>
        <v>J. Billing Period Total</v>
      </c>
      <c r="D6213" s="211">
        <f>'IWP20'!G$517</f>
        <v>0</v>
      </c>
      <c r="E6213" s="211">
        <f>'IWP20'!H$517</f>
        <v>0</v>
      </c>
      <c r="F6213" s="211">
        <f>'IWP20'!I$517</f>
        <v>0</v>
      </c>
      <c r="G6213" s="191" t="str">
        <f>IF('IWP20'!J$517=0,"",'IWP20'!J$517)</f>
        <v/>
      </c>
      <c r="H6213" s="211">
        <f>'IWP20'!K$517</f>
        <v>0</v>
      </c>
      <c r="I6213" s="211">
        <f>'IWP20'!L$517</f>
        <v>0</v>
      </c>
      <c r="J6213" s="212">
        <f>'IWP20'!M$517</f>
        <v>0</v>
      </c>
      <c r="K6213" s="106"/>
      <c r="L6213" s="106"/>
      <c r="M6213" s="129"/>
    </row>
    <row r="6214" spans="1:13" s="146" customFormat="1">
      <c r="A6214" s="193" t="s">
        <v>518</v>
      </c>
      <c r="B6214" s="210">
        <v>11</v>
      </c>
      <c r="C6214" s="191" t="str">
        <f>IF('IWP20'!E$518=0,"",'IWP20'!E$518)</f>
        <v>D.</v>
      </c>
      <c r="D6214" s="211">
        <f>'IWP20'!G$518</f>
        <v>0</v>
      </c>
      <c r="E6214" s="211" t="str">
        <f>'IWP20'!H$518</f>
        <v>E.</v>
      </c>
      <c r="F6214" s="211" t="str">
        <f>'IWP20'!I$518</f>
        <v>F.</v>
      </c>
      <c r="G6214" s="191" t="str">
        <f>IF('IWP20'!J$518=0,"",'IWP20'!J$518)</f>
        <v>G.</v>
      </c>
      <c r="H6214" s="211">
        <f>'IWP20'!K$518</f>
        <v>0</v>
      </c>
      <c r="I6214" s="211" t="str">
        <f>'IWP20'!L$518</f>
        <v>H.</v>
      </c>
      <c r="J6214" s="212" t="str">
        <f>'IWP20'!M$518</f>
        <v>I.</v>
      </c>
      <c r="K6214" s="106"/>
      <c r="L6214" s="106"/>
      <c r="M6214" s="129"/>
    </row>
    <row r="6215" spans="1:13" s="146" customFormat="1">
      <c r="A6215" s="193" t="s">
        <v>518</v>
      </c>
      <c r="B6215" s="210">
        <v>11</v>
      </c>
      <c r="C6215" s="191" t="str">
        <f>IF('IWP20'!E$519=0,"",'IWP20'!E$519)</f>
        <v xml:space="preserve">Items/Services Related to Billing Period </v>
      </c>
      <c r="D6215" s="211">
        <f>'IWP20'!G$519</f>
        <v>0</v>
      </c>
      <c r="E6215" s="211" t="str">
        <f>'IWP20'!H$519</f>
        <v xml:space="preserve">Item/
Service Verified Amounts
</v>
      </c>
      <c r="F6215" s="211" t="str">
        <f>'IWP20'!I$519</f>
        <v>Amount Due to DADS (E. - D.)</v>
      </c>
      <c r="G6215" s="191" t="str">
        <f>IF('IWP20'!J$519=0,"",'IWP20'!J$519)</f>
        <v>Amount Reimbursed to 
Employee(s)/Employer</v>
      </c>
      <c r="H6215" s="211">
        <f>'IWP20'!K$519</f>
        <v>0</v>
      </c>
      <c r="I6215" s="211" t="str">
        <f>'IWP20'!L$519</f>
        <v>Amount Due to Employee(s) (G. - E.)</v>
      </c>
      <c r="J6215" s="212" t="str">
        <f>'IWP20'!M$519</f>
        <v>Amount Due to Employer (G. - E.)</v>
      </c>
      <c r="K6215" s="106"/>
      <c r="L6215" s="106"/>
      <c r="M6215" s="129"/>
    </row>
    <row r="6216" spans="1:13" s="146" customFormat="1">
      <c r="A6216" s="193" t="s">
        <v>518</v>
      </c>
      <c r="B6216" s="210">
        <v>11</v>
      </c>
      <c r="C6216" s="191" t="str">
        <f>IF('IWP20'!E$520=0,"",'IWP20'!E$520)</f>
        <v>Item/Service</v>
      </c>
      <c r="D6216" s="211" t="str">
        <f>'IWP20'!G$520</f>
        <v>Itemized Amount Paid by DADS</v>
      </c>
      <c r="E6216" s="211">
        <f>'IWP20'!H$520</f>
        <v>0</v>
      </c>
      <c r="F6216" s="211">
        <f>'IWP20'!I$520</f>
        <v>0</v>
      </c>
      <c r="G6216" s="191" t="str">
        <f>IF('IWP20'!J$520=0,"",'IWP20'!J$520)</f>
        <v/>
      </c>
      <c r="H6216" s="211">
        <f>'IWP20'!K$520</f>
        <v>0</v>
      </c>
      <c r="I6216" s="211">
        <f>'IWP20'!L$520</f>
        <v>0</v>
      </c>
      <c r="J6216" s="212">
        <f>'IWP20'!M$520</f>
        <v>0</v>
      </c>
      <c r="K6216" s="106"/>
      <c r="L6216" s="106"/>
      <c r="M6216" s="129"/>
    </row>
    <row r="6217" spans="1:13" s="146" customFormat="1">
      <c r="A6217" s="193" t="s">
        <v>518</v>
      </c>
      <c r="B6217" s="210">
        <v>11</v>
      </c>
      <c r="C6217" s="191" t="str">
        <f>IF('IWP20'!E$521=0,"",'IWP20'!E$521)</f>
        <v/>
      </c>
      <c r="D6217" s="211">
        <f>'IWP20'!G$521</f>
        <v>0</v>
      </c>
      <c r="E6217" s="211">
        <f>'IWP20'!H$521</f>
        <v>0</v>
      </c>
      <c r="F6217" s="211">
        <f>'IWP20'!I$521</f>
        <v>0</v>
      </c>
      <c r="G6217" s="191" t="str">
        <f>IF('IWP20'!J$521=0,"",'IWP20'!J$521)</f>
        <v/>
      </c>
      <c r="H6217" s="211">
        <f>'IWP20'!K$521</f>
        <v>0</v>
      </c>
      <c r="I6217" s="211">
        <f>'IWP20'!L$521</f>
        <v>0</v>
      </c>
      <c r="J6217" s="212">
        <f>'IWP20'!M$521</f>
        <v>0</v>
      </c>
      <c r="K6217" s="106"/>
      <c r="L6217" s="106"/>
      <c r="M6217" s="129"/>
    </row>
    <row r="6218" spans="1:13" s="146" customFormat="1">
      <c r="A6218" s="193" t="s">
        <v>518</v>
      </c>
      <c r="B6218" s="210">
        <v>11</v>
      </c>
      <c r="C6218" s="191" t="str">
        <f>IF('IWP20'!E$522=0,"",'IWP20'!E$522)</f>
        <v/>
      </c>
      <c r="D6218" s="211">
        <f>'IWP20'!G$522</f>
        <v>0</v>
      </c>
      <c r="E6218" s="211">
        <f>'IWP20'!H$522</f>
        <v>0</v>
      </c>
      <c r="F6218" s="211">
        <f>'IWP20'!I$522</f>
        <v>0</v>
      </c>
      <c r="G6218" s="191" t="str">
        <f>IF('IWP20'!J$522=0,"",'IWP20'!J$522)</f>
        <v/>
      </c>
      <c r="H6218" s="211">
        <f>'IWP20'!K$522</f>
        <v>0</v>
      </c>
      <c r="I6218" s="211">
        <f>'IWP20'!L$522</f>
        <v>0</v>
      </c>
      <c r="J6218" s="212">
        <f>'IWP20'!M$522</f>
        <v>0</v>
      </c>
      <c r="K6218" s="106"/>
      <c r="L6218" s="106"/>
      <c r="M6218" s="129"/>
    </row>
    <row r="6219" spans="1:13" s="146" customFormat="1">
      <c r="A6219" s="193" t="s">
        <v>518</v>
      </c>
      <c r="B6219" s="210">
        <v>11</v>
      </c>
      <c r="C6219" s="191" t="str">
        <f>IF('IWP20'!E$523=0,"",'IWP20'!E$523)</f>
        <v/>
      </c>
      <c r="D6219" s="211">
        <f>'IWP20'!G$523</f>
        <v>0</v>
      </c>
      <c r="E6219" s="211">
        <f>'IWP20'!H$523</f>
        <v>0</v>
      </c>
      <c r="F6219" s="211">
        <f>'IWP20'!I$523</f>
        <v>0</v>
      </c>
      <c r="G6219" s="191" t="str">
        <f>IF('IWP20'!J$523=0,"",'IWP20'!J$523)</f>
        <v/>
      </c>
      <c r="H6219" s="211">
        <f>'IWP20'!K$523</f>
        <v>0</v>
      </c>
      <c r="I6219" s="211">
        <f>'IWP20'!L$523</f>
        <v>0</v>
      </c>
      <c r="J6219" s="212">
        <f>'IWP20'!M$523</f>
        <v>0</v>
      </c>
      <c r="K6219" s="106"/>
      <c r="L6219" s="106"/>
      <c r="M6219" s="129"/>
    </row>
    <row r="6220" spans="1:13" s="146" customFormat="1">
      <c r="A6220" s="193" t="s">
        <v>518</v>
      </c>
      <c r="B6220" s="210">
        <v>11</v>
      </c>
      <c r="C6220" s="191" t="str">
        <f>IF('IWP20'!E$524=0,"",'IWP20'!E$524)</f>
        <v/>
      </c>
      <c r="D6220" s="211">
        <f>'IWP20'!G$524</f>
        <v>0</v>
      </c>
      <c r="E6220" s="211">
        <f>'IWP20'!H$524</f>
        <v>0</v>
      </c>
      <c r="F6220" s="211">
        <f>'IWP20'!I$524</f>
        <v>0</v>
      </c>
      <c r="G6220" s="191" t="str">
        <f>IF('IWP20'!J$524=0,"",'IWP20'!J$524)</f>
        <v/>
      </c>
      <c r="H6220" s="211">
        <f>'IWP20'!K$524</f>
        <v>0</v>
      </c>
      <c r="I6220" s="211">
        <f>'IWP20'!L$524</f>
        <v>0</v>
      </c>
      <c r="J6220" s="212">
        <f>'IWP20'!M$524</f>
        <v>0</v>
      </c>
      <c r="K6220" s="106"/>
      <c r="L6220" s="106"/>
      <c r="M6220" s="129"/>
    </row>
    <row r="6221" spans="1:13" s="146" customFormat="1">
      <c r="A6221" s="193" t="s">
        <v>518</v>
      </c>
      <c r="B6221" s="210">
        <v>12</v>
      </c>
      <c r="C6221" s="191" t="str">
        <f>IF('IWP20'!E$531=0,"",'IWP20'!E$531)</f>
        <v>Subtotal column D.</v>
      </c>
      <c r="D6221" s="211">
        <f>'IWP20'!G$531</f>
        <v>0</v>
      </c>
      <c r="E6221" s="211">
        <f>'IWP20'!H$531</f>
        <v>0</v>
      </c>
      <c r="F6221" s="211">
        <f>'IWP20'!I$531</f>
        <v>0</v>
      </c>
      <c r="G6221" s="191" t="str">
        <f>IF('IWP20'!J$531=0,"",'IWP20'!J$531)</f>
        <v/>
      </c>
      <c r="H6221" s="211">
        <f>'IWP20'!K$531</f>
        <v>0</v>
      </c>
      <c r="I6221" s="211">
        <f>'IWP20'!L$531</f>
        <v>0</v>
      </c>
      <c r="J6221" s="212">
        <f>'IWP20'!M$531</f>
        <v>0</v>
      </c>
      <c r="K6221" s="106"/>
      <c r="L6221" s="106"/>
      <c r="M6221" s="129"/>
    </row>
    <row r="6222" spans="1:13" s="146" customFormat="1">
      <c r="A6222" s="193" t="s">
        <v>518</v>
      </c>
      <c r="B6222" s="210">
        <v>12</v>
      </c>
      <c r="C6222" s="191" t="str">
        <f>IF('IWP20'!E$532=0,"",'IWP20'!E$532)</f>
        <v>Unverified/Undocumented (Subtotal D - C)</v>
      </c>
      <c r="D6222" s="211">
        <f>'IWP20'!G$532</f>
        <v>0</v>
      </c>
      <c r="E6222" s="211">
        <f>'IWP20'!H$532</f>
        <v>0</v>
      </c>
      <c r="F6222" s="211">
        <f>'IWP20'!I$532</f>
        <v>0</v>
      </c>
      <c r="G6222" s="191" t="str">
        <f>IF('IWP20'!J$532=0,"",'IWP20'!J$532)</f>
        <v/>
      </c>
      <c r="H6222" s="211">
        <f>'IWP20'!K$532</f>
        <v>0</v>
      </c>
      <c r="I6222" s="211">
        <f>'IWP20'!L$532</f>
        <v>0</v>
      </c>
      <c r="J6222" s="212">
        <f>'IWP20'!M$532</f>
        <v>0</v>
      </c>
      <c r="K6222" s="106"/>
      <c r="L6222" s="106"/>
      <c r="M6222" s="129"/>
    </row>
    <row r="6223" spans="1:13" s="146" customFormat="1">
      <c r="A6223" s="193" t="s">
        <v>518</v>
      </c>
      <c r="B6223" s="210">
        <v>12</v>
      </c>
      <c r="C6223" s="191" t="str">
        <f>IF('IWP20'!E$533=0,"",'IWP20'!E$533)</f>
        <v>J. Billing Period Total</v>
      </c>
      <c r="D6223" s="211">
        <f>'IWP20'!G$533</f>
        <v>0</v>
      </c>
      <c r="E6223" s="211">
        <f>'IWP20'!H$533</f>
        <v>0</v>
      </c>
      <c r="F6223" s="211">
        <f>'IWP20'!I$533</f>
        <v>0</v>
      </c>
      <c r="G6223" s="191" t="str">
        <f>IF('IWP20'!J$533=0,"",'IWP20'!J$533)</f>
        <v/>
      </c>
      <c r="H6223" s="211">
        <f>'IWP20'!K$533</f>
        <v>0</v>
      </c>
      <c r="I6223" s="211">
        <f>'IWP20'!L$533</f>
        <v>0</v>
      </c>
      <c r="J6223" s="212">
        <f>'IWP20'!M$533</f>
        <v>0</v>
      </c>
      <c r="K6223" s="106"/>
      <c r="L6223" s="106"/>
      <c r="M6223" s="129"/>
    </row>
    <row r="6224" spans="1:13" s="146" customFormat="1">
      <c r="A6224" s="193" t="s">
        <v>518</v>
      </c>
      <c r="B6224" s="210">
        <v>12</v>
      </c>
      <c r="C6224" s="191" t="str">
        <f>IF('IWP20'!E$534=0,"",'IWP20'!E$534)</f>
        <v>D.</v>
      </c>
      <c r="D6224" s="211">
        <f>'IWP20'!G$534</f>
        <v>0</v>
      </c>
      <c r="E6224" s="211" t="str">
        <f>'IWP20'!H$534</f>
        <v>E.</v>
      </c>
      <c r="F6224" s="211" t="str">
        <f>'IWP20'!I$534</f>
        <v>F.</v>
      </c>
      <c r="G6224" s="191" t="str">
        <f>IF('IWP20'!J$534=0,"",'IWP20'!J$534)</f>
        <v>G.</v>
      </c>
      <c r="H6224" s="211">
        <f>'IWP20'!K$534</f>
        <v>0</v>
      </c>
      <c r="I6224" s="211" t="str">
        <f>'IWP20'!L$534</f>
        <v>H.</v>
      </c>
      <c r="J6224" s="212" t="str">
        <f>'IWP20'!M$534</f>
        <v>I.</v>
      </c>
      <c r="K6224" s="106"/>
      <c r="L6224" s="106"/>
      <c r="M6224" s="129"/>
    </row>
    <row r="6225" spans="1:13" s="146" customFormat="1">
      <c r="A6225" s="193" t="s">
        <v>518</v>
      </c>
      <c r="B6225" s="210">
        <v>12</v>
      </c>
      <c r="C6225" s="191" t="str">
        <f>IF('IWP20'!E$535=0,"",'IWP20'!E$535)</f>
        <v xml:space="preserve">Items/Services Related to Billing Period </v>
      </c>
      <c r="D6225" s="211">
        <f>'IWP20'!G$535</f>
        <v>0</v>
      </c>
      <c r="E6225" s="211" t="str">
        <f>'IWP20'!H$535</f>
        <v xml:space="preserve">Item/
Service Verified Amounts
</v>
      </c>
      <c r="F6225" s="211" t="str">
        <f>'IWP20'!I$535</f>
        <v>Amount Due to DADS (E. - D.)</v>
      </c>
      <c r="G6225" s="191" t="str">
        <f>IF('IWP20'!J$535=0,"",'IWP20'!J$535)</f>
        <v>Amount Reimbursed to 
Employee(s)/Employer</v>
      </c>
      <c r="H6225" s="211">
        <f>'IWP20'!K$535</f>
        <v>0</v>
      </c>
      <c r="I6225" s="211" t="str">
        <f>'IWP20'!L$535</f>
        <v>Amount Due to Employee(s) (G. - E.)</v>
      </c>
      <c r="J6225" s="212" t="str">
        <f>'IWP20'!M$535</f>
        <v>Amount Due to Employer (G. - E.)</v>
      </c>
      <c r="K6225" s="106"/>
      <c r="L6225" s="106"/>
      <c r="M6225" s="129"/>
    </row>
    <row r="6226" spans="1:13" s="146" customFormat="1">
      <c r="A6226" s="193" t="s">
        <v>518</v>
      </c>
      <c r="B6226" s="210">
        <v>12</v>
      </c>
      <c r="C6226" s="191" t="str">
        <f>IF('IWP20'!E$536=0,"",'IWP20'!E$536)</f>
        <v>Item/Service</v>
      </c>
      <c r="D6226" s="211" t="str">
        <f>'IWP20'!G$536</f>
        <v>Itemized Amount Paid by DADS</v>
      </c>
      <c r="E6226" s="211">
        <f>'IWP20'!H$536</f>
        <v>0</v>
      </c>
      <c r="F6226" s="211">
        <f>'IWP20'!I$536</f>
        <v>0</v>
      </c>
      <c r="G6226" s="191" t="str">
        <f>IF('IWP20'!J$536=0,"",'IWP20'!J$536)</f>
        <v/>
      </c>
      <c r="H6226" s="211">
        <f>'IWP20'!K$536</f>
        <v>0</v>
      </c>
      <c r="I6226" s="211">
        <f>'IWP20'!L$536</f>
        <v>0</v>
      </c>
      <c r="J6226" s="212">
        <f>'IWP20'!M$536</f>
        <v>0</v>
      </c>
      <c r="K6226" s="106"/>
      <c r="L6226" s="106"/>
      <c r="M6226" s="129"/>
    </row>
    <row r="6227" spans="1:13" s="146" customFormat="1">
      <c r="A6227" s="193" t="s">
        <v>518</v>
      </c>
      <c r="B6227" s="210">
        <v>12</v>
      </c>
      <c r="C6227" s="191" t="str">
        <f>IF('IWP20'!E$537=0,"",'IWP20'!E$537)</f>
        <v/>
      </c>
      <c r="D6227" s="211">
        <f>'IWP20'!G$537</f>
        <v>0</v>
      </c>
      <c r="E6227" s="211">
        <f>'IWP20'!H$537</f>
        <v>0</v>
      </c>
      <c r="F6227" s="211">
        <f>'IWP20'!I$537</f>
        <v>0</v>
      </c>
      <c r="G6227" s="191" t="str">
        <f>IF('IWP20'!J$537=0,"",'IWP20'!J$537)</f>
        <v/>
      </c>
      <c r="H6227" s="211">
        <f>'IWP20'!K$537</f>
        <v>0</v>
      </c>
      <c r="I6227" s="211">
        <f>'IWP20'!L$537</f>
        <v>0</v>
      </c>
      <c r="J6227" s="212">
        <f>'IWP20'!M$537</f>
        <v>0</v>
      </c>
      <c r="K6227" s="106"/>
      <c r="L6227" s="106"/>
      <c r="M6227" s="129"/>
    </row>
    <row r="6228" spans="1:13" s="146" customFormat="1">
      <c r="A6228" s="193" t="s">
        <v>518</v>
      </c>
      <c r="B6228" s="210">
        <v>12</v>
      </c>
      <c r="C6228" s="191" t="str">
        <f>IF('IWP20'!E$538=0,"",'IWP20'!E$538)</f>
        <v/>
      </c>
      <c r="D6228" s="211">
        <f>'IWP20'!G$538</f>
        <v>0</v>
      </c>
      <c r="E6228" s="211">
        <f>'IWP20'!H$538</f>
        <v>0</v>
      </c>
      <c r="F6228" s="211">
        <f>'IWP20'!I$538</f>
        <v>0</v>
      </c>
      <c r="G6228" s="191" t="str">
        <f>IF('IWP20'!J$538=0,"",'IWP20'!J$538)</f>
        <v/>
      </c>
      <c r="H6228" s="211">
        <f>'IWP20'!K$538</f>
        <v>0</v>
      </c>
      <c r="I6228" s="211">
        <f>'IWP20'!L$538</f>
        <v>0</v>
      </c>
      <c r="J6228" s="212">
        <f>'IWP20'!M$538</f>
        <v>0</v>
      </c>
      <c r="K6228" s="106"/>
      <c r="L6228" s="106"/>
      <c r="M6228" s="129"/>
    </row>
    <row r="6229" spans="1:13" s="146" customFormat="1">
      <c r="A6229" s="193" t="s">
        <v>518</v>
      </c>
      <c r="B6229" s="210">
        <v>12</v>
      </c>
      <c r="C6229" s="191" t="str">
        <f>IF('IWP20'!E$539=0,"",'IWP20'!E$539)</f>
        <v/>
      </c>
      <c r="D6229" s="211">
        <f>'IWP20'!G$539</f>
        <v>0</v>
      </c>
      <c r="E6229" s="211">
        <f>'IWP20'!H$539</f>
        <v>0</v>
      </c>
      <c r="F6229" s="211">
        <f>'IWP20'!I$539</f>
        <v>0</v>
      </c>
      <c r="G6229" s="191" t="str">
        <f>IF('IWP20'!J$539=0,"",'IWP20'!J$539)</f>
        <v/>
      </c>
      <c r="H6229" s="211">
        <f>'IWP20'!K$539</f>
        <v>0</v>
      </c>
      <c r="I6229" s="211">
        <f>'IWP20'!L$539</f>
        <v>0</v>
      </c>
      <c r="J6229" s="212">
        <f>'IWP20'!M$539</f>
        <v>0</v>
      </c>
      <c r="K6229" s="106"/>
      <c r="L6229" s="106"/>
      <c r="M6229" s="129"/>
    </row>
    <row r="6230" spans="1:13" s="146" customFormat="1">
      <c r="A6230" s="193" t="s">
        <v>518</v>
      </c>
      <c r="B6230" s="210">
        <v>12</v>
      </c>
      <c r="C6230" s="191" t="str">
        <f>IF('IWP20'!E$540=0,"",'IWP20'!E$540)</f>
        <v/>
      </c>
      <c r="D6230" s="211">
        <f>'IWP20'!G$540</f>
        <v>0</v>
      </c>
      <c r="E6230" s="211">
        <f>'IWP20'!H$540</f>
        <v>0</v>
      </c>
      <c r="F6230" s="211">
        <f>'IWP20'!I$540</f>
        <v>0</v>
      </c>
      <c r="G6230" s="191" t="str">
        <f>IF('IWP20'!J$540=0,"",'IWP20'!J$540)</f>
        <v/>
      </c>
      <c r="H6230" s="211">
        <f>'IWP20'!K$540</f>
        <v>0</v>
      </c>
      <c r="I6230" s="211">
        <f>'IWP20'!L$540</f>
        <v>0</v>
      </c>
      <c r="J6230" s="212">
        <f>'IWP20'!M$540</f>
        <v>0</v>
      </c>
      <c r="K6230" s="106"/>
      <c r="L6230" s="106"/>
      <c r="M6230" s="129"/>
    </row>
    <row r="6231" spans="1:13" s="146" customFormat="1">
      <c r="A6231" s="193" t="s">
        <v>518</v>
      </c>
      <c r="B6231" s="210">
        <v>13</v>
      </c>
      <c r="C6231" s="191" t="str">
        <f>IF('IWP20'!E$547=0,"",'IWP20'!E$547)</f>
        <v>Subtotal column D.</v>
      </c>
      <c r="D6231" s="211">
        <f>'IWP20'!G$547</f>
        <v>0</v>
      </c>
      <c r="E6231" s="211">
        <f>'IWP20'!H$547</f>
        <v>0</v>
      </c>
      <c r="F6231" s="211">
        <f>'IWP20'!I$547</f>
        <v>0</v>
      </c>
      <c r="G6231" s="191" t="str">
        <f>IF('IWP20'!J$547=0,"",'IWP20'!J$547)</f>
        <v/>
      </c>
      <c r="H6231" s="211">
        <f>'IWP20'!K$547</f>
        <v>0</v>
      </c>
      <c r="I6231" s="211">
        <f>'IWP20'!L$547</f>
        <v>0</v>
      </c>
      <c r="J6231" s="212">
        <f>'IWP20'!M$547</f>
        <v>0</v>
      </c>
      <c r="K6231" s="106"/>
      <c r="L6231" s="106"/>
      <c r="M6231" s="129"/>
    </row>
    <row r="6232" spans="1:13" s="146" customFormat="1">
      <c r="A6232" s="193" t="s">
        <v>518</v>
      </c>
      <c r="B6232" s="210">
        <v>13</v>
      </c>
      <c r="C6232" s="191" t="str">
        <f>IF('IWP20'!E$548=0,"",'IWP20'!E$548)</f>
        <v>Unverified/Undocumented (Subtotal D - C)</v>
      </c>
      <c r="D6232" s="211">
        <f>'IWP20'!G$548</f>
        <v>0</v>
      </c>
      <c r="E6232" s="211">
        <f>'IWP20'!H$548</f>
        <v>0</v>
      </c>
      <c r="F6232" s="211">
        <f>'IWP20'!I$548</f>
        <v>0</v>
      </c>
      <c r="G6232" s="191" t="str">
        <f>IF('IWP20'!J$548=0,"",'IWP20'!J$548)</f>
        <v/>
      </c>
      <c r="H6232" s="211">
        <f>'IWP20'!K$548</f>
        <v>0</v>
      </c>
      <c r="I6232" s="211">
        <f>'IWP20'!L$548</f>
        <v>0</v>
      </c>
      <c r="J6232" s="212">
        <f>'IWP20'!M$548</f>
        <v>0</v>
      </c>
      <c r="K6232" s="106"/>
      <c r="L6232" s="106"/>
      <c r="M6232" s="129"/>
    </row>
    <row r="6233" spans="1:13" s="146" customFormat="1">
      <c r="A6233" s="193" t="s">
        <v>518</v>
      </c>
      <c r="B6233" s="210">
        <v>13</v>
      </c>
      <c r="C6233" s="191" t="str">
        <f>IF('IWP20'!E$549=0,"",'IWP20'!E$549)</f>
        <v>J. Billing Period Total</v>
      </c>
      <c r="D6233" s="211">
        <f>'IWP20'!G$549</f>
        <v>0</v>
      </c>
      <c r="E6233" s="211">
        <f>'IWP20'!H$549</f>
        <v>0</v>
      </c>
      <c r="F6233" s="211">
        <f>'IWP20'!I$549</f>
        <v>0</v>
      </c>
      <c r="G6233" s="191" t="str">
        <f>IF('IWP20'!J$549=0,"",'IWP20'!J$549)</f>
        <v/>
      </c>
      <c r="H6233" s="211">
        <f>'IWP20'!K$549</f>
        <v>0</v>
      </c>
      <c r="I6233" s="211">
        <f>'IWP20'!L$549</f>
        <v>0</v>
      </c>
      <c r="J6233" s="212">
        <f>'IWP20'!M$549</f>
        <v>0</v>
      </c>
      <c r="K6233" s="106"/>
      <c r="L6233" s="106"/>
      <c r="M6233" s="129"/>
    </row>
    <row r="6234" spans="1:13" s="146" customFormat="1">
      <c r="A6234" s="193" t="s">
        <v>518</v>
      </c>
      <c r="B6234" s="210">
        <v>13</v>
      </c>
      <c r="C6234" s="191" t="str">
        <f>IF('IWP20'!E$550=0,"",'IWP20'!E$550)</f>
        <v>D.</v>
      </c>
      <c r="D6234" s="211">
        <f>'IWP20'!G$550</f>
        <v>0</v>
      </c>
      <c r="E6234" s="211" t="str">
        <f>'IWP20'!H$550</f>
        <v>E.</v>
      </c>
      <c r="F6234" s="211" t="str">
        <f>'IWP20'!I$550</f>
        <v>F.</v>
      </c>
      <c r="G6234" s="191" t="str">
        <f>IF('IWP20'!J$550=0,"",'IWP20'!J$550)</f>
        <v>G.</v>
      </c>
      <c r="H6234" s="211">
        <f>'IWP20'!K$550</f>
        <v>0</v>
      </c>
      <c r="I6234" s="211" t="str">
        <f>'IWP20'!L$550</f>
        <v>H.</v>
      </c>
      <c r="J6234" s="212" t="str">
        <f>'IWP20'!M$550</f>
        <v>I.</v>
      </c>
      <c r="K6234" s="106"/>
      <c r="L6234" s="106"/>
      <c r="M6234" s="129"/>
    </row>
    <row r="6235" spans="1:13" s="146" customFormat="1">
      <c r="A6235" s="193" t="s">
        <v>518</v>
      </c>
      <c r="B6235" s="210">
        <v>13</v>
      </c>
      <c r="C6235" s="191" t="str">
        <f>IF('IWP20'!E$551=0,"",'IWP20'!E$551)</f>
        <v xml:space="preserve">Items/Services Related to Billing Period </v>
      </c>
      <c r="D6235" s="211">
        <f>'IWP20'!G$551</f>
        <v>0</v>
      </c>
      <c r="E6235" s="211" t="str">
        <f>'IWP20'!H$551</f>
        <v xml:space="preserve">Item/
Service Verified Amounts
</v>
      </c>
      <c r="F6235" s="211" t="str">
        <f>'IWP20'!I$551</f>
        <v>Amount Due to DADS (E. - D.)</v>
      </c>
      <c r="G6235" s="191" t="str">
        <f>IF('IWP20'!J$551=0,"",'IWP20'!J$551)</f>
        <v>Amount Reimbursed to 
Employee(s)/Employer</v>
      </c>
      <c r="H6235" s="211">
        <f>'IWP20'!K$551</f>
        <v>0</v>
      </c>
      <c r="I6235" s="211" t="str">
        <f>'IWP20'!L$551</f>
        <v>Amount Due to Employee(s) (G. - E.)</v>
      </c>
      <c r="J6235" s="212" t="str">
        <f>'IWP20'!M$551</f>
        <v>Amount Due to Employer (G. - E.)</v>
      </c>
      <c r="K6235" s="106"/>
      <c r="L6235" s="106"/>
      <c r="M6235" s="129"/>
    </row>
    <row r="6236" spans="1:13" s="146" customFormat="1">
      <c r="A6236" s="193" t="s">
        <v>518</v>
      </c>
      <c r="B6236" s="210">
        <v>13</v>
      </c>
      <c r="C6236" s="191" t="str">
        <f>IF('IWP20'!E$552=0,"",'IWP20'!E$552)</f>
        <v>Item/Service</v>
      </c>
      <c r="D6236" s="211" t="str">
        <f>'IWP20'!G$552</f>
        <v>Itemized Amount Paid by DADS</v>
      </c>
      <c r="E6236" s="211">
        <f>'IWP20'!H$552</f>
        <v>0</v>
      </c>
      <c r="F6236" s="211">
        <f>'IWP20'!I$552</f>
        <v>0</v>
      </c>
      <c r="G6236" s="191" t="str">
        <f>IF('IWP20'!J$552=0,"",'IWP20'!J$552)</f>
        <v/>
      </c>
      <c r="H6236" s="211">
        <f>'IWP20'!K$552</f>
        <v>0</v>
      </c>
      <c r="I6236" s="211">
        <f>'IWP20'!L$552</f>
        <v>0</v>
      </c>
      <c r="J6236" s="212">
        <f>'IWP20'!M$552</f>
        <v>0</v>
      </c>
      <c r="K6236" s="106"/>
      <c r="L6236" s="106"/>
      <c r="M6236" s="129"/>
    </row>
    <row r="6237" spans="1:13" s="146" customFormat="1">
      <c r="A6237" s="193" t="s">
        <v>518</v>
      </c>
      <c r="B6237" s="210">
        <v>13</v>
      </c>
      <c r="C6237" s="191" t="str">
        <f>IF('IWP20'!E$553=0,"",'IWP20'!E$553)</f>
        <v/>
      </c>
      <c r="D6237" s="211">
        <f>'IWP20'!G$553</f>
        <v>0</v>
      </c>
      <c r="E6237" s="211">
        <f>'IWP20'!H$553</f>
        <v>0</v>
      </c>
      <c r="F6237" s="211">
        <f>'IWP20'!I$553</f>
        <v>0</v>
      </c>
      <c r="G6237" s="191" t="str">
        <f>IF('IWP20'!J$553=0,"",'IWP20'!J$553)</f>
        <v/>
      </c>
      <c r="H6237" s="211">
        <f>'IWP20'!K$553</f>
        <v>0</v>
      </c>
      <c r="I6237" s="211">
        <f>'IWP20'!L$553</f>
        <v>0</v>
      </c>
      <c r="J6237" s="212">
        <f>'IWP20'!M$553</f>
        <v>0</v>
      </c>
      <c r="K6237" s="106"/>
      <c r="L6237" s="106"/>
      <c r="M6237" s="129"/>
    </row>
    <row r="6238" spans="1:13" s="146" customFormat="1">
      <c r="A6238" s="193" t="s">
        <v>518</v>
      </c>
      <c r="B6238" s="210">
        <v>13</v>
      </c>
      <c r="C6238" s="191" t="str">
        <f>IF('IWP20'!E$554=0,"",'IWP20'!E$554)</f>
        <v/>
      </c>
      <c r="D6238" s="211">
        <f>'IWP20'!G$554</f>
        <v>0</v>
      </c>
      <c r="E6238" s="211">
        <f>'IWP20'!H$554</f>
        <v>0</v>
      </c>
      <c r="F6238" s="211">
        <f>'IWP20'!I$554</f>
        <v>0</v>
      </c>
      <c r="G6238" s="191" t="str">
        <f>IF('IWP20'!J$554=0,"",'IWP20'!J$554)</f>
        <v/>
      </c>
      <c r="H6238" s="211">
        <f>'IWP20'!K$554</f>
        <v>0</v>
      </c>
      <c r="I6238" s="211">
        <f>'IWP20'!L$554</f>
        <v>0</v>
      </c>
      <c r="J6238" s="212">
        <f>'IWP20'!M$554</f>
        <v>0</v>
      </c>
      <c r="K6238" s="106"/>
      <c r="L6238" s="106"/>
      <c r="M6238" s="129"/>
    </row>
    <row r="6239" spans="1:13" s="146" customFormat="1">
      <c r="A6239" s="193" t="s">
        <v>518</v>
      </c>
      <c r="B6239" s="210">
        <v>13</v>
      </c>
      <c r="C6239" s="191" t="str">
        <f>IF('IWP20'!E$555=0,"",'IWP20'!E$555)</f>
        <v/>
      </c>
      <c r="D6239" s="211">
        <f>'IWP20'!G$555</f>
        <v>0</v>
      </c>
      <c r="E6239" s="211">
        <f>'IWP20'!H$555</f>
        <v>0</v>
      </c>
      <c r="F6239" s="211">
        <f>'IWP20'!I$555</f>
        <v>0</v>
      </c>
      <c r="G6239" s="191" t="str">
        <f>IF('IWP20'!J$555=0,"",'IWP20'!J$555)</f>
        <v/>
      </c>
      <c r="H6239" s="211">
        <f>'IWP20'!K$555</f>
        <v>0</v>
      </c>
      <c r="I6239" s="211">
        <f>'IWP20'!L$555</f>
        <v>0</v>
      </c>
      <c r="J6239" s="212">
        <f>'IWP20'!M$555</f>
        <v>0</v>
      </c>
      <c r="K6239" s="106"/>
      <c r="L6239" s="106"/>
      <c r="M6239" s="129"/>
    </row>
    <row r="6240" spans="1:13" s="146" customFormat="1">
      <c r="A6240" s="193" t="s">
        <v>518</v>
      </c>
      <c r="B6240" s="210">
        <v>13</v>
      </c>
      <c r="C6240" s="191" t="str">
        <f>IF('IWP20'!E$556=0,"",'IWP20'!E$556)</f>
        <v/>
      </c>
      <c r="D6240" s="211">
        <f>'IWP20'!G$556</f>
        <v>0</v>
      </c>
      <c r="E6240" s="211">
        <f>'IWP20'!H$556</f>
        <v>0</v>
      </c>
      <c r="F6240" s="211">
        <f>'IWP20'!I$556</f>
        <v>0</v>
      </c>
      <c r="G6240" s="191" t="str">
        <f>IF('IWP20'!J$556=0,"",'IWP20'!J$556)</f>
        <v/>
      </c>
      <c r="H6240" s="211">
        <f>'IWP20'!K$556</f>
        <v>0</v>
      </c>
      <c r="I6240" s="211">
        <f>'IWP20'!L$556</f>
        <v>0</v>
      </c>
      <c r="J6240" s="212">
        <f>'IWP20'!M$556</f>
        <v>0</v>
      </c>
      <c r="K6240" s="106"/>
      <c r="L6240" s="106"/>
      <c r="M6240" s="129"/>
    </row>
    <row r="6241" spans="1:13" s="146" customFormat="1">
      <c r="A6241" s="193" t="s">
        <v>518</v>
      </c>
      <c r="B6241" s="210">
        <v>14</v>
      </c>
      <c r="C6241" s="191" t="str">
        <f>IF('IWP20'!E$563=0,"",'IWP20'!E$563)</f>
        <v>Subtotal column D.</v>
      </c>
      <c r="D6241" s="211">
        <f>'IWP20'!G$563</f>
        <v>0</v>
      </c>
      <c r="E6241" s="211">
        <f>'IWP20'!H$563</f>
        <v>0</v>
      </c>
      <c r="F6241" s="211">
        <f>'IWP20'!I$563</f>
        <v>0</v>
      </c>
      <c r="G6241" s="191" t="str">
        <f>IF('IWP20'!J$563=0,"",'IWP20'!J$563)</f>
        <v/>
      </c>
      <c r="H6241" s="211">
        <f>'IWP20'!K$563</f>
        <v>0</v>
      </c>
      <c r="I6241" s="211">
        <f>'IWP20'!L$563</f>
        <v>0</v>
      </c>
      <c r="J6241" s="212">
        <f>'IWP20'!M$563</f>
        <v>0</v>
      </c>
      <c r="K6241" s="106"/>
      <c r="L6241" s="106"/>
      <c r="M6241" s="129"/>
    </row>
    <row r="6242" spans="1:13" s="146" customFormat="1">
      <c r="A6242" s="193" t="s">
        <v>518</v>
      </c>
      <c r="B6242" s="210">
        <v>14</v>
      </c>
      <c r="C6242" s="191" t="str">
        <f>IF('IWP20'!E$564=0,"",'IWP20'!E$564)</f>
        <v>Unverified/Undocumented (Subtotal D - C)</v>
      </c>
      <c r="D6242" s="211">
        <f>'IWP20'!G$564</f>
        <v>0</v>
      </c>
      <c r="E6242" s="211">
        <f>'IWP20'!H$564</f>
        <v>0</v>
      </c>
      <c r="F6242" s="211">
        <f>'IWP20'!I$564</f>
        <v>0</v>
      </c>
      <c r="G6242" s="191" t="str">
        <f>IF('IWP20'!J$564=0,"",'IWP20'!J$564)</f>
        <v/>
      </c>
      <c r="H6242" s="211">
        <f>'IWP20'!K$564</f>
        <v>0</v>
      </c>
      <c r="I6242" s="211">
        <f>'IWP20'!L$564</f>
        <v>0</v>
      </c>
      <c r="J6242" s="212">
        <f>'IWP20'!M$564</f>
        <v>0</v>
      </c>
      <c r="K6242" s="106"/>
      <c r="L6242" s="106"/>
      <c r="M6242" s="129"/>
    </row>
    <row r="6243" spans="1:13" s="146" customFormat="1">
      <c r="A6243" s="193" t="s">
        <v>518</v>
      </c>
      <c r="B6243" s="210">
        <v>14</v>
      </c>
      <c r="C6243" s="191" t="str">
        <f>IF('IWP20'!E$565=0,"",'IWP20'!E$565)</f>
        <v>J. Billing Period Total</v>
      </c>
      <c r="D6243" s="211">
        <f>'IWP20'!G$565</f>
        <v>0</v>
      </c>
      <c r="E6243" s="211">
        <f>'IWP20'!H$565</f>
        <v>0</v>
      </c>
      <c r="F6243" s="211">
        <f>'IWP20'!I$565</f>
        <v>0</v>
      </c>
      <c r="G6243" s="191" t="str">
        <f>IF('IWP20'!J$565=0,"",'IWP20'!J$565)</f>
        <v/>
      </c>
      <c r="H6243" s="211">
        <f>'IWP20'!K$565</f>
        <v>0</v>
      </c>
      <c r="I6243" s="211">
        <f>'IWP20'!L$565</f>
        <v>0</v>
      </c>
      <c r="J6243" s="212">
        <f>'IWP20'!M$565</f>
        <v>0</v>
      </c>
      <c r="K6243" s="106"/>
      <c r="L6243" s="106"/>
      <c r="M6243" s="129"/>
    </row>
    <row r="6244" spans="1:13" s="146" customFormat="1">
      <c r="A6244" s="193" t="s">
        <v>518</v>
      </c>
      <c r="B6244" s="210">
        <v>14</v>
      </c>
      <c r="C6244" s="191" t="str">
        <f>IF('IWP20'!E$566=0,"",'IWP20'!E$566)</f>
        <v>D.</v>
      </c>
      <c r="D6244" s="211">
        <f>'IWP20'!G$566</f>
        <v>0</v>
      </c>
      <c r="E6244" s="211" t="str">
        <f>'IWP20'!H$566</f>
        <v>E.</v>
      </c>
      <c r="F6244" s="211" t="str">
        <f>'IWP20'!I$566</f>
        <v>F.</v>
      </c>
      <c r="G6244" s="191" t="str">
        <f>IF('IWP20'!J$566=0,"",'IWP20'!J$566)</f>
        <v>G.</v>
      </c>
      <c r="H6244" s="211">
        <f>'IWP20'!K$566</f>
        <v>0</v>
      </c>
      <c r="I6244" s="211" t="str">
        <f>'IWP20'!L$566</f>
        <v>H.</v>
      </c>
      <c r="J6244" s="212" t="str">
        <f>'IWP20'!M$566</f>
        <v>I.</v>
      </c>
      <c r="K6244" s="106"/>
      <c r="L6244" s="106"/>
      <c r="M6244" s="129"/>
    </row>
    <row r="6245" spans="1:13" s="146" customFormat="1">
      <c r="A6245" s="193" t="s">
        <v>518</v>
      </c>
      <c r="B6245" s="210">
        <v>14</v>
      </c>
      <c r="C6245" s="191" t="str">
        <f>IF('IWP20'!E$567=0,"",'IWP20'!E$567)</f>
        <v xml:space="preserve">Items/Services Related to Billing Period </v>
      </c>
      <c r="D6245" s="211">
        <f>'IWP20'!G$567</f>
        <v>0</v>
      </c>
      <c r="E6245" s="211" t="str">
        <f>'IWP20'!H$567</f>
        <v xml:space="preserve">Item/
Service Verified Amounts
</v>
      </c>
      <c r="F6245" s="211" t="str">
        <f>'IWP20'!I$567</f>
        <v>Amount Due to DADS (E. - D.)</v>
      </c>
      <c r="G6245" s="191" t="str">
        <f>IF('IWP20'!J$567=0,"",'IWP20'!J$567)</f>
        <v>Amount Reimbursed to 
Employee(s)/Employer</v>
      </c>
      <c r="H6245" s="211">
        <f>'IWP20'!K$567</f>
        <v>0</v>
      </c>
      <c r="I6245" s="211" t="str">
        <f>'IWP20'!L$567</f>
        <v>Amount Due to Employee(s) (G. - E.)</v>
      </c>
      <c r="J6245" s="212" t="str">
        <f>'IWP20'!M$567</f>
        <v>Amount Due to Employer (G. - E.)</v>
      </c>
      <c r="K6245" s="106"/>
      <c r="L6245" s="106"/>
      <c r="M6245" s="129"/>
    </row>
    <row r="6246" spans="1:13" s="146" customFormat="1">
      <c r="A6246" s="193" t="s">
        <v>518</v>
      </c>
      <c r="B6246" s="210">
        <v>14</v>
      </c>
      <c r="C6246" s="191" t="str">
        <f>IF('IWP20'!E$568=0,"",'IWP20'!E$568)</f>
        <v>Item/Service</v>
      </c>
      <c r="D6246" s="211" t="str">
        <f>'IWP20'!G$568</f>
        <v>Itemized Amount Paid by DADS</v>
      </c>
      <c r="E6246" s="211">
        <f>'IWP20'!H$568</f>
        <v>0</v>
      </c>
      <c r="F6246" s="211">
        <f>'IWP20'!I$568</f>
        <v>0</v>
      </c>
      <c r="G6246" s="191" t="str">
        <f>IF('IWP20'!J$568=0,"",'IWP20'!J$568)</f>
        <v/>
      </c>
      <c r="H6246" s="211">
        <f>'IWP20'!K$568</f>
        <v>0</v>
      </c>
      <c r="I6246" s="211">
        <f>'IWP20'!L$568</f>
        <v>0</v>
      </c>
      <c r="J6246" s="212">
        <f>'IWP20'!M$568</f>
        <v>0</v>
      </c>
      <c r="K6246" s="106"/>
      <c r="L6246" s="106"/>
      <c r="M6246" s="129"/>
    </row>
    <row r="6247" spans="1:13" s="146" customFormat="1">
      <c r="A6247" s="193" t="s">
        <v>518</v>
      </c>
      <c r="B6247" s="210">
        <v>14</v>
      </c>
      <c r="C6247" s="191" t="str">
        <f>IF('IWP20'!E$569=0,"",'IWP20'!E$569)</f>
        <v/>
      </c>
      <c r="D6247" s="211">
        <f>'IWP20'!G$569</f>
        <v>0</v>
      </c>
      <c r="E6247" s="211">
        <f>'IWP20'!H$569</f>
        <v>0</v>
      </c>
      <c r="F6247" s="211">
        <f>'IWP20'!I$569</f>
        <v>0</v>
      </c>
      <c r="G6247" s="191" t="str">
        <f>IF('IWP20'!J$569=0,"",'IWP20'!J$569)</f>
        <v/>
      </c>
      <c r="H6247" s="211">
        <f>'IWP20'!K$569</f>
        <v>0</v>
      </c>
      <c r="I6247" s="211">
        <f>'IWP20'!L$569</f>
        <v>0</v>
      </c>
      <c r="J6247" s="212">
        <f>'IWP20'!M$569</f>
        <v>0</v>
      </c>
      <c r="K6247" s="106"/>
      <c r="L6247" s="106"/>
      <c r="M6247" s="129"/>
    </row>
    <row r="6248" spans="1:13" s="146" customFormat="1">
      <c r="A6248" s="193" t="s">
        <v>518</v>
      </c>
      <c r="B6248" s="210">
        <v>14</v>
      </c>
      <c r="C6248" s="191" t="str">
        <f>IF('IWP20'!E$570=0,"",'IWP20'!E$570)</f>
        <v/>
      </c>
      <c r="D6248" s="211">
        <f>'IWP20'!G$570</f>
        <v>0</v>
      </c>
      <c r="E6248" s="211">
        <f>'IWP20'!H$570</f>
        <v>0</v>
      </c>
      <c r="F6248" s="211">
        <f>'IWP20'!I$570</f>
        <v>0</v>
      </c>
      <c r="G6248" s="191" t="str">
        <f>IF('IWP20'!J$570=0,"",'IWP20'!J$570)</f>
        <v/>
      </c>
      <c r="H6248" s="211">
        <f>'IWP20'!K$570</f>
        <v>0</v>
      </c>
      <c r="I6248" s="211">
        <f>'IWP20'!L$570</f>
        <v>0</v>
      </c>
      <c r="J6248" s="212">
        <f>'IWP20'!M$570</f>
        <v>0</v>
      </c>
      <c r="K6248" s="106"/>
      <c r="L6248" s="106"/>
      <c r="M6248" s="129"/>
    </row>
    <row r="6249" spans="1:13" s="146" customFormat="1">
      <c r="A6249" s="193" t="s">
        <v>518</v>
      </c>
      <c r="B6249" s="210">
        <v>14</v>
      </c>
      <c r="C6249" s="191" t="str">
        <f>IF('IWP20'!E$571=0,"",'IWP20'!E$571)</f>
        <v/>
      </c>
      <c r="D6249" s="211">
        <f>'IWP20'!G$571</f>
        <v>0</v>
      </c>
      <c r="E6249" s="211">
        <f>'IWP20'!H$571</f>
        <v>0</v>
      </c>
      <c r="F6249" s="211">
        <f>'IWP20'!I$571</f>
        <v>0</v>
      </c>
      <c r="G6249" s="191" t="str">
        <f>IF('IWP20'!J$571=0,"",'IWP20'!J$571)</f>
        <v/>
      </c>
      <c r="H6249" s="211">
        <f>'IWP20'!K$571</f>
        <v>0</v>
      </c>
      <c r="I6249" s="211">
        <f>'IWP20'!L$571</f>
        <v>0</v>
      </c>
      <c r="J6249" s="212">
        <f>'IWP20'!M$571</f>
        <v>0</v>
      </c>
      <c r="K6249" s="106"/>
      <c r="L6249" s="106"/>
      <c r="M6249" s="129"/>
    </row>
    <row r="6250" spans="1:13" s="146" customFormat="1">
      <c r="A6250" s="193" t="s">
        <v>518</v>
      </c>
      <c r="B6250" s="210">
        <v>14</v>
      </c>
      <c r="C6250" s="191" t="str">
        <f>IF('IWP20'!E$572=0,"",'IWP20'!E$572)</f>
        <v/>
      </c>
      <c r="D6250" s="211">
        <f>'IWP20'!G$572</f>
        <v>0</v>
      </c>
      <c r="E6250" s="211">
        <f>'IWP20'!H$572</f>
        <v>0</v>
      </c>
      <c r="F6250" s="211">
        <f>'IWP20'!I$572</f>
        <v>0</v>
      </c>
      <c r="G6250" s="191" t="str">
        <f>IF('IWP20'!J$572=0,"",'IWP20'!J$572)</f>
        <v/>
      </c>
      <c r="H6250" s="211">
        <f>'IWP20'!K$572</f>
        <v>0</v>
      </c>
      <c r="I6250" s="211">
        <f>'IWP20'!L$572</f>
        <v>0</v>
      </c>
      <c r="J6250" s="212">
        <f>'IWP20'!M$572</f>
        <v>0</v>
      </c>
      <c r="K6250" s="106"/>
      <c r="L6250" s="106"/>
      <c r="M6250" s="129"/>
    </row>
    <row r="6251" spans="1:13" s="146" customFormat="1">
      <c r="A6251" s="193" t="s">
        <v>518</v>
      </c>
      <c r="B6251" s="210">
        <v>15</v>
      </c>
      <c r="C6251" s="191" t="str">
        <f>IF('IWP20'!E$579=0,"",'IWP20'!E$579)</f>
        <v>Subtotal column D.</v>
      </c>
      <c r="D6251" s="211">
        <f>'IWP20'!G$579</f>
        <v>0</v>
      </c>
      <c r="E6251" s="211">
        <f>'IWP20'!H$579</f>
        <v>0</v>
      </c>
      <c r="F6251" s="211">
        <f>'IWP20'!I$579</f>
        <v>0</v>
      </c>
      <c r="G6251" s="191" t="str">
        <f>IF('IWP20'!J$579=0,"",'IWP20'!J$579)</f>
        <v/>
      </c>
      <c r="H6251" s="211">
        <f>'IWP20'!K$579</f>
        <v>0</v>
      </c>
      <c r="I6251" s="211">
        <f>'IWP20'!L$579</f>
        <v>0</v>
      </c>
      <c r="J6251" s="212">
        <f>'IWP20'!M$579</f>
        <v>0</v>
      </c>
      <c r="K6251" s="106"/>
      <c r="L6251" s="106"/>
      <c r="M6251" s="129"/>
    </row>
    <row r="6252" spans="1:13" s="146" customFormat="1">
      <c r="A6252" s="193" t="s">
        <v>518</v>
      </c>
      <c r="B6252" s="210">
        <v>15</v>
      </c>
      <c r="C6252" s="191" t="str">
        <f>IF('IWP20'!E$580=0,"",'IWP20'!E$580)</f>
        <v>Unverified/Undocumented (Subtotal D - C)</v>
      </c>
      <c r="D6252" s="211">
        <f>'IWP20'!G$580</f>
        <v>0</v>
      </c>
      <c r="E6252" s="211">
        <f>'IWP20'!H$580</f>
        <v>0</v>
      </c>
      <c r="F6252" s="211">
        <f>'IWP20'!I$580</f>
        <v>0</v>
      </c>
      <c r="G6252" s="191" t="str">
        <f>IF('IWP20'!J$580=0,"",'IWP20'!J$580)</f>
        <v/>
      </c>
      <c r="H6252" s="211">
        <f>'IWP20'!K$580</f>
        <v>0</v>
      </c>
      <c r="I6252" s="211">
        <f>'IWP20'!L$580</f>
        <v>0</v>
      </c>
      <c r="J6252" s="212">
        <f>'IWP20'!M$580</f>
        <v>0</v>
      </c>
      <c r="K6252" s="106"/>
      <c r="L6252" s="106"/>
      <c r="M6252" s="129"/>
    </row>
    <row r="6253" spans="1:13" s="146" customFormat="1">
      <c r="A6253" s="193" t="s">
        <v>518</v>
      </c>
      <c r="B6253" s="210">
        <v>15</v>
      </c>
      <c r="C6253" s="191" t="str">
        <f>IF('IWP20'!E$581=0,"",'IWP20'!E$581)</f>
        <v>J. Billing Period Total</v>
      </c>
      <c r="D6253" s="211">
        <f>'IWP20'!G$581</f>
        <v>0</v>
      </c>
      <c r="E6253" s="211">
        <f>'IWP20'!H$581</f>
        <v>0</v>
      </c>
      <c r="F6253" s="211">
        <f>'IWP20'!I$581</f>
        <v>0</v>
      </c>
      <c r="G6253" s="191" t="str">
        <f>IF('IWP20'!J$581=0,"",'IWP20'!J$581)</f>
        <v/>
      </c>
      <c r="H6253" s="211">
        <f>'IWP20'!K$581</f>
        <v>0</v>
      </c>
      <c r="I6253" s="211">
        <f>'IWP20'!L$581</f>
        <v>0</v>
      </c>
      <c r="J6253" s="212">
        <f>'IWP20'!M$581</f>
        <v>0</v>
      </c>
      <c r="K6253" s="106"/>
      <c r="L6253" s="106"/>
      <c r="M6253" s="129"/>
    </row>
    <row r="6254" spans="1:13" s="146" customFormat="1">
      <c r="A6254" s="193" t="s">
        <v>518</v>
      </c>
      <c r="B6254" s="210">
        <v>15</v>
      </c>
      <c r="C6254" s="191" t="str">
        <f>IF('IWP20'!E$582=0,"",'IWP20'!E$582)</f>
        <v>D.</v>
      </c>
      <c r="D6254" s="211">
        <f>'IWP20'!G$582</f>
        <v>0</v>
      </c>
      <c r="E6254" s="211" t="str">
        <f>'IWP20'!H$582</f>
        <v>E.</v>
      </c>
      <c r="F6254" s="211" t="str">
        <f>'IWP20'!I$582</f>
        <v>F.</v>
      </c>
      <c r="G6254" s="191" t="str">
        <f>IF('IWP20'!J$582=0,"",'IWP20'!J$582)</f>
        <v>G.</v>
      </c>
      <c r="H6254" s="211">
        <f>'IWP20'!K$582</f>
        <v>0</v>
      </c>
      <c r="I6254" s="211" t="str">
        <f>'IWP20'!L$582</f>
        <v>H.</v>
      </c>
      <c r="J6254" s="212" t="str">
        <f>'IWP20'!M$582</f>
        <v>I.</v>
      </c>
      <c r="K6254" s="106"/>
      <c r="L6254" s="106"/>
      <c r="M6254" s="129"/>
    </row>
    <row r="6255" spans="1:13" s="146" customFormat="1">
      <c r="A6255" s="193" t="s">
        <v>518</v>
      </c>
      <c r="B6255" s="210">
        <v>15</v>
      </c>
      <c r="C6255" s="191" t="str">
        <f>IF('IWP20'!E$583=0,"",'IWP20'!E$583)</f>
        <v xml:space="preserve">Items/Services Related to Billing Period </v>
      </c>
      <c r="D6255" s="211">
        <f>'IWP20'!G$583</f>
        <v>0</v>
      </c>
      <c r="E6255" s="211" t="str">
        <f>'IWP20'!H$583</f>
        <v xml:space="preserve">Item/
Service Verified Amounts
</v>
      </c>
      <c r="F6255" s="211" t="str">
        <f>'IWP20'!I$583</f>
        <v>Amount Due to DADS (E. - D.)</v>
      </c>
      <c r="G6255" s="191" t="str">
        <f>IF('IWP20'!J$583=0,"",'IWP20'!J$583)</f>
        <v>Amount Reimbursed to 
Employee(s)/Employer</v>
      </c>
      <c r="H6255" s="211">
        <f>'IWP20'!K$583</f>
        <v>0</v>
      </c>
      <c r="I6255" s="211" t="str">
        <f>'IWP20'!L$583</f>
        <v>Amount Due to Employee(s) (G. - E.)</v>
      </c>
      <c r="J6255" s="212" t="str">
        <f>'IWP20'!M$583</f>
        <v>Amount Due to Employer (G. - E.)</v>
      </c>
      <c r="K6255" s="106"/>
      <c r="L6255" s="106"/>
      <c r="M6255" s="129"/>
    </row>
    <row r="6256" spans="1:13" s="146" customFormat="1">
      <c r="A6256" s="193" t="s">
        <v>518</v>
      </c>
      <c r="B6256" s="210">
        <v>15</v>
      </c>
      <c r="C6256" s="191" t="str">
        <f>IF('IWP20'!E$584=0,"",'IWP20'!E$584)</f>
        <v>Item/Service</v>
      </c>
      <c r="D6256" s="211" t="str">
        <f>'IWP20'!G$584</f>
        <v>Itemized Amount Paid by DADS</v>
      </c>
      <c r="E6256" s="211">
        <f>'IWP20'!H$584</f>
        <v>0</v>
      </c>
      <c r="F6256" s="211">
        <f>'IWP20'!I$584</f>
        <v>0</v>
      </c>
      <c r="G6256" s="191" t="str">
        <f>IF('IWP20'!J$584=0,"",'IWP20'!J$584)</f>
        <v/>
      </c>
      <c r="H6256" s="211">
        <f>'IWP20'!K$584</f>
        <v>0</v>
      </c>
      <c r="I6256" s="211">
        <f>'IWP20'!L$584</f>
        <v>0</v>
      </c>
      <c r="J6256" s="212">
        <f>'IWP20'!M$584</f>
        <v>0</v>
      </c>
      <c r="K6256" s="106"/>
      <c r="L6256" s="106"/>
      <c r="M6256" s="129"/>
    </row>
    <row r="6257" spans="1:13" s="146" customFormat="1">
      <c r="A6257" s="193" t="s">
        <v>518</v>
      </c>
      <c r="B6257" s="210">
        <v>15</v>
      </c>
      <c r="C6257" s="191" t="str">
        <f>IF('IWP20'!E$585=0,"",'IWP20'!E$585)</f>
        <v/>
      </c>
      <c r="D6257" s="211">
        <f>'IWP20'!G$585</f>
        <v>0</v>
      </c>
      <c r="E6257" s="211">
        <f>'IWP20'!H$585</f>
        <v>0</v>
      </c>
      <c r="F6257" s="211">
        <f>'IWP20'!I$585</f>
        <v>0</v>
      </c>
      <c r="G6257" s="191" t="str">
        <f>IF('IWP20'!J$585=0,"",'IWP20'!J$585)</f>
        <v/>
      </c>
      <c r="H6257" s="211">
        <f>'IWP20'!K$585</f>
        <v>0</v>
      </c>
      <c r="I6257" s="211">
        <f>'IWP20'!L$585</f>
        <v>0</v>
      </c>
      <c r="J6257" s="212">
        <f>'IWP20'!M$585</f>
        <v>0</v>
      </c>
      <c r="K6257" s="106"/>
      <c r="L6257" s="106"/>
      <c r="M6257" s="129"/>
    </row>
    <row r="6258" spans="1:13" s="146" customFormat="1">
      <c r="A6258" s="193" t="s">
        <v>518</v>
      </c>
      <c r="B6258" s="210">
        <v>15</v>
      </c>
      <c r="C6258" s="191" t="str">
        <f>IF('IWP20'!E$586=0,"",'IWP20'!E$586)</f>
        <v/>
      </c>
      <c r="D6258" s="211">
        <f>'IWP20'!G$586</f>
        <v>0</v>
      </c>
      <c r="E6258" s="211">
        <f>'IWP20'!H$586</f>
        <v>0</v>
      </c>
      <c r="F6258" s="211">
        <f>'IWP20'!I$586</f>
        <v>0</v>
      </c>
      <c r="G6258" s="191" t="str">
        <f>IF('IWP20'!J$586=0,"",'IWP20'!J$586)</f>
        <v/>
      </c>
      <c r="H6258" s="211">
        <f>'IWP20'!K$586</f>
        <v>0</v>
      </c>
      <c r="I6258" s="211">
        <f>'IWP20'!L$586</f>
        <v>0</v>
      </c>
      <c r="J6258" s="212">
        <f>'IWP20'!M$586</f>
        <v>0</v>
      </c>
      <c r="K6258" s="106"/>
      <c r="L6258" s="106"/>
      <c r="M6258" s="129"/>
    </row>
    <row r="6259" spans="1:13" s="146" customFormat="1">
      <c r="A6259" s="193" t="s">
        <v>518</v>
      </c>
      <c r="B6259" s="210">
        <v>15</v>
      </c>
      <c r="C6259" s="191" t="str">
        <f>IF('IWP20'!E$587=0,"",'IWP20'!E$587)</f>
        <v/>
      </c>
      <c r="D6259" s="211">
        <f>'IWP20'!G$587</f>
        <v>0</v>
      </c>
      <c r="E6259" s="211">
        <f>'IWP20'!H$587</f>
        <v>0</v>
      </c>
      <c r="F6259" s="211">
        <f>'IWP20'!I$587</f>
        <v>0</v>
      </c>
      <c r="G6259" s="191" t="str">
        <f>IF('IWP20'!J$587=0,"",'IWP20'!J$587)</f>
        <v/>
      </c>
      <c r="H6259" s="211">
        <f>'IWP20'!K$587</f>
        <v>0</v>
      </c>
      <c r="I6259" s="211">
        <f>'IWP20'!L$587</f>
        <v>0</v>
      </c>
      <c r="J6259" s="212">
        <f>'IWP20'!M$587</f>
        <v>0</v>
      </c>
      <c r="K6259" s="106"/>
      <c r="L6259" s="106"/>
      <c r="M6259" s="129"/>
    </row>
    <row r="6260" spans="1:13" s="146" customFormat="1">
      <c r="A6260" s="193" t="s">
        <v>518</v>
      </c>
      <c r="B6260" s="210">
        <v>15</v>
      </c>
      <c r="C6260" s="191" t="str">
        <f>IF('IWP20'!E$588=0,"",'IWP20'!E$588)</f>
        <v/>
      </c>
      <c r="D6260" s="211">
        <f>'IWP20'!G$588</f>
        <v>0</v>
      </c>
      <c r="E6260" s="211">
        <f>'IWP20'!H$588</f>
        <v>0</v>
      </c>
      <c r="F6260" s="211">
        <f>'IWP20'!I$588</f>
        <v>0</v>
      </c>
      <c r="G6260" s="191" t="str">
        <f>IF('IWP20'!J$588=0,"",'IWP20'!J$588)</f>
        <v/>
      </c>
      <c r="H6260" s="211">
        <f>'IWP20'!K$588</f>
        <v>0</v>
      </c>
      <c r="I6260" s="211">
        <f>'IWP20'!L$588</f>
        <v>0</v>
      </c>
      <c r="J6260" s="212">
        <f>'IWP20'!M$588</f>
        <v>0</v>
      </c>
      <c r="K6260" s="106"/>
      <c r="L6260" s="106"/>
      <c r="M6260" s="129"/>
    </row>
    <row r="6261" spans="1:13" s="146" customFormat="1">
      <c r="A6261" s="193" t="s">
        <v>518</v>
      </c>
      <c r="B6261" s="210">
        <v>16</v>
      </c>
      <c r="C6261" s="191" t="str">
        <f>IF('IWP20'!E$595=0,"",'IWP20'!E$595)</f>
        <v>Subtotal column D.</v>
      </c>
      <c r="D6261" s="211">
        <f>'IWP20'!G$595</f>
        <v>0</v>
      </c>
      <c r="E6261" s="211">
        <f>'IWP20'!H$595</f>
        <v>0</v>
      </c>
      <c r="F6261" s="211">
        <f>'IWP20'!I$595</f>
        <v>0</v>
      </c>
      <c r="G6261" s="191" t="str">
        <f>IF('IWP20'!J$595=0,"",'IWP20'!J$595)</f>
        <v/>
      </c>
      <c r="H6261" s="211">
        <f>'IWP20'!K$595</f>
        <v>0</v>
      </c>
      <c r="I6261" s="211">
        <f>'IWP20'!L$595</f>
        <v>0</v>
      </c>
      <c r="J6261" s="212">
        <f>'IWP20'!M$595</f>
        <v>0</v>
      </c>
      <c r="K6261" s="106"/>
      <c r="L6261" s="106"/>
      <c r="M6261" s="129"/>
    </row>
    <row r="6262" spans="1:13" s="146" customFormat="1">
      <c r="A6262" s="193" t="s">
        <v>518</v>
      </c>
      <c r="B6262" s="210">
        <v>16</v>
      </c>
      <c r="C6262" s="191" t="str">
        <f>IF('IWP20'!E$596=0,"",'IWP20'!E$596)</f>
        <v>Unverified/Undocumented (Subtotal D - C)</v>
      </c>
      <c r="D6262" s="211">
        <f>'IWP20'!G$596</f>
        <v>0</v>
      </c>
      <c r="E6262" s="211">
        <f>'IWP20'!H$596</f>
        <v>0</v>
      </c>
      <c r="F6262" s="211">
        <f>'IWP20'!I$596</f>
        <v>0</v>
      </c>
      <c r="G6262" s="191" t="str">
        <f>IF('IWP20'!J$596=0,"",'IWP20'!J$596)</f>
        <v/>
      </c>
      <c r="H6262" s="211">
        <f>'IWP20'!K$596</f>
        <v>0</v>
      </c>
      <c r="I6262" s="211">
        <f>'IWP20'!L$596</f>
        <v>0</v>
      </c>
      <c r="J6262" s="212">
        <f>'IWP20'!M$596</f>
        <v>0</v>
      </c>
      <c r="K6262" s="106"/>
      <c r="L6262" s="106"/>
      <c r="M6262" s="129"/>
    </row>
    <row r="6263" spans="1:13" s="146" customFormat="1">
      <c r="A6263" s="193" t="s">
        <v>518</v>
      </c>
      <c r="B6263" s="210">
        <v>16</v>
      </c>
      <c r="C6263" s="191" t="str">
        <f>IF('IWP20'!E$597=0,"",'IWP20'!E$597)</f>
        <v>J. Billing Period Total</v>
      </c>
      <c r="D6263" s="211">
        <f>'IWP20'!G$597</f>
        <v>0</v>
      </c>
      <c r="E6263" s="211">
        <f>'IWP20'!H$597</f>
        <v>0</v>
      </c>
      <c r="F6263" s="211">
        <f>'IWP20'!I$597</f>
        <v>0</v>
      </c>
      <c r="G6263" s="191" t="str">
        <f>IF('IWP20'!J$597=0,"",'IWP20'!J$597)</f>
        <v/>
      </c>
      <c r="H6263" s="211">
        <f>'IWP20'!K$597</f>
        <v>0</v>
      </c>
      <c r="I6263" s="211">
        <f>'IWP20'!L$597</f>
        <v>0</v>
      </c>
      <c r="J6263" s="212">
        <f>'IWP20'!M$597</f>
        <v>0</v>
      </c>
      <c r="K6263" s="106"/>
      <c r="L6263" s="106"/>
      <c r="M6263" s="129"/>
    </row>
    <row r="6264" spans="1:13" s="146" customFormat="1">
      <c r="A6264" s="193" t="s">
        <v>518</v>
      </c>
      <c r="B6264" s="210">
        <v>16</v>
      </c>
      <c r="C6264" s="191" t="str">
        <f>IF('IWP20'!E$598=0,"",'IWP20'!E$598)</f>
        <v>D.</v>
      </c>
      <c r="D6264" s="211">
        <f>'IWP20'!G$598</f>
        <v>0</v>
      </c>
      <c r="E6264" s="211" t="str">
        <f>'IWP20'!H$598</f>
        <v>E.</v>
      </c>
      <c r="F6264" s="211" t="str">
        <f>'IWP20'!I$598</f>
        <v>F.</v>
      </c>
      <c r="G6264" s="191" t="str">
        <f>IF('IWP20'!J$598=0,"",'IWP20'!J$598)</f>
        <v>G.</v>
      </c>
      <c r="H6264" s="211">
        <f>'IWP20'!K$598</f>
        <v>0</v>
      </c>
      <c r="I6264" s="211" t="str">
        <f>'IWP20'!L$598</f>
        <v>H.</v>
      </c>
      <c r="J6264" s="212" t="str">
        <f>'IWP20'!M$598</f>
        <v>I.</v>
      </c>
      <c r="K6264" s="106"/>
      <c r="L6264" s="106"/>
      <c r="M6264" s="129"/>
    </row>
    <row r="6265" spans="1:13" s="146" customFormat="1">
      <c r="A6265" s="193" t="s">
        <v>518</v>
      </c>
      <c r="B6265" s="210">
        <v>16</v>
      </c>
      <c r="C6265" s="191" t="str">
        <f>IF('IWP20'!E$599=0,"",'IWP20'!E$599)</f>
        <v xml:space="preserve">Items/Services Related to Billing Period </v>
      </c>
      <c r="D6265" s="211">
        <f>'IWP20'!G$599</f>
        <v>0</v>
      </c>
      <c r="E6265" s="211" t="str">
        <f>'IWP20'!H$599</f>
        <v xml:space="preserve">Item/
Service Verified Amounts
</v>
      </c>
      <c r="F6265" s="211" t="str">
        <f>'IWP20'!I$599</f>
        <v>Amount Due to DADS (E. - D.)</v>
      </c>
      <c r="G6265" s="191" t="str">
        <f>IF('IWP20'!J$599=0,"",'IWP20'!J$599)</f>
        <v>Amount Reimbursed to 
Employee(s)/Employer</v>
      </c>
      <c r="H6265" s="211">
        <f>'IWP20'!K$599</f>
        <v>0</v>
      </c>
      <c r="I6265" s="211" t="str">
        <f>'IWP20'!L$599</f>
        <v>Amount Due to Employee(s) (G. - E.)</v>
      </c>
      <c r="J6265" s="212" t="str">
        <f>'IWP20'!M$599</f>
        <v>Amount Due to Employer (G. - E.)</v>
      </c>
      <c r="K6265" s="106"/>
      <c r="L6265" s="106"/>
      <c r="M6265" s="129"/>
    </row>
    <row r="6266" spans="1:13" s="146" customFormat="1">
      <c r="A6266" s="193" t="s">
        <v>518</v>
      </c>
      <c r="B6266" s="210">
        <v>16</v>
      </c>
      <c r="C6266" s="191" t="str">
        <f>IF('IWP20'!E$600=0,"",'IWP20'!E$600)</f>
        <v>Item/Service</v>
      </c>
      <c r="D6266" s="211" t="str">
        <f>'IWP20'!G$600</f>
        <v>Itemized Amount Paid by DADS</v>
      </c>
      <c r="E6266" s="211">
        <f>'IWP20'!H$600</f>
        <v>0</v>
      </c>
      <c r="F6266" s="211">
        <f>'IWP20'!I$600</f>
        <v>0</v>
      </c>
      <c r="G6266" s="191" t="str">
        <f>IF('IWP20'!J$600=0,"",'IWP20'!J$600)</f>
        <v/>
      </c>
      <c r="H6266" s="211">
        <f>'IWP20'!K$600</f>
        <v>0</v>
      </c>
      <c r="I6266" s="211">
        <f>'IWP20'!L$600</f>
        <v>0</v>
      </c>
      <c r="J6266" s="212">
        <f>'IWP20'!M$600</f>
        <v>0</v>
      </c>
      <c r="K6266" s="106"/>
      <c r="L6266" s="106"/>
      <c r="M6266" s="129"/>
    </row>
    <row r="6267" spans="1:13" s="146" customFormat="1">
      <c r="A6267" s="193" t="s">
        <v>518</v>
      </c>
      <c r="B6267" s="210">
        <v>16</v>
      </c>
      <c r="C6267" s="191" t="str">
        <f>IF('IWP20'!E$601=0,"",'IWP20'!E$601)</f>
        <v/>
      </c>
      <c r="D6267" s="211">
        <f>'IWP20'!G$601</f>
        <v>0</v>
      </c>
      <c r="E6267" s="211">
        <f>'IWP20'!H$601</f>
        <v>0</v>
      </c>
      <c r="F6267" s="211">
        <f>'IWP20'!I$601</f>
        <v>0</v>
      </c>
      <c r="G6267" s="191" t="str">
        <f>IF('IWP20'!J$601=0,"",'IWP20'!J$601)</f>
        <v/>
      </c>
      <c r="H6267" s="211">
        <f>'IWP20'!K$601</f>
        <v>0</v>
      </c>
      <c r="I6267" s="211">
        <f>'IWP20'!L$601</f>
        <v>0</v>
      </c>
      <c r="J6267" s="212">
        <f>'IWP20'!M$601</f>
        <v>0</v>
      </c>
      <c r="K6267" s="106"/>
      <c r="L6267" s="106"/>
      <c r="M6267" s="129"/>
    </row>
    <row r="6268" spans="1:13" s="146" customFormat="1">
      <c r="A6268" s="193" t="s">
        <v>518</v>
      </c>
      <c r="B6268" s="210">
        <v>16</v>
      </c>
      <c r="C6268" s="191" t="str">
        <f>IF('IWP20'!E$602=0,"",'IWP20'!E$602)</f>
        <v/>
      </c>
      <c r="D6268" s="211">
        <f>'IWP20'!G$602</f>
        <v>0</v>
      </c>
      <c r="E6268" s="211">
        <f>'IWP20'!H$602</f>
        <v>0</v>
      </c>
      <c r="F6268" s="211">
        <f>'IWP20'!I$602</f>
        <v>0</v>
      </c>
      <c r="G6268" s="191" t="str">
        <f>IF('IWP20'!J$602=0,"",'IWP20'!J$602)</f>
        <v/>
      </c>
      <c r="H6268" s="211">
        <f>'IWP20'!K$602</f>
        <v>0</v>
      </c>
      <c r="I6268" s="211">
        <f>'IWP20'!L$602</f>
        <v>0</v>
      </c>
      <c r="J6268" s="212">
        <f>'IWP20'!M$602</f>
        <v>0</v>
      </c>
      <c r="K6268" s="106"/>
      <c r="L6268" s="106"/>
      <c r="M6268" s="129"/>
    </row>
    <row r="6269" spans="1:13" s="146" customFormat="1">
      <c r="A6269" s="193" t="s">
        <v>518</v>
      </c>
      <c r="B6269" s="210">
        <v>16</v>
      </c>
      <c r="C6269" s="191" t="str">
        <f>IF('IWP20'!E$603=0,"",'IWP20'!E$603)</f>
        <v/>
      </c>
      <c r="D6269" s="211">
        <f>'IWP20'!G$603</f>
        <v>0</v>
      </c>
      <c r="E6269" s="211">
        <f>'IWP20'!H$603</f>
        <v>0</v>
      </c>
      <c r="F6269" s="211">
        <f>'IWP20'!I$603</f>
        <v>0</v>
      </c>
      <c r="G6269" s="191" t="str">
        <f>IF('IWP20'!J$603=0,"",'IWP20'!J$603)</f>
        <v/>
      </c>
      <c r="H6269" s="211">
        <f>'IWP20'!K$603</f>
        <v>0</v>
      </c>
      <c r="I6269" s="211">
        <f>'IWP20'!L$603</f>
        <v>0</v>
      </c>
      <c r="J6269" s="212">
        <f>'IWP20'!M$603</f>
        <v>0</v>
      </c>
      <c r="K6269" s="106"/>
      <c r="L6269" s="106"/>
      <c r="M6269" s="129"/>
    </row>
    <row r="6270" spans="1:13" s="146" customFormat="1">
      <c r="A6270" s="193" t="s">
        <v>518</v>
      </c>
      <c r="B6270" s="210">
        <v>16</v>
      </c>
      <c r="C6270" s="191" t="str">
        <f>IF('IWP20'!E$604=0,"",'IWP20'!E$604)</f>
        <v/>
      </c>
      <c r="D6270" s="211">
        <f>'IWP20'!G$604</f>
        <v>0</v>
      </c>
      <c r="E6270" s="211">
        <f>'IWP20'!H$604</f>
        <v>0</v>
      </c>
      <c r="F6270" s="211">
        <f>'IWP20'!I$604</f>
        <v>0</v>
      </c>
      <c r="G6270" s="191" t="str">
        <f>IF('IWP20'!J$604=0,"",'IWP20'!J$604)</f>
        <v/>
      </c>
      <c r="H6270" s="211">
        <f>'IWP20'!K$604</f>
        <v>0</v>
      </c>
      <c r="I6270" s="211">
        <f>'IWP20'!L$604</f>
        <v>0</v>
      </c>
      <c r="J6270" s="212">
        <f>'IWP20'!M$604</f>
        <v>0</v>
      </c>
      <c r="K6270" s="106"/>
      <c r="L6270" s="106"/>
      <c r="M6270" s="129"/>
    </row>
    <row r="6271" spans="1:13" s="146" customFormat="1">
      <c r="A6271" s="193" t="s">
        <v>518</v>
      </c>
      <c r="B6271" s="210">
        <v>17</v>
      </c>
      <c r="C6271" s="191" t="str">
        <f>IF('IWP20'!E$611=0,"",'IWP20'!E$611)</f>
        <v>Subtotal column D.</v>
      </c>
      <c r="D6271" s="211">
        <f>'IWP20'!G$611</f>
        <v>0</v>
      </c>
      <c r="E6271" s="211">
        <f>'IWP20'!H$611</f>
        <v>0</v>
      </c>
      <c r="F6271" s="211">
        <f>'IWP20'!I$611</f>
        <v>0</v>
      </c>
      <c r="G6271" s="191" t="str">
        <f>IF('IWP20'!J$611=0,"",'IWP20'!J$611)</f>
        <v/>
      </c>
      <c r="H6271" s="211">
        <f>'IWP20'!K$611</f>
        <v>0</v>
      </c>
      <c r="I6271" s="211">
        <f>'IWP20'!L$611</f>
        <v>0</v>
      </c>
      <c r="J6271" s="212">
        <f>'IWP20'!M$611</f>
        <v>0</v>
      </c>
      <c r="K6271" s="106"/>
      <c r="L6271" s="106"/>
      <c r="M6271" s="129"/>
    </row>
    <row r="6272" spans="1:13" s="146" customFormat="1">
      <c r="A6272" s="193" t="s">
        <v>518</v>
      </c>
      <c r="B6272" s="210">
        <v>17</v>
      </c>
      <c r="C6272" s="191" t="str">
        <f>IF('IWP20'!E$612=0,"",'IWP20'!E$612)</f>
        <v>Unverified/Undocumented (Subtotal D - C)</v>
      </c>
      <c r="D6272" s="211">
        <f>'IWP20'!G$612</f>
        <v>0</v>
      </c>
      <c r="E6272" s="211">
        <f>'IWP20'!H$612</f>
        <v>0</v>
      </c>
      <c r="F6272" s="211">
        <f>'IWP20'!I$612</f>
        <v>0</v>
      </c>
      <c r="G6272" s="191" t="str">
        <f>IF('IWP20'!J$612=0,"",'IWP20'!J$612)</f>
        <v/>
      </c>
      <c r="H6272" s="211">
        <f>'IWP20'!K$612</f>
        <v>0</v>
      </c>
      <c r="I6272" s="211">
        <f>'IWP20'!L$612</f>
        <v>0</v>
      </c>
      <c r="J6272" s="212">
        <f>'IWP20'!M$612</f>
        <v>0</v>
      </c>
      <c r="K6272" s="106"/>
      <c r="L6272" s="106"/>
      <c r="M6272" s="129"/>
    </row>
    <row r="6273" spans="1:13" s="146" customFormat="1">
      <c r="A6273" s="193" t="s">
        <v>518</v>
      </c>
      <c r="B6273" s="210">
        <v>17</v>
      </c>
      <c r="C6273" s="191" t="str">
        <f>IF('IWP20'!E$613=0,"",'IWP20'!E$613)</f>
        <v>J. Billing Period Total</v>
      </c>
      <c r="D6273" s="211">
        <f>'IWP20'!G$613</f>
        <v>0</v>
      </c>
      <c r="E6273" s="211">
        <f>'IWP20'!H$613</f>
        <v>0</v>
      </c>
      <c r="F6273" s="211">
        <f>'IWP20'!I$613</f>
        <v>0</v>
      </c>
      <c r="G6273" s="191" t="str">
        <f>IF('IWP20'!J$613=0,"",'IWP20'!J$613)</f>
        <v/>
      </c>
      <c r="H6273" s="211">
        <f>'IWP20'!K$613</f>
        <v>0</v>
      </c>
      <c r="I6273" s="211">
        <f>'IWP20'!L$613</f>
        <v>0</v>
      </c>
      <c r="J6273" s="212">
        <f>'IWP20'!M$613</f>
        <v>0</v>
      </c>
      <c r="K6273" s="106"/>
      <c r="L6273" s="106"/>
      <c r="M6273" s="129"/>
    </row>
    <row r="6274" spans="1:13" s="146" customFormat="1">
      <c r="A6274" s="193" t="s">
        <v>518</v>
      </c>
      <c r="B6274" s="210">
        <v>17</v>
      </c>
      <c r="C6274" s="191" t="str">
        <f>IF('IWP20'!E$614=0,"",'IWP20'!E$614)</f>
        <v/>
      </c>
      <c r="D6274" s="211">
        <f>'IWP20'!G$614</f>
        <v>0</v>
      </c>
      <c r="E6274" s="211">
        <f>'IWP20'!H$614</f>
        <v>0</v>
      </c>
      <c r="F6274" s="211">
        <f>'IWP20'!I$614</f>
        <v>0</v>
      </c>
      <c r="G6274" s="191" t="str">
        <f>IF('IWP20'!J$614=0,"",'IWP20'!J$614)</f>
        <v/>
      </c>
      <c r="H6274" s="211">
        <f>'IWP20'!K$614</f>
        <v>0</v>
      </c>
      <c r="I6274" s="211">
        <f>'IWP20'!L$614</f>
        <v>0</v>
      </c>
      <c r="J6274" s="212">
        <f>'IWP20'!M$614</f>
        <v>0</v>
      </c>
      <c r="K6274" s="106"/>
      <c r="L6274" s="106"/>
      <c r="M6274" s="129"/>
    </row>
    <row r="6275" spans="1:13" s="146" customFormat="1">
      <c r="A6275" s="193" t="s">
        <v>518</v>
      </c>
      <c r="B6275" s="210">
        <v>17</v>
      </c>
      <c r="C6275" s="191" t="str">
        <f>IF('IWP20'!E$615=0,"",'IWP20'!E$615)</f>
        <v/>
      </c>
      <c r="D6275" s="211">
        <f>'IWP20'!G$615</f>
        <v>0</v>
      </c>
      <c r="E6275" s="211">
        <f>'IWP20'!H$615</f>
        <v>0</v>
      </c>
      <c r="F6275" s="211">
        <f>'IWP20'!I$615</f>
        <v>0</v>
      </c>
      <c r="G6275" s="191" t="str">
        <f>IF('IWP20'!J$615=0,"",'IWP20'!J$615)</f>
        <v/>
      </c>
      <c r="H6275" s="211">
        <f>'IWP20'!K$615</f>
        <v>0</v>
      </c>
      <c r="I6275" s="211">
        <f>'IWP20'!L$615</f>
        <v>0</v>
      </c>
      <c r="J6275" s="212">
        <f>'IWP20'!M$615</f>
        <v>0</v>
      </c>
      <c r="K6275" s="106"/>
      <c r="L6275" s="106"/>
      <c r="M6275" s="129"/>
    </row>
    <row r="6276" spans="1:13" s="146" customFormat="1">
      <c r="A6276" s="193" t="s">
        <v>518</v>
      </c>
      <c r="B6276" s="210">
        <v>17</v>
      </c>
      <c r="C6276" s="191" t="str">
        <f>IF('IWP20'!E$616=0,"",'IWP20'!E$616)</f>
        <v/>
      </c>
      <c r="D6276" s="211">
        <f>'IWP20'!G$616</f>
        <v>0</v>
      </c>
      <c r="E6276" s="211">
        <f>'IWP20'!H$616</f>
        <v>0</v>
      </c>
      <c r="F6276" s="211">
        <f>'IWP20'!I$616</f>
        <v>0</v>
      </c>
      <c r="G6276" s="191" t="str">
        <f>IF('IWP20'!J$616=0,"",'IWP20'!J$616)</f>
        <v/>
      </c>
      <c r="H6276" s="211">
        <f>'IWP20'!K$616</f>
        <v>0</v>
      </c>
      <c r="I6276" s="211">
        <f>'IWP20'!L$616</f>
        <v>0</v>
      </c>
      <c r="J6276" s="212">
        <f>'IWP20'!M$616</f>
        <v>0</v>
      </c>
      <c r="K6276" s="106"/>
      <c r="L6276" s="106"/>
      <c r="M6276" s="129"/>
    </row>
    <row r="6277" spans="1:13" s="146" customFormat="1">
      <c r="A6277" s="193" t="s">
        <v>518</v>
      </c>
      <c r="B6277" s="210">
        <v>17</v>
      </c>
      <c r="C6277" s="191" t="str">
        <f>IF('IWP20'!E$617=0,"",'IWP20'!E$617)</f>
        <v/>
      </c>
      <c r="D6277" s="211">
        <f>'IWP20'!G$617</f>
        <v>0</v>
      </c>
      <c r="E6277" s="211">
        <f>'IWP20'!H$617</f>
        <v>0</v>
      </c>
      <c r="F6277" s="211">
        <f>'IWP20'!I$617</f>
        <v>0</v>
      </c>
      <c r="G6277" s="191" t="str">
        <f>IF('IWP20'!J$617=0,"",'IWP20'!J$617)</f>
        <v/>
      </c>
      <c r="H6277" s="211">
        <f>'IWP20'!K$617</f>
        <v>0</v>
      </c>
      <c r="I6277" s="211">
        <f>'IWP20'!L$617</f>
        <v>0</v>
      </c>
      <c r="J6277" s="212">
        <f>'IWP20'!M$617</f>
        <v>0</v>
      </c>
      <c r="K6277" s="106"/>
      <c r="L6277" s="106"/>
      <c r="M6277" s="129"/>
    </row>
    <row r="6278" spans="1:13" s="146" customFormat="1">
      <c r="A6278" s="193" t="s">
        <v>518</v>
      </c>
      <c r="B6278" s="210">
        <v>17</v>
      </c>
      <c r="C6278" s="191" t="str">
        <f>IF('IWP20'!E$618=0,"",'IWP20'!E$618)</f>
        <v/>
      </c>
      <c r="D6278" s="211">
        <f>'IWP20'!G$618</f>
        <v>0</v>
      </c>
      <c r="E6278" s="211">
        <f>'IWP20'!H$618</f>
        <v>0</v>
      </c>
      <c r="F6278" s="211">
        <f>'IWP20'!I$618</f>
        <v>0</v>
      </c>
      <c r="G6278" s="191" t="str">
        <f>IF('IWP20'!J$618=0,"",'IWP20'!J$618)</f>
        <v/>
      </c>
      <c r="H6278" s="211">
        <f>'IWP20'!K$618</f>
        <v>0</v>
      </c>
      <c r="I6278" s="211">
        <f>'IWP20'!L$618</f>
        <v>0</v>
      </c>
      <c r="J6278" s="212">
        <f>'IWP20'!M$618</f>
        <v>0</v>
      </c>
      <c r="K6278" s="106"/>
      <c r="L6278" s="106"/>
      <c r="M6278" s="129"/>
    </row>
    <row r="6279" spans="1:13" s="146" customFormat="1">
      <c r="A6279" s="193" t="s">
        <v>518</v>
      </c>
      <c r="B6279" s="210">
        <v>17</v>
      </c>
      <c r="C6279" s="191" t="str">
        <f>IF('IWP20'!E$619=0,"",'IWP20'!E$619)</f>
        <v/>
      </c>
      <c r="D6279" s="211">
        <f>'IWP20'!G$619</f>
        <v>0</v>
      </c>
      <c r="E6279" s="211">
        <f>'IWP20'!H$619</f>
        <v>0</v>
      </c>
      <c r="F6279" s="211">
        <f>'IWP20'!I$619</f>
        <v>0</v>
      </c>
      <c r="G6279" s="191" t="str">
        <f>IF('IWP20'!J$619=0,"",'IWP20'!J$619)</f>
        <v/>
      </c>
      <c r="H6279" s="211">
        <f>'IWP20'!K$619</f>
        <v>0</v>
      </c>
      <c r="I6279" s="211">
        <f>'IWP20'!L$619</f>
        <v>0</v>
      </c>
      <c r="J6279" s="212">
        <f>'IWP20'!M$619</f>
        <v>0</v>
      </c>
      <c r="K6279" s="106"/>
      <c r="L6279" s="106"/>
      <c r="M6279" s="129"/>
    </row>
    <row r="6280" spans="1:13" s="146" customFormat="1">
      <c r="A6280" s="193" t="s">
        <v>518</v>
      </c>
      <c r="B6280" s="210">
        <v>17</v>
      </c>
      <c r="C6280" s="191" t="str">
        <f>IF('IWP20'!E$620=0,"",'IWP20'!E$620)</f>
        <v/>
      </c>
      <c r="D6280" s="211">
        <f>'IWP20'!G$620</f>
        <v>0</v>
      </c>
      <c r="E6280" s="211">
        <f>'IWP20'!H$620</f>
        <v>0</v>
      </c>
      <c r="F6280" s="211">
        <f>'IWP20'!I$620</f>
        <v>0</v>
      </c>
      <c r="G6280" s="191" t="str">
        <f>IF('IWP20'!J$620=0,"",'IWP20'!J$620)</f>
        <v/>
      </c>
      <c r="H6280" s="211">
        <f>'IWP20'!K$620</f>
        <v>0</v>
      </c>
      <c r="I6280" s="211">
        <f>'IWP20'!L$620</f>
        <v>0</v>
      </c>
      <c r="J6280" s="212">
        <f>'IWP20'!M$620</f>
        <v>0</v>
      </c>
      <c r="K6280" s="106"/>
      <c r="L6280" s="106"/>
      <c r="M6280" s="129"/>
    </row>
    <row r="6281" spans="1:13" s="146" customFormat="1">
      <c r="A6281" s="193" t="s">
        <v>518</v>
      </c>
      <c r="B6281" s="210">
        <v>18</v>
      </c>
      <c r="C6281" s="191" t="str">
        <f>IF('IWP20'!E$627=0,"",'IWP20'!E$627)</f>
        <v/>
      </c>
      <c r="D6281" s="211">
        <f>'IWP20'!G$627</f>
        <v>0</v>
      </c>
      <c r="E6281" s="211">
        <f>'IWP20'!H$627</f>
        <v>0</v>
      </c>
      <c r="F6281" s="211">
        <f>'IWP20'!I$627</f>
        <v>0</v>
      </c>
      <c r="G6281" s="191" t="str">
        <f>IF('IWP20'!J$627=0,"",'IWP20'!J$627)</f>
        <v/>
      </c>
      <c r="H6281" s="211">
        <f>'IWP20'!K$627</f>
        <v>0</v>
      </c>
      <c r="I6281" s="211">
        <f>'IWP20'!L$627</f>
        <v>0</v>
      </c>
      <c r="J6281" s="212">
        <f>'IWP20'!M$627</f>
        <v>0</v>
      </c>
      <c r="K6281" s="106"/>
      <c r="L6281" s="106"/>
      <c r="M6281" s="129"/>
    </row>
    <row r="6282" spans="1:13" s="146" customFormat="1">
      <c r="A6282" s="193" t="s">
        <v>518</v>
      </c>
      <c r="B6282" s="210">
        <v>18</v>
      </c>
      <c r="C6282" s="191" t="str">
        <f>IF('IWP20'!E$628=0,"",'IWP20'!E$628)</f>
        <v/>
      </c>
      <c r="D6282" s="211">
        <f>'IWP20'!G$628</f>
        <v>0</v>
      </c>
      <c r="E6282" s="211">
        <f>'IWP20'!H$628</f>
        <v>0</v>
      </c>
      <c r="F6282" s="211">
        <f>'IWP20'!I$628</f>
        <v>0</v>
      </c>
      <c r="G6282" s="191" t="str">
        <f>IF('IWP20'!J$628=0,"",'IWP20'!J$628)</f>
        <v/>
      </c>
      <c r="H6282" s="211">
        <f>'IWP20'!K$628</f>
        <v>0</v>
      </c>
      <c r="I6282" s="211">
        <f>'IWP20'!L$628</f>
        <v>0</v>
      </c>
      <c r="J6282" s="212">
        <f>'IWP20'!M$628</f>
        <v>0</v>
      </c>
      <c r="K6282" s="106"/>
      <c r="L6282" s="106"/>
      <c r="M6282" s="129"/>
    </row>
    <row r="6283" spans="1:13" s="146" customFormat="1">
      <c r="A6283" s="193" t="s">
        <v>518</v>
      </c>
      <c r="B6283" s="210">
        <v>18</v>
      </c>
      <c r="C6283" s="191" t="str">
        <f>IF('IWP20'!E$629=0,"",'IWP20'!E$629)</f>
        <v/>
      </c>
      <c r="D6283" s="211">
        <f>'IWP20'!G$629</f>
        <v>0</v>
      </c>
      <c r="E6283" s="211">
        <f>'IWP20'!H$629</f>
        <v>0</v>
      </c>
      <c r="F6283" s="211">
        <f>'IWP20'!I$629</f>
        <v>0</v>
      </c>
      <c r="G6283" s="191" t="str">
        <f>IF('IWP20'!J$629=0,"",'IWP20'!J$629)</f>
        <v/>
      </c>
      <c r="H6283" s="211">
        <f>'IWP20'!K$629</f>
        <v>0</v>
      </c>
      <c r="I6283" s="211">
        <f>'IWP20'!L$629</f>
        <v>0</v>
      </c>
      <c r="J6283" s="212">
        <f>'IWP20'!M$629</f>
        <v>0</v>
      </c>
      <c r="K6283" s="106"/>
      <c r="L6283" s="106"/>
      <c r="M6283" s="129"/>
    </row>
    <row r="6284" spans="1:13" s="146" customFormat="1">
      <c r="A6284" s="193" t="s">
        <v>518</v>
      </c>
      <c r="B6284" s="210">
        <v>18</v>
      </c>
      <c r="C6284" s="191" t="str">
        <f>IF('IWP20'!E$630=0,"",'IWP20'!E$630)</f>
        <v/>
      </c>
      <c r="D6284" s="211">
        <f>'IWP20'!G$630</f>
        <v>0</v>
      </c>
      <c r="E6284" s="211">
        <f>'IWP20'!H$630</f>
        <v>0</v>
      </c>
      <c r="F6284" s="211">
        <f>'IWP20'!I$630</f>
        <v>0</v>
      </c>
      <c r="G6284" s="191" t="str">
        <f>IF('IWP20'!J$630=0,"",'IWP20'!J$630)</f>
        <v/>
      </c>
      <c r="H6284" s="211">
        <f>'IWP20'!K$630</f>
        <v>0</v>
      </c>
      <c r="I6284" s="211">
        <f>'IWP20'!L$630</f>
        <v>0</v>
      </c>
      <c r="J6284" s="212">
        <f>'IWP20'!M$630</f>
        <v>0</v>
      </c>
      <c r="K6284" s="106"/>
      <c r="L6284" s="106"/>
      <c r="M6284" s="129"/>
    </row>
    <row r="6285" spans="1:13" s="146" customFormat="1">
      <c r="A6285" s="193" t="s">
        <v>518</v>
      </c>
      <c r="B6285" s="210">
        <v>18</v>
      </c>
      <c r="C6285" s="191" t="str">
        <f>IF('IWP20'!E$631=0,"",'IWP20'!E$631)</f>
        <v/>
      </c>
      <c r="D6285" s="211">
        <f>'IWP20'!G$631</f>
        <v>0</v>
      </c>
      <c r="E6285" s="211">
        <f>'IWP20'!H$631</f>
        <v>0</v>
      </c>
      <c r="F6285" s="211">
        <f>'IWP20'!I$631</f>
        <v>0</v>
      </c>
      <c r="G6285" s="191" t="str">
        <f>IF('IWP20'!J$631=0,"",'IWP20'!J$631)</f>
        <v/>
      </c>
      <c r="H6285" s="211">
        <f>'IWP20'!K$631</f>
        <v>0</v>
      </c>
      <c r="I6285" s="211">
        <f>'IWP20'!L$631</f>
        <v>0</v>
      </c>
      <c r="J6285" s="212">
        <f>'IWP20'!M$631</f>
        <v>0</v>
      </c>
      <c r="K6285" s="106"/>
      <c r="L6285" s="106"/>
      <c r="M6285" s="129"/>
    </row>
    <row r="6286" spans="1:13" s="146" customFormat="1">
      <c r="A6286" s="193" t="s">
        <v>518</v>
      </c>
      <c r="B6286" s="210">
        <v>18</v>
      </c>
      <c r="C6286" s="191" t="str">
        <f>IF('IWP20'!E$632=0,"",'IWP20'!E$632)</f>
        <v/>
      </c>
      <c r="D6286" s="211">
        <f>'IWP20'!G$632</f>
        <v>0</v>
      </c>
      <c r="E6286" s="211">
        <f>'IWP20'!H$632</f>
        <v>0</v>
      </c>
      <c r="F6286" s="211">
        <f>'IWP20'!I$632</f>
        <v>0</v>
      </c>
      <c r="G6286" s="191" t="str">
        <f>IF('IWP20'!J$632=0,"",'IWP20'!J$632)</f>
        <v/>
      </c>
      <c r="H6286" s="211">
        <f>'IWP20'!K$632</f>
        <v>0</v>
      </c>
      <c r="I6286" s="211">
        <f>'IWP20'!L$632</f>
        <v>0</v>
      </c>
      <c r="J6286" s="212">
        <f>'IWP20'!M$632</f>
        <v>0</v>
      </c>
      <c r="K6286" s="106"/>
      <c r="L6286" s="106"/>
      <c r="M6286" s="129"/>
    </row>
    <row r="6287" spans="1:13" s="146" customFormat="1">
      <c r="A6287" s="193" t="s">
        <v>518</v>
      </c>
      <c r="B6287" s="210">
        <v>18</v>
      </c>
      <c r="C6287" s="191" t="str">
        <f>IF('IWP20'!E$633=0,"",'IWP20'!E$633)</f>
        <v/>
      </c>
      <c r="D6287" s="211">
        <f>'IWP20'!G$633</f>
        <v>0</v>
      </c>
      <c r="E6287" s="211">
        <f>'IWP20'!H$633</f>
        <v>0</v>
      </c>
      <c r="F6287" s="211">
        <f>'IWP20'!I$633</f>
        <v>0</v>
      </c>
      <c r="G6287" s="191" t="str">
        <f>IF('IWP20'!J$633=0,"",'IWP20'!J$633)</f>
        <v/>
      </c>
      <c r="H6287" s="211">
        <f>'IWP20'!K$633</f>
        <v>0</v>
      </c>
      <c r="I6287" s="211">
        <f>'IWP20'!L$633</f>
        <v>0</v>
      </c>
      <c r="J6287" s="212">
        <f>'IWP20'!M$633</f>
        <v>0</v>
      </c>
      <c r="K6287" s="106"/>
      <c r="L6287" s="106"/>
      <c r="M6287" s="129"/>
    </row>
    <row r="6288" spans="1:13" s="146" customFormat="1">
      <c r="A6288" s="193" t="s">
        <v>518</v>
      </c>
      <c r="B6288" s="210">
        <v>18</v>
      </c>
      <c r="C6288" s="191" t="str">
        <f>IF('IWP20'!E$634=0,"",'IWP20'!E$634)</f>
        <v/>
      </c>
      <c r="D6288" s="211">
        <f>'IWP20'!G$634</f>
        <v>0</v>
      </c>
      <c r="E6288" s="211">
        <f>'IWP20'!H$634</f>
        <v>0</v>
      </c>
      <c r="F6288" s="211">
        <f>'IWP20'!I$634</f>
        <v>0</v>
      </c>
      <c r="G6288" s="191" t="str">
        <f>IF('IWP20'!J$634=0,"",'IWP20'!J$634)</f>
        <v/>
      </c>
      <c r="H6288" s="211">
        <f>'IWP20'!K$634</f>
        <v>0</v>
      </c>
      <c r="I6288" s="211">
        <f>'IWP20'!L$634</f>
        <v>0</v>
      </c>
      <c r="J6288" s="212">
        <f>'IWP20'!M$634</f>
        <v>0</v>
      </c>
      <c r="K6288" s="106"/>
      <c r="L6288" s="106"/>
      <c r="M6288" s="129"/>
    </row>
    <row r="6289" spans="1:13" s="146" customFormat="1">
      <c r="A6289" s="193" t="s">
        <v>518</v>
      </c>
      <c r="B6289" s="210">
        <v>18</v>
      </c>
      <c r="C6289" s="191" t="str">
        <f>IF('IWP20'!E$635=0,"",'IWP20'!E$635)</f>
        <v/>
      </c>
      <c r="D6289" s="211">
        <f>'IWP20'!G$635</f>
        <v>0</v>
      </c>
      <c r="E6289" s="211">
        <f>'IWP20'!H$635</f>
        <v>0</v>
      </c>
      <c r="F6289" s="211">
        <f>'IWP20'!I$635</f>
        <v>0</v>
      </c>
      <c r="G6289" s="191" t="str">
        <f>IF('IWP20'!J$635=0,"",'IWP20'!J$635)</f>
        <v/>
      </c>
      <c r="H6289" s="211">
        <f>'IWP20'!K$635</f>
        <v>0</v>
      </c>
      <c r="I6289" s="211">
        <f>'IWP20'!L$635</f>
        <v>0</v>
      </c>
      <c r="J6289" s="212">
        <f>'IWP20'!M$635</f>
        <v>0</v>
      </c>
      <c r="K6289" s="106"/>
      <c r="L6289" s="106"/>
      <c r="M6289" s="129"/>
    </row>
    <row r="6290" spans="1:13" s="146" customFormat="1">
      <c r="A6290" s="193" t="s">
        <v>518</v>
      </c>
      <c r="B6290" s="210">
        <v>18</v>
      </c>
      <c r="C6290" s="191" t="str">
        <f>IF('IWP20'!E$636=0,"",'IWP20'!E$636)</f>
        <v/>
      </c>
      <c r="D6290" s="211">
        <f>'IWP20'!G$636</f>
        <v>0</v>
      </c>
      <c r="E6290" s="211">
        <f>'IWP20'!H$636</f>
        <v>0</v>
      </c>
      <c r="F6290" s="211">
        <f>'IWP20'!I$636</f>
        <v>0</v>
      </c>
      <c r="G6290" s="191" t="str">
        <f>IF('IWP20'!J$636=0,"",'IWP20'!J$636)</f>
        <v/>
      </c>
      <c r="H6290" s="211">
        <f>'IWP20'!K$636</f>
        <v>0</v>
      </c>
      <c r="I6290" s="211">
        <f>'IWP20'!L$636</f>
        <v>0</v>
      </c>
      <c r="J6290" s="212">
        <f>'IWP20'!M$636</f>
        <v>0</v>
      </c>
      <c r="K6290" s="106"/>
      <c r="L6290" s="106"/>
      <c r="M6290" s="129"/>
    </row>
    <row r="6291" spans="1:13" s="146" customFormat="1">
      <c r="A6291" s="193" t="s">
        <v>519</v>
      </c>
      <c r="B6291" s="210">
        <v>1</v>
      </c>
      <c r="C6291" s="191" t="str">
        <f>IF('IWP21'!E$355=0,"",'IWP21'!E$355)</f>
        <v>Subtotal column D.</v>
      </c>
      <c r="D6291" s="211">
        <f>'IWP21'!G$355</f>
        <v>0</v>
      </c>
      <c r="E6291" s="211">
        <f>'IWP21'!H$355</f>
        <v>0</v>
      </c>
      <c r="F6291" s="211">
        <f>'IWP21'!I$355</f>
        <v>0</v>
      </c>
      <c r="G6291" s="191" t="str">
        <f>IF('IWP21'!J$355=0,"",'IWP21'!J$355)</f>
        <v/>
      </c>
      <c r="H6291" s="211">
        <f>'IWP21'!K$355</f>
        <v>0</v>
      </c>
      <c r="I6291" s="211">
        <f>'IWP21'!L$355</f>
        <v>0</v>
      </c>
      <c r="J6291" s="212">
        <f>'IWP21'!M$355</f>
        <v>0</v>
      </c>
      <c r="K6291" s="106"/>
      <c r="L6291" s="106"/>
      <c r="M6291" s="129"/>
    </row>
    <row r="6292" spans="1:13" s="146" customFormat="1">
      <c r="A6292" s="193" t="s">
        <v>519</v>
      </c>
      <c r="B6292" s="210">
        <v>1</v>
      </c>
      <c r="C6292" s="191" t="str">
        <f>IF('IWP21'!E$356=0,"",'IWP21'!E$356)</f>
        <v>Unverified/Undocumented (Subtotall D - C)</v>
      </c>
      <c r="D6292" s="211">
        <f>'IWP21'!G$356</f>
        <v>0</v>
      </c>
      <c r="E6292" s="211">
        <f>'IWP21'!H$356</f>
        <v>0</v>
      </c>
      <c r="F6292" s="211">
        <f>'IWP21'!I$356</f>
        <v>0</v>
      </c>
      <c r="G6292" s="191" t="str">
        <f>IF('IWP21'!J$356=0,"",'IWP21'!J$356)</f>
        <v/>
      </c>
      <c r="H6292" s="211">
        <f>'IWP21'!K$356</f>
        <v>0</v>
      </c>
      <c r="I6292" s="211">
        <f>'IWP21'!L$356</f>
        <v>0</v>
      </c>
      <c r="J6292" s="212">
        <f>'IWP21'!M$356</f>
        <v>0</v>
      </c>
      <c r="K6292" s="106"/>
      <c r="L6292" s="106"/>
      <c r="M6292" s="129"/>
    </row>
    <row r="6293" spans="1:13" s="146" customFormat="1">
      <c r="A6293" s="193" t="s">
        <v>519</v>
      </c>
      <c r="B6293" s="210">
        <v>1</v>
      </c>
      <c r="C6293" s="191" t="str">
        <f>IF('IWP21'!E$357=0,"",'IWP21'!E$357)</f>
        <v>J. Billing Period Total</v>
      </c>
      <c r="D6293" s="211">
        <f>'IWP21'!G$357</f>
        <v>0</v>
      </c>
      <c r="E6293" s="211">
        <f>'IWP21'!H$357</f>
        <v>0</v>
      </c>
      <c r="F6293" s="211">
        <f>'IWP21'!I$357</f>
        <v>0</v>
      </c>
      <c r="G6293" s="191" t="str">
        <f>IF('IWP21'!J$357=0,"",'IWP21'!J$357)</f>
        <v/>
      </c>
      <c r="H6293" s="211">
        <f>'IWP21'!K$357</f>
        <v>0</v>
      </c>
      <c r="I6293" s="211">
        <f>'IWP21'!L$357</f>
        <v>0</v>
      </c>
      <c r="J6293" s="212">
        <f>'IWP21'!M$357</f>
        <v>0</v>
      </c>
      <c r="K6293" s="106"/>
      <c r="L6293" s="106"/>
      <c r="M6293" s="129"/>
    </row>
    <row r="6294" spans="1:13" s="146" customFormat="1">
      <c r="A6294" s="193" t="s">
        <v>519</v>
      </c>
      <c r="B6294" s="210">
        <v>1</v>
      </c>
      <c r="C6294" s="191" t="str">
        <f>IF('IWP21'!E$358=0,"",'IWP21'!E$358)</f>
        <v>D.</v>
      </c>
      <c r="D6294" s="211">
        <f>'IWP21'!G$358</f>
        <v>0</v>
      </c>
      <c r="E6294" s="211" t="str">
        <f>'IWP21'!H$358</f>
        <v>E.</v>
      </c>
      <c r="F6294" s="211" t="str">
        <f>'IWP21'!I$358</f>
        <v>F.</v>
      </c>
      <c r="G6294" s="191" t="str">
        <f>IF('IWP21'!J$358=0,"",'IWP21'!J$358)</f>
        <v>G.</v>
      </c>
      <c r="H6294" s="211">
        <f>'IWP21'!K$358</f>
        <v>0</v>
      </c>
      <c r="I6294" s="211" t="str">
        <f>'IWP21'!L$358</f>
        <v>H.</v>
      </c>
      <c r="J6294" s="212" t="str">
        <f>'IWP21'!M$358</f>
        <v>I.</v>
      </c>
      <c r="K6294" s="106"/>
      <c r="L6294" s="106"/>
      <c r="M6294" s="129"/>
    </row>
    <row r="6295" spans="1:13" s="146" customFormat="1">
      <c r="A6295" s="193" t="s">
        <v>519</v>
      </c>
      <c r="B6295" s="210">
        <v>1</v>
      </c>
      <c r="C6295" s="191" t="str">
        <f>IF('IWP21'!E$359=0,"",'IWP21'!E$359)</f>
        <v xml:space="preserve">Items/Services Related to Billing Period </v>
      </c>
      <c r="D6295" s="211">
        <f>'IWP21'!G$359</f>
        <v>0</v>
      </c>
      <c r="E6295" s="211" t="str">
        <f>'IWP21'!H$359</f>
        <v xml:space="preserve">Item/
Service Verified Amounts
</v>
      </c>
      <c r="F6295" s="211" t="str">
        <f>'IWP21'!I$359</f>
        <v>Amount Due to DADS (E. - D.)</v>
      </c>
      <c r="G6295" s="191" t="str">
        <f>IF('IWP21'!J$359=0,"",'IWP21'!J$359)</f>
        <v>Amount Reimbursed to 
Employee(s)/Employer</v>
      </c>
      <c r="H6295" s="211">
        <f>'IWP21'!K$359</f>
        <v>0</v>
      </c>
      <c r="I6295" s="211" t="str">
        <f>'IWP21'!L$359</f>
        <v>Amount Due to Employee(s) (G. - E.)</v>
      </c>
      <c r="J6295" s="212" t="str">
        <f>'IWP21'!M$359</f>
        <v>Amount Due to Employer (G. - E.)</v>
      </c>
      <c r="K6295" s="106"/>
      <c r="L6295" s="106"/>
      <c r="M6295" s="129"/>
    </row>
    <row r="6296" spans="1:13" s="146" customFormat="1">
      <c r="A6296" s="193" t="s">
        <v>519</v>
      </c>
      <c r="B6296" s="210">
        <v>1</v>
      </c>
      <c r="C6296" s="191" t="str">
        <f>IF('IWP21'!E$360=0,"",'IWP21'!E$360)</f>
        <v>Item/Service</v>
      </c>
      <c r="D6296" s="211" t="str">
        <f>'IWP21'!G$360</f>
        <v>Itemized Amount Paid by DADS</v>
      </c>
      <c r="E6296" s="211">
        <f>'IWP21'!H$360</f>
        <v>0</v>
      </c>
      <c r="F6296" s="211">
        <f>'IWP21'!I$360</f>
        <v>0</v>
      </c>
      <c r="G6296" s="191" t="str">
        <f>IF('IWP21'!J$360=0,"",'IWP21'!J$360)</f>
        <v/>
      </c>
      <c r="H6296" s="211">
        <f>'IWP21'!K$360</f>
        <v>0</v>
      </c>
      <c r="I6296" s="211">
        <f>'IWP21'!L$360</f>
        <v>0</v>
      </c>
      <c r="J6296" s="212">
        <f>'IWP21'!M$360</f>
        <v>0</v>
      </c>
      <c r="K6296" s="106"/>
      <c r="L6296" s="106"/>
      <c r="M6296" s="129"/>
    </row>
    <row r="6297" spans="1:13" s="146" customFormat="1">
      <c r="A6297" s="193" t="s">
        <v>519</v>
      </c>
      <c r="B6297" s="210">
        <v>1</v>
      </c>
      <c r="C6297" s="191" t="str">
        <f>IF('IWP21'!E$361=0,"",'IWP21'!E$361)</f>
        <v/>
      </c>
      <c r="D6297" s="211">
        <f>'IWP21'!G$361</f>
        <v>0</v>
      </c>
      <c r="E6297" s="211">
        <f>'IWP21'!H$361</f>
        <v>0</v>
      </c>
      <c r="F6297" s="211">
        <f>'IWP21'!I$361</f>
        <v>0</v>
      </c>
      <c r="G6297" s="191" t="str">
        <f>IF('IWP21'!J$361=0,"",'IWP21'!J$361)</f>
        <v/>
      </c>
      <c r="H6297" s="211">
        <f>'IWP21'!K$361</f>
        <v>0</v>
      </c>
      <c r="I6297" s="211">
        <f>'IWP21'!L$361</f>
        <v>0</v>
      </c>
      <c r="J6297" s="212">
        <f>'IWP21'!M$361</f>
        <v>0</v>
      </c>
      <c r="K6297" s="106"/>
      <c r="L6297" s="106"/>
      <c r="M6297" s="129"/>
    </row>
    <row r="6298" spans="1:13" s="146" customFormat="1">
      <c r="A6298" s="193" t="s">
        <v>519</v>
      </c>
      <c r="B6298" s="210">
        <v>1</v>
      </c>
      <c r="C6298" s="191" t="str">
        <f>IF('IWP21'!E$362=0,"",'IWP21'!E$362)</f>
        <v/>
      </c>
      <c r="D6298" s="211">
        <f>'IWP21'!G$362</f>
        <v>0</v>
      </c>
      <c r="E6298" s="211">
        <f>'IWP21'!H$362</f>
        <v>0</v>
      </c>
      <c r="F6298" s="211">
        <f>'IWP21'!I$362</f>
        <v>0</v>
      </c>
      <c r="G6298" s="191" t="str">
        <f>IF('IWP21'!J$362=0,"",'IWP21'!J$362)</f>
        <v/>
      </c>
      <c r="H6298" s="211">
        <f>'IWP21'!K$362</f>
        <v>0</v>
      </c>
      <c r="I6298" s="211">
        <f>'IWP21'!L$362</f>
        <v>0</v>
      </c>
      <c r="J6298" s="212">
        <f>'IWP21'!M$362</f>
        <v>0</v>
      </c>
      <c r="K6298" s="106"/>
      <c r="L6298" s="106"/>
      <c r="M6298" s="129"/>
    </row>
    <row r="6299" spans="1:13" s="146" customFormat="1">
      <c r="A6299" s="193" t="s">
        <v>519</v>
      </c>
      <c r="B6299" s="210">
        <v>1</v>
      </c>
      <c r="C6299" s="191" t="str">
        <f>IF('IWP21'!E$363=0,"",'IWP21'!E$363)</f>
        <v/>
      </c>
      <c r="D6299" s="211">
        <f>'IWP21'!G$363</f>
        <v>0</v>
      </c>
      <c r="E6299" s="211">
        <f>'IWP21'!H$363</f>
        <v>0</v>
      </c>
      <c r="F6299" s="211">
        <f>'IWP21'!I$363</f>
        <v>0</v>
      </c>
      <c r="G6299" s="191" t="str">
        <f>IF('IWP21'!J$363=0,"",'IWP21'!J$363)</f>
        <v/>
      </c>
      <c r="H6299" s="211">
        <f>'IWP21'!K$363</f>
        <v>0</v>
      </c>
      <c r="I6299" s="211">
        <f>'IWP21'!L$363</f>
        <v>0</v>
      </c>
      <c r="J6299" s="212">
        <f>'IWP21'!M$363</f>
        <v>0</v>
      </c>
      <c r="K6299" s="106"/>
      <c r="L6299" s="106"/>
      <c r="M6299" s="129"/>
    </row>
    <row r="6300" spans="1:13" s="146" customFormat="1">
      <c r="A6300" s="193" t="s">
        <v>519</v>
      </c>
      <c r="B6300" s="210">
        <v>1</v>
      </c>
      <c r="C6300" s="191" t="str">
        <f>IF('IWP21'!E$364=0,"",'IWP21'!E$364)</f>
        <v/>
      </c>
      <c r="D6300" s="211">
        <f>'IWP21'!G$364</f>
        <v>0</v>
      </c>
      <c r="E6300" s="211">
        <f>'IWP21'!H$364</f>
        <v>0</v>
      </c>
      <c r="F6300" s="211">
        <f>'IWP21'!I$364</f>
        <v>0</v>
      </c>
      <c r="G6300" s="191" t="str">
        <f>IF('IWP21'!J$364=0,"",'IWP21'!J$364)</f>
        <v/>
      </c>
      <c r="H6300" s="211">
        <f>'IWP21'!K$364</f>
        <v>0</v>
      </c>
      <c r="I6300" s="211">
        <f>'IWP21'!L$364</f>
        <v>0</v>
      </c>
      <c r="J6300" s="212">
        <f>'IWP21'!M$364</f>
        <v>0</v>
      </c>
      <c r="K6300" s="106"/>
      <c r="L6300" s="106"/>
      <c r="M6300" s="129"/>
    </row>
    <row r="6301" spans="1:13" s="146" customFormat="1">
      <c r="A6301" s="193" t="s">
        <v>519</v>
      </c>
      <c r="B6301" s="210">
        <v>2</v>
      </c>
      <c r="C6301" s="191" t="str">
        <f>IF('IWP21'!E$371=0,"",'IWP21'!E$371)</f>
        <v>Subtotal column D.</v>
      </c>
      <c r="D6301" s="211">
        <f>'IWP21'!G$371</f>
        <v>0</v>
      </c>
      <c r="E6301" s="211">
        <f>'IWP21'!H$371</f>
        <v>0</v>
      </c>
      <c r="F6301" s="211">
        <f>'IWP21'!I$371</f>
        <v>0</v>
      </c>
      <c r="G6301" s="191" t="str">
        <f>IF('IWP21'!J$371=0,"",'IWP21'!J$371)</f>
        <v/>
      </c>
      <c r="H6301" s="211">
        <f>'IWP21'!K$371</f>
        <v>0</v>
      </c>
      <c r="I6301" s="211">
        <f>'IWP21'!L$371</f>
        <v>0</v>
      </c>
      <c r="J6301" s="212">
        <f>'IWP21'!M$371</f>
        <v>0</v>
      </c>
      <c r="K6301" s="106"/>
      <c r="L6301" s="106"/>
      <c r="M6301" s="129"/>
    </row>
    <row r="6302" spans="1:13" s="146" customFormat="1">
      <c r="A6302" s="193" t="s">
        <v>519</v>
      </c>
      <c r="B6302" s="210">
        <v>2</v>
      </c>
      <c r="C6302" s="191" t="str">
        <f>IF('IWP21'!E$372=0,"",'IWP21'!E$372)</f>
        <v>Unverified/Undocumented (Subtotal D - C)</v>
      </c>
      <c r="D6302" s="211">
        <f>'IWP21'!G$372</f>
        <v>0</v>
      </c>
      <c r="E6302" s="211">
        <f>'IWP21'!H$372</f>
        <v>0</v>
      </c>
      <c r="F6302" s="211">
        <f>'IWP21'!I$372</f>
        <v>0</v>
      </c>
      <c r="G6302" s="191" t="str">
        <f>IF('IWP21'!J$372=0,"",'IWP21'!J$372)</f>
        <v/>
      </c>
      <c r="H6302" s="211">
        <f>'IWP21'!K$372</f>
        <v>0</v>
      </c>
      <c r="I6302" s="211">
        <f>'IWP21'!L$372</f>
        <v>0</v>
      </c>
      <c r="J6302" s="212">
        <f>'IWP21'!M$372</f>
        <v>0</v>
      </c>
      <c r="K6302" s="106"/>
      <c r="L6302" s="106"/>
      <c r="M6302" s="129"/>
    </row>
    <row r="6303" spans="1:13" s="146" customFormat="1">
      <c r="A6303" s="193" t="s">
        <v>519</v>
      </c>
      <c r="B6303" s="210">
        <v>2</v>
      </c>
      <c r="C6303" s="191" t="str">
        <f>IF('IWP21'!E$373=0,"",'IWP21'!E$373)</f>
        <v>J. Billing Period Total</v>
      </c>
      <c r="D6303" s="211">
        <f>'IWP21'!G$373</f>
        <v>0</v>
      </c>
      <c r="E6303" s="211">
        <f>'IWP21'!H$373</f>
        <v>0</v>
      </c>
      <c r="F6303" s="211">
        <f>'IWP21'!I$373</f>
        <v>0</v>
      </c>
      <c r="G6303" s="191" t="str">
        <f>IF('IWP21'!J$373=0,"",'IWP21'!J$373)</f>
        <v/>
      </c>
      <c r="H6303" s="211">
        <f>'IWP21'!K$373</f>
        <v>0</v>
      </c>
      <c r="I6303" s="211">
        <f>'IWP21'!L$373</f>
        <v>0</v>
      </c>
      <c r="J6303" s="212">
        <f>'IWP21'!M$373</f>
        <v>0</v>
      </c>
      <c r="K6303" s="106"/>
      <c r="L6303" s="106"/>
      <c r="M6303" s="129"/>
    </row>
    <row r="6304" spans="1:13" s="146" customFormat="1">
      <c r="A6304" s="193" t="s">
        <v>519</v>
      </c>
      <c r="B6304" s="210">
        <v>2</v>
      </c>
      <c r="C6304" s="191" t="str">
        <f>IF('IWP21'!E$374=0,"",'IWP21'!E$374)</f>
        <v>D.</v>
      </c>
      <c r="D6304" s="211">
        <f>'IWP21'!G$374</f>
        <v>0</v>
      </c>
      <c r="E6304" s="211" t="str">
        <f>'IWP21'!H$374</f>
        <v>E.</v>
      </c>
      <c r="F6304" s="211" t="str">
        <f>'IWP21'!I$374</f>
        <v>F.</v>
      </c>
      <c r="G6304" s="191" t="str">
        <f>IF('IWP21'!J$374=0,"",'IWP21'!J$374)</f>
        <v>G.</v>
      </c>
      <c r="H6304" s="211">
        <f>'IWP21'!K$374</f>
        <v>0</v>
      </c>
      <c r="I6304" s="211" t="str">
        <f>'IWP21'!L$374</f>
        <v>H.</v>
      </c>
      <c r="J6304" s="212" t="str">
        <f>'IWP21'!M$374</f>
        <v>I.</v>
      </c>
      <c r="K6304" s="106"/>
      <c r="L6304" s="106"/>
      <c r="M6304" s="129"/>
    </row>
    <row r="6305" spans="1:13" s="146" customFormat="1">
      <c r="A6305" s="193" t="s">
        <v>519</v>
      </c>
      <c r="B6305" s="210">
        <v>2</v>
      </c>
      <c r="C6305" s="191" t="str">
        <f>IF('IWP21'!E$375=0,"",'IWP21'!E$375)</f>
        <v xml:space="preserve">Items/Services Related to Billing Period </v>
      </c>
      <c r="D6305" s="211">
        <f>'IWP21'!G$375</f>
        <v>0</v>
      </c>
      <c r="E6305" s="211" t="str">
        <f>'IWP21'!H$375</f>
        <v xml:space="preserve">Item/
Service Verified Amounts
</v>
      </c>
      <c r="F6305" s="211" t="str">
        <f>'IWP21'!I$375</f>
        <v>Amount Due to DADS (E. - D.)</v>
      </c>
      <c r="G6305" s="191" t="str">
        <f>IF('IWP21'!J$375=0,"",'IWP21'!J$375)</f>
        <v>Amount Reimbursed to 
Employee(s)/Employer</v>
      </c>
      <c r="H6305" s="211">
        <f>'IWP21'!K$375</f>
        <v>0</v>
      </c>
      <c r="I6305" s="211" t="str">
        <f>'IWP21'!L$375</f>
        <v>Amount Due to Employee(s) (G. - E.)</v>
      </c>
      <c r="J6305" s="212" t="str">
        <f>'IWP21'!M$375</f>
        <v>Amount Due to Employer (G. - E.)</v>
      </c>
      <c r="K6305" s="106"/>
      <c r="L6305" s="106"/>
      <c r="M6305" s="129"/>
    </row>
    <row r="6306" spans="1:13" s="146" customFormat="1">
      <c r="A6306" s="193" t="s">
        <v>519</v>
      </c>
      <c r="B6306" s="210">
        <v>2</v>
      </c>
      <c r="C6306" s="191" t="str">
        <f>IF('IWP21'!E$376=0,"",'IWP21'!E$376)</f>
        <v>Item/Service</v>
      </c>
      <c r="D6306" s="211" t="str">
        <f>'IWP21'!G$376</f>
        <v>Itemized Amount Paid by DADS</v>
      </c>
      <c r="E6306" s="211">
        <f>'IWP21'!H$376</f>
        <v>0</v>
      </c>
      <c r="F6306" s="211">
        <f>'IWP21'!I$376</f>
        <v>0</v>
      </c>
      <c r="G6306" s="191" t="str">
        <f>IF('IWP21'!J$376=0,"",'IWP21'!J$376)</f>
        <v/>
      </c>
      <c r="H6306" s="211">
        <f>'IWP21'!K$376</f>
        <v>0</v>
      </c>
      <c r="I6306" s="211">
        <f>'IWP21'!L$376</f>
        <v>0</v>
      </c>
      <c r="J6306" s="212">
        <f>'IWP21'!M$376</f>
        <v>0</v>
      </c>
      <c r="K6306" s="106"/>
      <c r="L6306" s="106"/>
      <c r="M6306" s="129"/>
    </row>
    <row r="6307" spans="1:13" s="146" customFormat="1">
      <c r="A6307" s="193" t="s">
        <v>519</v>
      </c>
      <c r="B6307" s="210">
        <v>2</v>
      </c>
      <c r="C6307" s="191" t="str">
        <f>IF('IWP21'!E$377=0,"",'IWP21'!E$377)</f>
        <v/>
      </c>
      <c r="D6307" s="211">
        <f>'IWP21'!G$377</f>
        <v>0</v>
      </c>
      <c r="E6307" s="211">
        <f>'IWP21'!H$377</f>
        <v>0</v>
      </c>
      <c r="F6307" s="211">
        <f>'IWP21'!I$377</f>
        <v>0</v>
      </c>
      <c r="G6307" s="191" t="str">
        <f>IF('IWP21'!J$377=0,"",'IWP21'!J$377)</f>
        <v/>
      </c>
      <c r="H6307" s="211">
        <f>'IWP21'!K$377</f>
        <v>0</v>
      </c>
      <c r="I6307" s="211">
        <f>'IWP21'!L$377</f>
        <v>0</v>
      </c>
      <c r="J6307" s="212">
        <f>'IWP21'!M$377</f>
        <v>0</v>
      </c>
      <c r="K6307" s="106"/>
      <c r="L6307" s="106"/>
      <c r="M6307" s="129"/>
    </row>
    <row r="6308" spans="1:13" s="146" customFormat="1">
      <c r="A6308" s="193" t="s">
        <v>519</v>
      </c>
      <c r="B6308" s="210">
        <v>2</v>
      </c>
      <c r="C6308" s="191" t="str">
        <f>IF('IWP21'!E$378=0,"",'IWP21'!E$378)</f>
        <v/>
      </c>
      <c r="D6308" s="211">
        <f>'IWP21'!G$378</f>
        <v>0</v>
      </c>
      <c r="E6308" s="211">
        <f>'IWP21'!H$378</f>
        <v>0</v>
      </c>
      <c r="F6308" s="211">
        <f>'IWP21'!I$378</f>
        <v>0</v>
      </c>
      <c r="G6308" s="191" t="str">
        <f>IF('IWP21'!J$378=0,"",'IWP21'!J$378)</f>
        <v/>
      </c>
      <c r="H6308" s="211">
        <f>'IWP21'!K$378</f>
        <v>0</v>
      </c>
      <c r="I6308" s="211">
        <f>'IWP21'!L$378</f>
        <v>0</v>
      </c>
      <c r="J6308" s="212">
        <f>'IWP21'!M$378</f>
        <v>0</v>
      </c>
      <c r="K6308" s="106"/>
      <c r="L6308" s="106"/>
      <c r="M6308" s="129"/>
    </row>
    <row r="6309" spans="1:13" s="146" customFormat="1">
      <c r="A6309" s="193" t="s">
        <v>519</v>
      </c>
      <c r="B6309" s="210">
        <v>2</v>
      </c>
      <c r="C6309" s="191" t="str">
        <f>IF('IWP21'!E$379=0,"",'IWP21'!E$379)</f>
        <v/>
      </c>
      <c r="D6309" s="211">
        <f>'IWP21'!G$379</f>
        <v>0</v>
      </c>
      <c r="E6309" s="211">
        <f>'IWP21'!H$379</f>
        <v>0</v>
      </c>
      <c r="F6309" s="211">
        <f>'IWP21'!I$379</f>
        <v>0</v>
      </c>
      <c r="G6309" s="191" t="str">
        <f>IF('IWP21'!J$379=0,"",'IWP21'!J$379)</f>
        <v/>
      </c>
      <c r="H6309" s="211">
        <f>'IWP21'!K$379</f>
        <v>0</v>
      </c>
      <c r="I6309" s="211">
        <f>'IWP21'!L$379</f>
        <v>0</v>
      </c>
      <c r="J6309" s="212">
        <f>'IWP21'!M$379</f>
        <v>0</v>
      </c>
      <c r="K6309" s="106"/>
      <c r="L6309" s="106"/>
      <c r="M6309" s="129"/>
    </row>
    <row r="6310" spans="1:13" s="146" customFormat="1">
      <c r="A6310" s="193" t="s">
        <v>519</v>
      </c>
      <c r="B6310" s="210">
        <v>2</v>
      </c>
      <c r="C6310" s="191" t="str">
        <f>IF('IWP21'!E$380=0,"",'IWP21'!E$380)</f>
        <v/>
      </c>
      <c r="D6310" s="211">
        <f>'IWP21'!G$380</f>
        <v>0</v>
      </c>
      <c r="E6310" s="211">
        <f>'IWP21'!H$380</f>
        <v>0</v>
      </c>
      <c r="F6310" s="211">
        <f>'IWP21'!I$380</f>
        <v>0</v>
      </c>
      <c r="G6310" s="191" t="str">
        <f>IF('IWP21'!J$380=0,"",'IWP21'!J$380)</f>
        <v/>
      </c>
      <c r="H6310" s="211">
        <f>'IWP21'!K$380</f>
        <v>0</v>
      </c>
      <c r="I6310" s="211">
        <f>'IWP21'!L$380</f>
        <v>0</v>
      </c>
      <c r="J6310" s="212">
        <f>'IWP21'!M$380</f>
        <v>0</v>
      </c>
      <c r="K6310" s="106"/>
      <c r="L6310" s="106"/>
      <c r="M6310" s="129"/>
    </row>
    <row r="6311" spans="1:13" s="146" customFormat="1">
      <c r="A6311" s="193" t="s">
        <v>519</v>
      </c>
      <c r="B6311" s="210">
        <v>3</v>
      </c>
      <c r="C6311" s="191" t="str">
        <f>IF('IWP21'!E$387=0,"",'IWP21'!E$387)</f>
        <v>Subtotal column D.</v>
      </c>
      <c r="D6311" s="211">
        <f>'IWP21'!G$387</f>
        <v>0</v>
      </c>
      <c r="E6311" s="211">
        <f>'IWP21'!H$387</f>
        <v>0</v>
      </c>
      <c r="F6311" s="211">
        <f>'IWP21'!I$387</f>
        <v>0</v>
      </c>
      <c r="G6311" s="191" t="str">
        <f>IF('IWP21'!J$387=0,"",'IWP21'!J$387)</f>
        <v/>
      </c>
      <c r="H6311" s="211">
        <f>'IWP21'!K$387</f>
        <v>0</v>
      </c>
      <c r="I6311" s="211">
        <f>'IWP21'!L$387</f>
        <v>0</v>
      </c>
      <c r="J6311" s="212">
        <f>'IWP21'!M$387</f>
        <v>0</v>
      </c>
      <c r="K6311" s="106"/>
      <c r="L6311" s="106"/>
      <c r="M6311" s="129"/>
    </row>
    <row r="6312" spans="1:13" s="146" customFormat="1">
      <c r="A6312" s="193" t="s">
        <v>519</v>
      </c>
      <c r="B6312" s="210">
        <v>3</v>
      </c>
      <c r="C6312" s="191" t="str">
        <f>IF('IWP21'!E$388=0,"",'IWP21'!E$388)</f>
        <v>Unverified/Undocumented (Subtotal D - C)</v>
      </c>
      <c r="D6312" s="211">
        <f>'IWP21'!G$388</f>
        <v>0</v>
      </c>
      <c r="E6312" s="211">
        <f>'IWP21'!H$388</f>
        <v>0</v>
      </c>
      <c r="F6312" s="211">
        <f>'IWP21'!I$388</f>
        <v>0</v>
      </c>
      <c r="G6312" s="191" t="str">
        <f>IF('IWP21'!J$388=0,"",'IWP21'!J$388)</f>
        <v/>
      </c>
      <c r="H6312" s="211">
        <f>'IWP21'!K$388</f>
        <v>0</v>
      </c>
      <c r="I6312" s="211">
        <f>'IWP21'!L$388</f>
        <v>0</v>
      </c>
      <c r="J6312" s="212">
        <f>'IWP21'!M$388</f>
        <v>0</v>
      </c>
      <c r="K6312" s="106"/>
      <c r="L6312" s="106"/>
      <c r="M6312" s="129"/>
    </row>
    <row r="6313" spans="1:13" s="146" customFormat="1">
      <c r="A6313" s="193" t="s">
        <v>519</v>
      </c>
      <c r="B6313" s="210">
        <v>3</v>
      </c>
      <c r="C6313" s="191" t="str">
        <f>IF('IWP21'!E$389=0,"",'IWP21'!E$389)</f>
        <v>J. Billing Period Total</v>
      </c>
      <c r="D6313" s="211">
        <f>'IWP21'!G$389</f>
        <v>0</v>
      </c>
      <c r="E6313" s="211">
        <f>'IWP21'!H$389</f>
        <v>0</v>
      </c>
      <c r="F6313" s="211">
        <f>'IWP21'!I$389</f>
        <v>0</v>
      </c>
      <c r="G6313" s="191" t="str">
        <f>IF('IWP21'!J$389=0,"",'IWP21'!J$389)</f>
        <v/>
      </c>
      <c r="H6313" s="211">
        <f>'IWP21'!K$389</f>
        <v>0</v>
      </c>
      <c r="I6313" s="211">
        <f>'IWP21'!L$389</f>
        <v>0</v>
      </c>
      <c r="J6313" s="212">
        <f>'IWP21'!M$389</f>
        <v>0</v>
      </c>
      <c r="K6313" s="106"/>
      <c r="L6313" s="106"/>
      <c r="M6313" s="129"/>
    </row>
    <row r="6314" spans="1:13" s="146" customFormat="1">
      <c r="A6314" s="193" t="s">
        <v>519</v>
      </c>
      <c r="B6314" s="210">
        <v>3</v>
      </c>
      <c r="C6314" s="191" t="str">
        <f>IF('IWP21'!E$390=0,"",'IWP21'!E$390)</f>
        <v>D.</v>
      </c>
      <c r="D6314" s="211">
        <f>'IWP21'!G$390</f>
        <v>0</v>
      </c>
      <c r="E6314" s="211" t="str">
        <f>'IWP21'!H$390</f>
        <v>E.</v>
      </c>
      <c r="F6314" s="211" t="str">
        <f>'IWP21'!I$390</f>
        <v>F.</v>
      </c>
      <c r="G6314" s="191" t="str">
        <f>IF('IWP21'!J$390=0,"",'IWP21'!J$390)</f>
        <v>G.</v>
      </c>
      <c r="H6314" s="211">
        <f>'IWP21'!K$390</f>
        <v>0</v>
      </c>
      <c r="I6314" s="211" t="str">
        <f>'IWP21'!L$390</f>
        <v>H.</v>
      </c>
      <c r="J6314" s="212" t="str">
        <f>'IWP21'!M$390</f>
        <v>I.</v>
      </c>
      <c r="K6314" s="106"/>
      <c r="L6314" s="106"/>
      <c r="M6314" s="129"/>
    </row>
    <row r="6315" spans="1:13" s="146" customFormat="1">
      <c r="A6315" s="193" t="s">
        <v>519</v>
      </c>
      <c r="B6315" s="210">
        <v>3</v>
      </c>
      <c r="C6315" s="191" t="str">
        <f>IF('IWP21'!E$391=0,"",'IWP21'!E$391)</f>
        <v xml:space="preserve">Items/Services Related to Billing Period </v>
      </c>
      <c r="D6315" s="211">
        <f>'IWP21'!G$391</f>
        <v>0</v>
      </c>
      <c r="E6315" s="211" t="str">
        <f>'IWP21'!H$391</f>
        <v xml:space="preserve">Item/
Service Verified Amounts
</v>
      </c>
      <c r="F6315" s="211" t="str">
        <f>'IWP21'!I$391</f>
        <v>Amount Due to DADS (E. - D.)</v>
      </c>
      <c r="G6315" s="191" t="str">
        <f>IF('IWP21'!J$391=0,"",'IWP21'!J$391)</f>
        <v>Amount Reimbursed to 
Employee(s)/Employer</v>
      </c>
      <c r="H6315" s="211">
        <f>'IWP21'!K$391</f>
        <v>0</v>
      </c>
      <c r="I6315" s="211" t="str">
        <f>'IWP21'!L$391</f>
        <v>Amount Due to Employee(s) (G. - E.)</v>
      </c>
      <c r="J6315" s="212" t="str">
        <f>'IWP21'!M$391</f>
        <v>Amount Due to Employer (G. - E.)</v>
      </c>
      <c r="K6315" s="106"/>
      <c r="L6315" s="106"/>
      <c r="M6315" s="129"/>
    </row>
    <row r="6316" spans="1:13" s="146" customFormat="1">
      <c r="A6316" s="193" t="s">
        <v>519</v>
      </c>
      <c r="B6316" s="210">
        <v>3</v>
      </c>
      <c r="C6316" s="191" t="str">
        <f>IF('IWP21'!E$392=0,"",'IWP21'!E$392)</f>
        <v>Item/Service</v>
      </c>
      <c r="D6316" s="211" t="str">
        <f>'IWP21'!G$392</f>
        <v>Itemized Amount Paid by DADS</v>
      </c>
      <c r="E6316" s="211">
        <f>'IWP21'!H$392</f>
        <v>0</v>
      </c>
      <c r="F6316" s="211">
        <f>'IWP21'!I$392</f>
        <v>0</v>
      </c>
      <c r="G6316" s="191" t="str">
        <f>IF('IWP21'!J$392=0,"",'IWP21'!J$392)</f>
        <v/>
      </c>
      <c r="H6316" s="211">
        <f>'IWP21'!K$392</f>
        <v>0</v>
      </c>
      <c r="I6316" s="211">
        <f>'IWP21'!L$392</f>
        <v>0</v>
      </c>
      <c r="J6316" s="212">
        <f>'IWP21'!M$392</f>
        <v>0</v>
      </c>
      <c r="K6316" s="106"/>
      <c r="L6316" s="106"/>
      <c r="M6316" s="129"/>
    </row>
    <row r="6317" spans="1:13" s="146" customFormat="1">
      <c r="A6317" s="193" t="s">
        <v>519</v>
      </c>
      <c r="B6317" s="210">
        <v>3</v>
      </c>
      <c r="C6317" s="191" t="str">
        <f>IF('IWP21'!E$393=0,"",'IWP21'!E$393)</f>
        <v/>
      </c>
      <c r="D6317" s="211">
        <f>'IWP21'!G$393</f>
        <v>0</v>
      </c>
      <c r="E6317" s="211">
        <f>'IWP21'!H$393</f>
        <v>0</v>
      </c>
      <c r="F6317" s="211">
        <f>'IWP21'!I$393</f>
        <v>0</v>
      </c>
      <c r="G6317" s="191" t="str">
        <f>IF('IWP21'!J$393=0,"",'IWP21'!J$393)</f>
        <v/>
      </c>
      <c r="H6317" s="211">
        <f>'IWP21'!K$393</f>
        <v>0</v>
      </c>
      <c r="I6317" s="211">
        <f>'IWP21'!L$393</f>
        <v>0</v>
      </c>
      <c r="J6317" s="212">
        <f>'IWP21'!M$393</f>
        <v>0</v>
      </c>
      <c r="K6317" s="106"/>
      <c r="L6317" s="106"/>
      <c r="M6317" s="129"/>
    </row>
    <row r="6318" spans="1:13" s="146" customFormat="1">
      <c r="A6318" s="193" t="s">
        <v>519</v>
      </c>
      <c r="B6318" s="210">
        <v>3</v>
      </c>
      <c r="C6318" s="191" t="str">
        <f>IF('IWP21'!E$394=0,"",'IWP21'!E$394)</f>
        <v/>
      </c>
      <c r="D6318" s="211">
        <f>'IWP21'!G$394</f>
        <v>0</v>
      </c>
      <c r="E6318" s="211">
        <f>'IWP21'!H$394</f>
        <v>0</v>
      </c>
      <c r="F6318" s="211">
        <f>'IWP21'!I$394</f>
        <v>0</v>
      </c>
      <c r="G6318" s="191" t="str">
        <f>IF('IWP21'!J$394=0,"",'IWP21'!J$394)</f>
        <v/>
      </c>
      <c r="H6318" s="211">
        <f>'IWP21'!K$394</f>
        <v>0</v>
      </c>
      <c r="I6318" s="211">
        <f>'IWP21'!L$394</f>
        <v>0</v>
      </c>
      <c r="J6318" s="212">
        <f>'IWP21'!M$394</f>
        <v>0</v>
      </c>
      <c r="K6318" s="106"/>
      <c r="L6318" s="106"/>
      <c r="M6318" s="129"/>
    </row>
    <row r="6319" spans="1:13" s="146" customFormat="1">
      <c r="A6319" s="193" t="s">
        <v>519</v>
      </c>
      <c r="B6319" s="210">
        <v>3</v>
      </c>
      <c r="C6319" s="191" t="str">
        <f>IF('IWP21'!E$395=0,"",'IWP21'!E$395)</f>
        <v/>
      </c>
      <c r="D6319" s="211">
        <f>'IWP21'!G$395</f>
        <v>0</v>
      </c>
      <c r="E6319" s="211">
        <f>'IWP21'!H$395</f>
        <v>0</v>
      </c>
      <c r="F6319" s="211">
        <f>'IWP21'!I$395</f>
        <v>0</v>
      </c>
      <c r="G6319" s="191" t="str">
        <f>IF('IWP21'!J$395=0,"",'IWP21'!J$395)</f>
        <v/>
      </c>
      <c r="H6319" s="211">
        <f>'IWP21'!K$395</f>
        <v>0</v>
      </c>
      <c r="I6319" s="211">
        <f>'IWP21'!L$395</f>
        <v>0</v>
      </c>
      <c r="J6319" s="212">
        <f>'IWP21'!M$395</f>
        <v>0</v>
      </c>
      <c r="K6319" s="106"/>
      <c r="L6319" s="106"/>
      <c r="M6319" s="129"/>
    </row>
    <row r="6320" spans="1:13" s="146" customFormat="1">
      <c r="A6320" s="193" t="s">
        <v>519</v>
      </c>
      <c r="B6320" s="210">
        <v>3</v>
      </c>
      <c r="C6320" s="191" t="str">
        <f>IF('IWP21'!E$396=0,"",'IWP21'!E$396)</f>
        <v/>
      </c>
      <c r="D6320" s="211">
        <f>'IWP21'!G$396</f>
        <v>0</v>
      </c>
      <c r="E6320" s="211">
        <f>'IWP21'!H$396</f>
        <v>0</v>
      </c>
      <c r="F6320" s="211">
        <f>'IWP21'!I$396</f>
        <v>0</v>
      </c>
      <c r="G6320" s="191" t="str">
        <f>IF('IWP21'!J$396=0,"",'IWP21'!J$396)</f>
        <v/>
      </c>
      <c r="H6320" s="211">
        <f>'IWP21'!K$396</f>
        <v>0</v>
      </c>
      <c r="I6320" s="211">
        <f>'IWP21'!L$396</f>
        <v>0</v>
      </c>
      <c r="J6320" s="212">
        <f>'IWP21'!M$396</f>
        <v>0</v>
      </c>
      <c r="K6320" s="106"/>
      <c r="L6320" s="106"/>
      <c r="M6320" s="129"/>
    </row>
    <row r="6321" spans="1:13" s="146" customFormat="1">
      <c r="A6321" s="193" t="s">
        <v>519</v>
      </c>
      <c r="B6321" s="210">
        <v>4</v>
      </c>
      <c r="C6321" s="191" t="str">
        <f>IF('IWP21'!E$403=0,"",'IWP21'!E$403)</f>
        <v>Subtotal column D.</v>
      </c>
      <c r="D6321" s="211">
        <f>'IWP21'!G$403</f>
        <v>0</v>
      </c>
      <c r="E6321" s="211">
        <f>'IWP21'!H$403</f>
        <v>0</v>
      </c>
      <c r="F6321" s="211">
        <f>'IWP21'!I$403</f>
        <v>0</v>
      </c>
      <c r="G6321" s="191" t="str">
        <f>IF('IWP21'!J$403=0,"",'IWP21'!J$403)</f>
        <v/>
      </c>
      <c r="H6321" s="211">
        <f>'IWP21'!K$403</f>
        <v>0</v>
      </c>
      <c r="I6321" s="211">
        <f>'IWP21'!L$403</f>
        <v>0</v>
      </c>
      <c r="J6321" s="212">
        <f>'IWP21'!M$403</f>
        <v>0</v>
      </c>
      <c r="K6321" s="106"/>
      <c r="L6321" s="106"/>
      <c r="M6321" s="129"/>
    </row>
    <row r="6322" spans="1:13" s="146" customFormat="1">
      <c r="A6322" s="193" t="s">
        <v>519</v>
      </c>
      <c r="B6322" s="210">
        <v>4</v>
      </c>
      <c r="C6322" s="191" t="str">
        <f>IF('IWP21'!E$404=0,"",'IWP21'!E$404)</f>
        <v>Unverified/Undocumented (Subtotal D - C)</v>
      </c>
      <c r="D6322" s="211">
        <f>'IWP21'!G$404</f>
        <v>0</v>
      </c>
      <c r="E6322" s="211">
        <f>'IWP21'!H$404</f>
        <v>0</v>
      </c>
      <c r="F6322" s="211">
        <f>'IWP21'!I$404</f>
        <v>0</v>
      </c>
      <c r="G6322" s="191" t="str">
        <f>IF('IWP21'!J$404=0,"",'IWP21'!J$404)</f>
        <v/>
      </c>
      <c r="H6322" s="211">
        <f>'IWP21'!K$404</f>
        <v>0</v>
      </c>
      <c r="I6322" s="211">
        <f>'IWP21'!L$404</f>
        <v>0</v>
      </c>
      <c r="J6322" s="212">
        <f>'IWP21'!M$404</f>
        <v>0</v>
      </c>
      <c r="K6322" s="106"/>
      <c r="L6322" s="106"/>
      <c r="M6322" s="129"/>
    </row>
    <row r="6323" spans="1:13" s="146" customFormat="1">
      <c r="A6323" s="193" t="s">
        <v>519</v>
      </c>
      <c r="B6323" s="210">
        <v>4</v>
      </c>
      <c r="C6323" s="191" t="str">
        <f>IF('IWP21'!E$405=0,"",'IWP21'!E$405)</f>
        <v>J. Billing Period Total</v>
      </c>
      <c r="D6323" s="211">
        <f>'IWP21'!G$405</f>
        <v>0</v>
      </c>
      <c r="E6323" s="211">
        <f>'IWP21'!H$405</f>
        <v>0</v>
      </c>
      <c r="F6323" s="211">
        <f>'IWP21'!I$405</f>
        <v>0</v>
      </c>
      <c r="G6323" s="191" t="str">
        <f>IF('IWP21'!J$405=0,"",'IWP21'!J$405)</f>
        <v/>
      </c>
      <c r="H6323" s="211">
        <f>'IWP21'!K$405</f>
        <v>0</v>
      </c>
      <c r="I6323" s="211">
        <f>'IWP21'!L$405</f>
        <v>0</v>
      </c>
      <c r="J6323" s="212">
        <f>'IWP21'!M$405</f>
        <v>0</v>
      </c>
      <c r="K6323" s="106"/>
      <c r="L6323" s="106"/>
      <c r="M6323" s="129"/>
    </row>
    <row r="6324" spans="1:13" s="146" customFormat="1">
      <c r="A6324" s="193" t="s">
        <v>519</v>
      </c>
      <c r="B6324" s="210">
        <v>4</v>
      </c>
      <c r="C6324" s="191" t="str">
        <f>IF('IWP21'!E$406=0,"",'IWP21'!E$406)</f>
        <v>D.</v>
      </c>
      <c r="D6324" s="211">
        <f>'IWP21'!G$406</f>
        <v>0</v>
      </c>
      <c r="E6324" s="211" t="str">
        <f>'IWP21'!H$406</f>
        <v>E.</v>
      </c>
      <c r="F6324" s="211" t="str">
        <f>'IWP21'!I$406</f>
        <v>F.</v>
      </c>
      <c r="G6324" s="191" t="str">
        <f>IF('IWP21'!J$406=0,"",'IWP21'!J$406)</f>
        <v>G.</v>
      </c>
      <c r="H6324" s="211">
        <f>'IWP21'!K$406</f>
        <v>0</v>
      </c>
      <c r="I6324" s="211" t="str">
        <f>'IWP21'!L$406</f>
        <v>H.</v>
      </c>
      <c r="J6324" s="212" t="str">
        <f>'IWP21'!M$406</f>
        <v>I.</v>
      </c>
      <c r="K6324" s="106"/>
      <c r="L6324" s="106"/>
      <c r="M6324" s="129"/>
    </row>
    <row r="6325" spans="1:13" s="146" customFormat="1">
      <c r="A6325" s="193" t="s">
        <v>519</v>
      </c>
      <c r="B6325" s="210">
        <v>4</v>
      </c>
      <c r="C6325" s="191" t="str">
        <f>IF('IWP21'!E$407=0,"",'IWP21'!E$407)</f>
        <v xml:space="preserve">Items/Services Related to Billing Period </v>
      </c>
      <c r="D6325" s="211">
        <f>'IWP21'!G$407</f>
        <v>0</v>
      </c>
      <c r="E6325" s="211" t="str">
        <f>'IWP21'!H$407</f>
        <v xml:space="preserve">Item/
Service Verified Amounts
</v>
      </c>
      <c r="F6325" s="211" t="str">
        <f>'IWP21'!I$407</f>
        <v>Amount Due to DADS (E. - D.)</v>
      </c>
      <c r="G6325" s="191" t="str">
        <f>IF('IWP21'!J$407=0,"",'IWP21'!J$407)</f>
        <v>Amount Reimbursed to 
Employee(s)/Employer</v>
      </c>
      <c r="H6325" s="211">
        <f>'IWP21'!K$407</f>
        <v>0</v>
      </c>
      <c r="I6325" s="211" t="str">
        <f>'IWP21'!L$407</f>
        <v>Amount Due to Employee(s) (G. - E.)</v>
      </c>
      <c r="J6325" s="212" t="str">
        <f>'IWP21'!M$407</f>
        <v>Amount Due to Employer (G. - E.)</v>
      </c>
      <c r="K6325" s="106"/>
      <c r="L6325" s="106"/>
      <c r="M6325" s="129"/>
    </row>
    <row r="6326" spans="1:13" s="146" customFormat="1">
      <c r="A6326" s="193" t="s">
        <v>519</v>
      </c>
      <c r="B6326" s="210">
        <v>4</v>
      </c>
      <c r="C6326" s="191" t="str">
        <f>IF('IWP21'!E$408=0,"",'IWP21'!E$408)</f>
        <v>Item/Service</v>
      </c>
      <c r="D6326" s="211" t="str">
        <f>'IWP21'!G$408</f>
        <v>Itemized Amount Paid by DADS</v>
      </c>
      <c r="E6326" s="211">
        <f>'IWP21'!H$408</f>
        <v>0</v>
      </c>
      <c r="F6326" s="211">
        <f>'IWP21'!I$408</f>
        <v>0</v>
      </c>
      <c r="G6326" s="191" t="str">
        <f>IF('IWP21'!J$408=0,"",'IWP21'!J$408)</f>
        <v/>
      </c>
      <c r="H6326" s="211">
        <f>'IWP21'!K$408</f>
        <v>0</v>
      </c>
      <c r="I6326" s="211">
        <f>'IWP21'!L$408</f>
        <v>0</v>
      </c>
      <c r="J6326" s="212">
        <f>'IWP21'!M$408</f>
        <v>0</v>
      </c>
      <c r="K6326" s="106"/>
      <c r="L6326" s="106"/>
      <c r="M6326" s="129"/>
    </row>
    <row r="6327" spans="1:13" s="146" customFormat="1">
      <c r="A6327" s="193" t="s">
        <v>519</v>
      </c>
      <c r="B6327" s="210">
        <v>4</v>
      </c>
      <c r="C6327" s="191" t="str">
        <f>IF('IWP21'!E$409=0,"",'IWP21'!E$409)</f>
        <v/>
      </c>
      <c r="D6327" s="211">
        <f>'IWP21'!G$409</f>
        <v>0</v>
      </c>
      <c r="E6327" s="211">
        <f>'IWP21'!H$409</f>
        <v>0</v>
      </c>
      <c r="F6327" s="211">
        <f>'IWP21'!I$409</f>
        <v>0</v>
      </c>
      <c r="G6327" s="191" t="str">
        <f>IF('IWP21'!J$409=0,"",'IWP21'!J$409)</f>
        <v/>
      </c>
      <c r="H6327" s="211">
        <f>'IWP21'!K$409</f>
        <v>0</v>
      </c>
      <c r="I6327" s="211">
        <f>'IWP21'!L$409</f>
        <v>0</v>
      </c>
      <c r="J6327" s="212">
        <f>'IWP21'!M$409</f>
        <v>0</v>
      </c>
      <c r="K6327" s="106"/>
      <c r="L6327" s="106"/>
      <c r="M6327" s="129"/>
    </row>
    <row r="6328" spans="1:13" s="146" customFormat="1">
      <c r="A6328" s="193" t="s">
        <v>519</v>
      </c>
      <c r="B6328" s="210">
        <v>4</v>
      </c>
      <c r="C6328" s="191" t="str">
        <f>IF('IWP21'!E$410=0,"",'IWP21'!E$410)</f>
        <v/>
      </c>
      <c r="D6328" s="211">
        <f>'IWP21'!G$410</f>
        <v>0</v>
      </c>
      <c r="E6328" s="211">
        <f>'IWP21'!H$410</f>
        <v>0</v>
      </c>
      <c r="F6328" s="211">
        <f>'IWP21'!I$410</f>
        <v>0</v>
      </c>
      <c r="G6328" s="191" t="str">
        <f>IF('IWP21'!J$410=0,"",'IWP21'!J$410)</f>
        <v/>
      </c>
      <c r="H6328" s="211">
        <f>'IWP21'!K$410</f>
        <v>0</v>
      </c>
      <c r="I6328" s="211">
        <f>'IWP21'!L$410</f>
        <v>0</v>
      </c>
      <c r="J6328" s="212">
        <f>'IWP21'!M$410</f>
        <v>0</v>
      </c>
      <c r="K6328" s="106"/>
      <c r="L6328" s="106"/>
      <c r="M6328" s="129"/>
    </row>
    <row r="6329" spans="1:13" s="146" customFormat="1">
      <c r="A6329" s="193" t="s">
        <v>519</v>
      </c>
      <c r="B6329" s="210">
        <v>4</v>
      </c>
      <c r="C6329" s="191" t="str">
        <f>IF('IWP21'!E$411=0,"",'IWP21'!E$411)</f>
        <v/>
      </c>
      <c r="D6329" s="211">
        <f>'IWP21'!G$411</f>
        <v>0</v>
      </c>
      <c r="E6329" s="211">
        <f>'IWP21'!H$411</f>
        <v>0</v>
      </c>
      <c r="F6329" s="211">
        <f>'IWP21'!I$411</f>
        <v>0</v>
      </c>
      <c r="G6329" s="191" t="str">
        <f>IF('IWP21'!J$411=0,"",'IWP21'!J$411)</f>
        <v/>
      </c>
      <c r="H6329" s="211">
        <f>'IWP21'!K$411</f>
        <v>0</v>
      </c>
      <c r="I6329" s="211">
        <f>'IWP21'!L$411</f>
        <v>0</v>
      </c>
      <c r="J6329" s="212">
        <f>'IWP21'!M$411</f>
        <v>0</v>
      </c>
      <c r="K6329" s="106"/>
      <c r="L6329" s="106"/>
      <c r="M6329" s="129"/>
    </row>
    <row r="6330" spans="1:13" s="146" customFormat="1">
      <c r="A6330" s="193" t="s">
        <v>519</v>
      </c>
      <c r="B6330" s="210">
        <v>4</v>
      </c>
      <c r="C6330" s="191" t="str">
        <f>IF('IWP21'!E$412=0,"",'IWP21'!E$412)</f>
        <v/>
      </c>
      <c r="D6330" s="211">
        <f>'IWP21'!G$412</f>
        <v>0</v>
      </c>
      <c r="E6330" s="211">
        <f>'IWP21'!H$412</f>
        <v>0</v>
      </c>
      <c r="F6330" s="211">
        <f>'IWP21'!I$412</f>
        <v>0</v>
      </c>
      <c r="G6330" s="191" t="str">
        <f>IF('IWP21'!J$412=0,"",'IWP21'!J$412)</f>
        <v/>
      </c>
      <c r="H6330" s="211">
        <f>'IWP21'!K$412</f>
        <v>0</v>
      </c>
      <c r="I6330" s="211">
        <f>'IWP21'!L$412</f>
        <v>0</v>
      </c>
      <c r="J6330" s="212">
        <f>'IWP21'!M$412</f>
        <v>0</v>
      </c>
      <c r="K6330" s="106"/>
      <c r="L6330" s="106"/>
      <c r="M6330" s="129"/>
    </row>
    <row r="6331" spans="1:13" s="146" customFormat="1">
      <c r="A6331" s="193" t="s">
        <v>519</v>
      </c>
      <c r="B6331" s="210">
        <v>5</v>
      </c>
      <c r="C6331" s="191" t="str">
        <f>IF('IWP21'!E$419=0,"",'IWP21'!E$419)</f>
        <v>Subtotal column D.</v>
      </c>
      <c r="D6331" s="211">
        <f>'IWP21'!G$419</f>
        <v>0</v>
      </c>
      <c r="E6331" s="211">
        <f>'IWP21'!H$419</f>
        <v>0</v>
      </c>
      <c r="F6331" s="211">
        <f>'IWP21'!I$419</f>
        <v>0</v>
      </c>
      <c r="G6331" s="191" t="str">
        <f>IF('IWP21'!J$419=0,"",'IWP21'!J$419)</f>
        <v/>
      </c>
      <c r="H6331" s="211">
        <f>'IWP21'!K$419</f>
        <v>0</v>
      </c>
      <c r="I6331" s="211">
        <f>'IWP21'!L$419</f>
        <v>0</v>
      </c>
      <c r="J6331" s="212">
        <f>'IWP21'!M$419</f>
        <v>0</v>
      </c>
      <c r="K6331" s="106"/>
      <c r="L6331" s="106"/>
      <c r="M6331" s="129"/>
    </row>
    <row r="6332" spans="1:13" s="146" customFormat="1">
      <c r="A6332" s="193" t="s">
        <v>519</v>
      </c>
      <c r="B6332" s="210">
        <v>5</v>
      </c>
      <c r="C6332" s="191" t="str">
        <f>IF('IWP21'!E$420=0,"",'IWP21'!E$420)</f>
        <v>Unverified/Undocumented (Subtotal D - C)</v>
      </c>
      <c r="D6332" s="211">
        <f>'IWP21'!G$420</f>
        <v>0</v>
      </c>
      <c r="E6332" s="211">
        <f>'IWP21'!H$420</f>
        <v>0</v>
      </c>
      <c r="F6332" s="211">
        <f>'IWP21'!I$420</f>
        <v>0</v>
      </c>
      <c r="G6332" s="191" t="str">
        <f>IF('IWP21'!J$420=0,"",'IWP21'!J$420)</f>
        <v/>
      </c>
      <c r="H6332" s="211">
        <f>'IWP21'!K$420</f>
        <v>0</v>
      </c>
      <c r="I6332" s="211">
        <f>'IWP21'!L$420</f>
        <v>0</v>
      </c>
      <c r="J6332" s="212">
        <f>'IWP21'!M$420</f>
        <v>0</v>
      </c>
      <c r="K6332" s="106"/>
      <c r="L6332" s="106"/>
      <c r="M6332" s="129"/>
    </row>
    <row r="6333" spans="1:13" s="146" customFormat="1">
      <c r="A6333" s="193" t="s">
        <v>519</v>
      </c>
      <c r="B6333" s="210">
        <v>5</v>
      </c>
      <c r="C6333" s="191" t="str">
        <f>IF('IWP21'!E$421=0,"",'IWP21'!E$421)</f>
        <v>J. Billing Period Total</v>
      </c>
      <c r="D6333" s="211">
        <f>'IWP21'!G$421</f>
        <v>0</v>
      </c>
      <c r="E6333" s="211">
        <f>'IWP21'!H$421</f>
        <v>0</v>
      </c>
      <c r="F6333" s="211">
        <f>'IWP21'!I$421</f>
        <v>0</v>
      </c>
      <c r="G6333" s="191" t="str">
        <f>IF('IWP21'!J$421=0,"",'IWP21'!J$421)</f>
        <v/>
      </c>
      <c r="H6333" s="211">
        <f>'IWP21'!K$421</f>
        <v>0</v>
      </c>
      <c r="I6333" s="211">
        <f>'IWP21'!L$421</f>
        <v>0</v>
      </c>
      <c r="J6333" s="212">
        <f>'IWP21'!M$421</f>
        <v>0</v>
      </c>
      <c r="K6333" s="106"/>
      <c r="L6333" s="106"/>
      <c r="M6333" s="129"/>
    </row>
    <row r="6334" spans="1:13" s="146" customFormat="1">
      <c r="A6334" s="193" t="s">
        <v>519</v>
      </c>
      <c r="B6334" s="210">
        <v>5</v>
      </c>
      <c r="C6334" s="191" t="str">
        <f>IF('IWP21'!E$422=0,"",'IWP21'!E$422)</f>
        <v>D.</v>
      </c>
      <c r="D6334" s="211">
        <f>'IWP21'!G$422</f>
        <v>0</v>
      </c>
      <c r="E6334" s="211" t="str">
        <f>'IWP21'!H$422</f>
        <v>E.</v>
      </c>
      <c r="F6334" s="211" t="str">
        <f>'IWP21'!I$422</f>
        <v>F.</v>
      </c>
      <c r="G6334" s="191" t="str">
        <f>IF('IWP21'!J$422=0,"",'IWP21'!J$422)</f>
        <v>G.</v>
      </c>
      <c r="H6334" s="211">
        <f>'IWP21'!K$422</f>
        <v>0</v>
      </c>
      <c r="I6334" s="211" t="str">
        <f>'IWP21'!L$422</f>
        <v>H.</v>
      </c>
      <c r="J6334" s="212" t="str">
        <f>'IWP21'!M$422</f>
        <v>I.</v>
      </c>
      <c r="K6334" s="106"/>
      <c r="L6334" s="106"/>
      <c r="M6334" s="129"/>
    </row>
    <row r="6335" spans="1:13" s="146" customFormat="1">
      <c r="A6335" s="193" t="s">
        <v>519</v>
      </c>
      <c r="B6335" s="210">
        <v>5</v>
      </c>
      <c r="C6335" s="191" t="str">
        <f>IF('IWP21'!E$423=0,"",'IWP21'!E$423)</f>
        <v xml:space="preserve">Items/Services Related to Billing Period </v>
      </c>
      <c r="D6335" s="211">
        <f>'IWP21'!G$423</f>
        <v>0</v>
      </c>
      <c r="E6335" s="211" t="str">
        <f>'IWP21'!H$423</f>
        <v xml:space="preserve">Item/
Service Verified Amounts
</v>
      </c>
      <c r="F6335" s="211" t="str">
        <f>'IWP21'!I$423</f>
        <v>Amount Due to DADS (E. - D.)</v>
      </c>
      <c r="G6335" s="191" t="str">
        <f>IF('IWP21'!J$423=0,"",'IWP21'!J$423)</f>
        <v>Amount Reimbursed to 
Employee(s)/Employer</v>
      </c>
      <c r="H6335" s="211">
        <f>'IWP21'!K$423</f>
        <v>0</v>
      </c>
      <c r="I6335" s="211" t="str">
        <f>'IWP21'!L$423</f>
        <v>Amount Due to Employee(s) (G. - E.)</v>
      </c>
      <c r="J6335" s="212" t="str">
        <f>'IWP21'!M$423</f>
        <v>Amount Due to Employer (G. - E.)</v>
      </c>
      <c r="K6335" s="106"/>
      <c r="L6335" s="106"/>
      <c r="M6335" s="129"/>
    </row>
    <row r="6336" spans="1:13" s="146" customFormat="1">
      <c r="A6336" s="193" t="s">
        <v>519</v>
      </c>
      <c r="B6336" s="210">
        <v>5</v>
      </c>
      <c r="C6336" s="191" t="str">
        <f>IF('IWP21'!E$424=0,"",'IWP21'!E$424)</f>
        <v>Item/Service</v>
      </c>
      <c r="D6336" s="211" t="str">
        <f>'IWP21'!G$424</f>
        <v>Itemized Amount Paid by DADS</v>
      </c>
      <c r="E6336" s="211">
        <f>'IWP21'!H$424</f>
        <v>0</v>
      </c>
      <c r="F6336" s="211">
        <f>'IWP21'!I$424</f>
        <v>0</v>
      </c>
      <c r="G6336" s="191" t="str">
        <f>IF('IWP21'!J$424=0,"",'IWP21'!J$424)</f>
        <v/>
      </c>
      <c r="H6336" s="211">
        <f>'IWP21'!K$424</f>
        <v>0</v>
      </c>
      <c r="I6336" s="211">
        <f>'IWP21'!L$424</f>
        <v>0</v>
      </c>
      <c r="J6336" s="212">
        <f>'IWP21'!M$424</f>
        <v>0</v>
      </c>
      <c r="K6336" s="106"/>
      <c r="L6336" s="106"/>
      <c r="M6336" s="129"/>
    </row>
    <row r="6337" spans="1:13" s="146" customFormat="1">
      <c r="A6337" s="193" t="s">
        <v>519</v>
      </c>
      <c r="B6337" s="210">
        <v>5</v>
      </c>
      <c r="C6337" s="191" t="str">
        <f>IF('IWP21'!E$425=0,"",'IWP21'!E$425)</f>
        <v/>
      </c>
      <c r="D6337" s="211">
        <f>'IWP21'!G$425</f>
        <v>0</v>
      </c>
      <c r="E6337" s="211">
        <f>'IWP21'!H$425</f>
        <v>0</v>
      </c>
      <c r="F6337" s="211">
        <f>'IWP21'!I$425</f>
        <v>0</v>
      </c>
      <c r="G6337" s="191" t="str">
        <f>IF('IWP21'!J$425=0,"",'IWP21'!J$425)</f>
        <v/>
      </c>
      <c r="H6337" s="211">
        <f>'IWP21'!K$425</f>
        <v>0</v>
      </c>
      <c r="I6337" s="211">
        <f>'IWP21'!L$425</f>
        <v>0</v>
      </c>
      <c r="J6337" s="212">
        <f>'IWP21'!M$425</f>
        <v>0</v>
      </c>
      <c r="K6337" s="106"/>
      <c r="L6337" s="106"/>
      <c r="M6337" s="129"/>
    </row>
    <row r="6338" spans="1:13" s="146" customFormat="1">
      <c r="A6338" s="193" t="s">
        <v>519</v>
      </c>
      <c r="B6338" s="210">
        <v>5</v>
      </c>
      <c r="C6338" s="191" t="str">
        <f>IF('IWP21'!E$426=0,"",'IWP21'!E$426)</f>
        <v/>
      </c>
      <c r="D6338" s="211">
        <f>'IWP21'!G$426</f>
        <v>0</v>
      </c>
      <c r="E6338" s="211">
        <f>'IWP21'!H$426</f>
        <v>0</v>
      </c>
      <c r="F6338" s="211">
        <f>'IWP21'!I$426</f>
        <v>0</v>
      </c>
      <c r="G6338" s="191" t="str">
        <f>IF('IWP21'!J$426=0,"",'IWP21'!J$426)</f>
        <v/>
      </c>
      <c r="H6338" s="211">
        <f>'IWP21'!K$426</f>
        <v>0</v>
      </c>
      <c r="I6338" s="211">
        <f>'IWP21'!L$426</f>
        <v>0</v>
      </c>
      <c r="J6338" s="212">
        <f>'IWP21'!M$426</f>
        <v>0</v>
      </c>
      <c r="K6338" s="106"/>
      <c r="L6338" s="106"/>
      <c r="M6338" s="129"/>
    </row>
    <row r="6339" spans="1:13" s="146" customFormat="1">
      <c r="A6339" s="193" t="s">
        <v>519</v>
      </c>
      <c r="B6339" s="210">
        <v>5</v>
      </c>
      <c r="C6339" s="191" t="str">
        <f>IF('IWP21'!E$427=0,"",'IWP21'!E$427)</f>
        <v/>
      </c>
      <c r="D6339" s="211">
        <f>'IWP21'!G$427</f>
        <v>0</v>
      </c>
      <c r="E6339" s="211">
        <f>'IWP21'!H$427</f>
        <v>0</v>
      </c>
      <c r="F6339" s="211">
        <f>'IWP21'!I$427</f>
        <v>0</v>
      </c>
      <c r="G6339" s="191" t="str">
        <f>IF('IWP21'!J$427=0,"",'IWP21'!J$427)</f>
        <v/>
      </c>
      <c r="H6339" s="211">
        <f>'IWP21'!K$427</f>
        <v>0</v>
      </c>
      <c r="I6339" s="211">
        <f>'IWP21'!L$427</f>
        <v>0</v>
      </c>
      <c r="J6339" s="212">
        <f>'IWP21'!M$427</f>
        <v>0</v>
      </c>
      <c r="K6339" s="106"/>
      <c r="L6339" s="106"/>
      <c r="M6339" s="129"/>
    </row>
    <row r="6340" spans="1:13" s="146" customFormat="1">
      <c r="A6340" s="193" t="s">
        <v>519</v>
      </c>
      <c r="B6340" s="210">
        <v>5</v>
      </c>
      <c r="C6340" s="191" t="str">
        <f>IF('IWP21'!E$428=0,"",'IWP21'!E$428)</f>
        <v/>
      </c>
      <c r="D6340" s="211">
        <f>'IWP21'!G$428</f>
        <v>0</v>
      </c>
      <c r="E6340" s="211">
        <f>'IWP21'!H$428</f>
        <v>0</v>
      </c>
      <c r="F6340" s="211">
        <f>'IWP21'!I$428</f>
        <v>0</v>
      </c>
      <c r="G6340" s="191" t="str">
        <f>IF('IWP21'!J$428=0,"",'IWP21'!J$428)</f>
        <v/>
      </c>
      <c r="H6340" s="211">
        <f>'IWP21'!K$428</f>
        <v>0</v>
      </c>
      <c r="I6340" s="211">
        <f>'IWP21'!L$428</f>
        <v>0</v>
      </c>
      <c r="J6340" s="212">
        <f>'IWP21'!M$428</f>
        <v>0</v>
      </c>
      <c r="K6340" s="106"/>
      <c r="L6340" s="106"/>
      <c r="M6340" s="129"/>
    </row>
    <row r="6341" spans="1:13" s="146" customFormat="1">
      <c r="A6341" s="193" t="s">
        <v>519</v>
      </c>
      <c r="B6341" s="210">
        <v>6</v>
      </c>
      <c r="C6341" s="191" t="str">
        <f>IF('IWP21'!E$435=0,"",'IWP21'!E$435)</f>
        <v>Subtotal column D.</v>
      </c>
      <c r="D6341" s="211">
        <f>'IWP21'!G$435</f>
        <v>0</v>
      </c>
      <c r="E6341" s="211">
        <f>'IWP21'!H$435</f>
        <v>0</v>
      </c>
      <c r="F6341" s="211">
        <f>'IWP21'!I$435</f>
        <v>0</v>
      </c>
      <c r="G6341" s="191" t="str">
        <f>IF('IWP21'!J$435=0,"",'IWP21'!J$435)</f>
        <v/>
      </c>
      <c r="H6341" s="211">
        <f>'IWP21'!K$435</f>
        <v>0</v>
      </c>
      <c r="I6341" s="211">
        <f>'IWP21'!L$435</f>
        <v>0</v>
      </c>
      <c r="J6341" s="212">
        <f>'IWP21'!M$435</f>
        <v>0</v>
      </c>
      <c r="K6341" s="106"/>
      <c r="L6341" s="106"/>
      <c r="M6341" s="129"/>
    </row>
    <row r="6342" spans="1:13" s="146" customFormat="1">
      <c r="A6342" s="193" t="s">
        <v>519</v>
      </c>
      <c r="B6342" s="210">
        <v>6</v>
      </c>
      <c r="C6342" s="191" t="str">
        <f>IF('IWP21'!E$436=0,"",'IWP21'!E$436)</f>
        <v>Unverified/Undocumented (Subtotal D - C)</v>
      </c>
      <c r="D6342" s="211">
        <f>'IWP21'!G$436</f>
        <v>0</v>
      </c>
      <c r="E6342" s="211">
        <f>'IWP21'!H$436</f>
        <v>0</v>
      </c>
      <c r="F6342" s="211">
        <f>'IWP21'!I$436</f>
        <v>0</v>
      </c>
      <c r="G6342" s="191" t="str">
        <f>IF('IWP21'!J$436=0,"",'IWP21'!J$436)</f>
        <v/>
      </c>
      <c r="H6342" s="211">
        <f>'IWP21'!K$436</f>
        <v>0</v>
      </c>
      <c r="I6342" s="211">
        <f>'IWP21'!L$436</f>
        <v>0</v>
      </c>
      <c r="J6342" s="212">
        <f>'IWP21'!M$436</f>
        <v>0</v>
      </c>
      <c r="K6342" s="106"/>
      <c r="L6342" s="106"/>
      <c r="M6342" s="129"/>
    </row>
    <row r="6343" spans="1:13" s="146" customFormat="1">
      <c r="A6343" s="193" t="s">
        <v>519</v>
      </c>
      <c r="B6343" s="210">
        <v>6</v>
      </c>
      <c r="C6343" s="191" t="str">
        <f>IF('IWP21'!E$437=0,"",'IWP21'!E$437)</f>
        <v>J. Billing Period Total</v>
      </c>
      <c r="D6343" s="211">
        <f>'IWP21'!G$437</f>
        <v>0</v>
      </c>
      <c r="E6343" s="211">
        <f>'IWP21'!H$437</f>
        <v>0</v>
      </c>
      <c r="F6343" s="211">
        <f>'IWP21'!I$437</f>
        <v>0</v>
      </c>
      <c r="G6343" s="191" t="str">
        <f>IF('IWP21'!J$437=0,"",'IWP21'!J$437)</f>
        <v/>
      </c>
      <c r="H6343" s="211">
        <f>'IWP21'!K$437</f>
        <v>0</v>
      </c>
      <c r="I6343" s="211">
        <f>'IWP21'!L$437</f>
        <v>0</v>
      </c>
      <c r="J6343" s="212">
        <f>'IWP21'!M$437</f>
        <v>0</v>
      </c>
      <c r="K6343" s="106"/>
      <c r="L6343" s="106"/>
      <c r="M6343" s="129"/>
    </row>
    <row r="6344" spans="1:13" s="146" customFormat="1">
      <c r="A6344" s="193" t="s">
        <v>519</v>
      </c>
      <c r="B6344" s="210">
        <v>6</v>
      </c>
      <c r="C6344" s="191" t="str">
        <f>IF('IWP21'!E$438=0,"",'IWP21'!E$438)</f>
        <v>D.</v>
      </c>
      <c r="D6344" s="211">
        <f>'IWP21'!G$438</f>
        <v>0</v>
      </c>
      <c r="E6344" s="211" t="str">
        <f>'IWP21'!H$438</f>
        <v>E.</v>
      </c>
      <c r="F6344" s="211" t="str">
        <f>'IWP21'!I$438</f>
        <v>F.</v>
      </c>
      <c r="G6344" s="191" t="str">
        <f>IF('IWP21'!J$438=0,"",'IWP21'!J$438)</f>
        <v>G.</v>
      </c>
      <c r="H6344" s="211">
        <f>'IWP21'!K$438</f>
        <v>0</v>
      </c>
      <c r="I6344" s="211" t="str">
        <f>'IWP21'!L$438</f>
        <v>H.</v>
      </c>
      <c r="J6344" s="212" t="str">
        <f>'IWP21'!M$438</f>
        <v>I.</v>
      </c>
      <c r="K6344" s="106"/>
      <c r="L6344" s="106"/>
      <c r="M6344" s="129"/>
    </row>
    <row r="6345" spans="1:13" s="146" customFormat="1">
      <c r="A6345" s="193" t="s">
        <v>519</v>
      </c>
      <c r="B6345" s="210">
        <v>6</v>
      </c>
      <c r="C6345" s="191" t="str">
        <f>IF('IWP21'!E$439=0,"",'IWP21'!E$439)</f>
        <v xml:space="preserve">Items/Services Related to Billing Period </v>
      </c>
      <c r="D6345" s="211">
        <f>'IWP21'!G$439</f>
        <v>0</v>
      </c>
      <c r="E6345" s="211" t="str">
        <f>'IWP21'!H$439</f>
        <v xml:space="preserve">Item/
Service Verified Amounts
</v>
      </c>
      <c r="F6345" s="211" t="str">
        <f>'IWP21'!I$439</f>
        <v>Amount Due to DADS (E. - D.)</v>
      </c>
      <c r="G6345" s="191" t="str">
        <f>IF('IWP21'!J$439=0,"",'IWP21'!J$439)</f>
        <v>Amount Reimbursed to 
Employee(s)/Employer</v>
      </c>
      <c r="H6345" s="211">
        <f>'IWP21'!K$439</f>
        <v>0</v>
      </c>
      <c r="I6345" s="211" t="str">
        <f>'IWP21'!L$439</f>
        <v>Amount Due to Employee(s) (G. - E.)</v>
      </c>
      <c r="J6345" s="212" t="str">
        <f>'IWP21'!M$439</f>
        <v>Amount Due to Employer (G. - E.)</v>
      </c>
      <c r="K6345" s="106"/>
      <c r="L6345" s="106"/>
      <c r="M6345" s="129"/>
    </row>
    <row r="6346" spans="1:13" s="146" customFormat="1">
      <c r="A6346" s="193" t="s">
        <v>519</v>
      </c>
      <c r="B6346" s="210">
        <v>6</v>
      </c>
      <c r="C6346" s="191" t="str">
        <f>IF('IWP21'!E$440=0,"",'IWP21'!E$440)</f>
        <v>Item/Service</v>
      </c>
      <c r="D6346" s="211" t="str">
        <f>'IWP21'!G$440</f>
        <v>Itemized Amount Paid by DADS</v>
      </c>
      <c r="E6346" s="211">
        <f>'IWP21'!H$440</f>
        <v>0</v>
      </c>
      <c r="F6346" s="211">
        <f>'IWP21'!I$440</f>
        <v>0</v>
      </c>
      <c r="G6346" s="191" t="str">
        <f>IF('IWP21'!J$440=0,"",'IWP21'!J$440)</f>
        <v/>
      </c>
      <c r="H6346" s="211">
        <f>'IWP21'!K$440</f>
        <v>0</v>
      </c>
      <c r="I6346" s="211">
        <f>'IWP21'!L$440</f>
        <v>0</v>
      </c>
      <c r="J6346" s="212">
        <f>'IWP21'!M$440</f>
        <v>0</v>
      </c>
      <c r="K6346" s="106"/>
      <c r="L6346" s="106"/>
      <c r="M6346" s="129"/>
    </row>
    <row r="6347" spans="1:13" s="146" customFormat="1">
      <c r="A6347" s="193" t="s">
        <v>519</v>
      </c>
      <c r="B6347" s="210">
        <v>6</v>
      </c>
      <c r="C6347" s="191" t="str">
        <f>IF('IWP21'!E$441=0,"",'IWP21'!E$441)</f>
        <v/>
      </c>
      <c r="D6347" s="211">
        <f>'IWP21'!G$441</f>
        <v>0</v>
      </c>
      <c r="E6347" s="211">
        <f>'IWP21'!H$441</f>
        <v>0</v>
      </c>
      <c r="F6347" s="211">
        <f>'IWP21'!I$441</f>
        <v>0</v>
      </c>
      <c r="G6347" s="191" t="str">
        <f>IF('IWP21'!J$441=0,"",'IWP21'!J$441)</f>
        <v/>
      </c>
      <c r="H6347" s="211">
        <f>'IWP21'!K$441</f>
        <v>0</v>
      </c>
      <c r="I6347" s="211">
        <f>'IWP21'!L$441</f>
        <v>0</v>
      </c>
      <c r="J6347" s="212">
        <f>'IWP21'!M$441</f>
        <v>0</v>
      </c>
      <c r="K6347" s="106"/>
      <c r="L6347" s="106"/>
      <c r="M6347" s="129"/>
    </row>
    <row r="6348" spans="1:13" s="146" customFormat="1">
      <c r="A6348" s="193" t="s">
        <v>519</v>
      </c>
      <c r="B6348" s="210">
        <v>6</v>
      </c>
      <c r="C6348" s="191" t="str">
        <f>IF('IWP21'!E$442=0,"",'IWP21'!E$442)</f>
        <v/>
      </c>
      <c r="D6348" s="211">
        <f>'IWP21'!G$442</f>
        <v>0</v>
      </c>
      <c r="E6348" s="211">
        <f>'IWP21'!H$442</f>
        <v>0</v>
      </c>
      <c r="F6348" s="211">
        <f>'IWP21'!I$442</f>
        <v>0</v>
      </c>
      <c r="G6348" s="191" t="str">
        <f>IF('IWP21'!J$442=0,"",'IWP21'!J$442)</f>
        <v/>
      </c>
      <c r="H6348" s="211">
        <f>'IWP21'!K$442</f>
        <v>0</v>
      </c>
      <c r="I6348" s="211">
        <f>'IWP21'!L$442</f>
        <v>0</v>
      </c>
      <c r="J6348" s="212">
        <f>'IWP21'!M$442</f>
        <v>0</v>
      </c>
      <c r="K6348" s="106"/>
      <c r="L6348" s="106"/>
      <c r="M6348" s="129"/>
    </row>
    <row r="6349" spans="1:13" s="146" customFormat="1">
      <c r="A6349" s="193" t="s">
        <v>519</v>
      </c>
      <c r="B6349" s="210">
        <v>6</v>
      </c>
      <c r="C6349" s="191" t="str">
        <f>IF('IWP21'!E$443=0,"",'IWP21'!E$443)</f>
        <v/>
      </c>
      <c r="D6349" s="211">
        <f>'IWP21'!G$443</f>
        <v>0</v>
      </c>
      <c r="E6349" s="211">
        <f>'IWP21'!H$443</f>
        <v>0</v>
      </c>
      <c r="F6349" s="211">
        <f>'IWP21'!I$443</f>
        <v>0</v>
      </c>
      <c r="G6349" s="191" t="str">
        <f>IF('IWP21'!J$443=0,"",'IWP21'!J$443)</f>
        <v/>
      </c>
      <c r="H6349" s="211">
        <f>'IWP21'!K$443</f>
        <v>0</v>
      </c>
      <c r="I6349" s="211">
        <f>'IWP21'!L$443</f>
        <v>0</v>
      </c>
      <c r="J6349" s="212">
        <f>'IWP21'!M$443</f>
        <v>0</v>
      </c>
      <c r="K6349" s="106"/>
      <c r="L6349" s="106"/>
      <c r="M6349" s="129"/>
    </row>
    <row r="6350" spans="1:13" s="146" customFormat="1">
      <c r="A6350" s="193" t="s">
        <v>519</v>
      </c>
      <c r="B6350" s="210">
        <v>6</v>
      </c>
      <c r="C6350" s="191" t="str">
        <f>IF('IWP21'!E$444=0,"",'IWP21'!E$444)</f>
        <v/>
      </c>
      <c r="D6350" s="211">
        <f>'IWP21'!G$444</f>
        <v>0</v>
      </c>
      <c r="E6350" s="211">
        <f>'IWP21'!H$444</f>
        <v>0</v>
      </c>
      <c r="F6350" s="211">
        <f>'IWP21'!I$444</f>
        <v>0</v>
      </c>
      <c r="G6350" s="191" t="str">
        <f>IF('IWP21'!J$444=0,"",'IWP21'!J$444)</f>
        <v/>
      </c>
      <c r="H6350" s="211">
        <f>'IWP21'!K$444</f>
        <v>0</v>
      </c>
      <c r="I6350" s="211">
        <f>'IWP21'!L$444</f>
        <v>0</v>
      </c>
      <c r="J6350" s="212">
        <f>'IWP21'!M$444</f>
        <v>0</v>
      </c>
      <c r="K6350" s="106"/>
      <c r="L6350" s="106"/>
      <c r="M6350" s="129"/>
    </row>
    <row r="6351" spans="1:13" s="146" customFormat="1">
      <c r="A6351" s="193" t="s">
        <v>519</v>
      </c>
      <c r="B6351" s="210">
        <v>7</v>
      </c>
      <c r="C6351" s="191" t="str">
        <f>IF('IWP21'!E$451=0,"",'IWP21'!E$451)</f>
        <v>Subtotal column D.</v>
      </c>
      <c r="D6351" s="211">
        <f>'IWP21'!G$451</f>
        <v>0</v>
      </c>
      <c r="E6351" s="211">
        <f>'IWP21'!H$451</f>
        <v>0</v>
      </c>
      <c r="F6351" s="211">
        <f>'IWP21'!I$451</f>
        <v>0</v>
      </c>
      <c r="G6351" s="191" t="str">
        <f>IF('IWP21'!J$451=0,"",'IWP21'!J$451)</f>
        <v/>
      </c>
      <c r="H6351" s="211">
        <f>'IWP21'!K$451</f>
        <v>0</v>
      </c>
      <c r="I6351" s="211">
        <f>'IWP21'!L$451</f>
        <v>0</v>
      </c>
      <c r="J6351" s="212">
        <f>'IWP21'!M$451</f>
        <v>0</v>
      </c>
      <c r="K6351" s="106"/>
      <c r="L6351" s="106"/>
      <c r="M6351" s="129"/>
    </row>
    <row r="6352" spans="1:13" s="146" customFormat="1">
      <c r="A6352" s="193" t="s">
        <v>519</v>
      </c>
      <c r="B6352" s="210">
        <v>7</v>
      </c>
      <c r="C6352" s="191" t="str">
        <f>IF('IWP21'!E$452=0,"",'IWP21'!E$452)</f>
        <v>Unverified/Undocumented (Subtotal D - C)</v>
      </c>
      <c r="D6352" s="211">
        <f>'IWP21'!G$452</f>
        <v>0</v>
      </c>
      <c r="E6352" s="211">
        <f>'IWP21'!H$452</f>
        <v>0</v>
      </c>
      <c r="F6352" s="211">
        <f>'IWP21'!I$452</f>
        <v>0</v>
      </c>
      <c r="G6352" s="191" t="str">
        <f>IF('IWP21'!J$452=0,"",'IWP21'!J$452)</f>
        <v/>
      </c>
      <c r="H6352" s="211">
        <f>'IWP21'!K$452</f>
        <v>0</v>
      </c>
      <c r="I6352" s="211">
        <f>'IWP21'!L$452</f>
        <v>0</v>
      </c>
      <c r="J6352" s="212">
        <f>'IWP21'!M$452</f>
        <v>0</v>
      </c>
      <c r="K6352" s="106"/>
      <c r="L6352" s="106"/>
      <c r="M6352" s="129"/>
    </row>
    <row r="6353" spans="1:13" s="146" customFormat="1">
      <c r="A6353" s="193" t="s">
        <v>519</v>
      </c>
      <c r="B6353" s="210">
        <v>7</v>
      </c>
      <c r="C6353" s="191" t="str">
        <f>IF('IWP21'!E$453=0,"",'IWP21'!E$453)</f>
        <v>J. Billing Period Total</v>
      </c>
      <c r="D6353" s="211">
        <f>'IWP21'!G$453</f>
        <v>0</v>
      </c>
      <c r="E6353" s="211">
        <f>'IWP21'!H$453</f>
        <v>0</v>
      </c>
      <c r="F6353" s="211">
        <f>'IWP21'!I$453</f>
        <v>0</v>
      </c>
      <c r="G6353" s="191" t="str">
        <f>IF('IWP21'!J$453=0,"",'IWP21'!J$453)</f>
        <v/>
      </c>
      <c r="H6353" s="211">
        <f>'IWP21'!K$453</f>
        <v>0</v>
      </c>
      <c r="I6353" s="211">
        <f>'IWP21'!L$453</f>
        <v>0</v>
      </c>
      <c r="J6353" s="212">
        <f>'IWP21'!M$453</f>
        <v>0</v>
      </c>
      <c r="K6353" s="106"/>
      <c r="L6353" s="106"/>
      <c r="M6353" s="129"/>
    </row>
    <row r="6354" spans="1:13" s="146" customFormat="1">
      <c r="A6354" s="193" t="s">
        <v>519</v>
      </c>
      <c r="B6354" s="210">
        <v>7</v>
      </c>
      <c r="C6354" s="191" t="str">
        <f>IF('IWP21'!E$454=0,"",'IWP21'!E$454)</f>
        <v>D.</v>
      </c>
      <c r="D6354" s="211">
        <f>'IWP21'!G$454</f>
        <v>0</v>
      </c>
      <c r="E6354" s="211" t="str">
        <f>'IWP21'!H$454</f>
        <v>E.</v>
      </c>
      <c r="F6354" s="211" t="str">
        <f>'IWP21'!I$454</f>
        <v>F.</v>
      </c>
      <c r="G6354" s="191" t="str">
        <f>IF('IWP21'!J$454=0,"",'IWP21'!J$454)</f>
        <v>G.</v>
      </c>
      <c r="H6354" s="211">
        <f>'IWP21'!K$454</f>
        <v>0</v>
      </c>
      <c r="I6354" s="211" t="str">
        <f>'IWP21'!L$454</f>
        <v>H.</v>
      </c>
      <c r="J6354" s="212" t="str">
        <f>'IWP21'!M$454</f>
        <v>I.</v>
      </c>
      <c r="K6354" s="106"/>
      <c r="L6354" s="106"/>
      <c r="M6354" s="129"/>
    </row>
    <row r="6355" spans="1:13" s="146" customFormat="1">
      <c r="A6355" s="193" t="s">
        <v>519</v>
      </c>
      <c r="B6355" s="210">
        <v>7</v>
      </c>
      <c r="C6355" s="191" t="str">
        <f>IF('IWP21'!E$455=0,"",'IWP21'!E$455)</f>
        <v xml:space="preserve">Items/Services Related to Billing Period </v>
      </c>
      <c r="D6355" s="211">
        <f>'IWP21'!G$455</f>
        <v>0</v>
      </c>
      <c r="E6355" s="211" t="str">
        <f>'IWP21'!H$455</f>
        <v xml:space="preserve">Item/
Service Verified Amounts
</v>
      </c>
      <c r="F6355" s="211" t="str">
        <f>'IWP21'!I$455</f>
        <v>Amount Due to DADS (E. - D.)</v>
      </c>
      <c r="G6355" s="191" t="str">
        <f>IF('IWP21'!J$455=0,"",'IWP21'!J$455)</f>
        <v>Amount Reimbursed to 
Employee(s)/Employer</v>
      </c>
      <c r="H6355" s="211">
        <f>'IWP21'!K$455</f>
        <v>0</v>
      </c>
      <c r="I6355" s="211" t="str">
        <f>'IWP21'!L$455</f>
        <v>Amount Due to Employee(s) (G. - E.)</v>
      </c>
      <c r="J6355" s="212" t="str">
        <f>'IWP21'!M$455</f>
        <v>Amount Due to Employer (G. - E.)</v>
      </c>
      <c r="K6355" s="106"/>
      <c r="L6355" s="106"/>
      <c r="M6355" s="129"/>
    </row>
    <row r="6356" spans="1:13" s="146" customFormat="1">
      <c r="A6356" s="193" t="s">
        <v>519</v>
      </c>
      <c r="B6356" s="210">
        <v>7</v>
      </c>
      <c r="C6356" s="191" t="str">
        <f>IF('IWP21'!E$456=0,"",'IWP21'!E$456)</f>
        <v>Item/Service</v>
      </c>
      <c r="D6356" s="211" t="str">
        <f>'IWP21'!G$456</f>
        <v>Itemized Amount Paid by DADS</v>
      </c>
      <c r="E6356" s="211">
        <f>'IWP21'!H$456</f>
        <v>0</v>
      </c>
      <c r="F6356" s="211">
        <f>'IWP21'!I$456</f>
        <v>0</v>
      </c>
      <c r="G6356" s="191" t="str">
        <f>IF('IWP21'!J$456=0,"",'IWP21'!J$456)</f>
        <v/>
      </c>
      <c r="H6356" s="211">
        <f>'IWP21'!K$456</f>
        <v>0</v>
      </c>
      <c r="I6356" s="211">
        <f>'IWP21'!L$456</f>
        <v>0</v>
      </c>
      <c r="J6356" s="212">
        <f>'IWP21'!M$456</f>
        <v>0</v>
      </c>
      <c r="K6356" s="106"/>
      <c r="L6356" s="106"/>
      <c r="M6356" s="129"/>
    </row>
    <row r="6357" spans="1:13" s="146" customFormat="1">
      <c r="A6357" s="193" t="s">
        <v>519</v>
      </c>
      <c r="B6357" s="210">
        <v>7</v>
      </c>
      <c r="C6357" s="191" t="str">
        <f>IF('IWP21'!E$457=0,"",'IWP21'!E$457)</f>
        <v/>
      </c>
      <c r="D6357" s="211">
        <f>'IWP21'!G$457</f>
        <v>0</v>
      </c>
      <c r="E6357" s="211">
        <f>'IWP21'!H$457</f>
        <v>0</v>
      </c>
      <c r="F6357" s="211">
        <f>'IWP21'!I$457</f>
        <v>0</v>
      </c>
      <c r="G6357" s="191" t="str">
        <f>IF('IWP21'!J$457=0,"",'IWP21'!J$457)</f>
        <v/>
      </c>
      <c r="H6357" s="211">
        <f>'IWP21'!K$457</f>
        <v>0</v>
      </c>
      <c r="I6357" s="211">
        <f>'IWP21'!L$457</f>
        <v>0</v>
      </c>
      <c r="J6357" s="212">
        <f>'IWP21'!M$457</f>
        <v>0</v>
      </c>
      <c r="K6357" s="106"/>
      <c r="L6357" s="106"/>
      <c r="M6357" s="129"/>
    </row>
    <row r="6358" spans="1:13" s="146" customFormat="1">
      <c r="A6358" s="193" t="s">
        <v>519</v>
      </c>
      <c r="B6358" s="210">
        <v>7</v>
      </c>
      <c r="C6358" s="191" t="str">
        <f>IF('IWP21'!E$458=0,"",'IWP21'!E$458)</f>
        <v/>
      </c>
      <c r="D6358" s="211">
        <f>'IWP21'!G$458</f>
        <v>0</v>
      </c>
      <c r="E6358" s="211">
        <f>'IWP21'!H$458</f>
        <v>0</v>
      </c>
      <c r="F6358" s="211">
        <f>'IWP21'!I$458</f>
        <v>0</v>
      </c>
      <c r="G6358" s="191" t="str">
        <f>IF('IWP21'!J$458=0,"",'IWP21'!J$458)</f>
        <v/>
      </c>
      <c r="H6358" s="211">
        <f>'IWP21'!K$458</f>
        <v>0</v>
      </c>
      <c r="I6358" s="211">
        <f>'IWP21'!L$458</f>
        <v>0</v>
      </c>
      <c r="J6358" s="212">
        <f>'IWP21'!M$458</f>
        <v>0</v>
      </c>
      <c r="K6358" s="106"/>
      <c r="L6358" s="106"/>
      <c r="M6358" s="129"/>
    </row>
    <row r="6359" spans="1:13" s="146" customFormat="1">
      <c r="A6359" s="193" t="s">
        <v>519</v>
      </c>
      <c r="B6359" s="210">
        <v>7</v>
      </c>
      <c r="C6359" s="191" t="str">
        <f>IF('IWP21'!E$459=0,"",'IWP21'!E$459)</f>
        <v/>
      </c>
      <c r="D6359" s="211">
        <f>'IWP21'!G$459</f>
        <v>0</v>
      </c>
      <c r="E6359" s="211">
        <f>'IWP21'!H$459</f>
        <v>0</v>
      </c>
      <c r="F6359" s="211">
        <f>'IWP21'!I$459</f>
        <v>0</v>
      </c>
      <c r="G6359" s="191" t="str">
        <f>IF('IWP21'!J$459=0,"",'IWP21'!J$459)</f>
        <v/>
      </c>
      <c r="H6359" s="211">
        <f>'IWP21'!K$459</f>
        <v>0</v>
      </c>
      <c r="I6359" s="211">
        <f>'IWP21'!L$459</f>
        <v>0</v>
      </c>
      <c r="J6359" s="212">
        <f>'IWP21'!M$459</f>
        <v>0</v>
      </c>
      <c r="K6359" s="106"/>
      <c r="L6359" s="106"/>
      <c r="M6359" s="129"/>
    </row>
    <row r="6360" spans="1:13" s="146" customFormat="1">
      <c r="A6360" s="193" t="s">
        <v>519</v>
      </c>
      <c r="B6360" s="210">
        <v>7</v>
      </c>
      <c r="C6360" s="191" t="str">
        <f>IF('IWP21'!E$460=0,"",'IWP21'!E$460)</f>
        <v/>
      </c>
      <c r="D6360" s="211">
        <f>'IWP21'!G$460</f>
        <v>0</v>
      </c>
      <c r="E6360" s="211">
        <f>'IWP21'!H$460</f>
        <v>0</v>
      </c>
      <c r="F6360" s="211">
        <f>'IWP21'!I$460</f>
        <v>0</v>
      </c>
      <c r="G6360" s="191" t="str">
        <f>IF('IWP21'!J$460=0,"",'IWP21'!J$460)</f>
        <v/>
      </c>
      <c r="H6360" s="211">
        <f>'IWP21'!K$460</f>
        <v>0</v>
      </c>
      <c r="I6360" s="211">
        <f>'IWP21'!L$460</f>
        <v>0</v>
      </c>
      <c r="J6360" s="212">
        <f>'IWP21'!M$460</f>
        <v>0</v>
      </c>
      <c r="K6360" s="106"/>
      <c r="L6360" s="106"/>
      <c r="M6360" s="129"/>
    </row>
    <row r="6361" spans="1:13" s="146" customFormat="1">
      <c r="A6361" s="193" t="s">
        <v>519</v>
      </c>
      <c r="B6361" s="210">
        <v>8</v>
      </c>
      <c r="C6361" s="191" t="str">
        <f>IF('IWP21'!E$467=0,"",'IWP21'!E$467)</f>
        <v>Subtotal column D.</v>
      </c>
      <c r="D6361" s="211">
        <f>'IWP21'!G$467</f>
        <v>0</v>
      </c>
      <c r="E6361" s="211">
        <f>'IWP21'!H$467</f>
        <v>0</v>
      </c>
      <c r="F6361" s="211">
        <f>'IWP21'!I$467</f>
        <v>0</v>
      </c>
      <c r="G6361" s="191" t="str">
        <f>IF('IWP21'!J$467=0,"",'IWP21'!J$467)</f>
        <v/>
      </c>
      <c r="H6361" s="211">
        <f>'IWP21'!K$467</f>
        <v>0</v>
      </c>
      <c r="I6361" s="211">
        <f>'IWP21'!L$467</f>
        <v>0</v>
      </c>
      <c r="J6361" s="212">
        <f>'IWP21'!M$467</f>
        <v>0</v>
      </c>
      <c r="K6361" s="106"/>
      <c r="L6361" s="106"/>
      <c r="M6361" s="129"/>
    </row>
    <row r="6362" spans="1:13" s="146" customFormat="1">
      <c r="A6362" s="193" t="s">
        <v>519</v>
      </c>
      <c r="B6362" s="210">
        <v>8</v>
      </c>
      <c r="C6362" s="191" t="str">
        <f>IF('IWP21'!E$468=0,"",'IWP21'!E$468)</f>
        <v>Unverified/Undocumented (Subtotal D - C)</v>
      </c>
      <c r="D6362" s="211">
        <f>'IWP21'!G$468</f>
        <v>0</v>
      </c>
      <c r="E6362" s="211">
        <f>'IWP21'!H$468</f>
        <v>0</v>
      </c>
      <c r="F6362" s="211">
        <f>'IWP21'!I$468</f>
        <v>0</v>
      </c>
      <c r="G6362" s="191" t="str">
        <f>IF('IWP21'!J$468=0,"",'IWP21'!J$468)</f>
        <v/>
      </c>
      <c r="H6362" s="211">
        <f>'IWP21'!K$468</f>
        <v>0</v>
      </c>
      <c r="I6362" s="211">
        <f>'IWP21'!L$468</f>
        <v>0</v>
      </c>
      <c r="J6362" s="212">
        <f>'IWP21'!M$468</f>
        <v>0</v>
      </c>
      <c r="K6362" s="106"/>
      <c r="L6362" s="106"/>
      <c r="M6362" s="129"/>
    </row>
    <row r="6363" spans="1:13" s="146" customFormat="1">
      <c r="A6363" s="193" t="s">
        <v>519</v>
      </c>
      <c r="B6363" s="210">
        <v>8</v>
      </c>
      <c r="C6363" s="191" t="str">
        <f>IF('IWP21'!E$469=0,"",'IWP21'!E$469)</f>
        <v>J. Billing Period Total</v>
      </c>
      <c r="D6363" s="211">
        <f>'IWP21'!G$469</f>
        <v>0</v>
      </c>
      <c r="E6363" s="211">
        <f>'IWP21'!H$469</f>
        <v>0</v>
      </c>
      <c r="F6363" s="211">
        <f>'IWP21'!I$469</f>
        <v>0</v>
      </c>
      <c r="G6363" s="191" t="str">
        <f>IF('IWP21'!J$469=0,"",'IWP21'!J$469)</f>
        <v/>
      </c>
      <c r="H6363" s="211">
        <f>'IWP21'!K$469</f>
        <v>0</v>
      </c>
      <c r="I6363" s="211">
        <f>'IWP21'!L$469</f>
        <v>0</v>
      </c>
      <c r="J6363" s="212">
        <f>'IWP21'!M$469</f>
        <v>0</v>
      </c>
      <c r="K6363" s="106"/>
      <c r="L6363" s="106"/>
      <c r="M6363" s="129"/>
    </row>
    <row r="6364" spans="1:13" s="146" customFormat="1">
      <c r="A6364" s="193" t="s">
        <v>519</v>
      </c>
      <c r="B6364" s="210">
        <v>8</v>
      </c>
      <c r="C6364" s="191" t="str">
        <f>IF('IWP21'!E$470=0,"",'IWP21'!E$470)</f>
        <v>D.</v>
      </c>
      <c r="D6364" s="211">
        <f>'IWP21'!G$470</f>
        <v>0</v>
      </c>
      <c r="E6364" s="211" t="str">
        <f>'IWP21'!H$470</f>
        <v>E.</v>
      </c>
      <c r="F6364" s="211" t="str">
        <f>'IWP21'!I$470</f>
        <v>F.</v>
      </c>
      <c r="G6364" s="191" t="str">
        <f>IF('IWP21'!J$470=0,"",'IWP21'!J$470)</f>
        <v>G.</v>
      </c>
      <c r="H6364" s="211">
        <f>'IWP21'!K$470</f>
        <v>0</v>
      </c>
      <c r="I6364" s="211" t="str">
        <f>'IWP21'!L$470</f>
        <v>H.</v>
      </c>
      <c r="J6364" s="212" t="str">
        <f>'IWP21'!M$470</f>
        <v>I.</v>
      </c>
      <c r="K6364" s="106"/>
      <c r="L6364" s="106"/>
      <c r="M6364" s="129"/>
    </row>
    <row r="6365" spans="1:13" s="146" customFormat="1">
      <c r="A6365" s="193" t="s">
        <v>519</v>
      </c>
      <c r="B6365" s="210">
        <v>8</v>
      </c>
      <c r="C6365" s="191" t="str">
        <f>IF('IWP21'!E$471=0,"",'IWP21'!E$471)</f>
        <v xml:space="preserve">Items/Services Related to Billing Period </v>
      </c>
      <c r="D6365" s="211">
        <f>'IWP21'!G$471</f>
        <v>0</v>
      </c>
      <c r="E6365" s="211" t="str">
        <f>'IWP21'!H$471</f>
        <v xml:space="preserve">Item/
Service Verified Amounts
</v>
      </c>
      <c r="F6365" s="211" t="str">
        <f>'IWP21'!I$471</f>
        <v>Amount Due to DADS (E. - D.)</v>
      </c>
      <c r="G6365" s="191" t="str">
        <f>IF('IWP21'!J$471=0,"",'IWP21'!J$471)</f>
        <v>Amount Reimbursed to 
Employee(s)/Employer</v>
      </c>
      <c r="H6365" s="211">
        <f>'IWP21'!K$471</f>
        <v>0</v>
      </c>
      <c r="I6365" s="211" t="str">
        <f>'IWP21'!L$471</f>
        <v>Amount Due to Employee(s) (G. - E.)</v>
      </c>
      <c r="J6365" s="212" t="str">
        <f>'IWP21'!M$471</f>
        <v>Amount Due to Employer (G. - E.)</v>
      </c>
      <c r="K6365" s="106"/>
      <c r="L6365" s="106"/>
      <c r="M6365" s="129"/>
    </row>
    <row r="6366" spans="1:13" s="146" customFormat="1">
      <c r="A6366" s="193" t="s">
        <v>519</v>
      </c>
      <c r="B6366" s="210">
        <v>8</v>
      </c>
      <c r="C6366" s="191" t="str">
        <f>IF('IWP21'!E$472=0,"",'IWP21'!E$472)</f>
        <v>Item/Service</v>
      </c>
      <c r="D6366" s="211" t="str">
        <f>'IWP21'!G$472</f>
        <v>Itemized Amount Paid by DADS</v>
      </c>
      <c r="E6366" s="211">
        <f>'IWP21'!H$472</f>
        <v>0</v>
      </c>
      <c r="F6366" s="211">
        <f>'IWP21'!I$472</f>
        <v>0</v>
      </c>
      <c r="G6366" s="191" t="str">
        <f>IF('IWP21'!J$472=0,"",'IWP21'!J$472)</f>
        <v/>
      </c>
      <c r="H6366" s="211">
        <f>'IWP21'!K$472</f>
        <v>0</v>
      </c>
      <c r="I6366" s="211">
        <f>'IWP21'!L$472</f>
        <v>0</v>
      </c>
      <c r="J6366" s="212">
        <f>'IWP21'!M$472</f>
        <v>0</v>
      </c>
      <c r="K6366" s="106"/>
      <c r="L6366" s="106"/>
      <c r="M6366" s="129"/>
    </row>
    <row r="6367" spans="1:13" s="146" customFormat="1">
      <c r="A6367" s="193" t="s">
        <v>519</v>
      </c>
      <c r="B6367" s="210">
        <v>8</v>
      </c>
      <c r="C6367" s="191" t="str">
        <f>IF('IWP21'!E$473=0,"",'IWP21'!E$473)</f>
        <v/>
      </c>
      <c r="D6367" s="211">
        <f>'IWP21'!G$473</f>
        <v>0</v>
      </c>
      <c r="E6367" s="211">
        <f>'IWP21'!H$473</f>
        <v>0</v>
      </c>
      <c r="F6367" s="211">
        <f>'IWP21'!I$473</f>
        <v>0</v>
      </c>
      <c r="G6367" s="191" t="str">
        <f>IF('IWP21'!J$473=0,"",'IWP21'!J$473)</f>
        <v/>
      </c>
      <c r="H6367" s="211">
        <f>'IWP21'!K$473</f>
        <v>0</v>
      </c>
      <c r="I6367" s="211">
        <f>'IWP21'!L$473</f>
        <v>0</v>
      </c>
      <c r="J6367" s="212">
        <f>'IWP21'!M$473</f>
        <v>0</v>
      </c>
      <c r="K6367" s="106"/>
      <c r="L6367" s="106"/>
      <c r="M6367" s="129"/>
    </row>
    <row r="6368" spans="1:13" s="146" customFormat="1">
      <c r="A6368" s="193" t="s">
        <v>519</v>
      </c>
      <c r="B6368" s="210">
        <v>8</v>
      </c>
      <c r="C6368" s="191" t="str">
        <f>IF('IWP21'!E$474=0,"",'IWP21'!E$474)</f>
        <v/>
      </c>
      <c r="D6368" s="211">
        <f>'IWP21'!G$474</f>
        <v>0</v>
      </c>
      <c r="E6368" s="211">
        <f>'IWP21'!H$474</f>
        <v>0</v>
      </c>
      <c r="F6368" s="211">
        <f>'IWP21'!I$474</f>
        <v>0</v>
      </c>
      <c r="G6368" s="191" t="str">
        <f>IF('IWP21'!J$474=0,"",'IWP21'!J$474)</f>
        <v/>
      </c>
      <c r="H6368" s="211">
        <f>'IWP21'!K$474</f>
        <v>0</v>
      </c>
      <c r="I6368" s="211">
        <f>'IWP21'!L$474</f>
        <v>0</v>
      </c>
      <c r="J6368" s="212">
        <f>'IWP21'!M$474</f>
        <v>0</v>
      </c>
      <c r="K6368" s="106"/>
      <c r="L6368" s="106"/>
      <c r="M6368" s="129"/>
    </row>
    <row r="6369" spans="1:13" s="146" customFormat="1">
      <c r="A6369" s="193" t="s">
        <v>519</v>
      </c>
      <c r="B6369" s="210">
        <v>8</v>
      </c>
      <c r="C6369" s="191" t="str">
        <f>IF('IWP21'!E$475=0,"",'IWP21'!E$475)</f>
        <v/>
      </c>
      <c r="D6369" s="211">
        <f>'IWP21'!G$475</f>
        <v>0</v>
      </c>
      <c r="E6369" s="211">
        <f>'IWP21'!H$475</f>
        <v>0</v>
      </c>
      <c r="F6369" s="211">
        <f>'IWP21'!I$475</f>
        <v>0</v>
      </c>
      <c r="G6369" s="191" t="str">
        <f>IF('IWP21'!J$475=0,"",'IWP21'!J$475)</f>
        <v/>
      </c>
      <c r="H6369" s="211">
        <f>'IWP21'!K$475</f>
        <v>0</v>
      </c>
      <c r="I6369" s="211">
        <f>'IWP21'!L$475</f>
        <v>0</v>
      </c>
      <c r="J6369" s="212">
        <f>'IWP21'!M$475</f>
        <v>0</v>
      </c>
      <c r="K6369" s="106"/>
      <c r="L6369" s="106"/>
      <c r="M6369" s="129"/>
    </row>
    <row r="6370" spans="1:13" s="146" customFormat="1">
      <c r="A6370" s="193" t="s">
        <v>519</v>
      </c>
      <c r="B6370" s="210">
        <v>8</v>
      </c>
      <c r="C6370" s="191" t="str">
        <f>IF('IWP21'!E$476=0,"",'IWP21'!E$476)</f>
        <v/>
      </c>
      <c r="D6370" s="211">
        <f>'IWP21'!G$476</f>
        <v>0</v>
      </c>
      <c r="E6370" s="211">
        <f>'IWP21'!H$476</f>
        <v>0</v>
      </c>
      <c r="F6370" s="211">
        <f>'IWP21'!I$476</f>
        <v>0</v>
      </c>
      <c r="G6370" s="191" t="str">
        <f>IF('IWP21'!J$476=0,"",'IWP21'!J$476)</f>
        <v/>
      </c>
      <c r="H6370" s="211">
        <f>'IWP21'!K$476</f>
        <v>0</v>
      </c>
      <c r="I6370" s="211">
        <f>'IWP21'!L$476</f>
        <v>0</v>
      </c>
      <c r="J6370" s="212">
        <f>'IWP21'!M$476</f>
        <v>0</v>
      </c>
      <c r="K6370" s="106"/>
      <c r="L6370" s="106"/>
      <c r="M6370" s="129"/>
    </row>
    <row r="6371" spans="1:13" s="146" customFormat="1">
      <c r="A6371" s="193" t="s">
        <v>519</v>
      </c>
      <c r="B6371" s="210">
        <v>9</v>
      </c>
      <c r="C6371" s="191" t="str">
        <f>IF('IWP21'!E$483=0,"",'IWP21'!E$483)</f>
        <v>Subtotal column D.</v>
      </c>
      <c r="D6371" s="211">
        <f>'IWP21'!G$483</f>
        <v>0</v>
      </c>
      <c r="E6371" s="211">
        <f>'IWP21'!H$483</f>
        <v>0</v>
      </c>
      <c r="F6371" s="211">
        <f>'IWP21'!I$483</f>
        <v>0</v>
      </c>
      <c r="G6371" s="191" t="str">
        <f>IF('IWP21'!J$483=0,"",'IWP21'!J$483)</f>
        <v/>
      </c>
      <c r="H6371" s="211">
        <f>'IWP21'!K$483</f>
        <v>0</v>
      </c>
      <c r="I6371" s="211">
        <f>'IWP21'!L$483</f>
        <v>0</v>
      </c>
      <c r="J6371" s="212">
        <f>'IWP21'!M$483</f>
        <v>0</v>
      </c>
      <c r="K6371" s="106"/>
      <c r="L6371" s="106"/>
      <c r="M6371" s="129"/>
    </row>
    <row r="6372" spans="1:13" s="146" customFormat="1">
      <c r="A6372" s="193" t="s">
        <v>519</v>
      </c>
      <c r="B6372" s="210">
        <v>9</v>
      </c>
      <c r="C6372" s="191" t="str">
        <f>IF('IWP21'!E$484=0,"",'IWP21'!E$484)</f>
        <v>Unverified/Undocumented (Subtotal D - C)</v>
      </c>
      <c r="D6372" s="211">
        <f>'IWP21'!G$484</f>
        <v>0</v>
      </c>
      <c r="E6372" s="211">
        <f>'IWP21'!H$484</f>
        <v>0</v>
      </c>
      <c r="F6372" s="211">
        <f>'IWP21'!I$484</f>
        <v>0</v>
      </c>
      <c r="G6372" s="191" t="str">
        <f>IF('IWP21'!J$484=0,"",'IWP21'!J$484)</f>
        <v/>
      </c>
      <c r="H6372" s="211">
        <f>'IWP21'!K$484</f>
        <v>0</v>
      </c>
      <c r="I6372" s="211">
        <f>'IWP21'!L$484</f>
        <v>0</v>
      </c>
      <c r="J6372" s="212">
        <f>'IWP21'!M$484</f>
        <v>0</v>
      </c>
      <c r="K6372" s="106"/>
      <c r="L6372" s="106"/>
      <c r="M6372" s="129"/>
    </row>
    <row r="6373" spans="1:13" s="146" customFormat="1">
      <c r="A6373" s="193" t="s">
        <v>519</v>
      </c>
      <c r="B6373" s="210">
        <v>9</v>
      </c>
      <c r="C6373" s="191" t="str">
        <f>IF('IWP21'!E$485=0,"",'IWP21'!E$485)</f>
        <v>J. Billing Period Total</v>
      </c>
      <c r="D6373" s="211">
        <f>'IWP21'!G$485</f>
        <v>0</v>
      </c>
      <c r="E6373" s="211">
        <f>'IWP21'!H$485</f>
        <v>0</v>
      </c>
      <c r="F6373" s="211">
        <f>'IWP21'!I$485</f>
        <v>0</v>
      </c>
      <c r="G6373" s="191" t="str">
        <f>IF('IWP21'!J$485=0,"",'IWP21'!J$485)</f>
        <v/>
      </c>
      <c r="H6373" s="211">
        <f>'IWP21'!K$485</f>
        <v>0</v>
      </c>
      <c r="I6373" s="211">
        <f>'IWP21'!L$485</f>
        <v>0</v>
      </c>
      <c r="J6373" s="212">
        <f>'IWP21'!M$485</f>
        <v>0</v>
      </c>
      <c r="K6373" s="106"/>
      <c r="L6373" s="106"/>
      <c r="M6373" s="129"/>
    </row>
    <row r="6374" spans="1:13" s="146" customFormat="1">
      <c r="A6374" s="193" t="s">
        <v>519</v>
      </c>
      <c r="B6374" s="210">
        <v>9</v>
      </c>
      <c r="C6374" s="191" t="str">
        <f>IF('IWP21'!E$486=0,"",'IWP21'!E$486)</f>
        <v>D.</v>
      </c>
      <c r="D6374" s="211">
        <f>'IWP21'!G$486</f>
        <v>0</v>
      </c>
      <c r="E6374" s="211" t="str">
        <f>'IWP21'!H$486</f>
        <v>E.</v>
      </c>
      <c r="F6374" s="211" t="str">
        <f>'IWP21'!I$486</f>
        <v>F.</v>
      </c>
      <c r="G6374" s="191" t="str">
        <f>IF('IWP21'!J$486=0,"",'IWP21'!J$486)</f>
        <v>G.</v>
      </c>
      <c r="H6374" s="211">
        <f>'IWP21'!K$486</f>
        <v>0</v>
      </c>
      <c r="I6374" s="211" t="str">
        <f>'IWP21'!L$486</f>
        <v>H.</v>
      </c>
      <c r="J6374" s="212" t="str">
        <f>'IWP21'!M$486</f>
        <v>I.</v>
      </c>
      <c r="K6374" s="106"/>
      <c r="L6374" s="106"/>
      <c r="M6374" s="129"/>
    </row>
    <row r="6375" spans="1:13" s="146" customFormat="1">
      <c r="A6375" s="193" t="s">
        <v>519</v>
      </c>
      <c r="B6375" s="210">
        <v>9</v>
      </c>
      <c r="C6375" s="191" t="str">
        <f>IF('IWP21'!E$487=0,"",'IWP21'!E$487)</f>
        <v xml:space="preserve">Items/Services Related to Billing Period </v>
      </c>
      <c r="D6375" s="211">
        <f>'IWP21'!G$487</f>
        <v>0</v>
      </c>
      <c r="E6375" s="211" t="str">
        <f>'IWP21'!H$487</f>
        <v xml:space="preserve">Item/
Service Verified Amounts
</v>
      </c>
      <c r="F6375" s="211" t="str">
        <f>'IWP21'!I$487</f>
        <v>Amount Due to DADS (E. - D.)</v>
      </c>
      <c r="G6375" s="191" t="str">
        <f>IF('IWP21'!J$487=0,"",'IWP21'!J$487)</f>
        <v>Amount Reimbursed to 
Employee(s)/Employer</v>
      </c>
      <c r="H6375" s="211">
        <f>'IWP21'!K$487</f>
        <v>0</v>
      </c>
      <c r="I6375" s="211" t="str">
        <f>'IWP21'!L$487</f>
        <v>Amount Due to Employee(s) (G. - E.)</v>
      </c>
      <c r="J6375" s="212" t="str">
        <f>'IWP21'!M$487</f>
        <v>Amount Due to Employer (G. - E.)</v>
      </c>
      <c r="K6375" s="106"/>
      <c r="L6375" s="106"/>
      <c r="M6375" s="129"/>
    </row>
    <row r="6376" spans="1:13" s="146" customFormat="1">
      <c r="A6376" s="193" t="s">
        <v>519</v>
      </c>
      <c r="B6376" s="210">
        <v>9</v>
      </c>
      <c r="C6376" s="191" t="str">
        <f>IF('IWP21'!E$488=0,"",'IWP21'!E$488)</f>
        <v>Item/Service</v>
      </c>
      <c r="D6376" s="211" t="str">
        <f>'IWP21'!G$488</f>
        <v>Itemized Amount Paid by DADS</v>
      </c>
      <c r="E6376" s="211">
        <f>'IWP21'!H$488</f>
        <v>0</v>
      </c>
      <c r="F6376" s="211">
        <f>'IWP21'!I$488</f>
        <v>0</v>
      </c>
      <c r="G6376" s="191" t="str">
        <f>IF('IWP21'!J$488=0,"",'IWP21'!J$488)</f>
        <v/>
      </c>
      <c r="H6376" s="211">
        <f>'IWP21'!K$488</f>
        <v>0</v>
      </c>
      <c r="I6376" s="211">
        <f>'IWP21'!L$488</f>
        <v>0</v>
      </c>
      <c r="J6376" s="212">
        <f>'IWP21'!M$488</f>
        <v>0</v>
      </c>
      <c r="K6376" s="106"/>
      <c r="L6376" s="106"/>
      <c r="M6376" s="129"/>
    </row>
    <row r="6377" spans="1:13" s="146" customFormat="1">
      <c r="A6377" s="193" t="s">
        <v>519</v>
      </c>
      <c r="B6377" s="210">
        <v>9</v>
      </c>
      <c r="C6377" s="191" t="str">
        <f>IF('IWP21'!E$489=0,"",'IWP21'!E$489)</f>
        <v/>
      </c>
      <c r="D6377" s="211">
        <f>'IWP21'!G$489</f>
        <v>0</v>
      </c>
      <c r="E6377" s="211">
        <f>'IWP21'!H$489</f>
        <v>0</v>
      </c>
      <c r="F6377" s="211">
        <f>'IWP21'!I$489</f>
        <v>0</v>
      </c>
      <c r="G6377" s="191" t="str">
        <f>IF('IWP21'!J$489=0,"",'IWP21'!J$489)</f>
        <v/>
      </c>
      <c r="H6377" s="211">
        <f>'IWP21'!K$489</f>
        <v>0</v>
      </c>
      <c r="I6377" s="211">
        <f>'IWP21'!L$489</f>
        <v>0</v>
      </c>
      <c r="J6377" s="212">
        <f>'IWP21'!M$489</f>
        <v>0</v>
      </c>
      <c r="K6377" s="106"/>
      <c r="L6377" s="106"/>
      <c r="M6377" s="129"/>
    </row>
    <row r="6378" spans="1:13" s="146" customFormat="1">
      <c r="A6378" s="193" t="s">
        <v>519</v>
      </c>
      <c r="B6378" s="210">
        <v>9</v>
      </c>
      <c r="C6378" s="191" t="str">
        <f>IF('IWP21'!E$490=0,"",'IWP21'!E$490)</f>
        <v/>
      </c>
      <c r="D6378" s="211">
        <f>'IWP21'!G$490</f>
        <v>0</v>
      </c>
      <c r="E6378" s="211">
        <f>'IWP21'!H$490</f>
        <v>0</v>
      </c>
      <c r="F6378" s="211">
        <f>'IWP21'!I$490</f>
        <v>0</v>
      </c>
      <c r="G6378" s="191" t="str">
        <f>IF('IWP21'!J$490=0,"",'IWP21'!J$490)</f>
        <v/>
      </c>
      <c r="H6378" s="211">
        <f>'IWP21'!K$490</f>
        <v>0</v>
      </c>
      <c r="I6378" s="211">
        <f>'IWP21'!L$490</f>
        <v>0</v>
      </c>
      <c r="J6378" s="212">
        <f>'IWP21'!M$490</f>
        <v>0</v>
      </c>
      <c r="K6378" s="106"/>
      <c r="L6378" s="106"/>
      <c r="M6378" s="129"/>
    </row>
    <row r="6379" spans="1:13" s="146" customFormat="1">
      <c r="A6379" s="193" t="s">
        <v>519</v>
      </c>
      <c r="B6379" s="210">
        <v>9</v>
      </c>
      <c r="C6379" s="191" t="str">
        <f>IF('IWP21'!E$491=0,"",'IWP21'!E$491)</f>
        <v/>
      </c>
      <c r="D6379" s="211">
        <f>'IWP21'!G$491</f>
        <v>0</v>
      </c>
      <c r="E6379" s="211">
        <f>'IWP21'!H$491</f>
        <v>0</v>
      </c>
      <c r="F6379" s="211">
        <f>'IWP21'!I$491</f>
        <v>0</v>
      </c>
      <c r="G6379" s="191" t="str">
        <f>IF('IWP21'!J$491=0,"",'IWP21'!J$491)</f>
        <v/>
      </c>
      <c r="H6379" s="211">
        <f>'IWP21'!K$491</f>
        <v>0</v>
      </c>
      <c r="I6379" s="211">
        <f>'IWP21'!L$491</f>
        <v>0</v>
      </c>
      <c r="J6379" s="212">
        <f>'IWP21'!M$491</f>
        <v>0</v>
      </c>
      <c r="K6379" s="106"/>
      <c r="L6379" s="106"/>
      <c r="M6379" s="129"/>
    </row>
    <row r="6380" spans="1:13" s="146" customFormat="1">
      <c r="A6380" s="193" t="s">
        <v>519</v>
      </c>
      <c r="B6380" s="210">
        <v>9</v>
      </c>
      <c r="C6380" s="191" t="str">
        <f>IF('IWP21'!E$492=0,"",'IWP21'!E$492)</f>
        <v/>
      </c>
      <c r="D6380" s="211">
        <f>'IWP21'!G$492</f>
        <v>0</v>
      </c>
      <c r="E6380" s="211">
        <f>'IWP21'!H$492</f>
        <v>0</v>
      </c>
      <c r="F6380" s="211">
        <f>'IWP21'!I$492</f>
        <v>0</v>
      </c>
      <c r="G6380" s="191" t="str">
        <f>IF('IWP21'!J$492=0,"",'IWP21'!J$492)</f>
        <v/>
      </c>
      <c r="H6380" s="211">
        <f>'IWP21'!K$492</f>
        <v>0</v>
      </c>
      <c r="I6380" s="211">
        <f>'IWP21'!L$492</f>
        <v>0</v>
      </c>
      <c r="J6380" s="212">
        <f>'IWP21'!M$492</f>
        <v>0</v>
      </c>
      <c r="K6380" s="106"/>
      <c r="L6380" s="106"/>
      <c r="M6380" s="129"/>
    </row>
    <row r="6381" spans="1:13" s="146" customFormat="1">
      <c r="A6381" s="193" t="s">
        <v>519</v>
      </c>
      <c r="B6381" s="210">
        <v>10</v>
      </c>
      <c r="C6381" s="191" t="str">
        <f>IF('IWP21'!E$499=0,"",'IWP21'!E$499)</f>
        <v>Subtotal column D.</v>
      </c>
      <c r="D6381" s="211">
        <f>'IWP21'!G$499</f>
        <v>0</v>
      </c>
      <c r="E6381" s="211">
        <f>'IWP21'!H$499</f>
        <v>0</v>
      </c>
      <c r="F6381" s="211">
        <f>'IWP21'!I$499</f>
        <v>0</v>
      </c>
      <c r="G6381" s="191" t="str">
        <f>IF('IWP21'!J$499=0,"",'IWP21'!J$499)</f>
        <v/>
      </c>
      <c r="H6381" s="211">
        <f>'IWP21'!K$499</f>
        <v>0</v>
      </c>
      <c r="I6381" s="211">
        <f>'IWP21'!L$499</f>
        <v>0</v>
      </c>
      <c r="J6381" s="212">
        <f>'IWP21'!M$499</f>
        <v>0</v>
      </c>
      <c r="K6381" s="106"/>
      <c r="L6381" s="106"/>
      <c r="M6381" s="129"/>
    </row>
    <row r="6382" spans="1:13" s="146" customFormat="1">
      <c r="A6382" s="193" t="s">
        <v>519</v>
      </c>
      <c r="B6382" s="210">
        <v>10</v>
      </c>
      <c r="C6382" s="191" t="str">
        <f>IF('IWP21'!E$500=0,"",'IWP21'!E$500)</f>
        <v>Unverified/Undocumented (Subtotal D - C)</v>
      </c>
      <c r="D6382" s="211">
        <f>'IWP21'!G$500</f>
        <v>0</v>
      </c>
      <c r="E6382" s="211">
        <f>'IWP21'!H$500</f>
        <v>0</v>
      </c>
      <c r="F6382" s="211">
        <f>'IWP21'!I$500</f>
        <v>0</v>
      </c>
      <c r="G6382" s="191" t="str">
        <f>IF('IWP21'!J$500=0,"",'IWP21'!J$500)</f>
        <v/>
      </c>
      <c r="H6382" s="211">
        <f>'IWP21'!K$500</f>
        <v>0</v>
      </c>
      <c r="I6382" s="211">
        <f>'IWP21'!L$500</f>
        <v>0</v>
      </c>
      <c r="J6382" s="212">
        <f>'IWP21'!M$500</f>
        <v>0</v>
      </c>
      <c r="K6382" s="106"/>
      <c r="L6382" s="106"/>
      <c r="M6382" s="129"/>
    </row>
    <row r="6383" spans="1:13" s="146" customFormat="1">
      <c r="A6383" s="193" t="s">
        <v>519</v>
      </c>
      <c r="B6383" s="210">
        <v>10</v>
      </c>
      <c r="C6383" s="191" t="str">
        <f>IF('IWP21'!E$501=0,"",'IWP21'!E$501)</f>
        <v>J. Billing Period Total</v>
      </c>
      <c r="D6383" s="211">
        <f>'IWP21'!G$501</f>
        <v>0</v>
      </c>
      <c r="E6383" s="211">
        <f>'IWP21'!H$501</f>
        <v>0</v>
      </c>
      <c r="F6383" s="211">
        <f>'IWP21'!I$501</f>
        <v>0</v>
      </c>
      <c r="G6383" s="191" t="str">
        <f>IF('IWP21'!J$501=0,"",'IWP21'!J$501)</f>
        <v/>
      </c>
      <c r="H6383" s="211">
        <f>'IWP21'!K$501</f>
        <v>0</v>
      </c>
      <c r="I6383" s="211">
        <f>'IWP21'!L$501</f>
        <v>0</v>
      </c>
      <c r="J6383" s="212">
        <f>'IWP21'!M$501</f>
        <v>0</v>
      </c>
      <c r="K6383" s="106"/>
      <c r="L6383" s="106"/>
      <c r="M6383" s="129"/>
    </row>
    <row r="6384" spans="1:13" s="146" customFormat="1">
      <c r="A6384" s="193" t="s">
        <v>519</v>
      </c>
      <c r="B6384" s="210">
        <v>10</v>
      </c>
      <c r="C6384" s="191" t="str">
        <f>IF('IWP21'!E$502=0,"",'IWP21'!E$502)</f>
        <v>D.</v>
      </c>
      <c r="D6384" s="211">
        <f>'IWP21'!G$502</f>
        <v>0</v>
      </c>
      <c r="E6384" s="211" t="str">
        <f>'IWP21'!H$502</f>
        <v>E.</v>
      </c>
      <c r="F6384" s="211" t="str">
        <f>'IWP21'!I$502</f>
        <v>F.</v>
      </c>
      <c r="G6384" s="191" t="str">
        <f>IF('IWP21'!J$502=0,"",'IWP21'!J$502)</f>
        <v>G.</v>
      </c>
      <c r="H6384" s="211">
        <f>'IWP21'!K$502</f>
        <v>0</v>
      </c>
      <c r="I6384" s="211" t="str">
        <f>'IWP21'!L$502</f>
        <v>H.</v>
      </c>
      <c r="J6384" s="212" t="str">
        <f>'IWP21'!M$502</f>
        <v>I.</v>
      </c>
      <c r="K6384" s="106"/>
      <c r="L6384" s="106"/>
      <c r="M6384" s="129"/>
    </row>
    <row r="6385" spans="1:13" s="146" customFormat="1">
      <c r="A6385" s="193" t="s">
        <v>519</v>
      </c>
      <c r="B6385" s="210">
        <v>10</v>
      </c>
      <c r="C6385" s="191" t="str">
        <f>IF('IWP21'!E$503=0,"",'IWP21'!E$503)</f>
        <v xml:space="preserve">Items/Services Related to Billing Period </v>
      </c>
      <c r="D6385" s="211">
        <f>'IWP21'!G$503</f>
        <v>0</v>
      </c>
      <c r="E6385" s="211" t="str">
        <f>'IWP21'!H$503</f>
        <v xml:space="preserve">Item/
Service Verified Amounts
</v>
      </c>
      <c r="F6385" s="211" t="str">
        <f>'IWP21'!I$503</f>
        <v>Amount Due to DADS (E. - D.)</v>
      </c>
      <c r="G6385" s="191" t="str">
        <f>IF('IWP21'!J$503=0,"",'IWP21'!J$503)</f>
        <v>Amount Reimbursed to 
Employee(s)/Employer</v>
      </c>
      <c r="H6385" s="211">
        <f>'IWP21'!K$503</f>
        <v>0</v>
      </c>
      <c r="I6385" s="211" t="str">
        <f>'IWP21'!L$503</f>
        <v>Amount Due to Employee(s) (G. - E.)</v>
      </c>
      <c r="J6385" s="212" t="str">
        <f>'IWP21'!M$503</f>
        <v>Amount Due to Employer (G. - E.)</v>
      </c>
      <c r="K6385" s="106"/>
      <c r="L6385" s="106"/>
      <c r="M6385" s="129"/>
    </row>
    <row r="6386" spans="1:13" s="146" customFormat="1">
      <c r="A6386" s="193" t="s">
        <v>519</v>
      </c>
      <c r="B6386" s="210">
        <v>10</v>
      </c>
      <c r="C6386" s="191" t="str">
        <f>IF('IWP21'!E$504=0,"",'IWP21'!E$504)</f>
        <v>Item/Service</v>
      </c>
      <c r="D6386" s="211" t="str">
        <f>'IWP21'!G$504</f>
        <v>Itemized Amount Paid by DADS</v>
      </c>
      <c r="E6386" s="211">
        <f>'IWP21'!H$504</f>
        <v>0</v>
      </c>
      <c r="F6386" s="211">
        <f>'IWP21'!I$504</f>
        <v>0</v>
      </c>
      <c r="G6386" s="191" t="str">
        <f>IF('IWP21'!J$504=0,"",'IWP21'!J$504)</f>
        <v/>
      </c>
      <c r="H6386" s="211">
        <f>'IWP21'!K$504</f>
        <v>0</v>
      </c>
      <c r="I6386" s="211">
        <f>'IWP21'!L$504</f>
        <v>0</v>
      </c>
      <c r="J6386" s="212">
        <f>'IWP21'!M$504</f>
        <v>0</v>
      </c>
      <c r="K6386" s="106"/>
      <c r="L6386" s="106"/>
      <c r="M6386" s="129"/>
    </row>
    <row r="6387" spans="1:13" s="146" customFormat="1">
      <c r="A6387" s="193" t="s">
        <v>519</v>
      </c>
      <c r="B6387" s="210">
        <v>10</v>
      </c>
      <c r="C6387" s="191" t="str">
        <f>IF('IWP21'!E$505=0,"",'IWP21'!E$505)</f>
        <v/>
      </c>
      <c r="D6387" s="211">
        <f>'IWP21'!G$505</f>
        <v>0</v>
      </c>
      <c r="E6387" s="211">
        <f>'IWP21'!H$505</f>
        <v>0</v>
      </c>
      <c r="F6387" s="211">
        <f>'IWP21'!I$505</f>
        <v>0</v>
      </c>
      <c r="G6387" s="191" t="str">
        <f>IF('IWP21'!J$505=0,"",'IWP21'!J$505)</f>
        <v/>
      </c>
      <c r="H6387" s="211">
        <f>'IWP21'!K$505</f>
        <v>0</v>
      </c>
      <c r="I6387" s="211">
        <f>'IWP21'!L$505</f>
        <v>0</v>
      </c>
      <c r="J6387" s="212">
        <f>'IWP21'!M$505</f>
        <v>0</v>
      </c>
      <c r="K6387" s="106"/>
      <c r="L6387" s="106"/>
      <c r="M6387" s="129"/>
    </row>
    <row r="6388" spans="1:13" s="146" customFormat="1">
      <c r="A6388" s="193" t="s">
        <v>519</v>
      </c>
      <c r="B6388" s="210">
        <v>10</v>
      </c>
      <c r="C6388" s="191" t="str">
        <f>IF('IWP21'!E$506=0,"",'IWP21'!E$506)</f>
        <v/>
      </c>
      <c r="D6388" s="211">
        <f>'IWP21'!G$506</f>
        <v>0</v>
      </c>
      <c r="E6388" s="211">
        <f>'IWP21'!H$506</f>
        <v>0</v>
      </c>
      <c r="F6388" s="211">
        <f>'IWP21'!I$506</f>
        <v>0</v>
      </c>
      <c r="G6388" s="191" t="str">
        <f>IF('IWP21'!J$506=0,"",'IWP21'!J$506)</f>
        <v/>
      </c>
      <c r="H6388" s="211">
        <f>'IWP21'!K$506</f>
        <v>0</v>
      </c>
      <c r="I6388" s="211">
        <f>'IWP21'!L$506</f>
        <v>0</v>
      </c>
      <c r="J6388" s="212">
        <f>'IWP21'!M$506</f>
        <v>0</v>
      </c>
      <c r="K6388" s="106"/>
      <c r="L6388" s="106"/>
      <c r="M6388" s="129"/>
    </row>
    <row r="6389" spans="1:13" s="146" customFormat="1">
      <c r="A6389" s="193" t="s">
        <v>519</v>
      </c>
      <c r="B6389" s="210">
        <v>10</v>
      </c>
      <c r="C6389" s="191" t="str">
        <f>IF('IWP21'!E$507=0,"",'IWP21'!E$507)</f>
        <v/>
      </c>
      <c r="D6389" s="211">
        <f>'IWP21'!G$507</f>
        <v>0</v>
      </c>
      <c r="E6389" s="211">
        <f>'IWP21'!H$507</f>
        <v>0</v>
      </c>
      <c r="F6389" s="211">
        <f>'IWP21'!I$507</f>
        <v>0</v>
      </c>
      <c r="G6389" s="191" t="str">
        <f>IF('IWP21'!J$507=0,"",'IWP21'!J$507)</f>
        <v/>
      </c>
      <c r="H6389" s="211">
        <f>'IWP21'!K$507</f>
        <v>0</v>
      </c>
      <c r="I6389" s="211">
        <f>'IWP21'!L$507</f>
        <v>0</v>
      </c>
      <c r="J6389" s="212">
        <f>'IWP21'!M$507</f>
        <v>0</v>
      </c>
      <c r="K6389" s="106"/>
      <c r="L6389" s="106"/>
      <c r="M6389" s="129"/>
    </row>
    <row r="6390" spans="1:13" s="146" customFormat="1">
      <c r="A6390" s="193" t="s">
        <v>519</v>
      </c>
      <c r="B6390" s="210">
        <v>10</v>
      </c>
      <c r="C6390" s="191" t="str">
        <f>IF('IWP21'!E$508=0,"",'IWP21'!E$508)</f>
        <v/>
      </c>
      <c r="D6390" s="211">
        <f>'IWP21'!G$508</f>
        <v>0</v>
      </c>
      <c r="E6390" s="211">
        <f>'IWP21'!H$508</f>
        <v>0</v>
      </c>
      <c r="F6390" s="211">
        <f>'IWP21'!I$508</f>
        <v>0</v>
      </c>
      <c r="G6390" s="191" t="str">
        <f>IF('IWP21'!J$508=0,"",'IWP21'!J$508)</f>
        <v/>
      </c>
      <c r="H6390" s="211">
        <f>'IWP21'!K$508</f>
        <v>0</v>
      </c>
      <c r="I6390" s="211">
        <f>'IWP21'!L$508</f>
        <v>0</v>
      </c>
      <c r="J6390" s="212">
        <f>'IWP21'!M$508</f>
        <v>0</v>
      </c>
      <c r="K6390" s="106"/>
      <c r="L6390" s="106"/>
      <c r="M6390" s="129"/>
    </row>
    <row r="6391" spans="1:13" s="146" customFormat="1">
      <c r="A6391" s="193" t="s">
        <v>519</v>
      </c>
      <c r="B6391" s="210">
        <v>11</v>
      </c>
      <c r="C6391" s="191" t="str">
        <f>IF('IWP21'!E$515=0,"",'IWP21'!E$515)</f>
        <v>Subtotal column D.</v>
      </c>
      <c r="D6391" s="211">
        <f>'IWP21'!G$515</f>
        <v>0</v>
      </c>
      <c r="E6391" s="211">
        <f>'IWP21'!H$515</f>
        <v>0</v>
      </c>
      <c r="F6391" s="211">
        <f>'IWP21'!I$515</f>
        <v>0</v>
      </c>
      <c r="G6391" s="191" t="str">
        <f>IF('IWP21'!J$515=0,"",'IWP21'!J$515)</f>
        <v/>
      </c>
      <c r="H6391" s="211">
        <f>'IWP21'!K$515</f>
        <v>0</v>
      </c>
      <c r="I6391" s="211">
        <f>'IWP21'!L$515</f>
        <v>0</v>
      </c>
      <c r="J6391" s="212">
        <f>'IWP21'!M$515</f>
        <v>0</v>
      </c>
      <c r="K6391" s="106"/>
      <c r="L6391" s="106"/>
      <c r="M6391" s="129"/>
    </row>
    <row r="6392" spans="1:13" s="146" customFormat="1">
      <c r="A6392" s="193" t="s">
        <v>519</v>
      </c>
      <c r="B6392" s="210">
        <v>11</v>
      </c>
      <c r="C6392" s="191" t="str">
        <f>IF('IWP21'!E$516=0,"",'IWP21'!E$516)</f>
        <v>Unverified/Undocumented (Subtotal D - C)</v>
      </c>
      <c r="D6392" s="211">
        <f>'IWP21'!G$516</f>
        <v>0</v>
      </c>
      <c r="E6392" s="211">
        <f>'IWP21'!H$516</f>
        <v>0</v>
      </c>
      <c r="F6392" s="211">
        <f>'IWP21'!I$516</f>
        <v>0</v>
      </c>
      <c r="G6392" s="191" t="str">
        <f>IF('IWP21'!J$516=0,"",'IWP21'!J$516)</f>
        <v/>
      </c>
      <c r="H6392" s="211">
        <f>'IWP21'!K$516</f>
        <v>0</v>
      </c>
      <c r="I6392" s="211">
        <f>'IWP21'!L$516</f>
        <v>0</v>
      </c>
      <c r="J6392" s="212">
        <f>'IWP21'!M$516</f>
        <v>0</v>
      </c>
      <c r="K6392" s="106"/>
      <c r="L6392" s="106"/>
      <c r="M6392" s="129"/>
    </row>
    <row r="6393" spans="1:13" s="146" customFormat="1">
      <c r="A6393" s="193" t="s">
        <v>519</v>
      </c>
      <c r="B6393" s="210">
        <v>11</v>
      </c>
      <c r="C6393" s="191" t="str">
        <f>IF('IWP21'!E$517=0,"",'IWP21'!E$517)</f>
        <v>J. Billing Period Total</v>
      </c>
      <c r="D6393" s="211">
        <f>'IWP21'!G$517</f>
        <v>0</v>
      </c>
      <c r="E6393" s="211">
        <f>'IWP21'!H$517</f>
        <v>0</v>
      </c>
      <c r="F6393" s="211">
        <f>'IWP21'!I$517</f>
        <v>0</v>
      </c>
      <c r="G6393" s="191" t="str">
        <f>IF('IWP21'!J$517=0,"",'IWP21'!J$517)</f>
        <v/>
      </c>
      <c r="H6393" s="211">
        <f>'IWP21'!K$517</f>
        <v>0</v>
      </c>
      <c r="I6393" s="211">
        <f>'IWP21'!L$517</f>
        <v>0</v>
      </c>
      <c r="J6393" s="212">
        <f>'IWP21'!M$517</f>
        <v>0</v>
      </c>
      <c r="K6393" s="106"/>
      <c r="L6393" s="106"/>
      <c r="M6393" s="129"/>
    </row>
    <row r="6394" spans="1:13" s="146" customFormat="1">
      <c r="A6394" s="193" t="s">
        <v>519</v>
      </c>
      <c r="B6394" s="210">
        <v>11</v>
      </c>
      <c r="C6394" s="191" t="str">
        <f>IF('IWP21'!E$518=0,"",'IWP21'!E$518)</f>
        <v>D.</v>
      </c>
      <c r="D6394" s="211">
        <f>'IWP21'!G$518</f>
        <v>0</v>
      </c>
      <c r="E6394" s="211" t="str">
        <f>'IWP21'!H$518</f>
        <v>E.</v>
      </c>
      <c r="F6394" s="211" t="str">
        <f>'IWP21'!I$518</f>
        <v>F.</v>
      </c>
      <c r="G6394" s="191" t="str">
        <f>IF('IWP21'!J$518=0,"",'IWP21'!J$518)</f>
        <v>G.</v>
      </c>
      <c r="H6394" s="211">
        <f>'IWP21'!K$518</f>
        <v>0</v>
      </c>
      <c r="I6394" s="211" t="str">
        <f>'IWP21'!L$518</f>
        <v>H.</v>
      </c>
      <c r="J6394" s="212" t="str">
        <f>'IWP21'!M$518</f>
        <v>I.</v>
      </c>
      <c r="K6394" s="106"/>
      <c r="L6394" s="106"/>
      <c r="M6394" s="129"/>
    </row>
    <row r="6395" spans="1:13" s="146" customFormat="1">
      <c r="A6395" s="193" t="s">
        <v>519</v>
      </c>
      <c r="B6395" s="210">
        <v>11</v>
      </c>
      <c r="C6395" s="191" t="str">
        <f>IF('IWP21'!E$519=0,"",'IWP21'!E$519)</f>
        <v xml:space="preserve">Items/Services Related to Billing Period </v>
      </c>
      <c r="D6395" s="211">
        <f>'IWP21'!G$519</f>
        <v>0</v>
      </c>
      <c r="E6395" s="211" t="str">
        <f>'IWP21'!H$519</f>
        <v xml:space="preserve">Item/
Service Verified Amounts
</v>
      </c>
      <c r="F6395" s="211" t="str">
        <f>'IWP21'!I$519</f>
        <v>Amount Due to DADS (E. - D.)</v>
      </c>
      <c r="G6395" s="191" t="str">
        <f>IF('IWP21'!J$519=0,"",'IWP21'!J$519)</f>
        <v>Amount Reimbursed to 
Employee(s)/Employer</v>
      </c>
      <c r="H6395" s="211">
        <f>'IWP21'!K$519</f>
        <v>0</v>
      </c>
      <c r="I6395" s="211" t="str">
        <f>'IWP21'!L$519</f>
        <v>Amount Due to Employee(s) (G. - E.)</v>
      </c>
      <c r="J6395" s="212" t="str">
        <f>'IWP21'!M$519</f>
        <v>Amount Due to Employer (G. - E.)</v>
      </c>
      <c r="K6395" s="106"/>
      <c r="L6395" s="106"/>
      <c r="M6395" s="129"/>
    </row>
    <row r="6396" spans="1:13" s="146" customFormat="1">
      <c r="A6396" s="193" t="s">
        <v>519</v>
      </c>
      <c r="B6396" s="210">
        <v>11</v>
      </c>
      <c r="C6396" s="191" t="str">
        <f>IF('IWP21'!E$520=0,"",'IWP21'!E$520)</f>
        <v>Item/Service</v>
      </c>
      <c r="D6396" s="211" t="str">
        <f>'IWP21'!G$520</f>
        <v>Itemized Amount Paid by DADS</v>
      </c>
      <c r="E6396" s="211">
        <f>'IWP21'!H$520</f>
        <v>0</v>
      </c>
      <c r="F6396" s="211">
        <f>'IWP21'!I$520</f>
        <v>0</v>
      </c>
      <c r="G6396" s="191" t="str">
        <f>IF('IWP21'!J$520=0,"",'IWP21'!J$520)</f>
        <v/>
      </c>
      <c r="H6396" s="211">
        <f>'IWP21'!K$520</f>
        <v>0</v>
      </c>
      <c r="I6396" s="211">
        <f>'IWP21'!L$520</f>
        <v>0</v>
      </c>
      <c r="J6396" s="212">
        <f>'IWP21'!M$520</f>
        <v>0</v>
      </c>
      <c r="K6396" s="106"/>
      <c r="L6396" s="106"/>
      <c r="M6396" s="129"/>
    </row>
    <row r="6397" spans="1:13" s="146" customFormat="1">
      <c r="A6397" s="193" t="s">
        <v>519</v>
      </c>
      <c r="B6397" s="210">
        <v>11</v>
      </c>
      <c r="C6397" s="191" t="str">
        <f>IF('IWP21'!E$521=0,"",'IWP21'!E$521)</f>
        <v/>
      </c>
      <c r="D6397" s="211">
        <f>'IWP21'!G$521</f>
        <v>0</v>
      </c>
      <c r="E6397" s="211">
        <f>'IWP21'!H$521</f>
        <v>0</v>
      </c>
      <c r="F6397" s="211">
        <f>'IWP21'!I$521</f>
        <v>0</v>
      </c>
      <c r="G6397" s="191" t="str">
        <f>IF('IWP21'!J$521=0,"",'IWP21'!J$521)</f>
        <v/>
      </c>
      <c r="H6397" s="211">
        <f>'IWP21'!K$521</f>
        <v>0</v>
      </c>
      <c r="I6397" s="211">
        <f>'IWP21'!L$521</f>
        <v>0</v>
      </c>
      <c r="J6397" s="212">
        <f>'IWP21'!M$521</f>
        <v>0</v>
      </c>
      <c r="K6397" s="106"/>
      <c r="L6397" s="106"/>
      <c r="M6397" s="129"/>
    </row>
    <row r="6398" spans="1:13" s="146" customFormat="1">
      <c r="A6398" s="193" t="s">
        <v>519</v>
      </c>
      <c r="B6398" s="210">
        <v>11</v>
      </c>
      <c r="C6398" s="191" t="str">
        <f>IF('IWP21'!E$522=0,"",'IWP21'!E$522)</f>
        <v/>
      </c>
      <c r="D6398" s="211">
        <f>'IWP21'!G$522</f>
        <v>0</v>
      </c>
      <c r="E6398" s="211">
        <f>'IWP21'!H$522</f>
        <v>0</v>
      </c>
      <c r="F6398" s="211">
        <f>'IWP21'!I$522</f>
        <v>0</v>
      </c>
      <c r="G6398" s="191" t="str">
        <f>IF('IWP21'!J$522=0,"",'IWP21'!J$522)</f>
        <v/>
      </c>
      <c r="H6398" s="211">
        <f>'IWP21'!K$522</f>
        <v>0</v>
      </c>
      <c r="I6398" s="211">
        <f>'IWP21'!L$522</f>
        <v>0</v>
      </c>
      <c r="J6398" s="212">
        <f>'IWP21'!M$522</f>
        <v>0</v>
      </c>
      <c r="K6398" s="106"/>
      <c r="L6398" s="106"/>
      <c r="M6398" s="129"/>
    </row>
    <row r="6399" spans="1:13" s="146" customFormat="1">
      <c r="A6399" s="193" t="s">
        <v>519</v>
      </c>
      <c r="B6399" s="210">
        <v>11</v>
      </c>
      <c r="C6399" s="191" t="str">
        <f>IF('IWP21'!E$523=0,"",'IWP21'!E$523)</f>
        <v/>
      </c>
      <c r="D6399" s="211">
        <f>'IWP21'!G$523</f>
        <v>0</v>
      </c>
      <c r="E6399" s="211">
        <f>'IWP21'!H$523</f>
        <v>0</v>
      </c>
      <c r="F6399" s="211">
        <f>'IWP21'!I$523</f>
        <v>0</v>
      </c>
      <c r="G6399" s="191" t="str">
        <f>IF('IWP21'!J$523=0,"",'IWP21'!J$523)</f>
        <v/>
      </c>
      <c r="H6399" s="211">
        <f>'IWP21'!K$523</f>
        <v>0</v>
      </c>
      <c r="I6399" s="211">
        <f>'IWP21'!L$523</f>
        <v>0</v>
      </c>
      <c r="J6399" s="212">
        <f>'IWP21'!M$523</f>
        <v>0</v>
      </c>
      <c r="K6399" s="106"/>
      <c r="L6399" s="106"/>
      <c r="M6399" s="129"/>
    </row>
    <row r="6400" spans="1:13" s="146" customFormat="1">
      <c r="A6400" s="193" t="s">
        <v>519</v>
      </c>
      <c r="B6400" s="210">
        <v>11</v>
      </c>
      <c r="C6400" s="191" t="str">
        <f>IF('IWP21'!E$524=0,"",'IWP21'!E$524)</f>
        <v/>
      </c>
      <c r="D6400" s="211">
        <f>'IWP21'!G$524</f>
        <v>0</v>
      </c>
      <c r="E6400" s="211">
        <f>'IWP21'!H$524</f>
        <v>0</v>
      </c>
      <c r="F6400" s="211">
        <f>'IWP21'!I$524</f>
        <v>0</v>
      </c>
      <c r="G6400" s="191" t="str">
        <f>IF('IWP21'!J$524=0,"",'IWP21'!J$524)</f>
        <v/>
      </c>
      <c r="H6400" s="211">
        <f>'IWP21'!K$524</f>
        <v>0</v>
      </c>
      <c r="I6400" s="211">
        <f>'IWP21'!L$524</f>
        <v>0</v>
      </c>
      <c r="J6400" s="212">
        <f>'IWP21'!M$524</f>
        <v>0</v>
      </c>
      <c r="K6400" s="106"/>
      <c r="L6400" s="106"/>
      <c r="M6400" s="129"/>
    </row>
    <row r="6401" spans="1:13" s="146" customFormat="1">
      <c r="A6401" s="193" t="s">
        <v>519</v>
      </c>
      <c r="B6401" s="210">
        <v>12</v>
      </c>
      <c r="C6401" s="191" t="str">
        <f>IF('IWP21'!E$531=0,"",'IWP21'!E$531)</f>
        <v>Subtotal column D.</v>
      </c>
      <c r="D6401" s="211">
        <f>'IWP21'!G$531</f>
        <v>0</v>
      </c>
      <c r="E6401" s="211">
        <f>'IWP21'!H$531</f>
        <v>0</v>
      </c>
      <c r="F6401" s="211">
        <f>'IWP21'!I$531</f>
        <v>0</v>
      </c>
      <c r="G6401" s="191" t="str">
        <f>IF('IWP21'!J$531=0,"",'IWP21'!J$531)</f>
        <v/>
      </c>
      <c r="H6401" s="211">
        <f>'IWP21'!K$531</f>
        <v>0</v>
      </c>
      <c r="I6401" s="211">
        <f>'IWP21'!L$531</f>
        <v>0</v>
      </c>
      <c r="J6401" s="212">
        <f>'IWP21'!M$531</f>
        <v>0</v>
      </c>
      <c r="K6401" s="106"/>
      <c r="L6401" s="106"/>
      <c r="M6401" s="129"/>
    </row>
    <row r="6402" spans="1:13" s="146" customFormat="1">
      <c r="A6402" s="193" t="s">
        <v>519</v>
      </c>
      <c r="B6402" s="210">
        <v>12</v>
      </c>
      <c r="C6402" s="191" t="str">
        <f>IF('IWP21'!E$532=0,"",'IWP21'!E$532)</f>
        <v>Unverified/Undocumented (Subtotal D - C)</v>
      </c>
      <c r="D6402" s="211">
        <f>'IWP21'!G$532</f>
        <v>0</v>
      </c>
      <c r="E6402" s="211">
        <f>'IWP21'!H$532</f>
        <v>0</v>
      </c>
      <c r="F6402" s="211">
        <f>'IWP21'!I$532</f>
        <v>0</v>
      </c>
      <c r="G6402" s="191" t="str">
        <f>IF('IWP21'!J$532=0,"",'IWP21'!J$532)</f>
        <v/>
      </c>
      <c r="H6402" s="211">
        <f>'IWP21'!K$532</f>
        <v>0</v>
      </c>
      <c r="I6402" s="211">
        <f>'IWP21'!L$532</f>
        <v>0</v>
      </c>
      <c r="J6402" s="212">
        <f>'IWP21'!M$532</f>
        <v>0</v>
      </c>
      <c r="K6402" s="106"/>
      <c r="L6402" s="106"/>
      <c r="M6402" s="129"/>
    </row>
    <row r="6403" spans="1:13" s="146" customFormat="1">
      <c r="A6403" s="193" t="s">
        <v>519</v>
      </c>
      <c r="B6403" s="210">
        <v>12</v>
      </c>
      <c r="C6403" s="191" t="str">
        <f>IF('IWP21'!E$533=0,"",'IWP21'!E$533)</f>
        <v>J. Billing Period Total</v>
      </c>
      <c r="D6403" s="211">
        <f>'IWP21'!G$533</f>
        <v>0</v>
      </c>
      <c r="E6403" s="211">
        <f>'IWP21'!H$533</f>
        <v>0</v>
      </c>
      <c r="F6403" s="211">
        <f>'IWP21'!I$533</f>
        <v>0</v>
      </c>
      <c r="G6403" s="191" t="str">
        <f>IF('IWP21'!J$533=0,"",'IWP21'!J$533)</f>
        <v/>
      </c>
      <c r="H6403" s="211">
        <f>'IWP21'!K$533</f>
        <v>0</v>
      </c>
      <c r="I6403" s="211">
        <f>'IWP21'!L$533</f>
        <v>0</v>
      </c>
      <c r="J6403" s="212">
        <f>'IWP21'!M$533</f>
        <v>0</v>
      </c>
      <c r="K6403" s="106"/>
      <c r="L6403" s="106"/>
      <c r="M6403" s="129"/>
    </row>
    <row r="6404" spans="1:13" s="146" customFormat="1">
      <c r="A6404" s="193" t="s">
        <v>519</v>
      </c>
      <c r="B6404" s="210">
        <v>12</v>
      </c>
      <c r="C6404" s="191" t="str">
        <f>IF('IWP21'!E$534=0,"",'IWP21'!E$534)</f>
        <v>D.</v>
      </c>
      <c r="D6404" s="211">
        <f>'IWP21'!G$534</f>
        <v>0</v>
      </c>
      <c r="E6404" s="211" t="str">
        <f>'IWP21'!H$534</f>
        <v>E.</v>
      </c>
      <c r="F6404" s="211" t="str">
        <f>'IWP21'!I$534</f>
        <v>F.</v>
      </c>
      <c r="G6404" s="191" t="str">
        <f>IF('IWP21'!J$534=0,"",'IWP21'!J$534)</f>
        <v>G.</v>
      </c>
      <c r="H6404" s="211">
        <f>'IWP21'!K$534</f>
        <v>0</v>
      </c>
      <c r="I6404" s="211" t="str">
        <f>'IWP21'!L$534</f>
        <v>H.</v>
      </c>
      <c r="J6404" s="212" t="str">
        <f>'IWP21'!M$534</f>
        <v>I.</v>
      </c>
      <c r="K6404" s="106"/>
      <c r="L6404" s="106"/>
      <c r="M6404" s="129"/>
    </row>
    <row r="6405" spans="1:13" s="146" customFormat="1">
      <c r="A6405" s="193" t="s">
        <v>519</v>
      </c>
      <c r="B6405" s="210">
        <v>12</v>
      </c>
      <c r="C6405" s="191" t="str">
        <f>IF('IWP21'!E$535=0,"",'IWP21'!E$535)</f>
        <v xml:space="preserve">Items/Services Related to Billing Period </v>
      </c>
      <c r="D6405" s="211">
        <f>'IWP21'!G$535</f>
        <v>0</v>
      </c>
      <c r="E6405" s="211" t="str">
        <f>'IWP21'!H$535</f>
        <v xml:space="preserve">Item/
Service Verified Amounts
</v>
      </c>
      <c r="F6405" s="211" t="str">
        <f>'IWP21'!I$535</f>
        <v>Amount Due to DADS (E. - D.)</v>
      </c>
      <c r="G6405" s="191" t="str">
        <f>IF('IWP21'!J$535=0,"",'IWP21'!J$535)</f>
        <v>Amount Reimbursed to 
Employee(s)/Employer</v>
      </c>
      <c r="H6405" s="211">
        <f>'IWP21'!K$535</f>
        <v>0</v>
      </c>
      <c r="I6405" s="211" t="str">
        <f>'IWP21'!L$535</f>
        <v>Amount Due to Employee(s) (G. - E.)</v>
      </c>
      <c r="J6405" s="212" t="str">
        <f>'IWP21'!M$535</f>
        <v>Amount Due to Employer (G. - E.)</v>
      </c>
      <c r="K6405" s="106"/>
      <c r="L6405" s="106"/>
      <c r="M6405" s="129"/>
    </row>
    <row r="6406" spans="1:13" s="146" customFormat="1">
      <c r="A6406" s="193" t="s">
        <v>519</v>
      </c>
      <c r="B6406" s="210">
        <v>12</v>
      </c>
      <c r="C6406" s="191" t="str">
        <f>IF('IWP21'!E$536=0,"",'IWP21'!E$536)</f>
        <v>Item/Service</v>
      </c>
      <c r="D6406" s="211" t="str">
        <f>'IWP21'!G$536</f>
        <v>Itemized Amount Paid by DADS</v>
      </c>
      <c r="E6406" s="211">
        <f>'IWP21'!H$536</f>
        <v>0</v>
      </c>
      <c r="F6406" s="211">
        <f>'IWP21'!I$536</f>
        <v>0</v>
      </c>
      <c r="G6406" s="191" t="str">
        <f>IF('IWP21'!J$536=0,"",'IWP21'!J$536)</f>
        <v/>
      </c>
      <c r="H6406" s="211">
        <f>'IWP21'!K$536</f>
        <v>0</v>
      </c>
      <c r="I6406" s="211">
        <f>'IWP21'!L$536</f>
        <v>0</v>
      </c>
      <c r="J6406" s="212">
        <f>'IWP21'!M$536</f>
        <v>0</v>
      </c>
      <c r="K6406" s="106"/>
      <c r="L6406" s="106"/>
      <c r="M6406" s="129"/>
    </row>
    <row r="6407" spans="1:13" s="146" customFormat="1">
      <c r="A6407" s="193" t="s">
        <v>519</v>
      </c>
      <c r="B6407" s="210">
        <v>12</v>
      </c>
      <c r="C6407" s="191" t="str">
        <f>IF('IWP21'!E$537=0,"",'IWP21'!E$537)</f>
        <v/>
      </c>
      <c r="D6407" s="211">
        <f>'IWP21'!G$537</f>
        <v>0</v>
      </c>
      <c r="E6407" s="211">
        <f>'IWP21'!H$537</f>
        <v>0</v>
      </c>
      <c r="F6407" s="211">
        <f>'IWP21'!I$537</f>
        <v>0</v>
      </c>
      <c r="G6407" s="191" t="str">
        <f>IF('IWP21'!J$537=0,"",'IWP21'!J$537)</f>
        <v/>
      </c>
      <c r="H6407" s="211">
        <f>'IWP21'!K$537</f>
        <v>0</v>
      </c>
      <c r="I6407" s="211">
        <f>'IWP21'!L$537</f>
        <v>0</v>
      </c>
      <c r="J6407" s="212">
        <f>'IWP21'!M$537</f>
        <v>0</v>
      </c>
      <c r="K6407" s="106"/>
      <c r="L6407" s="106"/>
      <c r="M6407" s="129"/>
    </row>
    <row r="6408" spans="1:13" s="146" customFormat="1">
      <c r="A6408" s="193" t="s">
        <v>519</v>
      </c>
      <c r="B6408" s="210">
        <v>12</v>
      </c>
      <c r="C6408" s="191" t="str">
        <f>IF('IWP21'!E$538=0,"",'IWP21'!E$538)</f>
        <v/>
      </c>
      <c r="D6408" s="211">
        <f>'IWP21'!G$538</f>
        <v>0</v>
      </c>
      <c r="E6408" s="211">
        <f>'IWP21'!H$538</f>
        <v>0</v>
      </c>
      <c r="F6408" s="211">
        <f>'IWP21'!I$538</f>
        <v>0</v>
      </c>
      <c r="G6408" s="191" t="str">
        <f>IF('IWP21'!J$538=0,"",'IWP21'!J$538)</f>
        <v/>
      </c>
      <c r="H6408" s="211">
        <f>'IWP21'!K$538</f>
        <v>0</v>
      </c>
      <c r="I6408" s="211">
        <f>'IWP21'!L$538</f>
        <v>0</v>
      </c>
      <c r="J6408" s="212">
        <f>'IWP21'!M$538</f>
        <v>0</v>
      </c>
      <c r="K6408" s="106"/>
      <c r="L6408" s="106"/>
      <c r="M6408" s="129"/>
    </row>
    <row r="6409" spans="1:13" s="146" customFormat="1">
      <c r="A6409" s="193" t="s">
        <v>519</v>
      </c>
      <c r="B6409" s="210">
        <v>12</v>
      </c>
      <c r="C6409" s="191" t="str">
        <f>IF('IWP21'!E$539=0,"",'IWP21'!E$539)</f>
        <v/>
      </c>
      <c r="D6409" s="211">
        <f>'IWP21'!G$539</f>
        <v>0</v>
      </c>
      <c r="E6409" s="211">
        <f>'IWP21'!H$539</f>
        <v>0</v>
      </c>
      <c r="F6409" s="211">
        <f>'IWP21'!I$539</f>
        <v>0</v>
      </c>
      <c r="G6409" s="191" t="str">
        <f>IF('IWP21'!J$539=0,"",'IWP21'!J$539)</f>
        <v/>
      </c>
      <c r="H6409" s="211">
        <f>'IWP21'!K$539</f>
        <v>0</v>
      </c>
      <c r="I6409" s="211">
        <f>'IWP21'!L$539</f>
        <v>0</v>
      </c>
      <c r="J6409" s="212">
        <f>'IWP21'!M$539</f>
        <v>0</v>
      </c>
      <c r="K6409" s="106"/>
      <c r="L6409" s="106"/>
      <c r="M6409" s="129"/>
    </row>
    <row r="6410" spans="1:13" s="146" customFormat="1">
      <c r="A6410" s="193" t="s">
        <v>519</v>
      </c>
      <c r="B6410" s="210">
        <v>12</v>
      </c>
      <c r="C6410" s="191" t="str">
        <f>IF('IWP21'!E$540=0,"",'IWP21'!E$540)</f>
        <v/>
      </c>
      <c r="D6410" s="211">
        <f>'IWP21'!G$540</f>
        <v>0</v>
      </c>
      <c r="E6410" s="211">
        <f>'IWP21'!H$540</f>
        <v>0</v>
      </c>
      <c r="F6410" s="211">
        <f>'IWP21'!I$540</f>
        <v>0</v>
      </c>
      <c r="G6410" s="191" t="str">
        <f>IF('IWP21'!J$540=0,"",'IWP21'!J$540)</f>
        <v/>
      </c>
      <c r="H6410" s="211">
        <f>'IWP21'!K$540</f>
        <v>0</v>
      </c>
      <c r="I6410" s="211">
        <f>'IWP21'!L$540</f>
        <v>0</v>
      </c>
      <c r="J6410" s="212">
        <f>'IWP21'!M$540</f>
        <v>0</v>
      </c>
      <c r="K6410" s="106"/>
      <c r="L6410" s="106"/>
      <c r="M6410" s="129"/>
    </row>
    <row r="6411" spans="1:13" s="146" customFormat="1">
      <c r="A6411" s="193" t="s">
        <v>519</v>
      </c>
      <c r="B6411" s="210">
        <v>13</v>
      </c>
      <c r="C6411" s="191" t="str">
        <f>IF('IWP21'!E$547=0,"",'IWP21'!E$547)</f>
        <v>Subtotal column D.</v>
      </c>
      <c r="D6411" s="211">
        <f>'IWP21'!G$547</f>
        <v>0</v>
      </c>
      <c r="E6411" s="211">
        <f>'IWP21'!H$547</f>
        <v>0</v>
      </c>
      <c r="F6411" s="211">
        <f>'IWP21'!I$547</f>
        <v>0</v>
      </c>
      <c r="G6411" s="191" t="str">
        <f>IF('IWP21'!J$547=0,"",'IWP21'!J$547)</f>
        <v/>
      </c>
      <c r="H6411" s="211">
        <f>'IWP21'!K$547</f>
        <v>0</v>
      </c>
      <c r="I6411" s="211">
        <f>'IWP21'!L$547</f>
        <v>0</v>
      </c>
      <c r="J6411" s="212">
        <f>'IWP21'!M$547</f>
        <v>0</v>
      </c>
      <c r="K6411" s="106"/>
      <c r="L6411" s="106"/>
      <c r="M6411" s="129"/>
    </row>
    <row r="6412" spans="1:13" s="146" customFormat="1">
      <c r="A6412" s="193" t="s">
        <v>519</v>
      </c>
      <c r="B6412" s="210">
        <v>13</v>
      </c>
      <c r="C6412" s="191" t="str">
        <f>IF('IWP21'!E$548=0,"",'IWP21'!E$548)</f>
        <v>Unverified/Undocumented (Subtotal D - C)</v>
      </c>
      <c r="D6412" s="211">
        <f>'IWP21'!G$548</f>
        <v>0</v>
      </c>
      <c r="E6412" s="211">
        <f>'IWP21'!H$548</f>
        <v>0</v>
      </c>
      <c r="F6412" s="211">
        <f>'IWP21'!I$548</f>
        <v>0</v>
      </c>
      <c r="G6412" s="191" t="str">
        <f>IF('IWP21'!J$548=0,"",'IWP21'!J$548)</f>
        <v/>
      </c>
      <c r="H6412" s="211">
        <f>'IWP21'!K$548</f>
        <v>0</v>
      </c>
      <c r="I6412" s="211">
        <f>'IWP21'!L$548</f>
        <v>0</v>
      </c>
      <c r="J6412" s="212">
        <f>'IWP21'!M$548</f>
        <v>0</v>
      </c>
      <c r="K6412" s="106"/>
      <c r="L6412" s="106"/>
      <c r="M6412" s="129"/>
    </row>
    <row r="6413" spans="1:13" s="146" customFormat="1">
      <c r="A6413" s="193" t="s">
        <v>519</v>
      </c>
      <c r="B6413" s="210">
        <v>13</v>
      </c>
      <c r="C6413" s="191" t="str">
        <f>IF('IWP21'!E$549=0,"",'IWP21'!E$549)</f>
        <v>J. Billing Period Total</v>
      </c>
      <c r="D6413" s="211">
        <f>'IWP21'!G$549</f>
        <v>0</v>
      </c>
      <c r="E6413" s="211">
        <f>'IWP21'!H$549</f>
        <v>0</v>
      </c>
      <c r="F6413" s="211">
        <f>'IWP21'!I$549</f>
        <v>0</v>
      </c>
      <c r="G6413" s="191" t="str">
        <f>IF('IWP21'!J$549=0,"",'IWP21'!J$549)</f>
        <v/>
      </c>
      <c r="H6413" s="211">
        <f>'IWP21'!K$549</f>
        <v>0</v>
      </c>
      <c r="I6413" s="211">
        <f>'IWP21'!L$549</f>
        <v>0</v>
      </c>
      <c r="J6413" s="212">
        <f>'IWP21'!M$549</f>
        <v>0</v>
      </c>
      <c r="K6413" s="106"/>
      <c r="L6413" s="106"/>
      <c r="M6413" s="129"/>
    </row>
    <row r="6414" spans="1:13" s="146" customFormat="1">
      <c r="A6414" s="193" t="s">
        <v>519</v>
      </c>
      <c r="B6414" s="210">
        <v>13</v>
      </c>
      <c r="C6414" s="191" t="str">
        <f>IF('IWP21'!E$550=0,"",'IWP21'!E$550)</f>
        <v>D.</v>
      </c>
      <c r="D6414" s="211">
        <f>'IWP21'!G$550</f>
        <v>0</v>
      </c>
      <c r="E6414" s="211" t="str">
        <f>'IWP21'!H$550</f>
        <v>E.</v>
      </c>
      <c r="F6414" s="211" t="str">
        <f>'IWP21'!I$550</f>
        <v>F.</v>
      </c>
      <c r="G6414" s="191" t="str">
        <f>IF('IWP21'!J$550=0,"",'IWP21'!J$550)</f>
        <v>G.</v>
      </c>
      <c r="H6414" s="211">
        <f>'IWP21'!K$550</f>
        <v>0</v>
      </c>
      <c r="I6414" s="211" t="str">
        <f>'IWP21'!L$550</f>
        <v>H.</v>
      </c>
      <c r="J6414" s="212" t="str">
        <f>'IWP21'!M$550</f>
        <v>I.</v>
      </c>
      <c r="K6414" s="106"/>
      <c r="L6414" s="106"/>
      <c r="M6414" s="129"/>
    </row>
    <row r="6415" spans="1:13" s="146" customFormat="1">
      <c r="A6415" s="193" t="s">
        <v>519</v>
      </c>
      <c r="B6415" s="210">
        <v>13</v>
      </c>
      <c r="C6415" s="191" t="str">
        <f>IF('IWP21'!E$551=0,"",'IWP21'!E$551)</f>
        <v xml:space="preserve">Items/Services Related to Billing Period </v>
      </c>
      <c r="D6415" s="211">
        <f>'IWP21'!G$551</f>
        <v>0</v>
      </c>
      <c r="E6415" s="211" t="str">
        <f>'IWP21'!H$551</f>
        <v xml:space="preserve">Item/
Service Verified Amounts
</v>
      </c>
      <c r="F6415" s="211" t="str">
        <f>'IWP21'!I$551</f>
        <v>Amount Due to DADS (E. - D.)</v>
      </c>
      <c r="G6415" s="191" t="str">
        <f>IF('IWP21'!J$551=0,"",'IWP21'!J$551)</f>
        <v>Amount Reimbursed to 
Employee(s)/Employer</v>
      </c>
      <c r="H6415" s="211">
        <f>'IWP21'!K$551</f>
        <v>0</v>
      </c>
      <c r="I6415" s="211" t="str">
        <f>'IWP21'!L$551</f>
        <v>Amount Due to Employee(s) (G. - E.)</v>
      </c>
      <c r="J6415" s="212" t="str">
        <f>'IWP21'!M$551</f>
        <v>Amount Due to Employer (G. - E.)</v>
      </c>
      <c r="K6415" s="106"/>
      <c r="L6415" s="106"/>
      <c r="M6415" s="129"/>
    </row>
    <row r="6416" spans="1:13" s="146" customFormat="1">
      <c r="A6416" s="193" t="s">
        <v>519</v>
      </c>
      <c r="B6416" s="210">
        <v>13</v>
      </c>
      <c r="C6416" s="191" t="str">
        <f>IF('IWP21'!E$552=0,"",'IWP21'!E$552)</f>
        <v>Item/Service</v>
      </c>
      <c r="D6416" s="211" t="str">
        <f>'IWP21'!G$552</f>
        <v>Itemized Amount Paid by DADS</v>
      </c>
      <c r="E6416" s="211">
        <f>'IWP21'!H$552</f>
        <v>0</v>
      </c>
      <c r="F6416" s="211">
        <f>'IWP21'!I$552</f>
        <v>0</v>
      </c>
      <c r="G6416" s="191" t="str">
        <f>IF('IWP21'!J$552=0,"",'IWP21'!J$552)</f>
        <v/>
      </c>
      <c r="H6416" s="211">
        <f>'IWP21'!K$552</f>
        <v>0</v>
      </c>
      <c r="I6416" s="211">
        <f>'IWP21'!L$552</f>
        <v>0</v>
      </c>
      <c r="J6416" s="212">
        <f>'IWP21'!M$552</f>
        <v>0</v>
      </c>
      <c r="K6416" s="106"/>
      <c r="L6416" s="106"/>
      <c r="M6416" s="129"/>
    </row>
    <row r="6417" spans="1:13" s="146" customFormat="1">
      <c r="A6417" s="193" t="s">
        <v>519</v>
      </c>
      <c r="B6417" s="210">
        <v>13</v>
      </c>
      <c r="C6417" s="191" t="str">
        <f>IF('IWP21'!E$553=0,"",'IWP21'!E$553)</f>
        <v/>
      </c>
      <c r="D6417" s="211">
        <f>'IWP21'!G$553</f>
        <v>0</v>
      </c>
      <c r="E6417" s="211">
        <f>'IWP21'!H$553</f>
        <v>0</v>
      </c>
      <c r="F6417" s="211">
        <f>'IWP21'!I$553</f>
        <v>0</v>
      </c>
      <c r="G6417" s="191" t="str">
        <f>IF('IWP21'!J$553=0,"",'IWP21'!J$553)</f>
        <v/>
      </c>
      <c r="H6417" s="211">
        <f>'IWP21'!K$553</f>
        <v>0</v>
      </c>
      <c r="I6417" s="211">
        <f>'IWP21'!L$553</f>
        <v>0</v>
      </c>
      <c r="J6417" s="212">
        <f>'IWP21'!M$553</f>
        <v>0</v>
      </c>
      <c r="K6417" s="106"/>
      <c r="L6417" s="106"/>
      <c r="M6417" s="129"/>
    </row>
    <row r="6418" spans="1:13" s="146" customFormat="1">
      <c r="A6418" s="193" t="s">
        <v>519</v>
      </c>
      <c r="B6418" s="210">
        <v>13</v>
      </c>
      <c r="C6418" s="191" t="str">
        <f>IF('IWP21'!E$554=0,"",'IWP21'!E$554)</f>
        <v/>
      </c>
      <c r="D6418" s="211">
        <f>'IWP21'!G$554</f>
        <v>0</v>
      </c>
      <c r="E6418" s="211">
        <f>'IWP21'!H$554</f>
        <v>0</v>
      </c>
      <c r="F6418" s="211">
        <f>'IWP21'!I$554</f>
        <v>0</v>
      </c>
      <c r="G6418" s="191" t="str">
        <f>IF('IWP21'!J$554=0,"",'IWP21'!J$554)</f>
        <v/>
      </c>
      <c r="H6418" s="211">
        <f>'IWP21'!K$554</f>
        <v>0</v>
      </c>
      <c r="I6418" s="211">
        <f>'IWP21'!L$554</f>
        <v>0</v>
      </c>
      <c r="J6418" s="212">
        <f>'IWP21'!M$554</f>
        <v>0</v>
      </c>
      <c r="K6418" s="106"/>
      <c r="L6418" s="106"/>
      <c r="M6418" s="129"/>
    </row>
    <row r="6419" spans="1:13" s="146" customFormat="1">
      <c r="A6419" s="193" t="s">
        <v>519</v>
      </c>
      <c r="B6419" s="210">
        <v>13</v>
      </c>
      <c r="C6419" s="191" t="str">
        <f>IF('IWP21'!E$555=0,"",'IWP21'!E$555)</f>
        <v/>
      </c>
      <c r="D6419" s="211">
        <f>'IWP21'!G$555</f>
        <v>0</v>
      </c>
      <c r="E6419" s="211">
        <f>'IWP21'!H$555</f>
        <v>0</v>
      </c>
      <c r="F6419" s="211">
        <f>'IWP21'!I$555</f>
        <v>0</v>
      </c>
      <c r="G6419" s="191" t="str">
        <f>IF('IWP21'!J$555=0,"",'IWP21'!J$555)</f>
        <v/>
      </c>
      <c r="H6419" s="211">
        <f>'IWP21'!K$555</f>
        <v>0</v>
      </c>
      <c r="I6419" s="211">
        <f>'IWP21'!L$555</f>
        <v>0</v>
      </c>
      <c r="J6419" s="212">
        <f>'IWP21'!M$555</f>
        <v>0</v>
      </c>
      <c r="K6419" s="106"/>
      <c r="L6419" s="106"/>
      <c r="M6419" s="129"/>
    </row>
    <row r="6420" spans="1:13" s="146" customFormat="1">
      <c r="A6420" s="193" t="s">
        <v>519</v>
      </c>
      <c r="B6420" s="210">
        <v>13</v>
      </c>
      <c r="C6420" s="191" t="str">
        <f>IF('IWP21'!E$556=0,"",'IWP21'!E$556)</f>
        <v/>
      </c>
      <c r="D6420" s="211">
        <f>'IWP21'!G$556</f>
        <v>0</v>
      </c>
      <c r="E6420" s="211">
        <f>'IWP21'!H$556</f>
        <v>0</v>
      </c>
      <c r="F6420" s="211">
        <f>'IWP21'!I$556</f>
        <v>0</v>
      </c>
      <c r="G6420" s="191" t="str">
        <f>IF('IWP21'!J$556=0,"",'IWP21'!J$556)</f>
        <v/>
      </c>
      <c r="H6420" s="211">
        <f>'IWP21'!K$556</f>
        <v>0</v>
      </c>
      <c r="I6420" s="211">
        <f>'IWP21'!L$556</f>
        <v>0</v>
      </c>
      <c r="J6420" s="212">
        <f>'IWP21'!M$556</f>
        <v>0</v>
      </c>
      <c r="K6420" s="106"/>
      <c r="L6420" s="106"/>
      <c r="M6420" s="129"/>
    </row>
    <row r="6421" spans="1:13" s="146" customFormat="1">
      <c r="A6421" s="193" t="s">
        <v>519</v>
      </c>
      <c r="B6421" s="210">
        <v>14</v>
      </c>
      <c r="C6421" s="191" t="str">
        <f>IF('IWP21'!E$563=0,"",'IWP21'!E$563)</f>
        <v>Subtotal column D.</v>
      </c>
      <c r="D6421" s="211">
        <f>'IWP21'!G$563</f>
        <v>0</v>
      </c>
      <c r="E6421" s="211">
        <f>'IWP21'!H$563</f>
        <v>0</v>
      </c>
      <c r="F6421" s="211">
        <f>'IWP21'!I$563</f>
        <v>0</v>
      </c>
      <c r="G6421" s="191" t="str">
        <f>IF('IWP21'!J$563=0,"",'IWP21'!J$563)</f>
        <v/>
      </c>
      <c r="H6421" s="211">
        <f>'IWP21'!K$563</f>
        <v>0</v>
      </c>
      <c r="I6421" s="211">
        <f>'IWP21'!L$563</f>
        <v>0</v>
      </c>
      <c r="J6421" s="212">
        <f>'IWP21'!M$563</f>
        <v>0</v>
      </c>
      <c r="K6421" s="106"/>
      <c r="L6421" s="106"/>
      <c r="M6421" s="129"/>
    </row>
    <row r="6422" spans="1:13" s="146" customFormat="1">
      <c r="A6422" s="193" t="s">
        <v>519</v>
      </c>
      <c r="B6422" s="210">
        <v>14</v>
      </c>
      <c r="C6422" s="191" t="str">
        <f>IF('IWP21'!E$564=0,"",'IWP21'!E$564)</f>
        <v>Unverified/Undocumented (Subtotal D - C)</v>
      </c>
      <c r="D6422" s="211">
        <f>'IWP21'!G$564</f>
        <v>0</v>
      </c>
      <c r="E6422" s="211">
        <f>'IWP21'!H$564</f>
        <v>0</v>
      </c>
      <c r="F6422" s="211">
        <f>'IWP21'!I$564</f>
        <v>0</v>
      </c>
      <c r="G6422" s="191" t="str">
        <f>IF('IWP21'!J$564=0,"",'IWP21'!J$564)</f>
        <v/>
      </c>
      <c r="H6422" s="211">
        <f>'IWP21'!K$564</f>
        <v>0</v>
      </c>
      <c r="I6422" s="211">
        <f>'IWP21'!L$564</f>
        <v>0</v>
      </c>
      <c r="J6422" s="212">
        <f>'IWP21'!M$564</f>
        <v>0</v>
      </c>
      <c r="K6422" s="106"/>
      <c r="L6422" s="106"/>
      <c r="M6422" s="129"/>
    </row>
    <row r="6423" spans="1:13" s="146" customFormat="1">
      <c r="A6423" s="193" t="s">
        <v>519</v>
      </c>
      <c r="B6423" s="210">
        <v>14</v>
      </c>
      <c r="C6423" s="191" t="str">
        <f>IF('IWP21'!E$565=0,"",'IWP21'!E$565)</f>
        <v>J. Billing Period Total</v>
      </c>
      <c r="D6423" s="211">
        <f>'IWP21'!G$565</f>
        <v>0</v>
      </c>
      <c r="E6423" s="211">
        <f>'IWP21'!H$565</f>
        <v>0</v>
      </c>
      <c r="F6423" s="211">
        <f>'IWP21'!I$565</f>
        <v>0</v>
      </c>
      <c r="G6423" s="191" t="str">
        <f>IF('IWP21'!J$565=0,"",'IWP21'!J$565)</f>
        <v/>
      </c>
      <c r="H6423" s="211">
        <f>'IWP21'!K$565</f>
        <v>0</v>
      </c>
      <c r="I6423" s="211">
        <f>'IWP21'!L$565</f>
        <v>0</v>
      </c>
      <c r="J6423" s="212">
        <f>'IWP21'!M$565</f>
        <v>0</v>
      </c>
      <c r="K6423" s="106"/>
      <c r="L6423" s="106"/>
      <c r="M6423" s="129"/>
    </row>
    <row r="6424" spans="1:13" s="146" customFormat="1">
      <c r="A6424" s="193" t="s">
        <v>519</v>
      </c>
      <c r="B6424" s="210">
        <v>14</v>
      </c>
      <c r="C6424" s="191" t="str">
        <f>IF('IWP21'!E$566=0,"",'IWP21'!E$566)</f>
        <v>D.</v>
      </c>
      <c r="D6424" s="211">
        <f>'IWP21'!G$566</f>
        <v>0</v>
      </c>
      <c r="E6424" s="211" t="str">
        <f>'IWP21'!H$566</f>
        <v>E.</v>
      </c>
      <c r="F6424" s="211" t="str">
        <f>'IWP21'!I$566</f>
        <v>F.</v>
      </c>
      <c r="G6424" s="191" t="str">
        <f>IF('IWP21'!J$566=0,"",'IWP21'!J$566)</f>
        <v>G.</v>
      </c>
      <c r="H6424" s="211">
        <f>'IWP21'!K$566</f>
        <v>0</v>
      </c>
      <c r="I6424" s="211" t="str">
        <f>'IWP21'!L$566</f>
        <v>H.</v>
      </c>
      <c r="J6424" s="212" t="str">
        <f>'IWP21'!M$566</f>
        <v>I.</v>
      </c>
      <c r="K6424" s="106"/>
      <c r="L6424" s="106"/>
      <c r="M6424" s="129"/>
    </row>
    <row r="6425" spans="1:13" s="146" customFormat="1">
      <c r="A6425" s="193" t="s">
        <v>519</v>
      </c>
      <c r="B6425" s="210">
        <v>14</v>
      </c>
      <c r="C6425" s="191" t="str">
        <f>IF('IWP21'!E$567=0,"",'IWP21'!E$567)</f>
        <v xml:space="preserve">Items/Services Related to Billing Period </v>
      </c>
      <c r="D6425" s="211">
        <f>'IWP21'!G$567</f>
        <v>0</v>
      </c>
      <c r="E6425" s="211" t="str">
        <f>'IWP21'!H$567</f>
        <v xml:space="preserve">Item/
Service Verified Amounts
</v>
      </c>
      <c r="F6425" s="211" t="str">
        <f>'IWP21'!I$567</f>
        <v>Amount Due to DADS (E. - D.)</v>
      </c>
      <c r="G6425" s="191" t="str">
        <f>IF('IWP21'!J$567=0,"",'IWP21'!J$567)</f>
        <v>Amount Reimbursed to 
Employee(s)/Employer</v>
      </c>
      <c r="H6425" s="211">
        <f>'IWP21'!K$567</f>
        <v>0</v>
      </c>
      <c r="I6425" s="211" t="str">
        <f>'IWP21'!L$567</f>
        <v>Amount Due to Employee(s) (G. - E.)</v>
      </c>
      <c r="J6425" s="212" t="str">
        <f>'IWP21'!M$567</f>
        <v>Amount Due to Employer (G. - E.)</v>
      </c>
      <c r="K6425" s="106"/>
      <c r="L6425" s="106"/>
      <c r="M6425" s="129"/>
    </row>
    <row r="6426" spans="1:13" s="146" customFormat="1">
      <c r="A6426" s="193" t="s">
        <v>519</v>
      </c>
      <c r="B6426" s="210">
        <v>14</v>
      </c>
      <c r="C6426" s="191" t="str">
        <f>IF('IWP21'!E$568=0,"",'IWP21'!E$568)</f>
        <v>Item/Service</v>
      </c>
      <c r="D6426" s="211" t="str">
        <f>'IWP21'!G$568</f>
        <v>Itemized Amount Paid by DADS</v>
      </c>
      <c r="E6426" s="211">
        <f>'IWP21'!H$568</f>
        <v>0</v>
      </c>
      <c r="F6426" s="211">
        <f>'IWP21'!I$568</f>
        <v>0</v>
      </c>
      <c r="G6426" s="191" t="str">
        <f>IF('IWP21'!J$568=0,"",'IWP21'!J$568)</f>
        <v/>
      </c>
      <c r="H6426" s="211">
        <f>'IWP21'!K$568</f>
        <v>0</v>
      </c>
      <c r="I6426" s="211">
        <f>'IWP21'!L$568</f>
        <v>0</v>
      </c>
      <c r="J6426" s="212">
        <f>'IWP21'!M$568</f>
        <v>0</v>
      </c>
      <c r="K6426" s="106"/>
      <c r="L6426" s="106"/>
      <c r="M6426" s="129"/>
    </row>
    <row r="6427" spans="1:13" s="146" customFormat="1">
      <c r="A6427" s="193" t="s">
        <v>519</v>
      </c>
      <c r="B6427" s="210">
        <v>14</v>
      </c>
      <c r="C6427" s="191" t="str">
        <f>IF('IWP21'!E$569=0,"",'IWP21'!E$569)</f>
        <v/>
      </c>
      <c r="D6427" s="211">
        <f>'IWP21'!G$569</f>
        <v>0</v>
      </c>
      <c r="E6427" s="211">
        <f>'IWP21'!H$569</f>
        <v>0</v>
      </c>
      <c r="F6427" s="211">
        <f>'IWP21'!I$569</f>
        <v>0</v>
      </c>
      <c r="G6427" s="191" t="str">
        <f>IF('IWP21'!J$569=0,"",'IWP21'!J$569)</f>
        <v/>
      </c>
      <c r="H6427" s="211">
        <f>'IWP21'!K$569</f>
        <v>0</v>
      </c>
      <c r="I6427" s="211">
        <f>'IWP21'!L$569</f>
        <v>0</v>
      </c>
      <c r="J6427" s="212">
        <f>'IWP21'!M$569</f>
        <v>0</v>
      </c>
      <c r="K6427" s="106"/>
      <c r="L6427" s="106"/>
      <c r="M6427" s="129"/>
    </row>
    <row r="6428" spans="1:13" s="146" customFormat="1">
      <c r="A6428" s="193" t="s">
        <v>519</v>
      </c>
      <c r="B6428" s="210">
        <v>14</v>
      </c>
      <c r="C6428" s="191" t="str">
        <f>IF('IWP21'!E$570=0,"",'IWP21'!E$570)</f>
        <v/>
      </c>
      <c r="D6428" s="211">
        <f>'IWP21'!G$570</f>
        <v>0</v>
      </c>
      <c r="E6428" s="211">
        <f>'IWP21'!H$570</f>
        <v>0</v>
      </c>
      <c r="F6428" s="211">
        <f>'IWP21'!I$570</f>
        <v>0</v>
      </c>
      <c r="G6428" s="191" t="str">
        <f>IF('IWP21'!J$570=0,"",'IWP21'!J$570)</f>
        <v/>
      </c>
      <c r="H6428" s="211">
        <f>'IWP21'!K$570</f>
        <v>0</v>
      </c>
      <c r="I6428" s="211">
        <f>'IWP21'!L$570</f>
        <v>0</v>
      </c>
      <c r="J6428" s="212">
        <f>'IWP21'!M$570</f>
        <v>0</v>
      </c>
      <c r="K6428" s="106"/>
      <c r="L6428" s="106"/>
      <c r="M6428" s="129"/>
    </row>
    <row r="6429" spans="1:13" s="146" customFormat="1">
      <c r="A6429" s="193" t="s">
        <v>519</v>
      </c>
      <c r="B6429" s="210">
        <v>14</v>
      </c>
      <c r="C6429" s="191" t="str">
        <f>IF('IWP21'!E$571=0,"",'IWP21'!E$571)</f>
        <v/>
      </c>
      <c r="D6429" s="211">
        <f>'IWP21'!G$571</f>
        <v>0</v>
      </c>
      <c r="E6429" s="211">
        <f>'IWP21'!H$571</f>
        <v>0</v>
      </c>
      <c r="F6429" s="211">
        <f>'IWP21'!I$571</f>
        <v>0</v>
      </c>
      <c r="G6429" s="191" t="str">
        <f>IF('IWP21'!J$571=0,"",'IWP21'!J$571)</f>
        <v/>
      </c>
      <c r="H6429" s="211">
        <f>'IWP21'!K$571</f>
        <v>0</v>
      </c>
      <c r="I6429" s="211">
        <f>'IWP21'!L$571</f>
        <v>0</v>
      </c>
      <c r="J6429" s="212">
        <f>'IWP21'!M$571</f>
        <v>0</v>
      </c>
      <c r="K6429" s="106"/>
      <c r="L6429" s="106"/>
      <c r="M6429" s="129"/>
    </row>
    <row r="6430" spans="1:13" s="146" customFormat="1">
      <c r="A6430" s="193" t="s">
        <v>519</v>
      </c>
      <c r="B6430" s="210">
        <v>14</v>
      </c>
      <c r="C6430" s="191" t="str">
        <f>IF('IWP21'!E$572=0,"",'IWP21'!E$572)</f>
        <v/>
      </c>
      <c r="D6430" s="211">
        <f>'IWP21'!G$572</f>
        <v>0</v>
      </c>
      <c r="E6430" s="211">
        <f>'IWP21'!H$572</f>
        <v>0</v>
      </c>
      <c r="F6430" s="211">
        <f>'IWP21'!I$572</f>
        <v>0</v>
      </c>
      <c r="G6430" s="191" t="str">
        <f>IF('IWP21'!J$572=0,"",'IWP21'!J$572)</f>
        <v/>
      </c>
      <c r="H6430" s="211">
        <f>'IWP21'!K$572</f>
        <v>0</v>
      </c>
      <c r="I6430" s="211">
        <f>'IWP21'!L$572</f>
        <v>0</v>
      </c>
      <c r="J6430" s="212">
        <f>'IWP21'!M$572</f>
        <v>0</v>
      </c>
      <c r="K6430" s="106"/>
      <c r="L6430" s="106"/>
      <c r="M6430" s="129"/>
    </row>
    <row r="6431" spans="1:13" s="146" customFormat="1">
      <c r="A6431" s="193" t="s">
        <v>519</v>
      </c>
      <c r="B6431" s="210">
        <v>15</v>
      </c>
      <c r="C6431" s="191" t="str">
        <f>IF('IWP21'!E$579=0,"",'IWP21'!E$579)</f>
        <v>Subtotal column D.</v>
      </c>
      <c r="D6431" s="211">
        <f>'IWP21'!G$579</f>
        <v>0</v>
      </c>
      <c r="E6431" s="211">
        <f>'IWP21'!H$579</f>
        <v>0</v>
      </c>
      <c r="F6431" s="211">
        <f>'IWP21'!I$579</f>
        <v>0</v>
      </c>
      <c r="G6431" s="191" t="str">
        <f>IF('IWP21'!J$579=0,"",'IWP21'!J$579)</f>
        <v/>
      </c>
      <c r="H6431" s="211">
        <f>'IWP21'!K$579</f>
        <v>0</v>
      </c>
      <c r="I6431" s="211">
        <f>'IWP21'!L$579</f>
        <v>0</v>
      </c>
      <c r="J6431" s="212">
        <f>'IWP21'!M$579</f>
        <v>0</v>
      </c>
      <c r="K6431" s="106"/>
      <c r="L6431" s="106"/>
      <c r="M6431" s="129"/>
    </row>
    <row r="6432" spans="1:13" s="146" customFormat="1">
      <c r="A6432" s="193" t="s">
        <v>519</v>
      </c>
      <c r="B6432" s="210">
        <v>15</v>
      </c>
      <c r="C6432" s="191" t="str">
        <f>IF('IWP21'!E$580=0,"",'IWP21'!E$580)</f>
        <v>Unverified/Undocumented (Subtotal D - C)</v>
      </c>
      <c r="D6432" s="211">
        <f>'IWP21'!G$580</f>
        <v>0</v>
      </c>
      <c r="E6432" s="211">
        <f>'IWP21'!H$580</f>
        <v>0</v>
      </c>
      <c r="F6432" s="211">
        <f>'IWP21'!I$580</f>
        <v>0</v>
      </c>
      <c r="G6432" s="191" t="str">
        <f>IF('IWP21'!J$580=0,"",'IWP21'!J$580)</f>
        <v/>
      </c>
      <c r="H6432" s="211">
        <f>'IWP21'!K$580</f>
        <v>0</v>
      </c>
      <c r="I6432" s="211">
        <f>'IWP21'!L$580</f>
        <v>0</v>
      </c>
      <c r="J6432" s="212">
        <f>'IWP21'!M$580</f>
        <v>0</v>
      </c>
      <c r="K6432" s="106"/>
      <c r="L6432" s="106"/>
      <c r="M6432" s="129"/>
    </row>
    <row r="6433" spans="1:13" s="146" customFormat="1">
      <c r="A6433" s="193" t="s">
        <v>519</v>
      </c>
      <c r="B6433" s="210">
        <v>15</v>
      </c>
      <c r="C6433" s="191" t="str">
        <f>IF('IWP21'!E$581=0,"",'IWP21'!E$581)</f>
        <v>J. Billing Period Total</v>
      </c>
      <c r="D6433" s="211">
        <f>'IWP21'!G$581</f>
        <v>0</v>
      </c>
      <c r="E6433" s="211">
        <f>'IWP21'!H$581</f>
        <v>0</v>
      </c>
      <c r="F6433" s="211">
        <f>'IWP21'!I$581</f>
        <v>0</v>
      </c>
      <c r="G6433" s="191" t="str">
        <f>IF('IWP21'!J$581=0,"",'IWP21'!J$581)</f>
        <v/>
      </c>
      <c r="H6433" s="211">
        <f>'IWP21'!K$581</f>
        <v>0</v>
      </c>
      <c r="I6433" s="211">
        <f>'IWP21'!L$581</f>
        <v>0</v>
      </c>
      <c r="J6433" s="212">
        <f>'IWP21'!M$581</f>
        <v>0</v>
      </c>
      <c r="K6433" s="106"/>
      <c r="L6433" s="106"/>
      <c r="M6433" s="129"/>
    </row>
    <row r="6434" spans="1:13" s="146" customFormat="1">
      <c r="A6434" s="193" t="s">
        <v>519</v>
      </c>
      <c r="B6434" s="210">
        <v>15</v>
      </c>
      <c r="C6434" s="191" t="str">
        <f>IF('IWP21'!E$582=0,"",'IWP21'!E$582)</f>
        <v>D.</v>
      </c>
      <c r="D6434" s="211">
        <f>'IWP21'!G$582</f>
        <v>0</v>
      </c>
      <c r="E6434" s="211" t="str">
        <f>'IWP21'!H$582</f>
        <v>E.</v>
      </c>
      <c r="F6434" s="211" t="str">
        <f>'IWP21'!I$582</f>
        <v>F.</v>
      </c>
      <c r="G6434" s="191" t="str">
        <f>IF('IWP21'!J$582=0,"",'IWP21'!J$582)</f>
        <v>G.</v>
      </c>
      <c r="H6434" s="211">
        <f>'IWP21'!K$582</f>
        <v>0</v>
      </c>
      <c r="I6434" s="211" t="str">
        <f>'IWP21'!L$582</f>
        <v>H.</v>
      </c>
      <c r="J6434" s="212" t="str">
        <f>'IWP21'!M$582</f>
        <v>I.</v>
      </c>
      <c r="K6434" s="106"/>
      <c r="L6434" s="106"/>
      <c r="M6434" s="129"/>
    </row>
    <row r="6435" spans="1:13" s="146" customFormat="1">
      <c r="A6435" s="193" t="s">
        <v>519</v>
      </c>
      <c r="B6435" s="210">
        <v>15</v>
      </c>
      <c r="C6435" s="191" t="str">
        <f>IF('IWP21'!E$583=0,"",'IWP21'!E$583)</f>
        <v xml:space="preserve">Items/Services Related to Billing Period </v>
      </c>
      <c r="D6435" s="211">
        <f>'IWP21'!G$583</f>
        <v>0</v>
      </c>
      <c r="E6435" s="211" t="str">
        <f>'IWP21'!H$583</f>
        <v xml:space="preserve">Item/
Service Verified Amounts
</v>
      </c>
      <c r="F6435" s="211" t="str">
        <f>'IWP21'!I$583</f>
        <v>Amount Due to DADS (E. - D.)</v>
      </c>
      <c r="G6435" s="191" t="str">
        <f>IF('IWP21'!J$583=0,"",'IWP21'!J$583)</f>
        <v>Amount Reimbursed to 
Employee(s)/Employer</v>
      </c>
      <c r="H6435" s="211">
        <f>'IWP21'!K$583</f>
        <v>0</v>
      </c>
      <c r="I6435" s="211" t="str">
        <f>'IWP21'!L$583</f>
        <v>Amount Due to Employee(s) (G. - E.)</v>
      </c>
      <c r="J6435" s="212" t="str">
        <f>'IWP21'!M$583</f>
        <v>Amount Due to Employer (G. - E.)</v>
      </c>
      <c r="K6435" s="106"/>
      <c r="L6435" s="106"/>
      <c r="M6435" s="129"/>
    </row>
    <row r="6436" spans="1:13" s="146" customFormat="1">
      <c r="A6436" s="193" t="s">
        <v>519</v>
      </c>
      <c r="B6436" s="210">
        <v>15</v>
      </c>
      <c r="C6436" s="191" t="str">
        <f>IF('IWP21'!E$584=0,"",'IWP21'!E$584)</f>
        <v>Item/Service</v>
      </c>
      <c r="D6436" s="211" t="str">
        <f>'IWP21'!G$584</f>
        <v>Itemized Amount Paid by DADS</v>
      </c>
      <c r="E6436" s="211">
        <f>'IWP21'!H$584</f>
        <v>0</v>
      </c>
      <c r="F6436" s="211">
        <f>'IWP21'!I$584</f>
        <v>0</v>
      </c>
      <c r="G6436" s="191" t="str">
        <f>IF('IWP21'!J$584=0,"",'IWP21'!J$584)</f>
        <v/>
      </c>
      <c r="H6436" s="211">
        <f>'IWP21'!K$584</f>
        <v>0</v>
      </c>
      <c r="I6436" s="211">
        <f>'IWP21'!L$584</f>
        <v>0</v>
      </c>
      <c r="J6436" s="212">
        <f>'IWP21'!M$584</f>
        <v>0</v>
      </c>
      <c r="K6436" s="106"/>
      <c r="L6436" s="106"/>
      <c r="M6436" s="129"/>
    </row>
    <row r="6437" spans="1:13" s="146" customFormat="1">
      <c r="A6437" s="193" t="s">
        <v>519</v>
      </c>
      <c r="B6437" s="210">
        <v>15</v>
      </c>
      <c r="C6437" s="191" t="str">
        <f>IF('IWP21'!E$585=0,"",'IWP21'!E$585)</f>
        <v/>
      </c>
      <c r="D6437" s="211">
        <f>'IWP21'!G$585</f>
        <v>0</v>
      </c>
      <c r="E6437" s="211">
        <f>'IWP21'!H$585</f>
        <v>0</v>
      </c>
      <c r="F6437" s="211">
        <f>'IWP21'!I$585</f>
        <v>0</v>
      </c>
      <c r="G6437" s="191" t="str">
        <f>IF('IWP21'!J$585=0,"",'IWP21'!J$585)</f>
        <v/>
      </c>
      <c r="H6437" s="211">
        <f>'IWP21'!K$585</f>
        <v>0</v>
      </c>
      <c r="I6437" s="211">
        <f>'IWP21'!L$585</f>
        <v>0</v>
      </c>
      <c r="J6437" s="212">
        <f>'IWP21'!M$585</f>
        <v>0</v>
      </c>
      <c r="K6437" s="106"/>
      <c r="L6437" s="106"/>
      <c r="M6437" s="129"/>
    </row>
    <row r="6438" spans="1:13" s="146" customFormat="1">
      <c r="A6438" s="193" t="s">
        <v>519</v>
      </c>
      <c r="B6438" s="210">
        <v>15</v>
      </c>
      <c r="C6438" s="191" t="str">
        <f>IF('IWP21'!E$586=0,"",'IWP21'!E$586)</f>
        <v/>
      </c>
      <c r="D6438" s="211">
        <f>'IWP21'!G$586</f>
        <v>0</v>
      </c>
      <c r="E6438" s="211">
        <f>'IWP21'!H$586</f>
        <v>0</v>
      </c>
      <c r="F6438" s="211">
        <f>'IWP21'!I$586</f>
        <v>0</v>
      </c>
      <c r="G6438" s="191" t="str">
        <f>IF('IWP21'!J$586=0,"",'IWP21'!J$586)</f>
        <v/>
      </c>
      <c r="H6438" s="211">
        <f>'IWP21'!K$586</f>
        <v>0</v>
      </c>
      <c r="I6438" s="211">
        <f>'IWP21'!L$586</f>
        <v>0</v>
      </c>
      <c r="J6438" s="212">
        <f>'IWP21'!M$586</f>
        <v>0</v>
      </c>
      <c r="K6438" s="106"/>
      <c r="L6438" s="106"/>
      <c r="M6438" s="129"/>
    </row>
    <row r="6439" spans="1:13" s="146" customFormat="1">
      <c r="A6439" s="193" t="s">
        <v>519</v>
      </c>
      <c r="B6439" s="210">
        <v>15</v>
      </c>
      <c r="C6439" s="191" t="str">
        <f>IF('IWP21'!E$587=0,"",'IWP21'!E$587)</f>
        <v/>
      </c>
      <c r="D6439" s="211">
        <f>'IWP21'!G$587</f>
        <v>0</v>
      </c>
      <c r="E6439" s="211">
        <f>'IWP21'!H$587</f>
        <v>0</v>
      </c>
      <c r="F6439" s="211">
        <f>'IWP21'!I$587</f>
        <v>0</v>
      </c>
      <c r="G6439" s="191" t="str">
        <f>IF('IWP21'!J$587=0,"",'IWP21'!J$587)</f>
        <v/>
      </c>
      <c r="H6439" s="211">
        <f>'IWP21'!K$587</f>
        <v>0</v>
      </c>
      <c r="I6439" s="211">
        <f>'IWP21'!L$587</f>
        <v>0</v>
      </c>
      <c r="J6439" s="212">
        <f>'IWP21'!M$587</f>
        <v>0</v>
      </c>
      <c r="K6439" s="106"/>
      <c r="L6439" s="106"/>
      <c r="M6439" s="129"/>
    </row>
    <row r="6440" spans="1:13" s="146" customFormat="1">
      <c r="A6440" s="193" t="s">
        <v>519</v>
      </c>
      <c r="B6440" s="210">
        <v>15</v>
      </c>
      <c r="C6440" s="191" t="str">
        <f>IF('IWP21'!E$588=0,"",'IWP21'!E$588)</f>
        <v/>
      </c>
      <c r="D6440" s="211">
        <f>'IWP21'!G$588</f>
        <v>0</v>
      </c>
      <c r="E6440" s="211">
        <f>'IWP21'!H$588</f>
        <v>0</v>
      </c>
      <c r="F6440" s="211">
        <f>'IWP21'!I$588</f>
        <v>0</v>
      </c>
      <c r="G6440" s="191" t="str">
        <f>IF('IWP21'!J$588=0,"",'IWP21'!J$588)</f>
        <v/>
      </c>
      <c r="H6440" s="211">
        <f>'IWP21'!K$588</f>
        <v>0</v>
      </c>
      <c r="I6440" s="211">
        <f>'IWP21'!L$588</f>
        <v>0</v>
      </c>
      <c r="J6440" s="212">
        <f>'IWP21'!M$588</f>
        <v>0</v>
      </c>
      <c r="K6440" s="106"/>
      <c r="L6440" s="106"/>
      <c r="M6440" s="129"/>
    </row>
    <row r="6441" spans="1:13" s="146" customFormat="1">
      <c r="A6441" s="193" t="s">
        <v>519</v>
      </c>
      <c r="B6441" s="210">
        <v>16</v>
      </c>
      <c r="C6441" s="191" t="str">
        <f>IF('IWP21'!E$595=0,"",'IWP21'!E$595)</f>
        <v>Subtotal column D.</v>
      </c>
      <c r="D6441" s="211">
        <f>'IWP21'!G$595</f>
        <v>0</v>
      </c>
      <c r="E6441" s="211">
        <f>'IWP21'!H$595</f>
        <v>0</v>
      </c>
      <c r="F6441" s="211">
        <f>'IWP21'!I$595</f>
        <v>0</v>
      </c>
      <c r="G6441" s="191" t="str">
        <f>IF('IWP21'!J$595=0,"",'IWP21'!J$595)</f>
        <v/>
      </c>
      <c r="H6441" s="211">
        <f>'IWP21'!K$595</f>
        <v>0</v>
      </c>
      <c r="I6441" s="211">
        <f>'IWP21'!L$595</f>
        <v>0</v>
      </c>
      <c r="J6441" s="212">
        <f>'IWP21'!M$595</f>
        <v>0</v>
      </c>
      <c r="K6441" s="106"/>
      <c r="L6441" s="106"/>
      <c r="M6441" s="129"/>
    </row>
    <row r="6442" spans="1:13" s="146" customFormat="1">
      <c r="A6442" s="193" t="s">
        <v>519</v>
      </c>
      <c r="B6442" s="210">
        <v>16</v>
      </c>
      <c r="C6442" s="191" t="str">
        <f>IF('IWP21'!E$596=0,"",'IWP21'!E$596)</f>
        <v>Unverified/Undocumented (Subtotal D - C)</v>
      </c>
      <c r="D6442" s="211">
        <f>'IWP21'!G$596</f>
        <v>0</v>
      </c>
      <c r="E6442" s="211">
        <f>'IWP21'!H$596</f>
        <v>0</v>
      </c>
      <c r="F6442" s="211">
        <f>'IWP21'!I$596</f>
        <v>0</v>
      </c>
      <c r="G6442" s="191" t="str">
        <f>IF('IWP21'!J$596=0,"",'IWP21'!J$596)</f>
        <v/>
      </c>
      <c r="H6442" s="211">
        <f>'IWP21'!K$596</f>
        <v>0</v>
      </c>
      <c r="I6442" s="211">
        <f>'IWP21'!L$596</f>
        <v>0</v>
      </c>
      <c r="J6442" s="212">
        <f>'IWP21'!M$596</f>
        <v>0</v>
      </c>
      <c r="K6442" s="106"/>
      <c r="L6442" s="106"/>
      <c r="M6442" s="129"/>
    </row>
    <row r="6443" spans="1:13" s="146" customFormat="1">
      <c r="A6443" s="193" t="s">
        <v>519</v>
      </c>
      <c r="B6443" s="210">
        <v>16</v>
      </c>
      <c r="C6443" s="191" t="str">
        <f>IF('IWP21'!E$597=0,"",'IWP21'!E$597)</f>
        <v>J. Billing Period Total</v>
      </c>
      <c r="D6443" s="211">
        <f>'IWP21'!G$597</f>
        <v>0</v>
      </c>
      <c r="E6443" s="211">
        <f>'IWP21'!H$597</f>
        <v>0</v>
      </c>
      <c r="F6443" s="211">
        <f>'IWP21'!I$597</f>
        <v>0</v>
      </c>
      <c r="G6443" s="191" t="str">
        <f>IF('IWP21'!J$597=0,"",'IWP21'!J$597)</f>
        <v/>
      </c>
      <c r="H6443" s="211">
        <f>'IWP21'!K$597</f>
        <v>0</v>
      </c>
      <c r="I6443" s="211">
        <f>'IWP21'!L$597</f>
        <v>0</v>
      </c>
      <c r="J6443" s="212">
        <f>'IWP21'!M$597</f>
        <v>0</v>
      </c>
      <c r="K6443" s="106"/>
      <c r="L6443" s="106"/>
      <c r="M6443" s="129"/>
    </row>
    <row r="6444" spans="1:13" s="146" customFormat="1">
      <c r="A6444" s="193" t="s">
        <v>519</v>
      </c>
      <c r="B6444" s="210">
        <v>16</v>
      </c>
      <c r="C6444" s="191" t="str">
        <f>IF('IWP21'!E$598=0,"",'IWP21'!E$598)</f>
        <v>D.</v>
      </c>
      <c r="D6444" s="211">
        <f>'IWP21'!G$598</f>
        <v>0</v>
      </c>
      <c r="E6444" s="211" t="str">
        <f>'IWP21'!H$598</f>
        <v>E.</v>
      </c>
      <c r="F6444" s="211" t="str">
        <f>'IWP21'!I$598</f>
        <v>F.</v>
      </c>
      <c r="G6444" s="191" t="str">
        <f>IF('IWP21'!J$598=0,"",'IWP21'!J$598)</f>
        <v>G.</v>
      </c>
      <c r="H6444" s="211">
        <f>'IWP21'!K$598</f>
        <v>0</v>
      </c>
      <c r="I6444" s="211" t="str">
        <f>'IWP21'!L$598</f>
        <v>H.</v>
      </c>
      <c r="J6444" s="212" t="str">
        <f>'IWP21'!M$598</f>
        <v>I.</v>
      </c>
      <c r="K6444" s="106"/>
      <c r="L6444" s="106"/>
      <c r="M6444" s="129"/>
    </row>
    <row r="6445" spans="1:13" s="146" customFormat="1">
      <c r="A6445" s="193" t="s">
        <v>519</v>
      </c>
      <c r="B6445" s="210">
        <v>16</v>
      </c>
      <c r="C6445" s="191" t="str">
        <f>IF('IWP21'!E$599=0,"",'IWP21'!E$599)</f>
        <v xml:space="preserve">Items/Services Related to Billing Period </v>
      </c>
      <c r="D6445" s="211">
        <f>'IWP21'!G$599</f>
        <v>0</v>
      </c>
      <c r="E6445" s="211" t="str">
        <f>'IWP21'!H$599</f>
        <v xml:space="preserve">Item/
Service Verified Amounts
</v>
      </c>
      <c r="F6445" s="211" t="str">
        <f>'IWP21'!I$599</f>
        <v>Amount Due to DADS (E. - D.)</v>
      </c>
      <c r="G6445" s="191" t="str">
        <f>IF('IWP21'!J$599=0,"",'IWP21'!J$599)</f>
        <v>Amount Reimbursed to 
Employee(s)/Employer</v>
      </c>
      <c r="H6445" s="211">
        <f>'IWP21'!K$599</f>
        <v>0</v>
      </c>
      <c r="I6445" s="211" t="str">
        <f>'IWP21'!L$599</f>
        <v>Amount Due to Employee(s) (G. - E.)</v>
      </c>
      <c r="J6445" s="212" t="str">
        <f>'IWP21'!M$599</f>
        <v>Amount Due to Employer (G. - E.)</v>
      </c>
      <c r="K6445" s="106"/>
      <c r="L6445" s="106"/>
      <c r="M6445" s="129"/>
    </row>
    <row r="6446" spans="1:13" s="146" customFormat="1">
      <c r="A6446" s="193" t="s">
        <v>519</v>
      </c>
      <c r="B6446" s="210">
        <v>16</v>
      </c>
      <c r="C6446" s="191" t="str">
        <f>IF('IWP21'!E$600=0,"",'IWP21'!E$600)</f>
        <v>Item/Service</v>
      </c>
      <c r="D6446" s="211" t="str">
        <f>'IWP21'!G$600</f>
        <v>Itemized Amount Paid by DADS</v>
      </c>
      <c r="E6446" s="211">
        <f>'IWP21'!H$600</f>
        <v>0</v>
      </c>
      <c r="F6446" s="211">
        <f>'IWP21'!I$600</f>
        <v>0</v>
      </c>
      <c r="G6446" s="191" t="str">
        <f>IF('IWP21'!J$600=0,"",'IWP21'!J$600)</f>
        <v/>
      </c>
      <c r="H6446" s="211">
        <f>'IWP21'!K$600</f>
        <v>0</v>
      </c>
      <c r="I6446" s="211">
        <f>'IWP21'!L$600</f>
        <v>0</v>
      </c>
      <c r="J6446" s="212">
        <f>'IWP21'!M$600</f>
        <v>0</v>
      </c>
      <c r="K6446" s="106"/>
      <c r="L6446" s="106"/>
      <c r="M6446" s="129"/>
    </row>
    <row r="6447" spans="1:13" s="146" customFormat="1">
      <c r="A6447" s="193" t="s">
        <v>519</v>
      </c>
      <c r="B6447" s="210">
        <v>16</v>
      </c>
      <c r="C6447" s="191" t="str">
        <f>IF('IWP21'!E$601=0,"",'IWP21'!E$601)</f>
        <v/>
      </c>
      <c r="D6447" s="211">
        <f>'IWP21'!G$601</f>
        <v>0</v>
      </c>
      <c r="E6447" s="211">
        <f>'IWP21'!H$601</f>
        <v>0</v>
      </c>
      <c r="F6447" s="211">
        <f>'IWP21'!I$601</f>
        <v>0</v>
      </c>
      <c r="G6447" s="191" t="str">
        <f>IF('IWP21'!J$601=0,"",'IWP21'!J$601)</f>
        <v/>
      </c>
      <c r="H6447" s="211">
        <f>'IWP21'!K$601</f>
        <v>0</v>
      </c>
      <c r="I6447" s="211">
        <f>'IWP21'!L$601</f>
        <v>0</v>
      </c>
      <c r="J6447" s="212">
        <f>'IWP21'!M$601</f>
        <v>0</v>
      </c>
      <c r="K6447" s="106"/>
      <c r="L6447" s="106"/>
      <c r="M6447" s="129"/>
    </row>
    <row r="6448" spans="1:13" s="146" customFormat="1">
      <c r="A6448" s="193" t="s">
        <v>519</v>
      </c>
      <c r="B6448" s="210">
        <v>16</v>
      </c>
      <c r="C6448" s="191" t="str">
        <f>IF('IWP21'!E$602=0,"",'IWP21'!E$602)</f>
        <v/>
      </c>
      <c r="D6448" s="211">
        <f>'IWP21'!G$602</f>
        <v>0</v>
      </c>
      <c r="E6448" s="211">
        <f>'IWP21'!H$602</f>
        <v>0</v>
      </c>
      <c r="F6448" s="211">
        <f>'IWP21'!I$602</f>
        <v>0</v>
      </c>
      <c r="G6448" s="191" t="str">
        <f>IF('IWP21'!J$602=0,"",'IWP21'!J$602)</f>
        <v/>
      </c>
      <c r="H6448" s="211">
        <f>'IWP21'!K$602</f>
        <v>0</v>
      </c>
      <c r="I6448" s="211">
        <f>'IWP21'!L$602</f>
        <v>0</v>
      </c>
      <c r="J6448" s="212">
        <f>'IWP21'!M$602</f>
        <v>0</v>
      </c>
      <c r="K6448" s="106"/>
      <c r="L6448" s="106"/>
      <c r="M6448" s="129"/>
    </row>
    <row r="6449" spans="1:13" s="146" customFormat="1">
      <c r="A6449" s="193" t="s">
        <v>519</v>
      </c>
      <c r="B6449" s="210">
        <v>16</v>
      </c>
      <c r="C6449" s="191" t="str">
        <f>IF('IWP21'!E$603=0,"",'IWP21'!E$603)</f>
        <v/>
      </c>
      <c r="D6449" s="211">
        <f>'IWP21'!G$603</f>
        <v>0</v>
      </c>
      <c r="E6449" s="211">
        <f>'IWP21'!H$603</f>
        <v>0</v>
      </c>
      <c r="F6449" s="211">
        <f>'IWP21'!I$603</f>
        <v>0</v>
      </c>
      <c r="G6449" s="191" t="str">
        <f>IF('IWP21'!J$603=0,"",'IWP21'!J$603)</f>
        <v/>
      </c>
      <c r="H6449" s="211">
        <f>'IWP21'!K$603</f>
        <v>0</v>
      </c>
      <c r="I6449" s="211">
        <f>'IWP21'!L$603</f>
        <v>0</v>
      </c>
      <c r="J6449" s="212">
        <f>'IWP21'!M$603</f>
        <v>0</v>
      </c>
      <c r="K6449" s="106"/>
      <c r="L6449" s="106"/>
      <c r="M6449" s="129"/>
    </row>
    <row r="6450" spans="1:13" s="146" customFormat="1">
      <c r="A6450" s="193" t="s">
        <v>519</v>
      </c>
      <c r="B6450" s="210">
        <v>16</v>
      </c>
      <c r="C6450" s="191" t="str">
        <f>IF('IWP21'!E$604=0,"",'IWP21'!E$604)</f>
        <v/>
      </c>
      <c r="D6450" s="211">
        <f>'IWP21'!G$604</f>
        <v>0</v>
      </c>
      <c r="E6450" s="211">
        <f>'IWP21'!H$604</f>
        <v>0</v>
      </c>
      <c r="F6450" s="211">
        <f>'IWP21'!I$604</f>
        <v>0</v>
      </c>
      <c r="G6450" s="191" t="str">
        <f>IF('IWP21'!J$604=0,"",'IWP21'!J$604)</f>
        <v/>
      </c>
      <c r="H6450" s="211">
        <f>'IWP21'!K$604</f>
        <v>0</v>
      </c>
      <c r="I6450" s="211">
        <f>'IWP21'!L$604</f>
        <v>0</v>
      </c>
      <c r="J6450" s="212">
        <f>'IWP21'!M$604</f>
        <v>0</v>
      </c>
      <c r="K6450" s="106"/>
      <c r="L6450" s="106"/>
      <c r="M6450" s="129"/>
    </row>
    <row r="6451" spans="1:13" s="146" customFormat="1">
      <c r="A6451" s="193" t="s">
        <v>519</v>
      </c>
      <c r="B6451" s="210">
        <v>17</v>
      </c>
      <c r="C6451" s="191" t="str">
        <f>IF('IWP21'!E$611=0,"",'IWP21'!E$611)</f>
        <v>Subtotal column D.</v>
      </c>
      <c r="D6451" s="211">
        <f>'IWP21'!G$611</f>
        <v>0</v>
      </c>
      <c r="E6451" s="211">
        <f>'IWP21'!H$611</f>
        <v>0</v>
      </c>
      <c r="F6451" s="211">
        <f>'IWP21'!I$611</f>
        <v>0</v>
      </c>
      <c r="G6451" s="191" t="str">
        <f>IF('IWP21'!J$611=0,"",'IWP21'!J$611)</f>
        <v/>
      </c>
      <c r="H6451" s="211">
        <f>'IWP21'!K$611</f>
        <v>0</v>
      </c>
      <c r="I6451" s="211">
        <f>'IWP21'!L$611</f>
        <v>0</v>
      </c>
      <c r="J6451" s="212">
        <f>'IWP21'!M$611</f>
        <v>0</v>
      </c>
      <c r="K6451" s="106"/>
      <c r="L6451" s="106"/>
      <c r="M6451" s="129"/>
    </row>
    <row r="6452" spans="1:13" s="146" customFormat="1">
      <c r="A6452" s="193" t="s">
        <v>519</v>
      </c>
      <c r="B6452" s="210">
        <v>17</v>
      </c>
      <c r="C6452" s="191" t="str">
        <f>IF('IWP21'!E$612=0,"",'IWP21'!E$612)</f>
        <v>Unverified/Undocumented (Subtotal D - C)</v>
      </c>
      <c r="D6452" s="211">
        <f>'IWP21'!G$612</f>
        <v>0</v>
      </c>
      <c r="E6452" s="211">
        <f>'IWP21'!H$612</f>
        <v>0</v>
      </c>
      <c r="F6452" s="211">
        <f>'IWP21'!I$612</f>
        <v>0</v>
      </c>
      <c r="G6452" s="191" t="str">
        <f>IF('IWP21'!J$612=0,"",'IWP21'!J$612)</f>
        <v/>
      </c>
      <c r="H6452" s="211">
        <f>'IWP21'!K$612</f>
        <v>0</v>
      </c>
      <c r="I6452" s="211">
        <f>'IWP21'!L$612</f>
        <v>0</v>
      </c>
      <c r="J6452" s="212">
        <f>'IWP21'!M$612</f>
        <v>0</v>
      </c>
      <c r="K6452" s="106"/>
      <c r="L6452" s="106"/>
      <c r="M6452" s="129"/>
    </row>
    <row r="6453" spans="1:13" s="146" customFormat="1">
      <c r="A6453" s="193" t="s">
        <v>519</v>
      </c>
      <c r="B6453" s="210">
        <v>17</v>
      </c>
      <c r="C6453" s="191" t="str">
        <f>IF('IWP21'!E$613=0,"",'IWP21'!E$613)</f>
        <v>J. Billing Period Total</v>
      </c>
      <c r="D6453" s="211">
        <f>'IWP21'!G$613</f>
        <v>0</v>
      </c>
      <c r="E6453" s="211">
        <f>'IWP21'!H$613</f>
        <v>0</v>
      </c>
      <c r="F6453" s="211">
        <f>'IWP21'!I$613</f>
        <v>0</v>
      </c>
      <c r="G6453" s="191" t="str">
        <f>IF('IWP21'!J$613=0,"",'IWP21'!J$613)</f>
        <v/>
      </c>
      <c r="H6453" s="211">
        <f>'IWP21'!K$613</f>
        <v>0</v>
      </c>
      <c r="I6453" s="211">
        <f>'IWP21'!L$613</f>
        <v>0</v>
      </c>
      <c r="J6453" s="212">
        <f>'IWP21'!M$613</f>
        <v>0</v>
      </c>
      <c r="K6453" s="106"/>
      <c r="L6453" s="106"/>
      <c r="M6453" s="129"/>
    </row>
    <row r="6454" spans="1:13" s="146" customFormat="1">
      <c r="A6454" s="193" t="s">
        <v>519</v>
      </c>
      <c r="B6454" s="210">
        <v>17</v>
      </c>
      <c r="C6454" s="191" t="str">
        <f>IF('IWP21'!E$614=0,"",'IWP21'!E$614)</f>
        <v/>
      </c>
      <c r="D6454" s="211">
        <f>'IWP21'!G$614</f>
        <v>0</v>
      </c>
      <c r="E6454" s="211">
        <f>'IWP21'!H$614</f>
        <v>0</v>
      </c>
      <c r="F6454" s="211">
        <f>'IWP21'!I$614</f>
        <v>0</v>
      </c>
      <c r="G6454" s="191" t="str">
        <f>IF('IWP21'!J$614=0,"",'IWP21'!J$614)</f>
        <v/>
      </c>
      <c r="H6454" s="211">
        <f>'IWP21'!K$614</f>
        <v>0</v>
      </c>
      <c r="I6454" s="211">
        <f>'IWP21'!L$614</f>
        <v>0</v>
      </c>
      <c r="J6454" s="212">
        <f>'IWP21'!M$614</f>
        <v>0</v>
      </c>
      <c r="K6454" s="106"/>
      <c r="L6454" s="106"/>
      <c r="M6454" s="129"/>
    </row>
    <row r="6455" spans="1:13" s="146" customFormat="1">
      <c r="A6455" s="193" t="s">
        <v>519</v>
      </c>
      <c r="B6455" s="210">
        <v>17</v>
      </c>
      <c r="C6455" s="191" t="str">
        <f>IF('IWP21'!E$615=0,"",'IWP21'!E$615)</f>
        <v/>
      </c>
      <c r="D6455" s="211">
        <f>'IWP21'!G$615</f>
        <v>0</v>
      </c>
      <c r="E6455" s="211">
        <f>'IWP21'!H$615</f>
        <v>0</v>
      </c>
      <c r="F6455" s="211">
        <f>'IWP21'!I$615</f>
        <v>0</v>
      </c>
      <c r="G6455" s="191" t="str">
        <f>IF('IWP21'!J$615=0,"",'IWP21'!J$615)</f>
        <v/>
      </c>
      <c r="H6455" s="211">
        <f>'IWP21'!K$615</f>
        <v>0</v>
      </c>
      <c r="I6455" s="211">
        <f>'IWP21'!L$615</f>
        <v>0</v>
      </c>
      <c r="J6455" s="212">
        <f>'IWP21'!M$615</f>
        <v>0</v>
      </c>
      <c r="K6455" s="106"/>
      <c r="L6455" s="106"/>
      <c r="M6455" s="129"/>
    </row>
    <row r="6456" spans="1:13" s="146" customFormat="1">
      <c r="A6456" s="193" t="s">
        <v>519</v>
      </c>
      <c r="B6456" s="210">
        <v>17</v>
      </c>
      <c r="C6456" s="191" t="str">
        <f>IF('IWP21'!E$616=0,"",'IWP21'!E$616)</f>
        <v/>
      </c>
      <c r="D6456" s="211">
        <f>'IWP21'!G$616</f>
        <v>0</v>
      </c>
      <c r="E6456" s="211">
        <f>'IWP21'!H$616</f>
        <v>0</v>
      </c>
      <c r="F6456" s="211">
        <f>'IWP21'!I$616</f>
        <v>0</v>
      </c>
      <c r="G6456" s="191" t="str">
        <f>IF('IWP21'!J$616=0,"",'IWP21'!J$616)</f>
        <v/>
      </c>
      <c r="H6456" s="211">
        <f>'IWP21'!K$616</f>
        <v>0</v>
      </c>
      <c r="I6456" s="211">
        <f>'IWP21'!L$616</f>
        <v>0</v>
      </c>
      <c r="J6456" s="212">
        <f>'IWP21'!M$616</f>
        <v>0</v>
      </c>
      <c r="K6456" s="106"/>
      <c r="L6456" s="106"/>
      <c r="M6456" s="129"/>
    </row>
    <row r="6457" spans="1:13" s="146" customFormat="1">
      <c r="A6457" s="193" t="s">
        <v>519</v>
      </c>
      <c r="B6457" s="210">
        <v>17</v>
      </c>
      <c r="C6457" s="191" t="str">
        <f>IF('IWP21'!E$617=0,"",'IWP21'!E$617)</f>
        <v/>
      </c>
      <c r="D6457" s="211">
        <f>'IWP21'!G$617</f>
        <v>0</v>
      </c>
      <c r="E6457" s="211">
        <f>'IWP21'!H$617</f>
        <v>0</v>
      </c>
      <c r="F6457" s="211">
        <f>'IWP21'!I$617</f>
        <v>0</v>
      </c>
      <c r="G6457" s="191" t="str">
        <f>IF('IWP21'!J$617=0,"",'IWP21'!J$617)</f>
        <v/>
      </c>
      <c r="H6457" s="211">
        <f>'IWP21'!K$617</f>
        <v>0</v>
      </c>
      <c r="I6457" s="211">
        <f>'IWP21'!L$617</f>
        <v>0</v>
      </c>
      <c r="J6457" s="212">
        <f>'IWP21'!M$617</f>
        <v>0</v>
      </c>
      <c r="K6457" s="106"/>
      <c r="L6457" s="106"/>
      <c r="M6457" s="129"/>
    </row>
    <row r="6458" spans="1:13" s="146" customFormat="1">
      <c r="A6458" s="193" t="s">
        <v>519</v>
      </c>
      <c r="B6458" s="210">
        <v>17</v>
      </c>
      <c r="C6458" s="191" t="str">
        <f>IF('IWP21'!E$618=0,"",'IWP21'!E$618)</f>
        <v/>
      </c>
      <c r="D6458" s="211">
        <f>'IWP21'!G$618</f>
        <v>0</v>
      </c>
      <c r="E6458" s="211">
        <f>'IWP21'!H$618</f>
        <v>0</v>
      </c>
      <c r="F6458" s="211">
        <f>'IWP21'!I$618</f>
        <v>0</v>
      </c>
      <c r="G6458" s="191" t="str">
        <f>IF('IWP21'!J$618=0,"",'IWP21'!J$618)</f>
        <v/>
      </c>
      <c r="H6458" s="211">
        <f>'IWP21'!K$618</f>
        <v>0</v>
      </c>
      <c r="I6458" s="211">
        <f>'IWP21'!L$618</f>
        <v>0</v>
      </c>
      <c r="J6458" s="212">
        <f>'IWP21'!M$618</f>
        <v>0</v>
      </c>
      <c r="K6458" s="106"/>
      <c r="L6458" s="106"/>
      <c r="M6458" s="129"/>
    </row>
    <row r="6459" spans="1:13" s="146" customFormat="1">
      <c r="A6459" s="193" t="s">
        <v>519</v>
      </c>
      <c r="B6459" s="210">
        <v>17</v>
      </c>
      <c r="C6459" s="191" t="str">
        <f>IF('IWP21'!E$619=0,"",'IWP21'!E$619)</f>
        <v/>
      </c>
      <c r="D6459" s="211">
        <f>'IWP21'!G$619</f>
        <v>0</v>
      </c>
      <c r="E6459" s="211">
        <f>'IWP21'!H$619</f>
        <v>0</v>
      </c>
      <c r="F6459" s="211">
        <f>'IWP21'!I$619</f>
        <v>0</v>
      </c>
      <c r="G6459" s="191" t="str">
        <f>IF('IWP21'!J$619=0,"",'IWP21'!J$619)</f>
        <v/>
      </c>
      <c r="H6459" s="211">
        <f>'IWP21'!K$619</f>
        <v>0</v>
      </c>
      <c r="I6459" s="211">
        <f>'IWP21'!L$619</f>
        <v>0</v>
      </c>
      <c r="J6459" s="212">
        <f>'IWP21'!M$619</f>
        <v>0</v>
      </c>
      <c r="K6459" s="106"/>
      <c r="L6459" s="106"/>
      <c r="M6459" s="129"/>
    </row>
    <row r="6460" spans="1:13" s="146" customFormat="1">
      <c r="A6460" s="193" t="s">
        <v>519</v>
      </c>
      <c r="B6460" s="210">
        <v>17</v>
      </c>
      <c r="C6460" s="191" t="str">
        <f>IF('IWP21'!E$620=0,"",'IWP21'!E$620)</f>
        <v/>
      </c>
      <c r="D6460" s="211">
        <f>'IWP21'!G$620</f>
        <v>0</v>
      </c>
      <c r="E6460" s="211">
        <f>'IWP21'!H$620</f>
        <v>0</v>
      </c>
      <c r="F6460" s="211">
        <f>'IWP21'!I$620</f>
        <v>0</v>
      </c>
      <c r="G6460" s="191" t="str">
        <f>IF('IWP21'!J$620=0,"",'IWP21'!J$620)</f>
        <v/>
      </c>
      <c r="H6460" s="211">
        <f>'IWP21'!K$620</f>
        <v>0</v>
      </c>
      <c r="I6460" s="211">
        <f>'IWP21'!L$620</f>
        <v>0</v>
      </c>
      <c r="J6460" s="212">
        <f>'IWP21'!M$620</f>
        <v>0</v>
      </c>
      <c r="K6460" s="106"/>
      <c r="L6460" s="106"/>
      <c r="M6460" s="129"/>
    </row>
    <row r="6461" spans="1:13" s="146" customFormat="1">
      <c r="A6461" s="193" t="s">
        <v>519</v>
      </c>
      <c r="B6461" s="210">
        <v>18</v>
      </c>
      <c r="C6461" s="191" t="str">
        <f>IF('IWP21'!E$627=0,"",'IWP21'!E$627)</f>
        <v/>
      </c>
      <c r="D6461" s="211">
        <f>'IWP21'!G$627</f>
        <v>0</v>
      </c>
      <c r="E6461" s="211">
        <f>'IWP21'!H$627</f>
        <v>0</v>
      </c>
      <c r="F6461" s="211">
        <f>'IWP21'!I$627</f>
        <v>0</v>
      </c>
      <c r="G6461" s="191" t="str">
        <f>IF('IWP21'!J$627=0,"",'IWP21'!J$627)</f>
        <v/>
      </c>
      <c r="H6461" s="211">
        <f>'IWP21'!K$627</f>
        <v>0</v>
      </c>
      <c r="I6461" s="211">
        <f>'IWP21'!L$627</f>
        <v>0</v>
      </c>
      <c r="J6461" s="212">
        <f>'IWP21'!M$627</f>
        <v>0</v>
      </c>
      <c r="K6461" s="106"/>
      <c r="L6461" s="106"/>
      <c r="M6461" s="129"/>
    </row>
    <row r="6462" spans="1:13" s="146" customFormat="1">
      <c r="A6462" s="193" t="s">
        <v>519</v>
      </c>
      <c r="B6462" s="210">
        <v>18</v>
      </c>
      <c r="C6462" s="191" t="str">
        <f>IF('IWP21'!E$628=0,"",'IWP21'!E$628)</f>
        <v/>
      </c>
      <c r="D6462" s="211">
        <f>'IWP21'!G$628</f>
        <v>0</v>
      </c>
      <c r="E6462" s="211">
        <f>'IWP21'!H$628</f>
        <v>0</v>
      </c>
      <c r="F6462" s="211">
        <f>'IWP21'!I$628</f>
        <v>0</v>
      </c>
      <c r="G6462" s="191" t="str">
        <f>IF('IWP21'!J$628=0,"",'IWP21'!J$628)</f>
        <v/>
      </c>
      <c r="H6462" s="211">
        <f>'IWP21'!K$628</f>
        <v>0</v>
      </c>
      <c r="I6462" s="211">
        <f>'IWP21'!L$628</f>
        <v>0</v>
      </c>
      <c r="J6462" s="212">
        <f>'IWP21'!M$628</f>
        <v>0</v>
      </c>
      <c r="K6462" s="106"/>
      <c r="L6462" s="106"/>
      <c r="M6462" s="129"/>
    </row>
    <row r="6463" spans="1:13" s="146" customFormat="1">
      <c r="A6463" s="193" t="s">
        <v>519</v>
      </c>
      <c r="B6463" s="210">
        <v>18</v>
      </c>
      <c r="C6463" s="191" t="str">
        <f>IF('IWP21'!E$629=0,"",'IWP21'!E$629)</f>
        <v/>
      </c>
      <c r="D6463" s="211">
        <f>'IWP21'!G$629</f>
        <v>0</v>
      </c>
      <c r="E6463" s="211">
        <f>'IWP21'!H$629</f>
        <v>0</v>
      </c>
      <c r="F6463" s="211">
        <f>'IWP21'!I$629</f>
        <v>0</v>
      </c>
      <c r="G6463" s="191" t="str">
        <f>IF('IWP21'!J$629=0,"",'IWP21'!J$629)</f>
        <v/>
      </c>
      <c r="H6463" s="211">
        <f>'IWP21'!K$629</f>
        <v>0</v>
      </c>
      <c r="I6463" s="211">
        <f>'IWP21'!L$629</f>
        <v>0</v>
      </c>
      <c r="J6463" s="212">
        <f>'IWP21'!M$629</f>
        <v>0</v>
      </c>
      <c r="K6463" s="106"/>
      <c r="L6463" s="106"/>
      <c r="M6463" s="129"/>
    </row>
    <row r="6464" spans="1:13" s="146" customFormat="1">
      <c r="A6464" s="193" t="s">
        <v>519</v>
      </c>
      <c r="B6464" s="210">
        <v>18</v>
      </c>
      <c r="C6464" s="191" t="str">
        <f>IF('IWP21'!E$630=0,"",'IWP21'!E$630)</f>
        <v/>
      </c>
      <c r="D6464" s="211">
        <f>'IWP21'!G$630</f>
        <v>0</v>
      </c>
      <c r="E6464" s="211">
        <f>'IWP21'!H$630</f>
        <v>0</v>
      </c>
      <c r="F6464" s="211">
        <f>'IWP21'!I$630</f>
        <v>0</v>
      </c>
      <c r="G6464" s="191" t="str">
        <f>IF('IWP21'!J$630=0,"",'IWP21'!J$630)</f>
        <v/>
      </c>
      <c r="H6464" s="211">
        <f>'IWP21'!K$630</f>
        <v>0</v>
      </c>
      <c r="I6464" s="211">
        <f>'IWP21'!L$630</f>
        <v>0</v>
      </c>
      <c r="J6464" s="212">
        <f>'IWP21'!M$630</f>
        <v>0</v>
      </c>
      <c r="K6464" s="106"/>
      <c r="L6464" s="106"/>
      <c r="M6464" s="129"/>
    </row>
    <row r="6465" spans="1:13" s="146" customFormat="1">
      <c r="A6465" s="193" t="s">
        <v>519</v>
      </c>
      <c r="B6465" s="210">
        <v>18</v>
      </c>
      <c r="C6465" s="191" t="str">
        <f>IF('IWP21'!E$631=0,"",'IWP21'!E$631)</f>
        <v/>
      </c>
      <c r="D6465" s="211">
        <f>'IWP21'!G$631</f>
        <v>0</v>
      </c>
      <c r="E6465" s="211">
        <f>'IWP21'!H$631</f>
        <v>0</v>
      </c>
      <c r="F6465" s="211">
        <f>'IWP21'!I$631</f>
        <v>0</v>
      </c>
      <c r="G6465" s="191" t="str">
        <f>IF('IWP21'!J$631=0,"",'IWP21'!J$631)</f>
        <v/>
      </c>
      <c r="H6465" s="211">
        <f>'IWP21'!K$631</f>
        <v>0</v>
      </c>
      <c r="I6465" s="211">
        <f>'IWP21'!L$631</f>
        <v>0</v>
      </c>
      <c r="J6465" s="212">
        <f>'IWP21'!M$631</f>
        <v>0</v>
      </c>
      <c r="K6465" s="106"/>
      <c r="L6465" s="106"/>
      <c r="M6465" s="129"/>
    </row>
    <row r="6466" spans="1:13" s="146" customFormat="1">
      <c r="A6466" s="193" t="s">
        <v>519</v>
      </c>
      <c r="B6466" s="210">
        <v>18</v>
      </c>
      <c r="C6466" s="191" t="str">
        <f>IF('IWP21'!E$632=0,"",'IWP21'!E$632)</f>
        <v/>
      </c>
      <c r="D6466" s="211">
        <f>'IWP21'!G$632</f>
        <v>0</v>
      </c>
      <c r="E6466" s="211">
        <f>'IWP21'!H$632</f>
        <v>0</v>
      </c>
      <c r="F6466" s="211">
        <f>'IWP21'!I$632</f>
        <v>0</v>
      </c>
      <c r="G6466" s="191" t="str">
        <f>IF('IWP21'!J$632=0,"",'IWP21'!J$632)</f>
        <v/>
      </c>
      <c r="H6466" s="211">
        <f>'IWP21'!K$632</f>
        <v>0</v>
      </c>
      <c r="I6466" s="211">
        <f>'IWP21'!L$632</f>
        <v>0</v>
      </c>
      <c r="J6466" s="212">
        <f>'IWP21'!M$632</f>
        <v>0</v>
      </c>
      <c r="K6466" s="106"/>
      <c r="L6466" s="106"/>
      <c r="M6466" s="129"/>
    </row>
    <row r="6467" spans="1:13" s="146" customFormat="1">
      <c r="A6467" s="193" t="s">
        <v>519</v>
      </c>
      <c r="B6467" s="210">
        <v>18</v>
      </c>
      <c r="C6467" s="191" t="str">
        <f>IF('IWP21'!E$633=0,"",'IWP21'!E$633)</f>
        <v/>
      </c>
      <c r="D6467" s="211">
        <f>'IWP21'!G$633</f>
        <v>0</v>
      </c>
      <c r="E6467" s="211">
        <f>'IWP21'!H$633</f>
        <v>0</v>
      </c>
      <c r="F6467" s="211">
        <f>'IWP21'!I$633</f>
        <v>0</v>
      </c>
      <c r="G6467" s="191" t="str">
        <f>IF('IWP21'!J$633=0,"",'IWP21'!J$633)</f>
        <v/>
      </c>
      <c r="H6467" s="211">
        <f>'IWP21'!K$633</f>
        <v>0</v>
      </c>
      <c r="I6467" s="211">
        <f>'IWP21'!L$633</f>
        <v>0</v>
      </c>
      <c r="J6467" s="212">
        <f>'IWP21'!M$633</f>
        <v>0</v>
      </c>
      <c r="K6467" s="106"/>
      <c r="L6467" s="106"/>
      <c r="M6467" s="129"/>
    </row>
    <row r="6468" spans="1:13" s="146" customFormat="1">
      <c r="A6468" s="193" t="s">
        <v>519</v>
      </c>
      <c r="B6468" s="210">
        <v>18</v>
      </c>
      <c r="C6468" s="191" t="str">
        <f>IF('IWP21'!E$634=0,"",'IWP21'!E$634)</f>
        <v/>
      </c>
      <c r="D6468" s="211">
        <f>'IWP21'!G$634</f>
        <v>0</v>
      </c>
      <c r="E6468" s="211">
        <f>'IWP21'!H$634</f>
        <v>0</v>
      </c>
      <c r="F6468" s="211">
        <f>'IWP21'!I$634</f>
        <v>0</v>
      </c>
      <c r="G6468" s="191" t="str">
        <f>IF('IWP21'!J$634=0,"",'IWP21'!J$634)</f>
        <v/>
      </c>
      <c r="H6468" s="211">
        <f>'IWP21'!K$634</f>
        <v>0</v>
      </c>
      <c r="I6468" s="211">
        <f>'IWP21'!L$634</f>
        <v>0</v>
      </c>
      <c r="J6468" s="212">
        <f>'IWP21'!M$634</f>
        <v>0</v>
      </c>
      <c r="K6468" s="106"/>
      <c r="L6468" s="106"/>
      <c r="M6468" s="129"/>
    </row>
    <row r="6469" spans="1:13" s="146" customFormat="1">
      <c r="A6469" s="193" t="s">
        <v>519</v>
      </c>
      <c r="B6469" s="210">
        <v>18</v>
      </c>
      <c r="C6469" s="191" t="str">
        <f>IF('IWP21'!E$635=0,"",'IWP21'!E$635)</f>
        <v/>
      </c>
      <c r="D6469" s="211">
        <f>'IWP21'!G$635</f>
        <v>0</v>
      </c>
      <c r="E6469" s="211">
        <f>'IWP21'!H$635</f>
        <v>0</v>
      </c>
      <c r="F6469" s="211">
        <f>'IWP21'!I$635</f>
        <v>0</v>
      </c>
      <c r="G6469" s="191" t="str">
        <f>IF('IWP21'!J$635=0,"",'IWP21'!J$635)</f>
        <v/>
      </c>
      <c r="H6469" s="211">
        <f>'IWP21'!K$635</f>
        <v>0</v>
      </c>
      <c r="I6469" s="211">
        <f>'IWP21'!L$635</f>
        <v>0</v>
      </c>
      <c r="J6469" s="212">
        <f>'IWP21'!M$635</f>
        <v>0</v>
      </c>
      <c r="K6469" s="106"/>
      <c r="L6469" s="106"/>
      <c r="M6469" s="129"/>
    </row>
    <row r="6470" spans="1:13" s="146" customFormat="1">
      <c r="A6470" s="193" t="s">
        <v>519</v>
      </c>
      <c r="B6470" s="210">
        <v>18</v>
      </c>
      <c r="C6470" s="191" t="str">
        <f>IF('IWP21'!E$636=0,"",'IWP21'!E$636)</f>
        <v/>
      </c>
      <c r="D6470" s="211">
        <f>'IWP21'!G$636</f>
        <v>0</v>
      </c>
      <c r="E6470" s="211">
        <f>'IWP21'!H$636</f>
        <v>0</v>
      </c>
      <c r="F6470" s="211">
        <f>'IWP21'!I$636</f>
        <v>0</v>
      </c>
      <c r="G6470" s="191" t="str">
        <f>IF('IWP21'!J$636=0,"",'IWP21'!J$636)</f>
        <v/>
      </c>
      <c r="H6470" s="211">
        <f>'IWP21'!K$636</f>
        <v>0</v>
      </c>
      <c r="I6470" s="211">
        <f>'IWP21'!L$636</f>
        <v>0</v>
      </c>
      <c r="J6470" s="212">
        <f>'IWP21'!M$636</f>
        <v>0</v>
      </c>
      <c r="K6470" s="106"/>
      <c r="L6470" s="106"/>
      <c r="M6470" s="129"/>
    </row>
    <row r="6471" spans="1:13" s="146" customFormat="1">
      <c r="A6471" s="193" t="s">
        <v>520</v>
      </c>
      <c r="B6471" s="210">
        <v>1</v>
      </c>
      <c r="C6471" s="191" t="str">
        <f>IF('IWP22'!E$355=0,"",'IWP22'!E$355)</f>
        <v>Subtotal column D.</v>
      </c>
      <c r="D6471" s="211">
        <f>'IWP22'!G$355</f>
        <v>0</v>
      </c>
      <c r="E6471" s="211">
        <f>'IWP22'!H$355</f>
        <v>0</v>
      </c>
      <c r="F6471" s="211">
        <f>'IWP22'!I$355</f>
        <v>0</v>
      </c>
      <c r="G6471" s="191" t="str">
        <f>IF('IWP22'!J$355=0,"",'IWP22'!J$355)</f>
        <v/>
      </c>
      <c r="H6471" s="211">
        <f>'IWP22'!K$355</f>
        <v>0</v>
      </c>
      <c r="I6471" s="211">
        <f>'IWP22'!L$355</f>
        <v>0</v>
      </c>
      <c r="J6471" s="212">
        <f>'IWP22'!M$355</f>
        <v>0</v>
      </c>
      <c r="K6471" s="106"/>
      <c r="L6471" s="106"/>
      <c r="M6471" s="129"/>
    </row>
    <row r="6472" spans="1:13" s="146" customFormat="1">
      <c r="A6472" s="193" t="s">
        <v>520</v>
      </c>
      <c r="B6472" s="210">
        <v>1</v>
      </c>
      <c r="C6472" s="191" t="str">
        <f>IF('IWP22'!E$356=0,"",'IWP22'!E$356)</f>
        <v>Unverified/Undocumented (Subtotall D - C)</v>
      </c>
      <c r="D6472" s="211">
        <f>'IWP22'!G$356</f>
        <v>0</v>
      </c>
      <c r="E6472" s="211">
        <f>'IWP22'!H$356</f>
        <v>0</v>
      </c>
      <c r="F6472" s="211">
        <f>'IWP22'!I$356</f>
        <v>0</v>
      </c>
      <c r="G6472" s="191" t="str">
        <f>IF('IWP22'!J$356=0,"",'IWP22'!J$356)</f>
        <v/>
      </c>
      <c r="H6472" s="211">
        <f>'IWP22'!K$356</f>
        <v>0</v>
      </c>
      <c r="I6472" s="211">
        <f>'IWP22'!L$356</f>
        <v>0</v>
      </c>
      <c r="J6472" s="212">
        <f>'IWP22'!M$356</f>
        <v>0</v>
      </c>
      <c r="K6472" s="106"/>
      <c r="L6472" s="106"/>
      <c r="M6472" s="129"/>
    </row>
    <row r="6473" spans="1:13" s="146" customFormat="1">
      <c r="A6473" s="193" t="s">
        <v>520</v>
      </c>
      <c r="B6473" s="210">
        <v>1</v>
      </c>
      <c r="C6473" s="191" t="str">
        <f>IF('IWP22'!E$357=0,"",'IWP22'!E$357)</f>
        <v>J. Billing Period Total</v>
      </c>
      <c r="D6473" s="211">
        <f>'IWP22'!G$357</f>
        <v>0</v>
      </c>
      <c r="E6473" s="211">
        <f>'IWP22'!H$357</f>
        <v>0</v>
      </c>
      <c r="F6473" s="211">
        <f>'IWP22'!I$357</f>
        <v>0</v>
      </c>
      <c r="G6473" s="191" t="str">
        <f>IF('IWP22'!J$357=0,"",'IWP22'!J$357)</f>
        <v/>
      </c>
      <c r="H6473" s="211">
        <f>'IWP22'!K$357</f>
        <v>0</v>
      </c>
      <c r="I6473" s="211">
        <f>'IWP22'!L$357</f>
        <v>0</v>
      </c>
      <c r="J6473" s="212">
        <f>'IWP22'!M$357</f>
        <v>0</v>
      </c>
      <c r="K6473" s="106"/>
      <c r="L6473" s="106"/>
      <c r="M6473" s="129"/>
    </row>
    <row r="6474" spans="1:13" s="146" customFormat="1">
      <c r="A6474" s="193" t="s">
        <v>520</v>
      </c>
      <c r="B6474" s="210">
        <v>1</v>
      </c>
      <c r="C6474" s="191" t="str">
        <f>IF('IWP22'!E$358=0,"",'IWP22'!E$358)</f>
        <v>D.</v>
      </c>
      <c r="D6474" s="211">
        <f>'IWP22'!G$358</f>
        <v>0</v>
      </c>
      <c r="E6474" s="211" t="str">
        <f>'IWP22'!H$358</f>
        <v>E.</v>
      </c>
      <c r="F6474" s="211" t="str">
        <f>'IWP22'!I$358</f>
        <v>F.</v>
      </c>
      <c r="G6474" s="191" t="str">
        <f>IF('IWP22'!J$358=0,"",'IWP22'!J$358)</f>
        <v>G.</v>
      </c>
      <c r="H6474" s="211">
        <f>'IWP22'!K$358</f>
        <v>0</v>
      </c>
      <c r="I6474" s="211" t="str">
        <f>'IWP22'!L$358</f>
        <v>H.</v>
      </c>
      <c r="J6474" s="212" t="str">
        <f>'IWP22'!M$358</f>
        <v>I.</v>
      </c>
      <c r="K6474" s="106"/>
      <c r="L6474" s="106"/>
      <c r="M6474" s="129"/>
    </row>
    <row r="6475" spans="1:13" s="146" customFormat="1">
      <c r="A6475" s="193" t="s">
        <v>520</v>
      </c>
      <c r="B6475" s="210">
        <v>1</v>
      </c>
      <c r="C6475" s="191" t="str">
        <f>IF('IWP22'!E$359=0,"",'IWP22'!E$359)</f>
        <v xml:space="preserve">Items/Services Related to Billing Period </v>
      </c>
      <c r="D6475" s="211">
        <f>'IWP22'!G$359</f>
        <v>0</v>
      </c>
      <c r="E6475" s="211" t="str">
        <f>'IWP22'!H$359</f>
        <v xml:space="preserve">Item/
Service Verified Amounts
</v>
      </c>
      <c r="F6475" s="211" t="str">
        <f>'IWP22'!I$359</f>
        <v>Amount Due to DADS (E. - D.)</v>
      </c>
      <c r="G6475" s="191" t="str">
        <f>IF('IWP22'!J$359=0,"",'IWP22'!J$359)</f>
        <v>Amount Reimbursed to 
Employee(s)/Employer</v>
      </c>
      <c r="H6475" s="211">
        <f>'IWP22'!K$359</f>
        <v>0</v>
      </c>
      <c r="I6475" s="211" t="str">
        <f>'IWP22'!L$359</f>
        <v>Amount Due to Employee(s) (G. - E.)</v>
      </c>
      <c r="J6475" s="212" t="str">
        <f>'IWP22'!M$359</f>
        <v>Amount Due to Employer (G. - E.)</v>
      </c>
      <c r="K6475" s="106"/>
      <c r="L6475" s="106"/>
      <c r="M6475" s="129"/>
    </row>
    <row r="6476" spans="1:13" s="146" customFormat="1">
      <c r="A6476" s="193" t="s">
        <v>520</v>
      </c>
      <c r="B6476" s="210">
        <v>1</v>
      </c>
      <c r="C6476" s="191" t="str">
        <f>IF('IWP22'!E$360=0,"",'IWP22'!E$360)</f>
        <v>Item/Service</v>
      </c>
      <c r="D6476" s="211" t="str">
        <f>'IWP22'!G$360</f>
        <v>Itemized Amount Paid by DADS</v>
      </c>
      <c r="E6476" s="211">
        <f>'IWP22'!H$360</f>
        <v>0</v>
      </c>
      <c r="F6476" s="211">
        <f>'IWP22'!I$360</f>
        <v>0</v>
      </c>
      <c r="G6476" s="191" t="str">
        <f>IF('IWP22'!J$360=0,"",'IWP22'!J$360)</f>
        <v/>
      </c>
      <c r="H6476" s="211">
        <f>'IWP22'!K$360</f>
        <v>0</v>
      </c>
      <c r="I6476" s="211">
        <f>'IWP22'!L$360</f>
        <v>0</v>
      </c>
      <c r="J6476" s="212">
        <f>'IWP22'!M$360</f>
        <v>0</v>
      </c>
      <c r="K6476" s="106"/>
      <c r="L6476" s="106"/>
      <c r="M6476" s="129"/>
    </row>
    <row r="6477" spans="1:13" s="146" customFormat="1">
      <c r="A6477" s="193" t="s">
        <v>520</v>
      </c>
      <c r="B6477" s="210">
        <v>1</v>
      </c>
      <c r="C6477" s="191" t="str">
        <f>IF('IWP22'!E$361=0,"",'IWP22'!E$361)</f>
        <v/>
      </c>
      <c r="D6477" s="211">
        <f>'IWP22'!G$361</f>
        <v>0</v>
      </c>
      <c r="E6477" s="211">
        <f>'IWP22'!H$361</f>
        <v>0</v>
      </c>
      <c r="F6477" s="211">
        <f>'IWP22'!I$361</f>
        <v>0</v>
      </c>
      <c r="G6477" s="191" t="str">
        <f>IF('IWP22'!J$361=0,"",'IWP22'!J$361)</f>
        <v/>
      </c>
      <c r="H6477" s="211">
        <f>'IWP22'!K$361</f>
        <v>0</v>
      </c>
      <c r="I6477" s="211">
        <f>'IWP22'!L$361</f>
        <v>0</v>
      </c>
      <c r="J6477" s="212">
        <f>'IWP22'!M$361</f>
        <v>0</v>
      </c>
      <c r="K6477" s="106"/>
      <c r="L6477" s="106"/>
      <c r="M6477" s="129"/>
    </row>
    <row r="6478" spans="1:13" s="146" customFormat="1">
      <c r="A6478" s="193" t="s">
        <v>520</v>
      </c>
      <c r="B6478" s="210">
        <v>1</v>
      </c>
      <c r="C6478" s="191" t="str">
        <f>IF('IWP22'!E$362=0,"",'IWP22'!E$362)</f>
        <v/>
      </c>
      <c r="D6478" s="211">
        <f>'IWP22'!G$362</f>
        <v>0</v>
      </c>
      <c r="E6478" s="211">
        <f>'IWP22'!H$362</f>
        <v>0</v>
      </c>
      <c r="F6478" s="211">
        <f>'IWP22'!I$362</f>
        <v>0</v>
      </c>
      <c r="G6478" s="191" t="str">
        <f>IF('IWP22'!J$362=0,"",'IWP22'!J$362)</f>
        <v/>
      </c>
      <c r="H6478" s="211">
        <f>'IWP22'!K$362</f>
        <v>0</v>
      </c>
      <c r="I6478" s="211">
        <f>'IWP22'!L$362</f>
        <v>0</v>
      </c>
      <c r="J6478" s="212">
        <f>'IWP22'!M$362</f>
        <v>0</v>
      </c>
      <c r="K6478" s="106"/>
      <c r="L6478" s="106"/>
      <c r="M6478" s="129"/>
    </row>
    <row r="6479" spans="1:13" s="146" customFormat="1">
      <c r="A6479" s="193" t="s">
        <v>520</v>
      </c>
      <c r="B6479" s="210">
        <v>1</v>
      </c>
      <c r="C6479" s="191" t="str">
        <f>IF('IWP22'!E$363=0,"",'IWP22'!E$363)</f>
        <v/>
      </c>
      <c r="D6479" s="211">
        <f>'IWP22'!G$363</f>
        <v>0</v>
      </c>
      <c r="E6479" s="211">
        <f>'IWP22'!H$363</f>
        <v>0</v>
      </c>
      <c r="F6479" s="211">
        <f>'IWP22'!I$363</f>
        <v>0</v>
      </c>
      <c r="G6479" s="191" t="str">
        <f>IF('IWP22'!J$363=0,"",'IWP22'!J$363)</f>
        <v/>
      </c>
      <c r="H6479" s="211">
        <f>'IWP22'!K$363</f>
        <v>0</v>
      </c>
      <c r="I6479" s="211">
        <f>'IWP22'!L$363</f>
        <v>0</v>
      </c>
      <c r="J6479" s="212">
        <f>'IWP22'!M$363</f>
        <v>0</v>
      </c>
      <c r="K6479" s="106"/>
      <c r="L6479" s="106"/>
      <c r="M6479" s="129"/>
    </row>
    <row r="6480" spans="1:13" s="146" customFormat="1">
      <c r="A6480" s="193" t="s">
        <v>520</v>
      </c>
      <c r="B6480" s="210">
        <v>1</v>
      </c>
      <c r="C6480" s="191" t="str">
        <f>IF('IWP22'!E$364=0,"",'IWP22'!E$364)</f>
        <v/>
      </c>
      <c r="D6480" s="211">
        <f>'IWP22'!G$364</f>
        <v>0</v>
      </c>
      <c r="E6480" s="211">
        <f>'IWP22'!H$364</f>
        <v>0</v>
      </c>
      <c r="F6480" s="211">
        <f>'IWP22'!I$364</f>
        <v>0</v>
      </c>
      <c r="G6480" s="191" t="str">
        <f>IF('IWP22'!J$364=0,"",'IWP22'!J$364)</f>
        <v/>
      </c>
      <c r="H6480" s="211">
        <f>'IWP22'!K$364</f>
        <v>0</v>
      </c>
      <c r="I6480" s="211">
        <f>'IWP22'!L$364</f>
        <v>0</v>
      </c>
      <c r="J6480" s="212">
        <f>'IWP22'!M$364</f>
        <v>0</v>
      </c>
      <c r="K6480" s="106"/>
      <c r="L6480" s="106"/>
      <c r="M6480" s="129"/>
    </row>
    <row r="6481" spans="1:13" s="146" customFormat="1">
      <c r="A6481" s="193" t="s">
        <v>520</v>
      </c>
      <c r="B6481" s="210">
        <v>2</v>
      </c>
      <c r="C6481" s="191" t="str">
        <f>IF('IWP22'!E$371=0,"",'IWP22'!E$371)</f>
        <v>Subtotal column D.</v>
      </c>
      <c r="D6481" s="211">
        <f>'IWP22'!G$371</f>
        <v>0</v>
      </c>
      <c r="E6481" s="211">
        <f>'IWP22'!H$371</f>
        <v>0</v>
      </c>
      <c r="F6481" s="211">
        <f>'IWP22'!I$371</f>
        <v>0</v>
      </c>
      <c r="G6481" s="191" t="str">
        <f>IF('IWP22'!J$371=0,"",'IWP22'!J$371)</f>
        <v/>
      </c>
      <c r="H6481" s="211">
        <f>'IWP22'!K$371</f>
        <v>0</v>
      </c>
      <c r="I6481" s="211">
        <f>'IWP22'!L$371</f>
        <v>0</v>
      </c>
      <c r="J6481" s="212">
        <f>'IWP22'!M$371</f>
        <v>0</v>
      </c>
      <c r="K6481" s="106"/>
      <c r="L6481" s="106"/>
      <c r="M6481" s="129"/>
    </row>
    <row r="6482" spans="1:13" s="146" customFormat="1">
      <c r="A6482" s="193" t="s">
        <v>520</v>
      </c>
      <c r="B6482" s="210">
        <v>2</v>
      </c>
      <c r="C6482" s="191" t="str">
        <f>IF('IWP22'!E$372=0,"",'IWP22'!E$372)</f>
        <v>Unverified/Undocumented (Subtotal D - C)</v>
      </c>
      <c r="D6482" s="211">
        <f>'IWP22'!G$372</f>
        <v>0</v>
      </c>
      <c r="E6482" s="211">
        <f>'IWP22'!H$372</f>
        <v>0</v>
      </c>
      <c r="F6482" s="211">
        <f>'IWP22'!I$372</f>
        <v>0</v>
      </c>
      <c r="G6482" s="191" t="str">
        <f>IF('IWP22'!J$372=0,"",'IWP22'!J$372)</f>
        <v/>
      </c>
      <c r="H6482" s="211">
        <f>'IWP22'!K$372</f>
        <v>0</v>
      </c>
      <c r="I6482" s="211">
        <f>'IWP22'!L$372</f>
        <v>0</v>
      </c>
      <c r="J6482" s="212">
        <f>'IWP22'!M$372</f>
        <v>0</v>
      </c>
      <c r="K6482" s="106"/>
      <c r="L6482" s="106"/>
      <c r="M6482" s="129"/>
    </row>
    <row r="6483" spans="1:13" s="146" customFormat="1">
      <c r="A6483" s="193" t="s">
        <v>520</v>
      </c>
      <c r="B6483" s="210">
        <v>2</v>
      </c>
      <c r="C6483" s="191" t="str">
        <f>IF('IWP22'!E$373=0,"",'IWP22'!E$373)</f>
        <v>J. Billing Period Total</v>
      </c>
      <c r="D6483" s="211">
        <f>'IWP22'!G$373</f>
        <v>0</v>
      </c>
      <c r="E6483" s="211">
        <f>'IWP22'!H$373</f>
        <v>0</v>
      </c>
      <c r="F6483" s="211">
        <f>'IWP22'!I$373</f>
        <v>0</v>
      </c>
      <c r="G6483" s="191" t="str">
        <f>IF('IWP22'!J$373=0,"",'IWP22'!J$373)</f>
        <v/>
      </c>
      <c r="H6483" s="211">
        <f>'IWP22'!K$373</f>
        <v>0</v>
      </c>
      <c r="I6483" s="211">
        <f>'IWP22'!L$373</f>
        <v>0</v>
      </c>
      <c r="J6483" s="212">
        <f>'IWP22'!M$373</f>
        <v>0</v>
      </c>
      <c r="K6483" s="106"/>
      <c r="L6483" s="106"/>
      <c r="M6483" s="129"/>
    </row>
    <row r="6484" spans="1:13" s="146" customFormat="1">
      <c r="A6484" s="193" t="s">
        <v>520</v>
      </c>
      <c r="B6484" s="210">
        <v>2</v>
      </c>
      <c r="C6484" s="191" t="str">
        <f>IF('IWP22'!E$374=0,"",'IWP22'!E$374)</f>
        <v>D.</v>
      </c>
      <c r="D6484" s="211">
        <f>'IWP22'!G$374</f>
        <v>0</v>
      </c>
      <c r="E6484" s="211" t="str">
        <f>'IWP22'!H$374</f>
        <v>E.</v>
      </c>
      <c r="F6484" s="211" t="str">
        <f>'IWP22'!I$374</f>
        <v>F.</v>
      </c>
      <c r="G6484" s="191" t="str">
        <f>IF('IWP22'!J$374=0,"",'IWP22'!J$374)</f>
        <v>G.</v>
      </c>
      <c r="H6484" s="211">
        <f>'IWP22'!K$374</f>
        <v>0</v>
      </c>
      <c r="I6484" s="211" t="str">
        <f>'IWP22'!L$374</f>
        <v>H.</v>
      </c>
      <c r="J6484" s="212" t="str">
        <f>'IWP22'!M$374</f>
        <v>I.</v>
      </c>
      <c r="K6484" s="106"/>
      <c r="L6484" s="106"/>
      <c r="M6484" s="129"/>
    </row>
    <row r="6485" spans="1:13" s="146" customFormat="1">
      <c r="A6485" s="193" t="s">
        <v>520</v>
      </c>
      <c r="B6485" s="210">
        <v>2</v>
      </c>
      <c r="C6485" s="191" t="str">
        <f>IF('IWP22'!E$375=0,"",'IWP22'!E$375)</f>
        <v xml:space="preserve">Items/Services Related to Billing Period </v>
      </c>
      <c r="D6485" s="211">
        <f>'IWP22'!G$375</f>
        <v>0</v>
      </c>
      <c r="E6485" s="211" t="str">
        <f>'IWP22'!H$375</f>
        <v xml:space="preserve">Item/
Service Verified Amounts
</v>
      </c>
      <c r="F6485" s="211" t="str">
        <f>'IWP22'!I$375</f>
        <v>Amount Due to DADS (E. - D.)</v>
      </c>
      <c r="G6485" s="191" t="str">
        <f>IF('IWP22'!J$375=0,"",'IWP22'!J$375)</f>
        <v>Amount Reimbursed to 
Employee(s)/Employer</v>
      </c>
      <c r="H6485" s="211">
        <f>'IWP22'!K$375</f>
        <v>0</v>
      </c>
      <c r="I6485" s="211" t="str">
        <f>'IWP22'!L$375</f>
        <v>Amount Due to Employee(s) (G. - E.)</v>
      </c>
      <c r="J6485" s="212" t="str">
        <f>'IWP22'!M$375</f>
        <v>Amount Due to Employer (G. - E.)</v>
      </c>
      <c r="K6485" s="106"/>
      <c r="L6485" s="106"/>
      <c r="M6485" s="129"/>
    </row>
    <row r="6486" spans="1:13" s="146" customFormat="1">
      <c r="A6486" s="193" t="s">
        <v>520</v>
      </c>
      <c r="B6486" s="210">
        <v>2</v>
      </c>
      <c r="C6486" s="191" t="str">
        <f>IF('IWP22'!E$376=0,"",'IWP22'!E$376)</f>
        <v>Item/Service</v>
      </c>
      <c r="D6486" s="211" t="str">
        <f>'IWP22'!G$376</f>
        <v>Itemized Amount Paid by DADS</v>
      </c>
      <c r="E6486" s="211">
        <f>'IWP22'!H$376</f>
        <v>0</v>
      </c>
      <c r="F6486" s="211">
        <f>'IWP22'!I$376</f>
        <v>0</v>
      </c>
      <c r="G6486" s="191" t="str">
        <f>IF('IWP22'!J$376=0,"",'IWP22'!J$376)</f>
        <v/>
      </c>
      <c r="H6486" s="211">
        <f>'IWP22'!K$376</f>
        <v>0</v>
      </c>
      <c r="I6486" s="211">
        <f>'IWP22'!L$376</f>
        <v>0</v>
      </c>
      <c r="J6486" s="212">
        <f>'IWP22'!M$376</f>
        <v>0</v>
      </c>
      <c r="K6486" s="106"/>
      <c r="L6486" s="106"/>
      <c r="M6486" s="129"/>
    </row>
    <row r="6487" spans="1:13" s="146" customFormat="1">
      <c r="A6487" s="193" t="s">
        <v>520</v>
      </c>
      <c r="B6487" s="210">
        <v>2</v>
      </c>
      <c r="C6487" s="191" t="str">
        <f>IF('IWP22'!E$377=0,"",'IWP22'!E$377)</f>
        <v/>
      </c>
      <c r="D6487" s="211">
        <f>'IWP22'!G$377</f>
        <v>0</v>
      </c>
      <c r="E6487" s="211">
        <f>'IWP22'!H$377</f>
        <v>0</v>
      </c>
      <c r="F6487" s="211">
        <f>'IWP22'!I$377</f>
        <v>0</v>
      </c>
      <c r="G6487" s="191" t="str">
        <f>IF('IWP22'!J$377=0,"",'IWP22'!J$377)</f>
        <v/>
      </c>
      <c r="H6487" s="211">
        <f>'IWP22'!K$377</f>
        <v>0</v>
      </c>
      <c r="I6487" s="211">
        <f>'IWP22'!L$377</f>
        <v>0</v>
      </c>
      <c r="J6487" s="212">
        <f>'IWP22'!M$377</f>
        <v>0</v>
      </c>
      <c r="K6487" s="106"/>
      <c r="L6487" s="106"/>
      <c r="M6487" s="129"/>
    </row>
    <row r="6488" spans="1:13" s="146" customFormat="1">
      <c r="A6488" s="193" t="s">
        <v>520</v>
      </c>
      <c r="B6488" s="210">
        <v>2</v>
      </c>
      <c r="C6488" s="191" t="str">
        <f>IF('IWP22'!E$378=0,"",'IWP22'!E$378)</f>
        <v/>
      </c>
      <c r="D6488" s="211">
        <f>'IWP22'!G$378</f>
        <v>0</v>
      </c>
      <c r="E6488" s="211">
        <f>'IWP22'!H$378</f>
        <v>0</v>
      </c>
      <c r="F6488" s="211">
        <f>'IWP22'!I$378</f>
        <v>0</v>
      </c>
      <c r="G6488" s="191" t="str">
        <f>IF('IWP22'!J$378=0,"",'IWP22'!J$378)</f>
        <v/>
      </c>
      <c r="H6488" s="211">
        <f>'IWP22'!K$378</f>
        <v>0</v>
      </c>
      <c r="I6488" s="211">
        <f>'IWP22'!L$378</f>
        <v>0</v>
      </c>
      <c r="J6488" s="212">
        <f>'IWP22'!M$378</f>
        <v>0</v>
      </c>
      <c r="K6488" s="106"/>
      <c r="L6488" s="106"/>
      <c r="M6488" s="129"/>
    </row>
    <row r="6489" spans="1:13" s="146" customFormat="1">
      <c r="A6489" s="193" t="s">
        <v>520</v>
      </c>
      <c r="B6489" s="210">
        <v>2</v>
      </c>
      <c r="C6489" s="191" t="str">
        <f>IF('IWP22'!E$379=0,"",'IWP22'!E$379)</f>
        <v/>
      </c>
      <c r="D6489" s="211">
        <f>'IWP22'!G$379</f>
        <v>0</v>
      </c>
      <c r="E6489" s="211">
        <f>'IWP22'!H$379</f>
        <v>0</v>
      </c>
      <c r="F6489" s="211">
        <f>'IWP22'!I$379</f>
        <v>0</v>
      </c>
      <c r="G6489" s="191" t="str">
        <f>IF('IWP22'!J$379=0,"",'IWP22'!J$379)</f>
        <v/>
      </c>
      <c r="H6489" s="211">
        <f>'IWP22'!K$379</f>
        <v>0</v>
      </c>
      <c r="I6489" s="211">
        <f>'IWP22'!L$379</f>
        <v>0</v>
      </c>
      <c r="J6489" s="212">
        <f>'IWP22'!M$379</f>
        <v>0</v>
      </c>
      <c r="K6489" s="106"/>
      <c r="L6489" s="106"/>
      <c r="M6489" s="129"/>
    </row>
    <row r="6490" spans="1:13" s="146" customFormat="1">
      <c r="A6490" s="193" t="s">
        <v>520</v>
      </c>
      <c r="B6490" s="210">
        <v>2</v>
      </c>
      <c r="C6490" s="191" t="str">
        <f>IF('IWP22'!E$380=0,"",'IWP22'!E$380)</f>
        <v/>
      </c>
      <c r="D6490" s="211">
        <f>'IWP22'!G$380</f>
        <v>0</v>
      </c>
      <c r="E6490" s="211">
        <f>'IWP22'!H$380</f>
        <v>0</v>
      </c>
      <c r="F6490" s="211">
        <f>'IWP22'!I$380</f>
        <v>0</v>
      </c>
      <c r="G6490" s="191" t="str">
        <f>IF('IWP22'!J$380=0,"",'IWP22'!J$380)</f>
        <v/>
      </c>
      <c r="H6490" s="211">
        <f>'IWP22'!K$380</f>
        <v>0</v>
      </c>
      <c r="I6490" s="211">
        <f>'IWP22'!L$380</f>
        <v>0</v>
      </c>
      <c r="J6490" s="212">
        <f>'IWP22'!M$380</f>
        <v>0</v>
      </c>
      <c r="K6490" s="106"/>
      <c r="L6490" s="106"/>
      <c r="M6490" s="129"/>
    </row>
    <row r="6491" spans="1:13" s="146" customFormat="1">
      <c r="A6491" s="193" t="s">
        <v>520</v>
      </c>
      <c r="B6491" s="210">
        <v>3</v>
      </c>
      <c r="C6491" s="191" t="str">
        <f>IF('IWP22'!E$387=0,"",'IWP22'!E$387)</f>
        <v>Subtotal column D.</v>
      </c>
      <c r="D6491" s="211">
        <f>'IWP22'!G$387</f>
        <v>0</v>
      </c>
      <c r="E6491" s="211">
        <f>'IWP22'!H$387</f>
        <v>0</v>
      </c>
      <c r="F6491" s="211">
        <f>'IWP22'!I$387</f>
        <v>0</v>
      </c>
      <c r="G6491" s="191" t="str">
        <f>IF('IWP22'!J$387=0,"",'IWP22'!J$387)</f>
        <v/>
      </c>
      <c r="H6491" s="211">
        <f>'IWP22'!K$387</f>
        <v>0</v>
      </c>
      <c r="I6491" s="211">
        <f>'IWP22'!L$387</f>
        <v>0</v>
      </c>
      <c r="J6491" s="212">
        <f>'IWP22'!M$387</f>
        <v>0</v>
      </c>
      <c r="K6491" s="106"/>
      <c r="L6491" s="106"/>
      <c r="M6491" s="129"/>
    </row>
    <row r="6492" spans="1:13" s="146" customFormat="1">
      <c r="A6492" s="193" t="s">
        <v>520</v>
      </c>
      <c r="B6492" s="210">
        <v>3</v>
      </c>
      <c r="C6492" s="191" t="str">
        <f>IF('IWP22'!E$388=0,"",'IWP22'!E$388)</f>
        <v>Unverified/Undocumented (Subtotal D - C)</v>
      </c>
      <c r="D6492" s="211">
        <f>'IWP22'!G$388</f>
        <v>0</v>
      </c>
      <c r="E6492" s="211">
        <f>'IWP22'!H$388</f>
        <v>0</v>
      </c>
      <c r="F6492" s="211">
        <f>'IWP22'!I$388</f>
        <v>0</v>
      </c>
      <c r="G6492" s="191" t="str">
        <f>IF('IWP22'!J$388=0,"",'IWP22'!J$388)</f>
        <v/>
      </c>
      <c r="H6492" s="211">
        <f>'IWP22'!K$388</f>
        <v>0</v>
      </c>
      <c r="I6492" s="211">
        <f>'IWP22'!L$388</f>
        <v>0</v>
      </c>
      <c r="J6492" s="212">
        <f>'IWP22'!M$388</f>
        <v>0</v>
      </c>
      <c r="K6492" s="106"/>
      <c r="L6492" s="106"/>
      <c r="M6492" s="129"/>
    </row>
    <row r="6493" spans="1:13" s="146" customFormat="1">
      <c r="A6493" s="193" t="s">
        <v>520</v>
      </c>
      <c r="B6493" s="210">
        <v>3</v>
      </c>
      <c r="C6493" s="191" t="str">
        <f>IF('IWP22'!E$389=0,"",'IWP22'!E$389)</f>
        <v>J. Billing Period Total</v>
      </c>
      <c r="D6493" s="211">
        <f>'IWP22'!G$389</f>
        <v>0</v>
      </c>
      <c r="E6493" s="211">
        <f>'IWP22'!H$389</f>
        <v>0</v>
      </c>
      <c r="F6493" s="211">
        <f>'IWP22'!I$389</f>
        <v>0</v>
      </c>
      <c r="G6493" s="191" t="str">
        <f>IF('IWP22'!J$389=0,"",'IWP22'!J$389)</f>
        <v/>
      </c>
      <c r="H6493" s="211">
        <f>'IWP22'!K$389</f>
        <v>0</v>
      </c>
      <c r="I6493" s="211">
        <f>'IWP22'!L$389</f>
        <v>0</v>
      </c>
      <c r="J6493" s="212">
        <f>'IWP22'!M$389</f>
        <v>0</v>
      </c>
      <c r="K6493" s="106"/>
      <c r="L6493" s="106"/>
      <c r="M6493" s="129"/>
    </row>
    <row r="6494" spans="1:13" s="146" customFormat="1">
      <c r="A6494" s="193" t="s">
        <v>520</v>
      </c>
      <c r="B6494" s="210">
        <v>3</v>
      </c>
      <c r="C6494" s="191" t="str">
        <f>IF('IWP22'!E$390=0,"",'IWP22'!E$390)</f>
        <v>D.</v>
      </c>
      <c r="D6494" s="211">
        <f>'IWP22'!G$390</f>
        <v>0</v>
      </c>
      <c r="E6494" s="211" t="str">
        <f>'IWP22'!H$390</f>
        <v>E.</v>
      </c>
      <c r="F6494" s="211" t="str">
        <f>'IWP22'!I$390</f>
        <v>F.</v>
      </c>
      <c r="G6494" s="191" t="str">
        <f>IF('IWP22'!J$390=0,"",'IWP22'!J$390)</f>
        <v>G.</v>
      </c>
      <c r="H6494" s="211">
        <f>'IWP22'!K$390</f>
        <v>0</v>
      </c>
      <c r="I6494" s="211" t="str">
        <f>'IWP22'!L$390</f>
        <v>H.</v>
      </c>
      <c r="J6494" s="212" t="str">
        <f>'IWP22'!M$390</f>
        <v>I.</v>
      </c>
      <c r="K6494" s="106"/>
      <c r="L6494" s="106"/>
      <c r="M6494" s="129"/>
    </row>
    <row r="6495" spans="1:13" s="146" customFormat="1">
      <c r="A6495" s="193" t="s">
        <v>520</v>
      </c>
      <c r="B6495" s="210">
        <v>3</v>
      </c>
      <c r="C6495" s="191" t="str">
        <f>IF('IWP22'!E$391=0,"",'IWP22'!E$391)</f>
        <v xml:space="preserve">Items/Services Related to Billing Period </v>
      </c>
      <c r="D6495" s="211">
        <f>'IWP22'!G$391</f>
        <v>0</v>
      </c>
      <c r="E6495" s="211" t="str">
        <f>'IWP22'!H$391</f>
        <v xml:space="preserve">Item/
Service Verified Amounts
</v>
      </c>
      <c r="F6495" s="211" t="str">
        <f>'IWP22'!I$391</f>
        <v>Amount Due to DADS (E. - D.)</v>
      </c>
      <c r="G6495" s="191" t="str">
        <f>IF('IWP22'!J$391=0,"",'IWP22'!J$391)</f>
        <v>Amount Reimbursed to 
Employee(s)/Employer</v>
      </c>
      <c r="H6495" s="211">
        <f>'IWP22'!K$391</f>
        <v>0</v>
      </c>
      <c r="I6495" s="211" t="str">
        <f>'IWP22'!L$391</f>
        <v>Amount Due to Employee(s) (G. - E.)</v>
      </c>
      <c r="J6495" s="212" t="str">
        <f>'IWP22'!M$391</f>
        <v>Amount Due to Employer (G. - E.)</v>
      </c>
      <c r="K6495" s="106"/>
      <c r="L6495" s="106"/>
      <c r="M6495" s="129"/>
    </row>
    <row r="6496" spans="1:13" s="146" customFormat="1">
      <c r="A6496" s="193" t="s">
        <v>520</v>
      </c>
      <c r="B6496" s="210">
        <v>3</v>
      </c>
      <c r="C6496" s="191" t="str">
        <f>IF('IWP22'!E$392=0,"",'IWP22'!E$392)</f>
        <v>Item/Service</v>
      </c>
      <c r="D6496" s="211" t="str">
        <f>'IWP22'!G$392</f>
        <v>Itemized Amount Paid by DADS</v>
      </c>
      <c r="E6496" s="211">
        <f>'IWP22'!H$392</f>
        <v>0</v>
      </c>
      <c r="F6496" s="211">
        <f>'IWP22'!I$392</f>
        <v>0</v>
      </c>
      <c r="G6496" s="191" t="str">
        <f>IF('IWP22'!J$392=0,"",'IWP22'!J$392)</f>
        <v/>
      </c>
      <c r="H6496" s="211">
        <f>'IWP22'!K$392</f>
        <v>0</v>
      </c>
      <c r="I6496" s="211">
        <f>'IWP22'!L$392</f>
        <v>0</v>
      </c>
      <c r="J6496" s="212">
        <f>'IWP22'!M$392</f>
        <v>0</v>
      </c>
      <c r="K6496" s="106"/>
      <c r="L6496" s="106"/>
      <c r="M6496" s="129"/>
    </row>
    <row r="6497" spans="1:13" s="146" customFormat="1">
      <c r="A6497" s="193" t="s">
        <v>520</v>
      </c>
      <c r="B6497" s="210">
        <v>3</v>
      </c>
      <c r="C6497" s="191" t="str">
        <f>IF('IWP22'!E$393=0,"",'IWP22'!E$393)</f>
        <v/>
      </c>
      <c r="D6497" s="211">
        <f>'IWP22'!G$393</f>
        <v>0</v>
      </c>
      <c r="E6497" s="211">
        <f>'IWP22'!H$393</f>
        <v>0</v>
      </c>
      <c r="F6497" s="211">
        <f>'IWP22'!I$393</f>
        <v>0</v>
      </c>
      <c r="G6497" s="191" t="str">
        <f>IF('IWP22'!J$393=0,"",'IWP22'!J$393)</f>
        <v/>
      </c>
      <c r="H6497" s="211">
        <f>'IWP22'!K$393</f>
        <v>0</v>
      </c>
      <c r="I6497" s="211">
        <f>'IWP22'!L$393</f>
        <v>0</v>
      </c>
      <c r="J6497" s="212">
        <f>'IWP22'!M$393</f>
        <v>0</v>
      </c>
      <c r="K6497" s="106"/>
      <c r="L6497" s="106"/>
      <c r="M6497" s="129"/>
    </row>
    <row r="6498" spans="1:13" s="146" customFormat="1">
      <c r="A6498" s="193" t="s">
        <v>520</v>
      </c>
      <c r="B6498" s="210">
        <v>3</v>
      </c>
      <c r="C6498" s="191" t="str">
        <f>IF('IWP22'!E$394=0,"",'IWP22'!E$394)</f>
        <v/>
      </c>
      <c r="D6498" s="211">
        <f>'IWP22'!G$394</f>
        <v>0</v>
      </c>
      <c r="E6498" s="211">
        <f>'IWP22'!H$394</f>
        <v>0</v>
      </c>
      <c r="F6498" s="211">
        <f>'IWP22'!I$394</f>
        <v>0</v>
      </c>
      <c r="G6498" s="191" t="str">
        <f>IF('IWP22'!J$394=0,"",'IWP22'!J$394)</f>
        <v/>
      </c>
      <c r="H6498" s="211">
        <f>'IWP22'!K$394</f>
        <v>0</v>
      </c>
      <c r="I6498" s="211">
        <f>'IWP22'!L$394</f>
        <v>0</v>
      </c>
      <c r="J6498" s="212">
        <f>'IWP22'!M$394</f>
        <v>0</v>
      </c>
      <c r="K6498" s="106"/>
      <c r="L6498" s="106"/>
      <c r="M6498" s="129"/>
    </row>
    <row r="6499" spans="1:13" s="146" customFormat="1">
      <c r="A6499" s="193" t="s">
        <v>520</v>
      </c>
      <c r="B6499" s="210">
        <v>3</v>
      </c>
      <c r="C6499" s="191" t="str">
        <f>IF('IWP22'!E$395=0,"",'IWP22'!E$395)</f>
        <v/>
      </c>
      <c r="D6499" s="211">
        <f>'IWP22'!G$395</f>
        <v>0</v>
      </c>
      <c r="E6499" s="211">
        <f>'IWP22'!H$395</f>
        <v>0</v>
      </c>
      <c r="F6499" s="211">
        <f>'IWP22'!I$395</f>
        <v>0</v>
      </c>
      <c r="G6499" s="191" t="str">
        <f>IF('IWP22'!J$395=0,"",'IWP22'!J$395)</f>
        <v/>
      </c>
      <c r="H6499" s="211">
        <f>'IWP22'!K$395</f>
        <v>0</v>
      </c>
      <c r="I6499" s="211">
        <f>'IWP22'!L$395</f>
        <v>0</v>
      </c>
      <c r="J6499" s="212">
        <f>'IWP22'!M$395</f>
        <v>0</v>
      </c>
      <c r="K6499" s="106"/>
      <c r="L6499" s="106"/>
      <c r="M6499" s="129"/>
    </row>
    <row r="6500" spans="1:13" s="146" customFormat="1">
      <c r="A6500" s="193" t="s">
        <v>520</v>
      </c>
      <c r="B6500" s="210">
        <v>3</v>
      </c>
      <c r="C6500" s="191" t="str">
        <f>IF('IWP22'!E$396=0,"",'IWP22'!E$396)</f>
        <v/>
      </c>
      <c r="D6500" s="211">
        <f>'IWP22'!G$396</f>
        <v>0</v>
      </c>
      <c r="E6500" s="211">
        <f>'IWP22'!H$396</f>
        <v>0</v>
      </c>
      <c r="F6500" s="211">
        <f>'IWP22'!I$396</f>
        <v>0</v>
      </c>
      <c r="G6500" s="191" t="str">
        <f>IF('IWP22'!J$396=0,"",'IWP22'!J$396)</f>
        <v/>
      </c>
      <c r="H6500" s="211">
        <f>'IWP22'!K$396</f>
        <v>0</v>
      </c>
      <c r="I6500" s="211">
        <f>'IWP22'!L$396</f>
        <v>0</v>
      </c>
      <c r="J6500" s="212">
        <f>'IWP22'!M$396</f>
        <v>0</v>
      </c>
      <c r="K6500" s="106"/>
      <c r="L6500" s="106"/>
      <c r="M6500" s="129"/>
    </row>
    <row r="6501" spans="1:13" s="146" customFormat="1">
      <c r="A6501" s="193" t="s">
        <v>520</v>
      </c>
      <c r="B6501" s="210">
        <v>4</v>
      </c>
      <c r="C6501" s="191" t="str">
        <f>IF('IWP22'!E$403=0,"",'IWP22'!E$403)</f>
        <v>Subtotal column D.</v>
      </c>
      <c r="D6501" s="211">
        <f>'IWP22'!G$403</f>
        <v>0</v>
      </c>
      <c r="E6501" s="211">
        <f>'IWP22'!H$403</f>
        <v>0</v>
      </c>
      <c r="F6501" s="211">
        <f>'IWP22'!I$403</f>
        <v>0</v>
      </c>
      <c r="G6501" s="191" t="str">
        <f>IF('IWP22'!J$403=0,"",'IWP22'!J$403)</f>
        <v/>
      </c>
      <c r="H6501" s="211">
        <f>'IWP22'!K$403</f>
        <v>0</v>
      </c>
      <c r="I6501" s="211">
        <f>'IWP22'!L$403</f>
        <v>0</v>
      </c>
      <c r="J6501" s="212">
        <f>'IWP22'!M$403</f>
        <v>0</v>
      </c>
      <c r="K6501" s="106"/>
      <c r="L6501" s="106"/>
      <c r="M6501" s="129"/>
    </row>
    <row r="6502" spans="1:13" s="146" customFormat="1">
      <c r="A6502" s="193" t="s">
        <v>520</v>
      </c>
      <c r="B6502" s="210">
        <v>4</v>
      </c>
      <c r="C6502" s="191" t="str">
        <f>IF('IWP22'!E$404=0,"",'IWP22'!E$404)</f>
        <v>Unverified/Undocumented (Subtotal D - C)</v>
      </c>
      <c r="D6502" s="211">
        <f>'IWP22'!G$404</f>
        <v>0</v>
      </c>
      <c r="E6502" s="211">
        <f>'IWP22'!H$404</f>
        <v>0</v>
      </c>
      <c r="F6502" s="211">
        <f>'IWP22'!I$404</f>
        <v>0</v>
      </c>
      <c r="G6502" s="191" t="str">
        <f>IF('IWP22'!J$404=0,"",'IWP22'!J$404)</f>
        <v/>
      </c>
      <c r="H6502" s="211">
        <f>'IWP22'!K$404</f>
        <v>0</v>
      </c>
      <c r="I6502" s="211">
        <f>'IWP22'!L$404</f>
        <v>0</v>
      </c>
      <c r="J6502" s="212">
        <f>'IWP22'!M$404</f>
        <v>0</v>
      </c>
      <c r="K6502" s="106"/>
      <c r="L6502" s="106"/>
      <c r="M6502" s="129"/>
    </row>
    <row r="6503" spans="1:13" s="146" customFormat="1">
      <c r="A6503" s="193" t="s">
        <v>520</v>
      </c>
      <c r="B6503" s="210">
        <v>4</v>
      </c>
      <c r="C6503" s="191" t="str">
        <f>IF('IWP22'!E$405=0,"",'IWP22'!E$405)</f>
        <v>J. Billing Period Total</v>
      </c>
      <c r="D6503" s="211">
        <f>'IWP22'!G$405</f>
        <v>0</v>
      </c>
      <c r="E6503" s="211">
        <f>'IWP22'!H$405</f>
        <v>0</v>
      </c>
      <c r="F6503" s="211">
        <f>'IWP22'!I$405</f>
        <v>0</v>
      </c>
      <c r="G6503" s="191" t="str">
        <f>IF('IWP22'!J$405=0,"",'IWP22'!J$405)</f>
        <v/>
      </c>
      <c r="H6503" s="211">
        <f>'IWP22'!K$405</f>
        <v>0</v>
      </c>
      <c r="I6503" s="211">
        <f>'IWP22'!L$405</f>
        <v>0</v>
      </c>
      <c r="J6503" s="212">
        <f>'IWP22'!M$405</f>
        <v>0</v>
      </c>
      <c r="K6503" s="106"/>
      <c r="L6503" s="106"/>
      <c r="M6503" s="129"/>
    </row>
    <row r="6504" spans="1:13" s="146" customFormat="1">
      <c r="A6504" s="193" t="s">
        <v>520</v>
      </c>
      <c r="B6504" s="210">
        <v>4</v>
      </c>
      <c r="C6504" s="191" t="str">
        <f>IF('IWP22'!E$406=0,"",'IWP22'!E$406)</f>
        <v>D.</v>
      </c>
      <c r="D6504" s="211">
        <f>'IWP22'!G$406</f>
        <v>0</v>
      </c>
      <c r="E6504" s="211" t="str">
        <f>'IWP22'!H$406</f>
        <v>E.</v>
      </c>
      <c r="F6504" s="211" t="str">
        <f>'IWP22'!I$406</f>
        <v>F.</v>
      </c>
      <c r="G6504" s="191" t="str">
        <f>IF('IWP22'!J$406=0,"",'IWP22'!J$406)</f>
        <v>G.</v>
      </c>
      <c r="H6504" s="211">
        <f>'IWP22'!K$406</f>
        <v>0</v>
      </c>
      <c r="I6504" s="211" t="str">
        <f>'IWP22'!L$406</f>
        <v>H.</v>
      </c>
      <c r="J6504" s="212" t="str">
        <f>'IWP22'!M$406</f>
        <v>I.</v>
      </c>
      <c r="K6504" s="106"/>
      <c r="L6504" s="106"/>
      <c r="M6504" s="129"/>
    </row>
    <row r="6505" spans="1:13" s="146" customFormat="1">
      <c r="A6505" s="193" t="s">
        <v>520</v>
      </c>
      <c r="B6505" s="210">
        <v>4</v>
      </c>
      <c r="C6505" s="191" t="str">
        <f>IF('IWP22'!E$407=0,"",'IWP22'!E$407)</f>
        <v xml:space="preserve">Items/Services Related to Billing Period </v>
      </c>
      <c r="D6505" s="211">
        <f>'IWP22'!G$407</f>
        <v>0</v>
      </c>
      <c r="E6505" s="211" t="str">
        <f>'IWP22'!H$407</f>
        <v xml:space="preserve">Item/
Service Verified Amounts
</v>
      </c>
      <c r="F6505" s="211" t="str">
        <f>'IWP22'!I$407</f>
        <v>Amount Due to DADS (E. - D.)</v>
      </c>
      <c r="G6505" s="191" t="str">
        <f>IF('IWP22'!J$407=0,"",'IWP22'!J$407)</f>
        <v>Amount Reimbursed to 
Employee(s)/Employer</v>
      </c>
      <c r="H6505" s="211">
        <f>'IWP22'!K$407</f>
        <v>0</v>
      </c>
      <c r="I6505" s="211" t="str">
        <f>'IWP22'!L$407</f>
        <v>Amount Due to Employee(s) (G. - E.)</v>
      </c>
      <c r="J6505" s="212" t="str">
        <f>'IWP22'!M$407</f>
        <v>Amount Due to Employer (G. - E.)</v>
      </c>
      <c r="K6505" s="106"/>
      <c r="L6505" s="106"/>
      <c r="M6505" s="129"/>
    </row>
    <row r="6506" spans="1:13" s="146" customFormat="1">
      <c r="A6506" s="193" t="s">
        <v>520</v>
      </c>
      <c r="B6506" s="210">
        <v>4</v>
      </c>
      <c r="C6506" s="191" t="str">
        <f>IF('IWP22'!E$408=0,"",'IWP22'!E$408)</f>
        <v>Item/Service</v>
      </c>
      <c r="D6506" s="211" t="str">
        <f>'IWP22'!G$408</f>
        <v>Itemized Amount Paid by DADS</v>
      </c>
      <c r="E6506" s="211">
        <f>'IWP22'!H$408</f>
        <v>0</v>
      </c>
      <c r="F6506" s="211">
        <f>'IWP22'!I$408</f>
        <v>0</v>
      </c>
      <c r="G6506" s="191" t="str">
        <f>IF('IWP22'!J$408=0,"",'IWP22'!J$408)</f>
        <v/>
      </c>
      <c r="H6506" s="211">
        <f>'IWP22'!K$408</f>
        <v>0</v>
      </c>
      <c r="I6506" s="211">
        <f>'IWP22'!L$408</f>
        <v>0</v>
      </c>
      <c r="J6506" s="212">
        <f>'IWP22'!M$408</f>
        <v>0</v>
      </c>
      <c r="K6506" s="106"/>
      <c r="L6506" s="106"/>
      <c r="M6506" s="129"/>
    </row>
    <row r="6507" spans="1:13" s="146" customFormat="1">
      <c r="A6507" s="193" t="s">
        <v>520</v>
      </c>
      <c r="B6507" s="210">
        <v>4</v>
      </c>
      <c r="C6507" s="191" t="str">
        <f>IF('IWP22'!E$409=0,"",'IWP22'!E$409)</f>
        <v/>
      </c>
      <c r="D6507" s="211">
        <f>'IWP22'!G$409</f>
        <v>0</v>
      </c>
      <c r="E6507" s="211">
        <f>'IWP22'!H$409</f>
        <v>0</v>
      </c>
      <c r="F6507" s="211">
        <f>'IWP22'!I$409</f>
        <v>0</v>
      </c>
      <c r="G6507" s="191" t="str">
        <f>IF('IWP22'!J$409=0,"",'IWP22'!J$409)</f>
        <v/>
      </c>
      <c r="H6507" s="211">
        <f>'IWP22'!K$409</f>
        <v>0</v>
      </c>
      <c r="I6507" s="211">
        <f>'IWP22'!L$409</f>
        <v>0</v>
      </c>
      <c r="J6507" s="212">
        <f>'IWP22'!M$409</f>
        <v>0</v>
      </c>
      <c r="K6507" s="106"/>
      <c r="L6507" s="106"/>
      <c r="M6507" s="129"/>
    </row>
    <row r="6508" spans="1:13" s="146" customFormat="1">
      <c r="A6508" s="193" t="s">
        <v>520</v>
      </c>
      <c r="B6508" s="210">
        <v>4</v>
      </c>
      <c r="C6508" s="191" t="str">
        <f>IF('IWP22'!E$410=0,"",'IWP22'!E$410)</f>
        <v/>
      </c>
      <c r="D6508" s="211">
        <f>'IWP22'!G$410</f>
        <v>0</v>
      </c>
      <c r="E6508" s="211">
        <f>'IWP22'!H$410</f>
        <v>0</v>
      </c>
      <c r="F6508" s="211">
        <f>'IWP22'!I$410</f>
        <v>0</v>
      </c>
      <c r="G6508" s="191" t="str">
        <f>IF('IWP22'!J$410=0,"",'IWP22'!J$410)</f>
        <v/>
      </c>
      <c r="H6508" s="211">
        <f>'IWP22'!K$410</f>
        <v>0</v>
      </c>
      <c r="I6508" s="211">
        <f>'IWP22'!L$410</f>
        <v>0</v>
      </c>
      <c r="J6508" s="212">
        <f>'IWP22'!M$410</f>
        <v>0</v>
      </c>
      <c r="K6508" s="106"/>
      <c r="L6508" s="106"/>
      <c r="M6508" s="129"/>
    </row>
    <row r="6509" spans="1:13" s="146" customFormat="1">
      <c r="A6509" s="193" t="s">
        <v>520</v>
      </c>
      <c r="B6509" s="210">
        <v>4</v>
      </c>
      <c r="C6509" s="191" t="str">
        <f>IF('IWP22'!E$411=0,"",'IWP22'!E$411)</f>
        <v/>
      </c>
      <c r="D6509" s="211">
        <f>'IWP22'!G$411</f>
        <v>0</v>
      </c>
      <c r="E6509" s="211">
        <f>'IWP22'!H$411</f>
        <v>0</v>
      </c>
      <c r="F6509" s="211">
        <f>'IWP22'!I$411</f>
        <v>0</v>
      </c>
      <c r="G6509" s="191" t="str">
        <f>IF('IWP22'!J$411=0,"",'IWP22'!J$411)</f>
        <v/>
      </c>
      <c r="H6509" s="211">
        <f>'IWP22'!K$411</f>
        <v>0</v>
      </c>
      <c r="I6509" s="211">
        <f>'IWP22'!L$411</f>
        <v>0</v>
      </c>
      <c r="J6509" s="212">
        <f>'IWP22'!M$411</f>
        <v>0</v>
      </c>
      <c r="K6509" s="106"/>
      <c r="L6509" s="106"/>
      <c r="M6509" s="129"/>
    </row>
    <row r="6510" spans="1:13" s="146" customFormat="1">
      <c r="A6510" s="193" t="s">
        <v>520</v>
      </c>
      <c r="B6510" s="210">
        <v>4</v>
      </c>
      <c r="C6510" s="191" t="str">
        <f>IF('IWP22'!E$412=0,"",'IWP22'!E$412)</f>
        <v/>
      </c>
      <c r="D6510" s="211">
        <f>'IWP22'!G$412</f>
        <v>0</v>
      </c>
      <c r="E6510" s="211">
        <f>'IWP22'!H$412</f>
        <v>0</v>
      </c>
      <c r="F6510" s="211">
        <f>'IWP22'!I$412</f>
        <v>0</v>
      </c>
      <c r="G6510" s="191" t="str">
        <f>IF('IWP22'!J$412=0,"",'IWP22'!J$412)</f>
        <v/>
      </c>
      <c r="H6510" s="211">
        <f>'IWP22'!K$412</f>
        <v>0</v>
      </c>
      <c r="I6510" s="211">
        <f>'IWP22'!L$412</f>
        <v>0</v>
      </c>
      <c r="J6510" s="212">
        <f>'IWP22'!M$412</f>
        <v>0</v>
      </c>
      <c r="K6510" s="106"/>
      <c r="L6510" s="106"/>
      <c r="M6510" s="129"/>
    </row>
    <row r="6511" spans="1:13" s="146" customFormat="1">
      <c r="A6511" s="193" t="s">
        <v>520</v>
      </c>
      <c r="B6511" s="210">
        <v>5</v>
      </c>
      <c r="C6511" s="191" t="str">
        <f>IF('IWP22'!E$419=0,"",'IWP22'!E$419)</f>
        <v>Subtotal column D.</v>
      </c>
      <c r="D6511" s="211">
        <f>'IWP22'!G$419</f>
        <v>0</v>
      </c>
      <c r="E6511" s="211">
        <f>'IWP22'!H$419</f>
        <v>0</v>
      </c>
      <c r="F6511" s="211">
        <f>'IWP22'!I$419</f>
        <v>0</v>
      </c>
      <c r="G6511" s="191" t="str">
        <f>IF('IWP22'!J$419=0,"",'IWP22'!J$419)</f>
        <v/>
      </c>
      <c r="H6511" s="211">
        <f>'IWP22'!K$419</f>
        <v>0</v>
      </c>
      <c r="I6511" s="211">
        <f>'IWP22'!L$419</f>
        <v>0</v>
      </c>
      <c r="J6511" s="212">
        <f>'IWP22'!M$419</f>
        <v>0</v>
      </c>
      <c r="K6511" s="106"/>
      <c r="L6511" s="106"/>
      <c r="M6511" s="129"/>
    </row>
    <row r="6512" spans="1:13" s="146" customFormat="1">
      <c r="A6512" s="193" t="s">
        <v>520</v>
      </c>
      <c r="B6512" s="210">
        <v>5</v>
      </c>
      <c r="C6512" s="191" t="str">
        <f>IF('IWP22'!E$420=0,"",'IWP22'!E$420)</f>
        <v>Unverified/Undocumented (Subtotal D - C)</v>
      </c>
      <c r="D6512" s="211">
        <f>'IWP22'!G$420</f>
        <v>0</v>
      </c>
      <c r="E6512" s="211">
        <f>'IWP22'!H$420</f>
        <v>0</v>
      </c>
      <c r="F6512" s="211">
        <f>'IWP22'!I$420</f>
        <v>0</v>
      </c>
      <c r="G6512" s="191" t="str">
        <f>IF('IWP22'!J$420=0,"",'IWP22'!J$420)</f>
        <v/>
      </c>
      <c r="H6512" s="211">
        <f>'IWP22'!K$420</f>
        <v>0</v>
      </c>
      <c r="I6512" s="211">
        <f>'IWP22'!L$420</f>
        <v>0</v>
      </c>
      <c r="J6512" s="212">
        <f>'IWP22'!M$420</f>
        <v>0</v>
      </c>
      <c r="K6512" s="106"/>
      <c r="L6512" s="106"/>
      <c r="M6512" s="129"/>
    </row>
    <row r="6513" spans="1:13" s="146" customFormat="1">
      <c r="A6513" s="193" t="s">
        <v>520</v>
      </c>
      <c r="B6513" s="210">
        <v>5</v>
      </c>
      <c r="C6513" s="191" t="str">
        <f>IF('IWP22'!E$421=0,"",'IWP22'!E$421)</f>
        <v>J. Billing Period Total</v>
      </c>
      <c r="D6513" s="211">
        <f>'IWP22'!G$421</f>
        <v>0</v>
      </c>
      <c r="E6513" s="211">
        <f>'IWP22'!H$421</f>
        <v>0</v>
      </c>
      <c r="F6513" s="211">
        <f>'IWP22'!I$421</f>
        <v>0</v>
      </c>
      <c r="G6513" s="191" t="str">
        <f>IF('IWP22'!J$421=0,"",'IWP22'!J$421)</f>
        <v/>
      </c>
      <c r="H6513" s="211">
        <f>'IWP22'!K$421</f>
        <v>0</v>
      </c>
      <c r="I6513" s="211">
        <f>'IWP22'!L$421</f>
        <v>0</v>
      </c>
      <c r="J6513" s="212">
        <f>'IWP22'!M$421</f>
        <v>0</v>
      </c>
      <c r="K6513" s="106"/>
      <c r="L6513" s="106"/>
      <c r="M6513" s="129"/>
    </row>
    <row r="6514" spans="1:13" s="146" customFormat="1">
      <c r="A6514" s="193" t="s">
        <v>520</v>
      </c>
      <c r="B6514" s="210">
        <v>5</v>
      </c>
      <c r="C6514" s="191" t="str">
        <f>IF('IWP22'!E$422=0,"",'IWP22'!E$422)</f>
        <v>D.</v>
      </c>
      <c r="D6514" s="211">
        <f>'IWP22'!G$422</f>
        <v>0</v>
      </c>
      <c r="E6514" s="211" t="str">
        <f>'IWP22'!H$422</f>
        <v>E.</v>
      </c>
      <c r="F6514" s="211" t="str">
        <f>'IWP22'!I$422</f>
        <v>F.</v>
      </c>
      <c r="G6514" s="191" t="str">
        <f>IF('IWP22'!J$422=0,"",'IWP22'!J$422)</f>
        <v>G.</v>
      </c>
      <c r="H6514" s="211">
        <f>'IWP22'!K$422</f>
        <v>0</v>
      </c>
      <c r="I6514" s="211" t="str">
        <f>'IWP22'!L$422</f>
        <v>H.</v>
      </c>
      <c r="J6514" s="212" t="str">
        <f>'IWP22'!M$422</f>
        <v>I.</v>
      </c>
      <c r="K6514" s="106"/>
      <c r="L6514" s="106"/>
      <c r="M6514" s="129"/>
    </row>
    <row r="6515" spans="1:13" s="146" customFormat="1">
      <c r="A6515" s="193" t="s">
        <v>520</v>
      </c>
      <c r="B6515" s="210">
        <v>5</v>
      </c>
      <c r="C6515" s="191" t="str">
        <f>IF('IWP22'!E$423=0,"",'IWP22'!E$423)</f>
        <v xml:space="preserve">Items/Services Related to Billing Period </v>
      </c>
      <c r="D6515" s="211">
        <f>'IWP22'!G$423</f>
        <v>0</v>
      </c>
      <c r="E6515" s="211" t="str">
        <f>'IWP22'!H$423</f>
        <v xml:space="preserve">Item/
Service Verified Amounts
</v>
      </c>
      <c r="F6515" s="211" t="str">
        <f>'IWP22'!I$423</f>
        <v>Amount Due to DADS (E. - D.)</v>
      </c>
      <c r="G6515" s="191" t="str">
        <f>IF('IWP22'!J$423=0,"",'IWP22'!J$423)</f>
        <v>Amount Reimbursed to 
Employee(s)/Employer</v>
      </c>
      <c r="H6515" s="211">
        <f>'IWP22'!K$423</f>
        <v>0</v>
      </c>
      <c r="I6515" s="211" t="str">
        <f>'IWP22'!L$423</f>
        <v>Amount Due to Employee(s) (G. - E.)</v>
      </c>
      <c r="J6515" s="212" t="str">
        <f>'IWP22'!M$423</f>
        <v>Amount Due to Employer (G. - E.)</v>
      </c>
      <c r="K6515" s="106"/>
      <c r="L6515" s="106"/>
      <c r="M6515" s="129"/>
    </row>
    <row r="6516" spans="1:13" s="146" customFormat="1">
      <c r="A6516" s="193" t="s">
        <v>520</v>
      </c>
      <c r="B6516" s="210">
        <v>5</v>
      </c>
      <c r="C6516" s="191" t="str">
        <f>IF('IWP22'!E$424=0,"",'IWP22'!E$424)</f>
        <v>Item/Service</v>
      </c>
      <c r="D6516" s="211" t="str">
        <f>'IWP22'!G$424</f>
        <v>Itemized Amount Paid by DADS</v>
      </c>
      <c r="E6516" s="211">
        <f>'IWP22'!H$424</f>
        <v>0</v>
      </c>
      <c r="F6516" s="211">
        <f>'IWP22'!I$424</f>
        <v>0</v>
      </c>
      <c r="G6516" s="191" t="str">
        <f>IF('IWP22'!J$424=0,"",'IWP22'!J$424)</f>
        <v/>
      </c>
      <c r="H6516" s="211">
        <f>'IWP22'!K$424</f>
        <v>0</v>
      </c>
      <c r="I6516" s="211">
        <f>'IWP22'!L$424</f>
        <v>0</v>
      </c>
      <c r="J6516" s="212">
        <f>'IWP22'!M$424</f>
        <v>0</v>
      </c>
      <c r="K6516" s="106"/>
      <c r="L6516" s="106"/>
      <c r="M6516" s="129"/>
    </row>
    <row r="6517" spans="1:13" s="146" customFormat="1">
      <c r="A6517" s="193" t="s">
        <v>520</v>
      </c>
      <c r="B6517" s="210">
        <v>5</v>
      </c>
      <c r="C6517" s="191" t="str">
        <f>IF('IWP22'!E$425=0,"",'IWP22'!E$425)</f>
        <v/>
      </c>
      <c r="D6517" s="211">
        <f>'IWP22'!G$425</f>
        <v>0</v>
      </c>
      <c r="E6517" s="211">
        <f>'IWP22'!H$425</f>
        <v>0</v>
      </c>
      <c r="F6517" s="211">
        <f>'IWP22'!I$425</f>
        <v>0</v>
      </c>
      <c r="G6517" s="191" t="str">
        <f>IF('IWP22'!J$425=0,"",'IWP22'!J$425)</f>
        <v/>
      </c>
      <c r="H6517" s="211">
        <f>'IWP22'!K$425</f>
        <v>0</v>
      </c>
      <c r="I6517" s="211">
        <f>'IWP22'!L$425</f>
        <v>0</v>
      </c>
      <c r="J6517" s="212">
        <f>'IWP22'!M$425</f>
        <v>0</v>
      </c>
      <c r="K6517" s="106"/>
      <c r="L6517" s="106"/>
      <c r="M6517" s="129"/>
    </row>
    <row r="6518" spans="1:13" s="146" customFormat="1">
      <c r="A6518" s="193" t="s">
        <v>520</v>
      </c>
      <c r="B6518" s="210">
        <v>5</v>
      </c>
      <c r="C6518" s="191" t="str">
        <f>IF('IWP22'!E$426=0,"",'IWP22'!E$426)</f>
        <v/>
      </c>
      <c r="D6518" s="211">
        <f>'IWP22'!G$426</f>
        <v>0</v>
      </c>
      <c r="E6518" s="211">
        <f>'IWP22'!H$426</f>
        <v>0</v>
      </c>
      <c r="F6518" s="211">
        <f>'IWP22'!I$426</f>
        <v>0</v>
      </c>
      <c r="G6518" s="191" t="str">
        <f>IF('IWP22'!J$426=0,"",'IWP22'!J$426)</f>
        <v/>
      </c>
      <c r="H6518" s="211">
        <f>'IWP22'!K$426</f>
        <v>0</v>
      </c>
      <c r="I6518" s="211">
        <f>'IWP22'!L$426</f>
        <v>0</v>
      </c>
      <c r="J6518" s="212">
        <f>'IWP22'!M$426</f>
        <v>0</v>
      </c>
      <c r="K6518" s="106"/>
      <c r="L6518" s="106"/>
      <c r="M6518" s="129"/>
    </row>
    <row r="6519" spans="1:13" s="146" customFormat="1">
      <c r="A6519" s="193" t="s">
        <v>520</v>
      </c>
      <c r="B6519" s="210">
        <v>5</v>
      </c>
      <c r="C6519" s="191" t="str">
        <f>IF('IWP22'!E$427=0,"",'IWP22'!E$427)</f>
        <v/>
      </c>
      <c r="D6519" s="211">
        <f>'IWP22'!G$427</f>
        <v>0</v>
      </c>
      <c r="E6519" s="211">
        <f>'IWP22'!H$427</f>
        <v>0</v>
      </c>
      <c r="F6519" s="211">
        <f>'IWP22'!I$427</f>
        <v>0</v>
      </c>
      <c r="G6519" s="191" t="str">
        <f>IF('IWP22'!J$427=0,"",'IWP22'!J$427)</f>
        <v/>
      </c>
      <c r="H6519" s="211">
        <f>'IWP22'!K$427</f>
        <v>0</v>
      </c>
      <c r="I6519" s="211">
        <f>'IWP22'!L$427</f>
        <v>0</v>
      </c>
      <c r="J6519" s="212">
        <f>'IWP22'!M$427</f>
        <v>0</v>
      </c>
      <c r="K6519" s="106"/>
      <c r="L6519" s="106"/>
      <c r="M6519" s="129"/>
    </row>
    <row r="6520" spans="1:13" s="146" customFormat="1">
      <c r="A6520" s="193" t="s">
        <v>520</v>
      </c>
      <c r="B6520" s="210">
        <v>5</v>
      </c>
      <c r="C6520" s="191" t="str">
        <f>IF('IWP22'!E$428=0,"",'IWP22'!E$428)</f>
        <v/>
      </c>
      <c r="D6520" s="211">
        <f>'IWP22'!G$428</f>
        <v>0</v>
      </c>
      <c r="E6520" s="211">
        <f>'IWP22'!H$428</f>
        <v>0</v>
      </c>
      <c r="F6520" s="211">
        <f>'IWP22'!I$428</f>
        <v>0</v>
      </c>
      <c r="G6520" s="191" t="str">
        <f>IF('IWP22'!J$428=0,"",'IWP22'!J$428)</f>
        <v/>
      </c>
      <c r="H6520" s="211">
        <f>'IWP22'!K$428</f>
        <v>0</v>
      </c>
      <c r="I6520" s="211">
        <f>'IWP22'!L$428</f>
        <v>0</v>
      </c>
      <c r="J6520" s="212">
        <f>'IWP22'!M$428</f>
        <v>0</v>
      </c>
      <c r="K6520" s="106"/>
      <c r="L6520" s="106"/>
      <c r="M6520" s="129"/>
    </row>
    <row r="6521" spans="1:13" s="146" customFormat="1">
      <c r="A6521" s="193" t="s">
        <v>520</v>
      </c>
      <c r="B6521" s="210">
        <v>6</v>
      </c>
      <c r="C6521" s="191" t="str">
        <f>IF('IWP22'!E$435=0,"",'IWP22'!E$435)</f>
        <v>Subtotal column D.</v>
      </c>
      <c r="D6521" s="211">
        <f>'IWP22'!G$435</f>
        <v>0</v>
      </c>
      <c r="E6521" s="211">
        <f>'IWP22'!H$435</f>
        <v>0</v>
      </c>
      <c r="F6521" s="211">
        <f>'IWP22'!I$435</f>
        <v>0</v>
      </c>
      <c r="G6521" s="191" t="str">
        <f>IF('IWP22'!J$435=0,"",'IWP22'!J$435)</f>
        <v/>
      </c>
      <c r="H6521" s="211">
        <f>'IWP22'!K$435</f>
        <v>0</v>
      </c>
      <c r="I6521" s="211">
        <f>'IWP22'!L$435</f>
        <v>0</v>
      </c>
      <c r="J6521" s="212">
        <f>'IWP22'!M$435</f>
        <v>0</v>
      </c>
      <c r="K6521" s="106"/>
      <c r="L6521" s="106"/>
      <c r="M6521" s="129"/>
    </row>
    <row r="6522" spans="1:13" s="146" customFormat="1">
      <c r="A6522" s="193" t="s">
        <v>520</v>
      </c>
      <c r="B6522" s="210">
        <v>6</v>
      </c>
      <c r="C6522" s="191" t="str">
        <f>IF('IWP22'!E$436=0,"",'IWP22'!E$436)</f>
        <v>Unverified/Undocumented (Subtotal D - C)</v>
      </c>
      <c r="D6522" s="211">
        <f>'IWP22'!G$436</f>
        <v>0</v>
      </c>
      <c r="E6522" s="211">
        <f>'IWP22'!H$436</f>
        <v>0</v>
      </c>
      <c r="F6522" s="211">
        <f>'IWP22'!I$436</f>
        <v>0</v>
      </c>
      <c r="G6522" s="191" t="str">
        <f>IF('IWP22'!J$436=0,"",'IWP22'!J$436)</f>
        <v/>
      </c>
      <c r="H6522" s="211">
        <f>'IWP22'!K$436</f>
        <v>0</v>
      </c>
      <c r="I6522" s="211">
        <f>'IWP22'!L$436</f>
        <v>0</v>
      </c>
      <c r="J6522" s="212">
        <f>'IWP22'!M$436</f>
        <v>0</v>
      </c>
      <c r="K6522" s="106"/>
      <c r="L6522" s="106"/>
      <c r="M6522" s="129"/>
    </row>
    <row r="6523" spans="1:13" s="146" customFormat="1">
      <c r="A6523" s="193" t="s">
        <v>520</v>
      </c>
      <c r="B6523" s="210">
        <v>6</v>
      </c>
      <c r="C6523" s="191" t="str">
        <f>IF('IWP22'!E$437=0,"",'IWP22'!E$437)</f>
        <v>J. Billing Period Total</v>
      </c>
      <c r="D6523" s="211">
        <f>'IWP22'!G$437</f>
        <v>0</v>
      </c>
      <c r="E6523" s="211">
        <f>'IWP22'!H$437</f>
        <v>0</v>
      </c>
      <c r="F6523" s="211">
        <f>'IWP22'!I$437</f>
        <v>0</v>
      </c>
      <c r="G6523" s="191" t="str">
        <f>IF('IWP22'!J$437=0,"",'IWP22'!J$437)</f>
        <v/>
      </c>
      <c r="H6523" s="211">
        <f>'IWP22'!K$437</f>
        <v>0</v>
      </c>
      <c r="I6523" s="211">
        <f>'IWP22'!L$437</f>
        <v>0</v>
      </c>
      <c r="J6523" s="212">
        <f>'IWP22'!M$437</f>
        <v>0</v>
      </c>
      <c r="K6523" s="106"/>
      <c r="L6523" s="106"/>
      <c r="M6523" s="129"/>
    </row>
    <row r="6524" spans="1:13" s="146" customFormat="1">
      <c r="A6524" s="193" t="s">
        <v>520</v>
      </c>
      <c r="B6524" s="210">
        <v>6</v>
      </c>
      <c r="C6524" s="191" t="str">
        <f>IF('IWP22'!E$438=0,"",'IWP22'!E$438)</f>
        <v>D.</v>
      </c>
      <c r="D6524" s="211">
        <f>'IWP22'!G$438</f>
        <v>0</v>
      </c>
      <c r="E6524" s="211" t="str">
        <f>'IWP22'!H$438</f>
        <v>E.</v>
      </c>
      <c r="F6524" s="211" t="str">
        <f>'IWP22'!I$438</f>
        <v>F.</v>
      </c>
      <c r="G6524" s="191" t="str">
        <f>IF('IWP22'!J$438=0,"",'IWP22'!J$438)</f>
        <v>G.</v>
      </c>
      <c r="H6524" s="211">
        <f>'IWP22'!K$438</f>
        <v>0</v>
      </c>
      <c r="I6524" s="211" t="str">
        <f>'IWP22'!L$438</f>
        <v>H.</v>
      </c>
      <c r="J6524" s="212" t="str">
        <f>'IWP22'!M$438</f>
        <v>I.</v>
      </c>
      <c r="K6524" s="106"/>
      <c r="L6524" s="106"/>
      <c r="M6524" s="129"/>
    </row>
    <row r="6525" spans="1:13" s="146" customFormat="1">
      <c r="A6525" s="193" t="s">
        <v>520</v>
      </c>
      <c r="B6525" s="210">
        <v>6</v>
      </c>
      <c r="C6525" s="191" t="str">
        <f>IF('IWP22'!E$439=0,"",'IWP22'!E$439)</f>
        <v xml:space="preserve">Items/Services Related to Billing Period </v>
      </c>
      <c r="D6525" s="211">
        <f>'IWP22'!G$439</f>
        <v>0</v>
      </c>
      <c r="E6525" s="211" t="str">
        <f>'IWP22'!H$439</f>
        <v xml:space="preserve">Item/
Service Verified Amounts
</v>
      </c>
      <c r="F6525" s="211" t="str">
        <f>'IWP22'!I$439</f>
        <v>Amount Due to DADS (E. - D.)</v>
      </c>
      <c r="G6525" s="191" t="str">
        <f>IF('IWP22'!J$439=0,"",'IWP22'!J$439)</f>
        <v>Amount Reimbursed to 
Employee(s)/Employer</v>
      </c>
      <c r="H6525" s="211">
        <f>'IWP22'!K$439</f>
        <v>0</v>
      </c>
      <c r="I6525" s="211" t="str">
        <f>'IWP22'!L$439</f>
        <v>Amount Due to Employee(s) (G. - E.)</v>
      </c>
      <c r="J6525" s="212" t="str">
        <f>'IWP22'!M$439</f>
        <v>Amount Due to Employer (G. - E.)</v>
      </c>
      <c r="K6525" s="106"/>
      <c r="L6525" s="106"/>
      <c r="M6525" s="129"/>
    </row>
    <row r="6526" spans="1:13" s="146" customFormat="1">
      <c r="A6526" s="193" t="s">
        <v>520</v>
      </c>
      <c r="B6526" s="210">
        <v>6</v>
      </c>
      <c r="C6526" s="191" t="str">
        <f>IF('IWP22'!E$440=0,"",'IWP22'!E$440)</f>
        <v>Item/Service</v>
      </c>
      <c r="D6526" s="211" t="str">
        <f>'IWP22'!G$440</f>
        <v>Itemized Amount Paid by DADS</v>
      </c>
      <c r="E6526" s="211">
        <f>'IWP22'!H$440</f>
        <v>0</v>
      </c>
      <c r="F6526" s="211">
        <f>'IWP22'!I$440</f>
        <v>0</v>
      </c>
      <c r="G6526" s="191" t="str">
        <f>IF('IWP22'!J$440=0,"",'IWP22'!J$440)</f>
        <v/>
      </c>
      <c r="H6526" s="211">
        <f>'IWP22'!K$440</f>
        <v>0</v>
      </c>
      <c r="I6526" s="211">
        <f>'IWP22'!L$440</f>
        <v>0</v>
      </c>
      <c r="J6526" s="212">
        <f>'IWP22'!M$440</f>
        <v>0</v>
      </c>
      <c r="K6526" s="106"/>
      <c r="L6526" s="106"/>
      <c r="M6526" s="129"/>
    </row>
    <row r="6527" spans="1:13" s="146" customFormat="1">
      <c r="A6527" s="193" t="s">
        <v>520</v>
      </c>
      <c r="B6527" s="210">
        <v>6</v>
      </c>
      <c r="C6527" s="191" t="str">
        <f>IF('IWP22'!E$441=0,"",'IWP22'!E$441)</f>
        <v/>
      </c>
      <c r="D6527" s="211">
        <f>'IWP22'!G$441</f>
        <v>0</v>
      </c>
      <c r="E6527" s="211">
        <f>'IWP22'!H$441</f>
        <v>0</v>
      </c>
      <c r="F6527" s="211">
        <f>'IWP22'!I$441</f>
        <v>0</v>
      </c>
      <c r="G6527" s="191" t="str">
        <f>IF('IWP22'!J$441=0,"",'IWP22'!J$441)</f>
        <v/>
      </c>
      <c r="H6527" s="211">
        <f>'IWP22'!K$441</f>
        <v>0</v>
      </c>
      <c r="I6527" s="211">
        <f>'IWP22'!L$441</f>
        <v>0</v>
      </c>
      <c r="J6527" s="212">
        <f>'IWP22'!M$441</f>
        <v>0</v>
      </c>
      <c r="K6527" s="106"/>
      <c r="L6527" s="106"/>
      <c r="M6527" s="129"/>
    </row>
    <row r="6528" spans="1:13" s="146" customFormat="1">
      <c r="A6528" s="193" t="s">
        <v>520</v>
      </c>
      <c r="B6528" s="210">
        <v>6</v>
      </c>
      <c r="C6528" s="191" t="str">
        <f>IF('IWP22'!E$442=0,"",'IWP22'!E$442)</f>
        <v/>
      </c>
      <c r="D6528" s="211">
        <f>'IWP22'!G$442</f>
        <v>0</v>
      </c>
      <c r="E6528" s="211">
        <f>'IWP22'!H$442</f>
        <v>0</v>
      </c>
      <c r="F6528" s="211">
        <f>'IWP22'!I$442</f>
        <v>0</v>
      </c>
      <c r="G6528" s="191" t="str">
        <f>IF('IWP22'!J$442=0,"",'IWP22'!J$442)</f>
        <v/>
      </c>
      <c r="H6528" s="211">
        <f>'IWP22'!K$442</f>
        <v>0</v>
      </c>
      <c r="I6528" s="211">
        <f>'IWP22'!L$442</f>
        <v>0</v>
      </c>
      <c r="J6528" s="212">
        <f>'IWP22'!M$442</f>
        <v>0</v>
      </c>
      <c r="K6528" s="106"/>
      <c r="L6528" s="106"/>
      <c r="M6528" s="129"/>
    </row>
    <row r="6529" spans="1:13" s="146" customFormat="1">
      <c r="A6529" s="193" t="s">
        <v>520</v>
      </c>
      <c r="B6529" s="210">
        <v>6</v>
      </c>
      <c r="C6529" s="191" t="str">
        <f>IF('IWP22'!E$443=0,"",'IWP22'!E$443)</f>
        <v/>
      </c>
      <c r="D6529" s="211">
        <f>'IWP22'!G$443</f>
        <v>0</v>
      </c>
      <c r="E6529" s="211">
        <f>'IWP22'!H$443</f>
        <v>0</v>
      </c>
      <c r="F6529" s="211">
        <f>'IWP22'!I$443</f>
        <v>0</v>
      </c>
      <c r="G6529" s="191" t="str">
        <f>IF('IWP22'!J$443=0,"",'IWP22'!J$443)</f>
        <v/>
      </c>
      <c r="H6529" s="211">
        <f>'IWP22'!K$443</f>
        <v>0</v>
      </c>
      <c r="I6529" s="211">
        <f>'IWP22'!L$443</f>
        <v>0</v>
      </c>
      <c r="J6529" s="212">
        <f>'IWP22'!M$443</f>
        <v>0</v>
      </c>
      <c r="K6529" s="106"/>
      <c r="L6529" s="106"/>
      <c r="M6529" s="129"/>
    </row>
    <row r="6530" spans="1:13" s="146" customFormat="1">
      <c r="A6530" s="193" t="s">
        <v>520</v>
      </c>
      <c r="B6530" s="210">
        <v>6</v>
      </c>
      <c r="C6530" s="191" t="str">
        <f>IF('IWP22'!E$444=0,"",'IWP22'!E$444)</f>
        <v/>
      </c>
      <c r="D6530" s="211">
        <f>'IWP22'!G$444</f>
        <v>0</v>
      </c>
      <c r="E6530" s="211">
        <f>'IWP22'!H$444</f>
        <v>0</v>
      </c>
      <c r="F6530" s="211">
        <f>'IWP22'!I$444</f>
        <v>0</v>
      </c>
      <c r="G6530" s="191" t="str">
        <f>IF('IWP22'!J$444=0,"",'IWP22'!J$444)</f>
        <v/>
      </c>
      <c r="H6530" s="211">
        <f>'IWP22'!K$444</f>
        <v>0</v>
      </c>
      <c r="I6530" s="211">
        <f>'IWP22'!L$444</f>
        <v>0</v>
      </c>
      <c r="J6530" s="212">
        <f>'IWP22'!M$444</f>
        <v>0</v>
      </c>
      <c r="K6530" s="106"/>
      <c r="L6530" s="106"/>
      <c r="M6530" s="129"/>
    </row>
    <row r="6531" spans="1:13" s="146" customFormat="1">
      <c r="A6531" s="193" t="s">
        <v>520</v>
      </c>
      <c r="B6531" s="210">
        <v>7</v>
      </c>
      <c r="C6531" s="191" t="str">
        <f>IF('IWP22'!E$451=0,"",'IWP22'!E$451)</f>
        <v>Subtotal column D.</v>
      </c>
      <c r="D6531" s="211">
        <f>'IWP22'!G$451</f>
        <v>0</v>
      </c>
      <c r="E6531" s="211">
        <f>'IWP22'!H$451</f>
        <v>0</v>
      </c>
      <c r="F6531" s="211">
        <f>'IWP22'!I$451</f>
        <v>0</v>
      </c>
      <c r="G6531" s="191" t="str">
        <f>IF('IWP22'!J$451=0,"",'IWP22'!J$451)</f>
        <v/>
      </c>
      <c r="H6531" s="211">
        <f>'IWP22'!K$451</f>
        <v>0</v>
      </c>
      <c r="I6531" s="211">
        <f>'IWP22'!L$451</f>
        <v>0</v>
      </c>
      <c r="J6531" s="212">
        <f>'IWP22'!M$451</f>
        <v>0</v>
      </c>
      <c r="K6531" s="106"/>
      <c r="L6531" s="106"/>
      <c r="M6531" s="129"/>
    </row>
    <row r="6532" spans="1:13" s="146" customFormat="1">
      <c r="A6532" s="193" t="s">
        <v>520</v>
      </c>
      <c r="B6532" s="210">
        <v>7</v>
      </c>
      <c r="C6532" s="191" t="str">
        <f>IF('IWP22'!E$452=0,"",'IWP22'!E$452)</f>
        <v>Unverified/Undocumented (Subtotal D - C)</v>
      </c>
      <c r="D6532" s="211">
        <f>'IWP22'!G$452</f>
        <v>0</v>
      </c>
      <c r="E6532" s="211">
        <f>'IWP22'!H$452</f>
        <v>0</v>
      </c>
      <c r="F6532" s="211">
        <f>'IWP22'!I$452</f>
        <v>0</v>
      </c>
      <c r="G6532" s="191" t="str">
        <f>IF('IWP22'!J$452=0,"",'IWP22'!J$452)</f>
        <v/>
      </c>
      <c r="H6532" s="211">
        <f>'IWP22'!K$452</f>
        <v>0</v>
      </c>
      <c r="I6532" s="211">
        <f>'IWP22'!L$452</f>
        <v>0</v>
      </c>
      <c r="J6532" s="212">
        <f>'IWP22'!M$452</f>
        <v>0</v>
      </c>
      <c r="K6532" s="106"/>
      <c r="L6532" s="106"/>
      <c r="M6532" s="129"/>
    </row>
    <row r="6533" spans="1:13" s="146" customFormat="1">
      <c r="A6533" s="193" t="s">
        <v>520</v>
      </c>
      <c r="B6533" s="210">
        <v>7</v>
      </c>
      <c r="C6533" s="191" t="str">
        <f>IF('IWP22'!E$453=0,"",'IWP22'!E$453)</f>
        <v>J. Billing Period Total</v>
      </c>
      <c r="D6533" s="211">
        <f>'IWP22'!G$453</f>
        <v>0</v>
      </c>
      <c r="E6533" s="211">
        <f>'IWP22'!H$453</f>
        <v>0</v>
      </c>
      <c r="F6533" s="211">
        <f>'IWP22'!I$453</f>
        <v>0</v>
      </c>
      <c r="G6533" s="191" t="str">
        <f>IF('IWP22'!J$453=0,"",'IWP22'!J$453)</f>
        <v/>
      </c>
      <c r="H6533" s="211">
        <f>'IWP22'!K$453</f>
        <v>0</v>
      </c>
      <c r="I6533" s="211">
        <f>'IWP22'!L$453</f>
        <v>0</v>
      </c>
      <c r="J6533" s="212">
        <f>'IWP22'!M$453</f>
        <v>0</v>
      </c>
      <c r="K6533" s="106"/>
      <c r="L6533" s="106"/>
      <c r="M6533" s="129"/>
    </row>
    <row r="6534" spans="1:13" s="146" customFormat="1">
      <c r="A6534" s="193" t="s">
        <v>520</v>
      </c>
      <c r="B6534" s="210">
        <v>7</v>
      </c>
      <c r="C6534" s="191" t="str">
        <f>IF('IWP22'!E$454=0,"",'IWP22'!E$454)</f>
        <v>D.</v>
      </c>
      <c r="D6534" s="211">
        <f>'IWP22'!G$454</f>
        <v>0</v>
      </c>
      <c r="E6534" s="211" t="str">
        <f>'IWP22'!H$454</f>
        <v>E.</v>
      </c>
      <c r="F6534" s="211" t="str">
        <f>'IWP22'!I$454</f>
        <v>F.</v>
      </c>
      <c r="G6534" s="191" t="str">
        <f>IF('IWP22'!J$454=0,"",'IWP22'!J$454)</f>
        <v>G.</v>
      </c>
      <c r="H6534" s="211">
        <f>'IWP22'!K$454</f>
        <v>0</v>
      </c>
      <c r="I6534" s="211" t="str">
        <f>'IWP22'!L$454</f>
        <v>H.</v>
      </c>
      <c r="J6534" s="212" t="str">
        <f>'IWP22'!M$454</f>
        <v>I.</v>
      </c>
      <c r="K6534" s="106"/>
      <c r="L6534" s="106"/>
      <c r="M6534" s="129"/>
    </row>
    <row r="6535" spans="1:13" s="146" customFormat="1">
      <c r="A6535" s="193" t="s">
        <v>520</v>
      </c>
      <c r="B6535" s="210">
        <v>7</v>
      </c>
      <c r="C6535" s="191" t="str">
        <f>IF('IWP22'!E$455=0,"",'IWP22'!E$455)</f>
        <v xml:space="preserve">Items/Services Related to Billing Period </v>
      </c>
      <c r="D6535" s="211">
        <f>'IWP22'!G$455</f>
        <v>0</v>
      </c>
      <c r="E6535" s="211" t="str">
        <f>'IWP22'!H$455</f>
        <v xml:space="preserve">Item/
Service Verified Amounts
</v>
      </c>
      <c r="F6535" s="211" t="str">
        <f>'IWP22'!I$455</f>
        <v>Amount Due to DADS (E. - D.)</v>
      </c>
      <c r="G6535" s="191" t="str">
        <f>IF('IWP22'!J$455=0,"",'IWP22'!J$455)</f>
        <v>Amount Reimbursed to 
Employee(s)/Employer</v>
      </c>
      <c r="H6535" s="211">
        <f>'IWP22'!K$455</f>
        <v>0</v>
      </c>
      <c r="I6535" s="211" t="str">
        <f>'IWP22'!L$455</f>
        <v>Amount Due to Employee(s) (G. - E.)</v>
      </c>
      <c r="J6535" s="212" t="str">
        <f>'IWP22'!M$455</f>
        <v>Amount Due to Employer (G. - E.)</v>
      </c>
      <c r="K6535" s="106"/>
      <c r="L6535" s="106"/>
      <c r="M6535" s="129"/>
    </row>
    <row r="6536" spans="1:13" s="146" customFormat="1">
      <c r="A6536" s="193" t="s">
        <v>520</v>
      </c>
      <c r="B6536" s="210">
        <v>7</v>
      </c>
      <c r="C6536" s="191" t="str">
        <f>IF('IWP22'!E$456=0,"",'IWP22'!E$456)</f>
        <v>Item/Service</v>
      </c>
      <c r="D6536" s="211" t="str">
        <f>'IWP22'!G$456</f>
        <v>Itemized Amount Paid by DADS</v>
      </c>
      <c r="E6536" s="211">
        <f>'IWP22'!H$456</f>
        <v>0</v>
      </c>
      <c r="F6536" s="211">
        <f>'IWP22'!I$456</f>
        <v>0</v>
      </c>
      <c r="G6536" s="191" t="str">
        <f>IF('IWP22'!J$456=0,"",'IWP22'!J$456)</f>
        <v/>
      </c>
      <c r="H6536" s="211">
        <f>'IWP22'!K$456</f>
        <v>0</v>
      </c>
      <c r="I6536" s="211">
        <f>'IWP22'!L$456</f>
        <v>0</v>
      </c>
      <c r="J6536" s="212">
        <f>'IWP22'!M$456</f>
        <v>0</v>
      </c>
      <c r="K6536" s="106"/>
      <c r="L6536" s="106"/>
      <c r="M6536" s="129"/>
    </row>
    <row r="6537" spans="1:13" s="146" customFormat="1">
      <c r="A6537" s="193" t="s">
        <v>520</v>
      </c>
      <c r="B6537" s="210">
        <v>7</v>
      </c>
      <c r="C6537" s="191" t="str">
        <f>IF('IWP22'!E$457=0,"",'IWP22'!E$457)</f>
        <v/>
      </c>
      <c r="D6537" s="211">
        <f>'IWP22'!G$457</f>
        <v>0</v>
      </c>
      <c r="E6537" s="211">
        <f>'IWP22'!H$457</f>
        <v>0</v>
      </c>
      <c r="F6537" s="211">
        <f>'IWP22'!I$457</f>
        <v>0</v>
      </c>
      <c r="G6537" s="191" t="str">
        <f>IF('IWP22'!J$457=0,"",'IWP22'!J$457)</f>
        <v/>
      </c>
      <c r="H6537" s="211">
        <f>'IWP22'!K$457</f>
        <v>0</v>
      </c>
      <c r="I6537" s="211">
        <f>'IWP22'!L$457</f>
        <v>0</v>
      </c>
      <c r="J6537" s="212">
        <f>'IWP22'!M$457</f>
        <v>0</v>
      </c>
      <c r="K6537" s="106"/>
      <c r="L6537" s="106"/>
      <c r="M6537" s="129"/>
    </row>
    <row r="6538" spans="1:13" s="146" customFormat="1">
      <c r="A6538" s="193" t="s">
        <v>520</v>
      </c>
      <c r="B6538" s="210">
        <v>7</v>
      </c>
      <c r="C6538" s="191" t="str">
        <f>IF('IWP22'!E$458=0,"",'IWP22'!E$458)</f>
        <v/>
      </c>
      <c r="D6538" s="211">
        <f>'IWP22'!G$458</f>
        <v>0</v>
      </c>
      <c r="E6538" s="211">
        <f>'IWP22'!H$458</f>
        <v>0</v>
      </c>
      <c r="F6538" s="211">
        <f>'IWP22'!I$458</f>
        <v>0</v>
      </c>
      <c r="G6538" s="191" t="str">
        <f>IF('IWP22'!J$458=0,"",'IWP22'!J$458)</f>
        <v/>
      </c>
      <c r="H6538" s="211">
        <f>'IWP22'!K$458</f>
        <v>0</v>
      </c>
      <c r="I6538" s="211">
        <f>'IWP22'!L$458</f>
        <v>0</v>
      </c>
      <c r="J6538" s="212">
        <f>'IWP22'!M$458</f>
        <v>0</v>
      </c>
      <c r="K6538" s="106"/>
      <c r="L6538" s="106"/>
      <c r="M6538" s="129"/>
    </row>
    <row r="6539" spans="1:13" s="146" customFormat="1">
      <c r="A6539" s="193" t="s">
        <v>520</v>
      </c>
      <c r="B6539" s="210">
        <v>7</v>
      </c>
      <c r="C6539" s="191" t="str">
        <f>IF('IWP22'!E$459=0,"",'IWP22'!E$459)</f>
        <v/>
      </c>
      <c r="D6539" s="211">
        <f>'IWP22'!G$459</f>
        <v>0</v>
      </c>
      <c r="E6539" s="211">
        <f>'IWP22'!H$459</f>
        <v>0</v>
      </c>
      <c r="F6539" s="211">
        <f>'IWP22'!I$459</f>
        <v>0</v>
      </c>
      <c r="G6539" s="191" t="str">
        <f>IF('IWP22'!J$459=0,"",'IWP22'!J$459)</f>
        <v/>
      </c>
      <c r="H6539" s="211">
        <f>'IWP22'!K$459</f>
        <v>0</v>
      </c>
      <c r="I6539" s="211">
        <f>'IWP22'!L$459</f>
        <v>0</v>
      </c>
      <c r="J6539" s="212">
        <f>'IWP22'!M$459</f>
        <v>0</v>
      </c>
      <c r="K6539" s="106"/>
      <c r="L6539" s="106"/>
      <c r="M6539" s="129"/>
    </row>
    <row r="6540" spans="1:13" s="146" customFormat="1">
      <c r="A6540" s="193" t="s">
        <v>520</v>
      </c>
      <c r="B6540" s="210">
        <v>7</v>
      </c>
      <c r="C6540" s="191" t="str">
        <f>IF('IWP22'!E$460=0,"",'IWP22'!E$460)</f>
        <v/>
      </c>
      <c r="D6540" s="211">
        <f>'IWP22'!G$460</f>
        <v>0</v>
      </c>
      <c r="E6540" s="211">
        <f>'IWP22'!H$460</f>
        <v>0</v>
      </c>
      <c r="F6540" s="211">
        <f>'IWP22'!I$460</f>
        <v>0</v>
      </c>
      <c r="G6540" s="191" t="str">
        <f>IF('IWP22'!J$460=0,"",'IWP22'!J$460)</f>
        <v/>
      </c>
      <c r="H6540" s="211">
        <f>'IWP22'!K$460</f>
        <v>0</v>
      </c>
      <c r="I6540" s="211">
        <f>'IWP22'!L$460</f>
        <v>0</v>
      </c>
      <c r="J6540" s="212">
        <f>'IWP22'!M$460</f>
        <v>0</v>
      </c>
      <c r="K6540" s="106"/>
      <c r="L6540" s="106"/>
      <c r="M6540" s="129"/>
    </row>
    <row r="6541" spans="1:13" s="146" customFormat="1">
      <c r="A6541" s="193" t="s">
        <v>520</v>
      </c>
      <c r="B6541" s="210">
        <v>8</v>
      </c>
      <c r="C6541" s="191" t="str">
        <f>IF('IWP22'!E$467=0,"",'IWP22'!E$467)</f>
        <v>Subtotal column D.</v>
      </c>
      <c r="D6541" s="211">
        <f>'IWP22'!G$467</f>
        <v>0</v>
      </c>
      <c r="E6541" s="211">
        <f>'IWP22'!H$467</f>
        <v>0</v>
      </c>
      <c r="F6541" s="211">
        <f>'IWP22'!I$467</f>
        <v>0</v>
      </c>
      <c r="G6541" s="191" t="str">
        <f>IF('IWP22'!J$467=0,"",'IWP22'!J$467)</f>
        <v/>
      </c>
      <c r="H6541" s="211">
        <f>'IWP22'!K$467</f>
        <v>0</v>
      </c>
      <c r="I6541" s="211">
        <f>'IWP22'!L$467</f>
        <v>0</v>
      </c>
      <c r="J6541" s="212">
        <f>'IWP22'!M$467</f>
        <v>0</v>
      </c>
      <c r="K6541" s="106"/>
      <c r="L6541" s="106"/>
      <c r="M6541" s="129"/>
    </row>
    <row r="6542" spans="1:13" s="146" customFormat="1">
      <c r="A6542" s="193" t="s">
        <v>520</v>
      </c>
      <c r="B6542" s="210">
        <v>8</v>
      </c>
      <c r="C6542" s="191" t="str">
        <f>IF('IWP22'!E$468=0,"",'IWP22'!E$468)</f>
        <v>Unverified/Undocumented (Subtotal D - C)</v>
      </c>
      <c r="D6542" s="211">
        <f>'IWP22'!G$468</f>
        <v>0</v>
      </c>
      <c r="E6542" s="211">
        <f>'IWP22'!H$468</f>
        <v>0</v>
      </c>
      <c r="F6542" s="211">
        <f>'IWP22'!I$468</f>
        <v>0</v>
      </c>
      <c r="G6542" s="191" t="str">
        <f>IF('IWP22'!J$468=0,"",'IWP22'!J$468)</f>
        <v/>
      </c>
      <c r="H6542" s="211">
        <f>'IWP22'!K$468</f>
        <v>0</v>
      </c>
      <c r="I6542" s="211">
        <f>'IWP22'!L$468</f>
        <v>0</v>
      </c>
      <c r="J6542" s="212">
        <f>'IWP22'!M$468</f>
        <v>0</v>
      </c>
      <c r="K6542" s="106"/>
      <c r="L6542" s="106"/>
      <c r="M6542" s="129"/>
    </row>
    <row r="6543" spans="1:13" s="146" customFormat="1">
      <c r="A6543" s="193" t="s">
        <v>520</v>
      </c>
      <c r="B6543" s="210">
        <v>8</v>
      </c>
      <c r="C6543" s="191" t="str">
        <f>IF('IWP22'!E$469=0,"",'IWP22'!E$469)</f>
        <v>J. Billing Period Total</v>
      </c>
      <c r="D6543" s="211">
        <f>'IWP22'!G$469</f>
        <v>0</v>
      </c>
      <c r="E6543" s="211">
        <f>'IWP22'!H$469</f>
        <v>0</v>
      </c>
      <c r="F6543" s="211">
        <f>'IWP22'!I$469</f>
        <v>0</v>
      </c>
      <c r="G6543" s="191" t="str">
        <f>IF('IWP22'!J$469=0,"",'IWP22'!J$469)</f>
        <v/>
      </c>
      <c r="H6543" s="211">
        <f>'IWP22'!K$469</f>
        <v>0</v>
      </c>
      <c r="I6543" s="211">
        <f>'IWP22'!L$469</f>
        <v>0</v>
      </c>
      <c r="J6543" s="212">
        <f>'IWP22'!M$469</f>
        <v>0</v>
      </c>
      <c r="K6543" s="106"/>
      <c r="L6543" s="106"/>
      <c r="M6543" s="129"/>
    </row>
    <row r="6544" spans="1:13" s="146" customFormat="1">
      <c r="A6544" s="193" t="s">
        <v>520</v>
      </c>
      <c r="B6544" s="210">
        <v>8</v>
      </c>
      <c r="C6544" s="191" t="str">
        <f>IF('IWP22'!E$470=0,"",'IWP22'!E$470)</f>
        <v>D.</v>
      </c>
      <c r="D6544" s="211">
        <f>'IWP22'!G$470</f>
        <v>0</v>
      </c>
      <c r="E6544" s="211" t="str">
        <f>'IWP22'!H$470</f>
        <v>E.</v>
      </c>
      <c r="F6544" s="211" t="str">
        <f>'IWP22'!I$470</f>
        <v>F.</v>
      </c>
      <c r="G6544" s="191" t="str">
        <f>IF('IWP22'!J$470=0,"",'IWP22'!J$470)</f>
        <v>G.</v>
      </c>
      <c r="H6544" s="211">
        <f>'IWP22'!K$470</f>
        <v>0</v>
      </c>
      <c r="I6544" s="211" t="str">
        <f>'IWP22'!L$470</f>
        <v>H.</v>
      </c>
      <c r="J6544" s="212" t="str">
        <f>'IWP22'!M$470</f>
        <v>I.</v>
      </c>
      <c r="K6544" s="106"/>
      <c r="L6544" s="106"/>
      <c r="M6544" s="129"/>
    </row>
    <row r="6545" spans="1:13" s="146" customFormat="1">
      <c r="A6545" s="193" t="s">
        <v>520</v>
      </c>
      <c r="B6545" s="210">
        <v>8</v>
      </c>
      <c r="C6545" s="191" t="str">
        <f>IF('IWP22'!E$471=0,"",'IWP22'!E$471)</f>
        <v xml:space="preserve">Items/Services Related to Billing Period </v>
      </c>
      <c r="D6545" s="211">
        <f>'IWP22'!G$471</f>
        <v>0</v>
      </c>
      <c r="E6545" s="211" t="str">
        <f>'IWP22'!H$471</f>
        <v xml:space="preserve">Item/
Service Verified Amounts
</v>
      </c>
      <c r="F6545" s="211" t="str">
        <f>'IWP22'!I$471</f>
        <v>Amount Due to DADS (E. - D.)</v>
      </c>
      <c r="G6545" s="191" t="str">
        <f>IF('IWP22'!J$471=0,"",'IWP22'!J$471)</f>
        <v>Amount Reimbursed to 
Employee(s)/Employer</v>
      </c>
      <c r="H6545" s="211">
        <f>'IWP22'!K$471</f>
        <v>0</v>
      </c>
      <c r="I6545" s="211" t="str">
        <f>'IWP22'!L$471</f>
        <v>Amount Due to Employee(s) (G. - E.)</v>
      </c>
      <c r="J6545" s="212" t="str">
        <f>'IWP22'!M$471</f>
        <v>Amount Due to Employer (G. - E.)</v>
      </c>
      <c r="K6545" s="106"/>
      <c r="L6545" s="106"/>
      <c r="M6545" s="129"/>
    </row>
    <row r="6546" spans="1:13" s="146" customFormat="1">
      <c r="A6546" s="193" t="s">
        <v>520</v>
      </c>
      <c r="B6546" s="210">
        <v>8</v>
      </c>
      <c r="C6546" s="191" t="str">
        <f>IF('IWP22'!E$472=0,"",'IWP22'!E$472)</f>
        <v>Item/Service</v>
      </c>
      <c r="D6546" s="211" t="str">
        <f>'IWP22'!G$472</f>
        <v>Itemized Amount Paid by DADS</v>
      </c>
      <c r="E6546" s="211">
        <f>'IWP22'!H$472</f>
        <v>0</v>
      </c>
      <c r="F6546" s="211">
        <f>'IWP22'!I$472</f>
        <v>0</v>
      </c>
      <c r="G6546" s="191" t="str">
        <f>IF('IWP22'!J$472=0,"",'IWP22'!J$472)</f>
        <v/>
      </c>
      <c r="H6546" s="211">
        <f>'IWP22'!K$472</f>
        <v>0</v>
      </c>
      <c r="I6546" s="211">
        <f>'IWP22'!L$472</f>
        <v>0</v>
      </c>
      <c r="J6546" s="212">
        <f>'IWP22'!M$472</f>
        <v>0</v>
      </c>
      <c r="K6546" s="106"/>
      <c r="L6546" s="106"/>
      <c r="M6546" s="129"/>
    </row>
    <row r="6547" spans="1:13" s="146" customFormat="1">
      <c r="A6547" s="193" t="s">
        <v>520</v>
      </c>
      <c r="B6547" s="210">
        <v>8</v>
      </c>
      <c r="C6547" s="191" t="str">
        <f>IF('IWP22'!E$473=0,"",'IWP22'!E$473)</f>
        <v/>
      </c>
      <c r="D6547" s="211">
        <f>'IWP22'!G$473</f>
        <v>0</v>
      </c>
      <c r="E6547" s="211">
        <f>'IWP22'!H$473</f>
        <v>0</v>
      </c>
      <c r="F6547" s="211">
        <f>'IWP22'!I$473</f>
        <v>0</v>
      </c>
      <c r="G6547" s="191" t="str">
        <f>IF('IWP22'!J$473=0,"",'IWP22'!J$473)</f>
        <v/>
      </c>
      <c r="H6547" s="211">
        <f>'IWP22'!K$473</f>
        <v>0</v>
      </c>
      <c r="I6547" s="211">
        <f>'IWP22'!L$473</f>
        <v>0</v>
      </c>
      <c r="J6547" s="212">
        <f>'IWP22'!M$473</f>
        <v>0</v>
      </c>
      <c r="K6547" s="106"/>
      <c r="L6547" s="106"/>
      <c r="M6547" s="129"/>
    </row>
    <row r="6548" spans="1:13" s="146" customFormat="1">
      <c r="A6548" s="193" t="s">
        <v>520</v>
      </c>
      <c r="B6548" s="210">
        <v>8</v>
      </c>
      <c r="C6548" s="191" t="str">
        <f>IF('IWP22'!E$474=0,"",'IWP22'!E$474)</f>
        <v/>
      </c>
      <c r="D6548" s="211">
        <f>'IWP22'!G$474</f>
        <v>0</v>
      </c>
      <c r="E6548" s="211">
        <f>'IWP22'!H$474</f>
        <v>0</v>
      </c>
      <c r="F6548" s="211">
        <f>'IWP22'!I$474</f>
        <v>0</v>
      </c>
      <c r="G6548" s="191" t="str">
        <f>IF('IWP22'!J$474=0,"",'IWP22'!J$474)</f>
        <v/>
      </c>
      <c r="H6548" s="211">
        <f>'IWP22'!K$474</f>
        <v>0</v>
      </c>
      <c r="I6548" s="211">
        <f>'IWP22'!L$474</f>
        <v>0</v>
      </c>
      <c r="J6548" s="212">
        <f>'IWP22'!M$474</f>
        <v>0</v>
      </c>
      <c r="K6548" s="106"/>
      <c r="L6548" s="106"/>
      <c r="M6548" s="129"/>
    </row>
    <row r="6549" spans="1:13" s="146" customFormat="1">
      <c r="A6549" s="193" t="s">
        <v>520</v>
      </c>
      <c r="B6549" s="210">
        <v>8</v>
      </c>
      <c r="C6549" s="191" t="str">
        <f>IF('IWP22'!E$475=0,"",'IWP22'!E$475)</f>
        <v/>
      </c>
      <c r="D6549" s="211">
        <f>'IWP22'!G$475</f>
        <v>0</v>
      </c>
      <c r="E6549" s="211">
        <f>'IWP22'!H$475</f>
        <v>0</v>
      </c>
      <c r="F6549" s="211">
        <f>'IWP22'!I$475</f>
        <v>0</v>
      </c>
      <c r="G6549" s="191" t="str">
        <f>IF('IWP22'!J$475=0,"",'IWP22'!J$475)</f>
        <v/>
      </c>
      <c r="H6549" s="211">
        <f>'IWP22'!K$475</f>
        <v>0</v>
      </c>
      <c r="I6549" s="211">
        <f>'IWP22'!L$475</f>
        <v>0</v>
      </c>
      <c r="J6549" s="212">
        <f>'IWP22'!M$475</f>
        <v>0</v>
      </c>
      <c r="K6549" s="106"/>
      <c r="L6549" s="106"/>
      <c r="M6549" s="129"/>
    </row>
    <row r="6550" spans="1:13" s="146" customFormat="1">
      <c r="A6550" s="193" t="s">
        <v>520</v>
      </c>
      <c r="B6550" s="210">
        <v>8</v>
      </c>
      <c r="C6550" s="191" t="str">
        <f>IF('IWP22'!E$476=0,"",'IWP22'!E$476)</f>
        <v/>
      </c>
      <c r="D6550" s="211">
        <f>'IWP22'!G$476</f>
        <v>0</v>
      </c>
      <c r="E6550" s="211">
        <f>'IWP22'!H$476</f>
        <v>0</v>
      </c>
      <c r="F6550" s="211">
        <f>'IWP22'!I$476</f>
        <v>0</v>
      </c>
      <c r="G6550" s="191" t="str">
        <f>IF('IWP22'!J$476=0,"",'IWP22'!J$476)</f>
        <v/>
      </c>
      <c r="H6550" s="211">
        <f>'IWP22'!K$476</f>
        <v>0</v>
      </c>
      <c r="I6550" s="211">
        <f>'IWP22'!L$476</f>
        <v>0</v>
      </c>
      <c r="J6550" s="212">
        <f>'IWP22'!M$476</f>
        <v>0</v>
      </c>
      <c r="K6550" s="106"/>
      <c r="L6550" s="106"/>
      <c r="M6550" s="129"/>
    </row>
    <row r="6551" spans="1:13" s="146" customFormat="1">
      <c r="A6551" s="193" t="s">
        <v>520</v>
      </c>
      <c r="B6551" s="210">
        <v>9</v>
      </c>
      <c r="C6551" s="191" t="str">
        <f>IF('IWP22'!E$483=0,"",'IWP22'!E$483)</f>
        <v>Subtotal column D.</v>
      </c>
      <c r="D6551" s="211">
        <f>'IWP22'!G$483</f>
        <v>0</v>
      </c>
      <c r="E6551" s="211">
        <f>'IWP22'!H$483</f>
        <v>0</v>
      </c>
      <c r="F6551" s="211">
        <f>'IWP22'!I$483</f>
        <v>0</v>
      </c>
      <c r="G6551" s="191" t="str">
        <f>IF('IWP22'!J$483=0,"",'IWP22'!J$483)</f>
        <v/>
      </c>
      <c r="H6551" s="211">
        <f>'IWP22'!K$483</f>
        <v>0</v>
      </c>
      <c r="I6551" s="211">
        <f>'IWP22'!L$483</f>
        <v>0</v>
      </c>
      <c r="J6551" s="212">
        <f>'IWP22'!M$483</f>
        <v>0</v>
      </c>
      <c r="K6551" s="106"/>
      <c r="L6551" s="106"/>
      <c r="M6551" s="129"/>
    </row>
    <row r="6552" spans="1:13" s="146" customFormat="1">
      <c r="A6552" s="193" t="s">
        <v>520</v>
      </c>
      <c r="B6552" s="210">
        <v>9</v>
      </c>
      <c r="C6552" s="191" t="str">
        <f>IF('IWP22'!E$484=0,"",'IWP22'!E$484)</f>
        <v>Unverified/Undocumented (Subtotal D - C)</v>
      </c>
      <c r="D6552" s="211">
        <f>'IWP22'!G$484</f>
        <v>0</v>
      </c>
      <c r="E6552" s="211">
        <f>'IWP22'!H$484</f>
        <v>0</v>
      </c>
      <c r="F6552" s="211">
        <f>'IWP22'!I$484</f>
        <v>0</v>
      </c>
      <c r="G6552" s="191" t="str">
        <f>IF('IWP22'!J$484=0,"",'IWP22'!J$484)</f>
        <v/>
      </c>
      <c r="H6552" s="211">
        <f>'IWP22'!K$484</f>
        <v>0</v>
      </c>
      <c r="I6552" s="211">
        <f>'IWP22'!L$484</f>
        <v>0</v>
      </c>
      <c r="J6552" s="212">
        <f>'IWP22'!M$484</f>
        <v>0</v>
      </c>
      <c r="K6552" s="106"/>
      <c r="L6552" s="106"/>
      <c r="M6552" s="129"/>
    </row>
    <row r="6553" spans="1:13" s="146" customFormat="1">
      <c r="A6553" s="193" t="s">
        <v>520</v>
      </c>
      <c r="B6553" s="210">
        <v>9</v>
      </c>
      <c r="C6553" s="191" t="str">
        <f>IF('IWP22'!E$485=0,"",'IWP22'!E$485)</f>
        <v>J. Billing Period Total</v>
      </c>
      <c r="D6553" s="211">
        <f>'IWP22'!G$485</f>
        <v>0</v>
      </c>
      <c r="E6553" s="211">
        <f>'IWP22'!H$485</f>
        <v>0</v>
      </c>
      <c r="F6553" s="211">
        <f>'IWP22'!I$485</f>
        <v>0</v>
      </c>
      <c r="G6553" s="191" t="str">
        <f>IF('IWP22'!J$485=0,"",'IWP22'!J$485)</f>
        <v/>
      </c>
      <c r="H6553" s="211">
        <f>'IWP22'!K$485</f>
        <v>0</v>
      </c>
      <c r="I6553" s="211">
        <f>'IWP22'!L$485</f>
        <v>0</v>
      </c>
      <c r="J6553" s="212">
        <f>'IWP22'!M$485</f>
        <v>0</v>
      </c>
      <c r="K6553" s="106"/>
      <c r="L6553" s="106"/>
      <c r="M6553" s="129"/>
    </row>
    <row r="6554" spans="1:13" s="146" customFormat="1">
      <c r="A6554" s="193" t="s">
        <v>520</v>
      </c>
      <c r="B6554" s="210">
        <v>9</v>
      </c>
      <c r="C6554" s="191" t="str">
        <f>IF('IWP22'!E$486=0,"",'IWP22'!E$486)</f>
        <v>D.</v>
      </c>
      <c r="D6554" s="211">
        <f>'IWP22'!G$486</f>
        <v>0</v>
      </c>
      <c r="E6554" s="211" t="str">
        <f>'IWP22'!H$486</f>
        <v>E.</v>
      </c>
      <c r="F6554" s="211" t="str">
        <f>'IWP22'!I$486</f>
        <v>F.</v>
      </c>
      <c r="G6554" s="191" t="str">
        <f>IF('IWP22'!J$486=0,"",'IWP22'!J$486)</f>
        <v>G.</v>
      </c>
      <c r="H6554" s="211">
        <f>'IWP22'!K$486</f>
        <v>0</v>
      </c>
      <c r="I6554" s="211" t="str">
        <f>'IWP22'!L$486</f>
        <v>H.</v>
      </c>
      <c r="J6554" s="212" t="str">
        <f>'IWP22'!M$486</f>
        <v>I.</v>
      </c>
      <c r="K6554" s="106"/>
      <c r="L6554" s="106"/>
      <c r="M6554" s="129"/>
    </row>
    <row r="6555" spans="1:13" s="146" customFormat="1">
      <c r="A6555" s="193" t="s">
        <v>520</v>
      </c>
      <c r="B6555" s="210">
        <v>9</v>
      </c>
      <c r="C6555" s="191" t="str">
        <f>IF('IWP22'!E$487=0,"",'IWP22'!E$487)</f>
        <v xml:space="preserve">Items/Services Related to Billing Period </v>
      </c>
      <c r="D6555" s="211">
        <f>'IWP22'!G$487</f>
        <v>0</v>
      </c>
      <c r="E6555" s="211" t="str">
        <f>'IWP22'!H$487</f>
        <v xml:space="preserve">Item/
Service Verified Amounts
</v>
      </c>
      <c r="F6555" s="211" t="str">
        <f>'IWP22'!I$487</f>
        <v>Amount Due to DADS (E. - D.)</v>
      </c>
      <c r="G6555" s="191" t="str">
        <f>IF('IWP22'!J$487=0,"",'IWP22'!J$487)</f>
        <v>Amount Reimbursed to 
Employee(s)/Employer</v>
      </c>
      <c r="H6555" s="211">
        <f>'IWP22'!K$487</f>
        <v>0</v>
      </c>
      <c r="I6555" s="211" t="str">
        <f>'IWP22'!L$487</f>
        <v>Amount Due to Employee(s) (G. - E.)</v>
      </c>
      <c r="J6555" s="212" t="str">
        <f>'IWP22'!M$487</f>
        <v>Amount Due to Employer (G. - E.)</v>
      </c>
      <c r="K6555" s="106"/>
      <c r="L6555" s="106"/>
      <c r="M6555" s="129"/>
    </row>
    <row r="6556" spans="1:13" s="146" customFormat="1">
      <c r="A6556" s="193" t="s">
        <v>520</v>
      </c>
      <c r="B6556" s="210">
        <v>9</v>
      </c>
      <c r="C6556" s="191" t="str">
        <f>IF('IWP22'!E$488=0,"",'IWP22'!E$488)</f>
        <v>Item/Service</v>
      </c>
      <c r="D6556" s="211" t="str">
        <f>'IWP22'!G$488</f>
        <v>Itemized Amount Paid by DADS</v>
      </c>
      <c r="E6556" s="211">
        <f>'IWP22'!H$488</f>
        <v>0</v>
      </c>
      <c r="F6556" s="211">
        <f>'IWP22'!I$488</f>
        <v>0</v>
      </c>
      <c r="G6556" s="191" t="str">
        <f>IF('IWP22'!J$488=0,"",'IWP22'!J$488)</f>
        <v/>
      </c>
      <c r="H6556" s="211">
        <f>'IWP22'!K$488</f>
        <v>0</v>
      </c>
      <c r="I6556" s="211">
        <f>'IWP22'!L$488</f>
        <v>0</v>
      </c>
      <c r="J6556" s="212">
        <f>'IWP22'!M$488</f>
        <v>0</v>
      </c>
      <c r="K6556" s="106"/>
      <c r="L6556" s="106"/>
      <c r="M6556" s="129"/>
    </row>
    <row r="6557" spans="1:13" s="146" customFormat="1">
      <c r="A6557" s="193" t="s">
        <v>520</v>
      </c>
      <c r="B6557" s="210">
        <v>9</v>
      </c>
      <c r="C6557" s="191" t="str">
        <f>IF('IWP22'!E$489=0,"",'IWP22'!E$489)</f>
        <v/>
      </c>
      <c r="D6557" s="211">
        <f>'IWP22'!G$489</f>
        <v>0</v>
      </c>
      <c r="E6557" s="211">
        <f>'IWP22'!H$489</f>
        <v>0</v>
      </c>
      <c r="F6557" s="211">
        <f>'IWP22'!I$489</f>
        <v>0</v>
      </c>
      <c r="G6557" s="191" t="str">
        <f>IF('IWP22'!J$489=0,"",'IWP22'!J$489)</f>
        <v/>
      </c>
      <c r="H6557" s="211">
        <f>'IWP22'!K$489</f>
        <v>0</v>
      </c>
      <c r="I6557" s="211">
        <f>'IWP22'!L$489</f>
        <v>0</v>
      </c>
      <c r="J6557" s="212">
        <f>'IWP22'!M$489</f>
        <v>0</v>
      </c>
      <c r="K6557" s="106"/>
      <c r="L6557" s="106"/>
      <c r="M6557" s="129"/>
    </row>
    <row r="6558" spans="1:13" s="146" customFormat="1">
      <c r="A6558" s="193" t="s">
        <v>520</v>
      </c>
      <c r="B6558" s="210">
        <v>9</v>
      </c>
      <c r="C6558" s="191" t="str">
        <f>IF('IWP22'!E$490=0,"",'IWP22'!E$490)</f>
        <v/>
      </c>
      <c r="D6558" s="211">
        <f>'IWP22'!G$490</f>
        <v>0</v>
      </c>
      <c r="E6558" s="211">
        <f>'IWP22'!H$490</f>
        <v>0</v>
      </c>
      <c r="F6558" s="211">
        <f>'IWP22'!I$490</f>
        <v>0</v>
      </c>
      <c r="G6558" s="191" t="str">
        <f>IF('IWP22'!J$490=0,"",'IWP22'!J$490)</f>
        <v/>
      </c>
      <c r="H6558" s="211">
        <f>'IWP22'!K$490</f>
        <v>0</v>
      </c>
      <c r="I6558" s="211">
        <f>'IWP22'!L$490</f>
        <v>0</v>
      </c>
      <c r="J6558" s="212">
        <f>'IWP22'!M$490</f>
        <v>0</v>
      </c>
      <c r="K6558" s="106"/>
      <c r="L6558" s="106"/>
      <c r="M6558" s="129"/>
    </row>
    <row r="6559" spans="1:13" s="146" customFormat="1">
      <c r="A6559" s="193" t="s">
        <v>520</v>
      </c>
      <c r="B6559" s="210">
        <v>9</v>
      </c>
      <c r="C6559" s="191" t="str">
        <f>IF('IWP22'!E$491=0,"",'IWP22'!E$491)</f>
        <v/>
      </c>
      <c r="D6559" s="211">
        <f>'IWP22'!G$491</f>
        <v>0</v>
      </c>
      <c r="E6559" s="211">
        <f>'IWP22'!H$491</f>
        <v>0</v>
      </c>
      <c r="F6559" s="211">
        <f>'IWP22'!I$491</f>
        <v>0</v>
      </c>
      <c r="G6559" s="191" t="str">
        <f>IF('IWP22'!J$491=0,"",'IWP22'!J$491)</f>
        <v/>
      </c>
      <c r="H6559" s="211">
        <f>'IWP22'!K$491</f>
        <v>0</v>
      </c>
      <c r="I6559" s="211">
        <f>'IWP22'!L$491</f>
        <v>0</v>
      </c>
      <c r="J6559" s="212">
        <f>'IWP22'!M$491</f>
        <v>0</v>
      </c>
      <c r="K6559" s="106"/>
      <c r="L6559" s="106"/>
      <c r="M6559" s="129"/>
    </row>
    <row r="6560" spans="1:13" s="146" customFormat="1">
      <c r="A6560" s="193" t="s">
        <v>520</v>
      </c>
      <c r="B6560" s="210">
        <v>9</v>
      </c>
      <c r="C6560" s="191" t="str">
        <f>IF('IWP22'!E$492=0,"",'IWP22'!E$492)</f>
        <v/>
      </c>
      <c r="D6560" s="211">
        <f>'IWP22'!G$492</f>
        <v>0</v>
      </c>
      <c r="E6560" s="211">
        <f>'IWP22'!H$492</f>
        <v>0</v>
      </c>
      <c r="F6560" s="211">
        <f>'IWP22'!I$492</f>
        <v>0</v>
      </c>
      <c r="G6560" s="191" t="str">
        <f>IF('IWP22'!J$492=0,"",'IWP22'!J$492)</f>
        <v/>
      </c>
      <c r="H6560" s="211">
        <f>'IWP22'!K$492</f>
        <v>0</v>
      </c>
      <c r="I6560" s="211">
        <f>'IWP22'!L$492</f>
        <v>0</v>
      </c>
      <c r="J6560" s="212">
        <f>'IWP22'!M$492</f>
        <v>0</v>
      </c>
      <c r="K6560" s="106"/>
      <c r="L6560" s="106"/>
      <c r="M6560" s="129"/>
    </row>
    <row r="6561" spans="1:13" s="146" customFormat="1">
      <c r="A6561" s="193" t="s">
        <v>520</v>
      </c>
      <c r="B6561" s="210">
        <v>10</v>
      </c>
      <c r="C6561" s="191" t="str">
        <f>IF('IWP22'!E$499=0,"",'IWP22'!E$499)</f>
        <v>Subtotal column D.</v>
      </c>
      <c r="D6561" s="211">
        <f>'IWP22'!G$499</f>
        <v>0</v>
      </c>
      <c r="E6561" s="211">
        <f>'IWP22'!H$499</f>
        <v>0</v>
      </c>
      <c r="F6561" s="211">
        <f>'IWP22'!I$499</f>
        <v>0</v>
      </c>
      <c r="G6561" s="191" t="str">
        <f>IF('IWP22'!J$499=0,"",'IWP22'!J$499)</f>
        <v/>
      </c>
      <c r="H6561" s="211">
        <f>'IWP22'!K$499</f>
        <v>0</v>
      </c>
      <c r="I6561" s="211">
        <f>'IWP22'!L$499</f>
        <v>0</v>
      </c>
      <c r="J6561" s="212">
        <f>'IWP22'!M$499</f>
        <v>0</v>
      </c>
      <c r="K6561" s="106"/>
      <c r="L6561" s="106"/>
      <c r="M6561" s="129"/>
    </row>
    <row r="6562" spans="1:13" s="146" customFormat="1">
      <c r="A6562" s="193" t="s">
        <v>520</v>
      </c>
      <c r="B6562" s="210">
        <v>10</v>
      </c>
      <c r="C6562" s="191" t="str">
        <f>IF('IWP22'!E$500=0,"",'IWP22'!E$500)</f>
        <v>Unverified/Undocumented (Subtotal D - C)</v>
      </c>
      <c r="D6562" s="211">
        <f>'IWP22'!G$500</f>
        <v>0</v>
      </c>
      <c r="E6562" s="211">
        <f>'IWP22'!H$500</f>
        <v>0</v>
      </c>
      <c r="F6562" s="211">
        <f>'IWP22'!I$500</f>
        <v>0</v>
      </c>
      <c r="G6562" s="191" t="str">
        <f>IF('IWP22'!J$500=0,"",'IWP22'!J$500)</f>
        <v/>
      </c>
      <c r="H6562" s="211">
        <f>'IWP22'!K$500</f>
        <v>0</v>
      </c>
      <c r="I6562" s="211">
        <f>'IWP22'!L$500</f>
        <v>0</v>
      </c>
      <c r="J6562" s="212">
        <f>'IWP22'!M$500</f>
        <v>0</v>
      </c>
      <c r="K6562" s="106"/>
      <c r="L6562" s="106"/>
      <c r="M6562" s="129"/>
    </row>
    <row r="6563" spans="1:13" s="146" customFormat="1">
      <c r="A6563" s="193" t="s">
        <v>520</v>
      </c>
      <c r="B6563" s="210">
        <v>10</v>
      </c>
      <c r="C6563" s="191" t="str">
        <f>IF('IWP22'!E$501=0,"",'IWP22'!E$501)</f>
        <v>J. Billing Period Total</v>
      </c>
      <c r="D6563" s="211">
        <f>'IWP22'!G$501</f>
        <v>0</v>
      </c>
      <c r="E6563" s="211">
        <f>'IWP22'!H$501</f>
        <v>0</v>
      </c>
      <c r="F6563" s="211">
        <f>'IWP22'!I$501</f>
        <v>0</v>
      </c>
      <c r="G6563" s="191" t="str">
        <f>IF('IWP22'!J$501=0,"",'IWP22'!J$501)</f>
        <v/>
      </c>
      <c r="H6563" s="211">
        <f>'IWP22'!K$501</f>
        <v>0</v>
      </c>
      <c r="I6563" s="211">
        <f>'IWP22'!L$501</f>
        <v>0</v>
      </c>
      <c r="J6563" s="212">
        <f>'IWP22'!M$501</f>
        <v>0</v>
      </c>
      <c r="K6563" s="106"/>
      <c r="L6563" s="106"/>
      <c r="M6563" s="129"/>
    </row>
    <row r="6564" spans="1:13" s="146" customFormat="1">
      <c r="A6564" s="193" t="s">
        <v>520</v>
      </c>
      <c r="B6564" s="210">
        <v>10</v>
      </c>
      <c r="C6564" s="191" t="str">
        <f>IF('IWP22'!E$502=0,"",'IWP22'!E$502)</f>
        <v>D.</v>
      </c>
      <c r="D6564" s="211">
        <f>'IWP22'!G$502</f>
        <v>0</v>
      </c>
      <c r="E6564" s="211" t="str">
        <f>'IWP22'!H$502</f>
        <v>E.</v>
      </c>
      <c r="F6564" s="211" t="str">
        <f>'IWP22'!I$502</f>
        <v>F.</v>
      </c>
      <c r="G6564" s="191" t="str">
        <f>IF('IWP22'!J$502=0,"",'IWP22'!J$502)</f>
        <v>G.</v>
      </c>
      <c r="H6564" s="211">
        <f>'IWP22'!K$502</f>
        <v>0</v>
      </c>
      <c r="I6564" s="211" t="str">
        <f>'IWP22'!L$502</f>
        <v>H.</v>
      </c>
      <c r="J6564" s="212" t="str">
        <f>'IWP22'!M$502</f>
        <v>I.</v>
      </c>
      <c r="K6564" s="106"/>
      <c r="L6564" s="106"/>
      <c r="M6564" s="129"/>
    </row>
    <row r="6565" spans="1:13" s="146" customFormat="1">
      <c r="A6565" s="193" t="s">
        <v>520</v>
      </c>
      <c r="B6565" s="210">
        <v>10</v>
      </c>
      <c r="C6565" s="191" t="str">
        <f>IF('IWP22'!E$503=0,"",'IWP22'!E$503)</f>
        <v xml:space="preserve">Items/Services Related to Billing Period </v>
      </c>
      <c r="D6565" s="211">
        <f>'IWP22'!G$503</f>
        <v>0</v>
      </c>
      <c r="E6565" s="211" t="str">
        <f>'IWP22'!H$503</f>
        <v xml:space="preserve">Item/
Service Verified Amounts
</v>
      </c>
      <c r="F6565" s="211" t="str">
        <f>'IWP22'!I$503</f>
        <v>Amount Due to DADS (E. - D.)</v>
      </c>
      <c r="G6565" s="191" t="str">
        <f>IF('IWP22'!J$503=0,"",'IWP22'!J$503)</f>
        <v>Amount Reimbursed to 
Employee(s)/Employer</v>
      </c>
      <c r="H6565" s="211">
        <f>'IWP22'!K$503</f>
        <v>0</v>
      </c>
      <c r="I6565" s="211" t="str">
        <f>'IWP22'!L$503</f>
        <v>Amount Due to Employee(s) (G. - E.)</v>
      </c>
      <c r="J6565" s="212" t="str">
        <f>'IWP22'!M$503</f>
        <v>Amount Due to Employer (G. - E.)</v>
      </c>
      <c r="K6565" s="106"/>
      <c r="L6565" s="106"/>
      <c r="M6565" s="129"/>
    </row>
    <row r="6566" spans="1:13" s="146" customFormat="1">
      <c r="A6566" s="193" t="s">
        <v>520</v>
      </c>
      <c r="B6566" s="210">
        <v>10</v>
      </c>
      <c r="C6566" s="191" t="str">
        <f>IF('IWP22'!E$504=0,"",'IWP22'!E$504)</f>
        <v>Item/Service</v>
      </c>
      <c r="D6566" s="211" t="str">
        <f>'IWP22'!G$504</f>
        <v>Itemized Amount Paid by DADS</v>
      </c>
      <c r="E6566" s="211">
        <f>'IWP22'!H$504</f>
        <v>0</v>
      </c>
      <c r="F6566" s="211">
        <f>'IWP22'!I$504</f>
        <v>0</v>
      </c>
      <c r="G6566" s="191" t="str">
        <f>IF('IWP22'!J$504=0,"",'IWP22'!J$504)</f>
        <v/>
      </c>
      <c r="H6566" s="211">
        <f>'IWP22'!K$504</f>
        <v>0</v>
      </c>
      <c r="I6566" s="211">
        <f>'IWP22'!L$504</f>
        <v>0</v>
      </c>
      <c r="J6566" s="212">
        <f>'IWP22'!M$504</f>
        <v>0</v>
      </c>
      <c r="K6566" s="106"/>
      <c r="L6566" s="106"/>
      <c r="M6566" s="129"/>
    </row>
    <row r="6567" spans="1:13" s="146" customFormat="1">
      <c r="A6567" s="193" t="s">
        <v>520</v>
      </c>
      <c r="B6567" s="210">
        <v>10</v>
      </c>
      <c r="C6567" s="191" t="str">
        <f>IF('IWP22'!E$505=0,"",'IWP22'!E$505)</f>
        <v/>
      </c>
      <c r="D6567" s="211">
        <f>'IWP22'!G$505</f>
        <v>0</v>
      </c>
      <c r="E6567" s="211">
        <f>'IWP22'!H$505</f>
        <v>0</v>
      </c>
      <c r="F6567" s="211">
        <f>'IWP22'!I$505</f>
        <v>0</v>
      </c>
      <c r="G6567" s="191" t="str">
        <f>IF('IWP22'!J$505=0,"",'IWP22'!J$505)</f>
        <v/>
      </c>
      <c r="H6567" s="211">
        <f>'IWP22'!K$505</f>
        <v>0</v>
      </c>
      <c r="I6567" s="211">
        <f>'IWP22'!L$505</f>
        <v>0</v>
      </c>
      <c r="J6567" s="212">
        <f>'IWP22'!M$505</f>
        <v>0</v>
      </c>
      <c r="K6567" s="106"/>
      <c r="L6567" s="106"/>
      <c r="M6567" s="129"/>
    </row>
    <row r="6568" spans="1:13" s="146" customFormat="1">
      <c r="A6568" s="193" t="s">
        <v>520</v>
      </c>
      <c r="B6568" s="210">
        <v>10</v>
      </c>
      <c r="C6568" s="191" t="str">
        <f>IF('IWP22'!E$506=0,"",'IWP22'!E$506)</f>
        <v/>
      </c>
      <c r="D6568" s="211">
        <f>'IWP22'!G$506</f>
        <v>0</v>
      </c>
      <c r="E6568" s="211">
        <f>'IWP22'!H$506</f>
        <v>0</v>
      </c>
      <c r="F6568" s="211">
        <f>'IWP22'!I$506</f>
        <v>0</v>
      </c>
      <c r="G6568" s="191" t="str">
        <f>IF('IWP22'!J$506=0,"",'IWP22'!J$506)</f>
        <v/>
      </c>
      <c r="H6568" s="211">
        <f>'IWP22'!K$506</f>
        <v>0</v>
      </c>
      <c r="I6568" s="211">
        <f>'IWP22'!L$506</f>
        <v>0</v>
      </c>
      <c r="J6568" s="212">
        <f>'IWP22'!M$506</f>
        <v>0</v>
      </c>
      <c r="K6568" s="106"/>
      <c r="L6568" s="106"/>
      <c r="M6568" s="129"/>
    </row>
    <row r="6569" spans="1:13" s="146" customFormat="1">
      <c r="A6569" s="193" t="s">
        <v>520</v>
      </c>
      <c r="B6569" s="210">
        <v>10</v>
      </c>
      <c r="C6569" s="191" t="str">
        <f>IF('IWP22'!E$507=0,"",'IWP22'!E$507)</f>
        <v/>
      </c>
      <c r="D6569" s="211">
        <f>'IWP22'!G$507</f>
        <v>0</v>
      </c>
      <c r="E6569" s="211">
        <f>'IWP22'!H$507</f>
        <v>0</v>
      </c>
      <c r="F6569" s="211">
        <f>'IWP22'!I$507</f>
        <v>0</v>
      </c>
      <c r="G6569" s="191" t="str">
        <f>IF('IWP22'!J$507=0,"",'IWP22'!J$507)</f>
        <v/>
      </c>
      <c r="H6569" s="211">
        <f>'IWP22'!K$507</f>
        <v>0</v>
      </c>
      <c r="I6569" s="211">
        <f>'IWP22'!L$507</f>
        <v>0</v>
      </c>
      <c r="J6569" s="212">
        <f>'IWP22'!M$507</f>
        <v>0</v>
      </c>
      <c r="K6569" s="106"/>
      <c r="L6569" s="106"/>
      <c r="M6569" s="129"/>
    </row>
    <row r="6570" spans="1:13" s="146" customFormat="1">
      <c r="A6570" s="193" t="s">
        <v>520</v>
      </c>
      <c r="B6570" s="210">
        <v>10</v>
      </c>
      <c r="C6570" s="191" t="str">
        <f>IF('IWP22'!E$508=0,"",'IWP22'!E$508)</f>
        <v/>
      </c>
      <c r="D6570" s="211">
        <f>'IWP22'!G$508</f>
        <v>0</v>
      </c>
      <c r="E6570" s="211">
        <f>'IWP22'!H$508</f>
        <v>0</v>
      </c>
      <c r="F6570" s="211">
        <f>'IWP22'!I$508</f>
        <v>0</v>
      </c>
      <c r="G6570" s="191" t="str">
        <f>IF('IWP22'!J$508=0,"",'IWP22'!J$508)</f>
        <v/>
      </c>
      <c r="H6570" s="211">
        <f>'IWP22'!K$508</f>
        <v>0</v>
      </c>
      <c r="I6570" s="211">
        <f>'IWP22'!L$508</f>
        <v>0</v>
      </c>
      <c r="J6570" s="212">
        <f>'IWP22'!M$508</f>
        <v>0</v>
      </c>
      <c r="K6570" s="106"/>
      <c r="L6570" s="106"/>
      <c r="M6570" s="129"/>
    </row>
    <row r="6571" spans="1:13" s="146" customFormat="1">
      <c r="A6571" s="193" t="s">
        <v>520</v>
      </c>
      <c r="B6571" s="210">
        <v>11</v>
      </c>
      <c r="C6571" s="191" t="str">
        <f>IF('IWP22'!E$515=0,"",'IWP22'!E$515)</f>
        <v>Subtotal column D.</v>
      </c>
      <c r="D6571" s="211">
        <f>'IWP22'!G$515</f>
        <v>0</v>
      </c>
      <c r="E6571" s="211">
        <f>'IWP22'!H$515</f>
        <v>0</v>
      </c>
      <c r="F6571" s="211">
        <f>'IWP22'!I$515</f>
        <v>0</v>
      </c>
      <c r="G6571" s="191" t="str">
        <f>IF('IWP22'!J$515=0,"",'IWP22'!J$515)</f>
        <v/>
      </c>
      <c r="H6571" s="211">
        <f>'IWP22'!K$515</f>
        <v>0</v>
      </c>
      <c r="I6571" s="211">
        <f>'IWP22'!L$515</f>
        <v>0</v>
      </c>
      <c r="J6571" s="212">
        <f>'IWP22'!M$515</f>
        <v>0</v>
      </c>
      <c r="K6571" s="106"/>
      <c r="L6571" s="106"/>
      <c r="M6571" s="129"/>
    </row>
    <row r="6572" spans="1:13" s="146" customFormat="1">
      <c r="A6572" s="193" t="s">
        <v>520</v>
      </c>
      <c r="B6572" s="210">
        <v>11</v>
      </c>
      <c r="C6572" s="191" t="str">
        <f>IF('IWP22'!E$516=0,"",'IWP22'!E$516)</f>
        <v>Unverified/Undocumented (Subtotal D - C)</v>
      </c>
      <c r="D6572" s="211">
        <f>'IWP22'!G$516</f>
        <v>0</v>
      </c>
      <c r="E6572" s="211">
        <f>'IWP22'!H$516</f>
        <v>0</v>
      </c>
      <c r="F6572" s="211">
        <f>'IWP22'!I$516</f>
        <v>0</v>
      </c>
      <c r="G6572" s="191" t="str">
        <f>IF('IWP22'!J$516=0,"",'IWP22'!J$516)</f>
        <v/>
      </c>
      <c r="H6572" s="211">
        <f>'IWP22'!K$516</f>
        <v>0</v>
      </c>
      <c r="I6572" s="211">
        <f>'IWP22'!L$516</f>
        <v>0</v>
      </c>
      <c r="J6572" s="212">
        <f>'IWP22'!M$516</f>
        <v>0</v>
      </c>
      <c r="K6572" s="106"/>
      <c r="L6572" s="106"/>
      <c r="M6572" s="129"/>
    </row>
    <row r="6573" spans="1:13" s="146" customFormat="1">
      <c r="A6573" s="193" t="s">
        <v>520</v>
      </c>
      <c r="B6573" s="210">
        <v>11</v>
      </c>
      <c r="C6573" s="191" t="str">
        <f>IF('IWP22'!E$517=0,"",'IWP22'!E$517)</f>
        <v>J. Billing Period Total</v>
      </c>
      <c r="D6573" s="211">
        <f>'IWP22'!G$517</f>
        <v>0</v>
      </c>
      <c r="E6573" s="211">
        <f>'IWP22'!H$517</f>
        <v>0</v>
      </c>
      <c r="F6573" s="211">
        <f>'IWP22'!I$517</f>
        <v>0</v>
      </c>
      <c r="G6573" s="191" t="str">
        <f>IF('IWP22'!J$517=0,"",'IWP22'!J$517)</f>
        <v/>
      </c>
      <c r="H6573" s="211">
        <f>'IWP22'!K$517</f>
        <v>0</v>
      </c>
      <c r="I6573" s="211">
        <f>'IWP22'!L$517</f>
        <v>0</v>
      </c>
      <c r="J6573" s="212">
        <f>'IWP22'!M$517</f>
        <v>0</v>
      </c>
      <c r="K6573" s="106"/>
      <c r="L6573" s="106"/>
      <c r="M6573" s="129"/>
    </row>
    <row r="6574" spans="1:13" s="146" customFormat="1">
      <c r="A6574" s="193" t="s">
        <v>520</v>
      </c>
      <c r="B6574" s="210">
        <v>11</v>
      </c>
      <c r="C6574" s="191" t="str">
        <f>IF('IWP22'!E$518=0,"",'IWP22'!E$518)</f>
        <v>D.</v>
      </c>
      <c r="D6574" s="211">
        <f>'IWP22'!G$518</f>
        <v>0</v>
      </c>
      <c r="E6574" s="211" t="str">
        <f>'IWP22'!H$518</f>
        <v>E.</v>
      </c>
      <c r="F6574" s="211" t="str">
        <f>'IWP22'!I$518</f>
        <v>F.</v>
      </c>
      <c r="G6574" s="191" t="str">
        <f>IF('IWP22'!J$518=0,"",'IWP22'!J$518)</f>
        <v>G.</v>
      </c>
      <c r="H6574" s="211">
        <f>'IWP22'!K$518</f>
        <v>0</v>
      </c>
      <c r="I6574" s="211" t="str">
        <f>'IWP22'!L$518</f>
        <v>H.</v>
      </c>
      <c r="J6574" s="212" t="str">
        <f>'IWP22'!M$518</f>
        <v>I.</v>
      </c>
      <c r="K6574" s="106"/>
      <c r="L6574" s="106"/>
      <c r="M6574" s="129"/>
    </row>
    <row r="6575" spans="1:13" s="146" customFormat="1">
      <c r="A6575" s="193" t="s">
        <v>520</v>
      </c>
      <c r="B6575" s="210">
        <v>11</v>
      </c>
      <c r="C6575" s="191" t="str">
        <f>IF('IWP22'!E$519=0,"",'IWP22'!E$519)</f>
        <v xml:space="preserve">Items/Services Related to Billing Period </v>
      </c>
      <c r="D6575" s="211">
        <f>'IWP22'!G$519</f>
        <v>0</v>
      </c>
      <c r="E6575" s="211" t="str">
        <f>'IWP22'!H$519</f>
        <v xml:space="preserve">Item/
Service Verified Amounts
</v>
      </c>
      <c r="F6575" s="211" t="str">
        <f>'IWP22'!I$519</f>
        <v>Amount Due to DADS (E. - D.)</v>
      </c>
      <c r="G6575" s="191" t="str">
        <f>IF('IWP22'!J$519=0,"",'IWP22'!J$519)</f>
        <v>Amount Reimbursed to 
Employee(s)/Employer</v>
      </c>
      <c r="H6575" s="211">
        <f>'IWP22'!K$519</f>
        <v>0</v>
      </c>
      <c r="I6575" s="211" t="str">
        <f>'IWP22'!L$519</f>
        <v>Amount Due to Employee(s) (G. - E.)</v>
      </c>
      <c r="J6575" s="212" t="str">
        <f>'IWP22'!M$519</f>
        <v>Amount Due to Employer (G. - E.)</v>
      </c>
      <c r="K6575" s="106"/>
      <c r="L6575" s="106"/>
      <c r="M6575" s="129"/>
    </row>
    <row r="6576" spans="1:13" s="146" customFormat="1">
      <c r="A6576" s="193" t="s">
        <v>520</v>
      </c>
      <c r="B6576" s="210">
        <v>11</v>
      </c>
      <c r="C6576" s="191" t="str">
        <f>IF('IWP22'!E$520=0,"",'IWP22'!E$520)</f>
        <v>Item/Service</v>
      </c>
      <c r="D6576" s="211" t="str">
        <f>'IWP22'!G$520</f>
        <v>Itemized Amount Paid by DADS</v>
      </c>
      <c r="E6576" s="211">
        <f>'IWP22'!H$520</f>
        <v>0</v>
      </c>
      <c r="F6576" s="211">
        <f>'IWP22'!I$520</f>
        <v>0</v>
      </c>
      <c r="G6576" s="191" t="str">
        <f>IF('IWP22'!J$520=0,"",'IWP22'!J$520)</f>
        <v/>
      </c>
      <c r="H6576" s="211">
        <f>'IWP22'!K$520</f>
        <v>0</v>
      </c>
      <c r="I6576" s="211">
        <f>'IWP22'!L$520</f>
        <v>0</v>
      </c>
      <c r="J6576" s="212">
        <f>'IWP22'!M$520</f>
        <v>0</v>
      </c>
      <c r="K6576" s="106"/>
      <c r="L6576" s="106"/>
      <c r="M6576" s="129"/>
    </row>
    <row r="6577" spans="1:13" s="146" customFormat="1">
      <c r="A6577" s="193" t="s">
        <v>520</v>
      </c>
      <c r="B6577" s="210">
        <v>11</v>
      </c>
      <c r="C6577" s="191" t="str">
        <f>IF('IWP22'!E$521=0,"",'IWP22'!E$521)</f>
        <v/>
      </c>
      <c r="D6577" s="211">
        <f>'IWP22'!G$521</f>
        <v>0</v>
      </c>
      <c r="E6577" s="211">
        <f>'IWP22'!H$521</f>
        <v>0</v>
      </c>
      <c r="F6577" s="211">
        <f>'IWP22'!I$521</f>
        <v>0</v>
      </c>
      <c r="G6577" s="191" t="str">
        <f>IF('IWP22'!J$521=0,"",'IWP22'!J$521)</f>
        <v/>
      </c>
      <c r="H6577" s="211">
        <f>'IWP22'!K$521</f>
        <v>0</v>
      </c>
      <c r="I6577" s="211">
        <f>'IWP22'!L$521</f>
        <v>0</v>
      </c>
      <c r="J6577" s="212">
        <f>'IWP22'!M$521</f>
        <v>0</v>
      </c>
      <c r="K6577" s="106"/>
      <c r="L6577" s="106"/>
      <c r="M6577" s="129"/>
    </row>
    <row r="6578" spans="1:13" s="146" customFormat="1">
      <c r="A6578" s="193" t="s">
        <v>520</v>
      </c>
      <c r="B6578" s="210">
        <v>11</v>
      </c>
      <c r="C6578" s="191" t="str">
        <f>IF('IWP22'!E$522=0,"",'IWP22'!E$522)</f>
        <v/>
      </c>
      <c r="D6578" s="211">
        <f>'IWP22'!G$522</f>
        <v>0</v>
      </c>
      <c r="E6578" s="211">
        <f>'IWP22'!H$522</f>
        <v>0</v>
      </c>
      <c r="F6578" s="211">
        <f>'IWP22'!I$522</f>
        <v>0</v>
      </c>
      <c r="G6578" s="191" t="str">
        <f>IF('IWP22'!J$522=0,"",'IWP22'!J$522)</f>
        <v/>
      </c>
      <c r="H6578" s="211">
        <f>'IWP22'!K$522</f>
        <v>0</v>
      </c>
      <c r="I6578" s="211">
        <f>'IWP22'!L$522</f>
        <v>0</v>
      </c>
      <c r="J6578" s="212">
        <f>'IWP22'!M$522</f>
        <v>0</v>
      </c>
      <c r="K6578" s="106"/>
      <c r="L6578" s="106"/>
      <c r="M6578" s="129"/>
    </row>
    <row r="6579" spans="1:13" s="146" customFormat="1">
      <c r="A6579" s="193" t="s">
        <v>520</v>
      </c>
      <c r="B6579" s="210">
        <v>11</v>
      </c>
      <c r="C6579" s="191" t="str">
        <f>IF('IWP22'!E$523=0,"",'IWP22'!E$523)</f>
        <v/>
      </c>
      <c r="D6579" s="211">
        <f>'IWP22'!G$523</f>
        <v>0</v>
      </c>
      <c r="E6579" s="211">
        <f>'IWP22'!H$523</f>
        <v>0</v>
      </c>
      <c r="F6579" s="211">
        <f>'IWP22'!I$523</f>
        <v>0</v>
      </c>
      <c r="G6579" s="191" t="str">
        <f>IF('IWP22'!J$523=0,"",'IWP22'!J$523)</f>
        <v/>
      </c>
      <c r="H6579" s="211">
        <f>'IWP22'!K$523</f>
        <v>0</v>
      </c>
      <c r="I6579" s="211">
        <f>'IWP22'!L$523</f>
        <v>0</v>
      </c>
      <c r="J6579" s="212">
        <f>'IWP22'!M$523</f>
        <v>0</v>
      </c>
      <c r="K6579" s="106"/>
      <c r="L6579" s="106"/>
      <c r="M6579" s="129"/>
    </row>
    <row r="6580" spans="1:13" s="146" customFormat="1">
      <c r="A6580" s="193" t="s">
        <v>520</v>
      </c>
      <c r="B6580" s="210">
        <v>11</v>
      </c>
      <c r="C6580" s="191" t="str">
        <f>IF('IWP22'!E$524=0,"",'IWP22'!E$524)</f>
        <v/>
      </c>
      <c r="D6580" s="211">
        <f>'IWP22'!G$524</f>
        <v>0</v>
      </c>
      <c r="E6580" s="211">
        <f>'IWP22'!H$524</f>
        <v>0</v>
      </c>
      <c r="F6580" s="211">
        <f>'IWP22'!I$524</f>
        <v>0</v>
      </c>
      <c r="G6580" s="191" t="str">
        <f>IF('IWP22'!J$524=0,"",'IWP22'!J$524)</f>
        <v/>
      </c>
      <c r="H6580" s="211">
        <f>'IWP22'!K$524</f>
        <v>0</v>
      </c>
      <c r="I6580" s="211">
        <f>'IWP22'!L$524</f>
        <v>0</v>
      </c>
      <c r="J6580" s="212">
        <f>'IWP22'!M$524</f>
        <v>0</v>
      </c>
      <c r="K6580" s="106"/>
      <c r="L6580" s="106"/>
      <c r="M6580" s="129"/>
    </row>
    <row r="6581" spans="1:13" s="146" customFormat="1">
      <c r="A6581" s="193" t="s">
        <v>520</v>
      </c>
      <c r="B6581" s="210">
        <v>12</v>
      </c>
      <c r="C6581" s="191" t="str">
        <f>IF('IWP22'!E$531=0,"",'IWP22'!E$531)</f>
        <v>Subtotal column D.</v>
      </c>
      <c r="D6581" s="211">
        <f>'IWP22'!G$531</f>
        <v>0</v>
      </c>
      <c r="E6581" s="211">
        <f>'IWP22'!H$531</f>
        <v>0</v>
      </c>
      <c r="F6581" s="211">
        <f>'IWP22'!I$531</f>
        <v>0</v>
      </c>
      <c r="G6581" s="191" t="str">
        <f>IF('IWP22'!J$531=0,"",'IWP22'!J$531)</f>
        <v/>
      </c>
      <c r="H6581" s="211">
        <f>'IWP22'!K$531</f>
        <v>0</v>
      </c>
      <c r="I6581" s="211">
        <f>'IWP22'!L$531</f>
        <v>0</v>
      </c>
      <c r="J6581" s="212">
        <f>'IWP22'!M$531</f>
        <v>0</v>
      </c>
      <c r="K6581" s="106"/>
      <c r="L6581" s="106"/>
      <c r="M6581" s="129"/>
    </row>
    <row r="6582" spans="1:13" s="146" customFormat="1">
      <c r="A6582" s="193" t="s">
        <v>520</v>
      </c>
      <c r="B6582" s="210">
        <v>12</v>
      </c>
      <c r="C6582" s="191" t="str">
        <f>IF('IWP22'!E$532=0,"",'IWP22'!E$532)</f>
        <v>Unverified/Undocumented (Subtotal D - C)</v>
      </c>
      <c r="D6582" s="211">
        <f>'IWP22'!G$532</f>
        <v>0</v>
      </c>
      <c r="E6582" s="211">
        <f>'IWP22'!H$532</f>
        <v>0</v>
      </c>
      <c r="F6582" s="211">
        <f>'IWP22'!I$532</f>
        <v>0</v>
      </c>
      <c r="G6582" s="191" t="str">
        <f>IF('IWP22'!J$532=0,"",'IWP22'!J$532)</f>
        <v/>
      </c>
      <c r="H6582" s="211">
        <f>'IWP22'!K$532</f>
        <v>0</v>
      </c>
      <c r="I6582" s="211">
        <f>'IWP22'!L$532</f>
        <v>0</v>
      </c>
      <c r="J6582" s="212">
        <f>'IWP22'!M$532</f>
        <v>0</v>
      </c>
      <c r="K6582" s="106"/>
      <c r="L6582" s="106"/>
      <c r="M6582" s="129"/>
    </row>
    <row r="6583" spans="1:13" s="146" customFormat="1">
      <c r="A6583" s="193" t="s">
        <v>520</v>
      </c>
      <c r="B6583" s="210">
        <v>12</v>
      </c>
      <c r="C6583" s="191" t="str">
        <f>IF('IWP22'!E$533=0,"",'IWP22'!E$533)</f>
        <v>J. Billing Period Total</v>
      </c>
      <c r="D6583" s="211">
        <f>'IWP22'!G$533</f>
        <v>0</v>
      </c>
      <c r="E6583" s="211">
        <f>'IWP22'!H$533</f>
        <v>0</v>
      </c>
      <c r="F6583" s="211">
        <f>'IWP22'!I$533</f>
        <v>0</v>
      </c>
      <c r="G6583" s="191" t="str">
        <f>IF('IWP22'!J$533=0,"",'IWP22'!J$533)</f>
        <v/>
      </c>
      <c r="H6583" s="211">
        <f>'IWP22'!K$533</f>
        <v>0</v>
      </c>
      <c r="I6583" s="211">
        <f>'IWP22'!L$533</f>
        <v>0</v>
      </c>
      <c r="J6583" s="212">
        <f>'IWP22'!M$533</f>
        <v>0</v>
      </c>
      <c r="K6583" s="106"/>
      <c r="L6583" s="106"/>
      <c r="M6583" s="129"/>
    </row>
    <row r="6584" spans="1:13" s="146" customFormat="1">
      <c r="A6584" s="193" t="s">
        <v>520</v>
      </c>
      <c r="B6584" s="210">
        <v>12</v>
      </c>
      <c r="C6584" s="191" t="str">
        <f>IF('IWP22'!E$534=0,"",'IWP22'!E$534)</f>
        <v>D.</v>
      </c>
      <c r="D6584" s="211">
        <f>'IWP22'!G$534</f>
        <v>0</v>
      </c>
      <c r="E6584" s="211" t="str">
        <f>'IWP22'!H$534</f>
        <v>E.</v>
      </c>
      <c r="F6584" s="211" t="str">
        <f>'IWP22'!I$534</f>
        <v>F.</v>
      </c>
      <c r="G6584" s="191" t="str">
        <f>IF('IWP22'!J$534=0,"",'IWP22'!J$534)</f>
        <v>G.</v>
      </c>
      <c r="H6584" s="211">
        <f>'IWP22'!K$534</f>
        <v>0</v>
      </c>
      <c r="I6584" s="211" t="str">
        <f>'IWP22'!L$534</f>
        <v>H.</v>
      </c>
      <c r="J6584" s="212" t="str">
        <f>'IWP22'!M$534</f>
        <v>I.</v>
      </c>
      <c r="K6584" s="106"/>
      <c r="L6584" s="106"/>
      <c r="M6584" s="129"/>
    </row>
    <row r="6585" spans="1:13" s="146" customFormat="1">
      <c r="A6585" s="193" t="s">
        <v>520</v>
      </c>
      <c r="B6585" s="210">
        <v>12</v>
      </c>
      <c r="C6585" s="191" t="str">
        <f>IF('IWP22'!E$535=0,"",'IWP22'!E$535)</f>
        <v xml:space="preserve">Items/Services Related to Billing Period </v>
      </c>
      <c r="D6585" s="211">
        <f>'IWP22'!G$535</f>
        <v>0</v>
      </c>
      <c r="E6585" s="211" t="str">
        <f>'IWP22'!H$535</f>
        <v xml:space="preserve">Item/
Service Verified Amounts
</v>
      </c>
      <c r="F6585" s="211" t="str">
        <f>'IWP22'!I$535</f>
        <v>Amount Due to DADS (E. - D.)</v>
      </c>
      <c r="G6585" s="191" t="str">
        <f>IF('IWP22'!J$535=0,"",'IWP22'!J$535)</f>
        <v>Amount Reimbursed to 
Employee(s)/Employer</v>
      </c>
      <c r="H6585" s="211">
        <f>'IWP22'!K$535</f>
        <v>0</v>
      </c>
      <c r="I6585" s="211" t="str">
        <f>'IWP22'!L$535</f>
        <v>Amount Due to Employee(s) (G. - E.)</v>
      </c>
      <c r="J6585" s="212" t="str">
        <f>'IWP22'!M$535</f>
        <v>Amount Due to Employer (G. - E.)</v>
      </c>
      <c r="K6585" s="106"/>
      <c r="L6585" s="106"/>
      <c r="M6585" s="129"/>
    </row>
    <row r="6586" spans="1:13" s="146" customFormat="1">
      <c r="A6586" s="193" t="s">
        <v>520</v>
      </c>
      <c r="B6586" s="210">
        <v>12</v>
      </c>
      <c r="C6586" s="191" t="str">
        <f>IF('IWP22'!E$536=0,"",'IWP22'!E$536)</f>
        <v>Item/Service</v>
      </c>
      <c r="D6586" s="211" t="str">
        <f>'IWP22'!G$536</f>
        <v>Itemized Amount Paid by DADS</v>
      </c>
      <c r="E6586" s="211">
        <f>'IWP22'!H$536</f>
        <v>0</v>
      </c>
      <c r="F6586" s="211">
        <f>'IWP22'!I$536</f>
        <v>0</v>
      </c>
      <c r="G6586" s="191" t="str">
        <f>IF('IWP22'!J$536=0,"",'IWP22'!J$536)</f>
        <v/>
      </c>
      <c r="H6586" s="211">
        <f>'IWP22'!K$536</f>
        <v>0</v>
      </c>
      <c r="I6586" s="211">
        <f>'IWP22'!L$536</f>
        <v>0</v>
      </c>
      <c r="J6586" s="212">
        <f>'IWP22'!M$536</f>
        <v>0</v>
      </c>
      <c r="K6586" s="106"/>
      <c r="L6586" s="106"/>
      <c r="M6586" s="129"/>
    </row>
    <row r="6587" spans="1:13" s="146" customFormat="1">
      <c r="A6587" s="193" t="s">
        <v>520</v>
      </c>
      <c r="B6587" s="210">
        <v>12</v>
      </c>
      <c r="C6587" s="191" t="str">
        <f>IF('IWP22'!E$537=0,"",'IWP22'!E$537)</f>
        <v/>
      </c>
      <c r="D6587" s="211">
        <f>'IWP22'!G$537</f>
        <v>0</v>
      </c>
      <c r="E6587" s="211">
        <f>'IWP22'!H$537</f>
        <v>0</v>
      </c>
      <c r="F6587" s="211">
        <f>'IWP22'!I$537</f>
        <v>0</v>
      </c>
      <c r="G6587" s="191" t="str">
        <f>IF('IWP22'!J$537=0,"",'IWP22'!J$537)</f>
        <v/>
      </c>
      <c r="H6587" s="211">
        <f>'IWP22'!K$537</f>
        <v>0</v>
      </c>
      <c r="I6587" s="211">
        <f>'IWP22'!L$537</f>
        <v>0</v>
      </c>
      <c r="J6587" s="212">
        <f>'IWP22'!M$537</f>
        <v>0</v>
      </c>
      <c r="K6587" s="106"/>
      <c r="L6587" s="106"/>
      <c r="M6587" s="129"/>
    </row>
    <row r="6588" spans="1:13" s="146" customFormat="1">
      <c r="A6588" s="193" t="s">
        <v>520</v>
      </c>
      <c r="B6588" s="210">
        <v>12</v>
      </c>
      <c r="C6588" s="191" t="str">
        <f>IF('IWP22'!E$538=0,"",'IWP22'!E$538)</f>
        <v/>
      </c>
      <c r="D6588" s="211">
        <f>'IWP22'!G$538</f>
        <v>0</v>
      </c>
      <c r="E6588" s="211">
        <f>'IWP22'!H$538</f>
        <v>0</v>
      </c>
      <c r="F6588" s="211">
        <f>'IWP22'!I$538</f>
        <v>0</v>
      </c>
      <c r="G6588" s="191" t="str">
        <f>IF('IWP22'!J$538=0,"",'IWP22'!J$538)</f>
        <v/>
      </c>
      <c r="H6588" s="211">
        <f>'IWP22'!K$538</f>
        <v>0</v>
      </c>
      <c r="I6588" s="211">
        <f>'IWP22'!L$538</f>
        <v>0</v>
      </c>
      <c r="J6588" s="212">
        <f>'IWP22'!M$538</f>
        <v>0</v>
      </c>
      <c r="K6588" s="106"/>
      <c r="L6588" s="106"/>
      <c r="M6588" s="129"/>
    </row>
    <row r="6589" spans="1:13" s="146" customFormat="1">
      <c r="A6589" s="193" t="s">
        <v>520</v>
      </c>
      <c r="B6589" s="210">
        <v>12</v>
      </c>
      <c r="C6589" s="191" t="str">
        <f>IF('IWP22'!E$539=0,"",'IWP22'!E$539)</f>
        <v/>
      </c>
      <c r="D6589" s="211">
        <f>'IWP22'!G$539</f>
        <v>0</v>
      </c>
      <c r="E6589" s="211">
        <f>'IWP22'!H$539</f>
        <v>0</v>
      </c>
      <c r="F6589" s="211">
        <f>'IWP22'!I$539</f>
        <v>0</v>
      </c>
      <c r="G6589" s="191" t="str">
        <f>IF('IWP22'!J$539=0,"",'IWP22'!J$539)</f>
        <v/>
      </c>
      <c r="H6589" s="211">
        <f>'IWP22'!K$539</f>
        <v>0</v>
      </c>
      <c r="I6589" s="211">
        <f>'IWP22'!L$539</f>
        <v>0</v>
      </c>
      <c r="J6589" s="212">
        <f>'IWP22'!M$539</f>
        <v>0</v>
      </c>
      <c r="K6589" s="106"/>
      <c r="L6589" s="106"/>
      <c r="M6589" s="129"/>
    </row>
    <row r="6590" spans="1:13" s="146" customFormat="1">
      <c r="A6590" s="193" t="s">
        <v>520</v>
      </c>
      <c r="B6590" s="210">
        <v>12</v>
      </c>
      <c r="C6590" s="191" t="str">
        <f>IF('IWP22'!E$540=0,"",'IWP22'!E$540)</f>
        <v/>
      </c>
      <c r="D6590" s="211">
        <f>'IWP22'!G$540</f>
        <v>0</v>
      </c>
      <c r="E6590" s="211">
        <f>'IWP22'!H$540</f>
        <v>0</v>
      </c>
      <c r="F6590" s="211">
        <f>'IWP22'!I$540</f>
        <v>0</v>
      </c>
      <c r="G6590" s="191" t="str">
        <f>IF('IWP22'!J$540=0,"",'IWP22'!J$540)</f>
        <v/>
      </c>
      <c r="H6590" s="211">
        <f>'IWP22'!K$540</f>
        <v>0</v>
      </c>
      <c r="I6590" s="211">
        <f>'IWP22'!L$540</f>
        <v>0</v>
      </c>
      <c r="J6590" s="212">
        <f>'IWP22'!M$540</f>
        <v>0</v>
      </c>
      <c r="K6590" s="106"/>
      <c r="L6590" s="106"/>
      <c r="M6590" s="129"/>
    </row>
    <row r="6591" spans="1:13" s="146" customFormat="1">
      <c r="A6591" s="193" t="s">
        <v>520</v>
      </c>
      <c r="B6591" s="210">
        <v>13</v>
      </c>
      <c r="C6591" s="191" t="str">
        <f>IF('IWP22'!E$547=0,"",'IWP22'!E$547)</f>
        <v>Subtotal column D.</v>
      </c>
      <c r="D6591" s="211">
        <f>'IWP22'!G$547</f>
        <v>0</v>
      </c>
      <c r="E6591" s="211">
        <f>'IWP22'!H$547</f>
        <v>0</v>
      </c>
      <c r="F6591" s="211">
        <f>'IWP22'!I$547</f>
        <v>0</v>
      </c>
      <c r="G6591" s="191" t="str">
        <f>IF('IWP22'!J$547=0,"",'IWP22'!J$547)</f>
        <v/>
      </c>
      <c r="H6591" s="211">
        <f>'IWP22'!K$547</f>
        <v>0</v>
      </c>
      <c r="I6591" s="211">
        <f>'IWP22'!L$547</f>
        <v>0</v>
      </c>
      <c r="J6591" s="212">
        <f>'IWP22'!M$547</f>
        <v>0</v>
      </c>
      <c r="K6591" s="106"/>
      <c r="L6591" s="106"/>
      <c r="M6591" s="129"/>
    </row>
    <row r="6592" spans="1:13" s="146" customFormat="1">
      <c r="A6592" s="193" t="s">
        <v>520</v>
      </c>
      <c r="B6592" s="210">
        <v>13</v>
      </c>
      <c r="C6592" s="191" t="str">
        <f>IF('IWP22'!E$548=0,"",'IWP22'!E$548)</f>
        <v>Unverified/Undocumented (Subtotal D - C)</v>
      </c>
      <c r="D6592" s="211">
        <f>'IWP22'!G$548</f>
        <v>0</v>
      </c>
      <c r="E6592" s="211">
        <f>'IWP22'!H$548</f>
        <v>0</v>
      </c>
      <c r="F6592" s="211">
        <f>'IWP22'!I$548</f>
        <v>0</v>
      </c>
      <c r="G6592" s="191" t="str">
        <f>IF('IWP22'!J$548=0,"",'IWP22'!J$548)</f>
        <v/>
      </c>
      <c r="H6592" s="211">
        <f>'IWP22'!K$548</f>
        <v>0</v>
      </c>
      <c r="I6592" s="211">
        <f>'IWP22'!L$548</f>
        <v>0</v>
      </c>
      <c r="J6592" s="212">
        <f>'IWP22'!M$548</f>
        <v>0</v>
      </c>
      <c r="K6592" s="106"/>
      <c r="L6592" s="106"/>
      <c r="M6592" s="129"/>
    </row>
    <row r="6593" spans="1:13" s="146" customFormat="1">
      <c r="A6593" s="193" t="s">
        <v>520</v>
      </c>
      <c r="B6593" s="210">
        <v>13</v>
      </c>
      <c r="C6593" s="191" t="str">
        <f>IF('IWP22'!E$549=0,"",'IWP22'!E$549)</f>
        <v>J. Billing Period Total</v>
      </c>
      <c r="D6593" s="211">
        <f>'IWP22'!G$549</f>
        <v>0</v>
      </c>
      <c r="E6593" s="211">
        <f>'IWP22'!H$549</f>
        <v>0</v>
      </c>
      <c r="F6593" s="211">
        <f>'IWP22'!I$549</f>
        <v>0</v>
      </c>
      <c r="G6593" s="191" t="str">
        <f>IF('IWP22'!J$549=0,"",'IWP22'!J$549)</f>
        <v/>
      </c>
      <c r="H6593" s="211">
        <f>'IWP22'!K$549</f>
        <v>0</v>
      </c>
      <c r="I6593" s="211">
        <f>'IWP22'!L$549</f>
        <v>0</v>
      </c>
      <c r="J6593" s="212">
        <f>'IWP22'!M$549</f>
        <v>0</v>
      </c>
      <c r="K6593" s="106"/>
      <c r="L6593" s="106"/>
      <c r="M6593" s="129"/>
    </row>
    <row r="6594" spans="1:13" s="146" customFormat="1">
      <c r="A6594" s="193" t="s">
        <v>520</v>
      </c>
      <c r="B6594" s="210">
        <v>13</v>
      </c>
      <c r="C6594" s="191" t="str">
        <f>IF('IWP22'!E$550=0,"",'IWP22'!E$550)</f>
        <v>D.</v>
      </c>
      <c r="D6594" s="211">
        <f>'IWP22'!G$550</f>
        <v>0</v>
      </c>
      <c r="E6594" s="211" t="str">
        <f>'IWP22'!H$550</f>
        <v>E.</v>
      </c>
      <c r="F6594" s="211" t="str">
        <f>'IWP22'!I$550</f>
        <v>F.</v>
      </c>
      <c r="G6594" s="191" t="str">
        <f>IF('IWP22'!J$550=0,"",'IWP22'!J$550)</f>
        <v>G.</v>
      </c>
      <c r="H6594" s="211">
        <f>'IWP22'!K$550</f>
        <v>0</v>
      </c>
      <c r="I6594" s="211" t="str">
        <f>'IWP22'!L$550</f>
        <v>H.</v>
      </c>
      <c r="J6594" s="212" t="str">
        <f>'IWP22'!M$550</f>
        <v>I.</v>
      </c>
      <c r="K6594" s="106"/>
      <c r="L6594" s="106"/>
      <c r="M6594" s="129"/>
    </row>
    <row r="6595" spans="1:13" s="146" customFormat="1">
      <c r="A6595" s="193" t="s">
        <v>520</v>
      </c>
      <c r="B6595" s="210">
        <v>13</v>
      </c>
      <c r="C6595" s="191" t="str">
        <f>IF('IWP22'!E$551=0,"",'IWP22'!E$551)</f>
        <v xml:space="preserve">Items/Services Related to Billing Period </v>
      </c>
      <c r="D6595" s="211">
        <f>'IWP22'!G$551</f>
        <v>0</v>
      </c>
      <c r="E6595" s="211" t="str">
        <f>'IWP22'!H$551</f>
        <v xml:space="preserve">Item/
Service Verified Amounts
</v>
      </c>
      <c r="F6595" s="211" t="str">
        <f>'IWP22'!I$551</f>
        <v>Amount Due to DADS (E. - D.)</v>
      </c>
      <c r="G6595" s="191" t="str">
        <f>IF('IWP22'!J$551=0,"",'IWP22'!J$551)</f>
        <v>Amount Reimbursed to 
Employee(s)/Employer</v>
      </c>
      <c r="H6595" s="211">
        <f>'IWP22'!K$551</f>
        <v>0</v>
      </c>
      <c r="I6595" s="211" t="str">
        <f>'IWP22'!L$551</f>
        <v>Amount Due to Employee(s) (G. - E.)</v>
      </c>
      <c r="J6595" s="212" t="str">
        <f>'IWP22'!M$551</f>
        <v>Amount Due to Employer (G. - E.)</v>
      </c>
      <c r="K6595" s="106"/>
      <c r="L6595" s="106"/>
      <c r="M6595" s="129"/>
    </row>
    <row r="6596" spans="1:13" s="146" customFormat="1">
      <c r="A6596" s="193" t="s">
        <v>520</v>
      </c>
      <c r="B6596" s="210">
        <v>13</v>
      </c>
      <c r="C6596" s="191" t="str">
        <f>IF('IWP22'!E$552=0,"",'IWP22'!E$552)</f>
        <v>Item/Service</v>
      </c>
      <c r="D6596" s="211" t="str">
        <f>'IWP22'!G$552</f>
        <v>Itemized Amount Paid by DADS</v>
      </c>
      <c r="E6596" s="211">
        <f>'IWP22'!H$552</f>
        <v>0</v>
      </c>
      <c r="F6596" s="211">
        <f>'IWP22'!I$552</f>
        <v>0</v>
      </c>
      <c r="G6596" s="191" t="str">
        <f>IF('IWP22'!J$552=0,"",'IWP22'!J$552)</f>
        <v/>
      </c>
      <c r="H6596" s="211">
        <f>'IWP22'!K$552</f>
        <v>0</v>
      </c>
      <c r="I6596" s="211">
        <f>'IWP22'!L$552</f>
        <v>0</v>
      </c>
      <c r="J6596" s="212">
        <f>'IWP22'!M$552</f>
        <v>0</v>
      </c>
      <c r="K6596" s="106"/>
      <c r="L6596" s="106"/>
      <c r="M6596" s="129"/>
    </row>
    <row r="6597" spans="1:13" s="146" customFormat="1">
      <c r="A6597" s="193" t="s">
        <v>520</v>
      </c>
      <c r="B6597" s="210">
        <v>13</v>
      </c>
      <c r="C6597" s="191" t="str">
        <f>IF('IWP22'!E$553=0,"",'IWP22'!E$553)</f>
        <v/>
      </c>
      <c r="D6597" s="211">
        <f>'IWP22'!G$553</f>
        <v>0</v>
      </c>
      <c r="E6597" s="211">
        <f>'IWP22'!H$553</f>
        <v>0</v>
      </c>
      <c r="F6597" s="211">
        <f>'IWP22'!I$553</f>
        <v>0</v>
      </c>
      <c r="G6597" s="191" t="str">
        <f>IF('IWP22'!J$553=0,"",'IWP22'!J$553)</f>
        <v/>
      </c>
      <c r="H6597" s="211">
        <f>'IWP22'!K$553</f>
        <v>0</v>
      </c>
      <c r="I6597" s="211">
        <f>'IWP22'!L$553</f>
        <v>0</v>
      </c>
      <c r="J6597" s="212">
        <f>'IWP22'!M$553</f>
        <v>0</v>
      </c>
      <c r="K6597" s="106"/>
      <c r="L6597" s="106"/>
      <c r="M6597" s="129"/>
    </row>
    <row r="6598" spans="1:13" s="146" customFormat="1">
      <c r="A6598" s="193" t="s">
        <v>520</v>
      </c>
      <c r="B6598" s="210">
        <v>13</v>
      </c>
      <c r="C6598" s="191" t="str">
        <f>IF('IWP22'!E$554=0,"",'IWP22'!E$554)</f>
        <v/>
      </c>
      <c r="D6598" s="211">
        <f>'IWP22'!G$554</f>
        <v>0</v>
      </c>
      <c r="E6598" s="211">
        <f>'IWP22'!H$554</f>
        <v>0</v>
      </c>
      <c r="F6598" s="211">
        <f>'IWP22'!I$554</f>
        <v>0</v>
      </c>
      <c r="G6598" s="191" t="str">
        <f>IF('IWP22'!J$554=0,"",'IWP22'!J$554)</f>
        <v/>
      </c>
      <c r="H6598" s="211">
        <f>'IWP22'!K$554</f>
        <v>0</v>
      </c>
      <c r="I6598" s="211">
        <f>'IWP22'!L$554</f>
        <v>0</v>
      </c>
      <c r="J6598" s="212">
        <f>'IWP22'!M$554</f>
        <v>0</v>
      </c>
      <c r="K6598" s="106"/>
      <c r="L6598" s="106"/>
      <c r="M6598" s="129"/>
    </row>
    <row r="6599" spans="1:13" s="146" customFormat="1">
      <c r="A6599" s="193" t="s">
        <v>520</v>
      </c>
      <c r="B6599" s="210">
        <v>13</v>
      </c>
      <c r="C6599" s="191" t="str">
        <f>IF('IWP22'!E$555=0,"",'IWP22'!E$555)</f>
        <v/>
      </c>
      <c r="D6599" s="211">
        <f>'IWP22'!G$555</f>
        <v>0</v>
      </c>
      <c r="E6599" s="211">
        <f>'IWP22'!H$555</f>
        <v>0</v>
      </c>
      <c r="F6599" s="211">
        <f>'IWP22'!I$555</f>
        <v>0</v>
      </c>
      <c r="G6599" s="191" t="str">
        <f>IF('IWP22'!J$555=0,"",'IWP22'!J$555)</f>
        <v/>
      </c>
      <c r="H6599" s="211">
        <f>'IWP22'!K$555</f>
        <v>0</v>
      </c>
      <c r="I6599" s="211">
        <f>'IWP22'!L$555</f>
        <v>0</v>
      </c>
      <c r="J6599" s="212">
        <f>'IWP22'!M$555</f>
        <v>0</v>
      </c>
      <c r="K6599" s="106"/>
      <c r="L6599" s="106"/>
      <c r="M6599" s="129"/>
    </row>
    <row r="6600" spans="1:13" s="146" customFormat="1">
      <c r="A6600" s="193" t="s">
        <v>520</v>
      </c>
      <c r="B6600" s="210">
        <v>13</v>
      </c>
      <c r="C6600" s="191" t="str">
        <f>IF('IWP22'!E$556=0,"",'IWP22'!E$556)</f>
        <v/>
      </c>
      <c r="D6600" s="211">
        <f>'IWP22'!G$556</f>
        <v>0</v>
      </c>
      <c r="E6600" s="211">
        <f>'IWP22'!H$556</f>
        <v>0</v>
      </c>
      <c r="F6600" s="211">
        <f>'IWP22'!I$556</f>
        <v>0</v>
      </c>
      <c r="G6600" s="191" t="str">
        <f>IF('IWP22'!J$556=0,"",'IWP22'!J$556)</f>
        <v/>
      </c>
      <c r="H6600" s="211">
        <f>'IWP22'!K$556</f>
        <v>0</v>
      </c>
      <c r="I6600" s="211">
        <f>'IWP22'!L$556</f>
        <v>0</v>
      </c>
      <c r="J6600" s="212">
        <f>'IWP22'!M$556</f>
        <v>0</v>
      </c>
      <c r="K6600" s="106"/>
      <c r="L6600" s="106"/>
      <c r="M6600" s="129"/>
    </row>
    <row r="6601" spans="1:13" s="146" customFormat="1">
      <c r="A6601" s="193" t="s">
        <v>520</v>
      </c>
      <c r="B6601" s="210">
        <v>14</v>
      </c>
      <c r="C6601" s="191" t="str">
        <f>IF('IWP22'!E$563=0,"",'IWP22'!E$563)</f>
        <v>Subtotal column D.</v>
      </c>
      <c r="D6601" s="211">
        <f>'IWP22'!G$563</f>
        <v>0</v>
      </c>
      <c r="E6601" s="211">
        <f>'IWP22'!H$563</f>
        <v>0</v>
      </c>
      <c r="F6601" s="211">
        <f>'IWP22'!I$563</f>
        <v>0</v>
      </c>
      <c r="G6601" s="191" t="str">
        <f>IF('IWP22'!J$563=0,"",'IWP22'!J$563)</f>
        <v/>
      </c>
      <c r="H6601" s="211">
        <f>'IWP22'!K$563</f>
        <v>0</v>
      </c>
      <c r="I6601" s="211">
        <f>'IWP22'!L$563</f>
        <v>0</v>
      </c>
      <c r="J6601" s="212">
        <f>'IWP22'!M$563</f>
        <v>0</v>
      </c>
      <c r="K6601" s="106"/>
      <c r="L6601" s="106"/>
      <c r="M6601" s="129"/>
    </row>
    <row r="6602" spans="1:13" s="146" customFormat="1">
      <c r="A6602" s="193" t="s">
        <v>520</v>
      </c>
      <c r="B6602" s="210">
        <v>14</v>
      </c>
      <c r="C6602" s="191" t="str">
        <f>IF('IWP22'!E$564=0,"",'IWP22'!E$564)</f>
        <v>Unverified/Undocumented (Subtotal D - C)</v>
      </c>
      <c r="D6602" s="211">
        <f>'IWP22'!G$564</f>
        <v>0</v>
      </c>
      <c r="E6602" s="211">
        <f>'IWP22'!H$564</f>
        <v>0</v>
      </c>
      <c r="F6602" s="211">
        <f>'IWP22'!I$564</f>
        <v>0</v>
      </c>
      <c r="G6602" s="191" t="str">
        <f>IF('IWP22'!J$564=0,"",'IWP22'!J$564)</f>
        <v/>
      </c>
      <c r="H6602" s="211">
        <f>'IWP22'!K$564</f>
        <v>0</v>
      </c>
      <c r="I6602" s="211">
        <f>'IWP22'!L$564</f>
        <v>0</v>
      </c>
      <c r="J6602" s="212">
        <f>'IWP22'!M$564</f>
        <v>0</v>
      </c>
      <c r="K6602" s="106"/>
      <c r="L6602" s="106"/>
      <c r="M6602" s="129"/>
    </row>
    <row r="6603" spans="1:13" s="146" customFormat="1">
      <c r="A6603" s="193" t="s">
        <v>520</v>
      </c>
      <c r="B6603" s="210">
        <v>14</v>
      </c>
      <c r="C6603" s="191" t="str">
        <f>IF('IWP22'!E$565=0,"",'IWP22'!E$565)</f>
        <v>J. Billing Period Total</v>
      </c>
      <c r="D6603" s="211">
        <f>'IWP22'!G$565</f>
        <v>0</v>
      </c>
      <c r="E6603" s="211">
        <f>'IWP22'!H$565</f>
        <v>0</v>
      </c>
      <c r="F6603" s="211">
        <f>'IWP22'!I$565</f>
        <v>0</v>
      </c>
      <c r="G6603" s="191" t="str">
        <f>IF('IWP22'!J$565=0,"",'IWP22'!J$565)</f>
        <v/>
      </c>
      <c r="H6603" s="211">
        <f>'IWP22'!K$565</f>
        <v>0</v>
      </c>
      <c r="I6603" s="211">
        <f>'IWP22'!L$565</f>
        <v>0</v>
      </c>
      <c r="J6603" s="212">
        <f>'IWP22'!M$565</f>
        <v>0</v>
      </c>
      <c r="K6603" s="106"/>
      <c r="L6603" s="106"/>
      <c r="M6603" s="129"/>
    </row>
    <row r="6604" spans="1:13" s="146" customFormat="1">
      <c r="A6604" s="193" t="s">
        <v>520</v>
      </c>
      <c r="B6604" s="210">
        <v>14</v>
      </c>
      <c r="C6604" s="191" t="str">
        <f>IF('IWP22'!E$566=0,"",'IWP22'!E$566)</f>
        <v>D.</v>
      </c>
      <c r="D6604" s="211">
        <f>'IWP22'!G$566</f>
        <v>0</v>
      </c>
      <c r="E6604" s="211" t="str">
        <f>'IWP22'!H$566</f>
        <v>E.</v>
      </c>
      <c r="F6604" s="211" t="str">
        <f>'IWP22'!I$566</f>
        <v>F.</v>
      </c>
      <c r="G6604" s="191" t="str">
        <f>IF('IWP22'!J$566=0,"",'IWP22'!J$566)</f>
        <v>G.</v>
      </c>
      <c r="H6604" s="211">
        <f>'IWP22'!K$566</f>
        <v>0</v>
      </c>
      <c r="I6604" s="211" t="str">
        <f>'IWP22'!L$566</f>
        <v>H.</v>
      </c>
      <c r="J6604" s="212" t="str">
        <f>'IWP22'!M$566</f>
        <v>I.</v>
      </c>
      <c r="K6604" s="106"/>
      <c r="L6604" s="106"/>
      <c r="M6604" s="129"/>
    </row>
    <row r="6605" spans="1:13" s="146" customFormat="1">
      <c r="A6605" s="193" t="s">
        <v>520</v>
      </c>
      <c r="B6605" s="210">
        <v>14</v>
      </c>
      <c r="C6605" s="191" t="str">
        <f>IF('IWP22'!E$567=0,"",'IWP22'!E$567)</f>
        <v xml:space="preserve">Items/Services Related to Billing Period </v>
      </c>
      <c r="D6605" s="211">
        <f>'IWP22'!G$567</f>
        <v>0</v>
      </c>
      <c r="E6605" s="211" t="str">
        <f>'IWP22'!H$567</f>
        <v xml:space="preserve">Item/
Service Verified Amounts
</v>
      </c>
      <c r="F6605" s="211" t="str">
        <f>'IWP22'!I$567</f>
        <v>Amount Due to DADS (E. - D.)</v>
      </c>
      <c r="G6605" s="191" t="str">
        <f>IF('IWP22'!J$567=0,"",'IWP22'!J$567)</f>
        <v>Amount Reimbursed to 
Employee(s)/Employer</v>
      </c>
      <c r="H6605" s="211">
        <f>'IWP22'!K$567</f>
        <v>0</v>
      </c>
      <c r="I6605" s="211" t="str">
        <f>'IWP22'!L$567</f>
        <v>Amount Due to Employee(s) (G. - E.)</v>
      </c>
      <c r="J6605" s="212" t="str">
        <f>'IWP22'!M$567</f>
        <v>Amount Due to Employer (G. - E.)</v>
      </c>
      <c r="K6605" s="106"/>
      <c r="L6605" s="106"/>
      <c r="M6605" s="129"/>
    </row>
    <row r="6606" spans="1:13" s="146" customFormat="1">
      <c r="A6606" s="193" t="s">
        <v>520</v>
      </c>
      <c r="B6606" s="210">
        <v>14</v>
      </c>
      <c r="C6606" s="191" t="str">
        <f>IF('IWP22'!E$568=0,"",'IWP22'!E$568)</f>
        <v>Item/Service</v>
      </c>
      <c r="D6606" s="211" t="str">
        <f>'IWP22'!G$568</f>
        <v>Itemized Amount Paid by DADS</v>
      </c>
      <c r="E6606" s="211">
        <f>'IWP22'!H$568</f>
        <v>0</v>
      </c>
      <c r="F6606" s="211">
        <f>'IWP22'!I$568</f>
        <v>0</v>
      </c>
      <c r="G6606" s="191" t="str">
        <f>IF('IWP22'!J$568=0,"",'IWP22'!J$568)</f>
        <v/>
      </c>
      <c r="H6606" s="211">
        <f>'IWP22'!K$568</f>
        <v>0</v>
      </c>
      <c r="I6606" s="211">
        <f>'IWP22'!L$568</f>
        <v>0</v>
      </c>
      <c r="J6606" s="212">
        <f>'IWP22'!M$568</f>
        <v>0</v>
      </c>
      <c r="K6606" s="106"/>
      <c r="L6606" s="106"/>
      <c r="M6606" s="129"/>
    </row>
    <row r="6607" spans="1:13" s="146" customFormat="1">
      <c r="A6607" s="193" t="s">
        <v>520</v>
      </c>
      <c r="B6607" s="210">
        <v>14</v>
      </c>
      <c r="C6607" s="191" t="str">
        <f>IF('IWP22'!E$569=0,"",'IWP22'!E$569)</f>
        <v/>
      </c>
      <c r="D6607" s="211">
        <f>'IWP22'!G$569</f>
        <v>0</v>
      </c>
      <c r="E6607" s="211">
        <f>'IWP22'!H$569</f>
        <v>0</v>
      </c>
      <c r="F6607" s="211">
        <f>'IWP22'!I$569</f>
        <v>0</v>
      </c>
      <c r="G6607" s="191" t="str">
        <f>IF('IWP22'!J$569=0,"",'IWP22'!J$569)</f>
        <v/>
      </c>
      <c r="H6607" s="211">
        <f>'IWP22'!K$569</f>
        <v>0</v>
      </c>
      <c r="I6607" s="211">
        <f>'IWP22'!L$569</f>
        <v>0</v>
      </c>
      <c r="J6607" s="212">
        <f>'IWP22'!M$569</f>
        <v>0</v>
      </c>
      <c r="K6607" s="106"/>
      <c r="L6607" s="106"/>
      <c r="M6607" s="129"/>
    </row>
    <row r="6608" spans="1:13" s="146" customFormat="1">
      <c r="A6608" s="193" t="s">
        <v>520</v>
      </c>
      <c r="B6608" s="210">
        <v>14</v>
      </c>
      <c r="C6608" s="191" t="str">
        <f>IF('IWP22'!E$570=0,"",'IWP22'!E$570)</f>
        <v/>
      </c>
      <c r="D6608" s="211">
        <f>'IWP22'!G$570</f>
        <v>0</v>
      </c>
      <c r="E6608" s="211">
        <f>'IWP22'!H$570</f>
        <v>0</v>
      </c>
      <c r="F6608" s="211">
        <f>'IWP22'!I$570</f>
        <v>0</v>
      </c>
      <c r="G6608" s="191" t="str">
        <f>IF('IWP22'!J$570=0,"",'IWP22'!J$570)</f>
        <v/>
      </c>
      <c r="H6608" s="211">
        <f>'IWP22'!K$570</f>
        <v>0</v>
      </c>
      <c r="I6608" s="211">
        <f>'IWP22'!L$570</f>
        <v>0</v>
      </c>
      <c r="J6608" s="212">
        <f>'IWP22'!M$570</f>
        <v>0</v>
      </c>
      <c r="K6608" s="106"/>
      <c r="L6608" s="106"/>
      <c r="M6608" s="129"/>
    </row>
    <row r="6609" spans="1:13" s="146" customFormat="1">
      <c r="A6609" s="193" t="s">
        <v>520</v>
      </c>
      <c r="B6609" s="210">
        <v>14</v>
      </c>
      <c r="C6609" s="191" t="str">
        <f>IF('IWP22'!E$571=0,"",'IWP22'!E$571)</f>
        <v/>
      </c>
      <c r="D6609" s="211">
        <f>'IWP22'!G$571</f>
        <v>0</v>
      </c>
      <c r="E6609" s="211">
        <f>'IWP22'!H$571</f>
        <v>0</v>
      </c>
      <c r="F6609" s="211">
        <f>'IWP22'!I$571</f>
        <v>0</v>
      </c>
      <c r="G6609" s="191" t="str">
        <f>IF('IWP22'!J$571=0,"",'IWP22'!J$571)</f>
        <v/>
      </c>
      <c r="H6609" s="211">
        <f>'IWP22'!K$571</f>
        <v>0</v>
      </c>
      <c r="I6609" s="211">
        <f>'IWP22'!L$571</f>
        <v>0</v>
      </c>
      <c r="J6609" s="212">
        <f>'IWP22'!M$571</f>
        <v>0</v>
      </c>
      <c r="K6609" s="106"/>
      <c r="L6609" s="106"/>
      <c r="M6609" s="129"/>
    </row>
    <row r="6610" spans="1:13" s="146" customFormat="1">
      <c r="A6610" s="193" t="s">
        <v>520</v>
      </c>
      <c r="B6610" s="210">
        <v>14</v>
      </c>
      <c r="C6610" s="191" t="str">
        <f>IF('IWP22'!E$572=0,"",'IWP22'!E$572)</f>
        <v/>
      </c>
      <c r="D6610" s="211">
        <f>'IWP22'!G$572</f>
        <v>0</v>
      </c>
      <c r="E6610" s="211">
        <f>'IWP22'!H$572</f>
        <v>0</v>
      </c>
      <c r="F6610" s="211">
        <f>'IWP22'!I$572</f>
        <v>0</v>
      </c>
      <c r="G6610" s="191" t="str">
        <f>IF('IWP22'!J$572=0,"",'IWP22'!J$572)</f>
        <v/>
      </c>
      <c r="H6610" s="211">
        <f>'IWP22'!K$572</f>
        <v>0</v>
      </c>
      <c r="I6610" s="211">
        <f>'IWP22'!L$572</f>
        <v>0</v>
      </c>
      <c r="J6610" s="212">
        <f>'IWP22'!M$572</f>
        <v>0</v>
      </c>
      <c r="K6610" s="106"/>
      <c r="L6610" s="106"/>
      <c r="M6610" s="129"/>
    </row>
    <row r="6611" spans="1:13" s="146" customFormat="1">
      <c r="A6611" s="193" t="s">
        <v>520</v>
      </c>
      <c r="B6611" s="210">
        <v>15</v>
      </c>
      <c r="C6611" s="191" t="str">
        <f>IF('IWP22'!E$579=0,"",'IWP22'!E$579)</f>
        <v>Subtotal column D.</v>
      </c>
      <c r="D6611" s="211">
        <f>'IWP22'!G$579</f>
        <v>0</v>
      </c>
      <c r="E6611" s="211">
        <f>'IWP22'!H$579</f>
        <v>0</v>
      </c>
      <c r="F6611" s="211">
        <f>'IWP22'!I$579</f>
        <v>0</v>
      </c>
      <c r="G6611" s="191" t="str">
        <f>IF('IWP22'!J$579=0,"",'IWP22'!J$579)</f>
        <v/>
      </c>
      <c r="H6611" s="211">
        <f>'IWP22'!K$579</f>
        <v>0</v>
      </c>
      <c r="I6611" s="211">
        <f>'IWP22'!L$579</f>
        <v>0</v>
      </c>
      <c r="J6611" s="212">
        <f>'IWP22'!M$579</f>
        <v>0</v>
      </c>
      <c r="K6611" s="106"/>
      <c r="L6611" s="106"/>
      <c r="M6611" s="129"/>
    </row>
    <row r="6612" spans="1:13" s="146" customFormat="1">
      <c r="A6612" s="193" t="s">
        <v>520</v>
      </c>
      <c r="B6612" s="210">
        <v>15</v>
      </c>
      <c r="C6612" s="191" t="str">
        <f>IF('IWP22'!E$580=0,"",'IWP22'!E$580)</f>
        <v>Unverified/Undocumented (Subtotal D - C)</v>
      </c>
      <c r="D6612" s="211">
        <f>'IWP22'!G$580</f>
        <v>0</v>
      </c>
      <c r="E6612" s="211">
        <f>'IWP22'!H$580</f>
        <v>0</v>
      </c>
      <c r="F6612" s="211">
        <f>'IWP22'!I$580</f>
        <v>0</v>
      </c>
      <c r="G6612" s="191" t="str">
        <f>IF('IWP22'!J$580=0,"",'IWP22'!J$580)</f>
        <v/>
      </c>
      <c r="H6612" s="211">
        <f>'IWP22'!K$580</f>
        <v>0</v>
      </c>
      <c r="I6612" s="211">
        <f>'IWP22'!L$580</f>
        <v>0</v>
      </c>
      <c r="J6612" s="212">
        <f>'IWP22'!M$580</f>
        <v>0</v>
      </c>
      <c r="K6612" s="106"/>
      <c r="L6612" s="106"/>
      <c r="M6612" s="129"/>
    </row>
    <row r="6613" spans="1:13" s="146" customFormat="1">
      <c r="A6613" s="193" t="s">
        <v>520</v>
      </c>
      <c r="B6613" s="210">
        <v>15</v>
      </c>
      <c r="C6613" s="191" t="str">
        <f>IF('IWP22'!E$581=0,"",'IWP22'!E$581)</f>
        <v>J. Billing Period Total</v>
      </c>
      <c r="D6613" s="211">
        <f>'IWP22'!G$581</f>
        <v>0</v>
      </c>
      <c r="E6613" s="211">
        <f>'IWP22'!H$581</f>
        <v>0</v>
      </c>
      <c r="F6613" s="211">
        <f>'IWP22'!I$581</f>
        <v>0</v>
      </c>
      <c r="G6613" s="191" t="str">
        <f>IF('IWP22'!J$581=0,"",'IWP22'!J$581)</f>
        <v/>
      </c>
      <c r="H6613" s="211">
        <f>'IWP22'!K$581</f>
        <v>0</v>
      </c>
      <c r="I6613" s="211">
        <f>'IWP22'!L$581</f>
        <v>0</v>
      </c>
      <c r="J6613" s="212">
        <f>'IWP22'!M$581</f>
        <v>0</v>
      </c>
      <c r="K6613" s="106"/>
      <c r="L6613" s="106"/>
      <c r="M6613" s="129"/>
    </row>
    <row r="6614" spans="1:13" s="146" customFormat="1">
      <c r="A6614" s="193" t="s">
        <v>520</v>
      </c>
      <c r="B6614" s="210">
        <v>15</v>
      </c>
      <c r="C6614" s="191" t="str">
        <f>IF('IWP22'!E$582=0,"",'IWP22'!E$582)</f>
        <v>D.</v>
      </c>
      <c r="D6614" s="211">
        <f>'IWP22'!G$582</f>
        <v>0</v>
      </c>
      <c r="E6614" s="211" t="str">
        <f>'IWP22'!H$582</f>
        <v>E.</v>
      </c>
      <c r="F6614" s="211" t="str">
        <f>'IWP22'!I$582</f>
        <v>F.</v>
      </c>
      <c r="G6614" s="191" t="str">
        <f>IF('IWP22'!J$582=0,"",'IWP22'!J$582)</f>
        <v>G.</v>
      </c>
      <c r="H6614" s="211">
        <f>'IWP22'!K$582</f>
        <v>0</v>
      </c>
      <c r="I6614" s="211" t="str">
        <f>'IWP22'!L$582</f>
        <v>H.</v>
      </c>
      <c r="J6614" s="212" t="str">
        <f>'IWP22'!M$582</f>
        <v>I.</v>
      </c>
      <c r="K6614" s="106"/>
      <c r="L6614" s="106"/>
      <c r="M6614" s="129"/>
    </row>
    <row r="6615" spans="1:13" s="146" customFormat="1">
      <c r="A6615" s="193" t="s">
        <v>520</v>
      </c>
      <c r="B6615" s="210">
        <v>15</v>
      </c>
      <c r="C6615" s="191" t="str">
        <f>IF('IWP22'!E$583=0,"",'IWP22'!E$583)</f>
        <v xml:space="preserve">Items/Services Related to Billing Period </v>
      </c>
      <c r="D6615" s="211">
        <f>'IWP22'!G$583</f>
        <v>0</v>
      </c>
      <c r="E6615" s="211" t="str">
        <f>'IWP22'!H$583</f>
        <v xml:space="preserve">Item/
Service Verified Amounts
</v>
      </c>
      <c r="F6615" s="211" t="str">
        <f>'IWP22'!I$583</f>
        <v>Amount Due to DADS (E. - D.)</v>
      </c>
      <c r="G6615" s="191" t="str">
        <f>IF('IWP22'!J$583=0,"",'IWP22'!J$583)</f>
        <v>Amount Reimbursed to 
Employee(s)/Employer</v>
      </c>
      <c r="H6615" s="211">
        <f>'IWP22'!K$583</f>
        <v>0</v>
      </c>
      <c r="I6615" s="211" t="str">
        <f>'IWP22'!L$583</f>
        <v>Amount Due to Employee(s) (G. - E.)</v>
      </c>
      <c r="J6615" s="212" t="str">
        <f>'IWP22'!M$583</f>
        <v>Amount Due to Employer (G. - E.)</v>
      </c>
      <c r="K6615" s="106"/>
      <c r="L6615" s="106"/>
      <c r="M6615" s="129"/>
    </row>
    <row r="6616" spans="1:13" s="146" customFormat="1">
      <c r="A6616" s="193" t="s">
        <v>520</v>
      </c>
      <c r="B6616" s="210">
        <v>15</v>
      </c>
      <c r="C6616" s="191" t="str">
        <f>IF('IWP22'!E$584=0,"",'IWP22'!E$584)</f>
        <v>Item/Service</v>
      </c>
      <c r="D6616" s="211" t="str">
        <f>'IWP22'!G$584</f>
        <v>Itemized Amount Paid by DADS</v>
      </c>
      <c r="E6616" s="211">
        <f>'IWP22'!H$584</f>
        <v>0</v>
      </c>
      <c r="F6616" s="211">
        <f>'IWP22'!I$584</f>
        <v>0</v>
      </c>
      <c r="G6616" s="191" t="str">
        <f>IF('IWP22'!J$584=0,"",'IWP22'!J$584)</f>
        <v/>
      </c>
      <c r="H6616" s="211">
        <f>'IWP22'!K$584</f>
        <v>0</v>
      </c>
      <c r="I6616" s="211">
        <f>'IWP22'!L$584</f>
        <v>0</v>
      </c>
      <c r="J6616" s="212">
        <f>'IWP22'!M$584</f>
        <v>0</v>
      </c>
      <c r="K6616" s="106"/>
      <c r="L6616" s="106"/>
      <c r="M6616" s="129"/>
    </row>
    <row r="6617" spans="1:13" s="146" customFormat="1">
      <c r="A6617" s="193" t="s">
        <v>520</v>
      </c>
      <c r="B6617" s="210">
        <v>15</v>
      </c>
      <c r="C6617" s="191" t="str">
        <f>IF('IWP22'!E$585=0,"",'IWP22'!E$585)</f>
        <v/>
      </c>
      <c r="D6617" s="211">
        <f>'IWP22'!G$585</f>
        <v>0</v>
      </c>
      <c r="E6617" s="211">
        <f>'IWP22'!H$585</f>
        <v>0</v>
      </c>
      <c r="F6617" s="211">
        <f>'IWP22'!I$585</f>
        <v>0</v>
      </c>
      <c r="G6617" s="191" t="str">
        <f>IF('IWP22'!J$585=0,"",'IWP22'!J$585)</f>
        <v/>
      </c>
      <c r="H6617" s="211">
        <f>'IWP22'!K$585</f>
        <v>0</v>
      </c>
      <c r="I6617" s="211">
        <f>'IWP22'!L$585</f>
        <v>0</v>
      </c>
      <c r="J6617" s="212">
        <f>'IWP22'!M$585</f>
        <v>0</v>
      </c>
      <c r="K6617" s="106"/>
      <c r="L6617" s="106"/>
      <c r="M6617" s="129"/>
    </row>
    <row r="6618" spans="1:13" s="146" customFormat="1">
      <c r="A6618" s="193" t="s">
        <v>520</v>
      </c>
      <c r="B6618" s="210">
        <v>15</v>
      </c>
      <c r="C6618" s="191" t="str">
        <f>IF('IWP22'!E$586=0,"",'IWP22'!E$586)</f>
        <v/>
      </c>
      <c r="D6618" s="211">
        <f>'IWP22'!G$586</f>
        <v>0</v>
      </c>
      <c r="E6618" s="211">
        <f>'IWP22'!H$586</f>
        <v>0</v>
      </c>
      <c r="F6618" s="211">
        <f>'IWP22'!I$586</f>
        <v>0</v>
      </c>
      <c r="G6618" s="191" t="str">
        <f>IF('IWP22'!J$586=0,"",'IWP22'!J$586)</f>
        <v/>
      </c>
      <c r="H6618" s="211">
        <f>'IWP22'!K$586</f>
        <v>0</v>
      </c>
      <c r="I6618" s="211">
        <f>'IWP22'!L$586</f>
        <v>0</v>
      </c>
      <c r="J6618" s="212">
        <f>'IWP22'!M$586</f>
        <v>0</v>
      </c>
      <c r="K6618" s="106"/>
      <c r="L6618" s="106"/>
      <c r="M6618" s="129"/>
    </row>
    <row r="6619" spans="1:13" s="146" customFormat="1">
      <c r="A6619" s="193" t="s">
        <v>520</v>
      </c>
      <c r="B6619" s="210">
        <v>15</v>
      </c>
      <c r="C6619" s="191" t="str">
        <f>IF('IWP22'!E$587=0,"",'IWP22'!E$587)</f>
        <v/>
      </c>
      <c r="D6619" s="211">
        <f>'IWP22'!G$587</f>
        <v>0</v>
      </c>
      <c r="E6619" s="211">
        <f>'IWP22'!H$587</f>
        <v>0</v>
      </c>
      <c r="F6619" s="211">
        <f>'IWP22'!I$587</f>
        <v>0</v>
      </c>
      <c r="G6619" s="191" t="str">
        <f>IF('IWP22'!J$587=0,"",'IWP22'!J$587)</f>
        <v/>
      </c>
      <c r="H6619" s="211">
        <f>'IWP22'!K$587</f>
        <v>0</v>
      </c>
      <c r="I6619" s="211">
        <f>'IWP22'!L$587</f>
        <v>0</v>
      </c>
      <c r="J6619" s="212">
        <f>'IWP22'!M$587</f>
        <v>0</v>
      </c>
      <c r="K6619" s="106"/>
      <c r="L6619" s="106"/>
      <c r="M6619" s="129"/>
    </row>
    <row r="6620" spans="1:13" s="146" customFormat="1">
      <c r="A6620" s="193" t="s">
        <v>520</v>
      </c>
      <c r="B6620" s="210">
        <v>15</v>
      </c>
      <c r="C6620" s="191" t="str">
        <f>IF('IWP22'!E$588=0,"",'IWP22'!E$588)</f>
        <v/>
      </c>
      <c r="D6620" s="211">
        <f>'IWP22'!G$588</f>
        <v>0</v>
      </c>
      <c r="E6620" s="211">
        <f>'IWP22'!H$588</f>
        <v>0</v>
      </c>
      <c r="F6620" s="211">
        <f>'IWP22'!I$588</f>
        <v>0</v>
      </c>
      <c r="G6620" s="191" t="str">
        <f>IF('IWP22'!J$588=0,"",'IWP22'!J$588)</f>
        <v/>
      </c>
      <c r="H6620" s="211">
        <f>'IWP22'!K$588</f>
        <v>0</v>
      </c>
      <c r="I6620" s="211">
        <f>'IWP22'!L$588</f>
        <v>0</v>
      </c>
      <c r="J6620" s="212">
        <f>'IWP22'!M$588</f>
        <v>0</v>
      </c>
      <c r="K6620" s="106"/>
      <c r="L6620" s="106"/>
      <c r="M6620" s="129"/>
    </row>
    <row r="6621" spans="1:13" s="146" customFormat="1">
      <c r="A6621" s="193" t="s">
        <v>520</v>
      </c>
      <c r="B6621" s="210">
        <v>16</v>
      </c>
      <c r="C6621" s="191" t="str">
        <f>IF('IWP22'!E$595=0,"",'IWP22'!E$595)</f>
        <v>Subtotal column D.</v>
      </c>
      <c r="D6621" s="211">
        <f>'IWP22'!G$595</f>
        <v>0</v>
      </c>
      <c r="E6621" s="211">
        <f>'IWP22'!H$595</f>
        <v>0</v>
      </c>
      <c r="F6621" s="211">
        <f>'IWP22'!I$595</f>
        <v>0</v>
      </c>
      <c r="G6621" s="191" t="str">
        <f>IF('IWP22'!J$595=0,"",'IWP22'!J$595)</f>
        <v/>
      </c>
      <c r="H6621" s="211">
        <f>'IWP22'!K$595</f>
        <v>0</v>
      </c>
      <c r="I6621" s="211">
        <f>'IWP22'!L$595</f>
        <v>0</v>
      </c>
      <c r="J6621" s="212">
        <f>'IWP22'!M$595</f>
        <v>0</v>
      </c>
      <c r="K6621" s="106"/>
      <c r="L6621" s="106"/>
      <c r="M6621" s="129"/>
    </row>
    <row r="6622" spans="1:13" s="146" customFormat="1">
      <c r="A6622" s="193" t="s">
        <v>520</v>
      </c>
      <c r="B6622" s="210">
        <v>16</v>
      </c>
      <c r="C6622" s="191" t="str">
        <f>IF('IWP22'!E$596=0,"",'IWP22'!E$596)</f>
        <v>Unverified/Undocumented (Subtotal D - C)</v>
      </c>
      <c r="D6622" s="211">
        <f>'IWP22'!G$596</f>
        <v>0</v>
      </c>
      <c r="E6622" s="211">
        <f>'IWP22'!H$596</f>
        <v>0</v>
      </c>
      <c r="F6622" s="211">
        <f>'IWP22'!I$596</f>
        <v>0</v>
      </c>
      <c r="G6622" s="191" t="str">
        <f>IF('IWP22'!J$596=0,"",'IWP22'!J$596)</f>
        <v/>
      </c>
      <c r="H6622" s="211">
        <f>'IWP22'!K$596</f>
        <v>0</v>
      </c>
      <c r="I6622" s="211">
        <f>'IWP22'!L$596</f>
        <v>0</v>
      </c>
      <c r="J6622" s="212">
        <f>'IWP22'!M$596</f>
        <v>0</v>
      </c>
      <c r="K6622" s="106"/>
      <c r="L6622" s="106"/>
      <c r="M6622" s="129"/>
    </row>
    <row r="6623" spans="1:13" s="146" customFormat="1">
      <c r="A6623" s="193" t="s">
        <v>520</v>
      </c>
      <c r="B6623" s="210">
        <v>16</v>
      </c>
      <c r="C6623" s="191" t="str">
        <f>IF('IWP22'!E$597=0,"",'IWP22'!E$597)</f>
        <v>J. Billing Period Total</v>
      </c>
      <c r="D6623" s="211">
        <f>'IWP22'!G$597</f>
        <v>0</v>
      </c>
      <c r="E6623" s="211">
        <f>'IWP22'!H$597</f>
        <v>0</v>
      </c>
      <c r="F6623" s="211">
        <f>'IWP22'!I$597</f>
        <v>0</v>
      </c>
      <c r="G6623" s="191" t="str">
        <f>IF('IWP22'!J$597=0,"",'IWP22'!J$597)</f>
        <v/>
      </c>
      <c r="H6623" s="211">
        <f>'IWP22'!K$597</f>
        <v>0</v>
      </c>
      <c r="I6623" s="211">
        <f>'IWP22'!L$597</f>
        <v>0</v>
      </c>
      <c r="J6623" s="212">
        <f>'IWP22'!M$597</f>
        <v>0</v>
      </c>
      <c r="K6623" s="106"/>
      <c r="L6623" s="106"/>
      <c r="M6623" s="129"/>
    </row>
    <row r="6624" spans="1:13" s="146" customFormat="1">
      <c r="A6624" s="193" t="s">
        <v>520</v>
      </c>
      <c r="B6624" s="210">
        <v>16</v>
      </c>
      <c r="C6624" s="191" t="str">
        <f>IF('IWP22'!E$598=0,"",'IWP22'!E$598)</f>
        <v>D.</v>
      </c>
      <c r="D6624" s="211">
        <f>'IWP22'!G$598</f>
        <v>0</v>
      </c>
      <c r="E6624" s="211" t="str">
        <f>'IWP22'!H$598</f>
        <v>E.</v>
      </c>
      <c r="F6624" s="211" t="str">
        <f>'IWP22'!I$598</f>
        <v>F.</v>
      </c>
      <c r="G6624" s="191" t="str">
        <f>IF('IWP22'!J$598=0,"",'IWP22'!J$598)</f>
        <v>G.</v>
      </c>
      <c r="H6624" s="211">
        <f>'IWP22'!K$598</f>
        <v>0</v>
      </c>
      <c r="I6624" s="211" t="str">
        <f>'IWP22'!L$598</f>
        <v>H.</v>
      </c>
      <c r="J6624" s="212" t="str">
        <f>'IWP22'!M$598</f>
        <v>I.</v>
      </c>
      <c r="K6624" s="106"/>
      <c r="L6624" s="106"/>
      <c r="M6624" s="129"/>
    </row>
    <row r="6625" spans="1:13" s="146" customFormat="1">
      <c r="A6625" s="193" t="s">
        <v>520</v>
      </c>
      <c r="B6625" s="210">
        <v>16</v>
      </c>
      <c r="C6625" s="191" t="str">
        <f>IF('IWP22'!E$599=0,"",'IWP22'!E$599)</f>
        <v xml:space="preserve">Items/Services Related to Billing Period </v>
      </c>
      <c r="D6625" s="211">
        <f>'IWP22'!G$599</f>
        <v>0</v>
      </c>
      <c r="E6625" s="211" t="str">
        <f>'IWP22'!H$599</f>
        <v xml:space="preserve">Item/
Service Verified Amounts
</v>
      </c>
      <c r="F6625" s="211" t="str">
        <f>'IWP22'!I$599</f>
        <v>Amount Due to DADS (E. - D.)</v>
      </c>
      <c r="G6625" s="191" t="str">
        <f>IF('IWP22'!J$599=0,"",'IWP22'!J$599)</f>
        <v>Amount Reimbursed to 
Employee(s)/Employer</v>
      </c>
      <c r="H6625" s="211">
        <f>'IWP22'!K$599</f>
        <v>0</v>
      </c>
      <c r="I6625" s="211" t="str">
        <f>'IWP22'!L$599</f>
        <v>Amount Due to Employee(s) (G. - E.)</v>
      </c>
      <c r="J6625" s="212" t="str">
        <f>'IWP22'!M$599</f>
        <v>Amount Due to Employer (G. - E.)</v>
      </c>
      <c r="K6625" s="106"/>
      <c r="L6625" s="106"/>
      <c r="M6625" s="129"/>
    </row>
    <row r="6626" spans="1:13" s="146" customFormat="1">
      <c r="A6626" s="193" t="s">
        <v>520</v>
      </c>
      <c r="B6626" s="210">
        <v>16</v>
      </c>
      <c r="C6626" s="191" t="str">
        <f>IF('IWP22'!E$600=0,"",'IWP22'!E$600)</f>
        <v>Item/Service</v>
      </c>
      <c r="D6626" s="211" t="str">
        <f>'IWP22'!G$600</f>
        <v>Itemized Amount Paid by DADS</v>
      </c>
      <c r="E6626" s="211">
        <f>'IWP22'!H$600</f>
        <v>0</v>
      </c>
      <c r="F6626" s="211">
        <f>'IWP22'!I$600</f>
        <v>0</v>
      </c>
      <c r="G6626" s="191" t="str">
        <f>IF('IWP22'!J$600=0,"",'IWP22'!J$600)</f>
        <v/>
      </c>
      <c r="H6626" s="211">
        <f>'IWP22'!K$600</f>
        <v>0</v>
      </c>
      <c r="I6626" s="211">
        <f>'IWP22'!L$600</f>
        <v>0</v>
      </c>
      <c r="J6626" s="212">
        <f>'IWP22'!M$600</f>
        <v>0</v>
      </c>
      <c r="K6626" s="106"/>
      <c r="L6626" s="106"/>
      <c r="M6626" s="129"/>
    </row>
    <row r="6627" spans="1:13" s="146" customFormat="1">
      <c r="A6627" s="193" t="s">
        <v>520</v>
      </c>
      <c r="B6627" s="210">
        <v>16</v>
      </c>
      <c r="C6627" s="191" t="str">
        <f>IF('IWP22'!E$601=0,"",'IWP22'!E$601)</f>
        <v/>
      </c>
      <c r="D6627" s="211">
        <f>'IWP22'!G$601</f>
        <v>0</v>
      </c>
      <c r="E6627" s="211">
        <f>'IWP22'!H$601</f>
        <v>0</v>
      </c>
      <c r="F6627" s="211">
        <f>'IWP22'!I$601</f>
        <v>0</v>
      </c>
      <c r="G6627" s="191" t="str">
        <f>IF('IWP22'!J$601=0,"",'IWP22'!J$601)</f>
        <v/>
      </c>
      <c r="H6627" s="211">
        <f>'IWP22'!K$601</f>
        <v>0</v>
      </c>
      <c r="I6627" s="211">
        <f>'IWP22'!L$601</f>
        <v>0</v>
      </c>
      <c r="J6627" s="212">
        <f>'IWP22'!M$601</f>
        <v>0</v>
      </c>
      <c r="K6627" s="106"/>
      <c r="L6627" s="106"/>
      <c r="M6627" s="129"/>
    </row>
    <row r="6628" spans="1:13" s="146" customFormat="1">
      <c r="A6628" s="193" t="s">
        <v>520</v>
      </c>
      <c r="B6628" s="210">
        <v>16</v>
      </c>
      <c r="C6628" s="191" t="str">
        <f>IF('IWP22'!E$602=0,"",'IWP22'!E$602)</f>
        <v/>
      </c>
      <c r="D6628" s="211">
        <f>'IWP22'!G$602</f>
        <v>0</v>
      </c>
      <c r="E6628" s="211">
        <f>'IWP22'!H$602</f>
        <v>0</v>
      </c>
      <c r="F6628" s="211">
        <f>'IWP22'!I$602</f>
        <v>0</v>
      </c>
      <c r="G6628" s="191" t="str">
        <f>IF('IWP22'!J$602=0,"",'IWP22'!J$602)</f>
        <v/>
      </c>
      <c r="H6628" s="211">
        <f>'IWP22'!K$602</f>
        <v>0</v>
      </c>
      <c r="I6628" s="211">
        <f>'IWP22'!L$602</f>
        <v>0</v>
      </c>
      <c r="J6628" s="212">
        <f>'IWP22'!M$602</f>
        <v>0</v>
      </c>
      <c r="K6628" s="106"/>
      <c r="L6628" s="106"/>
      <c r="M6628" s="129"/>
    </row>
    <row r="6629" spans="1:13" s="146" customFormat="1">
      <c r="A6629" s="193" t="s">
        <v>520</v>
      </c>
      <c r="B6629" s="210">
        <v>16</v>
      </c>
      <c r="C6629" s="191" t="str">
        <f>IF('IWP22'!E$603=0,"",'IWP22'!E$603)</f>
        <v/>
      </c>
      <c r="D6629" s="211">
        <f>'IWP22'!G$603</f>
        <v>0</v>
      </c>
      <c r="E6629" s="211">
        <f>'IWP22'!H$603</f>
        <v>0</v>
      </c>
      <c r="F6629" s="211">
        <f>'IWP22'!I$603</f>
        <v>0</v>
      </c>
      <c r="G6629" s="191" t="str">
        <f>IF('IWP22'!J$603=0,"",'IWP22'!J$603)</f>
        <v/>
      </c>
      <c r="H6629" s="211">
        <f>'IWP22'!K$603</f>
        <v>0</v>
      </c>
      <c r="I6629" s="211">
        <f>'IWP22'!L$603</f>
        <v>0</v>
      </c>
      <c r="J6629" s="212">
        <f>'IWP22'!M$603</f>
        <v>0</v>
      </c>
      <c r="K6629" s="106"/>
      <c r="L6629" s="106"/>
      <c r="M6629" s="129"/>
    </row>
    <row r="6630" spans="1:13" s="146" customFormat="1">
      <c r="A6630" s="193" t="s">
        <v>520</v>
      </c>
      <c r="B6630" s="210">
        <v>16</v>
      </c>
      <c r="C6630" s="191" t="str">
        <f>IF('IWP22'!E$604=0,"",'IWP22'!E$604)</f>
        <v/>
      </c>
      <c r="D6630" s="211">
        <f>'IWP22'!G$604</f>
        <v>0</v>
      </c>
      <c r="E6630" s="211">
        <f>'IWP22'!H$604</f>
        <v>0</v>
      </c>
      <c r="F6630" s="211">
        <f>'IWP22'!I$604</f>
        <v>0</v>
      </c>
      <c r="G6630" s="191" t="str">
        <f>IF('IWP22'!J$604=0,"",'IWP22'!J$604)</f>
        <v/>
      </c>
      <c r="H6630" s="211">
        <f>'IWP22'!K$604</f>
        <v>0</v>
      </c>
      <c r="I6630" s="211">
        <f>'IWP22'!L$604</f>
        <v>0</v>
      </c>
      <c r="J6630" s="212">
        <f>'IWP22'!M$604</f>
        <v>0</v>
      </c>
      <c r="K6630" s="106"/>
      <c r="L6630" s="106"/>
      <c r="M6630" s="129"/>
    </row>
    <row r="6631" spans="1:13" s="146" customFormat="1">
      <c r="A6631" s="193" t="s">
        <v>520</v>
      </c>
      <c r="B6631" s="210">
        <v>17</v>
      </c>
      <c r="C6631" s="191" t="str">
        <f>IF('IWP22'!E$611=0,"",'IWP22'!E$611)</f>
        <v>Subtotal column D.</v>
      </c>
      <c r="D6631" s="211">
        <f>'IWP22'!G$611</f>
        <v>0</v>
      </c>
      <c r="E6631" s="211">
        <f>'IWP22'!H$611</f>
        <v>0</v>
      </c>
      <c r="F6631" s="211">
        <f>'IWP22'!I$611</f>
        <v>0</v>
      </c>
      <c r="G6631" s="191" t="str">
        <f>IF('IWP22'!J$611=0,"",'IWP22'!J$611)</f>
        <v/>
      </c>
      <c r="H6631" s="211">
        <f>'IWP22'!K$611</f>
        <v>0</v>
      </c>
      <c r="I6631" s="211">
        <f>'IWP22'!L$611</f>
        <v>0</v>
      </c>
      <c r="J6631" s="212">
        <f>'IWP22'!M$611</f>
        <v>0</v>
      </c>
      <c r="K6631" s="106"/>
      <c r="L6631" s="106"/>
      <c r="M6631" s="129"/>
    </row>
    <row r="6632" spans="1:13" s="146" customFormat="1">
      <c r="A6632" s="193" t="s">
        <v>520</v>
      </c>
      <c r="B6632" s="210">
        <v>17</v>
      </c>
      <c r="C6632" s="191" t="str">
        <f>IF('IWP22'!E$612=0,"",'IWP22'!E$612)</f>
        <v>Unverified/Undocumented (Subtotal D - C)</v>
      </c>
      <c r="D6632" s="211">
        <f>'IWP22'!G$612</f>
        <v>0</v>
      </c>
      <c r="E6632" s="211">
        <f>'IWP22'!H$612</f>
        <v>0</v>
      </c>
      <c r="F6632" s="211">
        <f>'IWP22'!I$612</f>
        <v>0</v>
      </c>
      <c r="G6632" s="191" t="str">
        <f>IF('IWP22'!J$612=0,"",'IWP22'!J$612)</f>
        <v/>
      </c>
      <c r="H6632" s="211">
        <f>'IWP22'!K$612</f>
        <v>0</v>
      </c>
      <c r="I6632" s="211">
        <f>'IWP22'!L$612</f>
        <v>0</v>
      </c>
      <c r="J6632" s="212">
        <f>'IWP22'!M$612</f>
        <v>0</v>
      </c>
      <c r="K6632" s="106"/>
      <c r="L6632" s="106"/>
      <c r="M6632" s="129"/>
    </row>
    <row r="6633" spans="1:13" s="146" customFormat="1">
      <c r="A6633" s="193" t="s">
        <v>520</v>
      </c>
      <c r="B6633" s="210">
        <v>17</v>
      </c>
      <c r="C6633" s="191" t="str">
        <f>IF('IWP22'!E$613=0,"",'IWP22'!E$613)</f>
        <v>J. Billing Period Total</v>
      </c>
      <c r="D6633" s="211">
        <f>'IWP22'!G$613</f>
        <v>0</v>
      </c>
      <c r="E6633" s="211">
        <f>'IWP22'!H$613</f>
        <v>0</v>
      </c>
      <c r="F6633" s="211">
        <f>'IWP22'!I$613</f>
        <v>0</v>
      </c>
      <c r="G6633" s="191" t="str">
        <f>IF('IWP22'!J$613=0,"",'IWP22'!J$613)</f>
        <v/>
      </c>
      <c r="H6633" s="211">
        <f>'IWP22'!K$613</f>
        <v>0</v>
      </c>
      <c r="I6633" s="211">
        <f>'IWP22'!L$613</f>
        <v>0</v>
      </c>
      <c r="J6633" s="212">
        <f>'IWP22'!M$613</f>
        <v>0</v>
      </c>
      <c r="K6633" s="106"/>
      <c r="L6633" s="106"/>
      <c r="M6633" s="129"/>
    </row>
    <row r="6634" spans="1:13" s="146" customFormat="1">
      <c r="A6634" s="193" t="s">
        <v>520</v>
      </c>
      <c r="B6634" s="210">
        <v>17</v>
      </c>
      <c r="C6634" s="191" t="str">
        <f>IF('IWP22'!E$614=0,"",'IWP22'!E$614)</f>
        <v/>
      </c>
      <c r="D6634" s="211">
        <f>'IWP22'!G$614</f>
        <v>0</v>
      </c>
      <c r="E6634" s="211">
        <f>'IWP22'!H$614</f>
        <v>0</v>
      </c>
      <c r="F6634" s="211">
        <f>'IWP22'!I$614</f>
        <v>0</v>
      </c>
      <c r="G6634" s="191" t="str">
        <f>IF('IWP22'!J$614=0,"",'IWP22'!J$614)</f>
        <v/>
      </c>
      <c r="H6634" s="211">
        <f>'IWP22'!K$614</f>
        <v>0</v>
      </c>
      <c r="I6634" s="211">
        <f>'IWP22'!L$614</f>
        <v>0</v>
      </c>
      <c r="J6634" s="212">
        <f>'IWP22'!M$614</f>
        <v>0</v>
      </c>
      <c r="K6634" s="106"/>
      <c r="L6634" s="106"/>
      <c r="M6634" s="129"/>
    </row>
    <row r="6635" spans="1:13" s="146" customFormat="1">
      <c r="A6635" s="193" t="s">
        <v>520</v>
      </c>
      <c r="B6635" s="210">
        <v>17</v>
      </c>
      <c r="C6635" s="191" t="str">
        <f>IF('IWP22'!E$615=0,"",'IWP22'!E$615)</f>
        <v/>
      </c>
      <c r="D6635" s="211">
        <f>'IWP22'!G$615</f>
        <v>0</v>
      </c>
      <c r="E6635" s="211">
        <f>'IWP22'!H$615</f>
        <v>0</v>
      </c>
      <c r="F6635" s="211">
        <f>'IWP22'!I$615</f>
        <v>0</v>
      </c>
      <c r="G6635" s="191" t="str">
        <f>IF('IWP22'!J$615=0,"",'IWP22'!J$615)</f>
        <v/>
      </c>
      <c r="H6635" s="211">
        <f>'IWP22'!K$615</f>
        <v>0</v>
      </c>
      <c r="I6635" s="211">
        <f>'IWP22'!L$615</f>
        <v>0</v>
      </c>
      <c r="J6635" s="212">
        <f>'IWP22'!M$615</f>
        <v>0</v>
      </c>
      <c r="K6635" s="106"/>
      <c r="L6635" s="106"/>
      <c r="M6635" s="129"/>
    </row>
    <row r="6636" spans="1:13" s="146" customFormat="1">
      <c r="A6636" s="193" t="s">
        <v>520</v>
      </c>
      <c r="B6636" s="210">
        <v>17</v>
      </c>
      <c r="C6636" s="191" t="str">
        <f>IF('IWP22'!E$616=0,"",'IWP22'!E$616)</f>
        <v/>
      </c>
      <c r="D6636" s="211">
        <f>'IWP22'!G$616</f>
        <v>0</v>
      </c>
      <c r="E6636" s="211">
        <f>'IWP22'!H$616</f>
        <v>0</v>
      </c>
      <c r="F6636" s="211">
        <f>'IWP22'!I$616</f>
        <v>0</v>
      </c>
      <c r="G6636" s="191" t="str">
        <f>IF('IWP22'!J$616=0,"",'IWP22'!J$616)</f>
        <v/>
      </c>
      <c r="H6636" s="211">
        <f>'IWP22'!K$616</f>
        <v>0</v>
      </c>
      <c r="I6636" s="211">
        <f>'IWP22'!L$616</f>
        <v>0</v>
      </c>
      <c r="J6636" s="212">
        <f>'IWP22'!M$616</f>
        <v>0</v>
      </c>
      <c r="K6636" s="106"/>
      <c r="L6636" s="106"/>
      <c r="M6636" s="129"/>
    </row>
    <row r="6637" spans="1:13" s="146" customFormat="1">
      <c r="A6637" s="193" t="s">
        <v>520</v>
      </c>
      <c r="B6637" s="210">
        <v>17</v>
      </c>
      <c r="C6637" s="191" t="str">
        <f>IF('IWP22'!E$617=0,"",'IWP22'!E$617)</f>
        <v/>
      </c>
      <c r="D6637" s="211">
        <f>'IWP22'!G$617</f>
        <v>0</v>
      </c>
      <c r="E6637" s="211">
        <f>'IWP22'!H$617</f>
        <v>0</v>
      </c>
      <c r="F6637" s="211">
        <f>'IWP22'!I$617</f>
        <v>0</v>
      </c>
      <c r="G6637" s="191" t="str">
        <f>IF('IWP22'!J$617=0,"",'IWP22'!J$617)</f>
        <v/>
      </c>
      <c r="H6637" s="211">
        <f>'IWP22'!K$617</f>
        <v>0</v>
      </c>
      <c r="I6637" s="211">
        <f>'IWP22'!L$617</f>
        <v>0</v>
      </c>
      <c r="J6637" s="212">
        <f>'IWP22'!M$617</f>
        <v>0</v>
      </c>
      <c r="K6637" s="106"/>
      <c r="L6637" s="106"/>
      <c r="M6637" s="129"/>
    </row>
    <row r="6638" spans="1:13" s="146" customFormat="1">
      <c r="A6638" s="193" t="s">
        <v>520</v>
      </c>
      <c r="B6638" s="210">
        <v>17</v>
      </c>
      <c r="C6638" s="191" t="str">
        <f>IF('IWP22'!E$618=0,"",'IWP22'!E$618)</f>
        <v/>
      </c>
      <c r="D6638" s="211">
        <f>'IWP22'!G$618</f>
        <v>0</v>
      </c>
      <c r="E6638" s="211">
        <f>'IWP22'!H$618</f>
        <v>0</v>
      </c>
      <c r="F6638" s="211">
        <f>'IWP22'!I$618</f>
        <v>0</v>
      </c>
      <c r="G6638" s="191" t="str">
        <f>IF('IWP22'!J$618=0,"",'IWP22'!J$618)</f>
        <v/>
      </c>
      <c r="H6638" s="211">
        <f>'IWP22'!K$618</f>
        <v>0</v>
      </c>
      <c r="I6638" s="211">
        <f>'IWP22'!L$618</f>
        <v>0</v>
      </c>
      <c r="J6638" s="212">
        <f>'IWP22'!M$618</f>
        <v>0</v>
      </c>
      <c r="K6638" s="106"/>
      <c r="L6638" s="106"/>
      <c r="M6638" s="129"/>
    </row>
    <row r="6639" spans="1:13" s="146" customFormat="1">
      <c r="A6639" s="193" t="s">
        <v>520</v>
      </c>
      <c r="B6639" s="210">
        <v>17</v>
      </c>
      <c r="C6639" s="191" t="str">
        <f>IF('IWP22'!E$619=0,"",'IWP22'!E$619)</f>
        <v/>
      </c>
      <c r="D6639" s="211">
        <f>'IWP22'!G$619</f>
        <v>0</v>
      </c>
      <c r="E6639" s="211">
        <f>'IWP22'!H$619</f>
        <v>0</v>
      </c>
      <c r="F6639" s="211">
        <f>'IWP22'!I$619</f>
        <v>0</v>
      </c>
      <c r="G6639" s="191" t="str">
        <f>IF('IWP22'!J$619=0,"",'IWP22'!J$619)</f>
        <v/>
      </c>
      <c r="H6639" s="211">
        <f>'IWP22'!K$619</f>
        <v>0</v>
      </c>
      <c r="I6639" s="211">
        <f>'IWP22'!L$619</f>
        <v>0</v>
      </c>
      <c r="J6639" s="212">
        <f>'IWP22'!M$619</f>
        <v>0</v>
      </c>
      <c r="K6639" s="106"/>
      <c r="L6639" s="106"/>
      <c r="M6639" s="129"/>
    </row>
    <row r="6640" spans="1:13" s="146" customFormat="1">
      <c r="A6640" s="193" t="s">
        <v>520</v>
      </c>
      <c r="B6640" s="210">
        <v>17</v>
      </c>
      <c r="C6640" s="191" t="str">
        <f>IF('IWP22'!E$620=0,"",'IWP22'!E$620)</f>
        <v/>
      </c>
      <c r="D6640" s="211">
        <f>'IWP22'!G$620</f>
        <v>0</v>
      </c>
      <c r="E6640" s="211">
        <f>'IWP22'!H$620</f>
        <v>0</v>
      </c>
      <c r="F6640" s="211">
        <f>'IWP22'!I$620</f>
        <v>0</v>
      </c>
      <c r="G6640" s="191" t="str">
        <f>IF('IWP22'!J$620=0,"",'IWP22'!J$620)</f>
        <v/>
      </c>
      <c r="H6640" s="211">
        <f>'IWP22'!K$620</f>
        <v>0</v>
      </c>
      <c r="I6640" s="211">
        <f>'IWP22'!L$620</f>
        <v>0</v>
      </c>
      <c r="J6640" s="212">
        <f>'IWP22'!M$620</f>
        <v>0</v>
      </c>
      <c r="K6640" s="106"/>
      <c r="L6640" s="106"/>
      <c r="M6640" s="129"/>
    </row>
    <row r="6641" spans="1:13" s="146" customFormat="1">
      <c r="A6641" s="193" t="s">
        <v>520</v>
      </c>
      <c r="B6641" s="210">
        <v>18</v>
      </c>
      <c r="C6641" s="191" t="str">
        <f>IF('IWP22'!E$627=0,"",'IWP22'!E$627)</f>
        <v/>
      </c>
      <c r="D6641" s="211">
        <f>'IWP22'!G$627</f>
        <v>0</v>
      </c>
      <c r="E6641" s="211">
        <f>'IWP22'!H$627</f>
        <v>0</v>
      </c>
      <c r="F6641" s="211">
        <f>'IWP22'!I$627</f>
        <v>0</v>
      </c>
      <c r="G6641" s="191" t="str">
        <f>IF('IWP22'!J$627=0,"",'IWP22'!J$627)</f>
        <v/>
      </c>
      <c r="H6641" s="211">
        <f>'IWP22'!K$627</f>
        <v>0</v>
      </c>
      <c r="I6641" s="211">
        <f>'IWP22'!L$627</f>
        <v>0</v>
      </c>
      <c r="J6641" s="212">
        <f>'IWP22'!M$627</f>
        <v>0</v>
      </c>
      <c r="K6641" s="106"/>
      <c r="L6641" s="106"/>
      <c r="M6641" s="129"/>
    </row>
    <row r="6642" spans="1:13" s="146" customFormat="1">
      <c r="A6642" s="193" t="s">
        <v>520</v>
      </c>
      <c r="B6642" s="210">
        <v>18</v>
      </c>
      <c r="C6642" s="191" t="str">
        <f>IF('IWP22'!E$628=0,"",'IWP22'!E$628)</f>
        <v/>
      </c>
      <c r="D6642" s="211">
        <f>'IWP22'!G$628</f>
        <v>0</v>
      </c>
      <c r="E6642" s="211">
        <f>'IWP22'!H$628</f>
        <v>0</v>
      </c>
      <c r="F6642" s="211">
        <f>'IWP22'!I$628</f>
        <v>0</v>
      </c>
      <c r="G6642" s="191" t="str">
        <f>IF('IWP22'!J$628=0,"",'IWP22'!J$628)</f>
        <v/>
      </c>
      <c r="H6642" s="211">
        <f>'IWP22'!K$628</f>
        <v>0</v>
      </c>
      <c r="I6642" s="211">
        <f>'IWP22'!L$628</f>
        <v>0</v>
      </c>
      <c r="J6642" s="212">
        <f>'IWP22'!M$628</f>
        <v>0</v>
      </c>
      <c r="K6642" s="106"/>
      <c r="L6642" s="106"/>
      <c r="M6642" s="129"/>
    </row>
    <row r="6643" spans="1:13" s="146" customFormat="1">
      <c r="A6643" s="193" t="s">
        <v>520</v>
      </c>
      <c r="B6643" s="210">
        <v>18</v>
      </c>
      <c r="C6643" s="191" t="str">
        <f>IF('IWP22'!E$629=0,"",'IWP22'!E$629)</f>
        <v/>
      </c>
      <c r="D6643" s="211">
        <f>'IWP22'!G$629</f>
        <v>0</v>
      </c>
      <c r="E6643" s="211">
        <f>'IWP22'!H$629</f>
        <v>0</v>
      </c>
      <c r="F6643" s="211">
        <f>'IWP22'!I$629</f>
        <v>0</v>
      </c>
      <c r="G6643" s="191" t="str">
        <f>IF('IWP22'!J$629=0,"",'IWP22'!J$629)</f>
        <v/>
      </c>
      <c r="H6643" s="211">
        <f>'IWP22'!K$629</f>
        <v>0</v>
      </c>
      <c r="I6643" s="211">
        <f>'IWP22'!L$629</f>
        <v>0</v>
      </c>
      <c r="J6643" s="212">
        <f>'IWP22'!M$629</f>
        <v>0</v>
      </c>
      <c r="K6643" s="106"/>
      <c r="L6643" s="106"/>
      <c r="M6643" s="129"/>
    </row>
    <row r="6644" spans="1:13" s="146" customFormat="1">
      <c r="A6644" s="193" t="s">
        <v>520</v>
      </c>
      <c r="B6644" s="210">
        <v>18</v>
      </c>
      <c r="C6644" s="191" t="str">
        <f>IF('IWP22'!E$630=0,"",'IWP22'!E$630)</f>
        <v/>
      </c>
      <c r="D6644" s="211">
        <f>'IWP22'!G$630</f>
        <v>0</v>
      </c>
      <c r="E6644" s="211">
        <f>'IWP22'!H$630</f>
        <v>0</v>
      </c>
      <c r="F6644" s="211">
        <f>'IWP22'!I$630</f>
        <v>0</v>
      </c>
      <c r="G6644" s="191" t="str">
        <f>IF('IWP22'!J$630=0,"",'IWP22'!J$630)</f>
        <v/>
      </c>
      <c r="H6644" s="211">
        <f>'IWP22'!K$630</f>
        <v>0</v>
      </c>
      <c r="I6644" s="211">
        <f>'IWP22'!L$630</f>
        <v>0</v>
      </c>
      <c r="J6644" s="212">
        <f>'IWP22'!M$630</f>
        <v>0</v>
      </c>
      <c r="K6644" s="106"/>
      <c r="L6644" s="106"/>
      <c r="M6644" s="129"/>
    </row>
    <row r="6645" spans="1:13" s="146" customFormat="1">
      <c r="A6645" s="193" t="s">
        <v>520</v>
      </c>
      <c r="B6645" s="210">
        <v>18</v>
      </c>
      <c r="C6645" s="191" t="str">
        <f>IF('IWP22'!E$631=0,"",'IWP22'!E$631)</f>
        <v/>
      </c>
      <c r="D6645" s="211">
        <f>'IWP22'!G$631</f>
        <v>0</v>
      </c>
      <c r="E6645" s="211">
        <f>'IWP22'!H$631</f>
        <v>0</v>
      </c>
      <c r="F6645" s="211">
        <f>'IWP22'!I$631</f>
        <v>0</v>
      </c>
      <c r="G6645" s="191" t="str">
        <f>IF('IWP22'!J$631=0,"",'IWP22'!J$631)</f>
        <v/>
      </c>
      <c r="H6645" s="211">
        <f>'IWP22'!K$631</f>
        <v>0</v>
      </c>
      <c r="I6645" s="211">
        <f>'IWP22'!L$631</f>
        <v>0</v>
      </c>
      <c r="J6645" s="212">
        <f>'IWP22'!M$631</f>
        <v>0</v>
      </c>
      <c r="K6645" s="106"/>
      <c r="L6645" s="106"/>
      <c r="M6645" s="129"/>
    </row>
    <row r="6646" spans="1:13" s="146" customFormat="1">
      <c r="A6646" s="193" t="s">
        <v>520</v>
      </c>
      <c r="B6646" s="210">
        <v>18</v>
      </c>
      <c r="C6646" s="191" t="str">
        <f>IF('IWP22'!E$632=0,"",'IWP22'!E$632)</f>
        <v/>
      </c>
      <c r="D6646" s="211">
        <f>'IWP22'!G$632</f>
        <v>0</v>
      </c>
      <c r="E6646" s="211">
        <f>'IWP22'!H$632</f>
        <v>0</v>
      </c>
      <c r="F6646" s="211">
        <f>'IWP22'!I$632</f>
        <v>0</v>
      </c>
      <c r="G6646" s="191" t="str">
        <f>IF('IWP22'!J$632=0,"",'IWP22'!J$632)</f>
        <v/>
      </c>
      <c r="H6646" s="211">
        <f>'IWP22'!K$632</f>
        <v>0</v>
      </c>
      <c r="I6646" s="211">
        <f>'IWP22'!L$632</f>
        <v>0</v>
      </c>
      <c r="J6646" s="212">
        <f>'IWP22'!M$632</f>
        <v>0</v>
      </c>
      <c r="K6646" s="106"/>
      <c r="L6646" s="106"/>
      <c r="M6646" s="129"/>
    </row>
    <row r="6647" spans="1:13" s="146" customFormat="1">
      <c r="A6647" s="193" t="s">
        <v>520</v>
      </c>
      <c r="B6647" s="210">
        <v>18</v>
      </c>
      <c r="C6647" s="191" t="str">
        <f>IF('IWP22'!E$633=0,"",'IWP22'!E$633)</f>
        <v/>
      </c>
      <c r="D6647" s="211">
        <f>'IWP22'!G$633</f>
        <v>0</v>
      </c>
      <c r="E6647" s="211">
        <f>'IWP22'!H$633</f>
        <v>0</v>
      </c>
      <c r="F6647" s="211">
        <f>'IWP22'!I$633</f>
        <v>0</v>
      </c>
      <c r="G6647" s="191" t="str">
        <f>IF('IWP22'!J$633=0,"",'IWP22'!J$633)</f>
        <v/>
      </c>
      <c r="H6647" s="211">
        <f>'IWP22'!K$633</f>
        <v>0</v>
      </c>
      <c r="I6647" s="211">
        <f>'IWP22'!L$633</f>
        <v>0</v>
      </c>
      <c r="J6647" s="212">
        <f>'IWP22'!M$633</f>
        <v>0</v>
      </c>
      <c r="K6647" s="106"/>
      <c r="L6647" s="106"/>
      <c r="M6647" s="129"/>
    </row>
    <row r="6648" spans="1:13" s="146" customFormat="1">
      <c r="A6648" s="193" t="s">
        <v>520</v>
      </c>
      <c r="B6648" s="210">
        <v>18</v>
      </c>
      <c r="C6648" s="191" t="str">
        <f>IF('IWP22'!E$634=0,"",'IWP22'!E$634)</f>
        <v/>
      </c>
      <c r="D6648" s="211">
        <f>'IWP22'!G$634</f>
        <v>0</v>
      </c>
      <c r="E6648" s="211">
        <f>'IWP22'!H$634</f>
        <v>0</v>
      </c>
      <c r="F6648" s="211">
        <f>'IWP22'!I$634</f>
        <v>0</v>
      </c>
      <c r="G6648" s="191" t="str">
        <f>IF('IWP22'!J$634=0,"",'IWP22'!J$634)</f>
        <v/>
      </c>
      <c r="H6648" s="211">
        <f>'IWP22'!K$634</f>
        <v>0</v>
      </c>
      <c r="I6648" s="211">
        <f>'IWP22'!L$634</f>
        <v>0</v>
      </c>
      <c r="J6648" s="212">
        <f>'IWP22'!M$634</f>
        <v>0</v>
      </c>
      <c r="K6648" s="106"/>
      <c r="L6648" s="106"/>
      <c r="M6648" s="129"/>
    </row>
    <row r="6649" spans="1:13" s="146" customFormat="1">
      <c r="A6649" s="193" t="s">
        <v>520</v>
      </c>
      <c r="B6649" s="210">
        <v>18</v>
      </c>
      <c r="C6649" s="191" t="str">
        <f>IF('IWP22'!E$635=0,"",'IWP22'!E$635)</f>
        <v/>
      </c>
      <c r="D6649" s="211">
        <f>'IWP22'!G$635</f>
        <v>0</v>
      </c>
      <c r="E6649" s="211">
        <f>'IWP22'!H$635</f>
        <v>0</v>
      </c>
      <c r="F6649" s="211">
        <f>'IWP22'!I$635</f>
        <v>0</v>
      </c>
      <c r="G6649" s="191" t="str">
        <f>IF('IWP22'!J$635=0,"",'IWP22'!J$635)</f>
        <v/>
      </c>
      <c r="H6649" s="211">
        <f>'IWP22'!K$635</f>
        <v>0</v>
      </c>
      <c r="I6649" s="211">
        <f>'IWP22'!L$635</f>
        <v>0</v>
      </c>
      <c r="J6649" s="212">
        <f>'IWP22'!M$635</f>
        <v>0</v>
      </c>
      <c r="K6649" s="106"/>
      <c r="L6649" s="106"/>
      <c r="M6649" s="129"/>
    </row>
    <row r="6650" spans="1:13" s="146" customFormat="1">
      <c r="A6650" s="193" t="s">
        <v>520</v>
      </c>
      <c r="B6650" s="210">
        <v>18</v>
      </c>
      <c r="C6650" s="191" t="str">
        <f>IF('IWP22'!E$636=0,"",'IWP22'!E$636)</f>
        <v/>
      </c>
      <c r="D6650" s="211">
        <f>'IWP22'!G$636</f>
        <v>0</v>
      </c>
      <c r="E6650" s="211">
        <f>'IWP22'!H$636</f>
        <v>0</v>
      </c>
      <c r="F6650" s="211">
        <f>'IWP22'!I$636</f>
        <v>0</v>
      </c>
      <c r="G6650" s="191" t="str">
        <f>IF('IWP22'!J$636=0,"",'IWP22'!J$636)</f>
        <v/>
      </c>
      <c r="H6650" s="211">
        <f>'IWP22'!K$636</f>
        <v>0</v>
      </c>
      <c r="I6650" s="211">
        <f>'IWP22'!L$636</f>
        <v>0</v>
      </c>
      <c r="J6650" s="212">
        <f>'IWP22'!M$636</f>
        <v>0</v>
      </c>
      <c r="K6650" s="106"/>
      <c r="L6650" s="106"/>
      <c r="M6650" s="129"/>
    </row>
    <row r="6651" spans="1:13" s="146" customFormat="1">
      <c r="A6651" s="193" t="s">
        <v>521</v>
      </c>
      <c r="B6651" s="210">
        <v>1</v>
      </c>
      <c r="C6651" s="191" t="str">
        <f>IF('IWP23'!E$355=0,"",'IWP23'!E$355)</f>
        <v>Subtotal column D.</v>
      </c>
      <c r="D6651" s="211">
        <f>'IWP23'!G$355</f>
        <v>0</v>
      </c>
      <c r="E6651" s="211">
        <f>'IWP23'!H$355</f>
        <v>0</v>
      </c>
      <c r="F6651" s="211">
        <f>'IWP23'!I$355</f>
        <v>0</v>
      </c>
      <c r="G6651" s="191" t="str">
        <f>IF('IWP23'!J$355=0,"",'IWP23'!J$355)</f>
        <v/>
      </c>
      <c r="H6651" s="211">
        <f>'IWP23'!K$355</f>
        <v>0</v>
      </c>
      <c r="I6651" s="211">
        <f>'IWP23'!L$355</f>
        <v>0</v>
      </c>
      <c r="J6651" s="212">
        <f>'IWP23'!M$355</f>
        <v>0</v>
      </c>
      <c r="K6651" s="106"/>
      <c r="L6651" s="106"/>
      <c r="M6651" s="129"/>
    </row>
    <row r="6652" spans="1:13" s="146" customFormat="1">
      <c r="A6652" s="193" t="s">
        <v>521</v>
      </c>
      <c r="B6652" s="210">
        <v>1</v>
      </c>
      <c r="C6652" s="191" t="str">
        <f>IF('IWP23'!E$356=0,"",'IWP23'!E$356)</f>
        <v>Unverified/Undocumented (Subtotall D - C)</v>
      </c>
      <c r="D6652" s="211">
        <f>'IWP23'!G$356</f>
        <v>0</v>
      </c>
      <c r="E6652" s="211">
        <f>'IWP23'!H$356</f>
        <v>0</v>
      </c>
      <c r="F6652" s="211">
        <f>'IWP23'!I$356</f>
        <v>0</v>
      </c>
      <c r="G6652" s="191" t="str">
        <f>IF('IWP23'!J$356=0,"",'IWP23'!J$356)</f>
        <v/>
      </c>
      <c r="H6652" s="211">
        <f>'IWP23'!K$356</f>
        <v>0</v>
      </c>
      <c r="I6652" s="211">
        <f>'IWP23'!L$356</f>
        <v>0</v>
      </c>
      <c r="J6652" s="212">
        <f>'IWP23'!M$356</f>
        <v>0</v>
      </c>
      <c r="K6652" s="106"/>
      <c r="L6652" s="106"/>
      <c r="M6652" s="129"/>
    </row>
    <row r="6653" spans="1:13" s="146" customFormat="1">
      <c r="A6653" s="193" t="s">
        <v>521</v>
      </c>
      <c r="B6653" s="210">
        <v>1</v>
      </c>
      <c r="C6653" s="191" t="str">
        <f>IF('IWP23'!E$357=0,"",'IWP23'!E$357)</f>
        <v>J. Billing Period Total</v>
      </c>
      <c r="D6653" s="211">
        <f>'IWP23'!G$357</f>
        <v>0</v>
      </c>
      <c r="E6653" s="211">
        <f>'IWP23'!H$357</f>
        <v>0</v>
      </c>
      <c r="F6653" s="211">
        <f>'IWP23'!I$357</f>
        <v>0</v>
      </c>
      <c r="G6653" s="191" t="str">
        <f>IF('IWP23'!J$357=0,"",'IWP23'!J$357)</f>
        <v/>
      </c>
      <c r="H6653" s="211">
        <f>'IWP23'!K$357</f>
        <v>0</v>
      </c>
      <c r="I6653" s="211">
        <f>'IWP23'!L$357</f>
        <v>0</v>
      </c>
      <c r="J6653" s="212">
        <f>'IWP23'!M$357</f>
        <v>0</v>
      </c>
      <c r="K6653" s="106"/>
      <c r="L6653" s="106"/>
      <c r="M6653" s="129"/>
    </row>
    <row r="6654" spans="1:13" s="146" customFormat="1">
      <c r="A6654" s="193" t="s">
        <v>521</v>
      </c>
      <c r="B6654" s="210">
        <v>1</v>
      </c>
      <c r="C6654" s="191" t="str">
        <f>IF('IWP23'!E$358=0,"",'IWP23'!E$358)</f>
        <v>D.</v>
      </c>
      <c r="D6654" s="211">
        <f>'IWP23'!G$358</f>
        <v>0</v>
      </c>
      <c r="E6654" s="211" t="str">
        <f>'IWP23'!H$358</f>
        <v>E.</v>
      </c>
      <c r="F6654" s="211" t="str">
        <f>'IWP23'!I$358</f>
        <v>F.</v>
      </c>
      <c r="G6654" s="191" t="str">
        <f>IF('IWP23'!J$358=0,"",'IWP23'!J$358)</f>
        <v>G.</v>
      </c>
      <c r="H6654" s="211">
        <f>'IWP23'!K$358</f>
        <v>0</v>
      </c>
      <c r="I6654" s="211" t="str">
        <f>'IWP23'!L$358</f>
        <v>H.</v>
      </c>
      <c r="J6654" s="212" t="str">
        <f>'IWP23'!M$358</f>
        <v>I.</v>
      </c>
      <c r="K6654" s="106"/>
      <c r="L6654" s="106"/>
      <c r="M6654" s="129"/>
    </row>
    <row r="6655" spans="1:13" s="146" customFormat="1">
      <c r="A6655" s="193" t="s">
        <v>521</v>
      </c>
      <c r="B6655" s="210">
        <v>1</v>
      </c>
      <c r="C6655" s="191" t="str">
        <f>IF('IWP23'!E$359=0,"",'IWP23'!E$359)</f>
        <v xml:space="preserve">Items/Services Related to Billing Period </v>
      </c>
      <c r="D6655" s="211">
        <f>'IWP23'!G$359</f>
        <v>0</v>
      </c>
      <c r="E6655" s="211" t="str">
        <f>'IWP23'!H$359</f>
        <v xml:space="preserve">Item/
Service Verified Amounts
</v>
      </c>
      <c r="F6655" s="211" t="str">
        <f>'IWP23'!I$359</f>
        <v>Amount Due to DADS (E. - D.)</v>
      </c>
      <c r="G6655" s="191" t="str">
        <f>IF('IWP23'!J$359=0,"",'IWP23'!J$359)</f>
        <v>Amount Reimbursed to 
Employee(s)/Employer</v>
      </c>
      <c r="H6655" s="211">
        <f>'IWP23'!K$359</f>
        <v>0</v>
      </c>
      <c r="I6655" s="211" t="str">
        <f>'IWP23'!L$359</f>
        <v>Amount Due to Employee(s) (G. - E.)</v>
      </c>
      <c r="J6655" s="212" t="str">
        <f>'IWP23'!M$359</f>
        <v>Amount Due to Employer (G. - E.)</v>
      </c>
      <c r="K6655" s="106"/>
      <c r="L6655" s="106"/>
      <c r="M6655" s="129"/>
    </row>
    <row r="6656" spans="1:13" s="146" customFormat="1">
      <c r="A6656" s="193" t="s">
        <v>521</v>
      </c>
      <c r="B6656" s="210">
        <v>1</v>
      </c>
      <c r="C6656" s="191" t="str">
        <f>IF('IWP23'!E$360=0,"",'IWP23'!E$360)</f>
        <v>Item/Service</v>
      </c>
      <c r="D6656" s="211" t="str">
        <f>'IWP23'!G$360</f>
        <v>Itemized Amount Paid by DADS</v>
      </c>
      <c r="E6656" s="211">
        <f>'IWP23'!H$360</f>
        <v>0</v>
      </c>
      <c r="F6656" s="211">
        <f>'IWP23'!I$360</f>
        <v>0</v>
      </c>
      <c r="G6656" s="191" t="str">
        <f>IF('IWP23'!J$360=0,"",'IWP23'!J$360)</f>
        <v/>
      </c>
      <c r="H6656" s="211">
        <f>'IWP23'!K$360</f>
        <v>0</v>
      </c>
      <c r="I6656" s="211">
        <f>'IWP23'!L$360</f>
        <v>0</v>
      </c>
      <c r="J6656" s="212">
        <f>'IWP23'!M$360</f>
        <v>0</v>
      </c>
      <c r="K6656" s="106"/>
      <c r="L6656" s="106"/>
      <c r="M6656" s="129"/>
    </row>
    <row r="6657" spans="1:13" s="146" customFormat="1">
      <c r="A6657" s="193" t="s">
        <v>521</v>
      </c>
      <c r="B6657" s="210">
        <v>1</v>
      </c>
      <c r="C6657" s="191" t="str">
        <f>IF('IWP23'!E$361=0,"",'IWP23'!E$361)</f>
        <v/>
      </c>
      <c r="D6657" s="211">
        <f>'IWP23'!G$361</f>
        <v>0</v>
      </c>
      <c r="E6657" s="211">
        <f>'IWP23'!H$361</f>
        <v>0</v>
      </c>
      <c r="F6657" s="211">
        <f>'IWP23'!I$361</f>
        <v>0</v>
      </c>
      <c r="G6657" s="191" t="str">
        <f>IF('IWP23'!J$361=0,"",'IWP23'!J$361)</f>
        <v/>
      </c>
      <c r="H6657" s="211">
        <f>'IWP23'!K$361</f>
        <v>0</v>
      </c>
      <c r="I6657" s="211">
        <f>'IWP23'!L$361</f>
        <v>0</v>
      </c>
      <c r="J6657" s="212">
        <f>'IWP23'!M$361</f>
        <v>0</v>
      </c>
      <c r="K6657" s="106"/>
      <c r="L6657" s="106"/>
      <c r="M6657" s="129"/>
    </row>
    <row r="6658" spans="1:13" s="146" customFormat="1">
      <c r="A6658" s="193" t="s">
        <v>521</v>
      </c>
      <c r="B6658" s="210">
        <v>1</v>
      </c>
      <c r="C6658" s="191" t="str">
        <f>IF('IWP23'!E$362=0,"",'IWP23'!E$362)</f>
        <v/>
      </c>
      <c r="D6658" s="211">
        <f>'IWP23'!G$362</f>
        <v>0</v>
      </c>
      <c r="E6658" s="211">
        <f>'IWP23'!H$362</f>
        <v>0</v>
      </c>
      <c r="F6658" s="211">
        <f>'IWP23'!I$362</f>
        <v>0</v>
      </c>
      <c r="G6658" s="191" t="str">
        <f>IF('IWP23'!J$362=0,"",'IWP23'!J$362)</f>
        <v/>
      </c>
      <c r="H6658" s="211">
        <f>'IWP23'!K$362</f>
        <v>0</v>
      </c>
      <c r="I6658" s="211">
        <f>'IWP23'!L$362</f>
        <v>0</v>
      </c>
      <c r="J6658" s="212">
        <f>'IWP23'!M$362</f>
        <v>0</v>
      </c>
      <c r="K6658" s="106"/>
      <c r="L6658" s="106"/>
      <c r="M6658" s="129"/>
    </row>
    <row r="6659" spans="1:13" s="146" customFormat="1">
      <c r="A6659" s="193" t="s">
        <v>521</v>
      </c>
      <c r="B6659" s="210">
        <v>1</v>
      </c>
      <c r="C6659" s="191" t="str">
        <f>IF('IWP23'!E$363=0,"",'IWP23'!E$363)</f>
        <v/>
      </c>
      <c r="D6659" s="211">
        <f>'IWP23'!G$363</f>
        <v>0</v>
      </c>
      <c r="E6659" s="211">
        <f>'IWP23'!H$363</f>
        <v>0</v>
      </c>
      <c r="F6659" s="211">
        <f>'IWP23'!I$363</f>
        <v>0</v>
      </c>
      <c r="G6659" s="191" t="str">
        <f>IF('IWP23'!J$363=0,"",'IWP23'!J$363)</f>
        <v/>
      </c>
      <c r="H6659" s="211">
        <f>'IWP23'!K$363</f>
        <v>0</v>
      </c>
      <c r="I6659" s="211">
        <f>'IWP23'!L$363</f>
        <v>0</v>
      </c>
      <c r="J6659" s="212">
        <f>'IWP23'!M$363</f>
        <v>0</v>
      </c>
      <c r="K6659" s="106"/>
      <c r="L6659" s="106"/>
      <c r="M6659" s="129"/>
    </row>
    <row r="6660" spans="1:13" s="146" customFormat="1">
      <c r="A6660" s="193" t="s">
        <v>521</v>
      </c>
      <c r="B6660" s="210">
        <v>1</v>
      </c>
      <c r="C6660" s="191" t="str">
        <f>IF('IWP23'!E$364=0,"",'IWP23'!E$364)</f>
        <v/>
      </c>
      <c r="D6660" s="211">
        <f>'IWP23'!G$364</f>
        <v>0</v>
      </c>
      <c r="E6660" s="211">
        <f>'IWP23'!H$364</f>
        <v>0</v>
      </c>
      <c r="F6660" s="211">
        <f>'IWP23'!I$364</f>
        <v>0</v>
      </c>
      <c r="G6660" s="191" t="str">
        <f>IF('IWP23'!J$364=0,"",'IWP23'!J$364)</f>
        <v/>
      </c>
      <c r="H6660" s="211">
        <f>'IWP23'!K$364</f>
        <v>0</v>
      </c>
      <c r="I6660" s="211">
        <f>'IWP23'!L$364</f>
        <v>0</v>
      </c>
      <c r="J6660" s="212">
        <f>'IWP23'!M$364</f>
        <v>0</v>
      </c>
      <c r="K6660" s="106"/>
      <c r="L6660" s="106"/>
      <c r="M6660" s="129"/>
    </row>
    <row r="6661" spans="1:13" s="146" customFormat="1">
      <c r="A6661" s="193" t="s">
        <v>521</v>
      </c>
      <c r="B6661" s="210">
        <v>2</v>
      </c>
      <c r="C6661" s="191" t="str">
        <f>IF('IWP23'!E$371=0,"",'IWP23'!E$371)</f>
        <v>Subtotal column D.</v>
      </c>
      <c r="D6661" s="211">
        <f>'IWP23'!G$371</f>
        <v>0</v>
      </c>
      <c r="E6661" s="211">
        <f>'IWP23'!H$371</f>
        <v>0</v>
      </c>
      <c r="F6661" s="211">
        <f>'IWP23'!I$371</f>
        <v>0</v>
      </c>
      <c r="G6661" s="191" t="str">
        <f>IF('IWP23'!J$371=0,"",'IWP23'!J$371)</f>
        <v/>
      </c>
      <c r="H6661" s="211">
        <f>'IWP23'!K$371</f>
        <v>0</v>
      </c>
      <c r="I6661" s="211">
        <f>'IWP23'!L$371</f>
        <v>0</v>
      </c>
      <c r="J6661" s="212">
        <f>'IWP23'!M$371</f>
        <v>0</v>
      </c>
      <c r="K6661" s="106"/>
      <c r="L6661" s="106"/>
      <c r="M6661" s="129"/>
    </row>
    <row r="6662" spans="1:13" s="146" customFormat="1">
      <c r="A6662" s="193" t="s">
        <v>521</v>
      </c>
      <c r="B6662" s="210">
        <v>2</v>
      </c>
      <c r="C6662" s="191" t="str">
        <f>IF('IWP23'!E$372=0,"",'IWP23'!E$372)</f>
        <v>Unverified/Undocumented (Subtotal D - C)</v>
      </c>
      <c r="D6662" s="211">
        <f>'IWP23'!G$372</f>
        <v>0</v>
      </c>
      <c r="E6662" s="211">
        <f>'IWP23'!H$372</f>
        <v>0</v>
      </c>
      <c r="F6662" s="211">
        <f>'IWP23'!I$372</f>
        <v>0</v>
      </c>
      <c r="G6662" s="191" t="str">
        <f>IF('IWP23'!J$372=0,"",'IWP23'!J$372)</f>
        <v/>
      </c>
      <c r="H6662" s="211">
        <f>'IWP23'!K$372</f>
        <v>0</v>
      </c>
      <c r="I6662" s="211">
        <f>'IWP23'!L$372</f>
        <v>0</v>
      </c>
      <c r="J6662" s="212">
        <f>'IWP23'!M$372</f>
        <v>0</v>
      </c>
      <c r="K6662" s="106"/>
      <c r="L6662" s="106"/>
      <c r="M6662" s="129"/>
    </row>
    <row r="6663" spans="1:13" s="146" customFormat="1">
      <c r="A6663" s="193" t="s">
        <v>521</v>
      </c>
      <c r="B6663" s="210">
        <v>2</v>
      </c>
      <c r="C6663" s="191" t="str">
        <f>IF('IWP23'!E$373=0,"",'IWP23'!E$373)</f>
        <v>J. Billing Period Total</v>
      </c>
      <c r="D6663" s="211">
        <f>'IWP23'!G$373</f>
        <v>0</v>
      </c>
      <c r="E6663" s="211">
        <f>'IWP23'!H$373</f>
        <v>0</v>
      </c>
      <c r="F6663" s="211">
        <f>'IWP23'!I$373</f>
        <v>0</v>
      </c>
      <c r="G6663" s="191" t="str">
        <f>IF('IWP23'!J$373=0,"",'IWP23'!J$373)</f>
        <v/>
      </c>
      <c r="H6663" s="211">
        <f>'IWP23'!K$373</f>
        <v>0</v>
      </c>
      <c r="I6663" s="211">
        <f>'IWP23'!L$373</f>
        <v>0</v>
      </c>
      <c r="J6663" s="212">
        <f>'IWP23'!M$373</f>
        <v>0</v>
      </c>
      <c r="K6663" s="106"/>
      <c r="L6663" s="106"/>
      <c r="M6663" s="129"/>
    </row>
    <row r="6664" spans="1:13" s="146" customFormat="1">
      <c r="A6664" s="193" t="s">
        <v>521</v>
      </c>
      <c r="B6664" s="210">
        <v>2</v>
      </c>
      <c r="C6664" s="191" t="str">
        <f>IF('IWP23'!E$374=0,"",'IWP23'!E$374)</f>
        <v>D.</v>
      </c>
      <c r="D6664" s="211">
        <f>'IWP23'!G$374</f>
        <v>0</v>
      </c>
      <c r="E6664" s="211" t="str">
        <f>'IWP23'!H$374</f>
        <v>E.</v>
      </c>
      <c r="F6664" s="211" t="str">
        <f>'IWP23'!I$374</f>
        <v>F.</v>
      </c>
      <c r="G6664" s="191" t="str">
        <f>IF('IWP23'!J$374=0,"",'IWP23'!J$374)</f>
        <v>G.</v>
      </c>
      <c r="H6664" s="211">
        <f>'IWP23'!K$374</f>
        <v>0</v>
      </c>
      <c r="I6664" s="211" t="str">
        <f>'IWP23'!L$374</f>
        <v>H.</v>
      </c>
      <c r="J6664" s="212" t="str">
        <f>'IWP23'!M$374</f>
        <v>I.</v>
      </c>
      <c r="K6664" s="106"/>
      <c r="L6664" s="106"/>
      <c r="M6664" s="129"/>
    </row>
    <row r="6665" spans="1:13" s="146" customFormat="1">
      <c r="A6665" s="193" t="s">
        <v>521</v>
      </c>
      <c r="B6665" s="210">
        <v>2</v>
      </c>
      <c r="C6665" s="191" t="str">
        <f>IF('IWP23'!E$375=0,"",'IWP23'!E$375)</f>
        <v xml:space="preserve">Items/Services Related to Billing Period </v>
      </c>
      <c r="D6665" s="211">
        <f>'IWP23'!G$375</f>
        <v>0</v>
      </c>
      <c r="E6665" s="211" t="str">
        <f>'IWP23'!H$375</f>
        <v xml:space="preserve">Item/
Service Verified Amounts
</v>
      </c>
      <c r="F6665" s="211" t="str">
        <f>'IWP23'!I$375</f>
        <v>Amount Due to DADS (E. - D.)</v>
      </c>
      <c r="G6665" s="191" t="str">
        <f>IF('IWP23'!J$375=0,"",'IWP23'!J$375)</f>
        <v>Amount Reimbursed to 
Employee(s)/Employer</v>
      </c>
      <c r="H6665" s="211">
        <f>'IWP23'!K$375</f>
        <v>0</v>
      </c>
      <c r="I6665" s="211" t="str">
        <f>'IWP23'!L$375</f>
        <v>Amount Due to Employee(s) (G. - E.)</v>
      </c>
      <c r="J6665" s="212" t="str">
        <f>'IWP23'!M$375</f>
        <v>Amount Due to Employer (G. - E.)</v>
      </c>
      <c r="K6665" s="106"/>
      <c r="L6665" s="106"/>
      <c r="M6665" s="129"/>
    </row>
    <row r="6666" spans="1:13" s="146" customFormat="1">
      <c r="A6666" s="193" t="s">
        <v>521</v>
      </c>
      <c r="B6666" s="210">
        <v>2</v>
      </c>
      <c r="C6666" s="191" t="str">
        <f>IF('IWP23'!E$376=0,"",'IWP23'!E$376)</f>
        <v>Item/Service</v>
      </c>
      <c r="D6666" s="211" t="str">
        <f>'IWP23'!G$376</f>
        <v>Itemized Amount Paid by DADS</v>
      </c>
      <c r="E6666" s="211">
        <f>'IWP23'!H$376</f>
        <v>0</v>
      </c>
      <c r="F6666" s="211">
        <f>'IWP23'!I$376</f>
        <v>0</v>
      </c>
      <c r="G6666" s="191" t="str">
        <f>IF('IWP23'!J$376=0,"",'IWP23'!J$376)</f>
        <v/>
      </c>
      <c r="H6666" s="211">
        <f>'IWP23'!K$376</f>
        <v>0</v>
      </c>
      <c r="I6666" s="211">
        <f>'IWP23'!L$376</f>
        <v>0</v>
      </c>
      <c r="J6666" s="212">
        <f>'IWP23'!M$376</f>
        <v>0</v>
      </c>
      <c r="K6666" s="106"/>
      <c r="L6666" s="106"/>
      <c r="M6666" s="129"/>
    </row>
    <row r="6667" spans="1:13" s="146" customFormat="1">
      <c r="A6667" s="193" t="s">
        <v>521</v>
      </c>
      <c r="B6667" s="210">
        <v>2</v>
      </c>
      <c r="C6667" s="191" t="str">
        <f>IF('IWP23'!E$377=0,"",'IWP23'!E$377)</f>
        <v/>
      </c>
      <c r="D6667" s="211">
        <f>'IWP23'!G$377</f>
        <v>0</v>
      </c>
      <c r="E6667" s="211">
        <f>'IWP23'!H$377</f>
        <v>0</v>
      </c>
      <c r="F6667" s="211">
        <f>'IWP23'!I$377</f>
        <v>0</v>
      </c>
      <c r="G6667" s="191" t="str">
        <f>IF('IWP23'!J$377=0,"",'IWP23'!J$377)</f>
        <v/>
      </c>
      <c r="H6667" s="211">
        <f>'IWP23'!K$377</f>
        <v>0</v>
      </c>
      <c r="I6667" s="211">
        <f>'IWP23'!L$377</f>
        <v>0</v>
      </c>
      <c r="J6667" s="212">
        <f>'IWP23'!M$377</f>
        <v>0</v>
      </c>
      <c r="K6667" s="106"/>
      <c r="L6667" s="106"/>
      <c r="M6667" s="129"/>
    </row>
    <row r="6668" spans="1:13" s="146" customFormat="1">
      <c r="A6668" s="193" t="s">
        <v>521</v>
      </c>
      <c r="B6668" s="210">
        <v>2</v>
      </c>
      <c r="C6668" s="191" t="str">
        <f>IF('IWP23'!E$378=0,"",'IWP23'!E$378)</f>
        <v/>
      </c>
      <c r="D6668" s="211">
        <f>'IWP23'!G$378</f>
        <v>0</v>
      </c>
      <c r="E6668" s="211">
        <f>'IWP23'!H$378</f>
        <v>0</v>
      </c>
      <c r="F6668" s="211">
        <f>'IWP23'!I$378</f>
        <v>0</v>
      </c>
      <c r="G6668" s="191" t="str">
        <f>IF('IWP23'!J$378=0,"",'IWP23'!J$378)</f>
        <v/>
      </c>
      <c r="H6668" s="211">
        <f>'IWP23'!K$378</f>
        <v>0</v>
      </c>
      <c r="I6668" s="211">
        <f>'IWP23'!L$378</f>
        <v>0</v>
      </c>
      <c r="J6668" s="212">
        <f>'IWP23'!M$378</f>
        <v>0</v>
      </c>
      <c r="K6668" s="106"/>
      <c r="L6668" s="106"/>
      <c r="M6668" s="129"/>
    </row>
    <row r="6669" spans="1:13" s="146" customFormat="1">
      <c r="A6669" s="193" t="s">
        <v>521</v>
      </c>
      <c r="B6669" s="210">
        <v>2</v>
      </c>
      <c r="C6669" s="191" t="str">
        <f>IF('IWP23'!E$379=0,"",'IWP23'!E$379)</f>
        <v/>
      </c>
      <c r="D6669" s="211">
        <f>'IWP23'!G$379</f>
        <v>0</v>
      </c>
      <c r="E6669" s="211">
        <f>'IWP23'!H$379</f>
        <v>0</v>
      </c>
      <c r="F6669" s="211">
        <f>'IWP23'!I$379</f>
        <v>0</v>
      </c>
      <c r="G6669" s="191" t="str">
        <f>IF('IWP23'!J$379=0,"",'IWP23'!J$379)</f>
        <v/>
      </c>
      <c r="H6669" s="211">
        <f>'IWP23'!K$379</f>
        <v>0</v>
      </c>
      <c r="I6669" s="211">
        <f>'IWP23'!L$379</f>
        <v>0</v>
      </c>
      <c r="J6669" s="212">
        <f>'IWP23'!M$379</f>
        <v>0</v>
      </c>
      <c r="K6669" s="106"/>
      <c r="L6669" s="106"/>
      <c r="M6669" s="129"/>
    </row>
    <row r="6670" spans="1:13" s="146" customFormat="1">
      <c r="A6670" s="193" t="s">
        <v>521</v>
      </c>
      <c r="B6670" s="210">
        <v>2</v>
      </c>
      <c r="C6670" s="191" t="str">
        <f>IF('IWP23'!E$380=0,"",'IWP23'!E$380)</f>
        <v/>
      </c>
      <c r="D6670" s="211">
        <f>'IWP23'!G$380</f>
        <v>0</v>
      </c>
      <c r="E6670" s="211">
        <f>'IWP23'!H$380</f>
        <v>0</v>
      </c>
      <c r="F6670" s="211">
        <f>'IWP23'!I$380</f>
        <v>0</v>
      </c>
      <c r="G6670" s="191" t="str">
        <f>IF('IWP23'!J$380=0,"",'IWP23'!J$380)</f>
        <v/>
      </c>
      <c r="H6670" s="211">
        <f>'IWP23'!K$380</f>
        <v>0</v>
      </c>
      <c r="I6670" s="211">
        <f>'IWP23'!L$380</f>
        <v>0</v>
      </c>
      <c r="J6670" s="212">
        <f>'IWP23'!M$380</f>
        <v>0</v>
      </c>
      <c r="K6670" s="106"/>
      <c r="L6670" s="106"/>
      <c r="M6670" s="129"/>
    </row>
    <row r="6671" spans="1:13" s="146" customFormat="1">
      <c r="A6671" s="193" t="s">
        <v>521</v>
      </c>
      <c r="B6671" s="210">
        <v>3</v>
      </c>
      <c r="C6671" s="191" t="str">
        <f>IF('IWP23'!E$387=0,"",'IWP23'!E$387)</f>
        <v>Subtotal column D.</v>
      </c>
      <c r="D6671" s="211">
        <f>'IWP23'!G$387</f>
        <v>0</v>
      </c>
      <c r="E6671" s="211">
        <f>'IWP23'!H$387</f>
        <v>0</v>
      </c>
      <c r="F6671" s="211">
        <f>'IWP23'!I$387</f>
        <v>0</v>
      </c>
      <c r="G6671" s="191" t="str">
        <f>IF('IWP23'!J$387=0,"",'IWP23'!J$387)</f>
        <v/>
      </c>
      <c r="H6671" s="211">
        <f>'IWP23'!K$387</f>
        <v>0</v>
      </c>
      <c r="I6671" s="211">
        <f>'IWP23'!L$387</f>
        <v>0</v>
      </c>
      <c r="J6671" s="212">
        <f>'IWP23'!M$387</f>
        <v>0</v>
      </c>
      <c r="K6671" s="106"/>
      <c r="L6671" s="106"/>
      <c r="M6671" s="129"/>
    </row>
    <row r="6672" spans="1:13" s="146" customFormat="1">
      <c r="A6672" s="193" t="s">
        <v>521</v>
      </c>
      <c r="B6672" s="210">
        <v>3</v>
      </c>
      <c r="C6672" s="191" t="str">
        <f>IF('IWP23'!E$388=0,"",'IWP23'!E$388)</f>
        <v>Unverified/Undocumented (Subtotal D - C)</v>
      </c>
      <c r="D6672" s="211">
        <f>'IWP23'!G$388</f>
        <v>0</v>
      </c>
      <c r="E6672" s="211">
        <f>'IWP23'!H$388</f>
        <v>0</v>
      </c>
      <c r="F6672" s="211">
        <f>'IWP23'!I$388</f>
        <v>0</v>
      </c>
      <c r="G6672" s="191" t="str">
        <f>IF('IWP23'!J$388=0,"",'IWP23'!J$388)</f>
        <v/>
      </c>
      <c r="H6672" s="211">
        <f>'IWP23'!K$388</f>
        <v>0</v>
      </c>
      <c r="I6672" s="211">
        <f>'IWP23'!L$388</f>
        <v>0</v>
      </c>
      <c r="J6672" s="212">
        <f>'IWP23'!M$388</f>
        <v>0</v>
      </c>
      <c r="K6672" s="106"/>
      <c r="L6672" s="106"/>
      <c r="M6672" s="129"/>
    </row>
    <row r="6673" spans="1:13" s="146" customFormat="1">
      <c r="A6673" s="193" t="s">
        <v>521</v>
      </c>
      <c r="B6673" s="210">
        <v>3</v>
      </c>
      <c r="C6673" s="191" t="str">
        <f>IF('IWP23'!E$389=0,"",'IWP23'!E$389)</f>
        <v>J. Billing Period Total</v>
      </c>
      <c r="D6673" s="211">
        <f>'IWP23'!G$389</f>
        <v>0</v>
      </c>
      <c r="E6673" s="211">
        <f>'IWP23'!H$389</f>
        <v>0</v>
      </c>
      <c r="F6673" s="211">
        <f>'IWP23'!I$389</f>
        <v>0</v>
      </c>
      <c r="G6673" s="191" t="str">
        <f>IF('IWP23'!J$389=0,"",'IWP23'!J$389)</f>
        <v/>
      </c>
      <c r="H6673" s="211">
        <f>'IWP23'!K$389</f>
        <v>0</v>
      </c>
      <c r="I6673" s="211">
        <f>'IWP23'!L$389</f>
        <v>0</v>
      </c>
      <c r="J6673" s="212">
        <f>'IWP23'!M$389</f>
        <v>0</v>
      </c>
      <c r="K6673" s="106"/>
      <c r="L6673" s="106"/>
      <c r="M6673" s="129"/>
    </row>
    <row r="6674" spans="1:13" s="146" customFormat="1">
      <c r="A6674" s="193" t="s">
        <v>521</v>
      </c>
      <c r="B6674" s="210">
        <v>3</v>
      </c>
      <c r="C6674" s="191" t="str">
        <f>IF('IWP23'!E$390=0,"",'IWP23'!E$390)</f>
        <v>D.</v>
      </c>
      <c r="D6674" s="211">
        <f>'IWP23'!G$390</f>
        <v>0</v>
      </c>
      <c r="E6674" s="211" t="str">
        <f>'IWP23'!H$390</f>
        <v>E.</v>
      </c>
      <c r="F6674" s="211" t="str">
        <f>'IWP23'!I$390</f>
        <v>F.</v>
      </c>
      <c r="G6674" s="191" t="str">
        <f>IF('IWP23'!J$390=0,"",'IWP23'!J$390)</f>
        <v>G.</v>
      </c>
      <c r="H6674" s="211">
        <f>'IWP23'!K$390</f>
        <v>0</v>
      </c>
      <c r="I6674" s="211" t="str">
        <f>'IWP23'!L$390</f>
        <v>H.</v>
      </c>
      <c r="J6674" s="212" t="str">
        <f>'IWP23'!M$390</f>
        <v>I.</v>
      </c>
      <c r="K6674" s="106"/>
      <c r="L6674" s="106"/>
      <c r="M6674" s="129"/>
    </row>
    <row r="6675" spans="1:13" s="146" customFormat="1">
      <c r="A6675" s="193" t="s">
        <v>521</v>
      </c>
      <c r="B6675" s="210">
        <v>3</v>
      </c>
      <c r="C6675" s="191" t="str">
        <f>IF('IWP23'!E$391=0,"",'IWP23'!E$391)</f>
        <v xml:space="preserve">Items/Services Related to Billing Period </v>
      </c>
      <c r="D6675" s="211">
        <f>'IWP23'!G$391</f>
        <v>0</v>
      </c>
      <c r="E6675" s="211" t="str">
        <f>'IWP23'!H$391</f>
        <v xml:space="preserve">Item/
Service Verified Amounts
</v>
      </c>
      <c r="F6675" s="211" t="str">
        <f>'IWP23'!I$391</f>
        <v>Amount Due to DADS (E. - D.)</v>
      </c>
      <c r="G6675" s="191" t="str">
        <f>IF('IWP23'!J$391=0,"",'IWP23'!J$391)</f>
        <v>Amount Reimbursed to 
Employee(s)/Employer</v>
      </c>
      <c r="H6675" s="211">
        <f>'IWP23'!K$391</f>
        <v>0</v>
      </c>
      <c r="I6675" s="211" t="str">
        <f>'IWP23'!L$391</f>
        <v>Amount Due to Employee(s) (G. - E.)</v>
      </c>
      <c r="J6675" s="212" t="str">
        <f>'IWP23'!M$391</f>
        <v>Amount Due to Employer (G. - E.)</v>
      </c>
      <c r="K6675" s="106"/>
      <c r="L6675" s="106"/>
      <c r="M6675" s="129"/>
    </row>
    <row r="6676" spans="1:13" s="146" customFormat="1">
      <c r="A6676" s="193" t="s">
        <v>521</v>
      </c>
      <c r="B6676" s="210">
        <v>3</v>
      </c>
      <c r="C6676" s="191" t="str">
        <f>IF('IWP23'!E$392=0,"",'IWP23'!E$392)</f>
        <v>Item/Service</v>
      </c>
      <c r="D6676" s="211" t="str">
        <f>'IWP23'!G$392</f>
        <v>Itemized Amount Paid by DADS</v>
      </c>
      <c r="E6676" s="211">
        <f>'IWP23'!H$392</f>
        <v>0</v>
      </c>
      <c r="F6676" s="211">
        <f>'IWP23'!I$392</f>
        <v>0</v>
      </c>
      <c r="G6676" s="191" t="str">
        <f>IF('IWP23'!J$392=0,"",'IWP23'!J$392)</f>
        <v/>
      </c>
      <c r="H6676" s="211">
        <f>'IWP23'!K$392</f>
        <v>0</v>
      </c>
      <c r="I6676" s="211">
        <f>'IWP23'!L$392</f>
        <v>0</v>
      </c>
      <c r="J6676" s="212">
        <f>'IWP23'!M$392</f>
        <v>0</v>
      </c>
      <c r="K6676" s="106"/>
      <c r="L6676" s="106"/>
      <c r="M6676" s="129"/>
    </row>
    <row r="6677" spans="1:13" s="146" customFormat="1">
      <c r="A6677" s="193" t="s">
        <v>521</v>
      </c>
      <c r="B6677" s="210">
        <v>3</v>
      </c>
      <c r="C6677" s="191" t="str">
        <f>IF('IWP23'!E$393=0,"",'IWP23'!E$393)</f>
        <v/>
      </c>
      <c r="D6677" s="211">
        <f>'IWP23'!G$393</f>
        <v>0</v>
      </c>
      <c r="E6677" s="211">
        <f>'IWP23'!H$393</f>
        <v>0</v>
      </c>
      <c r="F6677" s="211">
        <f>'IWP23'!I$393</f>
        <v>0</v>
      </c>
      <c r="G6677" s="191" t="str">
        <f>IF('IWP23'!J$393=0,"",'IWP23'!J$393)</f>
        <v/>
      </c>
      <c r="H6677" s="211">
        <f>'IWP23'!K$393</f>
        <v>0</v>
      </c>
      <c r="I6677" s="211">
        <f>'IWP23'!L$393</f>
        <v>0</v>
      </c>
      <c r="J6677" s="212">
        <f>'IWP23'!M$393</f>
        <v>0</v>
      </c>
      <c r="K6677" s="106"/>
      <c r="L6677" s="106"/>
      <c r="M6677" s="129"/>
    </row>
    <row r="6678" spans="1:13" s="146" customFormat="1">
      <c r="A6678" s="193" t="s">
        <v>521</v>
      </c>
      <c r="B6678" s="210">
        <v>3</v>
      </c>
      <c r="C6678" s="191" t="str">
        <f>IF('IWP23'!E$394=0,"",'IWP23'!E$394)</f>
        <v/>
      </c>
      <c r="D6678" s="211">
        <f>'IWP23'!G$394</f>
        <v>0</v>
      </c>
      <c r="E6678" s="211">
        <f>'IWP23'!H$394</f>
        <v>0</v>
      </c>
      <c r="F6678" s="211">
        <f>'IWP23'!I$394</f>
        <v>0</v>
      </c>
      <c r="G6678" s="191" t="str">
        <f>IF('IWP23'!J$394=0,"",'IWP23'!J$394)</f>
        <v/>
      </c>
      <c r="H6678" s="211">
        <f>'IWP23'!K$394</f>
        <v>0</v>
      </c>
      <c r="I6678" s="211">
        <f>'IWP23'!L$394</f>
        <v>0</v>
      </c>
      <c r="J6678" s="212">
        <f>'IWP23'!M$394</f>
        <v>0</v>
      </c>
      <c r="K6678" s="106"/>
      <c r="L6678" s="106"/>
      <c r="M6678" s="129"/>
    </row>
    <row r="6679" spans="1:13" s="146" customFormat="1">
      <c r="A6679" s="193" t="s">
        <v>521</v>
      </c>
      <c r="B6679" s="210">
        <v>3</v>
      </c>
      <c r="C6679" s="191" t="str">
        <f>IF('IWP23'!E$395=0,"",'IWP23'!E$395)</f>
        <v/>
      </c>
      <c r="D6679" s="211">
        <f>'IWP23'!G$395</f>
        <v>0</v>
      </c>
      <c r="E6679" s="211">
        <f>'IWP23'!H$395</f>
        <v>0</v>
      </c>
      <c r="F6679" s="211">
        <f>'IWP23'!I$395</f>
        <v>0</v>
      </c>
      <c r="G6679" s="191" t="str">
        <f>IF('IWP23'!J$395=0,"",'IWP23'!J$395)</f>
        <v/>
      </c>
      <c r="H6679" s="211">
        <f>'IWP23'!K$395</f>
        <v>0</v>
      </c>
      <c r="I6679" s="211">
        <f>'IWP23'!L$395</f>
        <v>0</v>
      </c>
      <c r="J6679" s="212">
        <f>'IWP23'!M$395</f>
        <v>0</v>
      </c>
      <c r="K6679" s="106"/>
      <c r="L6679" s="106"/>
      <c r="M6679" s="129"/>
    </row>
    <row r="6680" spans="1:13" s="146" customFormat="1">
      <c r="A6680" s="193" t="s">
        <v>521</v>
      </c>
      <c r="B6680" s="210">
        <v>3</v>
      </c>
      <c r="C6680" s="191" t="str">
        <f>IF('IWP23'!E$396=0,"",'IWP23'!E$396)</f>
        <v/>
      </c>
      <c r="D6680" s="211">
        <f>'IWP23'!G$396</f>
        <v>0</v>
      </c>
      <c r="E6680" s="211">
        <f>'IWP23'!H$396</f>
        <v>0</v>
      </c>
      <c r="F6680" s="211">
        <f>'IWP23'!I$396</f>
        <v>0</v>
      </c>
      <c r="G6680" s="191" t="str">
        <f>IF('IWP23'!J$396=0,"",'IWP23'!J$396)</f>
        <v/>
      </c>
      <c r="H6680" s="211">
        <f>'IWP23'!K$396</f>
        <v>0</v>
      </c>
      <c r="I6680" s="211">
        <f>'IWP23'!L$396</f>
        <v>0</v>
      </c>
      <c r="J6680" s="212">
        <f>'IWP23'!M$396</f>
        <v>0</v>
      </c>
      <c r="K6680" s="106"/>
      <c r="L6680" s="106"/>
      <c r="M6680" s="129"/>
    </row>
    <row r="6681" spans="1:13" s="146" customFormat="1">
      <c r="A6681" s="193" t="s">
        <v>521</v>
      </c>
      <c r="B6681" s="210">
        <v>4</v>
      </c>
      <c r="C6681" s="191" t="str">
        <f>IF('IWP23'!E$403=0,"",'IWP23'!E$403)</f>
        <v>Subtotal column D.</v>
      </c>
      <c r="D6681" s="211">
        <f>'IWP23'!G$403</f>
        <v>0</v>
      </c>
      <c r="E6681" s="211">
        <f>'IWP23'!H$403</f>
        <v>0</v>
      </c>
      <c r="F6681" s="211">
        <f>'IWP23'!I$403</f>
        <v>0</v>
      </c>
      <c r="G6681" s="191" t="str">
        <f>IF('IWP23'!J$403=0,"",'IWP23'!J$403)</f>
        <v/>
      </c>
      <c r="H6681" s="211">
        <f>'IWP23'!K$403</f>
        <v>0</v>
      </c>
      <c r="I6681" s="211">
        <f>'IWP23'!L$403</f>
        <v>0</v>
      </c>
      <c r="J6681" s="212">
        <f>'IWP23'!M$403</f>
        <v>0</v>
      </c>
      <c r="K6681" s="106"/>
      <c r="L6681" s="106"/>
      <c r="M6681" s="129"/>
    </row>
    <row r="6682" spans="1:13" s="146" customFormat="1">
      <c r="A6682" s="193" t="s">
        <v>521</v>
      </c>
      <c r="B6682" s="210">
        <v>4</v>
      </c>
      <c r="C6682" s="191" t="str">
        <f>IF('IWP23'!E$404=0,"",'IWP23'!E$404)</f>
        <v>Unverified/Undocumented (Subtotal D - C)</v>
      </c>
      <c r="D6682" s="211">
        <f>'IWP23'!G$404</f>
        <v>0</v>
      </c>
      <c r="E6682" s="211">
        <f>'IWP23'!H$404</f>
        <v>0</v>
      </c>
      <c r="F6682" s="211">
        <f>'IWP23'!I$404</f>
        <v>0</v>
      </c>
      <c r="G6682" s="191" t="str">
        <f>IF('IWP23'!J$404=0,"",'IWP23'!J$404)</f>
        <v/>
      </c>
      <c r="H6682" s="211">
        <f>'IWP23'!K$404</f>
        <v>0</v>
      </c>
      <c r="I6682" s="211">
        <f>'IWP23'!L$404</f>
        <v>0</v>
      </c>
      <c r="J6682" s="212">
        <f>'IWP23'!M$404</f>
        <v>0</v>
      </c>
      <c r="K6682" s="106"/>
      <c r="L6682" s="106"/>
      <c r="M6682" s="129"/>
    </row>
    <row r="6683" spans="1:13" s="146" customFormat="1">
      <c r="A6683" s="193" t="s">
        <v>521</v>
      </c>
      <c r="B6683" s="210">
        <v>4</v>
      </c>
      <c r="C6683" s="191" t="str">
        <f>IF('IWP23'!E$405=0,"",'IWP23'!E$405)</f>
        <v>J. Billing Period Total</v>
      </c>
      <c r="D6683" s="211">
        <f>'IWP23'!G$405</f>
        <v>0</v>
      </c>
      <c r="E6683" s="211">
        <f>'IWP23'!H$405</f>
        <v>0</v>
      </c>
      <c r="F6683" s="211">
        <f>'IWP23'!I$405</f>
        <v>0</v>
      </c>
      <c r="G6683" s="191" t="str">
        <f>IF('IWP23'!J$405=0,"",'IWP23'!J$405)</f>
        <v/>
      </c>
      <c r="H6683" s="211">
        <f>'IWP23'!K$405</f>
        <v>0</v>
      </c>
      <c r="I6683" s="211">
        <f>'IWP23'!L$405</f>
        <v>0</v>
      </c>
      <c r="J6683" s="212">
        <f>'IWP23'!M$405</f>
        <v>0</v>
      </c>
      <c r="K6683" s="106"/>
      <c r="L6683" s="106"/>
      <c r="M6683" s="129"/>
    </row>
    <row r="6684" spans="1:13" s="146" customFormat="1">
      <c r="A6684" s="193" t="s">
        <v>521</v>
      </c>
      <c r="B6684" s="210">
        <v>4</v>
      </c>
      <c r="C6684" s="191" t="str">
        <f>IF('IWP23'!E$406=0,"",'IWP23'!E$406)</f>
        <v>D.</v>
      </c>
      <c r="D6684" s="211">
        <f>'IWP23'!G$406</f>
        <v>0</v>
      </c>
      <c r="E6684" s="211" t="str">
        <f>'IWP23'!H$406</f>
        <v>E.</v>
      </c>
      <c r="F6684" s="211" t="str">
        <f>'IWP23'!I$406</f>
        <v>F.</v>
      </c>
      <c r="G6684" s="191" t="str">
        <f>IF('IWP23'!J$406=0,"",'IWP23'!J$406)</f>
        <v>G.</v>
      </c>
      <c r="H6684" s="211">
        <f>'IWP23'!K$406</f>
        <v>0</v>
      </c>
      <c r="I6684" s="211" t="str">
        <f>'IWP23'!L$406</f>
        <v>H.</v>
      </c>
      <c r="J6684" s="212" t="str">
        <f>'IWP23'!M$406</f>
        <v>I.</v>
      </c>
      <c r="K6684" s="106"/>
      <c r="L6684" s="106"/>
      <c r="M6684" s="129"/>
    </row>
    <row r="6685" spans="1:13" s="146" customFormat="1">
      <c r="A6685" s="193" t="s">
        <v>521</v>
      </c>
      <c r="B6685" s="210">
        <v>4</v>
      </c>
      <c r="C6685" s="191" t="str">
        <f>IF('IWP23'!E$407=0,"",'IWP23'!E$407)</f>
        <v xml:space="preserve">Items/Services Related to Billing Period </v>
      </c>
      <c r="D6685" s="211">
        <f>'IWP23'!G$407</f>
        <v>0</v>
      </c>
      <c r="E6685" s="211" t="str">
        <f>'IWP23'!H$407</f>
        <v xml:space="preserve">Item/
Service Verified Amounts
</v>
      </c>
      <c r="F6685" s="211" t="str">
        <f>'IWP23'!I$407</f>
        <v>Amount Due to DADS (E. - D.)</v>
      </c>
      <c r="G6685" s="191" t="str">
        <f>IF('IWP23'!J$407=0,"",'IWP23'!J$407)</f>
        <v>Amount Reimbursed to 
Employee(s)/Employer</v>
      </c>
      <c r="H6685" s="211">
        <f>'IWP23'!K$407</f>
        <v>0</v>
      </c>
      <c r="I6685" s="211" t="str">
        <f>'IWP23'!L$407</f>
        <v>Amount Due to Employee(s) (G. - E.)</v>
      </c>
      <c r="J6685" s="212" t="str">
        <f>'IWP23'!M$407</f>
        <v>Amount Due to Employer (G. - E.)</v>
      </c>
      <c r="K6685" s="106"/>
      <c r="L6685" s="106"/>
      <c r="M6685" s="129"/>
    </row>
    <row r="6686" spans="1:13" s="146" customFormat="1">
      <c r="A6686" s="193" t="s">
        <v>521</v>
      </c>
      <c r="B6686" s="210">
        <v>4</v>
      </c>
      <c r="C6686" s="191" t="str">
        <f>IF('IWP23'!E$408=0,"",'IWP23'!E$408)</f>
        <v>Item/Service</v>
      </c>
      <c r="D6686" s="211" t="str">
        <f>'IWP23'!G$408</f>
        <v>Itemized Amount Paid by DADS</v>
      </c>
      <c r="E6686" s="211">
        <f>'IWP23'!H$408</f>
        <v>0</v>
      </c>
      <c r="F6686" s="211">
        <f>'IWP23'!I$408</f>
        <v>0</v>
      </c>
      <c r="G6686" s="191" t="str">
        <f>IF('IWP23'!J$408=0,"",'IWP23'!J$408)</f>
        <v/>
      </c>
      <c r="H6686" s="211">
        <f>'IWP23'!K$408</f>
        <v>0</v>
      </c>
      <c r="I6686" s="211">
        <f>'IWP23'!L$408</f>
        <v>0</v>
      </c>
      <c r="J6686" s="212">
        <f>'IWP23'!M$408</f>
        <v>0</v>
      </c>
      <c r="K6686" s="106"/>
      <c r="L6686" s="106"/>
      <c r="M6686" s="129"/>
    </row>
    <row r="6687" spans="1:13" s="146" customFormat="1">
      <c r="A6687" s="193" t="s">
        <v>521</v>
      </c>
      <c r="B6687" s="210">
        <v>4</v>
      </c>
      <c r="C6687" s="191" t="str">
        <f>IF('IWP23'!E$409=0,"",'IWP23'!E$409)</f>
        <v/>
      </c>
      <c r="D6687" s="211">
        <f>'IWP23'!G$409</f>
        <v>0</v>
      </c>
      <c r="E6687" s="211">
        <f>'IWP23'!H$409</f>
        <v>0</v>
      </c>
      <c r="F6687" s="211">
        <f>'IWP23'!I$409</f>
        <v>0</v>
      </c>
      <c r="G6687" s="191" t="str">
        <f>IF('IWP23'!J$409=0,"",'IWP23'!J$409)</f>
        <v/>
      </c>
      <c r="H6687" s="211">
        <f>'IWP23'!K$409</f>
        <v>0</v>
      </c>
      <c r="I6687" s="211">
        <f>'IWP23'!L$409</f>
        <v>0</v>
      </c>
      <c r="J6687" s="212">
        <f>'IWP23'!M$409</f>
        <v>0</v>
      </c>
      <c r="K6687" s="106"/>
      <c r="L6687" s="106"/>
      <c r="M6687" s="129"/>
    </row>
    <row r="6688" spans="1:13" s="146" customFormat="1">
      <c r="A6688" s="193" t="s">
        <v>521</v>
      </c>
      <c r="B6688" s="210">
        <v>4</v>
      </c>
      <c r="C6688" s="191" t="str">
        <f>IF('IWP23'!E$410=0,"",'IWP23'!E$410)</f>
        <v/>
      </c>
      <c r="D6688" s="211">
        <f>'IWP23'!G$410</f>
        <v>0</v>
      </c>
      <c r="E6688" s="211">
        <f>'IWP23'!H$410</f>
        <v>0</v>
      </c>
      <c r="F6688" s="211">
        <f>'IWP23'!I$410</f>
        <v>0</v>
      </c>
      <c r="G6688" s="191" t="str">
        <f>IF('IWP23'!J$410=0,"",'IWP23'!J$410)</f>
        <v/>
      </c>
      <c r="H6688" s="211">
        <f>'IWP23'!K$410</f>
        <v>0</v>
      </c>
      <c r="I6688" s="211">
        <f>'IWP23'!L$410</f>
        <v>0</v>
      </c>
      <c r="J6688" s="212">
        <f>'IWP23'!M$410</f>
        <v>0</v>
      </c>
      <c r="K6688" s="106"/>
      <c r="L6688" s="106"/>
      <c r="M6688" s="129"/>
    </row>
    <row r="6689" spans="1:13" s="146" customFormat="1">
      <c r="A6689" s="193" t="s">
        <v>521</v>
      </c>
      <c r="B6689" s="210">
        <v>4</v>
      </c>
      <c r="C6689" s="191" t="str">
        <f>IF('IWP23'!E$411=0,"",'IWP23'!E$411)</f>
        <v/>
      </c>
      <c r="D6689" s="211">
        <f>'IWP23'!G$411</f>
        <v>0</v>
      </c>
      <c r="E6689" s="211">
        <f>'IWP23'!H$411</f>
        <v>0</v>
      </c>
      <c r="F6689" s="211">
        <f>'IWP23'!I$411</f>
        <v>0</v>
      </c>
      <c r="G6689" s="191" t="str">
        <f>IF('IWP23'!J$411=0,"",'IWP23'!J$411)</f>
        <v/>
      </c>
      <c r="H6689" s="211">
        <f>'IWP23'!K$411</f>
        <v>0</v>
      </c>
      <c r="I6689" s="211">
        <f>'IWP23'!L$411</f>
        <v>0</v>
      </c>
      <c r="J6689" s="212">
        <f>'IWP23'!M$411</f>
        <v>0</v>
      </c>
      <c r="K6689" s="106"/>
      <c r="L6689" s="106"/>
      <c r="M6689" s="129"/>
    </row>
    <row r="6690" spans="1:13" s="146" customFormat="1">
      <c r="A6690" s="193" t="s">
        <v>521</v>
      </c>
      <c r="B6690" s="210">
        <v>4</v>
      </c>
      <c r="C6690" s="191" t="str">
        <f>IF('IWP23'!E$412=0,"",'IWP23'!E$412)</f>
        <v/>
      </c>
      <c r="D6690" s="211">
        <f>'IWP23'!G$412</f>
        <v>0</v>
      </c>
      <c r="E6690" s="211">
        <f>'IWP23'!H$412</f>
        <v>0</v>
      </c>
      <c r="F6690" s="211">
        <f>'IWP23'!I$412</f>
        <v>0</v>
      </c>
      <c r="G6690" s="191" t="str">
        <f>IF('IWP23'!J$412=0,"",'IWP23'!J$412)</f>
        <v/>
      </c>
      <c r="H6690" s="211">
        <f>'IWP23'!K$412</f>
        <v>0</v>
      </c>
      <c r="I6690" s="211">
        <f>'IWP23'!L$412</f>
        <v>0</v>
      </c>
      <c r="J6690" s="212">
        <f>'IWP23'!M$412</f>
        <v>0</v>
      </c>
      <c r="K6690" s="106"/>
      <c r="L6690" s="106"/>
      <c r="M6690" s="129"/>
    </row>
    <row r="6691" spans="1:13" s="146" customFormat="1">
      <c r="A6691" s="193" t="s">
        <v>521</v>
      </c>
      <c r="B6691" s="210">
        <v>5</v>
      </c>
      <c r="C6691" s="191" t="str">
        <f>IF('IWP23'!E$419=0,"",'IWP23'!E$419)</f>
        <v>Subtotal column D.</v>
      </c>
      <c r="D6691" s="211">
        <f>'IWP23'!G$419</f>
        <v>0</v>
      </c>
      <c r="E6691" s="211">
        <f>'IWP23'!H$419</f>
        <v>0</v>
      </c>
      <c r="F6691" s="211">
        <f>'IWP23'!I$419</f>
        <v>0</v>
      </c>
      <c r="G6691" s="191" t="str">
        <f>IF('IWP23'!J$419=0,"",'IWP23'!J$419)</f>
        <v/>
      </c>
      <c r="H6691" s="211">
        <f>'IWP23'!K$419</f>
        <v>0</v>
      </c>
      <c r="I6691" s="211">
        <f>'IWP23'!L$419</f>
        <v>0</v>
      </c>
      <c r="J6691" s="212">
        <f>'IWP23'!M$419</f>
        <v>0</v>
      </c>
      <c r="K6691" s="106"/>
      <c r="L6691" s="106"/>
      <c r="M6691" s="129"/>
    </row>
    <row r="6692" spans="1:13" s="146" customFormat="1">
      <c r="A6692" s="193" t="s">
        <v>521</v>
      </c>
      <c r="B6692" s="210">
        <v>5</v>
      </c>
      <c r="C6692" s="191" t="str">
        <f>IF('IWP23'!E$420=0,"",'IWP23'!E$420)</f>
        <v>Unverified/Undocumented (Subtotal D - C)</v>
      </c>
      <c r="D6692" s="211">
        <f>'IWP23'!G$420</f>
        <v>0</v>
      </c>
      <c r="E6692" s="211">
        <f>'IWP23'!H$420</f>
        <v>0</v>
      </c>
      <c r="F6692" s="211">
        <f>'IWP23'!I$420</f>
        <v>0</v>
      </c>
      <c r="G6692" s="191" t="str">
        <f>IF('IWP23'!J$420=0,"",'IWP23'!J$420)</f>
        <v/>
      </c>
      <c r="H6692" s="211">
        <f>'IWP23'!K$420</f>
        <v>0</v>
      </c>
      <c r="I6692" s="211">
        <f>'IWP23'!L$420</f>
        <v>0</v>
      </c>
      <c r="J6692" s="212">
        <f>'IWP23'!M$420</f>
        <v>0</v>
      </c>
      <c r="K6692" s="106"/>
      <c r="L6692" s="106"/>
      <c r="M6692" s="129"/>
    </row>
    <row r="6693" spans="1:13" s="146" customFormat="1">
      <c r="A6693" s="193" t="s">
        <v>521</v>
      </c>
      <c r="B6693" s="210">
        <v>5</v>
      </c>
      <c r="C6693" s="191" t="str">
        <f>IF('IWP23'!E$421=0,"",'IWP23'!E$421)</f>
        <v>J. Billing Period Total</v>
      </c>
      <c r="D6693" s="211">
        <f>'IWP23'!G$421</f>
        <v>0</v>
      </c>
      <c r="E6693" s="211">
        <f>'IWP23'!H$421</f>
        <v>0</v>
      </c>
      <c r="F6693" s="211">
        <f>'IWP23'!I$421</f>
        <v>0</v>
      </c>
      <c r="G6693" s="191" t="str">
        <f>IF('IWP23'!J$421=0,"",'IWP23'!J$421)</f>
        <v/>
      </c>
      <c r="H6693" s="211">
        <f>'IWP23'!K$421</f>
        <v>0</v>
      </c>
      <c r="I6693" s="211">
        <f>'IWP23'!L$421</f>
        <v>0</v>
      </c>
      <c r="J6693" s="212">
        <f>'IWP23'!M$421</f>
        <v>0</v>
      </c>
      <c r="K6693" s="106"/>
      <c r="L6693" s="106"/>
      <c r="M6693" s="129"/>
    </row>
    <row r="6694" spans="1:13" s="146" customFormat="1">
      <c r="A6694" s="193" t="s">
        <v>521</v>
      </c>
      <c r="B6694" s="210">
        <v>5</v>
      </c>
      <c r="C6694" s="191" t="str">
        <f>IF('IWP23'!E$422=0,"",'IWP23'!E$422)</f>
        <v>D.</v>
      </c>
      <c r="D6694" s="211">
        <f>'IWP23'!G$422</f>
        <v>0</v>
      </c>
      <c r="E6694" s="211" t="str">
        <f>'IWP23'!H$422</f>
        <v>E.</v>
      </c>
      <c r="F6694" s="211" t="str">
        <f>'IWP23'!I$422</f>
        <v>F.</v>
      </c>
      <c r="G6694" s="191" t="str">
        <f>IF('IWP23'!J$422=0,"",'IWP23'!J$422)</f>
        <v>G.</v>
      </c>
      <c r="H6694" s="211">
        <f>'IWP23'!K$422</f>
        <v>0</v>
      </c>
      <c r="I6694" s="211" t="str">
        <f>'IWP23'!L$422</f>
        <v>H.</v>
      </c>
      <c r="J6694" s="212" t="str">
        <f>'IWP23'!M$422</f>
        <v>I.</v>
      </c>
      <c r="K6694" s="106"/>
      <c r="L6694" s="106"/>
      <c r="M6694" s="129"/>
    </row>
    <row r="6695" spans="1:13" s="146" customFormat="1">
      <c r="A6695" s="193" t="s">
        <v>521</v>
      </c>
      <c r="B6695" s="210">
        <v>5</v>
      </c>
      <c r="C6695" s="191" t="str">
        <f>IF('IWP23'!E$423=0,"",'IWP23'!E$423)</f>
        <v xml:space="preserve">Items/Services Related to Billing Period </v>
      </c>
      <c r="D6695" s="211">
        <f>'IWP23'!G$423</f>
        <v>0</v>
      </c>
      <c r="E6695" s="211" t="str">
        <f>'IWP23'!H$423</f>
        <v xml:space="preserve">Item/
Service Verified Amounts
</v>
      </c>
      <c r="F6695" s="211" t="str">
        <f>'IWP23'!I$423</f>
        <v>Amount Due to DADS (E. - D.)</v>
      </c>
      <c r="G6695" s="191" t="str">
        <f>IF('IWP23'!J$423=0,"",'IWP23'!J$423)</f>
        <v>Amount Reimbursed to 
Employee(s)/Employer</v>
      </c>
      <c r="H6695" s="211">
        <f>'IWP23'!K$423</f>
        <v>0</v>
      </c>
      <c r="I6695" s="211" t="str">
        <f>'IWP23'!L$423</f>
        <v>Amount Due to Employee(s) (G. - E.)</v>
      </c>
      <c r="J6695" s="212" t="str">
        <f>'IWP23'!M$423</f>
        <v>Amount Due to Employer (G. - E.)</v>
      </c>
      <c r="K6695" s="106"/>
      <c r="L6695" s="106"/>
      <c r="M6695" s="129"/>
    </row>
    <row r="6696" spans="1:13" s="146" customFormat="1">
      <c r="A6696" s="193" t="s">
        <v>521</v>
      </c>
      <c r="B6696" s="210">
        <v>5</v>
      </c>
      <c r="C6696" s="191" t="str">
        <f>IF('IWP23'!E$424=0,"",'IWP23'!E$424)</f>
        <v>Item/Service</v>
      </c>
      <c r="D6696" s="211" t="str">
        <f>'IWP23'!G$424</f>
        <v>Itemized Amount Paid by DADS</v>
      </c>
      <c r="E6696" s="211">
        <f>'IWP23'!H$424</f>
        <v>0</v>
      </c>
      <c r="F6696" s="211">
        <f>'IWP23'!I$424</f>
        <v>0</v>
      </c>
      <c r="G6696" s="191" t="str">
        <f>IF('IWP23'!J$424=0,"",'IWP23'!J$424)</f>
        <v/>
      </c>
      <c r="H6696" s="211">
        <f>'IWP23'!K$424</f>
        <v>0</v>
      </c>
      <c r="I6696" s="211">
        <f>'IWP23'!L$424</f>
        <v>0</v>
      </c>
      <c r="J6696" s="212">
        <f>'IWP23'!M$424</f>
        <v>0</v>
      </c>
      <c r="K6696" s="106"/>
      <c r="L6696" s="106"/>
      <c r="M6696" s="129"/>
    </row>
    <row r="6697" spans="1:13" s="146" customFormat="1">
      <c r="A6697" s="193" t="s">
        <v>521</v>
      </c>
      <c r="B6697" s="210">
        <v>5</v>
      </c>
      <c r="C6697" s="191" t="str">
        <f>IF('IWP23'!E$425=0,"",'IWP23'!E$425)</f>
        <v/>
      </c>
      <c r="D6697" s="211">
        <f>'IWP23'!G$425</f>
        <v>0</v>
      </c>
      <c r="E6697" s="211">
        <f>'IWP23'!H$425</f>
        <v>0</v>
      </c>
      <c r="F6697" s="211">
        <f>'IWP23'!I$425</f>
        <v>0</v>
      </c>
      <c r="G6697" s="191" t="str">
        <f>IF('IWP23'!J$425=0,"",'IWP23'!J$425)</f>
        <v/>
      </c>
      <c r="H6697" s="211">
        <f>'IWP23'!K$425</f>
        <v>0</v>
      </c>
      <c r="I6697" s="211">
        <f>'IWP23'!L$425</f>
        <v>0</v>
      </c>
      <c r="J6697" s="212">
        <f>'IWP23'!M$425</f>
        <v>0</v>
      </c>
      <c r="K6697" s="106"/>
      <c r="L6697" s="106"/>
      <c r="M6697" s="129"/>
    </row>
    <row r="6698" spans="1:13" s="146" customFormat="1">
      <c r="A6698" s="193" t="s">
        <v>521</v>
      </c>
      <c r="B6698" s="210">
        <v>5</v>
      </c>
      <c r="C6698" s="191" t="str">
        <f>IF('IWP23'!E$426=0,"",'IWP23'!E$426)</f>
        <v/>
      </c>
      <c r="D6698" s="211">
        <f>'IWP23'!G$426</f>
        <v>0</v>
      </c>
      <c r="E6698" s="211">
        <f>'IWP23'!H$426</f>
        <v>0</v>
      </c>
      <c r="F6698" s="211">
        <f>'IWP23'!I$426</f>
        <v>0</v>
      </c>
      <c r="G6698" s="191" t="str">
        <f>IF('IWP23'!J$426=0,"",'IWP23'!J$426)</f>
        <v/>
      </c>
      <c r="H6698" s="211">
        <f>'IWP23'!K$426</f>
        <v>0</v>
      </c>
      <c r="I6698" s="211">
        <f>'IWP23'!L$426</f>
        <v>0</v>
      </c>
      <c r="J6698" s="212">
        <f>'IWP23'!M$426</f>
        <v>0</v>
      </c>
      <c r="K6698" s="106"/>
      <c r="L6698" s="106"/>
      <c r="M6698" s="129"/>
    </row>
    <row r="6699" spans="1:13" s="146" customFormat="1">
      <c r="A6699" s="193" t="s">
        <v>521</v>
      </c>
      <c r="B6699" s="210">
        <v>5</v>
      </c>
      <c r="C6699" s="191" t="str">
        <f>IF('IWP23'!E$427=0,"",'IWP23'!E$427)</f>
        <v/>
      </c>
      <c r="D6699" s="211">
        <f>'IWP23'!G$427</f>
        <v>0</v>
      </c>
      <c r="E6699" s="211">
        <f>'IWP23'!H$427</f>
        <v>0</v>
      </c>
      <c r="F6699" s="211">
        <f>'IWP23'!I$427</f>
        <v>0</v>
      </c>
      <c r="G6699" s="191" t="str">
        <f>IF('IWP23'!J$427=0,"",'IWP23'!J$427)</f>
        <v/>
      </c>
      <c r="H6699" s="211">
        <f>'IWP23'!K$427</f>
        <v>0</v>
      </c>
      <c r="I6699" s="211">
        <f>'IWP23'!L$427</f>
        <v>0</v>
      </c>
      <c r="J6699" s="212">
        <f>'IWP23'!M$427</f>
        <v>0</v>
      </c>
      <c r="K6699" s="106"/>
      <c r="L6699" s="106"/>
      <c r="M6699" s="129"/>
    </row>
    <row r="6700" spans="1:13" s="146" customFormat="1">
      <c r="A6700" s="193" t="s">
        <v>521</v>
      </c>
      <c r="B6700" s="210">
        <v>5</v>
      </c>
      <c r="C6700" s="191" t="str">
        <f>IF('IWP23'!E$428=0,"",'IWP23'!E$428)</f>
        <v/>
      </c>
      <c r="D6700" s="211">
        <f>'IWP23'!G$428</f>
        <v>0</v>
      </c>
      <c r="E6700" s="211">
        <f>'IWP23'!H$428</f>
        <v>0</v>
      </c>
      <c r="F6700" s="211">
        <f>'IWP23'!I$428</f>
        <v>0</v>
      </c>
      <c r="G6700" s="191" t="str">
        <f>IF('IWP23'!J$428=0,"",'IWP23'!J$428)</f>
        <v/>
      </c>
      <c r="H6700" s="211">
        <f>'IWP23'!K$428</f>
        <v>0</v>
      </c>
      <c r="I6700" s="211">
        <f>'IWP23'!L$428</f>
        <v>0</v>
      </c>
      <c r="J6700" s="212">
        <f>'IWP23'!M$428</f>
        <v>0</v>
      </c>
      <c r="K6700" s="106"/>
      <c r="L6700" s="106"/>
      <c r="M6700" s="129"/>
    </row>
    <row r="6701" spans="1:13" s="146" customFormat="1">
      <c r="A6701" s="193" t="s">
        <v>521</v>
      </c>
      <c r="B6701" s="210">
        <v>6</v>
      </c>
      <c r="C6701" s="191" t="str">
        <f>IF('IWP23'!E$435=0,"",'IWP23'!E$435)</f>
        <v>Subtotal column D.</v>
      </c>
      <c r="D6701" s="211">
        <f>'IWP23'!G$435</f>
        <v>0</v>
      </c>
      <c r="E6701" s="211">
        <f>'IWP23'!H$435</f>
        <v>0</v>
      </c>
      <c r="F6701" s="211">
        <f>'IWP23'!I$435</f>
        <v>0</v>
      </c>
      <c r="G6701" s="191" t="str">
        <f>IF('IWP23'!J$435=0,"",'IWP23'!J$435)</f>
        <v/>
      </c>
      <c r="H6701" s="211">
        <f>'IWP23'!K$435</f>
        <v>0</v>
      </c>
      <c r="I6701" s="211">
        <f>'IWP23'!L$435</f>
        <v>0</v>
      </c>
      <c r="J6701" s="212">
        <f>'IWP23'!M$435</f>
        <v>0</v>
      </c>
      <c r="K6701" s="106"/>
      <c r="L6701" s="106"/>
      <c r="M6701" s="129"/>
    </row>
    <row r="6702" spans="1:13" s="146" customFormat="1">
      <c r="A6702" s="193" t="s">
        <v>521</v>
      </c>
      <c r="B6702" s="210">
        <v>6</v>
      </c>
      <c r="C6702" s="191" t="str">
        <f>IF('IWP23'!E$436=0,"",'IWP23'!E$436)</f>
        <v>Unverified/Undocumented (Subtotal D - C)</v>
      </c>
      <c r="D6702" s="211">
        <f>'IWP23'!G$436</f>
        <v>0</v>
      </c>
      <c r="E6702" s="211">
        <f>'IWP23'!H$436</f>
        <v>0</v>
      </c>
      <c r="F6702" s="211">
        <f>'IWP23'!I$436</f>
        <v>0</v>
      </c>
      <c r="G6702" s="191" t="str">
        <f>IF('IWP23'!J$436=0,"",'IWP23'!J$436)</f>
        <v/>
      </c>
      <c r="H6702" s="211">
        <f>'IWP23'!K$436</f>
        <v>0</v>
      </c>
      <c r="I6702" s="211">
        <f>'IWP23'!L$436</f>
        <v>0</v>
      </c>
      <c r="J6702" s="212">
        <f>'IWP23'!M$436</f>
        <v>0</v>
      </c>
      <c r="K6702" s="106"/>
      <c r="L6702" s="106"/>
      <c r="M6702" s="129"/>
    </row>
    <row r="6703" spans="1:13" s="146" customFormat="1">
      <c r="A6703" s="193" t="s">
        <v>521</v>
      </c>
      <c r="B6703" s="210">
        <v>6</v>
      </c>
      <c r="C6703" s="191" t="str">
        <f>IF('IWP23'!E$437=0,"",'IWP23'!E$437)</f>
        <v>J. Billing Period Total</v>
      </c>
      <c r="D6703" s="211">
        <f>'IWP23'!G$437</f>
        <v>0</v>
      </c>
      <c r="E6703" s="211">
        <f>'IWP23'!H$437</f>
        <v>0</v>
      </c>
      <c r="F6703" s="211">
        <f>'IWP23'!I$437</f>
        <v>0</v>
      </c>
      <c r="G6703" s="191" t="str">
        <f>IF('IWP23'!J$437=0,"",'IWP23'!J$437)</f>
        <v/>
      </c>
      <c r="H6703" s="211">
        <f>'IWP23'!K$437</f>
        <v>0</v>
      </c>
      <c r="I6703" s="211">
        <f>'IWP23'!L$437</f>
        <v>0</v>
      </c>
      <c r="J6703" s="212">
        <f>'IWP23'!M$437</f>
        <v>0</v>
      </c>
      <c r="K6703" s="106"/>
      <c r="L6703" s="106"/>
      <c r="M6703" s="129"/>
    </row>
    <row r="6704" spans="1:13" s="146" customFormat="1">
      <c r="A6704" s="193" t="s">
        <v>521</v>
      </c>
      <c r="B6704" s="210">
        <v>6</v>
      </c>
      <c r="C6704" s="191" t="str">
        <f>IF('IWP23'!E$438=0,"",'IWP23'!E$438)</f>
        <v>D.</v>
      </c>
      <c r="D6704" s="211">
        <f>'IWP23'!G$438</f>
        <v>0</v>
      </c>
      <c r="E6704" s="211" t="str">
        <f>'IWP23'!H$438</f>
        <v>E.</v>
      </c>
      <c r="F6704" s="211" t="str">
        <f>'IWP23'!I$438</f>
        <v>F.</v>
      </c>
      <c r="G6704" s="191" t="str">
        <f>IF('IWP23'!J$438=0,"",'IWP23'!J$438)</f>
        <v>G.</v>
      </c>
      <c r="H6704" s="211">
        <f>'IWP23'!K$438</f>
        <v>0</v>
      </c>
      <c r="I6704" s="211" t="str">
        <f>'IWP23'!L$438</f>
        <v>H.</v>
      </c>
      <c r="J6704" s="212" t="str">
        <f>'IWP23'!M$438</f>
        <v>I.</v>
      </c>
      <c r="K6704" s="106"/>
      <c r="L6704" s="106"/>
      <c r="M6704" s="129"/>
    </row>
    <row r="6705" spans="1:13" s="146" customFormat="1">
      <c r="A6705" s="193" t="s">
        <v>521</v>
      </c>
      <c r="B6705" s="210">
        <v>6</v>
      </c>
      <c r="C6705" s="191" t="str">
        <f>IF('IWP23'!E$439=0,"",'IWP23'!E$439)</f>
        <v xml:space="preserve">Items/Services Related to Billing Period </v>
      </c>
      <c r="D6705" s="211">
        <f>'IWP23'!G$439</f>
        <v>0</v>
      </c>
      <c r="E6705" s="211" t="str">
        <f>'IWP23'!H$439</f>
        <v xml:space="preserve">Item/
Service Verified Amounts
</v>
      </c>
      <c r="F6705" s="211" t="str">
        <f>'IWP23'!I$439</f>
        <v>Amount Due to DADS (E. - D.)</v>
      </c>
      <c r="G6705" s="191" t="str">
        <f>IF('IWP23'!J$439=0,"",'IWP23'!J$439)</f>
        <v>Amount Reimbursed to 
Employee(s)/Employer</v>
      </c>
      <c r="H6705" s="211">
        <f>'IWP23'!K$439</f>
        <v>0</v>
      </c>
      <c r="I6705" s="211" t="str">
        <f>'IWP23'!L$439</f>
        <v>Amount Due to Employee(s) (G. - E.)</v>
      </c>
      <c r="J6705" s="212" t="str">
        <f>'IWP23'!M$439</f>
        <v>Amount Due to Employer (G. - E.)</v>
      </c>
      <c r="K6705" s="106"/>
      <c r="L6705" s="106"/>
      <c r="M6705" s="129"/>
    </row>
    <row r="6706" spans="1:13" s="146" customFormat="1">
      <c r="A6706" s="193" t="s">
        <v>521</v>
      </c>
      <c r="B6706" s="210">
        <v>6</v>
      </c>
      <c r="C6706" s="191" t="str">
        <f>IF('IWP23'!E$440=0,"",'IWP23'!E$440)</f>
        <v>Item/Service</v>
      </c>
      <c r="D6706" s="211" t="str">
        <f>'IWP23'!G$440</f>
        <v>Itemized Amount Paid by DADS</v>
      </c>
      <c r="E6706" s="211">
        <f>'IWP23'!H$440</f>
        <v>0</v>
      </c>
      <c r="F6706" s="211">
        <f>'IWP23'!I$440</f>
        <v>0</v>
      </c>
      <c r="G6706" s="191" t="str">
        <f>IF('IWP23'!J$440=0,"",'IWP23'!J$440)</f>
        <v/>
      </c>
      <c r="H6706" s="211">
        <f>'IWP23'!K$440</f>
        <v>0</v>
      </c>
      <c r="I6706" s="211">
        <f>'IWP23'!L$440</f>
        <v>0</v>
      </c>
      <c r="J6706" s="212">
        <f>'IWP23'!M$440</f>
        <v>0</v>
      </c>
      <c r="K6706" s="106"/>
      <c r="L6706" s="106"/>
      <c r="M6706" s="129"/>
    </row>
    <row r="6707" spans="1:13" s="146" customFormat="1">
      <c r="A6707" s="193" t="s">
        <v>521</v>
      </c>
      <c r="B6707" s="210">
        <v>6</v>
      </c>
      <c r="C6707" s="191" t="str">
        <f>IF('IWP23'!E$441=0,"",'IWP23'!E$441)</f>
        <v/>
      </c>
      <c r="D6707" s="211">
        <f>'IWP23'!G$441</f>
        <v>0</v>
      </c>
      <c r="E6707" s="211">
        <f>'IWP23'!H$441</f>
        <v>0</v>
      </c>
      <c r="F6707" s="211">
        <f>'IWP23'!I$441</f>
        <v>0</v>
      </c>
      <c r="G6707" s="191" t="str">
        <f>IF('IWP23'!J$441=0,"",'IWP23'!J$441)</f>
        <v/>
      </c>
      <c r="H6707" s="211">
        <f>'IWP23'!K$441</f>
        <v>0</v>
      </c>
      <c r="I6707" s="211">
        <f>'IWP23'!L$441</f>
        <v>0</v>
      </c>
      <c r="J6707" s="212">
        <f>'IWP23'!M$441</f>
        <v>0</v>
      </c>
      <c r="K6707" s="106"/>
      <c r="L6707" s="106"/>
      <c r="M6707" s="129"/>
    </row>
    <row r="6708" spans="1:13" s="146" customFormat="1">
      <c r="A6708" s="193" t="s">
        <v>521</v>
      </c>
      <c r="B6708" s="210">
        <v>6</v>
      </c>
      <c r="C6708" s="191" t="str">
        <f>IF('IWP23'!E$442=0,"",'IWP23'!E$442)</f>
        <v/>
      </c>
      <c r="D6708" s="211">
        <f>'IWP23'!G$442</f>
        <v>0</v>
      </c>
      <c r="E6708" s="211">
        <f>'IWP23'!H$442</f>
        <v>0</v>
      </c>
      <c r="F6708" s="211">
        <f>'IWP23'!I$442</f>
        <v>0</v>
      </c>
      <c r="G6708" s="191" t="str">
        <f>IF('IWP23'!J$442=0,"",'IWP23'!J$442)</f>
        <v/>
      </c>
      <c r="H6708" s="211">
        <f>'IWP23'!K$442</f>
        <v>0</v>
      </c>
      <c r="I6708" s="211">
        <f>'IWP23'!L$442</f>
        <v>0</v>
      </c>
      <c r="J6708" s="212">
        <f>'IWP23'!M$442</f>
        <v>0</v>
      </c>
      <c r="K6708" s="106"/>
      <c r="L6708" s="106"/>
      <c r="M6708" s="129"/>
    </row>
    <row r="6709" spans="1:13" s="146" customFormat="1">
      <c r="A6709" s="193" t="s">
        <v>521</v>
      </c>
      <c r="B6709" s="210">
        <v>6</v>
      </c>
      <c r="C6709" s="191" t="str">
        <f>IF('IWP23'!E$443=0,"",'IWP23'!E$443)</f>
        <v/>
      </c>
      <c r="D6709" s="211">
        <f>'IWP23'!G$443</f>
        <v>0</v>
      </c>
      <c r="E6709" s="211">
        <f>'IWP23'!H$443</f>
        <v>0</v>
      </c>
      <c r="F6709" s="211">
        <f>'IWP23'!I$443</f>
        <v>0</v>
      </c>
      <c r="G6709" s="191" t="str">
        <f>IF('IWP23'!J$443=0,"",'IWP23'!J$443)</f>
        <v/>
      </c>
      <c r="H6709" s="211">
        <f>'IWP23'!K$443</f>
        <v>0</v>
      </c>
      <c r="I6709" s="211">
        <f>'IWP23'!L$443</f>
        <v>0</v>
      </c>
      <c r="J6709" s="212">
        <f>'IWP23'!M$443</f>
        <v>0</v>
      </c>
      <c r="K6709" s="106"/>
      <c r="L6709" s="106"/>
      <c r="M6709" s="129"/>
    </row>
    <row r="6710" spans="1:13" s="146" customFormat="1">
      <c r="A6710" s="193" t="s">
        <v>521</v>
      </c>
      <c r="B6710" s="210">
        <v>6</v>
      </c>
      <c r="C6710" s="191" t="str">
        <f>IF('IWP23'!E$444=0,"",'IWP23'!E$444)</f>
        <v/>
      </c>
      <c r="D6710" s="211">
        <f>'IWP23'!G$444</f>
        <v>0</v>
      </c>
      <c r="E6710" s="211">
        <f>'IWP23'!H$444</f>
        <v>0</v>
      </c>
      <c r="F6710" s="211">
        <f>'IWP23'!I$444</f>
        <v>0</v>
      </c>
      <c r="G6710" s="191" t="str">
        <f>IF('IWP23'!J$444=0,"",'IWP23'!J$444)</f>
        <v/>
      </c>
      <c r="H6710" s="211">
        <f>'IWP23'!K$444</f>
        <v>0</v>
      </c>
      <c r="I6710" s="211">
        <f>'IWP23'!L$444</f>
        <v>0</v>
      </c>
      <c r="J6710" s="212">
        <f>'IWP23'!M$444</f>
        <v>0</v>
      </c>
      <c r="K6710" s="106"/>
      <c r="L6710" s="106"/>
      <c r="M6710" s="129"/>
    </row>
    <row r="6711" spans="1:13" s="146" customFormat="1">
      <c r="A6711" s="193" t="s">
        <v>521</v>
      </c>
      <c r="B6711" s="210">
        <v>7</v>
      </c>
      <c r="C6711" s="191" t="str">
        <f>IF('IWP23'!E$451=0,"",'IWP23'!E$451)</f>
        <v>Subtotal column D.</v>
      </c>
      <c r="D6711" s="211">
        <f>'IWP23'!G$451</f>
        <v>0</v>
      </c>
      <c r="E6711" s="211">
        <f>'IWP23'!H$451</f>
        <v>0</v>
      </c>
      <c r="F6711" s="211">
        <f>'IWP23'!I$451</f>
        <v>0</v>
      </c>
      <c r="G6711" s="191" t="str">
        <f>IF('IWP23'!J$451=0,"",'IWP23'!J$451)</f>
        <v/>
      </c>
      <c r="H6711" s="211">
        <f>'IWP23'!K$451</f>
        <v>0</v>
      </c>
      <c r="I6711" s="211">
        <f>'IWP23'!L$451</f>
        <v>0</v>
      </c>
      <c r="J6711" s="212">
        <f>'IWP23'!M$451</f>
        <v>0</v>
      </c>
      <c r="K6711" s="106"/>
      <c r="L6711" s="106"/>
      <c r="M6711" s="129"/>
    </row>
    <row r="6712" spans="1:13" s="146" customFormat="1">
      <c r="A6712" s="193" t="s">
        <v>521</v>
      </c>
      <c r="B6712" s="210">
        <v>7</v>
      </c>
      <c r="C6712" s="191" t="str">
        <f>IF('IWP23'!E$452=0,"",'IWP23'!E$452)</f>
        <v>Unverified/Undocumented (Subtotal D - C)</v>
      </c>
      <c r="D6712" s="211">
        <f>'IWP23'!G$452</f>
        <v>0</v>
      </c>
      <c r="E6712" s="211">
        <f>'IWP23'!H$452</f>
        <v>0</v>
      </c>
      <c r="F6712" s="211">
        <f>'IWP23'!I$452</f>
        <v>0</v>
      </c>
      <c r="G6712" s="191" t="str">
        <f>IF('IWP23'!J$452=0,"",'IWP23'!J$452)</f>
        <v/>
      </c>
      <c r="H6712" s="211">
        <f>'IWP23'!K$452</f>
        <v>0</v>
      </c>
      <c r="I6712" s="211">
        <f>'IWP23'!L$452</f>
        <v>0</v>
      </c>
      <c r="J6712" s="212">
        <f>'IWP23'!M$452</f>
        <v>0</v>
      </c>
      <c r="K6712" s="106"/>
      <c r="L6712" s="106"/>
      <c r="M6712" s="129"/>
    </row>
    <row r="6713" spans="1:13" s="146" customFormat="1">
      <c r="A6713" s="193" t="s">
        <v>521</v>
      </c>
      <c r="B6713" s="210">
        <v>7</v>
      </c>
      <c r="C6713" s="191" t="str">
        <f>IF('IWP23'!E$453=0,"",'IWP23'!E$453)</f>
        <v>J. Billing Period Total</v>
      </c>
      <c r="D6713" s="211">
        <f>'IWP23'!G$453</f>
        <v>0</v>
      </c>
      <c r="E6713" s="211">
        <f>'IWP23'!H$453</f>
        <v>0</v>
      </c>
      <c r="F6713" s="211">
        <f>'IWP23'!I$453</f>
        <v>0</v>
      </c>
      <c r="G6713" s="191" t="str">
        <f>IF('IWP23'!J$453=0,"",'IWP23'!J$453)</f>
        <v/>
      </c>
      <c r="H6713" s="211">
        <f>'IWP23'!K$453</f>
        <v>0</v>
      </c>
      <c r="I6713" s="211">
        <f>'IWP23'!L$453</f>
        <v>0</v>
      </c>
      <c r="J6713" s="212">
        <f>'IWP23'!M$453</f>
        <v>0</v>
      </c>
      <c r="K6713" s="106"/>
      <c r="L6713" s="106"/>
      <c r="M6713" s="129"/>
    </row>
    <row r="6714" spans="1:13" s="146" customFormat="1">
      <c r="A6714" s="193" t="s">
        <v>521</v>
      </c>
      <c r="B6714" s="210">
        <v>7</v>
      </c>
      <c r="C6714" s="191" t="str">
        <f>IF('IWP23'!E$454=0,"",'IWP23'!E$454)</f>
        <v>D.</v>
      </c>
      <c r="D6714" s="211">
        <f>'IWP23'!G$454</f>
        <v>0</v>
      </c>
      <c r="E6714" s="211" t="str">
        <f>'IWP23'!H$454</f>
        <v>E.</v>
      </c>
      <c r="F6714" s="211" t="str">
        <f>'IWP23'!I$454</f>
        <v>F.</v>
      </c>
      <c r="G6714" s="191" t="str">
        <f>IF('IWP23'!J$454=0,"",'IWP23'!J$454)</f>
        <v>G.</v>
      </c>
      <c r="H6714" s="211">
        <f>'IWP23'!K$454</f>
        <v>0</v>
      </c>
      <c r="I6714" s="211" t="str">
        <f>'IWP23'!L$454</f>
        <v>H.</v>
      </c>
      <c r="J6714" s="212" t="str">
        <f>'IWP23'!M$454</f>
        <v>I.</v>
      </c>
      <c r="K6714" s="106"/>
      <c r="L6714" s="106"/>
      <c r="M6714" s="129"/>
    </row>
    <row r="6715" spans="1:13" s="146" customFormat="1">
      <c r="A6715" s="193" t="s">
        <v>521</v>
      </c>
      <c r="B6715" s="210">
        <v>7</v>
      </c>
      <c r="C6715" s="191" t="str">
        <f>IF('IWP23'!E$455=0,"",'IWP23'!E$455)</f>
        <v xml:space="preserve">Items/Services Related to Billing Period </v>
      </c>
      <c r="D6715" s="211">
        <f>'IWP23'!G$455</f>
        <v>0</v>
      </c>
      <c r="E6715" s="211" t="str">
        <f>'IWP23'!H$455</f>
        <v xml:space="preserve">Item/
Service Verified Amounts
</v>
      </c>
      <c r="F6715" s="211" t="str">
        <f>'IWP23'!I$455</f>
        <v>Amount Due to DADS (E. - D.)</v>
      </c>
      <c r="G6715" s="191" t="str">
        <f>IF('IWP23'!J$455=0,"",'IWP23'!J$455)</f>
        <v>Amount Reimbursed to 
Employee(s)/Employer</v>
      </c>
      <c r="H6715" s="211">
        <f>'IWP23'!K$455</f>
        <v>0</v>
      </c>
      <c r="I6715" s="211" t="str">
        <f>'IWP23'!L$455</f>
        <v>Amount Due to Employee(s) (G. - E.)</v>
      </c>
      <c r="J6715" s="212" t="str">
        <f>'IWP23'!M$455</f>
        <v>Amount Due to Employer (G. - E.)</v>
      </c>
      <c r="K6715" s="106"/>
      <c r="L6715" s="106"/>
      <c r="M6715" s="129"/>
    </row>
    <row r="6716" spans="1:13" s="146" customFormat="1">
      <c r="A6716" s="193" t="s">
        <v>521</v>
      </c>
      <c r="B6716" s="210">
        <v>7</v>
      </c>
      <c r="C6716" s="191" t="str">
        <f>IF('IWP23'!E$456=0,"",'IWP23'!E$456)</f>
        <v>Item/Service</v>
      </c>
      <c r="D6716" s="211" t="str">
        <f>'IWP23'!G$456</f>
        <v>Itemized Amount Paid by DADS</v>
      </c>
      <c r="E6716" s="211">
        <f>'IWP23'!H$456</f>
        <v>0</v>
      </c>
      <c r="F6716" s="211">
        <f>'IWP23'!I$456</f>
        <v>0</v>
      </c>
      <c r="G6716" s="191" t="str">
        <f>IF('IWP23'!J$456=0,"",'IWP23'!J$456)</f>
        <v/>
      </c>
      <c r="H6716" s="211">
        <f>'IWP23'!K$456</f>
        <v>0</v>
      </c>
      <c r="I6716" s="211">
        <f>'IWP23'!L$456</f>
        <v>0</v>
      </c>
      <c r="J6716" s="212">
        <f>'IWP23'!M$456</f>
        <v>0</v>
      </c>
      <c r="K6716" s="106"/>
      <c r="L6716" s="106"/>
      <c r="M6716" s="129"/>
    </row>
    <row r="6717" spans="1:13" s="146" customFormat="1">
      <c r="A6717" s="193" t="s">
        <v>521</v>
      </c>
      <c r="B6717" s="210">
        <v>7</v>
      </c>
      <c r="C6717" s="191" t="str">
        <f>IF('IWP23'!E$457=0,"",'IWP23'!E$457)</f>
        <v/>
      </c>
      <c r="D6717" s="211">
        <f>'IWP23'!G$457</f>
        <v>0</v>
      </c>
      <c r="E6717" s="211">
        <f>'IWP23'!H$457</f>
        <v>0</v>
      </c>
      <c r="F6717" s="211">
        <f>'IWP23'!I$457</f>
        <v>0</v>
      </c>
      <c r="G6717" s="191" t="str">
        <f>IF('IWP23'!J$457=0,"",'IWP23'!J$457)</f>
        <v/>
      </c>
      <c r="H6717" s="211">
        <f>'IWP23'!K$457</f>
        <v>0</v>
      </c>
      <c r="I6717" s="211">
        <f>'IWP23'!L$457</f>
        <v>0</v>
      </c>
      <c r="J6717" s="212">
        <f>'IWP23'!M$457</f>
        <v>0</v>
      </c>
      <c r="K6717" s="106"/>
      <c r="L6717" s="106"/>
      <c r="M6717" s="129"/>
    </row>
    <row r="6718" spans="1:13" s="146" customFormat="1">
      <c r="A6718" s="193" t="s">
        <v>521</v>
      </c>
      <c r="B6718" s="210">
        <v>7</v>
      </c>
      <c r="C6718" s="191" t="str">
        <f>IF('IWP23'!E$458=0,"",'IWP23'!E$458)</f>
        <v/>
      </c>
      <c r="D6718" s="211">
        <f>'IWP23'!G$458</f>
        <v>0</v>
      </c>
      <c r="E6718" s="211">
        <f>'IWP23'!H$458</f>
        <v>0</v>
      </c>
      <c r="F6718" s="211">
        <f>'IWP23'!I$458</f>
        <v>0</v>
      </c>
      <c r="G6718" s="191" t="str">
        <f>IF('IWP23'!J$458=0,"",'IWP23'!J$458)</f>
        <v/>
      </c>
      <c r="H6718" s="211">
        <f>'IWP23'!K$458</f>
        <v>0</v>
      </c>
      <c r="I6718" s="211">
        <f>'IWP23'!L$458</f>
        <v>0</v>
      </c>
      <c r="J6718" s="212">
        <f>'IWP23'!M$458</f>
        <v>0</v>
      </c>
      <c r="K6718" s="106"/>
      <c r="L6718" s="106"/>
      <c r="M6718" s="129"/>
    </row>
    <row r="6719" spans="1:13" s="146" customFormat="1">
      <c r="A6719" s="193" t="s">
        <v>521</v>
      </c>
      <c r="B6719" s="210">
        <v>7</v>
      </c>
      <c r="C6719" s="191" t="str">
        <f>IF('IWP23'!E$459=0,"",'IWP23'!E$459)</f>
        <v/>
      </c>
      <c r="D6719" s="211">
        <f>'IWP23'!G$459</f>
        <v>0</v>
      </c>
      <c r="E6719" s="211">
        <f>'IWP23'!H$459</f>
        <v>0</v>
      </c>
      <c r="F6719" s="211">
        <f>'IWP23'!I$459</f>
        <v>0</v>
      </c>
      <c r="G6719" s="191" t="str">
        <f>IF('IWP23'!J$459=0,"",'IWP23'!J$459)</f>
        <v/>
      </c>
      <c r="H6719" s="211">
        <f>'IWP23'!K$459</f>
        <v>0</v>
      </c>
      <c r="I6719" s="211">
        <f>'IWP23'!L$459</f>
        <v>0</v>
      </c>
      <c r="J6719" s="212">
        <f>'IWP23'!M$459</f>
        <v>0</v>
      </c>
      <c r="K6719" s="106"/>
      <c r="L6719" s="106"/>
      <c r="M6719" s="129"/>
    </row>
    <row r="6720" spans="1:13" s="146" customFormat="1">
      <c r="A6720" s="193" t="s">
        <v>521</v>
      </c>
      <c r="B6720" s="210">
        <v>7</v>
      </c>
      <c r="C6720" s="191" t="str">
        <f>IF('IWP23'!E$460=0,"",'IWP23'!E$460)</f>
        <v/>
      </c>
      <c r="D6720" s="211">
        <f>'IWP23'!G$460</f>
        <v>0</v>
      </c>
      <c r="E6720" s="211">
        <f>'IWP23'!H$460</f>
        <v>0</v>
      </c>
      <c r="F6720" s="211">
        <f>'IWP23'!I$460</f>
        <v>0</v>
      </c>
      <c r="G6720" s="191" t="str">
        <f>IF('IWP23'!J$460=0,"",'IWP23'!J$460)</f>
        <v/>
      </c>
      <c r="H6720" s="211">
        <f>'IWP23'!K$460</f>
        <v>0</v>
      </c>
      <c r="I6720" s="211">
        <f>'IWP23'!L$460</f>
        <v>0</v>
      </c>
      <c r="J6720" s="212">
        <f>'IWP23'!M$460</f>
        <v>0</v>
      </c>
      <c r="K6720" s="106"/>
      <c r="L6720" s="106"/>
      <c r="M6720" s="129"/>
    </row>
    <row r="6721" spans="1:13" s="146" customFormat="1">
      <c r="A6721" s="193" t="s">
        <v>521</v>
      </c>
      <c r="B6721" s="210">
        <v>8</v>
      </c>
      <c r="C6721" s="191" t="str">
        <f>IF('IWP23'!E$467=0,"",'IWP23'!E$467)</f>
        <v>Subtotal column D.</v>
      </c>
      <c r="D6721" s="211">
        <f>'IWP23'!G$467</f>
        <v>0</v>
      </c>
      <c r="E6721" s="211">
        <f>'IWP23'!H$467</f>
        <v>0</v>
      </c>
      <c r="F6721" s="211">
        <f>'IWP23'!I$467</f>
        <v>0</v>
      </c>
      <c r="G6721" s="191" t="str">
        <f>IF('IWP23'!J$467=0,"",'IWP23'!J$467)</f>
        <v/>
      </c>
      <c r="H6721" s="211">
        <f>'IWP23'!K$467</f>
        <v>0</v>
      </c>
      <c r="I6721" s="211">
        <f>'IWP23'!L$467</f>
        <v>0</v>
      </c>
      <c r="J6721" s="212">
        <f>'IWP23'!M$467</f>
        <v>0</v>
      </c>
      <c r="K6721" s="106"/>
      <c r="L6721" s="106"/>
      <c r="M6721" s="129"/>
    </row>
    <row r="6722" spans="1:13" s="146" customFormat="1">
      <c r="A6722" s="193" t="s">
        <v>521</v>
      </c>
      <c r="B6722" s="210">
        <v>8</v>
      </c>
      <c r="C6722" s="191" t="str">
        <f>IF('IWP23'!E$468=0,"",'IWP23'!E$468)</f>
        <v>Unverified/Undocumented (Subtotal D - C)</v>
      </c>
      <c r="D6722" s="211">
        <f>'IWP23'!G$468</f>
        <v>0</v>
      </c>
      <c r="E6722" s="211">
        <f>'IWP23'!H$468</f>
        <v>0</v>
      </c>
      <c r="F6722" s="211">
        <f>'IWP23'!I$468</f>
        <v>0</v>
      </c>
      <c r="G6722" s="191" t="str">
        <f>IF('IWP23'!J$468=0,"",'IWP23'!J$468)</f>
        <v/>
      </c>
      <c r="H6722" s="211">
        <f>'IWP23'!K$468</f>
        <v>0</v>
      </c>
      <c r="I6722" s="211">
        <f>'IWP23'!L$468</f>
        <v>0</v>
      </c>
      <c r="J6722" s="212">
        <f>'IWP23'!M$468</f>
        <v>0</v>
      </c>
      <c r="K6722" s="106"/>
      <c r="L6722" s="106"/>
      <c r="M6722" s="129"/>
    </row>
    <row r="6723" spans="1:13" s="146" customFormat="1">
      <c r="A6723" s="193" t="s">
        <v>521</v>
      </c>
      <c r="B6723" s="210">
        <v>8</v>
      </c>
      <c r="C6723" s="191" t="str">
        <f>IF('IWP23'!E$469=0,"",'IWP23'!E$469)</f>
        <v>J. Billing Period Total</v>
      </c>
      <c r="D6723" s="211">
        <f>'IWP23'!G$469</f>
        <v>0</v>
      </c>
      <c r="E6723" s="211">
        <f>'IWP23'!H$469</f>
        <v>0</v>
      </c>
      <c r="F6723" s="211">
        <f>'IWP23'!I$469</f>
        <v>0</v>
      </c>
      <c r="G6723" s="191" t="str">
        <f>IF('IWP23'!J$469=0,"",'IWP23'!J$469)</f>
        <v/>
      </c>
      <c r="H6723" s="211">
        <f>'IWP23'!K$469</f>
        <v>0</v>
      </c>
      <c r="I6723" s="211">
        <f>'IWP23'!L$469</f>
        <v>0</v>
      </c>
      <c r="J6723" s="212">
        <f>'IWP23'!M$469</f>
        <v>0</v>
      </c>
      <c r="K6723" s="106"/>
      <c r="L6723" s="106"/>
      <c r="M6723" s="129"/>
    </row>
    <row r="6724" spans="1:13" s="146" customFormat="1">
      <c r="A6724" s="193" t="s">
        <v>521</v>
      </c>
      <c r="B6724" s="210">
        <v>8</v>
      </c>
      <c r="C6724" s="191" t="str">
        <f>IF('IWP23'!E$470=0,"",'IWP23'!E$470)</f>
        <v>D.</v>
      </c>
      <c r="D6724" s="211">
        <f>'IWP23'!G$470</f>
        <v>0</v>
      </c>
      <c r="E6724" s="211" t="str">
        <f>'IWP23'!H$470</f>
        <v>E.</v>
      </c>
      <c r="F6724" s="211" t="str">
        <f>'IWP23'!I$470</f>
        <v>F.</v>
      </c>
      <c r="G6724" s="191" t="str">
        <f>IF('IWP23'!J$470=0,"",'IWP23'!J$470)</f>
        <v>G.</v>
      </c>
      <c r="H6724" s="211">
        <f>'IWP23'!K$470</f>
        <v>0</v>
      </c>
      <c r="I6724" s="211" t="str">
        <f>'IWP23'!L$470</f>
        <v>H.</v>
      </c>
      <c r="J6724" s="212" t="str">
        <f>'IWP23'!M$470</f>
        <v>I.</v>
      </c>
      <c r="K6724" s="106"/>
      <c r="L6724" s="106"/>
      <c r="M6724" s="129"/>
    </row>
    <row r="6725" spans="1:13" s="146" customFormat="1">
      <c r="A6725" s="193" t="s">
        <v>521</v>
      </c>
      <c r="B6725" s="210">
        <v>8</v>
      </c>
      <c r="C6725" s="191" t="str">
        <f>IF('IWP23'!E$471=0,"",'IWP23'!E$471)</f>
        <v xml:space="preserve">Items/Services Related to Billing Period </v>
      </c>
      <c r="D6725" s="211">
        <f>'IWP23'!G$471</f>
        <v>0</v>
      </c>
      <c r="E6725" s="211" t="str">
        <f>'IWP23'!H$471</f>
        <v xml:space="preserve">Item/
Service Verified Amounts
</v>
      </c>
      <c r="F6725" s="211" t="str">
        <f>'IWP23'!I$471</f>
        <v>Amount Due to DADS (E. - D.)</v>
      </c>
      <c r="G6725" s="191" t="str">
        <f>IF('IWP23'!J$471=0,"",'IWP23'!J$471)</f>
        <v>Amount Reimbursed to 
Employee(s)/Employer</v>
      </c>
      <c r="H6725" s="211">
        <f>'IWP23'!K$471</f>
        <v>0</v>
      </c>
      <c r="I6725" s="211" t="str">
        <f>'IWP23'!L$471</f>
        <v>Amount Due to Employee(s) (G. - E.)</v>
      </c>
      <c r="J6725" s="212" t="str">
        <f>'IWP23'!M$471</f>
        <v>Amount Due to Employer (G. - E.)</v>
      </c>
      <c r="K6725" s="106"/>
      <c r="L6725" s="106"/>
      <c r="M6725" s="129"/>
    </row>
    <row r="6726" spans="1:13" s="146" customFormat="1">
      <c r="A6726" s="193" t="s">
        <v>521</v>
      </c>
      <c r="B6726" s="210">
        <v>8</v>
      </c>
      <c r="C6726" s="191" t="str">
        <f>IF('IWP23'!E$472=0,"",'IWP23'!E$472)</f>
        <v>Item/Service</v>
      </c>
      <c r="D6726" s="211" t="str">
        <f>'IWP23'!G$472</f>
        <v>Itemized Amount Paid by DADS</v>
      </c>
      <c r="E6726" s="211">
        <f>'IWP23'!H$472</f>
        <v>0</v>
      </c>
      <c r="F6726" s="211">
        <f>'IWP23'!I$472</f>
        <v>0</v>
      </c>
      <c r="G6726" s="191" t="str">
        <f>IF('IWP23'!J$472=0,"",'IWP23'!J$472)</f>
        <v/>
      </c>
      <c r="H6726" s="211">
        <f>'IWP23'!K$472</f>
        <v>0</v>
      </c>
      <c r="I6726" s="211">
        <f>'IWP23'!L$472</f>
        <v>0</v>
      </c>
      <c r="J6726" s="212">
        <f>'IWP23'!M$472</f>
        <v>0</v>
      </c>
      <c r="K6726" s="106"/>
      <c r="L6726" s="106"/>
      <c r="M6726" s="129"/>
    </row>
    <row r="6727" spans="1:13" s="146" customFormat="1">
      <c r="A6727" s="193" t="s">
        <v>521</v>
      </c>
      <c r="B6727" s="210">
        <v>8</v>
      </c>
      <c r="C6727" s="191" t="str">
        <f>IF('IWP23'!E$473=0,"",'IWP23'!E$473)</f>
        <v/>
      </c>
      <c r="D6727" s="211">
        <f>'IWP23'!G$473</f>
        <v>0</v>
      </c>
      <c r="E6727" s="211">
        <f>'IWP23'!H$473</f>
        <v>0</v>
      </c>
      <c r="F6727" s="211">
        <f>'IWP23'!I$473</f>
        <v>0</v>
      </c>
      <c r="G6727" s="191" t="str">
        <f>IF('IWP23'!J$473=0,"",'IWP23'!J$473)</f>
        <v/>
      </c>
      <c r="H6727" s="211">
        <f>'IWP23'!K$473</f>
        <v>0</v>
      </c>
      <c r="I6727" s="211">
        <f>'IWP23'!L$473</f>
        <v>0</v>
      </c>
      <c r="J6727" s="212">
        <f>'IWP23'!M$473</f>
        <v>0</v>
      </c>
      <c r="K6727" s="106"/>
      <c r="L6727" s="106"/>
      <c r="M6727" s="129"/>
    </row>
    <row r="6728" spans="1:13" s="146" customFormat="1">
      <c r="A6728" s="193" t="s">
        <v>521</v>
      </c>
      <c r="B6728" s="210">
        <v>8</v>
      </c>
      <c r="C6728" s="191" t="str">
        <f>IF('IWP23'!E$474=0,"",'IWP23'!E$474)</f>
        <v/>
      </c>
      <c r="D6728" s="211">
        <f>'IWP23'!G$474</f>
        <v>0</v>
      </c>
      <c r="E6728" s="211">
        <f>'IWP23'!H$474</f>
        <v>0</v>
      </c>
      <c r="F6728" s="211">
        <f>'IWP23'!I$474</f>
        <v>0</v>
      </c>
      <c r="G6728" s="191" t="str">
        <f>IF('IWP23'!J$474=0,"",'IWP23'!J$474)</f>
        <v/>
      </c>
      <c r="H6728" s="211">
        <f>'IWP23'!K$474</f>
        <v>0</v>
      </c>
      <c r="I6728" s="211">
        <f>'IWP23'!L$474</f>
        <v>0</v>
      </c>
      <c r="J6728" s="212">
        <f>'IWP23'!M$474</f>
        <v>0</v>
      </c>
      <c r="K6728" s="106"/>
      <c r="L6728" s="106"/>
      <c r="M6728" s="129"/>
    </row>
    <row r="6729" spans="1:13" s="146" customFormat="1">
      <c r="A6729" s="193" t="s">
        <v>521</v>
      </c>
      <c r="B6729" s="210">
        <v>8</v>
      </c>
      <c r="C6729" s="191" t="str">
        <f>IF('IWP23'!E$475=0,"",'IWP23'!E$475)</f>
        <v/>
      </c>
      <c r="D6729" s="211">
        <f>'IWP23'!G$475</f>
        <v>0</v>
      </c>
      <c r="E6729" s="211">
        <f>'IWP23'!H$475</f>
        <v>0</v>
      </c>
      <c r="F6729" s="211">
        <f>'IWP23'!I$475</f>
        <v>0</v>
      </c>
      <c r="G6729" s="191" t="str">
        <f>IF('IWP23'!J$475=0,"",'IWP23'!J$475)</f>
        <v/>
      </c>
      <c r="H6729" s="211">
        <f>'IWP23'!K$475</f>
        <v>0</v>
      </c>
      <c r="I6729" s="211">
        <f>'IWP23'!L$475</f>
        <v>0</v>
      </c>
      <c r="J6729" s="212">
        <f>'IWP23'!M$475</f>
        <v>0</v>
      </c>
      <c r="K6729" s="106"/>
      <c r="L6729" s="106"/>
      <c r="M6729" s="129"/>
    </row>
    <row r="6730" spans="1:13" s="146" customFormat="1">
      <c r="A6730" s="193" t="s">
        <v>521</v>
      </c>
      <c r="B6730" s="210">
        <v>8</v>
      </c>
      <c r="C6730" s="191" t="str">
        <f>IF('IWP23'!E$476=0,"",'IWP23'!E$476)</f>
        <v/>
      </c>
      <c r="D6730" s="211">
        <f>'IWP23'!G$476</f>
        <v>0</v>
      </c>
      <c r="E6730" s="211">
        <f>'IWP23'!H$476</f>
        <v>0</v>
      </c>
      <c r="F6730" s="211">
        <f>'IWP23'!I$476</f>
        <v>0</v>
      </c>
      <c r="G6730" s="191" t="str">
        <f>IF('IWP23'!J$476=0,"",'IWP23'!J$476)</f>
        <v/>
      </c>
      <c r="H6730" s="211">
        <f>'IWP23'!K$476</f>
        <v>0</v>
      </c>
      <c r="I6730" s="211">
        <f>'IWP23'!L$476</f>
        <v>0</v>
      </c>
      <c r="J6730" s="212">
        <f>'IWP23'!M$476</f>
        <v>0</v>
      </c>
      <c r="K6730" s="106"/>
      <c r="L6730" s="106"/>
      <c r="M6730" s="129"/>
    </row>
    <row r="6731" spans="1:13" s="146" customFormat="1">
      <c r="A6731" s="193" t="s">
        <v>521</v>
      </c>
      <c r="B6731" s="210">
        <v>9</v>
      </c>
      <c r="C6731" s="191" t="str">
        <f>IF('IWP23'!E$483=0,"",'IWP23'!E$483)</f>
        <v>Subtotal column D.</v>
      </c>
      <c r="D6731" s="211">
        <f>'IWP23'!G$483</f>
        <v>0</v>
      </c>
      <c r="E6731" s="211">
        <f>'IWP23'!H$483</f>
        <v>0</v>
      </c>
      <c r="F6731" s="211">
        <f>'IWP23'!I$483</f>
        <v>0</v>
      </c>
      <c r="G6731" s="191" t="str">
        <f>IF('IWP23'!J$483=0,"",'IWP23'!J$483)</f>
        <v/>
      </c>
      <c r="H6731" s="211">
        <f>'IWP23'!K$483</f>
        <v>0</v>
      </c>
      <c r="I6731" s="211">
        <f>'IWP23'!L$483</f>
        <v>0</v>
      </c>
      <c r="J6731" s="212">
        <f>'IWP23'!M$483</f>
        <v>0</v>
      </c>
      <c r="K6731" s="106"/>
      <c r="L6731" s="106"/>
      <c r="M6731" s="129"/>
    </row>
    <row r="6732" spans="1:13" s="146" customFormat="1">
      <c r="A6732" s="193" t="s">
        <v>521</v>
      </c>
      <c r="B6732" s="210">
        <v>9</v>
      </c>
      <c r="C6732" s="191" t="str">
        <f>IF('IWP23'!E$484=0,"",'IWP23'!E$484)</f>
        <v>Unverified/Undocumented (Subtotal D - C)</v>
      </c>
      <c r="D6732" s="211">
        <f>'IWP23'!G$484</f>
        <v>0</v>
      </c>
      <c r="E6732" s="211">
        <f>'IWP23'!H$484</f>
        <v>0</v>
      </c>
      <c r="F6732" s="211">
        <f>'IWP23'!I$484</f>
        <v>0</v>
      </c>
      <c r="G6732" s="191" t="str">
        <f>IF('IWP23'!J$484=0,"",'IWP23'!J$484)</f>
        <v/>
      </c>
      <c r="H6732" s="211">
        <f>'IWP23'!K$484</f>
        <v>0</v>
      </c>
      <c r="I6732" s="211">
        <f>'IWP23'!L$484</f>
        <v>0</v>
      </c>
      <c r="J6732" s="212">
        <f>'IWP23'!M$484</f>
        <v>0</v>
      </c>
      <c r="K6732" s="106"/>
      <c r="L6732" s="106"/>
      <c r="M6732" s="129"/>
    </row>
    <row r="6733" spans="1:13" s="146" customFormat="1">
      <c r="A6733" s="193" t="s">
        <v>521</v>
      </c>
      <c r="B6733" s="210">
        <v>9</v>
      </c>
      <c r="C6733" s="191" t="str">
        <f>IF('IWP23'!E$485=0,"",'IWP23'!E$485)</f>
        <v>J. Billing Period Total</v>
      </c>
      <c r="D6733" s="211">
        <f>'IWP23'!G$485</f>
        <v>0</v>
      </c>
      <c r="E6733" s="211">
        <f>'IWP23'!H$485</f>
        <v>0</v>
      </c>
      <c r="F6733" s="211">
        <f>'IWP23'!I$485</f>
        <v>0</v>
      </c>
      <c r="G6733" s="191" t="str">
        <f>IF('IWP23'!J$485=0,"",'IWP23'!J$485)</f>
        <v/>
      </c>
      <c r="H6733" s="211">
        <f>'IWP23'!K$485</f>
        <v>0</v>
      </c>
      <c r="I6733" s="211">
        <f>'IWP23'!L$485</f>
        <v>0</v>
      </c>
      <c r="J6733" s="212">
        <f>'IWP23'!M$485</f>
        <v>0</v>
      </c>
      <c r="K6733" s="106"/>
      <c r="L6733" s="106"/>
      <c r="M6733" s="129"/>
    </row>
    <row r="6734" spans="1:13" s="146" customFormat="1">
      <c r="A6734" s="193" t="s">
        <v>521</v>
      </c>
      <c r="B6734" s="210">
        <v>9</v>
      </c>
      <c r="C6734" s="191" t="str">
        <f>IF('IWP23'!E$486=0,"",'IWP23'!E$486)</f>
        <v>D.</v>
      </c>
      <c r="D6734" s="211">
        <f>'IWP23'!G$486</f>
        <v>0</v>
      </c>
      <c r="E6734" s="211" t="str">
        <f>'IWP23'!H$486</f>
        <v>E.</v>
      </c>
      <c r="F6734" s="211" t="str">
        <f>'IWP23'!I$486</f>
        <v>F.</v>
      </c>
      <c r="G6734" s="191" t="str">
        <f>IF('IWP23'!J$486=0,"",'IWP23'!J$486)</f>
        <v>G.</v>
      </c>
      <c r="H6734" s="211">
        <f>'IWP23'!K$486</f>
        <v>0</v>
      </c>
      <c r="I6734" s="211" t="str">
        <f>'IWP23'!L$486</f>
        <v>H.</v>
      </c>
      <c r="J6734" s="212" t="str">
        <f>'IWP23'!M$486</f>
        <v>I.</v>
      </c>
      <c r="K6734" s="106"/>
      <c r="L6734" s="106"/>
      <c r="M6734" s="129"/>
    </row>
    <row r="6735" spans="1:13" s="146" customFormat="1">
      <c r="A6735" s="193" t="s">
        <v>521</v>
      </c>
      <c r="B6735" s="210">
        <v>9</v>
      </c>
      <c r="C6735" s="191" t="str">
        <f>IF('IWP23'!E$487=0,"",'IWP23'!E$487)</f>
        <v xml:space="preserve">Items/Services Related to Billing Period </v>
      </c>
      <c r="D6735" s="211">
        <f>'IWP23'!G$487</f>
        <v>0</v>
      </c>
      <c r="E6735" s="211" t="str">
        <f>'IWP23'!H$487</f>
        <v xml:space="preserve">Item/
Service Verified Amounts
</v>
      </c>
      <c r="F6735" s="211" t="str">
        <f>'IWP23'!I$487</f>
        <v>Amount Due to DADS (E. - D.)</v>
      </c>
      <c r="G6735" s="191" t="str">
        <f>IF('IWP23'!J$487=0,"",'IWP23'!J$487)</f>
        <v>Amount Reimbursed to 
Employee(s)/Employer</v>
      </c>
      <c r="H6735" s="211">
        <f>'IWP23'!K$487</f>
        <v>0</v>
      </c>
      <c r="I6735" s="211" t="str">
        <f>'IWP23'!L$487</f>
        <v>Amount Due to Employee(s) (G. - E.)</v>
      </c>
      <c r="J6735" s="212" t="str">
        <f>'IWP23'!M$487</f>
        <v>Amount Due to Employer (G. - E.)</v>
      </c>
      <c r="K6735" s="106"/>
      <c r="L6735" s="106"/>
      <c r="M6735" s="129"/>
    </row>
    <row r="6736" spans="1:13" s="146" customFormat="1">
      <c r="A6736" s="193" t="s">
        <v>521</v>
      </c>
      <c r="B6736" s="210">
        <v>9</v>
      </c>
      <c r="C6736" s="191" t="str">
        <f>IF('IWP23'!E$488=0,"",'IWP23'!E$488)</f>
        <v>Item/Service</v>
      </c>
      <c r="D6736" s="211" t="str">
        <f>'IWP23'!G$488</f>
        <v>Itemized Amount Paid by DADS</v>
      </c>
      <c r="E6736" s="211">
        <f>'IWP23'!H$488</f>
        <v>0</v>
      </c>
      <c r="F6736" s="211">
        <f>'IWP23'!I$488</f>
        <v>0</v>
      </c>
      <c r="G6736" s="191" t="str">
        <f>IF('IWP23'!J$488=0,"",'IWP23'!J$488)</f>
        <v/>
      </c>
      <c r="H6736" s="211">
        <f>'IWP23'!K$488</f>
        <v>0</v>
      </c>
      <c r="I6736" s="211">
        <f>'IWP23'!L$488</f>
        <v>0</v>
      </c>
      <c r="J6736" s="212">
        <f>'IWP23'!M$488</f>
        <v>0</v>
      </c>
      <c r="K6736" s="106"/>
      <c r="L6736" s="106"/>
      <c r="M6736" s="129"/>
    </row>
    <row r="6737" spans="1:13" s="146" customFormat="1">
      <c r="A6737" s="193" t="s">
        <v>521</v>
      </c>
      <c r="B6737" s="210">
        <v>9</v>
      </c>
      <c r="C6737" s="191" t="str">
        <f>IF('IWP23'!E$489=0,"",'IWP23'!E$489)</f>
        <v/>
      </c>
      <c r="D6737" s="211">
        <f>'IWP23'!G$489</f>
        <v>0</v>
      </c>
      <c r="E6737" s="211">
        <f>'IWP23'!H$489</f>
        <v>0</v>
      </c>
      <c r="F6737" s="211">
        <f>'IWP23'!I$489</f>
        <v>0</v>
      </c>
      <c r="G6737" s="191" t="str">
        <f>IF('IWP23'!J$489=0,"",'IWP23'!J$489)</f>
        <v/>
      </c>
      <c r="H6737" s="211">
        <f>'IWP23'!K$489</f>
        <v>0</v>
      </c>
      <c r="I6737" s="211">
        <f>'IWP23'!L$489</f>
        <v>0</v>
      </c>
      <c r="J6737" s="212">
        <f>'IWP23'!M$489</f>
        <v>0</v>
      </c>
      <c r="K6737" s="106"/>
      <c r="L6737" s="106"/>
      <c r="M6737" s="129"/>
    </row>
    <row r="6738" spans="1:13" s="146" customFormat="1">
      <c r="A6738" s="193" t="s">
        <v>521</v>
      </c>
      <c r="B6738" s="210">
        <v>9</v>
      </c>
      <c r="C6738" s="191" t="str">
        <f>IF('IWP23'!E$490=0,"",'IWP23'!E$490)</f>
        <v/>
      </c>
      <c r="D6738" s="211">
        <f>'IWP23'!G$490</f>
        <v>0</v>
      </c>
      <c r="E6738" s="211">
        <f>'IWP23'!H$490</f>
        <v>0</v>
      </c>
      <c r="F6738" s="211">
        <f>'IWP23'!I$490</f>
        <v>0</v>
      </c>
      <c r="G6738" s="191" t="str">
        <f>IF('IWP23'!J$490=0,"",'IWP23'!J$490)</f>
        <v/>
      </c>
      <c r="H6738" s="211">
        <f>'IWP23'!K$490</f>
        <v>0</v>
      </c>
      <c r="I6738" s="211">
        <f>'IWP23'!L$490</f>
        <v>0</v>
      </c>
      <c r="J6738" s="212">
        <f>'IWP23'!M$490</f>
        <v>0</v>
      </c>
      <c r="K6738" s="106"/>
      <c r="L6738" s="106"/>
      <c r="M6738" s="129"/>
    </row>
    <row r="6739" spans="1:13" s="146" customFormat="1">
      <c r="A6739" s="193" t="s">
        <v>521</v>
      </c>
      <c r="B6739" s="210">
        <v>9</v>
      </c>
      <c r="C6739" s="191" t="str">
        <f>IF('IWP23'!E$491=0,"",'IWP23'!E$491)</f>
        <v/>
      </c>
      <c r="D6739" s="211">
        <f>'IWP23'!G$491</f>
        <v>0</v>
      </c>
      <c r="E6739" s="211">
        <f>'IWP23'!H$491</f>
        <v>0</v>
      </c>
      <c r="F6739" s="211">
        <f>'IWP23'!I$491</f>
        <v>0</v>
      </c>
      <c r="G6739" s="191" t="str">
        <f>IF('IWP23'!J$491=0,"",'IWP23'!J$491)</f>
        <v/>
      </c>
      <c r="H6739" s="211">
        <f>'IWP23'!K$491</f>
        <v>0</v>
      </c>
      <c r="I6739" s="211">
        <f>'IWP23'!L$491</f>
        <v>0</v>
      </c>
      <c r="J6739" s="212">
        <f>'IWP23'!M$491</f>
        <v>0</v>
      </c>
      <c r="K6739" s="106"/>
      <c r="L6739" s="106"/>
      <c r="M6739" s="129"/>
    </row>
    <row r="6740" spans="1:13" s="146" customFormat="1">
      <c r="A6740" s="193" t="s">
        <v>521</v>
      </c>
      <c r="B6740" s="210">
        <v>9</v>
      </c>
      <c r="C6740" s="191" t="str">
        <f>IF('IWP23'!E$492=0,"",'IWP23'!E$492)</f>
        <v/>
      </c>
      <c r="D6740" s="211">
        <f>'IWP23'!G$492</f>
        <v>0</v>
      </c>
      <c r="E6740" s="211">
        <f>'IWP23'!H$492</f>
        <v>0</v>
      </c>
      <c r="F6740" s="211">
        <f>'IWP23'!I$492</f>
        <v>0</v>
      </c>
      <c r="G6740" s="191" t="str">
        <f>IF('IWP23'!J$492=0,"",'IWP23'!J$492)</f>
        <v/>
      </c>
      <c r="H6740" s="211">
        <f>'IWP23'!K$492</f>
        <v>0</v>
      </c>
      <c r="I6740" s="211">
        <f>'IWP23'!L$492</f>
        <v>0</v>
      </c>
      <c r="J6740" s="212">
        <f>'IWP23'!M$492</f>
        <v>0</v>
      </c>
      <c r="K6740" s="106"/>
      <c r="L6740" s="106"/>
      <c r="M6740" s="129"/>
    </row>
    <row r="6741" spans="1:13" s="146" customFormat="1">
      <c r="A6741" s="193" t="s">
        <v>521</v>
      </c>
      <c r="B6741" s="210">
        <v>10</v>
      </c>
      <c r="C6741" s="191" t="str">
        <f>IF('IWP23'!E$499=0,"",'IWP23'!E$499)</f>
        <v>Subtotal column D.</v>
      </c>
      <c r="D6741" s="211">
        <f>'IWP23'!G$499</f>
        <v>0</v>
      </c>
      <c r="E6741" s="211">
        <f>'IWP23'!H$499</f>
        <v>0</v>
      </c>
      <c r="F6741" s="211">
        <f>'IWP23'!I$499</f>
        <v>0</v>
      </c>
      <c r="G6741" s="191" t="str">
        <f>IF('IWP23'!J$499=0,"",'IWP23'!J$499)</f>
        <v/>
      </c>
      <c r="H6741" s="211">
        <f>'IWP23'!K$499</f>
        <v>0</v>
      </c>
      <c r="I6741" s="211">
        <f>'IWP23'!L$499</f>
        <v>0</v>
      </c>
      <c r="J6741" s="212">
        <f>'IWP23'!M$499</f>
        <v>0</v>
      </c>
      <c r="K6741" s="106"/>
      <c r="L6741" s="106"/>
      <c r="M6741" s="129"/>
    </row>
    <row r="6742" spans="1:13" s="146" customFormat="1">
      <c r="A6742" s="193" t="s">
        <v>521</v>
      </c>
      <c r="B6742" s="210">
        <v>10</v>
      </c>
      <c r="C6742" s="191" t="str">
        <f>IF('IWP23'!E$500=0,"",'IWP23'!E$500)</f>
        <v>Unverified/Undocumented (Subtotal D - C)</v>
      </c>
      <c r="D6742" s="211">
        <f>'IWP23'!G$500</f>
        <v>0</v>
      </c>
      <c r="E6742" s="211">
        <f>'IWP23'!H$500</f>
        <v>0</v>
      </c>
      <c r="F6742" s="211">
        <f>'IWP23'!I$500</f>
        <v>0</v>
      </c>
      <c r="G6742" s="191" t="str">
        <f>IF('IWP23'!J$500=0,"",'IWP23'!J$500)</f>
        <v/>
      </c>
      <c r="H6742" s="211">
        <f>'IWP23'!K$500</f>
        <v>0</v>
      </c>
      <c r="I6742" s="211">
        <f>'IWP23'!L$500</f>
        <v>0</v>
      </c>
      <c r="J6742" s="212">
        <f>'IWP23'!M$500</f>
        <v>0</v>
      </c>
      <c r="K6742" s="106"/>
      <c r="L6742" s="106"/>
      <c r="M6742" s="129"/>
    </row>
    <row r="6743" spans="1:13" s="146" customFormat="1">
      <c r="A6743" s="193" t="s">
        <v>521</v>
      </c>
      <c r="B6743" s="210">
        <v>10</v>
      </c>
      <c r="C6743" s="191" t="str">
        <f>IF('IWP23'!E$501=0,"",'IWP23'!E$501)</f>
        <v>J. Billing Period Total</v>
      </c>
      <c r="D6743" s="211">
        <f>'IWP23'!G$501</f>
        <v>0</v>
      </c>
      <c r="E6743" s="211">
        <f>'IWP23'!H$501</f>
        <v>0</v>
      </c>
      <c r="F6743" s="211">
        <f>'IWP23'!I$501</f>
        <v>0</v>
      </c>
      <c r="G6743" s="191" t="str">
        <f>IF('IWP23'!J$501=0,"",'IWP23'!J$501)</f>
        <v/>
      </c>
      <c r="H6743" s="211">
        <f>'IWP23'!K$501</f>
        <v>0</v>
      </c>
      <c r="I6743" s="211">
        <f>'IWP23'!L$501</f>
        <v>0</v>
      </c>
      <c r="J6743" s="212">
        <f>'IWP23'!M$501</f>
        <v>0</v>
      </c>
      <c r="K6743" s="106"/>
      <c r="L6743" s="106"/>
      <c r="M6743" s="129"/>
    </row>
    <row r="6744" spans="1:13" s="146" customFormat="1">
      <c r="A6744" s="193" t="s">
        <v>521</v>
      </c>
      <c r="B6744" s="210">
        <v>10</v>
      </c>
      <c r="C6744" s="191" t="str">
        <f>IF('IWP23'!E$502=0,"",'IWP23'!E$502)</f>
        <v>D.</v>
      </c>
      <c r="D6744" s="211">
        <f>'IWP23'!G$502</f>
        <v>0</v>
      </c>
      <c r="E6744" s="211" t="str">
        <f>'IWP23'!H$502</f>
        <v>E.</v>
      </c>
      <c r="F6744" s="211" t="str">
        <f>'IWP23'!I$502</f>
        <v>F.</v>
      </c>
      <c r="G6744" s="191" t="str">
        <f>IF('IWP23'!J$502=0,"",'IWP23'!J$502)</f>
        <v>G.</v>
      </c>
      <c r="H6744" s="211">
        <f>'IWP23'!K$502</f>
        <v>0</v>
      </c>
      <c r="I6744" s="211" t="str">
        <f>'IWP23'!L$502</f>
        <v>H.</v>
      </c>
      <c r="J6744" s="212" t="str">
        <f>'IWP23'!M$502</f>
        <v>I.</v>
      </c>
      <c r="K6744" s="106"/>
      <c r="L6744" s="106"/>
      <c r="M6744" s="129"/>
    </row>
    <row r="6745" spans="1:13" s="146" customFormat="1">
      <c r="A6745" s="193" t="s">
        <v>521</v>
      </c>
      <c r="B6745" s="210">
        <v>10</v>
      </c>
      <c r="C6745" s="191" t="str">
        <f>IF('IWP23'!E$503=0,"",'IWP23'!E$503)</f>
        <v xml:space="preserve">Items/Services Related to Billing Period </v>
      </c>
      <c r="D6745" s="211">
        <f>'IWP23'!G$503</f>
        <v>0</v>
      </c>
      <c r="E6745" s="211" t="str">
        <f>'IWP23'!H$503</f>
        <v xml:space="preserve">Item/
Service Verified Amounts
</v>
      </c>
      <c r="F6745" s="211" t="str">
        <f>'IWP23'!I$503</f>
        <v>Amount Due to DADS (E. - D.)</v>
      </c>
      <c r="G6745" s="191" t="str">
        <f>IF('IWP23'!J$503=0,"",'IWP23'!J$503)</f>
        <v>Amount Reimbursed to 
Employee(s)/Employer</v>
      </c>
      <c r="H6745" s="211">
        <f>'IWP23'!K$503</f>
        <v>0</v>
      </c>
      <c r="I6745" s="211" t="str">
        <f>'IWP23'!L$503</f>
        <v>Amount Due to Employee(s) (G. - E.)</v>
      </c>
      <c r="J6745" s="212" t="str">
        <f>'IWP23'!M$503</f>
        <v>Amount Due to Employer (G. - E.)</v>
      </c>
      <c r="K6745" s="106"/>
      <c r="L6745" s="106"/>
      <c r="M6745" s="129"/>
    </row>
    <row r="6746" spans="1:13" s="146" customFormat="1">
      <c r="A6746" s="193" t="s">
        <v>521</v>
      </c>
      <c r="B6746" s="210">
        <v>10</v>
      </c>
      <c r="C6746" s="191" t="str">
        <f>IF('IWP23'!E$504=0,"",'IWP23'!E$504)</f>
        <v>Item/Service</v>
      </c>
      <c r="D6746" s="211" t="str">
        <f>'IWP23'!G$504</f>
        <v>Itemized Amount Paid by DADS</v>
      </c>
      <c r="E6746" s="211">
        <f>'IWP23'!H$504</f>
        <v>0</v>
      </c>
      <c r="F6746" s="211">
        <f>'IWP23'!I$504</f>
        <v>0</v>
      </c>
      <c r="G6746" s="191" t="str">
        <f>IF('IWP23'!J$504=0,"",'IWP23'!J$504)</f>
        <v/>
      </c>
      <c r="H6746" s="211">
        <f>'IWP23'!K$504</f>
        <v>0</v>
      </c>
      <c r="I6746" s="211">
        <f>'IWP23'!L$504</f>
        <v>0</v>
      </c>
      <c r="J6746" s="212">
        <f>'IWP23'!M$504</f>
        <v>0</v>
      </c>
      <c r="K6746" s="106"/>
      <c r="L6746" s="106"/>
      <c r="M6746" s="129"/>
    </row>
    <row r="6747" spans="1:13" s="146" customFormat="1">
      <c r="A6747" s="193" t="s">
        <v>521</v>
      </c>
      <c r="B6747" s="210">
        <v>10</v>
      </c>
      <c r="C6747" s="191" t="str">
        <f>IF('IWP23'!E$505=0,"",'IWP23'!E$505)</f>
        <v/>
      </c>
      <c r="D6747" s="211">
        <f>'IWP23'!G$505</f>
        <v>0</v>
      </c>
      <c r="E6747" s="211">
        <f>'IWP23'!H$505</f>
        <v>0</v>
      </c>
      <c r="F6747" s="211">
        <f>'IWP23'!I$505</f>
        <v>0</v>
      </c>
      <c r="G6747" s="191" t="str">
        <f>IF('IWP23'!J$505=0,"",'IWP23'!J$505)</f>
        <v/>
      </c>
      <c r="H6747" s="211">
        <f>'IWP23'!K$505</f>
        <v>0</v>
      </c>
      <c r="I6747" s="211">
        <f>'IWP23'!L$505</f>
        <v>0</v>
      </c>
      <c r="J6747" s="212">
        <f>'IWP23'!M$505</f>
        <v>0</v>
      </c>
      <c r="K6747" s="106"/>
      <c r="L6747" s="106"/>
      <c r="M6747" s="129"/>
    </row>
    <row r="6748" spans="1:13" s="146" customFormat="1">
      <c r="A6748" s="193" t="s">
        <v>521</v>
      </c>
      <c r="B6748" s="210">
        <v>10</v>
      </c>
      <c r="C6748" s="191" t="str">
        <f>IF('IWP23'!E$506=0,"",'IWP23'!E$506)</f>
        <v/>
      </c>
      <c r="D6748" s="211">
        <f>'IWP23'!G$506</f>
        <v>0</v>
      </c>
      <c r="E6748" s="211">
        <f>'IWP23'!H$506</f>
        <v>0</v>
      </c>
      <c r="F6748" s="211">
        <f>'IWP23'!I$506</f>
        <v>0</v>
      </c>
      <c r="G6748" s="191" t="str">
        <f>IF('IWP23'!J$506=0,"",'IWP23'!J$506)</f>
        <v/>
      </c>
      <c r="H6748" s="211">
        <f>'IWP23'!K$506</f>
        <v>0</v>
      </c>
      <c r="I6748" s="211">
        <f>'IWP23'!L$506</f>
        <v>0</v>
      </c>
      <c r="J6748" s="212">
        <f>'IWP23'!M$506</f>
        <v>0</v>
      </c>
      <c r="K6748" s="106"/>
      <c r="L6748" s="106"/>
      <c r="M6748" s="129"/>
    </row>
    <row r="6749" spans="1:13" s="146" customFormat="1">
      <c r="A6749" s="193" t="s">
        <v>521</v>
      </c>
      <c r="B6749" s="210">
        <v>10</v>
      </c>
      <c r="C6749" s="191" t="str">
        <f>IF('IWP23'!E$507=0,"",'IWP23'!E$507)</f>
        <v/>
      </c>
      <c r="D6749" s="211">
        <f>'IWP23'!G$507</f>
        <v>0</v>
      </c>
      <c r="E6749" s="211">
        <f>'IWP23'!H$507</f>
        <v>0</v>
      </c>
      <c r="F6749" s="211">
        <f>'IWP23'!I$507</f>
        <v>0</v>
      </c>
      <c r="G6749" s="191" t="str">
        <f>IF('IWP23'!J$507=0,"",'IWP23'!J$507)</f>
        <v/>
      </c>
      <c r="H6749" s="211">
        <f>'IWP23'!K$507</f>
        <v>0</v>
      </c>
      <c r="I6749" s="211">
        <f>'IWP23'!L$507</f>
        <v>0</v>
      </c>
      <c r="J6749" s="212">
        <f>'IWP23'!M$507</f>
        <v>0</v>
      </c>
      <c r="K6749" s="106"/>
      <c r="L6749" s="106"/>
      <c r="M6749" s="129"/>
    </row>
    <row r="6750" spans="1:13" s="146" customFormat="1">
      <c r="A6750" s="193" t="s">
        <v>521</v>
      </c>
      <c r="B6750" s="210">
        <v>10</v>
      </c>
      <c r="C6750" s="191" t="str">
        <f>IF('IWP23'!E$508=0,"",'IWP23'!E$508)</f>
        <v/>
      </c>
      <c r="D6750" s="211">
        <f>'IWP23'!G$508</f>
        <v>0</v>
      </c>
      <c r="E6750" s="211">
        <f>'IWP23'!H$508</f>
        <v>0</v>
      </c>
      <c r="F6750" s="211">
        <f>'IWP23'!I$508</f>
        <v>0</v>
      </c>
      <c r="G6750" s="191" t="str">
        <f>IF('IWP23'!J$508=0,"",'IWP23'!J$508)</f>
        <v/>
      </c>
      <c r="H6750" s="211">
        <f>'IWP23'!K$508</f>
        <v>0</v>
      </c>
      <c r="I6750" s="211">
        <f>'IWP23'!L$508</f>
        <v>0</v>
      </c>
      <c r="J6750" s="212">
        <f>'IWP23'!M$508</f>
        <v>0</v>
      </c>
      <c r="K6750" s="106"/>
      <c r="L6750" s="106"/>
      <c r="M6750" s="129"/>
    </row>
    <row r="6751" spans="1:13" s="146" customFormat="1">
      <c r="A6751" s="193" t="s">
        <v>521</v>
      </c>
      <c r="B6751" s="210">
        <v>11</v>
      </c>
      <c r="C6751" s="191" t="str">
        <f>IF('IWP23'!E$515=0,"",'IWP23'!E$515)</f>
        <v>Subtotal column D.</v>
      </c>
      <c r="D6751" s="211">
        <f>'IWP23'!G$515</f>
        <v>0</v>
      </c>
      <c r="E6751" s="211">
        <f>'IWP23'!H$515</f>
        <v>0</v>
      </c>
      <c r="F6751" s="211">
        <f>'IWP23'!I$515</f>
        <v>0</v>
      </c>
      <c r="G6751" s="191" t="str">
        <f>IF('IWP23'!J$515=0,"",'IWP23'!J$515)</f>
        <v/>
      </c>
      <c r="H6751" s="211">
        <f>'IWP23'!K$515</f>
        <v>0</v>
      </c>
      <c r="I6751" s="211">
        <f>'IWP23'!L$515</f>
        <v>0</v>
      </c>
      <c r="J6751" s="212">
        <f>'IWP23'!M$515</f>
        <v>0</v>
      </c>
      <c r="K6751" s="106"/>
      <c r="L6751" s="106"/>
      <c r="M6751" s="129"/>
    </row>
    <row r="6752" spans="1:13" s="146" customFormat="1">
      <c r="A6752" s="193" t="s">
        <v>521</v>
      </c>
      <c r="B6752" s="210">
        <v>11</v>
      </c>
      <c r="C6752" s="191" t="str">
        <f>IF('IWP23'!E$516=0,"",'IWP23'!E$516)</f>
        <v>Unverified/Undocumented (Subtotal D - C)</v>
      </c>
      <c r="D6752" s="211">
        <f>'IWP23'!G$516</f>
        <v>0</v>
      </c>
      <c r="E6752" s="211">
        <f>'IWP23'!H$516</f>
        <v>0</v>
      </c>
      <c r="F6752" s="211">
        <f>'IWP23'!I$516</f>
        <v>0</v>
      </c>
      <c r="G6752" s="191" t="str">
        <f>IF('IWP23'!J$516=0,"",'IWP23'!J$516)</f>
        <v/>
      </c>
      <c r="H6752" s="211">
        <f>'IWP23'!K$516</f>
        <v>0</v>
      </c>
      <c r="I6752" s="211">
        <f>'IWP23'!L$516</f>
        <v>0</v>
      </c>
      <c r="J6752" s="212">
        <f>'IWP23'!M$516</f>
        <v>0</v>
      </c>
      <c r="K6752" s="106"/>
      <c r="L6752" s="106"/>
      <c r="M6752" s="129"/>
    </row>
    <row r="6753" spans="1:13" s="146" customFormat="1">
      <c r="A6753" s="193" t="s">
        <v>521</v>
      </c>
      <c r="B6753" s="210">
        <v>11</v>
      </c>
      <c r="C6753" s="191" t="str">
        <f>IF('IWP23'!E$517=0,"",'IWP23'!E$517)</f>
        <v>J. Billing Period Total</v>
      </c>
      <c r="D6753" s="211">
        <f>'IWP23'!G$517</f>
        <v>0</v>
      </c>
      <c r="E6753" s="211">
        <f>'IWP23'!H$517</f>
        <v>0</v>
      </c>
      <c r="F6753" s="211">
        <f>'IWP23'!I$517</f>
        <v>0</v>
      </c>
      <c r="G6753" s="191" t="str">
        <f>IF('IWP23'!J$517=0,"",'IWP23'!J$517)</f>
        <v/>
      </c>
      <c r="H6753" s="211">
        <f>'IWP23'!K$517</f>
        <v>0</v>
      </c>
      <c r="I6753" s="211">
        <f>'IWP23'!L$517</f>
        <v>0</v>
      </c>
      <c r="J6753" s="212">
        <f>'IWP23'!M$517</f>
        <v>0</v>
      </c>
      <c r="K6753" s="106"/>
      <c r="L6753" s="106"/>
      <c r="M6753" s="129"/>
    </row>
    <row r="6754" spans="1:13" s="146" customFormat="1">
      <c r="A6754" s="193" t="s">
        <v>521</v>
      </c>
      <c r="B6754" s="210">
        <v>11</v>
      </c>
      <c r="C6754" s="191" t="str">
        <f>IF('IWP23'!E$518=0,"",'IWP23'!E$518)</f>
        <v>D.</v>
      </c>
      <c r="D6754" s="211">
        <f>'IWP23'!G$518</f>
        <v>0</v>
      </c>
      <c r="E6754" s="211" t="str">
        <f>'IWP23'!H$518</f>
        <v>E.</v>
      </c>
      <c r="F6754" s="211" t="str">
        <f>'IWP23'!I$518</f>
        <v>F.</v>
      </c>
      <c r="G6754" s="191" t="str">
        <f>IF('IWP23'!J$518=0,"",'IWP23'!J$518)</f>
        <v>G.</v>
      </c>
      <c r="H6754" s="211">
        <f>'IWP23'!K$518</f>
        <v>0</v>
      </c>
      <c r="I6754" s="211" t="str">
        <f>'IWP23'!L$518</f>
        <v>H.</v>
      </c>
      <c r="J6754" s="212" t="str">
        <f>'IWP23'!M$518</f>
        <v>I.</v>
      </c>
      <c r="K6754" s="106"/>
      <c r="L6754" s="106"/>
      <c r="M6754" s="129"/>
    </row>
    <row r="6755" spans="1:13" s="146" customFormat="1">
      <c r="A6755" s="193" t="s">
        <v>521</v>
      </c>
      <c r="B6755" s="210">
        <v>11</v>
      </c>
      <c r="C6755" s="191" t="str">
        <f>IF('IWP23'!E$519=0,"",'IWP23'!E$519)</f>
        <v xml:space="preserve">Items/Services Related to Billing Period </v>
      </c>
      <c r="D6755" s="211">
        <f>'IWP23'!G$519</f>
        <v>0</v>
      </c>
      <c r="E6755" s="211" t="str">
        <f>'IWP23'!H$519</f>
        <v xml:space="preserve">Item/
Service Verified Amounts
</v>
      </c>
      <c r="F6755" s="211" t="str">
        <f>'IWP23'!I$519</f>
        <v>Amount Due to DADS (E. - D.)</v>
      </c>
      <c r="G6755" s="191" t="str">
        <f>IF('IWP23'!J$519=0,"",'IWP23'!J$519)</f>
        <v>Amount Reimbursed to 
Employee(s)/Employer</v>
      </c>
      <c r="H6755" s="211">
        <f>'IWP23'!K$519</f>
        <v>0</v>
      </c>
      <c r="I6755" s="211" t="str">
        <f>'IWP23'!L$519</f>
        <v>Amount Due to Employee(s) (G. - E.)</v>
      </c>
      <c r="J6755" s="212" t="str">
        <f>'IWP23'!M$519</f>
        <v>Amount Due to Employer (G. - E.)</v>
      </c>
      <c r="K6755" s="106"/>
      <c r="L6755" s="106"/>
      <c r="M6755" s="129"/>
    </row>
    <row r="6756" spans="1:13" s="146" customFormat="1">
      <c r="A6756" s="193" t="s">
        <v>521</v>
      </c>
      <c r="B6756" s="210">
        <v>11</v>
      </c>
      <c r="C6756" s="191" t="str">
        <f>IF('IWP23'!E$520=0,"",'IWP23'!E$520)</f>
        <v>Item/Service</v>
      </c>
      <c r="D6756" s="211" t="str">
        <f>'IWP23'!G$520</f>
        <v>Itemized Amount Paid by DADS</v>
      </c>
      <c r="E6756" s="211">
        <f>'IWP23'!H$520</f>
        <v>0</v>
      </c>
      <c r="F6756" s="211">
        <f>'IWP23'!I$520</f>
        <v>0</v>
      </c>
      <c r="G6756" s="191" t="str">
        <f>IF('IWP23'!J$520=0,"",'IWP23'!J$520)</f>
        <v/>
      </c>
      <c r="H6756" s="211">
        <f>'IWP23'!K$520</f>
        <v>0</v>
      </c>
      <c r="I6756" s="211">
        <f>'IWP23'!L$520</f>
        <v>0</v>
      </c>
      <c r="J6756" s="212">
        <f>'IWP23'!M$520</f>
        <v>0</v>
      </c>
      <c r="K6756" s="106"/>
      <c r="L6756" s="106"/>
      <c r="M6756" s="129"/>
    </row>
    <row r="6757" spans="1:13" s="146" customFormat="1">
      <c r="A6757" s="193" t="s">
        <v>521</v>
      </c>
      <c r="B6757" s="210">
        <v>11</v>
      </c>
      <c r="C6757" s="191" t="str">
        <f>IF('IWP23'!E$521=0,"",'IWP23'!E$521)</f>
        <v/>
      </c>
      <c r="D6757" s="211">
        <f>'IWP23'!G$521</f>
        <v>0</v>
      </c>
      <c r="E6757" s="211">
        <f>'IWP23'!H$521</f>
        <v>0</v>
      </c>
      <c r="F6757" s="211">
        <f>'IWP23'!I$521</f>
        <v>0</v>
      </c>
      <c r="G6757" s="191" t="str">
        <f>IF('IWP23'!J$521=0,"",'IWP23'!J$521)</f>
        <v/>
      </c>
      <c r="H6757" s="211">
        <f>'IWP23'!K$521</f>
        <v>0</v>
      </c>
      <c r="I6757" s="211">
        <f>'IWP23'!L$521</f>
        <v>0</v>
      </c>
      <c r="J6757" s="212">
        <f>'IWP23'!M$521</f>
        <v>0</v>
      </c>
      <c r="K6757" s="106"/>
      <c r="L6757" s="106"/>
      <c r="M6757" s="129"/>
    </row>
    <row r="6758" spans="1:13" s="146" customFormat="1">
      <c r="A6758" s="193" t="s">
        <v>521</v>
      </c>
      <c r="B6758" s="210">
        <v>11</v>
      </c>
      <c r="C6758" s="191" t="str">
        <f>IF('IWP23'!E$522=0,"",'IWP23'!E$522)</f>
        <v/>
      </c>
      <c r="D6758" s="211">
        <f>'IWP23'!G$522</f>
        <v>0</v>
      </c>
      <c r="E6758" s="211">
        <f>'IWP23'!H$522</f>
        <v>0</v>
      </c>
      <c r="F6758" s="211">
        <f>'IWP23'!I$522</f>
        <v>0</v>
      </c>
      <c r="G6758" s="191" t="str">
        <f>IF('IWP23'!J$522=0,"",'IWP23'!J$522)</f>
        <v/>
      </c>
      <c r="H6758" s="211">
        <f>'IWP23'!K$522</f>
        <v>0</v>
      </c>
      <c r="I6758" s="211">
        <f>'IWP23'!L$522</f>
        <v>0</v>
      </c>
      <c r="J6758" s="212">
        <f>'IWP23'!M$522</f>
        <v>0</v>
      </c>
      <c r="K6758" s="106"/>
      <c r="L6758" s="106"/>
      <c r="M6758" s="129"/>
    </row>
    <row r="6759" spans="1:13" s="146" customFormat="1">
      <c r="A6759" s="193" t="s">
        <v>521</v>
      </c>
      <c r="B6759" s="210">
        <v>11</v>
      </c>
      <c r="C6759" s="191" t="str">
        <f>IF('IWP23'!E$523=0,"",'IWP23'!E$523)</f>
        <v/>
      </c>
      <c r="D6759" s="211">
        <f>'IWP23'!G$523</f>
        <v>0</v>
      </c>
      <c r="E6759" s="211">
        <f>'IWP23'!H$523</f>
        <v>0</v>
      </c>
      <c r="F6759" s="211">
        <f>'IWP23'!I$523</f>
        <v>0</v>
      </c>
      <c r="G6759" s="191" t="str">
        <f>IF('IWP23'!J$523=0,"",'IWP23'!J$523)</f>
        <v/>
      </c>
      <c r="H6759" s="211">
        <f>'IWP23'!K$523</f>
        <v>0</v>
      </c>
      <c r="I6759" s="211">
        <f>'IWP23'!L$523</f>
        <v>0</v>
      </c>
      <c r="J6759" s="212">
        <f>'IWP23'!M$523</f>
        <v>0</v>
      </c>
      <c r="K6759" s="106"/>
      <c r="L6759" s="106"/>
      <c r="M6759" s="129"/>
    </row>
    <row r="6760" spans="1:13" s="146" customFormat="1">
      <c r="A6760" s="193" t="s">
        <v>521</v>
      </c>
      <c r="B6760" s="210">
        <v>11</v>
      </c>
      <c r="C6760" s="191" t="str">
        <f>IF('IWP23'!E$524=0,"",'IWP23'!E$524)</f>
        <v/>
      </c>
      <c r="D6760" s="211">
        <f>'IWP23'!G$524</f>
        <v>0</v>
      </c>
      <c r="E6760" s="211">
        <f>'IWP23'!H$524</f>
        <v>0</v>
      </c>
      <c r="F6760" s="211">
        <f>'IWP23'!I$524</f>
        <v>0</v>
      </c>
      <c r="G6760" s="191" t="str">
        <f>IF('IWP23'!J$524=0,"",'IWP23'!J$524)</f>
        <v/>
      </c>
      <c r="H6760" s="211">
        <f>'IWP23'!K$524</f>
        <v>0</v>
      </c>
      <c r="I6760" s="211">
        <f>'IWP23'!L$524</f>
        <v>0</v>
      </c>
      <c r="J6760" s="212">
        <f>'IWP23'!M$524</f>
        <v>0</v>
      </c>
      <c r="K6760" s="106"/>
      <c r="L6760" s="106"/>
      <c r="M6760" s="129"/>
    </row>
    <row r="6761" spans="1:13" s="146" customFormat="1">
      <c r="A6761" s="193" t="s">
        <v>521</v>
      </c>
      <c r="B6761" s="210">
        <v>12</v>
      </c>
      <c r="C6761" s="191" t="str">
        <f>IF('IWP23'!E$531=0,"",'IWP23'!E$531)</f>
        <v>Subtotal column D.</v>
      </c>
      <c r="D6761" s="211">
        <f>'IWP23'!G$531</f>
        <v>0</v>
      </c>
      <c r="E6761" s="211">
        <f>'IWP23'!H$531</f>
        <v>0</v>
      </c>
      <c r="F6761" s="211">
        <f>'IWP23'!I$531</f>
        <v>0</v>
      </c>
      <c r="G6761" s="191" t="str">
        <f>IF('IWP23'!J$531=0,"",'IWP23'!J$531)</f>
        <v/>
      </c>
      <c r="H6761" s="211">
        <f>'IWP23'!K$531</f>
        <v>0</v>
      </c>
      <c r="I6761" s="211">
        <f>'IWP23'!L$531</f>
        <v>0</v>
      </c>
      <c r="J6761" s="212">
        <f>'IWP23'!M$531</f>
        <v>0</v>
      </c>
      <c r="K6761" s="106"/>
      <c r="L6761" s="106"/>
      <c r="M6761" s="129"/>
    </row>
    <row r="6762" spans="1:13" s="146" customFormat="1">
      <c r="A6762" s="193" t="s">
        <v>521</v>
      </c>
      <c r="B6762" s="210">
        <v>12</v>
      </c>
      <c r="C6762" s="191" t="str">
        <f>IF('IWP23'!E$532=0,"",'IWP23'!E$532)</f>
        <v>Unverified/Undocumented (Subtotal D - C)</v>
      </c>
      <c r="D6762" s="211">
        <f>'IWP23'!G$532</f>
        <v>0</v>
      </c>
      <c r="E6762" s="211">
        <f>'IWP23'!H$532</f>
        <v>0</v>
      </c>
      <c r="F6762" s="211">
        <f>'IWP23'!I$532</f>
        <v>0</v>
      </c>
      <c r="G6762" s="191" t="str">
        <f>IF('IWP23'!J$532=0,"",'IWP23'!J$532)</f>
        <v/>
      </c>
      <c r="H6762" s="211">
        <f>'IWP23'!K$532</f>
        <v>0</v>
      </c>
      <c r="I6762" s="211">
        <f>'IWP23'!L$532</f>
        <v>0</v>
      </c>
      <c r="J6762" s="212">
        <f>'IWP23'!M$532</f>
        <v>0</v>
      </c>
      <c r="K6762" s="106"/>
      <c r="L6762" s="106"/>
      <c r="M6762" s="129"/>
    </row>
    <row r="6763" spans="1:13" s="146" customFormat="1">
      <c r="A6763" s="193" t="s">
        <v>521</v>
      </c>
      <c r="B6763" s="210">
        <v>12</v>
      </c>
      <c r="C6763" s="191" t="str">
        <f>IF('IWP23'!E$533=0,"",'IWP23'!E$533)</f>
        <v>J. Billing Period Total</v>
      </c>
      <c r="D6763" s="211">
        <f>'IWP23'!G$533</f>
        <v>0</v>
      </c>
      <c r="E6763" s="211">
        <f>'IWP23'!H$533</f>
        <v>0</v>
      </c>
      <c r="F6763" s="211">
        <f>'IWP23'!I$533</f>
        <v>0</v>
      </c>
      <c r="G6763" s="191" t="str">
        <f>IF('IWP23'!J$533=0,"",'IWP23'!J$533)</f>
        <v/>
      </c>
      <c r="H6763" s="211">
        <f>'IWP23'!K$533</f>
        <v>0</v>
      </c>
      <c r="I6763" s="211">
        <f>'IWP23'!L$533</f>
        <v>0</v>
      </c>
      <c r="J6763" s="212">
        <f>'IWP23'!M$533</f>
        <v>0</v>
      </c>
      <c r="K6763" s="106"/>
      <c r="L6763" s="106"/>
      <c r="M6763" s="129"/>
    </row>
    <row r="6764" spans="1:13" s="146" customFormat="1">
      <c r="A6764" s="193" t="s">
        <v>521</v>
      </c>
      <c r="B6764" s="210">
        <v>12</v>
      </c>
      <c r="C6764" s="191" t="str">
        <f>IF('IWP23'!E$534=0,"",'IWP23'!E$534)</f>
        <v>D.</v>
      </c>
      <c r="D6764" s="211">
        <f>'IWP23'!G$534</f>
        <v>0</v>
      </c>
      <c r="E6764" s="211" t="str">
        <f>'IWP23'!H$534</f>
        <v>E.</v>
      </c>
      <c r="F6764" s="211" t="str">
        <f>'IWP23'!I$534</f>
        <v>F.</v>
      </c>
      <c r="G6764" s="191" t="str">
        <f>IF('IWP23'!J$534=0,"",'IWP23'!J$534)</f>
        <v>G.</v>
      </c>
      <c r="H6764" s="211">
        <f>'IWP23'!K$534</f>
        <v>0</v>
      </c>
      <c r="I6764" s="211" t="str">
        <f>'IWP23'!L$534</f>
        <v>H.</v>
      </c>
      <c r="J6764" s="212" t="str">
        <f>'IWP23'!M$534</f>
        <v>I.</v>
      </c>
      <c r="K6764" s="106"/>
      <c r="L6764" s="106"/>
      <c r="M6764" s="129"/>
    </row>
    <row r="6765" spans="1:13" s="146" customFormat="1">
      <c r="A6765" s="193" t="s">
        <v>521</v>
      </c>
      <c r="B6765" s="210">
        <v>12</v>
      </c>
      <c r="C6765" s="191" t="str">
        <f>IF('IWP23'!E$535=0,"",'IWP23'!E$535)</f>
        <v xml:space="preserve">Items/Services Related to Billing Period </v>
      </c>
      <c r="D6765" s="211">
        <f>'IWP23'!G$535</f>
        <v>0</v>
      </c>
      <c r="E6765" s="211" t="str">
        <f>'IWP23'!H$535</f>
        <v xml:space="preserve">Item/
Service Verified Amounts
</v>
      </c>
      <c r="F6765" s="211" t="str">
        <f>'IWP23'!I$535</f>
        <v>Amount Due to DADS (E. - D.)</v>
      </c>
      <c r="G6765" s="191" t="str">
        <f>IF('IWP23'!J$535=0,"",'IWP23'!J$535)</f>
        <v>Amount Reimbursed to 
Employee(s)/Employer</v>
      </c>
      <c r="H6765" s="211">
        <f>'IWP23'!K$535</f>
        <v>0</v>
      </c>
      <c r="I6765" s="211" t="str">
        <f>'IWP23'!L$535</f>
        <v>Amount Due to Employee(s) (G. - E.)</v>
      </c>
      <c r="J6765" s="212" t="str">
        <f>'IWP23'!M$535</f>
        <v>Amount Due to Employer (G. - E.)</v>
      </c>
      <c r="K6765" s="106"/>
      <c r="L6765" s="106"/>
      <c r="M6765" s="129"/>
    </row>
    <row r="6766" spans="1:13" s="146" customFormat="1">
      <c r="A6766" s="193" t="s">
        <v>521</v>
      </c>
      <c r="B6766" s="210">
        <v>12</v>
      </c>
      <c r="C6766" s="191" t="str">
        <f>IF('IWP23'!E$536=0,"",'IWP23'!E$536)</f>
        <v>Item/Service</v>
      </c>
      <c r="D6766" s="211" t="str">
        <f>'IWP23'!G$536</f>
        <v>Itemized Amount Paid by DADS</v>
      </c>
      <c r="E6766" s="211">
        <f>'IWP23'!H$536</f>
        <v>0</v>
      </c>
      <c r="F6766" s="211">
        <f>'IWP23'!I$536</f>
        <v>0</v>
      </c>
      <c r="G6766" s="191" t="str">
        <f>IF('IWP23'!J$536=0,"",'IWP23'!J$536)</f>
        <v/>
      </c>
      <c r="H6766" s="211">
        <f>'IWP23'!K$536</f>
        <v>0</v>
      </c>
      <c r="I6766" s="211">
        <f>'IWP23'!L$536</f>
        <v>0</v>
      </c>
      <c r="J6766" s="212">
        <f>'IWP23'!M$536</f>
        <v>0</v>
      </c>
      <c r="K6766" s="106"/>
      <c r="L6766" s="106"/>
      <c r="M6766" s="129"/>
    </row>
    <row r="6767" spans="1:13" s="146" customFormat="1">
      <c r="A6767" s="193" t="s">
        <v>521</v>
      </c>
      <c r="B6767" s="210">
        <v>12</v>
      </c>
      <c r="C6767" s="191" t="str">
        <f>IF('IWP23'!E$537=0,"",'IWP23'!E$537)</f>
        <v/>
      </c>
      <c r="D6767" s="211">
        <f>'IWP23'!G$537</f>
        <v>0</v>
      </c>
      <c r="E6767" s="211">
        <f>'IWP23'!H$537</f>
        <v>0</v>
      </c>
      <c r="F6767" s="211">
        <f>'IWP23'!I$537</f>
        <v>0</v>
      </c>
      <c r="G6767" s="191" t="str">
        <f>IF('IWP23'!J$537=0,"",'IWP23'!J$537)</f>
        <v/>
      </c>
      <c r="H6767" s="211">
        <f>'IWP23'!K$537</f>
        <v>0</v>
      </c>
      <c r="I6767" s="211">
        <f>'IWP23'!L$537</f>
        <v>0</v>
      </c>
      <c r="J6767" s="212">
        <f>'IWP23'!M$537</f>
        <v>0</v>
      </c>
      <c r="K6767" s="106"/>
      <c r="L6767" s="106"/>
      <c r="M6767" s="129"/>
    </row>
    <row r="6768" spans="1:13" s="146" customFormat="1">
      <c r="A6768" s="193" t="s">
        <v>521</v>
      </c>
      <c r="B6768" s="210">
        <v>12</v>
      </c>
      <c r="C6768" s="191" t="str">
        <f>IF('IWP23'!E$538=0,"",'IWP23'!E$538)</f>
        <v/>
      </c>
      <c r="D6768" s="211">
        <f>'IWP23'!G$538</f>
        <v>0</v>
      </c>
      <c r="E6768" s="211">
        <f>'IWP23'!H$538</f>
        <v>0</v>
      </c>
      <c r="F6768" s="211">
        <f>'IWP23'!I$538</f>
        <v>0</v>
      </c>
      <c r="G6768" s="191" t="str">
        <f>IF('IWP23'!J$538=0,"",'IWP23'!J$538)</f>
        <v/>
      </c>
      <c r="H6768" s="211">
        <f>'IWP23'!K$538</f>
        <v>0</v>
      </c>
      <c r="I6768" s="211">
        <f>'IWP23'!L$538</f>
        <v>0</v>
      </c>
      <c r="J6768" s="212">
        <f>'IWP23'!M$538</f>
        <v>0</v>
      </c>
      <c r="K6768" s="106"/>
      <c r="L6768" s="106"/>
      <c r="M6768" s="129"/>
    </row>
    <row r="6769" spans="1:13" s="146" customFormat="1">
      <c r="A6769" s="193" t="s">
        <v>521</v>
      </c>
      <c r="B6769" s="210">
        <v>12</v>
      </c>
      <c r="C6769" s="191" t="str">
        <f>IF('IWP23'!E$539=0,"",'IWP23'!E$539)</f>
        <v/>
      </c>
      <c r="D6769" s="211">
        <f>'IWP23'!G$539</f>
        <v>0</v>
      </c>
      <c r="E6769" s="211">
        <f>'IWP23'!H$539</f>
        <v>0</v>
      </c>
      <c r="F6769" s="211">
        <f>'IWP23'!I$539</f>
        <v>0</v>
      </c>
      <c r="G6769" s="191" t="str">
        <f>IF('IWP23'!J$539=0,"",'IWP23'!J$539)</f>
        <v/>
      </c>
      <c r="H6769" s="211">
        <f>'IWP23'!K$539</f>
        <v>0</v>
      </c>
      <c r="I6769" s="211">
        <f>'IWP23'!L$539</f>
        <v>0</v>
      </c>
      <c r="J6769" s="212">
        <f>'IWP23'!M$539</f>
        <v>0</v>
      </c>
      <c r="K6769" s="106"/>
      <c r="L6769" s="106"/>
      <c r="M6769" s="129"/>
    </row>
    <row r="6770" spans="1:13" s="146" customFormat="1">
      <c r="A6770" s="193" t="s">
        <v>521</v>
      </c>
      <c r="B6770" s="210">
        <v>12</v>
      </c>
      <c r="C6770" s="191" t="str">
        <f>IF('IWP23'!E$540=0,"",'IWP23'!E$540)</f>
        <v/>
      </c>
      <c r="D6770" s="211">
        <f>'IWP23'!G$540</f>
        <v>0</v>
      </c>
      <c r="E6770" s="211">
        <f>'IWP23'!H$540</f>
        <v>0</v>
      </c>
      <c r="F6770" s="211">
        <f>'IWP23'!I$540</f>
        <v>0</v>
      </c>
      <c r="G6770" s="191" t="str">
        <f>IF('IWP23'!J$540=0,"",'IWP23'!J$540)</f>
        <v/>
      </c>
      <c r="H6770" s="211">
        <f>'IWP23'!K$540</f>
        <v>0</v>
      </c>
      <c r="I6770" s="211">
        <f>'IWP23'!L$540</f>
        <v>0</v>
      </c>
      <c r="J6770" s="212">
        <f>'IWP23'!M$540</f>
        <v>0</v>
      </c>
      <c r="K6770" s="106"/>
      <c r="L6770" s="106"/>
      <c r="M6770" s="129"/>
    </row>
    <row r="6771" spans="1:13" s="146" customFormat="1">
      <c r="A6771" s="193" t="s">
        <v>521</v>
      </c>
      <c r="B6771" s="210">
        <v>13</v>
      </c>
      <c r="C6771" s="191" t="str">
        <f>IF('IWP23'!E$547=0,"",'IWP23'!E$547)</f>
        <v>Subtotal column D.</v>
      </c>
      <c r="D6771" s="211">
        <f>'IWP23'!G$547</f>
        <v>0</v>
      </c>
      <c r="E6771" s="211">
        <f>'IWP23'!H$547</f>
        <v>0</v>
      </c>
      <c r="F6771" s="211">
        <f>'IWP23'!I$547</f>
        <v>0</v>
      </c>
      <c r="G6771" s="191" t="str">
        <f>IF('IWP23'!J$547=0,"",'IWP23'!J$547)</f>
        <v/>
      </c>
      <c r="H6771" s="211">
        <f>'IWP23'!K$547</f>
        <v>0</v>
      </c>
      <c r="I6771" s="211">
        <f>'IWP23'!L$547</f>
        <v>0</v>
      </c>
      <c r="J6771" s="212">
        <f>'IWP23'!M$547</f>
        <v>0</v>
      </c>
      <c r="K6771" s="106"/>
      <c r="L6771" s="106"/>
      <c r="M6771" s="129"/>
    </row>
    <row r="6772" spans="1:13" s="146" customFormat="1">
      <c r="A6772" s="193" t="s">
        <v>521</v>
      </c>
      <c r="B6772" s="210">
        <v>13</v>
      </c>
      <c r="C6772" s="191" t="str">
        <f>IF('IWP23'!E$548=0,"",'IWP23'!E$548)</f>
        <v>Unverified/Undocumented (Subtotal D - C)</v>
      </c>
      <c r="D6772" s="211">
        <f>'IWP23'!G$548</f>
        <v>0</v>
      </c>
      <c r="E6772" s="211">
        <f>'IWP23'!H$548</f>
        <v>0</v>
      </c>
      <c r="F6772" s="211">
        <f>'IWP23'!I$548</f>
        <v>0</v>
      </c>
      <c r="G6772" s="191" t="str">
        <f>IF('IWP23'!J$548=0,"",'IWP23'!J$548)</f>
        <v/>
      </c>
      <c r="H6772" s="211">
        <f>'IWP23'!K$548</f>
        <v>0</v>
      </c>
      <c r="I6772" s="211">
        <f>'IWP23'!L$548</f>
        <v>0</v>
      </c>
      <c r="J6772" s="212">
        <f>'IWP23'!M$548</f>
        <v>0</v>
      </c>
      <c r="K6772" s="106"/>
      <c r="L6772" s="106"/>
      <c r="M6772" s="129"/>
    </row>
    <row r="6773" spans="1:13" s="146" customFormat="1">
      <c r="A6773" s="193" t="s">
        <v>521</v>
      </c>
      <c r="B6773" s="210">
        <v>13</v>
      </c>
      <c r="C6773" s="191" t="str">
        <f>IF('IWP23'!E$549=0,"",'IWP23'!E$549)</f>
        <v>J. Billing Period Total</v>
      </c>
      <c r="D6773" s="211">
        <f>'IWP23'!G$549</f>
        <v>0</v>
      </c>
      <c r="E6773" s="211">
        <f>'IWP23'!H$549</f>
        <v>0</v>
      </c>
      <c r="F6773" s="211">
        <f>'IWP23'!I$549</f>
        <v>0</v>
      </c>
      <c r="G6773" s="191" t="str">
        <f>IF('IWP23'!J$549=0,"",'IWP23'!J$549)</f>
        <v/>
      </c>
      <c r="H6773" s="211">
        <f>'IWP23'!K$549</f>
        <v>0</v>
      </c>
      <c r="I6773" s="211">
        <f>'IWP23'!L$549</f>
        <v>0</v>
      </c>
      <c r="J6773" s="212">
        <f>'IWP23'!M$549</f>
        <v>0</v>
      </c>
      <c r="K6773" s="106"/>
      <c r="L6773" s="106"/>
      <c r="M6773" s="129"/>
    </row>
    <row r="6774" spans="1:13" s="146" customFormat="1">
      <c r="A6774" s="193" t="s">
        <v>521</v>
      </c>
      <c r="B6774" s="210">
        <v>13</v>
      </c>
      <c r="C6774" s="191" t="str">
        <f>IF('IWP23'!E$550=0,"",'IWP23'!E$550)</f>
        <v>D.</v>
      </c>
      <c r="D6774" s="211">
        <f>'IWP23'!G$550</f>
        <v>0</v>
      </c>
      <c r="E6774" s="211" t="str">
        <f>'IWP23'!H$550</f>
        <v>E.</v>
      </c>
      <c r="F6774" s="211" t="str">
        <f>'IWP23'!I$550</f>
        <v>F.</v>
      </c>
      <c r="G6774" s="191" t="str">
        <f>IF('IWP23'!J$550=0,"",'IWP23'!J$550)</f>
        <v>G.</v>
      </c>
      <c r="H6774" s="211">
        <f>'IWP23'!K$550</f>
        <v>0</v>
      </c>
      <c r="I6774" s="211" t="str">
        <f>'IWP23'!L$550</f>
        <v>H.</v>
      </c>
      <c r="J6774" s="212" t="str">
        <f>'IWP23'!M$550</f>
        <v>I.</v>
      </c>
      <c r="K6774" s="106"/>
      <c r="L6774" s="106"/>
      <c r="M6774" s="129"/>
    </row>
    <row r="6775" spans="1:13" s="146" customFormat="1">
      <c r="A6775" s="193" t="s">
        <v>521</v>
      </c>
      <c r="B6775" s="210">
        <v>13</v>
      </c>
      <c r="C6775" s="191" t="str">
        <f>IF('IWP23'!E$551=0,"",'IWP23'!E$551)</f>
        <v xml:space="preserve">Items/Services Related to Billing Period </v>
      </c>
      <c r="D6775" s="211">
        <f>'IWP23'!G$551</f>
        <v>0</v>
      </c>
      <c r="E6775" s="211" t="str">
        <f>'IWP23'!H$551</f>
        <v xml:space="preserve">Item/
Service Verified Amounts
</v>
      </c>
      <c r="F6775" s="211" t="str">
        <f>'IWP23'!I$551</f>
        <v>Amount Due to DADS (E. - D.)</v>
      </c>
      <c r="G6775" s="191" t="str">
        <f>IF('IWP23'!J$551=0,"",'IWP23'!J$551)</f>
        <v>Amount Reimbursed to 
Employee(s)/Employer</v>
      </c>
      <c r="H6775" s="211">
        <f>'IWP23'!K$551</f>
        <v>0</v>
      </c>
      <c r="I6775" s="211" t="str">
        <f>'IWP23'!L$551</f>
        <v>Amount Due to Employee(s) (G. - E.)</v>
      </c>
      <c r="J6775" s="212" t="str">
        <f>'IWP23'!M$551</f>
        <v>Amount Due to Employer (G. - E.)</v>
      </c>
      <c r="K6775" s="106"/>
      <c r="L6775" s="106"/>
      <c r="M6775" s="129"/>
    </row>
    <row r="6776" spans="1:13" s="146" customFormat="1">
      <c r="A6776" s="193" t="s">
        <v>521</v>
      </c>
      <c r="B6776" s="210">
        <v>13</v>
      </c>
      <c r="C6776" s="191" t="str">
        <f>IF('IWP23'!E$552=0,"",'IWP23'!E$552)</f>
        <v>Item/Service</v>
      </c>
      <c r="D6776" s="211" t="str">
        <f>'IWP23'!G$552</f>
        <v>Itemized Amount Paid by DADS</v>
      </c>
      <c r="E6776" s="211">
        <f>'IWP23'!H$552</f>
        <v>0</v>
      </c>
      <c r="F6776" s="211">
        <f>'IWP23'!I$552</f>
        <v>0</v>
      </c>
      <c r="G6776" s="191" t="str">
        <f>IF('IWP23'!J$552=0,"",'IWP23'!J$552)</f>
        <v/>
      </c>
      <c r="H6776" s="211">
        <f>'IWP23'!K$552</f>
        <v>0</v>
      </c>
      <c r="I6776" s="211">
        <f>'IWP23'!L$552</f>
        <v>0</v>
      </c>
      <c r="J6776" s="212">
        <f>'IWP23'!M$552</f>
        <v>0</v>
      </c>
      <c r="K6776" s="106"/>
      <c r="L6776" s="106"/>
      <c r="M6776" s="129"/>
    </row>
    <row r="6777" spans="1:13" s="146" customFormat="1">
      <c r="A6777" s="193" t="s">
        <v>521</v>
      </c>
      <c r="B6777" s="210">
        <v>13</v>
      </c>
      <c r="C6777" s="191" t="str">
        <f>IF('IWP23'!E$553=0,"",'IWP23'!E$553)</f>
        <v/>
      </c>
      <c r="D6777" s="211">
        <f>'IWP23'!G$553</f>
        <v>0</v>
      </c>
      <c r="E6777" s="211">
        <f>'IWP23'!H$553</f>
        <v>0</v>
      </c>
      <c r="F6777" s="211">
        <f>'IWP23'!I$553</f>
        <v>0</v>
      </c>
      <c r="G6777" s="191" t="str">
        <f>IF('IWP23'!J$553=0,"",'IWP23'!J$553)</f>
        <v/>
      </c>
      <c r="H6777" s="211">
        <f>'IWP23'!K$553</f>
        <v>0</v>
      </c>
      <c r="I6777" s="211">
        <f>'IWP23'!L$553</f>
        <v>0</v>
      </c>
      <c r="J6777" s="212">
        <f>'IWP23'!M$553</f>
        <v>0</v>
      </c>
      <c r="K6777" s="106"/>
      <c r="L6777" s="106"/>
      <c r="M6777" s="129"/>
    </row>
    <row r="6778" spans="1:13" s="146" customFormat="1">
      <c r="A6778" s="193" t="s">
        <v>521</v>
      </c>
      <c r="B6778" s="210">
        <v>13</v>
      </c>
      <c r="C6778" s="191" t="str">
        <f>IF('IWP23'!E$554=0,"",'IWP23'!E$554)</f>
        <v/>
      </c>
      <c r="D6778" s="211">
        <f>'IWP23'!G$554</f>
        <v>0</v>
      </c>
      <c r="E6778" s="211">
        <f>'IWP23'!H$554</f>
        <v>0</v>
      </c>
      <c r="F6778" s="211">
        <f>'IWP23'!I$554</f>
        <v>0</v>
      </c>
      <c r="G6778" s="191" t="str">
        <f>IF('IWP23'!J$554=0,"",'IWP23'!J$554)</f>
        <v/>
      </c>
      <c r="H6778" s="211">
        <f>'IWP23'!K$554</f>
        <v>0</v>
      </c>
      <c r="I6778" s="211">
        <f>'IWP23'!L$554</f>
        <v>0</v>
      </c>
      <c r="J6778" s="212">
        <f>'IWP23'!M$554</f>
        <v>0</v>
      </c>
      <c r="K6778" s="106"/>
      <c r="L6778" s="106"/>
      <c r="M6778" s="129"/>
    </row>
    <row r="6779" spans="1:13" s="146" customFormat="1">
      <c r="A6779" s="193" t="s">
        <v>521</v>
      </c>
      <c r="B6779" s="210">
        <v>13</v>
      </c>
      <c r="C6779" s="191" t="str">
        <f>IF('IWP23'!E$555=0,"",'IWP23'!E$555)</f>
        <v/>
      </c>
      <c r="D6779" s="211">
        <f>'IWP23'!G$555</f>
        <v>0</v>
      </c>
      <c r="E6779" s="211">
        <f>'IWP23'!H$555</f>
        <v>0</v>
      </c>
      <c r="F6779" s="211">
        <f>'IWP23'!I$555</f>
        <v>0</v>
      </c>
      <c r="G6779" s="191" t="str">
        <f>IF('IWP23'!J$555=0,"",'IWP23'!J$555)</f>
        <v/>
      </c>
      <c r="H6779" s="211">
        <f>'IWP23'!K$555</f>
        <v>0</v>
      </c>
      <c r="I6779" s="211">
        <f>'IWP23'!L$555</f>
        <v>0</v>
      </c>
      <c r="J6779" s="212">
        <f>'IWP23'!M$555</f>
        <v>0</v>
      </c>
      <c r="K6779" s="106"/>
      <c r="L6779" s="106"/>
      <c r="M6779" s="129"/>
    </row>
    <row r="6780" spans="1:13" s="146" customFormat="1">
      <c r="A6780" s="193" t="s">
        <v>521</v>
      </c>
      <c r="B6780" s="210">
        <v>13</v>
      </c>
      <c r="C6780" s="191" t="str">
        <f>IF('IWP23'!E$556=0,"",'IWP23'!E$556)</f>
        <v/>
      </c>
      <c r="D6780" s="211">
        <f>'IWP23'!G$556</f>
        <v>0</v>
      </c>
      <c r="E6780" s="211">
        <f>'IWP23'!H$556</f>
        <v>0</v>
      </c>
      <c r="F6780" s="211">
        <f>'IWP23'!I$556</f>
        <v>0</v>
      </c>
      <c r="G6780" s="191" t="str">
        <f>IF('IWP23'!J$556=0,"",'IWP23'!J$556)</f>
        <v/>
      </c>
      <c r="H6780" s="211">
        <f>'IWP23'!K$556</f>
        <v>0</v>
      </c>
      <c r="I6780" s="211">
        <f>'IWP23'!L$556</f>
        <v>0</v>
      </c>
      <c r="J6780" s="212">
        <f>'IWP23'!M$556</f>
        <v>0</v>
      </c>
      <c r="K6780" s="106"/>
      <c r="L6780" s="106"/>
      <c r="M6780" s="129"/>
    </row>
    <row r="6781" spans="1:13" s="146" customFormat="1">
      <c r="A6781" s="193" t="s">
        <v>521</v>
      </c>
      <c r="B6781" s="210">
        <v>14</v>
      </c>
      <c r="C6781" s="191" t="str">
        <f>IF('IWP23'!E$563=0,"",'IWP23'!E$563)</f>
        <v>Subtotal column D.</v>
      </c>
      <c r="D6781" s="211">
        <f>'IWP23'!G$563</f>
        <v>0</v>
      </c>
      <c r="E6781" s="211">
        <f>'IWP23'!H$563</f>
        <v>0</v>
      </c>
      <c r="F6781" s="211">
        <f>'IWP23'!I$563</f>
        <v>0</v>
      </c>
      <c r="G6781" s="191" t="str">
        <f>IF('IWP23'!J$563=0,"",'IWP23'!J$563)</f>
        <v/>
      </c>
      <c r="H6781" s="211">
        <f>'IWP23'!K$563</f>
        <v>0</v>
      </c>
      <c r="I6781" s="211">
        <f>'IWP23'!L$563</f>
        <v>0</v>
      </c>
      <c r="J6781" s="212">
        <f>'IWP23'!M$563</f>
        <v>0</v>
      </c>
      <c r="K6781" s="106"/>
      <c r="L6781" s="106"/>
      <c r="M6781" s="129"/>
    </row>
    <row r="6782" spans="1:13" s="146" customFormat="1">
      <c r="A6782" s="193" t="s">
        <v>521</v>
      </c>
      <c r="B6782" s="210">
        <v>14</v>
      </c>
      <c r="C6782" s="191" t="str">
        <f>IF('IWP23'!E$564=0,"",'IWP23'!E$564)</f>
        <v>Unverified/Undocumented (Subtotal D - C)</v>
      </c>
      <c r="D6782" s="211">
        <f>'IWP23'!G$564</f>
        <v>0</v>
      </c>
      <c r="E6782" s="211">
        <f>'IWP23'!H$564</f>
        <v>0</v>
      </c>
      <c r="F6782" s="211">
        <f>'IWP23'!I$564</f>
        <v>0</v>
      </c>
      <c r="G6782" s="191" t="str">
        <f>IF('IWP23'!J$564=0,"",'IWP23'!J$564)</f>
        <v/>
      </c>
      <c r="H6782" s="211">
        <f>'IWP23'!K$564</f>
        <v>0</v>
      </c>
      <c r="I6782" s="211">
        <f>'IWP23'!L$564</f>
        <v>0</v>
      </c>
      <c r="J6782" s="212">
        <f>'IWP23'!M$564</f>
        <v>0</v>
      </c>
      <c r="K6782" s="106"/>
      <c r="L6782" s="106"/>
      <c r="M6782" s="129"/>
    </row>
    <row r="6783" spans="1:13" s="146" customFormat="1">
      <c r="A6783" s="193" t="s">
        <v>521</v>
      </c>
      <c r="B6783" s="210">
        <v>14</v>
      </c>
      <c r="C6783" s="191" t="str">
        <f>IF('IWP23'!E$565=0,"",'IWP23'!E$565)</f>
        <v>J. Billing Period Total</v>
      </c>
      <c r="D6783" s="211">
        <f>'IWP23'!G$565</f>
        <v>0</v>
      </c>
      <c r="E6783" s="211">
        <f>'IWP23'!H$565</f>
        <v>0</v>
      </c>
      <c r="F6783" s="211">
        <f>'IWP23'!I$565</f>
        <v>0</v>
      </c>
      <c r="G6783" s="191" t="str">
        <f>IF('IWP23'!J$565=0,"",'IWP23'!J$565)</f>
        <v/>
      </c>
      <c r="H6783" s="211">
        <f>'IWP23'!K$565</f>
        <v>0</v>
      </c>
      <c r="I6783" s="211">
        <f>'IWP23'!L$565</f>
        <v>0</v>
      </c>
      <c r="J6783" s="212">
        <f>'IWP23'!M$565</f>
        <v>0</v>
      </c>
      <c r="K6783" s="106"/>
      <c r="L6783" s="106"/>
      <c r="M6783" s="129"/>
    </row>
    <row r="6784" spans="1:13" s="146" customFormat="1">
      <c r="A6784" s="193" t="s">
        <v>521</v>
      </c>
      <c r="B6784" s="210">
        <v>14</v>
      </c>
      <c r="C6784" s="191" t="str">
        <f>IF('IWP23'!E$566=0,"",'IWP23'!E$566)</f>
        <v>D.</v>
      </c>
      <c r="D6784" s="211">
        <f>'IWP23'!G$566</f>
        <v>0</v>
      </c>
      <c r="E6784" s="211" t="str">
        <f>'IWP23'!H$566</f>
        <v>E.</v>
      </c>
      <c r="F6784" s="211" t="str">
        <f>'IWP23'!I$566</f>
        <v>F.</v>
      </c>
      <c r="G6784" s="191" t="str">
        <f>IF('IWP23'!J$566=0,"",'IWP23'!J$566)</f>
        <v>G.</v>
      </c>
      <c r="H6784" s="211">
        <f>'IWP23'!K$566</f>
        <v>0</v>
      </c>
      <c r="I6784" s="211" t="str">
        <f>'IWP23'!L$566</f>
        <v>H.</v>
      </c>
      <c r="J6784" s="212" t="str">
        <f>'IWP23'!M$566</f>
        <v>I.</v>
      </c>
      <c r="K6784" s="106"/>
      <c r="L6784" s="106"/>
      <c r="M6784" s="129"/>
    </row>
    <row r="6785" spans="1:13" s="146" customFormat="1">
      <c r="A6785" s="193" t="s">
        <v>521</v>
      </c>
      <c r="B6785" s="210">
        <v>14</v>
      </c>
      <c r="C6785" s="191" t="str">
        <f>IF('IWP23'!E$567=0,"",'IWP23'!E$567)</f>
        <v xml:space="preserve">Items/Services Related to Billing Period </v>
      </c>
      <c r="D6785" s="211">
        <f>'IWP23'!G$567</f>
        <v>0</v>
      </c>
      <c r="E6785" s="211" t="str">
        <f>'IWP23'!H$567</f>
        <v xml:space="preserve">Item/
Service Verified Amounts
</v>
      </c>
      <c r="F6785" s="211" t="str">
        <f>'IWP23'!I$567</f>
        <v>Amount Due to DADS (E. - D.)</v>
      </c>
      <c r="G6785" s="191" t="str">
        <f>IF('IWP23'!J$567=0,"",'IWP23'!J$567)</f>
        <v>Amount Reimbursed to 
Employee(s)/Employer</v>
      </c>
      <c r="H6785" s="211">
        <f>'IWP23'!K$567</f>
        <v>0</v>
      </c>
      <c r="I6785" s="211" t="str">
        <f>'IWP23'!L$567</f>
        <v>Amount Due to Employee(s) (G. - E.)</v>
      </c>
      <c r="J6785" s="212" t="str">
        <f>'IWP23'!M$567</f>
        <v>Amount Due to Employer (G. - E.)</v>
      </c>
      <c r="K6785" s="106"/>
      <c r="L6785" s="106"/>
      <c r="M6785" s="129"/>
    </row>
    <row r="6786" spans="1:13" s="146" customFormat="1">
      <c r="A6786" s="193" t="s">
        <v>521</v>
      </c>
      <c r="B6786" s="210">
        <v>14</v>
      </c>
      <c r="C6786" s="191" t="str">
        <f>IF('IWP23'!E$568=0,"",'IWP23'!E$568)</f>
        <v>Item/Service</v>
      </c>
      <c r="D6786" s="211" t="str">
        <f>'IWP23'!G$568</f>
        <v>Itemized Amount Paid by DADS</v>
      </c>
      <c r="E6786" s="211">
        <f>'IWP23'!H$568</f>
        <v>0</v>
      </c>
      <c r="F6786" s="211">
        <f>'IWP23'!I$568</f>
        <v>0</v>
      </c>
      <c r="G6786" s="191" t="str">
        <f>IF('IWP23'!J$568=0,"",'IWP23'!J$568)</f>
        <v/>
      </c>
      <c r="H6786" s="211">
        <f>'IWP23'!K$568</f>
        <v>0</v>
      </c>
      <c r="I6786" s="211">
        <f>'IWP23'!L$568</f>
        <v>0</v>
      </c>
      <c r="J6786" s="212">
        <f>'IWP23'!M$568</f>
        <v>0</v>
      </c>
      <c r="K6786" s="106"/>
      <c r="L6786" s="106"/>
      <c r="M6786" s="129"/>
    </row>
    <row r="6787" spans="1:13" s="146" customFormat="1">
      <c r="A6787" s="193" t="s">
        <v>521</v>
      </c>
      <c r="B6787" s="210">
        <v>14</v>
      </c>
      <c r="C6787" s="191" t="str">
        <f>IF('IWP23'!E$569=0,"",'IWP23'!E$569)</f>
        <v/>
      </c>
      <c r="D6787" s="211">
        <f>'IWP23'!G$569</f>
        <v>0</v>
      </c>
      <c r="E6787" s="211">
        <f>'IWP23'!H$569</f>
        <v>0</v>
      </c>
      <c r="F6787" s="211">
        <f>'IWP23'!I$569</f>
        <v>0</v>
      </c>
      <c r="G6787" s="191" t="str">
        <f>IF('IWP23'!J$569=0,"",'IWP23'!J$569)</f>
        <v/>
      </c>
      <c r="H6787" s="211">
        <f>'IWP23'!K$569</f>
        <v>0</v>
      </c>
      <c r="I6787" s="211">
        <f>'IWP23'!L$569</f>
        <v>0</v>
      </c>
      <c r="J6787" s="212">
        <f>'IWP23'!M$569</f>
        <v>0</v>
      </c>
      <c r="K6787" s="106"/>
      <c r="L6787" s="106"/>
      <c r="M6787" s="129"/>
    </row>
    <row r="6788" spans="1:13" s="146" customFormat="1">
      <c r="A6788" s="193" t="s">
        <v>521</v>
      </c>
      <c r="B6788" s="210">
        <v>14</v>
      </c>
      <c r="C6788" s="191" t="str">
        <f>IF('IWP23'!E$570=0,"",'IWP23'!E$570)</f>
        <v/>
      </c>
      <c r="D6788" s="211">
        <f>'IWP23'!G$570</f>
        <v>0</v>
      </c>
      <c r="E6788" s="211">
        <f>'IWP23'!H$570</f>
        <v>0</v>
      </c>
      <c r="F6788" s="211">
        <f>'IWP23'!I$570</f>
        <v>0</v>
      </c>
      <c r="G6788" s="191" t="str">
        <f>IF('IWP23'!J$570=0,"",'IWP23'!J$570)</f>
        <v/>
      </c>
      <c r="H6788" s="211">
        <f>'IWP23'!K$570</f>
        <v>0</v>
      </c>
      <c r="I6788" s="211">
        <f>'IWP23'!L$570</f>
        <v>0</v>
      </c>
      <c r="J6788" s="212">
        <f>'IWP23'!M$570</f>
        <v>0</v>
      </c>
      <c r="K6788" s="106"/>
      <c r="L6788" s="106"/>
      <c r="M6788" s="129"/>
    </row>
    <row r="6789" spans="1:13" s="146" customFormat="1">
      <c r="A6789" s="193" t="s">
        <v>521</v>
      </c>
      <c r="B6789" s="210">
        <v>14</v>
      </c>
      <c r="C6789" s="191" t="str">
        <f>IF('IWP23'!E$571=0,"",'IWP23'!E$571)</f>
        <v/>
      </c>
      <c r="D6789" s="211">
        <f>'IWP23'!G$571</f>
        <v>0</v>
      </c>
      <c r="E6789" s="211">
        <f>'IWP23'!H$571</f>
        <v>0</v>
      </c>
      <c r="F6789" s="211">
        <f>'IWP23'!I$571</f>
        <v>0</v>
      </c>
      <c r="G6789" s="191" t="str">
        <f>IF('IWP23'!J$571=0,"",'IWP23'!J$571)</f>
        <v/>
      </c>
      <c r="H6789" s="211">
        <f>'IWP23'!K$571</f>
        <v>0</v>
      </c>
      <c r="I6789" s="211">
        <f>'IWP23'!L$571</f>
        <v>0</v>
      </c>
      <c r="J6789" s="212">
        <f>'IWP23'!M$571</f>
        <v>0</v>
      </c>
      <c r="K6789" s="106"/>
      <c r="L6789" s="106"/>
      <c r="M6789" s="129"/>
    </row>
    <row r="6790" spans="1:13" s="146" customFormat="1">
      <c r="A6790" s="193" t="s">
        <v>521</v>
      </c>
      <c r="B6790" s="210">
        <v>14</v>
      </c>
      <c r="C6790" s="191" t="str">
        <f>IF('IWP23'!E$572=0,"",'IWP23'!E$572)</f>
        <v/>
      </c>
      <c r="D6790" s="211">
        <f>'IWP23'!G$572</f>
        <v>0</v>
      </c>
      <c r="E6790" s="211">
        <f>'IWP23'!H$572</f>
        <v>0</v>
      </c>
      <c r="F6790" s="211">
        <f>'IWP23'!I$572</f>
        <v>0</v>
      </c>
      <c r="G6790" s="191" t="str">
        <f>IF('IWP23'!J$572=0,"",'IWP23'!J$572)</f>
        <v/>
      </c>
      <c r="H6790" s="211">
        <f>'IWP23'!K$572</f>
        <v>0</v>
      </c>
      <c r="I6790" s="211">
        <f>'IWP23'!L$572</f>
        <v>0</v>
      </c>
      <c r="J6790" s="212">
        <f>'IWP23'!M$572</f>
        <v>0</v>
      </c>
      <c r="K6790" s="106"/>
      <c r="L6790" s="106"/>
      <c r="M6790" s="129"/>
    </row>
    <row r="6791" spans="1:13" s="146" customFormat="1">
      <c r="A6791" s="193" t="s">
        <v>521</v>
      </c>
      <c r="B6791" s="210">
        <v>15</v>
      </c>
      <c r="C6791" s="191" t="str">
        <f>IF('IWP23'!E$579=0,"",'IWP23'!E$579)</f>
        <v>Subtotal column D.</v>
      </c>
      <c r="D6791" s="211">
        <f>'IWP23'!G$579</f>
        <v>0</v>
      </c>
      <c r="E6791" s="211">
        <f>'IWP23'!H$579</f>
        <v>0</v>
      </c>
      <c r="F6791" s="211">
        <f>'IWP23'!I$579</f>
        <v>0</v>
      </c>
      <c r="G6791" s="191" t="str">
        <f>IF('IWP23'!J$579=0,"",'IWP23'!J$579)</f>
        <v/>
      </c>
      <c r="H6791" s="211">
        <f>'IWP23'!K$579</f>
        <v>0</v>
      </c>
      <c r="I6791" s="211">
        <f>'IWP23'!L$579</f>
        <v>0</v>
      </c>
      <c r="J6791" s="212">
        <f>'IWP23'!M$579</f>
        <v>0</v>
      </c>
      <c r="K6791" s="106"/>
      <c r="L6791" s="106"/>
      <c r="M6791" s="129"/>
    </row>
    <row r="6792" spans="1:13" s="146" customFormat="1">
      <c r="A6792" s="193" t="s">
        <v>521</v>
      </c>
      <c r="B6792" s="210">
        <v>15</v>
      </c>
      <c r="C6792" s="191" t="str">
        <f>IF('IWP23'!E$580=0,"",'IWP23'!E$580)</f>
        <v>Unverified/Undocumented (Subtotal D - C)</v>
      </c>
      <c r="D6792" s="211">
        <f>'IWP23'!G$580</f>
        <v>0</v>
      </c>
      <c r="E6792" s="211">
        <f>'IWP23'!H$580</f>
        <v>0</v>
      </c>
      <c r="F6792" s="211">
        <f>'IWP23'!I$580</f>
        <v>0</v>
      </c>
      <c r="G6792" s="191" t="str">
        <f>IF('IWP23'!J$580=0,"",'IWP23'!J$580)</f>
        <v/>
      </c>
      <c r="H6792" s="211">
        <f>'IWP23'!K$580</f>
        <v>0</v>
      </c>
      <c r="I6792" s="211">
        <f>'IWP23'!L$580</f>
        <v>0</v>
      </c>
      <c r="J6792" s="212">
        <f>'IWP23'!M$580</f>
        <v>0</v>
      </c>
      <c r="K6792" s="106"/>
      <c r="L6792" s="106"/>
      <c r="M6792" s="129"/>
    </row>
    <row r="6793" spans="1:13" s="146" customFormat="1">
      <c r="A6793" s="193" t="s">
        <v>521</v>
      </c>
      <c r="B6793" s="210">
        <v>15</v>
      </c>
      <c r="C6793" s="191" t="str">
        <f>IF('IWP23'!E$581=0,"",'IWP23'!E$581)</f>
        <v>J. Billing Period Total</v>
      </c>
      <c r="D6793" s="211">
        <f>'IWP23'!G$581</f>
        <v>0</v>
      </c>
      <c r="E6793" s="211">
        <f>'IWP23'!H$581</f>
        <v>0</v>
      </c>
      <c r="F6793" s="211">
        <f>'IWP23'!I$581</f>
        <v>0</v>
      </c>
      <c r="G6793" s="191" t="str">
        <f>IF('IWP23'!J$581=0,"",'IWP23'!J$581)</f>
        <v/>
      </c>
      <c r="H6793" s="211">
        <f>'IWP23'!K$581</f>
        <v>0</v>
      </c>
      <c r="I6793" s="211">
        <f>'IWP23'!L$581</f>
        <v>0</v>
      </c>
      <c r="J6793" s="212">
        <f>'IWP23'!M$581</f>
        <v>0</v>
      </c>
      <c r="K6793" s="106"/>
      <c r="L6793" s="106"/>
      <c r="M6793" s="129"/>
    </row>
    <row r="6794" spans="1:13" s="146" customFormat="1">
      <c r="A6794" s="193" t="s">
        <v>521</v>
      </c>
      <c r="B6794" s="210">
        <v>15</v>
      </c>
      <c r="C6794" s="191" t="str">
        <f>IF('IWP23'!E$582=0,"",'IWP23'!E$582)</f>
        <v>D.</v>
      </c>
      <c r="D6794" s="211">
        <f>'IWP23'!G$582</f>
        <v>0</v>
      </c>
      <c r="E6794" s="211" t="str">
        <f>'IWP23'!H$582</f>
        <v>E.</v>
      </c>
      <c r="F6794" s="211" t="str">
        <f>'IWP23'!I$582</f>
        <v>F.</v>
      </c>
      <c r="G6794" s="191" t="str">
        <f>IF('IWP23'!J$582=0,"",'IWP23'!J$582)</f>
        <v>G.</v>
      </c>
      <c r="H6794" s="211">
        <f>'IWP23'!K$582</f>
        <v>0</v>
      </c>
      <c r="I6794" s="211" t="str">
        <f>'IWP23'!L$582</f>
        <v>H.</v>
      </c>
      <c r="J6794" s="212" t="str">
        <f>'IWP23'!M$582</f>
        <v>I.</v>
      </c>
      <c r="K6794" s="106"/>
      <c r="L6794" s="106"/>
      <c r="M6794" s="129"/>
    </row>
    <row r="6795" spans="1:13" s="146" customFormat="1">
      <c r="A6795" s="193" t="s">
        <v>521</v>
      </c>
      <c r="B6795" s="210">
        <v>15</v>
      </c>
      <c r="C6795" s="191" t="str">
        <f>IF('IWP23'!E$583=0,"",'IWP23'!E$583)</f>
        <v xml:space="preserve">Items/Services Related to Billing Period </v>
      </c>
      <c r="D6795" s="211">
        <f>'IWP23'!G$583</f>
        <v>0</v>
      </c>
      <c r="E6795" s="211" t="str">
        <f>'IWP23'!H$583</f>
        <v xml:space="preserve">Item/
Service Verified Amounts
</v>
      </c>
      <c r="F6795" s="211" t="str">
        <f>'IWP23'!I$583</f>
        <v>Amount Due to DADS (E. - D.)</v>
      </c>
      <c r="G6795" s="191" t="str">
        <f>IF('IWP23'!J$583=0,"",'IWP23'!J$583)</f>
        <v>Amount Reimbursed to 
Employee(s)/Employer</v>
      </c>
      <c r="H6795" s="211">
        <f>'IWP23'!K$583</f>
        <v>0</v>
      </c>
      <c r="I6795" s="211" t="str">
        <f>'IWP23'!L$583</f>
        <v>Amount Due to Employee(s) (G. - E.)</v>
      </c>
      <c r="J6795" s="212" t="str">
        <f>'IWP23'!M$583</f>
        <v>Amount Due to Employer (G. - E.)</v>
      </c>
      <c r="K6795" s="106"/>
      <c r="L6795" s="106"/>
      <c r="M6795" s="129"/>
    </row>
    <row r="6796" spans="1:13" s="146" customFormat="1">
      <c r="A6796" s="193" t="s">
        <v>521</v>
      </c>
      <c r="B6796" s="210">
        <v>15</v>
      </c>
      <c r="C6796" s="191" t="str">
        <f>IF('IWP23'!E$584=0,"",'IWP23'!E$584)</f>
        <v>Item/Service</v>
      </c>
      <c r="D6796" s="211" t="str">
        <f>'IWP23'!G$584</f>
        <v>Itemized Amount Paid by DADS</v>
      </c>
      <c r="E6796" s="211">
        <f>'IWP23'!H$584</f>
        <v>0</v>
      </c>
      <c r="F6796" s="211">
        <f>'IWP23'!I$584</f>
        <v>0</v>
      </c>
      <c r="G6796" s="191" t="str">
        <f>IF('IWP23'!J$584=0,"",'IWP23'!J$584)</f>
        <v/>
      </c>
      <c r="H6796" s="211">
        <f>'IWP23'!K$584</f>
        <v>0</v>
      </c>
      <c r="I6796" s="211">
        <f>'IWP23'!L$584</f>
        <v>0</v>
      </c>
      <c r="J6796" s="212">
        <f>'IWP23'!M$584</f>
        <v>0</v>
      </c>
      <c r="K6796" s="106"/>
      <c r="L6796" s="106"/>
      <c r="M6796" s="129"/>
    </row>
    <row r="6797" spans="1:13" s="146" customFormat="1">
      <c r="A6797" s="193" t="s">
        <v>521</v>
      </c>
      <c r="B6797" s="210">
        <v>15</v>
      </c>
      <c r="C6797" s="191" t="str">
        <f>IF('IWP23'!E$585=0,"",'IWP23'!E$585)</f>
        <v/>
      </c>
      <c r="D6797" s="211">
        <f>'IWP23'!G$585</f>
        <v>0</v>
      </c>
      <c r="E6797" s="211">
        <f>'IWP23'!H$585</f>
        <v>0</v>
      </c>
      <c r="F6797" s="211">
        <f>'IWP23'!I$585</f>
        <v>0</v>
      </c>
      <c r="G6797" s="191" t="str">
        <f>IF('IWP23'!J$585=0,"",'IWP23'!J$585)</f>
        <v/>
      </c>
      <c r="H6797" s="211">
        <f>'IWP23'!K$585</f>
        <v>0</v>
      </c>
      <c r="I6797" s="211">
        <f>'IWP23'!L$585</f>
        <v>0</v>
      </c>
      <c r="J6797" s="212">
        <f>'IWP23'!M$585</f>
        <v>0</v>
      </c>
      <c r="K6797" s="106"/>
      <c r="L6797" s="106"/>
      <c r="M6797" s="129"/>
    </row>
    <row r="6798" spans="1:13" s="146" customFormat="1">
      <c r="A6798" s="193" t="s">
        <v>521</v>
      </c>
      <c r="B6798" s="210">
        <v>15</v>
      </c>
      <c r="C6798" s="191" t="str">
        <f>IF('IWP23'!E$586=0,"",'IWP23'!E$586)</f>
        <v/>
      </c>
      <c r="D6798" s="211">
        <f>'IWP23'!G$586</f>
        <v>0</v>
      </c>
      <c r="E6798" s="211">
        <f>'IWP23'!H$586</f>
        <v>0</v>
      </c>
      <c r="F6798" s="211">
        <f>'IWP23'!I$586</f>
        <v>0</v>
      </c>
      <c r="G6798" s="191" t="str">
        <f>IF('IWP23'!J$586=0,"",'IWP23'!J$586)</f>
        <v/>
      </c>
      <c r="H6798" s="211">
        <f>'IWP23'!K$586</f>
        <v>0</v>
      </c>
      <c r="I6798" s="211">
        <f>'IWP23'!L$586</f>
        <v>0</v>
      </c>
      <c r="J6798" s="212">
        <f>'IWP23'!M$586</f>
        <v>0</v>
      </c>
      <c r="K6798" s="106"/>
      <c r="L6798" s="106"/>
      <c r="M6798" s="129"/>
    </row>
    <row r="6799" spans="1:13" s="146" customFormat="1">
      <c r="A6799" s="193" t="s">
        <v>521</v>
      </c>
      <c r="B6799" s="210">
        <v>15</v>
      </c>
      <c r="C6799" s="191" t="str">
        <f>IF('IWP23'!E$587=0,"",'IWP23'!E$587)</f>
        <v/>
      </c>
      <c r="D6799" s="211">
        <f>'IWP23'!G$587</f>
        <v>0</v>
      </c>
      <c r="E6799" s="211">
        <f>'IWP23'!H$587</f>
        <v>0</v>
      </c>
      <c r="F6799" s="211">
        <f>'IWP23'!I$587</f>
        <v>0</v>
      </c>
      <c r="G6799" s="191" t="str">
        <f>IF('IWP23'!J$587=0,"",'IWP23'!J$587)</f>
        <v/>
      </c>
      <c r="H6799" s="211">
        <f>'IWP23'!K$587</f>
        <v>0</v>
      </c>
      <c r="I6799" s="211">
        <f>'IWP23'!L$587</f>
        <v>0</v>
      </c>
      <c r="J6799" s="212">
        <f>'IWP23'!M$587</f>
        <v>0</v>
      </c>
      <c r="K6799" s="106"/>
      <c r="L6799" s="106"/>
      <c r="M6799" s="129"/>
    </row>
    <row r="6800" spans="1:13" s="146" customFormat="1">
      <c r="A6800" s="193" t="s">
        <v>521</v>
      </c>
      <c r="B6800" s="210">
        <v>15</v>
      </c>
      <c r="C6800" s="191" t="str">
        <f>IF('IWP23'!E$588=0,"",'IWP23'!E$588)</f>
        <v/>
      </c>
      <c r="D6800" s="211">
        <f>'IWP23'!G$588</f>
        <v>0</v>
      </c>
      <c r="E6800" s="211">
        <f>'IWP23'!H$588</f>
        <v>0</v>
      </c>
      <c r="F6800" s="211">
        <f>'IWP23'!I$588</f>
        <v>0</v>
      </c>
      <c r="G6800" s="191" t="str">
        <f>IF('IWP23'!J$588=0,"",'IWP23'!J$588)</f>
        <v/>
      </c>
      <c r="H6800" s="211">
        <f>'IWP23'!K$588</f>
        <v>0</v>
      </c>
      <c r="I6800" s="211">
        <f>'IWP23'!L$588</f>
        <v>0</v>
      </c>
      <c r="J6800" s="212">
        <f>'IWP23'!M$588</f>
        <v>0</v>
      </c>
      <c r="K6800" s="106"/>
      <c r="L6800" s="106"/>
      <c r="M6800" s="129"/>
    </row>
    <row r="6801" spans="1:13" s="146" customFormat="1">
      <c r="A6801" s="193" t="s">
        <v>521</v>
      </c>
      <c r="B6801" s="210">
        <v>16</v>
      </c>
      <c r="C6801" s="191" t="str">
        <f>IF('IWP23'!E$595=0,"",'IWP23'!E$595)</f>
        <v>Subtotal column D.</v>
      </c>
      <c r="D6801" s="211">
        <f>'IWP23'!G$595</f>
        <v>0</v>
      </c>
      <c r="E6801" s="211">
        <f>'IWP23'!H$595</f>
        <v>0</v>
      </c>
      <c r="F6801" s="211">
        <f>'IWP23'!I$595</f>
        <v>0</v>
      </c>
      <c r="G6801" s="191" t="str">
        <f>IF('IWP23'!J$595=0,"",'IWP23'!J$595)</f>
        <v/>
      </c>
      <c r="H6801" s="211">
        <f>'IWP23'!K$595</f>
        <v>0</v>
      </c>
      <c r="I6801" s="211">
        <f>'IWP23'!L$595</f>
        <v>0</v>
      </c>
      <c r="J6801" s="212">
        <f>'IWP23'!M$595</f>
        <v>0</v>
      </c>
      <c r="K6801" s="106"/>
      <c r="L6801" s="106"/>
      <c r="M6801" s="129"/>
    </row>
    <row r="6802" spans="1:13" s="146" customFormat="1">
      <c r="A6802" s="193" t="s">
        <v>521</v>
      </c>
      <c r="B6802" s="210">
        <v>16</v>
      </c>
      <c r="C6802" s="191" t="str">
        <f>IF('IWP23'!E$596=0,"",'IWP23'!E$596)</f>
        <v>Unverified/Undocumented (Subtotal D - C)</v>
      </c>
      <c r="D6802" s="211">
        <f>'IWP23'!G$596</f>
        <v>0</v>
      </c>
      <c r="E6802" s="211">
        <f>'IWP23'!H$596</f>
        <v>0</v>
      </c>
      <c r="F6802" s="211">
        <f>'IWP23'!I$596</f>
        <v>0</v>
      </c>
      <c r="G6802" s="191" t="str">
        <f>IF('IWP23'!J$596=0,"",'IWP23'!J$596)</f>
        <v/>
      </c>
      <c r="H6802" s="211">
        <f>'IWP23'!K$596</f>
        <v>0</v>
      </c>
      <c r="I6802" s="211">
        <f>'IWP23'!L$596</f>
        <v>0</v>
      </c>
      <c r="J6802" s="212">
        <f>'IWP23'!M$596</f>
        <v>0</v>
      </c>
      <c r="K6802" s="106"/>
      <c r="L6802" s="106"/>
      <c r="M6802" s="129"/>
    </row>
    <row r="6803" spans="1:13" s="146" customFormat="1">
      <c r="A6803" s="193" t="s">
        <v>521</v>
      </c>
      <c r="B6803" s="210">
        <v>16</v>
      </c>
      <c r="C6803" s="191" t="str">
        <f>IF('IWP23'!E$597=0,"",'IWP23'!E$597)</f>
        <v>J. Billing Period Total</v>
      </c>
      <c r="D6803" s="211">
        <f>'IWP23'!G$597</f>
        <v>0</v>
      </c>
      <c r="E6803" s="211">
        <f>'IWP23'!H$597</f>
        <v>0</v>
      </c>
      <c r="F6803" s="211">
        <f>'IWP23'!I$597</f>
        <v>0</v>
      </c>
      <c r="G6803" s="191" t="str">
        <f>IF('IWP23'!J$597=0,"",'IWP23'!J$597)</f>
        <v/>
      </c>
      <c r="H6803" s="211">
        <f>'IWP23'!K$597</f>
        <v>0</v>
      </c>
      <c r="I6803" s="211">
        <f>'IWP23'!L$597</f>
        <v>0</v>
      </c>
      <c r="J6803" s="212">
        <f>'IWP23'!M$597</f>
        <v>0</v>
      </c>
      <c r="K6803" s="106"/>
      <c r="L6803" s="106"/>
      <c r="M6803" s="129"/>
    </row>
    <row r="6804" spans="1:13" s="146" customFormat="1">
      <c r="A6804" s="193" t="s">
        <v>521</v>
      </c>
      <c r="B6804" s="210">
        <v>16</v>
      </c>
      <c r="C6804" s="191" t="str">
        <f>IF('IWP23'!E$598=0,"",'IWP23'!E$598)</f>
        <v>D.</v>
      </c>
      <c r="D6804" s="211">
        <f>'IWP23'!G$598</f>
        <v>0</v>
      </c>
      <c r="E6804" s="211" t="str">
        <f>'IWP23'!H$598</f>
        <v>E.</v>
      </c>
      <c r="F6804" s="211" t="str">
        <f>'IWP23'!I$598</f>
        <v>F.</v>
      </c>
      <c r="G6804" s="191" t="str">
        <f>IF('IWP23'!J$598=0,"",'IWP23'!J$598)</f>
        <v>G.</v>
      </c>
      <c r="H6804" s="211">
        <f>'IWP23'!K$598</f>
        <v>0</v>
      </c>
      <c r="I6804" s="211" t="str">
        <f>'IWP23'!L$598</f>
        <v>H.</v>
      </c>
      <c r="J6804" s="212" t="str">
        <f>'IWP23'!M$598</f>
        <v>I.</v>
      </c>
      <c r="K6804" s="106"/>
      <c r="L6804" s="106"/>
      <c r="M6804" s="129"/>
    </row>
    <row r="6805" spans="1:13" s="146" customFormat="1">
      <c r="A6805" s="193" t="s">
        <v>521</v>
      </c>
      <c r="B6805" s="210">
        <v>16</v>
      </c>
      <c r="C6805" s="191" t="str">
        <f>IF('IWP23'!E$599=0,"",'IWP23'!E$599)</f>
        <v xml:space="preserve">Items/Services Related to Billing Period </v>
      </c>
      <c r="D6805" s="211">
        <f>'IWP23'!G$599</f>
        <v>0</v>
      </c>
      <c r="E6805" s="211" t="str">
        <f>'IWP23'!H$599</f>
        <v xml:space="preserve">Item/
Service Verified Amounts
</v>
      </c>
      <c r="F6805" s="211" t="str">
        <f>'IWP23'!I$599</f>
        <v>Amount Due to DADS (E. - D.)</v>
      </c>
      <c r="G6805" s="191" t="str">
        <f>IF('IWP23'!J$599=0,"",'IWP23'!J$599)</f>
        <v>Amount Reimbursed to 
Employee(s)/Employer</v>
      </c>
      <c r="H6805" s="211">
        <f>'IWP23'!K$599</f>
        <v>0</v>
      </c>
      <c r="I6805" s="211" t="str">
        <f>'IWP23'!L$599</f>
        <v>Amount Due to Employee(s) (G. - E.)</v>
      </c>
      <c r="J6805" s="212" t="str">
        <f>'IWP23'!M$599</f>
        <v>Amount Due to Employer (G. - E.)</v>
      </c>
      <c r="K6805" s="106"/>
      <c r="L6805" s="106"/>
      <c r="M6805" s="129"/>
    </row>
    <row r="6806" spans="1:13" s="146" customFormat="1">
      <c r="A6806" s="193" t="s">
        <v>521</v>
      </c>
      <c r="B6806" s="210">
        <v>16</v>
      </c>
      <c r="C6806" s="191" t="str">
        <f>IF('IWP23'!E$600=0,"",'IWP23'!E$600)</f>
        <v>Item/Service</v>
      </c>
      <c r="D6806" s="211" t="str">
        <f>'IWP23'!G$600</f>
        <v>Itemized Amount Paid by DADS</v>
      </c>
      <c r="E6806" s="211">
        <f>'IWP23'!H$600</f>
        <v>0</v>
      </c>
      <c r="F6806" s="211">
        <f>'IWP23'!I$600</f>
        <v>0</v>
      </c>
      <c r="G6806" s="191" t="str">
        <f>IF('IWP23'!J$600=0,"",'IWP23'!J$600)</f>
        <v/>
      </c>
      <c r="H6806" s="211">
        <f>'IWP23'!K$600</f>
        <v>0</v>
      </c>
      <c r="I6806" s="211">
        <f>'IWP23'!L$600</f>
        <v>0</v>
      </c>
      <c r="J6806" s="212">
        <f>'IWP23'!M$600</f>
        <v>0</v>
      </c>
      <c r="K6806" s="106"/>
      <c r="L6806" s="106"/>
      <c r="M6806" s="129"/>
    </row>
    <row r="6807" spans="1:13" s="146" customFormat="1">
      <c r="A6807" s="193" t="s">
        <v>521</v>
      </c>
      <c r="B6807" s="210">
        <v>16</v>
      </c>
      <c r="C6807" s="191" t="str">
        <f>IF('IWP23'!E$601=0,"",'IWP23'!E$601)</f>
        <v/>
      </c>
      <c r="D6807" s="211">
        <f>'IWP23'!G$601</f>
        <v>0</v>
      </c>
      <c r="E6807" s="211">
        <f>'IWP23'!H$601</f>
        <v>0</v>
      </c>
      <c r="F6807" s="211">
        <f>'IWP23'!I$601</f>
        <v>0</v>
      </c>
      <c r="G6807" s="191" t="str">
        <f>IF('IWP23'!J$601=0,"",'IWP23'!J$601)</f>
        <v/>
      </c>
      <c r="H6807" s="211">
        <f>'IWP23'!K$601</f>
        <v>0</v>
      </c>
      <c r="I6807" s="211">
        <f>'IWP23'!L$601</f>
        <v>0</v>
      </c>
      <c r="J6807" s="212">
        <f>'IWP23'!M$601</f>
        <v>0</v>
      </c>
      <c r="K6807" s="106"/>
      <c r="L6807" s="106"/>
      <c r="M6807" s="129"/>
    </row>
    <row r="6808" spans="1:13" s="146" customFormat="1">
      <c r="A6808" s="193" t="s">
        <v>521</v>
      </c>
      <c r="B6808" s="210">
        <v>16</v>
      </c>
      <c r="C6808" s="191" t="str">
        <f>IF('IWP23'!E$602=0,"",'IWP23'!E$602)</f>
        <v/>
      </c>
      <c r="D6808" s="211">
        <f>'IWP23'!G$602</f>
        <v>0</v>
      </c>
      <c r="E6808" s="211">
        <f>'IWP23'!H$602</f>
        <v>0</v>
      </c>
      <c r="F6808" s="211">
        <f>'IWP23'!I$602</f>
        <v>0</v>
      </c>
      <c r="G6808" s="191" t="str">
        <f>IF('IWP23'!J$602=0,"",'IWP23'!J$602)</f>
        <v/>
      </c>
      <c r="H6808" s="211">
        <f>'IWP23'!K$602</f>
        <v>0</v>
      </c>
      <c r="I6808" s="211">
        <f>'IWP23'!L$602</f>
        <v>0</v>
      </c>
      <c r="J6808" s="212">
        <f>'IWP23'!M$602</f>
        <v>0</v>
      </c>
      <c r="K6808" s="106"/>
      <c r="L6808" s="106"/>
      <c r="M6808" s="129"/>
    </row>
    <row r="6809" spans="1:13" s="146" customFormat="1">
      <c r="A6809" s="193" t="s">
        <v>521</v>
      </c>
      <c r="B6809" s="210">
        <v>16</v>
      </c>
      <c r="C6809" s="191" t="str">
        <f>IF('IWP23'!E$603=0,"",'IWP23'!E$603)</f>
        <v/>
      </c>
      <c r="D6809" s="211">
        <f>'IWP23'!G$603</f>
        <v>0</v>
      </c>
      <c r="E6809" s="211">
        <f>'IWP23'!H$603</f>
        <v>0</v>
      </c>
      <c r="F6809" s="211">
        <f>'IWP23'!I$603</f>
        <v>0</v>
      </c>
      <c r="G6809" s="191" t="str">
        <f>IF('IWP23'!J$603=0,"",'IWP23'!J$603)</f>
        <v/>
      </c>
      <c r="H6809" s="211">
        <f>'IWP23'!K$603</f>
        <v>0</v>
      </c>
      <c r="I6809" s="211">
        <f>'IWP23'!L$603</f>
        <v>0</v>
      </c>
      <c r="J6809" s="212">
        <f>'IWP23'!M$603</f>
        <v>0</v>
      </c>
      <c r="K6809" s="106"/>
      <c r="L6809" s="106"/>
      <c r="M6809" s="129"/>
    </row>
    <row r="6810" spans="1:13" s="146" customFormat="1">
      <c r="A6810" s="193" t="s">
        <v>521</v>
      </c>
      <c r="B6810" s="210">
        <v>16</v>
      </c>
      <c r="C6810" s="191" t="str">
        <f>IF('IWP23'!E$604=0,"",'IWP23'!E$604)</f>
        <v/>
      </c>
      <c r="D6810" s="211">
        <f>'IWP23'!G$604</f>
        <v>0</v>
      </c>
      <c r="E6810" s="211">
        <f>'IWP23'!H$604</f>
        <v>0</v>
      </c>
      <c r="F6810" s="211">
        <f>'IWP23'!I$604</f>
        <v>0</v>
      </c>
      <c r="G6810" s="191" t="str">
        <f>IF('IWP23'!J$604=0,"",'IWP23'!J$604)</f>
        <v/>
      </c>
      <c r="H6810" s="211">
        <f>'IWP23'!K$604</f>
        <v>0</v>
      </c>
      <c r="I6810" s="211">
        <f>'IWP23'!L$604</f>
        <v>0</v>
      </c>
      <c r="J6810" s="212">
        <f>'IWP23'!M$604</f>
        <v>0</v>
      </c>
      <c r="K6810" s="106"/>
      <c r="L6810" s="106"/>
      <c r="M6810" s="129"/>
    </row>
    <row r="6811" spans="1:13" s="146" customFormat="1">
      <c r="A6811" s="193" t="s">
        <v>521</v>
      </c>
      <c r="B6811" s="210">
        <v>17</v>
      </c>
      <c r="C6811" s="191" t="str">
        <f>IF('IWP23'!E$611=0,"",'IWP23'!E$611)</f>
        <v>Subtotal column D.</v>
      </c>
      <c r="D6811" s="211">
        <f>'IWP23'!G$611</f>
        <v>0</v>
      </c>
      <c r="E6811" s="211">
        <f>'IWP23'!H$611</f>
        <v>0</v>
      </c>
      <c r="F6811" s="211">
        <f>'IWP23'!I$611</f>
        <v>0</v>
      </c>
      <c r="G6811" s="191" t="str">
        <f>IF('IWP23'!J$611=0,"",'IWP23'!J$611)</f>
        <v/>
      </c>
      <c r="H6811" s="211">
        <f>'IWP23'!K$611</f>
        <v>0</v>
      </c>
      <c r="I6811" s="211">
        <f>'IWP23'!L$611</f>
        <v>0</v>
      </c>
      <c r="J6811" s="212">
        <f>'IWP23'!M$611</f>
        <v>0</v>
      </c>
      <c r="K6811" s="106"/>
      <c r="L6811" s="106"/>
      <c r="M6811" s="129"/>
    </row>
    <row r="6812" spans="1:13" s="146" customFormat="1">
      <c r="A6812" s="193" t="s">
        <v>521</v>
      </c>
      <c r="B6812" s="210">
        <v>17</v>
      </c>
      <c r="C6812" s="191" t="str">
        <f>IF('IWP23'!E$612=0,"",'IWP23'!E$612)</f>
        <v>Unverified/Undocumented (Subtotal D - C)</v>
      </c>
      <c r="D6812" s="211">
        <f>'IWP23'!G$612</f>
        <v>0</v>
      </c>
      <c r="E6812" s="211">
        <f>'IWP23'!H$612</f>
        <v>0</v>
      </c>
      <c r="F6812" s="211">
        <f>'IWP23'!I$612</f>
        <v>0</v>
      </c>
      <c r="G6812" s="191" t="str">
        <f>IF('IWP23'!J$612=0,"",'IWP23'!J$612)</f>
        <v/>
      </c>
      <c r="H6812" s="211">
        <f>'IWP23'!K$612</f>
        <v>0</v>
      </c>
      <c r="I6812" s="211">
        <f>'IWP23'!L$612</f>
        <v>0</v>
      </c>
      <c r="J6812" s="212">
        <f>'IWP23'!M$612</f>
        <v>0</v>
      </c>
      <c r="K6812" s="106"/>
      <c r="L6812" s="106"/>
      <c r="M6812" s="129"/>
    </row>
    <row r="6813" spans="1:13" s="146" customFormat="1">
      <c r="A6813" s="193" t="s">
        <v>521</v>
      </c>
      <c r="B6813" s="210">
        <v>17</v>
      </c>
      <c r="C6813" s="191" t="str">
        <f>IF('IWP23'!E$613=0,"",'IWP23'!E$613)</f>
        <v>J. Billing Period Total</v>
      </c>
      <c r="D6813" s="211">
        <f>'IWP23'!G$613</f>
        <v>0</v>
      </c>
      <c r="E6813" s="211">
        <f>'IWP23'!H$613</f>
        <v>0</v>
      </c>
      <c r="F6813" s="211">
        <f>'IWP23'!I$613</f>
        <v>0</v>
      </c>
      <c r="G6813" s="191" t="str">
        <f>IF('IWP23'!J$613=0,"",'IWP23'!J$613)</f>
        <v/>
      </c>
      <c r="H6813" s="211">
        <f>'IWP23'!K$613</f>
        <v>0</v>
      </c>
      <c r="I6813" s="211">
        <f>'IWP23'!L$613</f>
        <v>0</v>
      </c>
      <c r="J6813" s="212">
        <f>'IWP23'!M$613</f>
        <v>0</v>
      </c>
      <c r="K6813" s="106"/>
      <c r="L6813" s="106"/>
      <c r="M6813" s="129"/>
    </row>
    <row r="6814" spans="1:13" s="146" customFormat="1">
      <c r="A6814" s="193" t="s">
        <v>521</v>
      </c>
      <c r="B6814" s="210">
        <v>17</v>
      </c>
      <c r="C6814" s="191" t="str">
        <f>IF('IWP23'!E$614=0,"",'IWP23'!E$614)</f>
        <v/>
      </c>
      <c r="D6814" s="211">
        <f>'IWP23'!G$614</f>
        <v>0</v>
      </c>
      <c r="E6814" s="211">
        <f>'IWP23'!H$614</f>
        <v>0</v>
      </c>
      <c r="F6814" s="211">
        <f>'IWP23'!I$614</f>
        <v>0</v>
      </c>
      <c r="G6814" s="191" t="str">
        <f>IF('IWP23'!J$614=0,"",'IWP23'!J$614)</f>
        <v/>
      </c>
      <c r="H6814" s="211">
        <f>'IWP23'!K$614</f>
        <v>0</v>
      </c>
      <c r="I6814" s="211">
        <f>'IWP23'!L$614</f>
        <v>0</v>
      </c>
      <c r="J6814" s="212">
        <f>'IWP23'!M$614</f>
        <v>0</v>
      </c>
      <c r="K6814" s="106"/>
      <c r="L6814" s="106"/>
      <c r="M6814" s="129"/>
    </row>
    <row r="6815" spans="1:13" s="146" customFormat="1">
      <c r="A6815" s="193" t="s">
        <v>521</v>
      </c>
      <c r="B6815" s="210">
        <v>17</v>
      </c>
      <c r="C6815" s="191" t="str">
        <f>IF('IWP23'!E$615=0,"",'IWP23'!E$615)</f>
        <v/>
      </c>
      <c r="D6815" s="211">
        <f>'IWP23'!G$615</f>
        <v>0</v>
      </c>
      <c r="E6815" s="211">
        <f>'IWP23'!H$615</f>
        <v>0</v>
      </c>
      <c r="F6815" s="211">
        <f>'IWP23'!I$615</f>
        <v>0</v>
      </c>
      <c r="G6815" s="191" t="str">
        <f>IF('IWP23'!J$615=0,"",'IWP23'!J$615)</f>
        <v/>
      </c>
      <c r="H6815" s="211">
        <f>'IWP23'!K$615</f>
        <v>0</v>
      </c>
      <c r="I6815" s="211">
        <f>'IWP23'!L$615</f>
        <v>0</v>
      </c>
      <c r="J6815" s="212">
        <f>'IWP23'!M$615</f>
        <v>0</v>
      </c>
      <c r="K6815" s="106"/>
      <c r="L6815" s="106"/>
      <c r="M6815" s="129"/>
    </row>
    <row r="6816" spans="1:13" s="146" customFormat="1">
      <c r="A6816" s="193" t="s">
        <v>521</v>
      </c>
      <c r="B6816" s="210">
        <v>17</v>
      </c>
      <c r="C6816" s="191" t="str">
        <f>IF('IWP23'!E$616=0,"",'IWP23'!E$616)</f>
        <v/>
      </c>
      <c r="D6816" s="211">
        <f>'IWP23'!G$616</f>
        <v>0</v>
      </c>
      <c r="E6816" s="211">
        <f>'IWP23'!H$616</f>
        <v>0</v>
      </c>
      <c r="F6816" s="211">
        <f>'IWP23'!I$616</f>
        <v>0</v>
      </c>
      <c r="G6816" s="191" t="str">
        <f>IF('IWP23'!J$616=0,"",'IWP23'!J$616)</f>
        <v/>
      </c>
      <c r="H6816" s="211">
        <f>'IWP23'!K$616</f>
        <v>0</v>
      </c>
      <c r="I6816" s="211">
        <f>'IWP23'!L$616</f>
        <v>0</v>
      </c>
      <c r="J6816" s="212">
        <f>'IWP23'!M$616</f>
        <v>0</v>
      </c>
      <c r="K6816" s="106"/>
      <c r="L6816" s="106"/>
      <c r="M6816" s="129"/>
    </row>
    <row r="6817" spans="1:13" s="146" customFormat="1">
      <c r="A6817" s="193" t="s">
        <v>521</v>
      </c>
      <c r="B6817" s="210">
        <v>17</v>
      </c>
      <c r="C6817" s="191" t="str">
        <f>IF('IWP23'!E$617=0,"",'IWP23'!E$617)</f>
        <v/>
      </c>
      <c r="D6817" s="211">
        <f>'IWP23'!G$617</f>
        <v>0</v>
      </c>
      <c r="E6817" s="211">
        <f>'IWP23'!H$617</f>
        <v>0</v>
      </c>
      <c r="F6817" s="211">
        <f>'IWP23'!I$617</f>
        <v>0</v>
      </c>
      <c r="G6817" s="191" t="str">
        <f>IF('IWP23'!J$617=0,"",'IWP23'!J$617)</f>
        <v/>
      </c>
      <c r="H6817" s="211">
        <f>'IWP23'!K$617</f>
        <v>0</v>
      </c>
      <c r="I6817" s="211">
        <f>'IWP23'!L$617</f>
        <v>0</v>
      </c>
      <c r="J6817" s="212">
        <f>'IWP23'!M$617</f>
        <v>0</v>
      </c>
      <c r="K6817" s="106"/>
      <c r="L6817" s="106"/>
      <c r="M6817" s="129"/>
    </row>
    <row r="6818" spans="1:13" s="146" customFormat="1">
      <c r="A6818" s="193" t="s">
        <v>521</v>
      </c>
      <c r="B6818" s="210">
        <v>17</v>
      </c>
      <c r="C6818" s="191" t="str">
        <f>IF('IWP23'!E$618=0,"",'IWP23'!E$618)</f>
        <v/>
      </c>
      <c r="D6818" s="211">
        <f>'IWP23'!G$618</f>
        <v>0</v>
      </c>
      <c r="E6818" s="211">
        <f>'IWP23'!H$618</f>
        <v>0</v>
      </c>
      <c r="F6818" s="211">
        <f>'IWP23'!I$618</f>
        <v>0</v>
      </c>
      <c r="G6818" s="191" t="str">
        <f>IF('IWP23'!J$618=0,"",'IWP23'!J$618)</f>
        <v/>
      </c>
      <c r="H6818" s="211">
        <f>'IWP23'!K$618</f>
        <v>0</v>
      </c>
      <c r="I6818" s="211">
        <f>'IWP23'!L$618</f>
        <v>0</v>
      </c>
      <c r="J6818" s="212">
        <f>'IWP23'!M$618</f>
        <v>0</v>
      </c>
      <c r="K6818" s="106"/>
      <c r="L6818" s="106"/>
      <c r="M6818" s="129"/>
    </row>
    <row r="6819" spans="1:13" s="146" customFormat="1">
      <c r="A6819" s="193" t="s">
        <v>521</v>
      </c>
      <c r="B6819" s="210">
        <v>17</v>
      </c>
      <c r="C6819" s="191" t="str">
        <f>IF('IWP23'!E$619=0,"",'IWP23'!E$619)</f>
        <v/>
      </c>
      <c r="D6819" s="211">
        <f>'IWP23'!G$619</f>
        <v>0</v>
      </c>
      <c r="E6819" s="211">
        <f>'IWP23'!H$619</f>
        <v>0</v>
      </c>
      <c r="F6819" s="211">
        <f>'IWP23'!I$619</f>
        <v>0</v>
      </c>
      <c r="G6819" s="191" t="str">
        <f>IF('IWP23'!J$619=0,"",'IWP23'!J$619)</f>
        <v/>
      </c>
      <c r="H6819" s="211">
        <f>'IWP23'!K$619</f>
        <v>0</v>
      </c>
      <c r="I6819" s="211">
        <f>'IWP23'!L$619</f>
        <v>0</v>
      </c>
      <c r="J6819" s="212">
        <f>'IWP23'!M$619</f>
        <v>0</v>
      </c>
      <c r="K6819" s="106"/>
      <c r="L6819" s="106"/>
      <c r="M6819" s="129"/>
    </row>
    <row r="6820" spans="1:13" s="146" customFormat="1">
      <c r="A6820" s="193" t="s">
        <v>521</v>
      </c>
      <c r="B6820" s="210">
        <v>17</v>
      </c>
      <c r="C6820" s="191" t="str">
        <f>IF('IWP23'!E$620=0,"",'IWP23'!E$620)</f>
        <v/>
      </c>
      <c r="D6820" s="211">
        <f>'IWP23'!G$620</f>
        <v>0</v>
      </c>
      <c r="E6820" s="211">
        <f>'IWP23'!H$620</f>
        <v>0</v>
      </c>
      <c r="F6820" s="211">
        <f>'IWP23'!I$620</f>
        <v>0</v>
      </c>
      <c r="G6820" s="191" t="str">
        <f>IF('IWP23'!J$620=0,"",'IWP23'!J$620)</f>
        <v/>
      </c>
      <c r="H6820" s="211">
        <f>'IWP23'!K$620</f>
        <v>0</v>
      </c>
      <c r="I6820" s="211">
        <f>'IWP23'!L$620</f>
        <v>0</v>
      </c>
      <c r="J6820" s="212">
        <f>'IWP23'!M$620</f>
        <v>0</v>
      </c>
      <c r="K6820" s="106"/>
      <c r="L6820" s="106"/>
      <c r="M6820" s="129"/>
    </row>
    <row r="6821" spans="1:13" s="146" customFormat="1">
      <c r="A6821" s="193" t="s">
        <v>521</v>
      </c>
      <c r="B6821" s="210">
        <v>18</v>
      </c>
      <c r="C6821" s="191" t="str">
        <f>IF('IWP23'!E$627=0,"",'IWP23'!E$627)</f>
        <v/>
      </c>
      <c r="D6821" s="211">
        <f>'IWP23'!G$627</f>
        <v>0</v>
      </c>
      <c r="E6821" s="211">
        <f>'IWP23'!H$627</f>
        <v>0</v>
      </c>
      <c r="F6821" s="211">
        <f>'IWP23'!I$627</f>
        <v>0</v>
      </c>
      <c r="G6821" s="191" t="str">
        <f>IF('IWP23'!J$627=0,"",'IWP23'!J$627)</f>
        <v/>
      </c>
      <c r="H6821" s="211">
        <f>'IWP23'!K$627</f>
        <v>0</v>
      </c>
      <c r="I6821" s="211">
        <f>'IWP23'!L$627</f>
        <v>0</v>
      </c>
      <c r="J6821" s="212">
        <f>'IWP23'!M$627</f>
        <v>0</v>
      </c>
      <c r="K6821" s="106"/>
      <c r="L6821" s="106"/>
      <c r="M6821" s="129"/>
    </row>
    <row r="6822" spans="1:13" s="146" customFormat="1">
      <c r="A6822" s="193" t="s">
        <v>521</v>
      </c>
      <c r="B6822" s="210">
        <v>18</v>
      </c>
      <c r="C6822" s="191" t="str">
        <f>IF('IWP23'!E$628=0,"",'IWP23'!E$628)</f>
        <v/>
      </c>
      <c r="D6822" s="211">
        <f>'IWP23'!G$628</f>
        <v>0</v>
      </c>
      <c r="E6822" s="211">
        <f>'IWP23'!H$628</f>
        <v>0</v>
      </c>
      <c r="F6822" s="211">
        <f>'IWP23'!I$628</f>
        <v>0</v>
      </c>
      <c r="G6822" s="191" t="str">
        <f>IF('IWP23'!J$628=0,"",'IWP23'!J$628)</f>
        <v/>
      </c>
      <c r="H6822" s="211">
        <f>'IWP23'!K$628</f>
        <v>0</v>
      </c>
      <c r="I6822" s="211">
        <f>'IWP23'!L$628</f>
        <v>0</v>
      </c>
      <c r="J6822" s="212">
        <f>'IWP23'!M$628</f>
        <v>0</v>
      </c>
      <c r="K6822" s="106"/>
      <c r="L6822" s="106"/>
      <c r="M6822" s="129"/>
    </row>
    <row r="6823" spans="1:13" s="146" customFormat="1">
      <c r="A6823" s="193" t="s">
        <v>521</v>
      </c>
      <c r="B6823" s="210">
        <v>18</v>
      </c>
      <c r="C6823" s="191" t="str">
        <f>IF('IWP23'!E$629=0,"",'IWP23'!E$629)</f>
        <v/>
      </c>
      <c r="D6823" s="211">
        <f>'IWP23'!G$629</f>
        <v>0</v>
      </c>
      <c r="E6823" s="211">
        <f>'IWP23'!H$629</f>
        <v>0</v>
      </c>
      <c r="F6823" s="211">
        <f>'IWP23'!I$629</f>
        <v>0</v>
      </c>
      <c r="G6823" s="191" t="str">
        <f>IF('IWP23'!J$629=0,"",'IWP23'!J$629)</f>
        <v/>
      </c>
      <c r="H6823" s="211">
        <f>'IWP23'!K$629</f>
        <v>0</v>
      </c>
      <c r="I6823" s="211">
        <f>'IWP23'!L$629</f>
        <v>0</v>
      </c>
      <c r="J6823" s="212">
        <f>'IWP23'!M$629</f>
        <v>0</v>
      </c>
      <c r="K6823" s="106"/>
      <c r="L6823" s="106"/>
      <c r="M6823" s="129"/>
    </row>
    <row r="6824" spans="1:13" s="146" customFormat="1">
      <c r="A6824" s="193" t="s">
        <v>521</v>
      </c>
      <c r="B6824" s="210">
        <v>18</v>
      </c>
      <c r="C6824" s="191" t="str">
        <f>IF('IWP23'!E$630=0,"",'IWP23'!E$630)</f>
        <v/>
      </c>
      <c r="D6824" s="211">
        <f>'IWP23'!G$630</f>
        <v>0</v>
      </c>
      <c r="E6824" s="211">
        <f>'IWP23'!H$630</f>
        <v>0</v>
      </c>
      <c r="F6824" s="211">
        <f>'IWP23'!I$630</f>
        <v>0</v>
      </c>
      <c r="G6824" s="191" t="str">
        <f>IF('IWP23'!J$630=0,"",'IWP23'!J$630)</f>
        <v/>
      </c>
      <c r="H6824" s="211">
        <f>'IWP23'!K$630</f>
        <v>0</v>
      </c>
      <c r="I6824" s="211">
        <f>'IWP23'!L$630</f>
        <v>0</v>
      </c>
      <c r="J6824" s="212">
        <f>'IWP23'!M$630</f>
        <v>0</v>
      </c>
      <c r="K6824" s="106"/>
      <c r="L6824" s="106"/>
      <c r="M6824" s="129"/>
    </row>
    <row r="6825" spans="1:13" s="146" customFormat="1">
      <c r="A6825" s="193" t="s">
        <v>521</v>
      </c>
      <c r="B6825" s="210">
        <v>18</v>
      </c>
      <c r="C6825" s="191" t="str">
        <f>IF('IWP23'!E$631=0,"",'IWP23'!E$631)</f>
        <v/>
      </c>
      <c r="D6825" s="211">
        <f>'IWP23'!G$631</f>
        <v>0</v>
      </c>
      <c r="E6825" s="211">
        <f>'IWP23'!H$631</f>
        <v>0</v>
      </c>
      <c r="F6825" s="211">
        <f>'IWP23'!I$631</f>
        <v>0</v>
      </c>
      <c r="G6825" s="191" t="str">
        <f>IF('IWP23'!J$631=0,"",'IWP23'!J$631)</f>
        <v/>
      </c>
      <c r="H6825" s="211">
        <f>'IWP23'!K$631</f>
        <v>0</v>
      </c>
      <c r="I6825" s="211">
        <f>'IWP23'!L$631</f>
        <v>0</v>
      </c>
      <c r="J6825" s="212">
        <f>'IWP23'!M$631</f>
        <v>0</v>
      </c>
      <c r="K6825" s="106"/>
      <c r="L6825" s="106"/>
      <c r="M6825" s="129"/>
    </row>
    <row r="6826" spans="1:13" s="146" customFormat="1">
      <c r="A6826" s="193" t="s">
        <v>521</v>
      </c>
      <c r="B6826" s="210">
        <v>18</v>
      </c>
      <c r="C6826" s="191" t="str">
        <f>IF('IWP23'!E$632=0,"",'IWP23'!E$632)</f>
        <v/>
      </c>
      <c r="D6826" s="211">
        <f>'IWP23'!G$632</f>
        <v>0</v>
      </c>
      <c r="E6826" s="211">
        <f>'IWP23'!H$632</f>
        <v>0</v>
      </c>
      <c r="F6826" s="211">
        <f>'IWP23'!I$632</f>
        <v>0</v>
      </c>
      <c r="G6826" s="191" t="str">
        <f>IF('IWP23'!J$632=0,"",'IWP23'!J$632)</f>
        <v/>
      </c>
      <c r="H6826" s="211">
        <f>'IWP23'!K$632</f>
        <v>0</v>
      </c>
      <c r="I6826" s="211">
        <f>'IWP23'!L$632</f>
        <v>0</v>
      </c>
      <c r="J6826" s="212">
        <f>'IWP23'!M$632</f>
        <v>0</v>
      </c>
      <c r="K6826" s="106"/>
      <c r="L6826" s="106"/>
      <c r="M6826" s="129"/>
    </row>
    <row r="6827" spans="1:13" s="146" customFormat="1">
      <c r="A6827" s="193" t="s">
        <v>521</v>
      </c>
      <c r="B6827" s="210">
        <v>18</v>
      </c>
      <c r="C6827" s="191" t="str">
        <f>IF('IWP23'!E$633=0,"",'IWP23'!E$633)</f>
        <v/>
      </c>
      <c r="D6827" s="211">
        <f>'IWP23'!G$633</f>
        <v>0</v>
      </c>
      <c r="E6827" s="211">
        <f>'IWP23'!H$633</f>
        <v>0</v>
      </c>
      <c r="F6827" s="211">
        <f>'IWP23'!I$633</f>
        <v>0</v>
      </c>
      <c r="G6827" s="191" t="str">
        <f>IF('IWP23'!J$633=0,"",'IWP23'!J$633)</f>
        <v/>
      </c>
      <c r="H6827" s="211">
        <f>'IWP23'!K$633</f>
        <v>0</v>
      </c>
      <c r="I6827" s="211">
        <f>'IWP23'!L$633</f>
        <v>0</v>
      </c>
      <c r="J6827" s="212">
        <f>'IWP23'!M$633</f>
        <v>0</v>
      </c>
      <c r="K6827" s="106"/>
      <c r="L6827" s="106"/>
      <c r="M6827" s="129"/>
    </row>
    <row r="6828" spans="1:13" s="146" customFormat="1">
      <c r="A6828" s="193" t="s">
        <v>521</v>
      </c>
      <c r="B6828" s="210">
        <v>18</v>
      </c>
      <c r="C6828" s="191" t="str">
        <f>IF('IWP23'!E$634=0,"",'IWP23'!E$634)</f>
        <v/>
      </c>
      <c r="D6828" s="211">
        <f>'IWP23'!G$634</f>
        <v>0</v>
      </c>
      <c r="E6828" s="211">
        <f>'IWP23'!H$634</f>
        <v>0</v>
      </c>
      <c r="F6828" s="211">
        <f>'IWP23'!I$634</f>
        <v>0</v>
      </c>
      <c r="G6828" s="191" t="str">
        <f>IF('IWP23'!J$634=0,"",'IWP23'!J$634)</f>
        <v/>
      </c>
      <c r="H6828" s="211">
        <f>'IWP23'!K$634</f>
        <v>0</v>
      </c>
      <c r="I6828" s="211">
        <f>'IWP23'!L$634</f>
        <v>0</v>
      </c>
      <c r="J6828" s="212">
        <f>'IWP23'!M$634</f>
        <v>0</v>
      </c>
      <c r="K6828" s="106"/>
      <c r="L6828" s="106"/>
      <c r="M6828" s="129"/>
    </row>
    <row r="6829" spans="1:13" s="146" customFormat="1">
      <c r="A6829" s="193" t="s">
        <v>521</v>
      </c>
      <c r="B6829" s="210">
        <v>18</v>
      </c>
      <c r="C6829" s="191" t="str">
        <f>IF('IWP23'!E$635=0,"",'IWP23'!E$635)</f>
        <v/>
      </c>
      <c r="D6829" s="211">
        <f>'IWP23'!G$635</f>
        <v>0</v>
      </c>
      <c r="E6829" s="211">
        <f>'IWP23'!H$635</f>
        <v>0</v>
      </c>
      <c r="F6829" s="211">
        <f>'IWP23'!I$635</f>
        <v>0</v>
      </c>
      <c r="G6829" s="191" t="str">
        <f>IF('IWP23'!J$635=0,"",'IWP23'!J$635)</f>
        <v/>
      </c>
      <c r="H6829" s="211">
        <f>'IWP23'!K$635</f>
        <v>0</v>
      </c>
      <c r="I6829" s="211">
        <f>'IWP23'!L$635</f>
        <v>0</v>
      </c>
      <c r="J6829" s="212">
        <f>'IWP23'!M$635</f>
        <v>0</v>
      </c>
      <c r="K6829" s="106"/>
      <c r="L6829" s="106"/>
      <c r="M6829" s="129"/>
    </row>
    <row r="6830" spans="1:13" s="146" customFormat="1">
      <c r="A6830" s="193" t="s">
        <v>521</v>
      </c>
      <c r="B6830" s="210">
        <v>18</v>
      </c>
      <c r="C6830" s="191" t="str">
        <f>IF('IWP23'!E$636=0,"",'IWP23'!E$636)</f>
        <v/>
      </c>
      <c r="D6830" s="211">
        <f>'IWP23'!G$636</f>
        <v>0</v>
      </c>
      <c r="E6830" s="211">
        <f>'IWP23'!H$636</f>
        <v>0</v>
      </c>
      <c r="F6830" s="211">
        <f>'IWP23'!I$636</f>
        <v>0</v>
      </c>
      <c r="G6830" s="191" t="str">
        <f>IF('IWP23'!J$636=0,"",'IWP23'!J$636)</f>
        <v/>
      </c>
      <c r="H6830" s="211">
        <f>'IWP23'!K$636</f>
        <v>0</v>
      </c>
      <c r="I6830" s="211">
        <f>'IWP23'!L$636</f>
        <v>0</v>
      </c>
      <c r="J6830" s="212">
        <f>'IWP23'!M$636</f>
        <v>0</v>
      </c>
      <c r="K6830" s="106"/>
      <c r="L6830" s="106"/>
      <c r="M6830" s="129"/>
    </row>
    <row r="6831" spans="1:13" s="146" customFormat="1">
      <c r="A6831" s="193" t="s">
        <v>522</v>
      </c>
      <c r="B6831" s="210">
        <v>1</v>
      </c>
      <c r="C6831" s="191" t="str">
        <f>IF('IWP24'!E$355=0,"",'IWP24'!E$355)</f>
        <v>Subtotal column D.</v>
      </c>
      <c r="D6831" s="211">
        <f>'IWP24'!G$355</f>
        <v>0</v>
      </c>
      <c r="E6831" s="211">
        <f>'IWP24'!H$355</f>
        <v>0</v>
      </c>
      <c r="F6831" s="211">
        <f>'IWP24'!I$355</f>
        <v>0</v>
      </c>
      <c r="G6831" s="191" t="str">
        <f>IF('IWP24'!J$355=0,"",'IWP24'!J$355)</f>
        <v/>
      </c>
      <c r="H6831" s="211">
        <f>'IWP24'!K$355</f>
        <v>0</v>
      </c>
      <c r="I6831" s="211">
        <f>'IWP24'!L$355</f>
        <v>0</v>
      </c>
      <c r="J6831" s="212">
        <f>'IWP24'!M$355</f>
        <v>0</v>
      </c>
      <c r="K6831" s="106"/>
      <c r="L6831" s="106"/>
      <c r="M6831" s="129"/>
    </row>
    <row r="6832" spans="1:13" s="146" customFormat="1">
      <c r="A6832" s="193" t="s">
        <v>522</v>
      </c>
      <c r="B6832" s="210">
        <v>1</v>
      </c>
      <c r="C6832" s="191" t="str">
        <f>IF('IWP24'!E$356=0,"",'IWP24'!E$356)</f>
        <v>Unverified/Undocumented (Subtotall D - C)</v>
      </c>
      <c r="D6832" s="211">
        <f>'IWP24'!G$356</f>
        <v>0</v>
      </c>
      <c r="E6832" s="211">
        <f>'IWP24'!H$356</f>
        <v>0</v>
      </c>
      <c r="F6832" s="211">
        <f>'IWP24'!I$356</f>
        <v>0</v>
      </c>
      <c r="G6832" s="191" t="str">
        <f>IF('IWP24'!J$356=0,"",'IWP24'!J$356)</f>
        <v/>
      </c>
      <c r="H6832" s="211">
        <f>'IWP24'!K$356</f>
        <v>0</v>
      </c>
      <c r="I6832" s="211">
        <f>'IWP24'!L$356</f>
        <v>0</v>
      </c>
      <c r="J6832" s="212">
        <f>'IWP24'!M$356</f>
        <v>0</v>
      </c>
      <c r="K6832" s="106"/>
      <c r="L6832" s="106"/>
      <c r="M6832" s="129"/>
    </row>
    <row r="6833" spans="1:13" s="146" customFormat="1">
      <c r="A6833" s="193" t="s">
        <v>522</v>
      </c>
      <c r="B6833" s="210">
        <v>1</v>
      </c>
      <c r="C6833" s="191" t="str">
        <f>IF('IWP24'!E$357=0,"",'IWP24'!E$357)</f>
        <v>J. Billing Period Total</v>
      </c>
      <c r="D6833" s="211">
        <f>'IWP24'!G$357</f>
        <v>0</v>
      </c>
      <c r="E6833" s="211">
        <f>'IWP24'!H$357</f>
        <v>0</v>
      </c>
      <c r="F6833" s="211">
        <f>'IWP24'!I$357</f>
        <v>0</v>
      </c>
      <c r="G6833" s="191" t="str">
        <f>IF('IWP24'!J$357=0,"",'IWP24'!J$357)</f>
        <v/>
      </c>
      <c r="H6833" s="211">
        <f>'IWP24'!K$357</f>
        <v>0</v>
      </c>
      <c r="I6833" s="211">
        <f>'IWP24'!L$357</f>
        <v>0</v>
      </c>
      <c r="J6833" s="212">
        <f>'IWP24'!M$357</f>
        <v>0</v>
      </c>
      <c r="K6833" s="106"/>
      <c r="L6833" s="106"/>
      <c r="M6833" s="129"/>
    </row>
    <row r="6834" spans="1:13" s="146" customFormat="1">
      <c r="A6834" s="193" t="s">
        <v>522</v>
      </c>
      <c r="B6834" s="210">
        <v>1</v>
      </c>
      <c r="C6834" s="191" t="str">
        <f>IF('IWP24'!E$358=0,"",'IWP24'!E$358)</f>
        <v>D.</v>
      </c>
      <c r="D6834" s="211">
        <f>'IWP24'!G$358</f>
        <v>0</v>
      </c>
      <c r="E6834" s="211" t="str">
        <f>'IWP24'!H$358</f>
        <v>E.</v>
      </c>
      <c r="F6834" s="211" t="str">
        <f>'IWP24'!I$358</f>
        <v>F.</v>
      </c>
      <c r="G6834" s="191" t="str">
        <f>IF('IWP24'!J$358=0,"",'IWP24'!J$358)</f>
        <v>G.</v>
      </c>
      <c r="H6834" s="211">
        <f>'IWP24'!K$358</f>
        <v>0</v>
      </c>
      <c r="I6834" s="211" t="str">
        <f>'IWP24'!L$358</f>
        <v>H.</v>
      </c>
      <c r="J6834" s="212" t="str">
        <f>'IWP24'!M$358</f>
        <v>I.</v>
      </c>
      <c r="K6834" s="106"/>
      <c r="L6834" s="106"/>
      <c r="M6834" s="129"/>
    </row>
    <row r="6835" spans="1:13" s="146" customFormat="1">
      <c r="A6835" s="193" t="s">
        <v>522</v>
      </c>
      <c r="B6835" s="210">
        <v>1</v>
      </c>
      <c r="C6835" s="191" t="str">
        <f>IF('IWP24'!E$359=0,"",'IWP24'!E$359)</f>
        <v xml:space="preserve">Items/Services Related to Billing Period </v>
      </c>
      <c r="D6835" s="211">
        <f>'IWP24'!G$359</f>
        <v>0</v>
      </c>
      <c r="E6835" s="211" t="str">
        <f>'IWP24'!H$359</f>
        <v xml:space="preserve">Item/
Service Verified Amounts
</v>
      </c>
      <c r="F6835" s="211" t="str">
        <f>'IWP24'!I$359</f>
        <v>Amount Due to DADS (E. - D.)</v>
      </c>
      <c r="G6835" s="191" t="str">
        <f>IF('IWP24'!J$359=0,"",'IWP24'!J$359)</f>
        <v>Amount Reimbursed to 
Employee(s)/Employer</v>
      </c>
      <c r="H6835" s="211">
        <f>'IWP24'!K$359</f>
        <v>0</v>
      </c>
      <c r="I6835" s="211" t="str">
        <f>'IWP24'!L$359</f>
        <v>Amount Due to Employee(s) (G. - E.)</v>
      </c>
      <c r="J6835" s="212" t="str">
        <f>'IWP24'!M$359</f>
        <v>Amount Due to Employer (G. - E.)</v>
      </c>
      <c r="K6835" s="106"/>
      <c r="L6835" s="106"/>
      <c r="M6835" s="129"/>
    </row>
    <row r="6836" spans="1:13" s="146" customFormat="1">
      <c r="A6836" s="193" t="s">
        <v>522</v>
      </c>
      <c r="B6836" s="210">
        <v>1</v>
      </c>
      <c r="C6836" s="191" t="str">
        <f>IF('IWP24'!E$360=0,"",'IWP24'!E$360)</f>
        <v>Item/Service</v>
      </c>
      <c r="D6836" s="211" t="str">
        <f>'IWP24'!G$360</f>
        <v>Itemized Amount Paid by DADS</v>
      </c>
      <c r="E6836" s="211">
        <f>'IWP24'!H$360</f>
        <v>0</v>
      </c>
      <c r="F6836" s="211">
        <f>'IWP24'!I$360</f>
        <v>0</v>
      </c>
      <c r="G6836" s="191" t="str">
        <f>IF('IWP24'!J$360=0,"",'IWP24'!J$360)</f>
        <v/>
      </c>
      <c r="H6836" s="211">
        <f>'IWP24'!K$360</f>
        <v>0</v>
      </c>
      <c r="I6836" s="211">
        <f>'IWP24'!L$360</f>
        <v>0</v>
      </c>
      <c r="J6836" s="212">
        <f>'IWP24'!M$360</f>
        <v>0</v>
      </c>
      <c r="K6836" s="106"/>
      <c r="L6836" s="106"/>
      <c r="M6836" s="129"/>
    </row>
    <row r="6837" spans="1:13" s="146" customFormat="1">
      <c r="A6837" s="193" t="s">
        <v>522</v>
      </c>
      <c r="B6837" s="210">
        <v>1</v>
      </c>
      <c r="C6837" s="191" t="str">
        <f>IF('IWP24'!E$361=0,"",'IWP24'!E$361)</f>
        <v/>
      </c>
      <c r="D6837" s="211">
        <f>'IWP24'!G$361</f>
        <v>0</v>
      </c>
      <c r="E6837" s="211">
        <f>'IWP24'!H$361</f>
        <v>0</v>
      </c>
      <c r="F6837" s="211">
        <f>'IWP24'!I$361</f>
        <v>0</v>
      </c>
      <c r="G6837" s="191" t="str">
        <f>IF('IWP24'!J$361=0,"",'IWP24'!J$361)</f>
        <v/>
      </c>
      <c r="H6837" s="211">
        <f>'IWP24'!K$361</f>
        <v>0</v>
      </c>
      <c r="I6837" s="211">
        <f>'IWP24'!L$361</f>
        <v>0</v>
      </c>
      <c r="J6837" s="212">
        <f>'IWP24'!M$361</f>
        <v>0</v>
      </c>
      <c r="K6837" s="106"/>
      <c r="L6837" s="106"/>
      <c r="M6837" s="129"/>
    </row>
    <row r="6838" spans="1:13" s="146" customFormat="1">
      <c r="A6838" s="193" t="s">
        <v>522</v>
      </c>
      <c r="B6838" s="210">
        <v>1</v>
      </c>
      <c r="C6838" s="191" t="str">
        <f>IF('IWP24'!E$362=0,"",'IWP24'!E$362)</f>
        <v/>
      </c>
      <c r="D6838" s="211">
        <f>'IWP24'!G$362</f>
        <v>0</v>
      </c>
      <c r="E6838" s="211">
        <f>'IWP24'!H$362</f>
        <v>0</v>
      </c>
      <c r="F6838" s="211">
        <f>'IWP24'!I$362</f>
        <v>0</v>
      </c>
      <c r="G6838" s="191" t="str">
        <f>IF('IWP24'!J$362=0,"",'IWP24'!J$362)</f>
        <v/>
      </c>
      <c r="H6838" s="211">
        <f>'IWP24'!K$362</f>
        <v>0</v>
      </c>
      <c r="I6838" s="211">
        <f>'IWP24'!L$362</f>
        <v>0</v>
      </c>
      <c r="J6838" s="212">
        <f>'IWP24'!M$362</f>
        <v>0</v>
      </c>
      <c r="K6838" s="106"/>
      <c r="L6838" s="106"/>
      <c r="M6838" s="129"/>
    </row>
    <row r="6839" spans="1:13" s="146" customFormat="1">
      <c r="A6839" s="193" t="s">
        <v>522</v>
      </c>
      <c r="B6839" s="210">
        <v>1</v>
      </c>
      <c r="C6839" s="191" t="str">
        <f>IF('IWP24'!E$363=0,"",'IWP24'!E$363)</f>
        <v/>
      </c>
      <c r="D6839" s="211">
        <f>'IWP24'!G$363</f>
        <v>0</v>
      </c>
      <c r="E6839" s="211">
        <f>'IWP24'!H$363</f>
        <v>0</v>
      </c>
      <c r="F6839" s="211">
        <f>'IWP24'!I$363</f>
        <v>0</v>
      </c>
      <c r="G6839" s="191" t="str">
        <f>IF('IWP24'!J$363=0,"",'IWP24'!J$363)</f>
        <v/>
      </c>
      <c r="H6839" s="211">
        <f>'IWP24'!K$363</f>
        <v>0</v>
      </c>
      <c r="I6839" s="211">
        <f>'IWP24'!L$363</f>
        <v>0</v>
      </c>
      <c r="J6839" s="212">
        <f>'IWP24'!M$363</f>
        <v>0</v>
      </c>
      <c r="K6839" s="106"/>
      <c r="L6839" s="106"/>
      <c r="M6839" s="129"/>
    </row>
    <row r="6840" spans="1:13" s="146" customFormat="1">
      <c r="A6840" s="193" t="s">
        <v>522</v>
      </c>
      <c r="B6840" s="210">
        <v>1</v>
      </c>
      <c r="C6840" s="191" t="str">
        <f>IF('IWP24'!E$364=0,"",'IWP24'!E$364)</f>
        <v/>
      </c>
      <c r="D6840" s="211">
        <f>'IWP24'!G$364</f>
        <v>0</v>
      </c>
      <c r="E6840" s="211">
        <f>'IWP24'!H$364</f>
        <v>0</v>
      </c>
      <c r="F6840" s="211">
        <f>'IWP24'!I$364</f>
        <v>0</v>
      </c>
      <c r="G6840" s="191" t="str">
        <f>IF('IWP24'!J$364=0,"",'IWP24'!J$364)</f>
        <v/>
      </c>
      <c r="H6840" s="211">
        <f>'IWP24'!K$364</f>
        <v>0</v>
      </c>
      <c r="I6840" s="211">
        <f>'IWP24'!L$364</f>
        <v>0</v>
      </c>
      <c r="J6840" s="212">
        <f>'IWP24'!M$364</f>
        <v>0</v>
      </c>
      <c r="K6840" s="106"/>
      <c r="L6840" s="106"/>
      <c r="M6840" s="129"/>
    </row>
    <row r="6841" spans="1:13" s="146" customFormat="1">
      <c r="A6841" s="193" t="s">
        <v>522</v>
      </c>
      <c r="B6841" s="210">
        <v>2</v>
      </c>
      <c r="C6841" s="191" t="str">
        <f>IF('IWP24'!E$371=0,"",'IWP24'!E$371)</f>
        <v>Subtotal column D.</v>
      </c>
      <c r="D6841" s="211">
        <f>'IWP24'!G$371</f>
        <v>0</v>
      </c>
      <c r="E6841" s="211">
        <f>'IWP24'!H$371</f>
        <v>0</v>
      </c>
      <c r="F6841" s="211">
        <f>'IWP24'!I$371</f>
        <v>0</v>
      </c>
      <c r="G6841" s="191" t="str">
        <f>IF('IWP24'!J$371=0,"",'IWP24'!J$371)</f>
        <v/>
      </c>
      <c r="H6841" s="211">
        <f>'IWP24'!K$371</f>
        <v>0</v>
      </c>
      <c r="I6841" s="211">
        <f>'IWP24'!L$371</f>
        <v>0</v>
      </c>
      <c r="J6841" s="212">
        <f>'IWP24'!M$371</f>
        <v>0</v>
      </c>
      <c r="K6841" s="106"/>
      <c r="L6841" s="106"/>
      <c r="M6841" s="129"/>
    </row>
    <row r="6842" spans="1:13" s="146" customFormat="1">
      <c r="A6842" s="193" t="s">
        <v>522</v>
      </c>
      <c r="B6842" s="210">
        <v>2</v>
      </c>
      <c r="C6842" s="191" t="str">
        <f>IF('IWP24'!E$372=0,"",'IWP24'!E$372)</f>
        <v>Unverified/Undocumented (Subtotal D - C)</v>
      </c>
      <c r="D6842" s="211">
        <f>'IWP24'!G$372</f>
        <v>0</v>
      </c>
      <c r="E6842" s="211">
        <f>'IWP24'!H$372</f>
        <v>0</v>
      </c>
      <c r="F6842" s="211">
        <f>'IWP24'!I$372</f>
        <v>0</v>
      </c>
      <c r="G6842" s="191" t="str">
        <f>IF('IWP24'!J$372=0,"",'IWP24'!J$372)</f>
        <v/>
      </c>
      <c r="H6842" s="211">
        <f>'IWP24'!K$372</f>
        <v>0</v>
      </c>
      <c r="I6842" s="211">
        <f>'IWP24'!L$372</f>
        <v>0</v>
      </c>
      <c r="J6842" s="212">
        <f>'IWP24'!M$372</f>
        <v>0</v>
      </c>
      <c r="K6842" s="106"/>
      <c r="L6842" s="106"/>
      <c r="M6842" s="129"/>
    </row>
    <row r="6843" spans="1:13" s="146" customFormat="1">
      <c r="A6843" s="193" t="s">
        <v>522</v>
      </c>
      <c r="B6843" s="210">
        <v>2</v>
      </c>
      <c r="C6843" s="191" t="str">
        <f>IF('IWP24'!E$373=0,"",'IWP24'!E$373)</f>
        <v>J. Billing Period Total</v>
      </c>
      <c r="D6843" s="211">
        <f>'IWP24'!G$373</f>
        <v>0</v>
      </c>
      <c r="E6843" s="211">
        <f>'IWP24'!H$373</f>
        <v>0</v>
      </c>
      <c r="F6843" s="211">
        <f>'IWP24'!I$373</f>
        <v>0</v>
      </c>
      <c r="G6843" s="191" t="str">
        <f>IF('IWP24'!J$373=0,"",'IWP24'!J$373)</f>
        <v/>
      </c>
      <c r="H6843" s="211">
        <f>'IWP24'!K$373</f>
        <v>0</v>
      </c>
      <c r="I6843" s="211">
        <f>'IWP24'!L$373</f>
        <v>0</v>
      </c>
      <c r="J6843" s="212">
        <f>'IWP24'!M$373</f>
        <v>0</v>
      </c>
      <c r="K6843" s="106"/>
      <c r="L6843" s="106"/>
      <c r="M6843" s="129"/>
    </row>
    <row r="6844" spans="1:13" s="146" customFormat="1">
      <c r="A6844" s="193" t="s">
        <v>522</v>
      </c>
      <c r="B6844" s="210">
        <v>2</v>
      </c>
      <c r="C6844" s="191" t="str">
        <f>IF('IWP24'!E$374=0,"",'IWP24'!E$374)</f>
        <v>D.</v>
      </c>
      <c r="D6844" s="211">
        <f>'IWP24'!G$374</f>
        <v>0</v>
      </c>
      <c r="E6844" s="211" t="str">
        <f>'IWP24'!H$374</f>
        <v>E.</v>
      </c>
      <c r="F6844" s="211" t="str">
        <f>'IWP24'!I$374</f>
        <v>F.</v>
      </c>
      <c r="G6844" s="191" t="str">
        <f>IF('IWP24'!J$374=0,"",'IWP24'!J$374)</f>
        <v>G.</v>
      </c>
      <c r="H6844" s="211">
        <f>'IWP24'!K$374</f>
        <v>0</v>
      </c>
      <c r="I6844" s="211" t="str">
        <f>'IWP24'!L$374</f>
        <v>H.</v>
      </c>
      <c r="J6844" s="212" t="str">
        <f>'IWP24'!M$374</f>
        <v>I.</v>
      </c>
      <c r="K6844" s="106"/>
      <c r="L6844" s="106"/>
      <c r="M6844" s="129"/>
    </row>
    <row r="6845" spans="1:13" s="146" customFormat="1">
      <c r="A6845" s="193" t="s">
        <v>522</v>
      </c>
      <c r="B6845" s="210">
        <v>2</v>
      </c>
      <c r="C6845" s="191" t="str">
        <f>IF('IWP24'!E$375=0,"",'IWP24'!E$375)</f>
        <v xml:space="preserve">Items/Services Related to Billing Period </v>
      </c>
      <c r="D6845" s="211">
        <f>'IWP24'!G$375</f>
        <v>0</v>
      </c>
      <c r="E6845" s="211" t="str">
        <f>'IWP24'!H$375</f>
        <v xml:space="preserve">Item/
Service Verified Amounts
</v>
      </c>
      <c r="F6845" s="211" t="str">
        <f>'IWP24'!I$375</f>
        <v>Amount Due to DADS (E. - D.)</v>
      </c>
      <c r="G6845" s="191" t="str">
        <f>IF('IWP24'!J$375=0,"",'IWP24'!J$375)</f>
        <v>Amount Reimbursed to 
Employee(s)/Employer</v>
      </c>
      <c r="H6845" s="211">
        <f>'IWP24'!K$375</f>
        <v>0</v>
      </c>
      <c r="I6845" s="211" t="str">
        <f>'IWP24'!L$375</f>
        <v>Amount Due to Employee(s) (G. - E.)</v>
      </c>
      <c r="J6845" s="212" t="str">
        <f>'IWP24'!M$375</f>
        <v>Amount Due to Employer (G. - E.)</v>
      </c>
      <c r="K6845" s="106"/>
      <c r="L6845" s="106"/>
      <c r="M6845" s="129"/>
    </row>
    <row r="6846" spans="1:13" s="146" customFormat="1">
      <c r="A6846" s="193" t="s">
        <v>522</v>
      </c>
      <c r="B6846" s="210">
        <v>2</v>
      </c>
      <c r="C6846" s="191" t="str">
        <f>IF('IWP24'!E$376=0,"",'IWP24'!E$376)</f>
        <v>Item/Service</v>
      </c>
      <c r="D6846" s="211" t="str">
        <f>'IWP24'!G$376</f>
        <v>Itemized Amount Paid by DADS</v>
      </c>
      <c r="E6846" s="211">
        <f>'IWP24'!H$376</f>
        <v>0</v>
      </c>
      <c r="F6846" s="211">
        <f>'IWP24'!I$376</f>
        <v>0</v>
      </c>
      <c r="G6846" s="191" t="str">
        <f>IF('IWP24'!J$376=0,"",'IWP24'!J$376)</f>
        <v/>
      </c>
      <c r="H6846" s="211">
        <f>'IWP24'!K$376</f>
        <v>0</v>
      </c>
      <c r="I6846" s="211">
        <f>'IWP24'!L$376</f>
        <v>0</v>
      </c>
      <c r="J6846" s="212">
        <f>'IWP24'!M$376</f>
        <v>0</v>
      </c>
      <c r="K6846" s="106"/>
      <c r="L6846" s="106"/>
      <c r="M6846" s="129"/>
    </row>
    <row r="6847" spans="1:13" s="146" customFormat="1">
      <c r="A6847" s="193" t="s">
        <v>522</v>
      </c>
      <c r="B6847" s="210">
        <v>2</v>
      </c>
      <c r="C6847" s="191" t="str">
        <f>IF('IWP24'!E$377=0,"",'IWP24'!E$377)</f>
        <v/>
      </c>
      <c r="D6847" s="211">
        <f>'IWP24'!G$377</f>
        <v>0</v>
      </c>
      <c r="E6847" s="211">
        <f>'IWP24'!H$377</f>
        <v>0</v>
      </c>
      <c r="F6847" s="211">
        <f>'IWP24'!I$377</f>
        <v>0</v>
      </c>
      <c r="G6847" s="191" t="str">
        <f>IF('IWP24'!J$377=0,"",'IWP24'!J$377)</f>
        <v/>
      </c>
      <c r="H6847" s="211">
        <f>'IWP24'!K$377</f>
        <v>0</v>
      </c>
      <c r="I6847" s="211">
        <f>'IWP24'!L$377</f>
        <v>0</v>
      </c>
      <c r="J6847" s="212">
        <f>'IWP24'!M$377</f>
        <v>0</v>
      </c>
      <c r="K6847" s="106"/>
      <c r="L6847" s="106"/>
      <c r="M6847" s="129"/>
    </row>
    <row r="6848" spans="1:13" s="146" customFormat="1">
      <c r="A6848" s="193" t="s">
        <v>522</v>
      </c>
      <c r="B6848" s="210">
        <v>2</v>
      </c>
      <c r="C6848" s="191" t="str">
        <f>IF('IWP24'!E$378=0,"",'IWP24'!E$378)</f>
        <v/>
      </c>
      <c r="D6848" s="211">
        <f>'IWP24'!G$378</f>
        <v>0</v>
      </c>
      <c r="E6848" s="211">
        <f>'IWP24'!H$378</f>
        <v>0</v>
      </c>
      <c r="F6848" s="211">
        <f>'IWP24'!I$378</f>
        <v>0</v>
      </c>
      <c r="G6848" s="191" t="str">
        <f>IF('IWP24'!J$378=0,"",'IWP24'!J$378)</f>
        <v/>
      </c>
      <c r="H6848" s="211">
        <f>'IWP24'!K$378</f>
        <v>0</v>
      </c>
      <c r="I6848" s="211">
        <f>'IWP24'!L$378</f>
        <v>0</v>
      </c>
      <c r="J6848" s="212">
        <f>'IWP24'!M$378</f>
        <v>0</v>
      </c>
      <c r="K6848" s="106"/>
      <c r="L6848" s="106"/>
      <c r="M6848" s="129"/>
    </row>
    <row r="6849" spans="1:13" s="146" customFormat="1">
      <c r="A6849" s="193" t="s">
        <v>522</v>
      </c>
      <c r="B6849" s="210">
        <v>2</v>
      </c>
      <c r="C6849" s="191" t="str">
        <f>IF('IWP24'!E$379=0,"",'IWP24'!E$379)</f>
        <v/>
      </c>
      <c r="D6849" s="211">
        <f>'IWP24'!G$379</f>
        <v>0</v>
      </c>
      <c r="E6849" s="211">
        <f>'IWP24'!H$379</f>
        <v>0</v>
      </c>
      <c r="F6849" s="211">
        <f>'IWP24'!I$379</f>
        <v>0</v>
      </c>
      <c r="G6849" s="191" t="str">
        <f>IF('IWP24'!J$379=0,"",'IWP24'!J$379)</f>
        <v/>
      </c>
      <c r="H6849" s="211">
        <f>'IWP24'!K$379</f>
        <v>0</v>
      </c>
      <c r="I6849" s="211">
        <f>'IWP24'!L$379</f>
        <v>0</v>
      </c>
      <c r="J6849" s="212">
        <f>'IWP24'!M$379</f>
        <v>0</v>
      </c>
      <c r="K6849" s="106"/>
      <c r="L6849" s="106"/>
      <c r="M6849" s="129"/>
    </row>
    <row r="6850" spans="1:13" s="146" customFormat="1">
      <c r="A6850" s="193" t="s">
        <v>522</v>
      </c>
      <c r="B6850" s="210">
        <v>2</v>
      </c>
      <c r="C6850" s="191" t="str">
        <f>IF('IWP24'!E$380=0,"",'IWP24'!E$380)</f>
        <v/>
      </c>
      <c r="D6850" s="211">
        <f>'IWP24'!G$380</f>
        <v>0</v>
      </c>
      <c r="E6850" s="211">
        <f>'IWP24'!H$380</f>
        <v>0</v>
      </c>
      <c r="F6850" s="211">
        <f>'IWP24'!I$380</f>
        <v>0</v>
      </c>
      <c r="G6850" s="191" t="str">
        <f>IF('IWP24'!J$380=0,"",'IWP24'!J$380)</f>
        <v/>
      </c>
      <c r="H6850" s="211">
        <f>'IWP24'!K$380</f>
        <v>0</v>
      </c>
      <c r="I6850" s="211">
        <f>'IWP24'!L$380</f>
        <v>0</v>
      </c>
      <c r="J6850" s="212">
        <f>'IWP24'!M$380</f>
        <v>0</v>
      </c>
      <c r="K6850" s="106"/>
      <c r="L6850" s="106"/>
      <c r="M6850" s="129"/>
    </row>
    <row r="6851" spans="1:13" s="146" customFormat="1">
      <c r="A6851" s="193" t="s">
        <v>522</v>
      </c>
      <c r="B6851" s="210">
        <v>3</v>
      </c>
      <c r="C6851" s="191" t="str">
        <f>IF('IWP24'!E$387=0,"",'IWP24'!E$387)</f>
        <v>Subtotal column D.</v>
      </c>
      <c r="D6851" s="211">
        <f>'IWP24'!G$387</f>
        <v>0</v>
      </c>
      <c r="E6851" s="211">
        <f>'IWP24'!H$387</f>
        <v>0</v>
      </c>
      <c r="F6851" s="211">
        <f>'IWP24'!I$387</f>
        <v>0</v>
      </c>
      <c r="G6851" s="191" t="str">
        <f>IF('IWP24'!J$387=0,"",'IWP24'!J$387)</f>
        <v/>
      </c>
      <c r="H6851" s="211">
        <f>'IWP24'!K$387</f>
        <v>0</v>
      </c>
      <c r="I6851" s="211">
        <f>'IWP24'!L$387</f>
        <v>0</v>
      </c>
      <c r="J6851" s="212">
        <f>'IWP24'!M$387</f>
        <v>0</v>
      </c>
      <c r="K6851" s="106"/>
      <c r="L6851" s="106"/>
      <c r="M6851" s="129"/>
    </row>
    <row r="6852" spans="1:13" s="146" customFormat="1">
      <c r="A6852" s="193" t="s">
        <v>522</v>
      </c>
      <c r="B6852" s="210">
        <v>3</v>
      </c>
      <c r="C6852" s="191" t="str">
        <f>IF('IWP24'!E$388=0,"",'IWP24'!E$388)</f>
        <v>Unverified/Undocumented (Subtotal D - C)</v>
      </c>
      <c r="D6852" s="211">
        <f>'IWP24'!G$388</f>
        <v>0</v>
      </c>
      <c r="E6852" s="211">
        <f>'IWP24'!H$388</f>
        <v>0</v>
      </c>
      <c r="F6852" s="211">
        <f>'IWP24'!I$388</f>
        <v>0</v>
      </c>
      <c r="G6852" s="191" t="str">
        <f>IF('IWP24'!J$388=0,"",'IWP24'!J$388)</f>
        <v/>
      </c>
      <c r="H6852" s="211">
        <f>'IWP24'!K$388</f>
        <v>0</v>
      </c>
      <c r="I6852" s="211">
        <f>'IWP24'!L$388</f>
        <v>0</v>
      </c>
      <c r="J6852" s="212">
        <f>'IWP24'!M$388</f>
        <v>0</v>
      </c>
      <c r="K6852" s="106"/>
      <c r="L6852" s="106"/>
      <c r="M6852" s="129"/>
    </row>
    <row r="6853" spans="1:13" s="146" customFormat="1">
      <c r="A6853" s="193" t="s">
        <v>522</v>
      </c>
      <c r="B6853" s="210">
        <v>3</v>
      </c>
      <c r="C6853" s="191" t="str">
        <f>IF('IWP24'!E$389=0,"",'IWP24'!E$389)</f>
        <v>J. Billing Period Total</v>
      </c>
      <c r="D6853" s="211">
        <f>'IWP24'!G$389</f>
        <v>0</v>
      </c>
      <c r="E6853" s="211">
        <f>'IWP24'!H$389</f>
        <v>0</v>
      </c>
      <c r="F6853" s="211">
        <f>'IWP24'!I$389</f>
        <v>0</v>
      </c>
      <c r="G6853" s="191" t="str">
        <f>IF('IWP24'!J$389=0,"",'IWP24'!J$389)</f>
        <v/>
      </c>
      <c r="H6853" s="211">
        <f>'IWP24'!K$389</f>
        <v>0</v>
      </c>
      <c r="I6853" s="211">
        <f>'IWP24'!L$389</f>
        <v>0</v>
      </c>
      <c r="J6853" s="212">
        <f>'IWP24'!M$389</f>
        <v>0</v>
      </c>
      <c r="K6853" s="106"/>
      <c r="L6853" s="106"/>
      <c r="M6853" s="129"/>
    </row>
    <row r="6854" spans="1:13" s="146" customFormat="1">
      <c r="A6854" s="193" t="s">
        <v>522</v>
      </c>
      <c r="B6854" s="210">
        <v>3</v>
      </c>
      <c r="C6854" s="191" t="str">
        <f>IF('IWP24'!E$390=0,"",'IWP24'!E$390)</f>
        <v>D.</v>
      </c>
      <c r="D6854" s="211">
        <f>'IWP24'!G$390</f>
        <v>0</v>
      </c>
      <c r="E6854" s="211" t="str">
        <f>'IWP24'!H$390</f>
        <v>E.</v>
      </c>
      <c r="F6854" s="211" t="str">
        <f>'IWP24'!I$390</f>
        <v>F.</v>
      </c>
      <c r="G6854" s="191" t="str">
        <f>IF('IWP24'!J$390=0,"",'IWP24'!J$390)</f>
        <v>G.</v>
      </c>
      <c r="H6854" s="211">
        <f>'IWP24'!K$390</f>
        <v>0</v>
      </c>
      <c r="I6854" s="211" t="str">
        <f>'IWP24'!L$390</f>
        <v>H.</v>
      </c>
      <c r="J6854" s="212" t="str">
        <f>'IWP24'!M$390</f>
        <v>I.</v>
      </c>
      <c r="K6854" s="106"/>
      <c r="L6854" s="106"/>
      <c r="M6854" s="129"/>
    </row>
    <row r="6855" spans="1:13" s="146" customFormat="1">
      <c r="A6855" s="193" t="s">
        <v>522</v>
      </c>
      <c r="B6855" s="210">
        <v>3</v>
      </c>
      <c r="C6855" s="191" t="str">
        <f>IF('IWP24'!E$391=0,"",'IWP24'!E$391)</f>
        <v xml:space="preserve">Items/Services Related to Billing Period </v>
      </c>
      <c r="D6855" s="211">
        <f>'IWP24'!G$391</f>
        <v>0</v>
      </c>
      <c r="E6855" s="211" t="str">
        <f>'IWP24'!H$391</f>
        <v xml:space="preserve">Item/
Service Verified Amounts
</v>
      </c>
      <c r="F6855" s="211" t="str">
        <f>'IWP24'!I$391</f>
        <v>Amount Due to DADS (E. - D.)</v>
      </c>
      <c r="G6855" s="191" t="str">
        <f>IF('IWP24'!J$391=0,"",'IWP24'!J$391)</f>
        <v>Amount Reimbursed to 
Employee(s)/Employer</v>
      </c>
      <c r="H6855" s="211">
        <f>'IWP24'!K$391</f>
        <v>0</v>
      </c>
      <c r="I6855" s="211" t="str">
        <f>'IWP24'!L$391</f>
        <v>Amount Due to Employee(s) (G. - E.)</v>
      </c>
      <c r="J6855" s="212" t="str">
        <f>'IWP24'!M$391</f>
        <v>Amount Due to Employer (G. - E.)</v>
      </c>
      <c r="K6855" s="106"/>
      <c r="L6855" s="106"/>
      <c r="M6855" s="129"/>
    </row>
    <row r="6856" spans="1:13" s="146" customFormat="1">
      <c r="A6856" s="193" t="s">
        <v>522</v>
      </c>
      <c r="B6856" s="210">
        <v>3</v>
      </c>
      <c r="C6856" s="191" t="str">
        <f>IF('IWP24'!E$392=0,"",'IWP24'!E$392)</f>
        <v>Item/Service</v>
      </c>
      <c r="D6856" s="211" t="str">
        <f>'IWP24'!G$392</f>
        <v>Itemized Amount Paid by DADS</v>
      </c>
      <c r="E6856" s="211">
        <f>'IWP24'!H$392</f>
        <v>0</v>
      </c>
      <c r="F6856" s="211">
        <f>'IWP24'!I$392</f>
        <v>0</v>
      </c>
      <c r="G6856" s="191" t="str">
        <f>IF('IWP24'!J$392=0,"",'IWP24'!J$392)</f>
        <v/>
      </c>
      <c r="H6856" s="211">
        <f>'IWP24'!K$392</f>
        <v>0</v>
      </c>
      <c r="I6856" s="211">
        <f>'IWP24'!L$392</f>
        <v>0</v>
      </c>
      <c r="J6856" s="212">
        <f>'IWP24'!M$392</f>
        <v>0</v>
      </c>
      <c r="K6856" s="106"/>
      <c r="L6856" s="106"/>
      <c r="M6856" s="129"/>
    </row>
    <row r="6857" spans="1:13" s="146" customFormat="1">
      <c r="A6857" s="193" t="s">
        <v>522</v>
      </c>
      <c r="B6857" s="210">
        <v>3</v>
      </c>
      <c r="C6857" s="191" t="str">
        <f>IF('IWP24'!E$393=0,"",'IWP24'!E$393)</f>
        <v/>
      </c>
      <c r="D6857" s="211">
        <f>'IWP24'!G$393</f>
        <v>0</v>
      </c>
      <c r="E6857" s="211">
        <f>'IWP24'!H$393</f>
        <v>0</v>
      </c>
      <c r="F6857" s="211">
        <f>'IWP24'!I$393</f>
        <v>0</v>
      </c>
      <c r="G6857" s="191" t="str">
        <f>IF('IWP24'!J$393=0,"",'IWP24'!J$393)</f>
        <v/>
      </c>
      <c r="H6857" s="211">
        <f>'IWP24'!K$393</f>
        <v>0</v>
      </c>
      <c r="I6857" s="211">
        <f>'IWP24'!L$393</f>
        <v>0</v>
      </c>
      <c r="J6857" s="212">
        <f>'IWP24'!M$393</f>
        <v>0</v>
      </c>
      <c r="K6857" s="106"/>
      <c r="L6857" s="106"/>
      <c r="M6857" s="129"/>
    </row>
    <row r="6858" spans="1:13" s="146" customFormat="1">
      <c r="A6858" s="193" t="s">
        <v>522</v>
      </c>
      <c r="B6858" s="210">
        <v>3</v>
      </c>
      <c r="C6858" s="191" t="str">
        <f>IF('IWP24'!E$394=0,"",'IWP24'!E$394)</f>
        <v/>
      </c>
      <c r="D6858" s="211">
        <f>'IWP24'!G$394</f>
        <v>0</v>
      </c>
      <c r="E6858" s="211">
        <f>'IWP24'!H$394</f>
        <v>0</v>
      </c>
      <c r="F6858" s="211">
        <f>'IWP24'!I$394</f>
        <v>0</v>
      </c>
      <c r="G6858" s="191" t="str">
        <f>IF('IWP24'!J$394=0,"",'IWP24'!J$394)</f>
        <v/>
      </c>
      <c r="H6858" s="211">
        <f>'IWP24'!K$394</f>
        <v>0</v>
      </c>
      <c r="I6858" s="211">
        <f>'IWP24'!L$394</f>
        <v>0</v>
      </c>
      <c r="J6858" s="212">
        <f>'IWP24'!M$394</f>
        <v>0</v>
      </c>
      <c r="K6858" s="106"/>
      <c r="L6858" s="106"/>
      <c r="M6858" s="129"/>
    </row>
    <row r="6859" spans="1:13" s="146" customFormat="1">
      <c r="A6859" s="193" t="s">
        <v>522</v>
      </c>
      <c r="B6859" s="210">
        <v>3</v>
      </c>
      <c r="C6859" s="191" t="str">
        <f>IF('IWP24'!E$395=0,"",'IWP24'!E$395)</f>
        <v/>
      </c>
      <c r="D6859" s="211">
        <f>'IWP24'!G$395</f>
        <v>0</v>
      </c>
      <c r="E6859" s="211">
        <f>'IWP24'!H$395</f>
        <v>0</v>
      </c>
      <c r="F6859" s="211">
        <f>'IWP24'!I$395</f>
        <v>0</v>
      </c>
      <c r="G6859" s="191" t="str">
        <f>IF('IWP24'!J$395=0,"",'IWP24'!J$395)</f>
        <v/>
      </c>
      <c r="H6859" s="211">
        <f>'IWP24'!K$395</f>
        <v>0</v>
      </c>
      <c r="I6859" s="211">
        <f>'IWP24'!L$395</f>
        <v>0</v>
      </c>
      <c r="J6859" s="212">
        <f>'IWP24'!M$395</f>
        <v>0</v>
      </c>
      <c r="K6859" s="106"/>
      <c r="L6859" s="106"/>
      <c r="M6859" s="129"/>
    </row>
    <row r="6860" spans="1:13" s="146" customFormat="1">
      <c r="A6860" s="193" t="s">
        <v>522</v>
      </c>
      <c r="B6860" s="210">
        <v>3</v>
      </c>
      <c r="C6860" s="191" t="str">
        <f>IF('IWP24'!E$396=0,"",'IWP24'!E$396)</f>
        <v/>
      </c>
      <c r="D6860" s="211">
        <f>'IWP24'!G$396</f>
        <v>0</v>
      </c>
      <c r="E6860" s="211">
        <f>'IWP24'!H$396</f>
        <v>0</v>
      </c>
      <c r="F6860" s="211">
        <f>'IWP24'!I$396</f>
        <v>0</v>
      </c>
      <c r="G6860" s="191" t="str">
        <f>IF('IWP24'!J$396=0,"",'IWP24'!J$396)</f>
        <v/>
      </c>
      <c r="H6860" s="211">
        <f>'IWP24'!K$396</f>
        <v>0</v>
      </c>
      <c r="I6860" s="211">
        <f>'IWP24'!L$396</f>
        <v>0</v>
      </c>
      <c r="J6860" s="212">
        <f>'IWP24'!M$396</f>
        <v>0</v>
      </c>
      <c r="K6860" s="106"/>
      <c r="L6860" s="106"/>
      <c r="M6860" s="129"/>
    </row>
    <row r="6861" spans="1:13" s="146" customFormat="1">
      <c r="A6861" s="193" t="s">
        <v>522</v>
      </c>
      <c r="B6861" s="210">
        <v>4</v>
      </c>
      <c r="C6861" s="191" t="str">
        <f>IF('IWP24'!E$403=0,"",'IWP24'!E$403)</f>
        <v>Subtotal column D.</v>
      </c>
      <c r="D6861" s="211">
        <f>'IWP24'!G$403</f>
        <v>0</v>
      </c>
      <c r="E6861" s="211">
        <f>'IWP24'!H$403</f>
        <v>0</v>
      </c>
      <c r="F6861" s="211">
        <f>'IWP24'!I$403</f>
        <v>0</v>
      </c>
      <c r="G6861" s="191" t="str">
        <f>IF('IWP24'!J$403=0,"",'IWP24'!J$403)</f>
        <v/>
      </c>
      <c r="H6861" s="211">
        <f>'IWP24'!K$403</f>
        <v>0</v>
      </c>
      <c r="I6861" s="211">
        <f>'IWP24'!L$403</f>
        <v>0</v>
      </c>
      <c r="J6861" s="212">
        <f>'IWP24'!M$403</f>
        <v>0</v>
      </c>
      <c r="K6861" s="106"/>
      <c r="L6861" s="106"/>
      <c r="M6861" s="129"/>
    </row>
    <row r="6862" spans="1:13" s="146" customFormat="1">
      <c r="A6862" s="193" t="s">
        <v>522</v>
      </c>
      <c r="B6862" s="210">
        <v>4</v>
      </c>
      <c r="C6862" s="191" t="str">
        <f>IF('IWP24'!E$404=0,"",'IWP24'!E$404)</f>
        <v>Unverified/Undocumented (Subtotal D - C)</v>
      </c>
      <c r="D6862" s="211">
        <f>'IWP24'!G$404</f>
        <v>0</v>
      </c>
      <c r="E6862" s="211">
        <f>'IWP24'!H$404</f>
        <v>0</v>
      </c>
      <c r="F6862" s="211">
        <f>'IWP24'!I$404</f>
        <v>0</v>
      </c>
      <c r="G6862" s="191" t="str">
        <f>IF('IWP24'!J$404=0,"",'IWP24'!J$404)</f>
        <v/>
      </c>
      <c r="H6862" s="211">
        <f>'IWP24'!K$404</f>
        <v>0</v>
      </c>
      <c r="I6862" s="211">
        <f>'IWP24'!L$404</f>
        <v>0</v>
      </c>
      <c r="J6862" s="212">
        <f>'IWP24'!M$404</f>
        <v>0</v>
      </c>
      <c r="K6862" s="106"/>
      <c r="L6862" s="106"/>
      <c r="M6862" s="129"/>
    </row>
    <row r="6863" spans="1:13" s="146" customFormat="1">
      <c r="A6863" s="193" t="s">
        <v>522</v>
      </c>
      <c r="B6863" s="210">
        <v>4</v>
      </c>
      <c r="C6863" s="191" t="str">
        <f>IF('IWP24'!E$405=0,"",'IWP24'!E$405)</f>
        <v>J. Billing Period Total</v>
      </c>
      <c r="D6863" s="211">
        <f>'IWP24'!G$405</f>
        <v>0</v>
      </c>
      <c r="E6863" s="211">
        <f>'IWP24'!H$405</f>
        <v>0</v>
      </c>
      <c r="F6863" s="211">
        <f>'IWP24'!I$405</f>
        <v>0</v>
      </c>
      <c r="G6863" s="191" t="str">
        <f>IF('IWP24'!J$405=0,"",'IWP24'!J$405)</f>
        <v/>
      </c>
      <c r="H6863" s="211">
        <f>'IWP24'!K$405</f>
        <v>0</v>
      </c>
      <c r="I6863" s="211">
        <f>'IWP24'!L$405</f>
        <v>0</v>
      </c>
      <c r="J6863" s="212">
        <f>'IWP24'!M$405</f>
        <v>0</v>
      </c>
      <c r="K6863" s="106"/>
      <c r="L6863" s="106"/>
      <c r="M6863" s="129"/>
    </row>
    <row r="6864" spans="1:13" s="146" customFormat="1">
      <c r="A6864" s="193" t="s">
        <v>522</v>
      </c>
      <c r="B6864" s="210">
        <v>4</v>
      </c>
      <c r="C6864" s="191" t="str">
        <f>IF('IWP24'!E$406=0,"",'IWP24'!E$406)</f>
        <v>D.</v>
      </c>
      <c r="D6864" s="211">
        <f>'IWP24'!G$406</f>
        <v>0</v>
      </c>
      <c r="E6864" s="211" t="str">
        <f>'IWP24'!H$406</f>
        <v>E.</v>
      </c>
      <c r="F6864" s="211" t="str">
        <f>'IWP24'!I$406</f>
        <v>F.</v>
      </c>
      <c r="G6864" s="191" t="str">
        <f>IF('IWP24'!J$406=0,"",'IWP24'!J$406)</f>
        <v>G.</v>
      </c>
      <c r="H6864" s="211">
        <f>'IWP24'!K$406</f>
        <v>0</v>
      </c>
      <c r="I6864" s="211" t="str">
        <f>'IWP24'!L$406</f>
        <v>H.</v>
      </c>
      <c r="J6864" s="212" t="str">
        <f>'IWP24'!M$406</f>
        <v>I.</v>
      </c>
      <c r="K6864" s="106"/>
      <c r="L6864" s="106"/>
      <c r="M6864" s="129"/>
    </row>
    <row r="6865" spans="1:13" s="146" customFormat="1">
      <c r="A6865" s="193" t="s">
        <v>522</v>
      </c>
      <c r="B6865" s="210">
        <v>4</v>
      </c>
      <c r="C6865" s="191" t="str">
        <f>IF('IWP24'!E$407=0,"",'IWP24'!E$407)</f>
        <v xml:space="preserve">Items/Services Related to Billing Period </v>
      </c>
      <c r="D6865" s="211">
        <f>'IWP24'!G$407</f>
        <v>0</v>
      </c>
      <c r="E6865" s="211" t="str">
        <f>'IWP24'!H$407</f>
        <v xml:space="preserve">Item/
Service Verified Amounts
</v>
      </c>
      <c r="F6865" s="211" t="str">
        <f>'IWP24'!I$407</f>
        <v>Amount Due to DADS (E. - D.)</v>
      </c>
      <c r="G6865" s="191" t="str">
        <f>IF('IWP24'!J$407=0,"",'IWP24'!J$407)</f>
        <v>Amount Reimbursed to 
Employee(s)/Employer</v>
      </c>
      <c r="H6865" s="211">
        <f>'IWP24'!K$407</f>
        <v>0</v>
      </c>
      <c r="I6865" s="211" t="str">
        <f>'IWP24'!L$407</f>
        <v>Amount Due to Employee(s) (G. - E.)</v>
      </c>
      <c r="J6865" s="212" t="str">
        <f>'IWP24'!M$407</f>
        <v>Amount Due to Employer (G. - E.)</v>
      </c>
      <c r="K6865" s="106"/>
      <c r="L6865" s="106"/>
      <c r="M6865" s="129"/>
    </row>
    <row r="6866" spans="1:13" s="146" customFormat="1">
      <c r="A6866" s="193" t="s">
        <v>522</v>
      </c>
      <c r="B6866" s="210">
        <v>4</v>
      </c>
      <c r="C6866" s="191" t="str">
        <f>IF('IWP24'!E$408=0,"",'IWP24'!E$408)</f>
        <v>Item/Service</v>
      </c>
      <c r="D6866" s="211" t="str">
        <f>'IWP24'!G$408</f>
        <v>Itemized Amount Paid by DADS</v>
      </c>
      <c r="E6866" s="211">
        <f>'IWP24'!H$408</f>
        <v>0</v>
      </c>
      <c r="F6866" s="211">
        <f>'IWP24'!I$408</f>
        <v>0</v>
      </c>
      <c r="G6866" s="191" t="str">
        <f>IF('IWP24'!J$408=0,"",'IWP24'!J$408)</f>
        <v/>
      </c>
      <c r="H6866" s="211">
        <f>'IWP24'!K$408</f>
        <v>0</v>
      </c>
      <c r="I6866" s="211">
        <f>'IWP24'!L$408</f>
        <v>0</v>
      </c>
      <c r="J6866" s="212">
        <f>'IWP24'!M$408</f>
        <v>0</v>
      </c>
      <c r="K6866" s="106"/>
      <c r="L6866" s="106"/>
      <c r="M6866" s="129"/>
    </row>
    <row r="6867" spans="1:13" s="146" customFormat="1">
      <c r="A6867" s="193" t="s">
        <v>522</v>
      </c>
      <c r="B6867" s="210">
        <v>4</v>
      </c>
      <c r="C6867" s="191" t="str">
        <f>IF('IWP24'!E$409=0,"",'IWP24'!E$409)</f>
        <v/>
      </c>
      <c r="D6867" s="211">
        <f>'IWP24'!G$409</f>
        <v>0</v>
      </c>
      <c r="E6867" s="211">
        <f>'IWP24'!H$409</f>
        <v>0</v>
      </c>
      <c r="F6867" s="211">
        <f>'IWP24'!I$409</f>
        <v>0</v>
      </c>
      <c r="G6867" s="191" t="str">
        <f>IF('IWP24'!J$409=0,"",'IWP24'!J$409)</f>
        <v/>
      </c>
      <c r="H6867" s="211">
        <f>'IWP24'!K$409</f>
        <v>0</v>
      </c>
      <c r="I6867" s="211">
        <f>'IWP24'!L$409</f>
        <v>0</v>
      </c>
      <c r="J6867" s="212">
        <f>'IWP24'!M$409</f>
        <v>0</v>
      </c>
      <c r="K6867" s="106"/>
      <c r="L6867" s="106"/>
      <c r="M6867" s="129"/>
    </row>
    <row r="6868" spans="1:13" s="146" customFormat="1">
      <c r="A6868" s="193" t="s">
        <v>522</v>
      </c>
      <c r="B6868" s="210">
        <v>4</v>
      </c>
      <c r="C6868" s="191" t="str">
        <f>IF('IWP24'!E$410=0,"",'IWP24'!E$410)</f>
        <v/>
      </c>
      <c r="D6868" s="211">
        <f>'IWP24'!G$410</f>
        <v>0</v>
      </c>
      <c r="E6868" s="211">
        <f>'IWP24'!H$410</f>
        <v>0</v>
      </c>
      <c r="F6868" s="211">
        <f>'IWP24'!I$410</f>
        <v>0</v>
      </c>
      <c r="G6868" s="191" t="str">
        <f>IF('IWP24'!J$410=0,"",'IWP24'!J$410)</f>
        <v/>
      </c>
      <c r="H6868" s="211">
        <f>'IWP24'!K$410</f>
        <v>0</v>
      </c>
      <c r="I6868" s="211">
        <f>'IWP24'!L$410</f>
        <v>0</v>
      </c>
      <c r="J6868" s="212">
        <f>'IWP24'!M$410</f>
        <v>0</v>
      </c>
      <c r="K6868" s="106"/>
      <c r="L6868" s="106"/>
      <c r="M6868" s="129"/>
    </row>
    <row r="6869" spans="1:13" s="146" customFormat="1">
      <c r="A6869" s="193" t="s">
        <v>522</v>
      </c>
      <c r="B6869" s="210">
        <v>4</v>
      </c>
      <c r="C6869" s="191" t="str">
        <f>IF('IWP24'!E$411=0,"",'IWP24'!E$411)</f>
        <v/>
      </c>
      <c r="D6869" s="211">
        <f>'IWP24'!G$411</f>
        <v>0</v>
      </c>
      <c r="E6869" s="211">
        <f>'IWP24'!H$411</f>
        <v>0</v>
      </c>
      <c r="F6869" s="211">
        <f>'IWP24'!I$411</f>
        <v>0</v>
      </c>
      <c r="G6869" s="191" t="str">
        <f>IF('IWP24'!J$411=0,"",'IWP24'!J$411)</f>
        <v/>
      </c>
      <c r="H6869" s="211">
        <f>'IWP24'!K$411</f>
        <v>0</v>
      </c>
      <c r="I6869" s="211">
        <f>'IWP24'!L$411</f>
        <v>0</v>
      </c>
      <c r="J6869" s="212">
        <f>'IWP24'!M$411</f>
        <v>0</v>
      </c>
      <c r="K6869" s="106"/>
      <c r="L6869" s="106"/>
      <c r="M6869" s="129"/>
    </row>
    <row r="6870" spans="1:13" s="146" customFormat="1">
      <c r="A6870" s="193" t="s">
        <v>522</v>
      </c>
      <c r="B6870" s="210">
        <v>4</v>
      </c>
      <c r="C6870" s="191" t="str">
        <f>IF('IWP24'!E$412=0,"",'IWP24'!E$412)</f>
        <v/>
      </c>
      <c r="D6870" s="211">
        <f>'IWP24'!G$412</f>
        <v>0</v>
      </c>
      <c r="E6870" s="211">
        <f>'IWP24'!H$412</f>
        <v>0</v>
      </c>
      <c r="F6870" s="211">
        <f>'IWP24'!I$412</f>
        <v>0</v>
      </c>
      <c r="G6870" s="191" t="str">
        <f>IF('IWP24'!J$412=0,"",'IWP24'!J$412)</f>
        <v/>
      </c>
      <c r="H6870" s="211">
        <f>'IWP24'!K$412</f>
        <v>0</v>
      </c>
      <c r="I6870" s="211">
        <f>'IWP24'!L$412</f>
        <v>0</v>
      </c>
      <c r="J6870" s="212">
        <f>'IWP24'!M$412</f>
        <v>0</v>
      </c>
      <c r="K6870" s="106"/>
      <c r="L6870" s="106"/>
      <c r="M6870" s="129"/>
    </row>
    <row r="6871" spans="1:13" s="146" customFormat="1">
      <c r="A6871" s="193" t="s">
        <v>522</v>
      </c>
      <c r="B6871" s="210">
        <v>5</v>
      </c>
      <c r="C6871" s="191" t="str">
        <f>IF('IWP24'!E$419=0,"",'IWP24'!E$419)</f>
        <v>Subtotal column D.</v>
      </c>
      <c r="D6871" s="211">
        <f>'IWP24'!G$419</f>
        <v>0</v>
      </c>
      <c r="E6871" s="211">
        <f>'IWP24'!H$419</f>
        <v>0</v>
      </c>
      <c r="F6871" s="211">
        <f>'IWP24'!I$419</f>
        <v>0</v>
      </c>
      <c r="G6871" s="191" t="str">
        <f>IF('IWP24'!J$419=0,"",'IWP24'!J$419)</f>
        <v/>
      </c>
      <c r="H6871" s="211">
        <f>'IWP24'!K$419</f>
        <v>0</v>
      </c>
      <c r="I6871" s="211">
        <f>'IWP24'!L$419</f>
        <v>0</v>
      </c>
      <c r="J6871" s="212">
        <f>'IWP24'!M$419</f>
        <v>0</v>
      </c>
      <c r="K6871" s="106"/>
      <c r="L6871" s="106"/>
      <c r="M6871" s="129"/>
    </row>
    <row r="6872" spans="1:13" s="146" customFormat="1">
      <c r="A6872" s="193" t="s">
        <v>522</v>
      </c>
      <c r="B6872" s="210">
        <v>5</v>
      </c>
      <c r="C6872" s="191" t="str">
        <f>IF('IWP24'!E$420=0,"",'IWP24'!E$420)</f>
        <v>Unverified/Undocumented (Subtotal D - C)</v>
      </c>
      <c r="D6872" s="211">
        <f>'IWP24'!G$420</f>
        <v>0</v>
      </c>
      <c r="E6872" s="211">
        <f>'IWP24'!H$420</f>
        <v>0</v>
      </c>
      <c r="F6872" s="211">
        <f>'IWP24'!I$420</f>
        <v>0</v>
      </c>
      <c r="G6872" s="191" t="str">
        <f>IF('IWP24'!J$420=0,"",'IWP24'!J$420)</f>
        <v/>
      </c>
      <c r="H6872" s="211">
        <f>'IWP24'!K$420</f>
        <v>0</v>
      </c>
      <c r="I6872" s="211">
        <f>'IWP24'!L$420</f>
        <v>0</v>
      </c>
      <c r="J6872" s="212">
        <f>'IWP24'!M$420</f>
        <v>0</v>
      </c>
      <c r="K6872" s="106"/>
      <c r="L6872" s="106"/>
      <c r="M6872" s="129"/>
    </row>
    <row r="6873" spans="1:13" s="146" customFormat="1">
      <c r="A6873" s="193" t="s">
        <v>522</v>
      </c>
      <c r="B6873" s="210">
        <v>5</v>
      </c>
      <c r="C6873" s="191" t="str">
        <f>IF('IWP24'!E$421=0,"",'IWP24'!E$421)</f>
        <v>J. Billing Period Total</v>
      </c>
      <c r="D6873" s="211">
        <f>'IWP24'!G$421</f>
        <v>0</v>
      </c>
      <c r="E6873" s="211">
        <f>'IWP24'!H$421</f>
        <v>0</v>
      </c>
      <c r="F6873" s="211">
        <f>'IWP24'!I$421</f>
        <v>0</v>
      </c>
      <c r="G6873" s="191" t="str">
        <f>IF('IWP24'!J$421=0,"",'IWP24'!J$421)</f>
        <v/>
      </c>
      <c r="H6873" s="211">
        <f>'IWP24'!K$421</f>
        <v>0</v>
      </c>
      <c r="I6873" s="211">
        <f>'IWP24'!L$421</f>
        <v>0</v>
      </c>
      <c r="J6873" s="212">
        <f>'IWP24'!M$421</f>
        <v>0</v>
      </c>
      <c r="K6873" s="106"/>
      <c r="L6873" s="106"/>
      <c r="M6873" s="129"/>
    </row>
    <row r="6874" spans="1:13" s="146" customFormat="1">
      <c r="A6874" s="193" t="s">
        <v>522</v>
      </c>
      <c r="B6874" s="210">
        <v>5</v>
      </c>
      <c r="C6874" s="191" t="str">
        <f>IF('IWP24'!E$422=0,"",'IWP24'!E$422)</f>
        <v>D.</v>
      </c>
      <c r="D6874" s="211">
        <f>'IWP24'!G$422</f>
        <v>0</v>
      </c>
      <c r="E6874" s="211" t="str">
        <f>'IWP24'!H$422</f>
        <v>E.</v>
      </c>
      <c r="F6874" s="211" t="str">
        <f>'IWP24'!I$422</f>
        <v>F.</v>
      </c>
      <c r="G6874" s="191" t="str">
        <f>IF('IWP24'!J$422=0,"",'IWP24'!J$422)</f>
        <v>G.</v>
      </c>
      <c r="H6874" s="211">
        <f>'IWP24'!K$422</f>
        <v>0</v>
      </c>
      <c r="I6874" s="211" t="str">
        <f>'IWP24'!L$422</f>
        <v>H.</v>
      </c>
      <c r="J6874" s="212" t="str">
        <f>'IWP24'!M$422</f>
        <v>I.</v>
      </c>
      <c r="K6874" s="106"/>
      <c r="L6874" s="106"/>
      <c r="M6874" s="129"/>
    </row>
    <row r="6875" spans="1:13" s="146" customFormat="1">
      <c r="A6875" s="193" t="s">
        <v>522</v>
      </c>
      <c r="B6875" s="210">
        <v>5</v>
      </c>
      <c r="C6875" s="191" t="str">
        <f>IF('IWP24'!E$423=0,"",'IWP24'!E$423)</f>
        <v xml:space="preserve">Items/Services Related to Billing Period </v>
      </c>
      <c r="D6875" s="211">
        <f>'IWP24'!G$423</f>
        <v>0</v>
      </c>
      <c r="E6875" s="211" t="str">
        <f>'IWP24'!H$423</f>
        <v xml:space="preserve">Item/
Service Verified Amounts
</v>
      </c>
      <c r="F6875" s="211" t="str">
        <f>'IWP24'!I$423</f>
        <v>Amount Due to DADS (E. - D.)</v>
      </c>
      <c r="G6875" s="191" t="str">
        <f>IF('IWP24'!J$423=0,"",'IWP24'!J$423)</f>
        <v>Amount Reimbursed to 
Employee(s)/Employer</v>
      </c>
      <c r="H6875" s="211">
        <f>'IWP24'!K$423</f>
        <v>0</v>
      </c>
      <c r="I6875" s="211" t="str">
        <f>'IWP24'!L$423</f>
        <v>Amount Due to Employee(s) (G. - E.)</v>
      </c>
      <c r="J6875" s="212" t="str">
        <f>'IWP24'!M$423</f>
        <v>Amount Due to Employer (G. - E.)</v>
      </c>
      <c r="K6875" s="106"/>
      <c r="L6875" s="106"/>
      <c r="M6875" s="129"/>
    </row>
    <row r="6876" spans="1:13" s="146" customFormat="1">
      <c r="A6876" s="193" t="s">
        <v>522</v>
      </c>
      <c r="B6876" s="210">
        <v>5</v>
      </c>
      <c r="C6876" s="191" t="str">
        <f>IF('IWP24'!E$424=0,"",'IWP24'!E$424)</f>
        <v>Item/Service</v>
      </c>
      <c r="D6876" s="211" t="str">
        <f>'IWP24'!G$424</f>
        <v>Itemized Amount Paid by DADS</v>
      </c>
      <c r="E6876" s="211">
        <f>'IWP24'!H$424</f>
        <v>0</v>
      </c>
      <c r="F6876" s="211">
        <f>'IWP24'!I$424</f>
        <v>0</v>
      </c>
      <c r="G6876" s="191" t="str">
        <f>IF('IWP24'!J$424=0,"",'IWP24'!J$424)</f>
        <v/>
      </c>
      <c r="H6876" s="211">
        <f>'IWP24'!K$424</f>
        <v>0</v>
      </c>
      <c r="I6876" s="211">
        <f>'IWP24'!L$424</f>
        <v>0</v>
      </c>
      <c r="J6876" s="212">
        <f>'IWP24'!M$424</f>
        <v>0</v>
      </c>
      <c r="K6876" s="106"/>
      <c r="L6876" s="106"/>
      <c r="M6876" s="129"/>
    </row>
    <row r="6877" spans="1:13" s="146" customFormat="1">
      <c r="A6877" s="193" t="s">
        <v>522</v>
      </c>
      <c r="B6877" s="210">
        <v>5</v>
      </c>
      <c r="C6877" s="191" t="str">
        <f>IF('IWP24'!E$425=0,"",'IWP24'!E$425)</f>
        <v/>
      </c>
      <c r="D6877" s="211">
        <f>'IWP24'!G$425</f>
        <v>0</v>
      </c>
      <c r="E6877" s="211">
        <f>'IWP24'!H$425</f>
        <v>0</v>
      </c>
      <c r="F6877" s="211">
        <f>'IWP24'!I$425</f>
        <v>0</v>
      </c>
      <c r="G6877" s="191" t="str">
        <f>IF('IWP24'!J$425=0,"",'IWP24'!J$425)</f>
        <v/>
      </c>
      <c r="H6877" s="211">
        <f>'IWP24'!K$425</f>
        <v>0</v>
      </c>
      <c r="I6877" s="211">
        <f>'IWP24'!L$425</f>
        <v>0</v>
      </c>
      <c r="J6877" s="212">
        <f>'IWP24'!M$425</f>
        <v>0</v>
      </c>
      <c r="K6877" s="106"/>
      <c r="L6877" s="106"/>
      <c r="M6877" s="129"/>
    </row>
    <row r="6878" spans="1:13" s="146" customFormat="1">
      <c r="A6878" s="193" t="s">
        <v>522</v>
      </c>
      <c r="B6878" s="210">
        <v>5</v>
      </c>
      <c r="C6878" s="191" t="str">
        <f>IF('IWP24'!E$426=0,"",'IWP24'!E$426)</f>
        <v/>
      </c>
      <c r="D6878" s="211">
        <f>'IWP24'!G$426</f>
        <v>0</v>
      </c>
      <c r="E6878" s="211">
        <f>'IWP24'!H$426</f>
        <v>0</v>
      </c>
      <c r="F6878" s="211">
        <f>'IWP24'!I$426</f>
        <v>0</v>
      </c>
      <c r="G6878" s="191" t="str">
        <f>IF('IWP24'!J$426=0,"",'IWP24'!J$426)</f>
        <v/>
      </c>
      <c r="H6878" s="211">
        <f>'IWP24'!K$426</f>
        <v>0</v>
      </c>
      <c r="I6878" s="211">
        <f>'IWP24'!L$426</f>
        <v>0</v>
      </c>
      <c r="J6878" s="212">
        <f>'IWP24'!M$426</f>
        <v>0</v>
      </c>
      <c r="K6878" s="106"/>
      <c r="L6878" s="106"/>
      <c r="M6878" s="129"/>
    </row>
    <row r="6879" spans="1:13" s="146" customFormat="1">
      <c r="A6879" s="193" t="s">
        <v>522</v>
      </c>
      <c r="B6879" s="210">
        <v>5</v>
      </c>
      <c r="C6879" s="191" t="str">
        <f>IF('IWP24'!E$427=0,"",'IWP24'!E$427)</f>
        <v/>
      </c>
      <c r="D6879" s="211">
        <f>'IWP24'!G$427</f>
        <v>0</v>
      </c>
      <c r="E6879" s="211">
        <f>'IWP24'!H$427</f>
        <v>0</v>
      </c>
      <c r="F6879" s="211">
        <f>'IWP24'!I$427</f>
        <v>0</v>
      </c>
      <c r="G6879" s="191" t="str">
        <f>IF('IWP24'!J$427=0,"",'IWP24'!J$427)</f>
        <v/>
      </c>
      <c r="H6879" s="211">
        <f>'IWP24'!K$427</f>
        <v>0</v>
      </c>
      <c r="I6879" s="211">
        <f>'IWP24'!L$427</f>
        <v>0</v>
      </c>
      <c r="J6879" s="212">
        <f>'IWP24'!M$427</f>
        <v>0</v>
      </c>
      <c r="K6879" s="106"/>
      <c r="L6879" s="106"/>
      <c r="M6879" s="129"/>
    </row>
    <row r="6880" spans="1:13" s="146" customFormat="1">
      <c r="A6880" s="193" t="s">
        <v>522</v>
      </c>
      <c r="B6880" s="210">
        <v>5</v>
      </c>
      <c r="C6880" s="191" t="str">
        <f>IF('IWP24'!E$428=0,"",'IWP24'!E$428)</f>
        <v/>
      </c>
      <c r="D6880" s="211">
        <f>'IWP24'!G$428</f>
        <v>0</v>
      </c>
      <c r="E6880" s="211">
        <f>'IWP24'!H$428</f>
        <v>0</v>
      </c>
      <c r="F6880" s="211">
        <f>'IWP24'!I$428</f>
        <v>0</v>
      </c>
      <c r="G6880" s="191" t="str">
        <f>IF('IWP24'!J$428=0,"",'IWP24'!J$428)</f>
        <v/>
      </c>
      <c r="H6880" s="211">
        <f>'IWP24'!K$428</f>
        <v>0</v>
      </c>
      <c r="I6880" s="211">
        <f>'IWP24'!L$428</f>
        <v>0</v>
      </c>
      <c r="J6880" s="212">
        <f>'IWP24'!M$428</f>
        <v>0</v>
      </c>
      <c r="K6880" s="106"/>
      <c r="L6880" s="106"/>
      <c r="M6880" s="129"/>
    </row>
    <row r="6881" spans="1:13" s="146" customFormat="1">
      <c r="A6881" s="193" t="s">
        <v>522</v>
      </c>
      <c r="B6881" s="210">
        <v>6</v>
      </c>
      <c r="C6881" s="191" t="str">
        <f>IF('IWP24'!E$435=0,"",'IWP24'!E$435)</f>
        <v>Subtotal column D.</v>
      </c>
      <c r="D6881" s="211">
        <f>'IWP24'!G$435</f>
        <v>0</v>
      </c>
      <c r="E6881" s="211">
        <f>'IWP24'!H$435</f>
        <v>0</v>
      </c>
      <c r="F6881" s="211">
        <f>'IWP24'!I$435</f>
        <v>0</v>
      </c>
      <c r="G6881" s="191" t="str">
        <f>IF('IWP24'!J$435=0,"",'IWP24'!J$435)</f>
        <v/>
      </c>
      <c r="H6881" s="211">
        <f>'IWP24'!K$435</f>
        <v>0</v>
      </c>
      <c r="I6881" s="211">
        <f>'IWP24'!L$435</f>
        <v>0</v>
      </c>
      <c r="J6881" s="212">
        <f>'IWP24'!M$435</f>
        <v>0</v>
      </c>
      <c r="K6881" s="106"/>
      <c r="L6881" s="106"/>
      <c r="M6881" s="129"/>
    </row>
    <row r="6882" spans="1:13" s="146" customFormat="1">
      <c r="A6882" s="193" t="s">
        <v>522</v>
      </c>
      <c r="B6882" s="210">
        <v>6</v>
      </c>
      <c r="C6882" s="191" t="str">
        <f>IF('IWP24'!E$436=0,"",'IWP24'!E$436)</f>
        <v>Unverified/Undocumented (Subtotal D - C)</v>
      </c>
      <c r="D6882" s="211">
        <f>'IWP24'!G$436</f>
        <v>0</v>
      </c>
      <c r="E6882" s="211">
        <f>'IWP24'!H$436</f>
        <v>0</v>
      </c>
      <c r="F6882" s="211">
        <f>'IWP24'!I$436</f>
        <v>0</v>
      </c>
      <c r="G6882" s="191" t="str">
        <f>IF('IWP24'!J$436=0,"",'IWP24'!J$436)</f>
        <v/>
      </c>
      <c r="H6882" s="211">
        <f>'IWP24'!K$436</f>
        <v>0</v>
      </c>
      <c r="I6882" s="211">
        <f>'IWP24'!L$436</f>
        <v>0</v>
      </c>
      <c r="J6882" s="212">
        <f>'IWP24'!M$436</f>
        <v>0</v>
      </c>
      <c r="K6882" s="106"/>
      <c r="L6882" s="106"/>
      <c r="M6882" s="129"/>
    </row>
    <row r="6883" spans="1:13" s="146" customFormat="1">
      <c r="A6883" s="193" t="s">
        <v>522</v>
      </c>
      <c r="B6883" s="210">
        <v>6</v>
      </c>
      <c r="C6883" s="191" t="str">
        <f>IF('IWP24'!E$437=0,"",'IWP24'!E$437)</f>
        <v>J. Billing Period Total</v>
      </c>
      <c r="D6883" s="211">
        <f>'IWP24'!G$437</f>
        <v>0</v>
      </c>
      <c r="E6883" s="211">
        <f>'IWP24'!H$437</f>
        <v>0</v>
      </c>
      <c r="F6883" s="211">
        <f>'IWP24'!I$437</f>
        <v>0</v>
      </c>
      <c r="G6883" s="191" t="str">
        <f>IF('IWP24'!J$437=0,"",'IWP24'!J$437)</f>
        <v/>
      </c>
      <c r="H6883" s="211">
        <f>'IWP24'!K$437</f>
        <v>0</v>
      </c>
      <c r="I6883" s="211">
        <f>'IWP24'!L$437</f>
        <v>0</v>
      </c>
      <c r="J6883" s="212">
        <f>'IWP24'!M$437</f>
        <v>0</v>
      </c>
      <c r="K6883" s="106"/>
      <c r="L6883" s="106"/>
      <c r="M6883" s="129"/>
    </row>
    <row r="6884" spans="1:13" s="146" customFormat="1">
      <c r="A6884" s="193" t="s">
        <v>522</v>
      </c>
      <c r="B6884" s="210">
        <v>6</v>
      </c>
      <c r="C6884" s="191" t="str">
        <f>IF('IWP24'!E$438=0,"",'IWP24'!E$438)</f>
        <v>D.</v>
      </c>
      <c r="D6884" s="211">
        <f>'IWP24'!G$438</f>
        <v>0</v>
      </c>
      <c r="E6884" s="211" t="str">
        <f>'IWP24'!H$438</f>
        <v>E.</v>
      </c>
      <c r="F6884" s="211" t="str">
        <f>'IWP24'!I$438</f>
        <v>F.</v>
      </c>
      <c r="G6884" s="191" t="str">
        <f>IF('IWP24'!J$438=0,"",'IWP24'!J$438)</f>
        <v>G.</v>
      </c>
      <c r="H6884" s="211">
        <f>'IWP24'!K$438</f>
        <v>0</v>
      </c>
      <c r="I6884" s="211" t="str">
        <f>'IWP24'!L$438</f>
        <v>H.</v>
      </c>
      <c r="J6884" s="212" t="str">
        <f>'IWP24'!M$438</f>
        <v>I.</v>
      </c>
      <c r="K6884" s="106"/>
      <c r="L6884" s="106"/>
      <c r="M6884" s="129"/>
    </row>
    <row r="6885" spans="1:13" s="146" customFormat="1">
      <c r="A6885" s="193" t="s">
        <v>522</v>
      </c>
      <c r="B6885" s="210">
        <v>6</v>
      </c>
      <c r="C6885" s="191" t="str">
        <f>IF('IWP24'!E$439=0,"",'IWP24'!E$439)</f>
        <v xml:space="preserve">Items/Services Related to Billing Period </v>
      </c>
      <c r="D6885" s="211">
        <f>'IWP24'!G$439</f>
        <v>0</v>
      </c>
      <c r="E6885" s="211" t="str">
        <f>'IWP24'!H$439</f>
        <v xml:space="preserve">Item/
Service Verified Amounts
</v>
      </c>
      <c r="F6885" s="211" t="str">
        <f>'IWP24'!I$439</f>
        <v>Amount Due to DADS (E. - D.)</v>
      </c>
      <c r="G6885" s="191" t="str">
        <f>IF('IWP24'!J$439=0,"",'IWP24'!J$439)</f>
        <v>Amount Reimbursed to 
Employee(s)/Employer</v>
      </c>
      <c r="H6885" s="211">
        <f>'IWP24'!K$439</f>
        <v>0</v>
      </c>
      <c r="I6885" s="211" t="str">
        <f>'IWP24'!L$439</f>
        <v>Amount Due to Employee(s) (G. - E.)</v>
      </c>
      <c r="J6885" s="212" t="str">
        <f>'IWP24'!M$439</f>
        <v>Amount Due to Employer (G. - E.)</v>
      </c>
      <c r="K6885" s="106"/>
      <c r="L6885" s="106"/>
      <c r="M6885" s="129"/>
    </row>
    <row r="6886" spans="1:13" s="146" customFormat="1">
      <c r="A6886" s="193" t="s">
        <v>522</v>
      </c>
      <c r="B6886" s="210">
        <v>6</v>
      </c>
      <c r="C6886" s="191" t="str">
        <f>IF('IWP24'!E$440=0,"",'IWP24'!E$440)</f>
        <v>Item/Service</v>
      </c>
      <c r="D6886" s="211" t="str">
        <f>'IWP24'!G$440</f>
        <v>Itemized Amount Paid by DADS</v>
      </c>
      <c r="E6886" s="211">
        <f>'IWP24'!H$440</f>
        <v>0</v>
      </c>
      <c r="F6886" s="211">
        <f>'IWP24'!I$440</f>
        <v>0</v>
      </c>
      <c r="G6886" s="191" t="str">
        <f>IF('IWP24'!J$440=0,"",'IWP24'!J$440)</f>
        <v/>
      </c>
      <c r="H6886" s="211">
        <f>'IWP24'!K$440</f>
        <v>0</v>
      </c>
      <c r="I6886" s="211">
        <f>'IWP24'!L$440</f>
        <v>0</v>
      </c>
      <c r="J6886" s="212">
        <f>'IWP24'!M$440</f>
        <v>0</v>
      </c>
      <c r="K6886" s="106"/>
      <c r="L6886" s="106"/>
      <c r="M6886" s="129"/>
    </row>
    <row r="6887" spans="1:13" s="146" customFormat="1">
      <c r="A6887" s="193" t="s">
        <v>522</v>
      </c>
      <c r="B6887" s="210">
        <v>6</v>
      </c>
      <c r="C6887" s="191" t="str">
        <f>IF('IWP24'!E$441=0,"",'IWP24'!E$441)</f>
        <v/>
      </c>
      <c r="D6887" s="211">
        <f>'IWP24'!G$441</f>
        <v>0</v>
      </c>
      <c r="E6887" s="211">
        <f>'IWP24'!H$441</f>
        <v>0</v>
      </c>
      <c r="F6887" s="211">
        <f>'IWP24'!I$441</f>
        <v>0</v>
      </c>
      <c r="G6887" s="191" t="str">
        <f>IF('IWP24'!J$441=0,"",'IWP24'!J$441)</f>
        <v/>
      </c>
      <c r="H6887" s="211">
        <f>'IWP24'!K$441</f>
        <v>0</v>
      </c>
      <c r="I6887" s="211">
        <f>'IWP24'!L$441</f>
        <v>0</v>
      </c>
      <c r="J6887" s="212">
        <f>'IWP24'!M$441</f>
        <v>0</v>
      </c>
      <c r="K6887" s="106"/>
      <c r="L6887" s="106"/>
      <c r="M6887" s="129"/>
    </row>
    <row r="6888" spans="1:13" s="146" customFormat="1">
      <c r="A6888" s="193" t="s">
        <v>522</v>
      </c>
      <c r="B6888" s="210">
        <v>6</v>
      </c>
      <c r="C6888" s="191" t="str">
        <f>IF('IWP24'!E$442=0,"",'IWP24'!E$442)</f>
        <v/>
      </c>
      <c r="D6888" s="211">
        <f>'IWP24'!G$442</f>
        <v>0</v>
      </c>
      <c r="E6888" s="211">
        <f>'IWP24'!H$442</f>
        <v>0</v>
      </c>
      <c r="F6888" s="211">
        <f>'IWP24'!I$442</f>
        <v>0</v>
      </c>
      <c r="G6888" s="191" t="str">
        <f>IF('IWP24'!J$442=0,"",'IWP24'!J$442)</f>
        <v/>
      </c>
      <c r="H6888" s="211">
        <f>'IWP24'!K$442</f>
        <v>0</v>
      </c>
      <c r="I6888" s="211">
        <f>'IWP24'!L$442</f>
        <v>0</v>
      </c>
      <c r="J6888" s="212">
        <f>'IWP24'!M$442</f>
        <v>0</v>
      </c>
      <c r="K6888" s="106"/>
      <c r="L6888" s="106"/>
      <c r="M6888" s="129"/>
    </row>
    <row r="6889" spans="1:13" s="146" customFormat="1">
      <c r="A6889" s="193" t="s">
        <v>522</v>
      </c>
      <c r="B6889" s="210">
        <v>6</v>
      </c>
      <c r="C6889" s="191" t="str">
        <f>IF('IWP24'!E$443=0,"",'IWP24'!E$443)</f>
        <v/>
      </c>
      <c r="D6889" s="211">
        <f>'IWP24'!G$443</f>
        <v>0</v>
      </c>
      <c r="E6889" s="211">
        <f>'IWP24'!H$443</f>
        <v>0</v>
      </c>
      <c r="F6889" s="211">
        <f>'IWP24'!I$443</f>
        <v>0</v>
      </c>
      <c r="G6889" s="191" t="str">
        <f>IF('IWP24'!J$443=0,"",'IWP24'!J$443)</f>
        <v/>
      </c>
      <c r="H6889" s="211">
        <f>'IWP24'!K$443</f>
        <v>0</v>
      </c>
      <c r="I6889" s="211">
        <f>'IWP24'!L$443</f>
        <v>0</v>
      </c>
      <c r="J6889" s="212">
        <f>'IWP24'!M$443</f>
        <v>0</v>
      </c>
      <c r="K6889" s="106"/>
      <c r="L6889" s="106"/>
      <c r="M6889" s="129"/>
    </row>
    <row r="6890" spans="1:13" s="146" customFormat="1">
      <c r="A6890" s="193" t="s">
        <v>522</v>
      </c>
      <c r="B6890" s="210">
        <v>6</v>
      </c>
      <c r="C6890" s="191" t="str">
        <f>IF('IWP24'!E$444=0,"",'IWP24'!E$444)</f>
        <v/>
      </c>
      <c r="D6890" s="211">
        <f>'IWP24'!G$444</f>
        <v>0</v>
      </c>
      <c r="E6890" s="211">
        <f>'IWP24'!H$444</f>
        <v>0</v>
      </c>
      <c r="F6890" s="211">
        <f>'IWP24'!I$444</f>
        <v>0</v>
      </c>
      <c r="G6890" s="191" t="str">
        <f>IF('IWP24'!J$444=0,"",'IWP24'!J$444)</f>
        <v/>
      </c>
      <c r="H6890" s="211">
        <f>'IWP24'!K$444</f>
        <v>0</v>
      </c>
      <c r="I6890" s="211">
        <f>'IWP24'!L$444</f>
        <v>0</v>
      </c>
      <c r="J6890" s="212">
        <f>'IWP24'!M$444</f>
        <v>0</v>
      </c>
      <c r="K6890" s="106"/>
      <c r="L6890" s="106"/>
      <c r="M6890" s="129"/>
    </row>
    <row r="6891" spans="1:13" s="146" customFormat="1">
      <c r="A6891" s="193" t="s">
        <v>522</v>
      </c>
      <c r="B6891" s="210">
        <v>7</v>
      </c>
      <c r="C6891" s="191" t="str">
        <f>IF('IWP24'!E$451=0,"",'IWP24'!E$451)</f>
        <v>Subtotal column D.</v>
      </c>
      <c r="D6891" s="211">
        <f>'IWP24'!G$451</f>
        <v>0</v>
      </c>
      <c r="E6891" s="211">
        <f>'IWP24'!H$451</f>
        <v>0</v>
      </c>
      <c r="F6891" s="211">
        <f>'IWP24'!I$451</f>
        <v>0</v>
      </c>
      <c r="G6891" s="191" t="str">
        <f>IF('IWP24'!J$451=0,"",'IWP24'!J$451)</f>
        <v/>
      </c>
      <c r="H6891" s="211">
        <f>'IWP24'!K$451</f>
        <v>0</v>
      </c>
      <c r="I6891" s="211">
        <f>'IWP24'!L$451</f>
        <v>0</v>
      </c>
      <c r="J6891" s="212">
        <f>'IWP24'!M$451</f>
        <v>0</v>
      </c>
      <c r="K6891" s="106"/>
      <c r="L6891" s="106"/>
      <c r="M6891" s="129"/>
    </row>
    <row r="6892" spans="1:13" s="146" customFormat="1">
      <c r="A6892" s="193" t="s">
        <v>522</v>
      </c>
      <c r="B6892" s="210">
        <v>7</v>
      </c>
      <c r="C6892" s="191" t="str">
        <f>IF('IWP24'!E$452=0,"",'IWP24'!E$452)</f>
        <v>Unverified/Undocumented (Subtotal D - C)</v>
      </c>
      <c r="D6892" s="211">
        <f>'IWP24'!G$452</f>
        <v>0</v>
      </c>
      <c r="E6892" s="211">
        <f>'IWP24'!H$452</f>
        <v>0</v>
      </c>
      <c r="F6892" s="211">
        <f>'IWP24'!I$452</f>
        <v>0</v>
      </c>
      <c r="G6892" s="191" t="str">
        <f>IF('IWP24'!J$452=0,"",'IWP24'!J$452)</f>
        <v/>
      </c>
      <c r="H6892" s="211">
        <f>'IWP24'!K$452</f>
        <v>0</v>
      </c>
      <c r="I6892" s="211">
        <f>'IWP24'!L$452</f>
        <v>0</v>
      </c>
      <c r="J6892" s="212">
        <f>'IWP24'!M$452</f>
        <v>0</v>
      </c>
      <c r="K6892" s="106"/>
      <c r="L6892" s="106"/>
      <c r="M6892" s="129"/>
    </row>
    <row r="6893" spans="1:13" s="146" customFormat="1">
      <c r="A6893" s="193" t="s">
        <v>522</v>
      </c>
      <c r="B6893" s="210">
        <v>7</v>
      </c>
      <c r="C6893" s="191" t="str">
        <f>IF('IWP24'!E$453=0,"",'IWP24'!E$453)</f>
        <v>J. Billing Period Total</v>
      </c>
      <c r="D6893" s="211">
        <f>'IWP24'!G$453</f>
        <v>0</v>
      </c>
      <c r="E6893" s="211">
        <f>'IWP24'!H$453</f>
        <v>0</v>
      </c>
      <c r="F6893" s="211">
        <f>'IWP24'!I$453</f>
        <v>0</v>
      </c>
      <c r="G6893" s="191" t="str">
        <f>IF('IWP24'!J$453=0,"",'IWP24'!J$453)</f>
        <v/>
      </c>
      <c r="H6893" s="211">
        <f>'IWP24'!K$453</f>
        <v>0</v>
      </c>
      <c r="I6893" s="211">
        <f>'IWP24'!L$453</f>
        <v>0</v>
      </c>
      <c r="J6893" s="212">
        <f>'IWP24'!M$453</f>
        <v>0</v>
      </c>
      <c r="K6893" s="106"/>
      <c r="L6893" s="106"/>
      <c r="M6893" s="129"/>
    </row>
    <row r="6894" spans="1:13" s="146" customFormat="1">
      <c r="A6894" s="193" t="s">
        <v>522</v>
      </c>
      <c r="B6894" s="210">
        <v>7</v>
      </c>
      <c r="C6894" s="191" t="str">
        <f>IF('IWP24'!E$454=0,"",'IWP24'!E$454)</f>
        <v>D.</v>
      </c>
      <c r="D6894" s="211">
        <f>'IWP24'!G$454</f>
        <v>0</v>
      </c>
      <c r="E6894" s="211" t="str">
        <f>'IWP24'!H$454</f>
        <v>E.</v>
      </c>
      <c r="F6894" s="211" t="str">
        <f>'IWP24'!I$454</f>
        <v>F.</v>
      </c>
      <c r="G6894" s="191" t="str">
        <f>IF('IWP24'!J$454=0,"",'IWP24'!J$454)</f>
        <v>G.</v>
      </c>
      <c r="H6894" s="211">
        <f>'IWP24'!K$454</f>
        <v>0</v>
      </c>
      <c r="I6894" s="211" t="str">
        <f>'IWP24'!L$454</f>
        <v>H.</v>
      </c>
      <c r="J6894" s="212" t="str">
        <f>'IWP24'!M$454</f>
        <v>I.</v>
      </c>
      <c r="K6894" s="106"/>
      <c r="L6894" s="106"/>
      <c r="M6894" s="129"/>
    </row>
    <row r="6895" spans="1:13" s="146" customFormat="1">
      <c r="A6895" s="193" t="s">
        <v>522</v>
      </c>
      <c r="B6895" s="210">
        <v>7</v>
      </c>
      <c r="C6895" s="191" t="str">
        <f>IF('IWP24'!E$455=0,"",'IWP24'!E$455)</f>
        <v xml:space="preserve">Items/Services Related to Billing Period </v>
      </c>
      <c r="D6895" s="211">
        <f>'IWP24'!G$455</f>
        <v>0</v>
      </c>
      <c r="E6895" s="211" t="str">
        <f>'IWP24'!H$455</f>
        <v xml:space="preserve">Item/
Service Verified Amounts
</v>
      </c>
      <c r="F6895" s="211" t="str">
        <f>'IWP24'!I$455</f>
        <v>Amount Due to DADS (E. - D.)</v>
      </c>
      <c r="G6895" s="191" t="str">
        <f>IF('IWP24'!J$455=0,"",'IWP24'!J$455)</f>
        <v>Amount Reimbursed to 
Employee(s)/Employer</v>
      </c>
      <c r="H6895" s="211">
        <f>'IWP24'!K$455</f>
        <v>0</v>
      </c>
      <c r="I6895" s="211" t="str">
        <f>'IWP24'!L$455</f>
        <v>Amount Due to Employee(s) (G. - E.)</v>
      </c>
      <c r="J6895" s="212" t="str">
        <f>'IWP24'!M$455</f>
        <v>Amount Due to Employer (G. - E.)</v>
      </c>
      <c r="K6895" s="106"/>
      <c r="L6895" s="106"/>
      <c r="M6895" s="129"/>
    </row>
    <row r="6896" spans="1:13" s="146" customFormat="1">
      <c r="A6896" s="193" t="s">
        <v>522</v>
      </c>
      <c r="B6896" s="210">
        <v>7</v>
      </c>
      <c r="C6896" s="191" t="str">
        <f>IF('IWP24'!E$456=0,"",'IWP24'!E$456)</f>
        <v>Item/Service</v>
      </c>
      <c r="D6896" s="211" t="str">
        <f>'IWP24'!G$456</f>
        <v>Itemized Amount Paid by DADS</v>
      </c>
      <c r="E6896" s="211">
        <f>'IWP24'!H$456</f>
        <v>0</v>
      </c>
      <c r="F6896" s="211">
        <f>'IWP24'!I$456</f>
        <v>0</v>
      </c>
      <c r="G6896" s="191" t="str">
        <f>IF('IWP24'!J$456=0,"",'IWP24'!J$456)</f>
        <v/>
      </c>
      <c r="H6896" s="211">
        <f>'IWP24'!K$456</f>
        <v>0</v>
      </c>
      <c r="I6896" s="211">
        <f>'IWP24'!L$456</f>
        <v>0</v>
      </c>
      <c r="J6896" s="212">
        <f>'IWP24'!M$456</f>
        <v>0</v>
      </c>
      <c r="K6896" s="106"/>
      <c r="L6896" s="106"/>
      <c r="M6896" s="129"/>
    </row>
    <row r="6897" spans="1:13" s="146" customFormat="1">
      <c r="A6897" s="193" t="s">
        <v>522</v>
      </c>
      <c r="B6897" s="210">
        <v>7</v>
      </c>
      <c r="C6897" s="191" t="str">
        <f>IF('IWP24'!E$457=0,"",'IWP24'!E$457)</f>
        <v/>
      </c>
      <c r="D6897" s="211">
        <f>'IWP24'!G$457</f>
        <v>0</v>
      </c>
      <c r="E6897" s="211">
        <f>'IWP24'!H$457</f>
        <v>0</v>
      </c>
      <c r="F6897" s="211">
        <f>'IWP24'!I$457</f>
        <v>0</v>
      </c>
      <c r="G6897" s="191" t="str">
        <f>IF('IWP24'!J$457=0,"",'IWP24'!J$457)</f>
        <v/>
      </c>
      <c r="H6897" s="211">
        <f>'IWP24'!K$457</f>
        <v>0</v>
      </c>
      <c r="I6897" s="211">
        <f>'IWP24'!L$457</f>
        <v>0</v>
      </c>
      <c r="J6897" s="212">
        <f>'IWP24'!M$457</f>
        <v>0</v>
      </c>
      <c r="K6897" s="106"/>
      <c r="L6897" s="106"/>
      <c r="M6897" s="129"/>
    </row>
    <row r="6898" spans="1:13" s="146" customFormat="1">
      <c r="A6898" s="193" t="s">
        <v>522</v>
      </c>
      <c r="B6898" s="210">
        <v>7</v>
      </c>
      <c r="C6898" s="191" t="str">
        <f>IF('IWP24'!E$458=0,"",'IWP24'!E$458)</f>
        <v/>
      </c>
      <c r="D6898" s="211">
        <f>'IWP24'!G$458</f>
        <v>0</v>
      </c>
      <c r="E6898" s="211">
        <f>'IWP24'!H$458</f>
        <v>0</v>
      </c>
      <c r="F6898" s="211">
        <f>'IWP24'!I$458</f>
        <v>0</v>
      </c>
      <c r="G6898" s="191" t="str">
        <f>IF('IWP24'!J$458=0,"",'IWP24'!J$458)</f>
        <v/>
      </c>
      <c r="H6898" s="211">
        <f>'IWP24'!K$458</f>
        <v>0</v>
      </c>
      <c r="I6898" s="211">
        <f>'IWP24'!L$458</f>
        <v>0</v>
      </c>
      <c r="J6898" s="212">
        <f>'IWP24'!M$458</f>
        <v>0</v>
      </c>
      <c r="K6898" s="106"/>
      <c r="L6898" s="106"/>
      <c r="M6898" s="129"/>
    </row>
    <row r="6899" spans="1:13" s="146" customFormat="1">
      <c r="A6899" s="193" t="s">
        <v>522</v>
      </c>
      <c r="B6899" s="210">
        <v>7</v>
      </c>
      <c r="C6899" s="191" t="str">
        <f>IF('IWP24'!E$459=0,"",'IWP24'!E$459)</f>
        <v/>
      </c>
      <c r="D6899" s="211">
        <f>'IWP24'!G$459</f>
        <v>0</v>
      </c>
      <c r="E6899" s="211">
        <f>'IWP24'!H$459</f>
        <v>0</v>
      </c>
      <c r="F6899" s="211">
        <f>'IWP24'!I$459</f>
        <v>0</v>
      </c>
      <c r="G6899" s="191" t="str">
        <f>IF('IWP24'!J$459=0,"",'IWP24'!J$459)</f>
        <v/>
      </c>
      <c r="H6899" s="211">
        <f>'IWP24'!K$459</f>
        <v>0</v>
      </c>
      <c r="I6899" s="211">
        <f>'IWP24'!L$459</f>
        <v>0</v>
      </c>
      <c r="J6899" s="212">
        <f>'IWP24'!M$459</f>
        <v>0</v>
      </c>
      <c r="K6899" s="106"/>
      <c r="L6899" s="106"/>
      <c r="M6899" s="129"/>
    </row>
    <row r="6900" spans="1:13" s="146" customFormat="1">
      <c r="A6900" s="193" t="s">
        <v>522</v>
      </c>
      <c r="B6900" s="210">
        <v>7</v>
      </c>
      <c r="C6900" s="191" t="str">
        <f>IF('IWP24'!E$460=0,"",'IWP24'!E$460)</f>
        <v/>
      </c>
      <c r="D6900" s="211">
        <f>'IWP24'!G$460</f>
        <v>0</v>
      </c>
      <c r="E6900" s="211">
        <f>'IWP24'!H$460</f>
        <v>0</v>
      </c>
      <c r="F6900" s="211">
        <f>'IWP24'!I$460</f>
        <v>0</v>
      </c>
      <c r="G6900" s="191" t="str">
        <f>IF('IWP24'!J$460=0,"",'IWP24'!J$460)</f>
        <v/>
      </c>
      <c r="H6900" s="211">
        <f>'IWP24'!K$460</f>
        <v>0</v>
      </c>
      <c r="I6900" s="211">
        <f>'IWP24'!L$460</f>
        <v>0</v>
      </c>
      <c r="J6900" s="212">
        <f>'IWP24'!M$460</f>
        <v>0</v>
      </c>
      <c r="K6900" s="106"/>
      <c r="L6900" s="106"/>
      <c r="M6900" s="129"/>
    </row>
    <row r="6901" spans="1:13" s="146" customFormat="1">
      <c r="A6901" s="193" t="s">
        <v>522</v>
      </c>
      <c r="B6901" s="210">
        <v>8</v>
      </c>
      <c r="C6901" s="191" t="str">
        <f>IF('IWP24'!E$467=0,"",'IWP24'!E$467)</f>
        <v>Subtotal column D.</v>
      </c>
      <c r="D6901" s="211">
        <f>'IWP24'!G$467</f>
        <v>0</v>
      </c>
      <c r="E6901" s="211">
        <f>'IWP24'!H$467</f>
        <v>0</v>
      </c>
      <c r="F6901" s="211">
        <f>'IWP24'!I$467</f>
        <v>0</v>
      </c>
      <c r="G6901" s="191" t="str">
        <f>IF('IWP24'!J$467=0,"",'IWP24'!J$467)</f>
        <v/>
      </c>
      <c r="H6901" s="211">
        <f>'IWP24'!K$467</f>
        <v>0</v>
      </c>
      <c r="I6901" s="211">
        <f>'IWP24'!L$467</f>
        <v>0</v>
      </c>
      <c r="J6901" s="212">
        <f>'IWP24'!M$467</f>
        <v>0</v>
      </c>
      <c r="K6901" s="106"/>
      <c r="L6901" s="106"/>
      <c r="M6901" s="129"/>
    </row>
    <row r="6902" spans="1:13" s="146" customFormat="1">
      <c r="A6902" s="193" t="s">
        <v>522</v>
      </c>
      <c r="B6902" s="210">
        <v>8</v>
      </c>
      <c r="C6902" s="191" t="str">
        <f>IF('IWP24'!E$468=0,"",'IWP24'!E$468)</f>
        <v>Unverified/Undocumented (Subtotal D - C)</v>
      </c>
      <c r="D6902" s="211">
        <f>'IWP24'!G$468</f>
        <v>0</v>
      </c>
      <c r="E6902" s="211">
        <f>'IWP24'!H$468</f>
        <v>0</v>
      </c>
      <c r="F6902" s="211">
        <f>'IWP24'!I$468</f>
        <v>0</v>
      </c>
      <c r="G6902" s="191" t="str">
        <f>IF('IWP24'!J$468=0,"",'IWP24'!J$468)</f>
        <v/>
      </c>
      <c r="H6902" s="211">
        <f>'IWP24'!K$468</f>
        <v>0</v>
      </c>
      <c r="I6902" s="211">
        <f>'IWP24'!L$468</f>
        <v>0</v>
      </c>
      <c r="J6902" s="212">
        <f>'IWP24'!M$468</f>
        <v>0</v>
      </c>
      <c r="K6902" s="106"/>
      <c r="L6902" s="106"/>
      <c r="M6902" s="129"/>
    </row>
    <row r="6903" spans="1:13" s="146" customFormat="1">
      <c r="A6903" s="193" t="s">
        <v>522</v>
      </c>
      <c r="B6903" s="210">
        <v>8</v>
      </c>
      <c r="C6903" s="191" t="str">
        <f>IF('IWP24'!E$469=0,"",'IWP24'!E$469)</f>
        <v>J. Billing Period Total</v>
      </c>
      <c r="D6903" s="211">
        <f>'IWP24'!G$469</f>
        <v>0</v>
      </c>
      <c r="E6903" s="211">
        <f>'IWP24'!H$469</f>
        <v>0</v>
      </c>
      <c r="F6903" s="211">
        <f>'IWP24'!I$469</f>
        <v>0</v>
      </c>
      <c r="G6903" s="191" t="str">
        <f>IF('IWP24'!J$469=0,"",'IWP24'!J$469)</f>
        <v/>
      </c>
      <c r="H6903" s="211">
        <f>'IWP24'!K$469</f>
        <v>0</v>
      </c>
      <c r="I6903" s="211">
        <f>'IWP24'!L$469</f>
        <v>0</v>
      </c>
      <c r="J6903" s="212">
        <f>'IWP24'!M$469</f>
        <v>0</v>
      </c>
      <c r="K6903" s="106"/>
      <c r="L6903" s="106"/>
      <c r="M6903" s="129"/>
    </row>
    <row r="6904" spans="1:13" s="146" customFormat="1">
      <c r="A6904" s="193" t="s">
        <v>522</v>
      </c>
      <c r="B6904" s="210">
        <v>8</v>
      </c>
      <c r="C6904" s="191" t="str">
        <f>IF('IWP24'!E$470=0,"",'IWP24'!E$470)</f>
        <v>D.</v>
      </c>
      <c r="D6904" s="211">
        <f>'IWP24'!G$470</f>
        <v>0</v>
      </c>
      <c r="E6904" s="211" t="str">
        <f>'IWP24'!H$470</f>
        <v>E.</v>
      </c>
      <c r="F6904" s="211" t="str">
        <f>'IWP24'!I$470</f>
        <v>F.</v>
      </c>
      <c r="G6904" s="191" t="str">
        <f>IF('IWP24'!J$470=0,"",'IWP24'!J$470)</f>
        <v>G.</v>
      </c>
      <c r="H6904" s="211">
        <f>'IWP24'!K$470</f>
        <v>0</v>
      </c>
      <c r="I6904" s="211" t="str">
        <f>'IWP24'!L$470</f>
        <v>H.</v>
      </c>
      <c r="J6904" s="212" t="str">
        <f>'IWP24'!M$470</f>
        <v>I.</v>
      </c>
      <c r="K6904" s="106"/>
      <c r="L6904" s="106"/>
      <c r="M6904" s="129"/>
    </row>
    <row r="6905" spans="1:13" s="146" customFormat="1">
      <c r="A6905" s="193" t="s">
        <v>522</v>
      </c>
      <c r="B6905" s="210">
        <v>8</v>
      </c>
      <c r="C6905" s="191" t="str">
        <f>IF('IWP24'!E$471=0,"",'IWP24'!E$471)</f>
        <v xml:space="preserve">Items/Services Related to Billing Period </v>
      </c>
      <c r="D6905" s="211">
        <f>'IWP24'!G$471</f>
        <v>0</v>
      </c>
      <c r="E6905" s="211" t="str">
        <f>'IWP24'!H$471</f>
        <v xml:space="preserve">Item/
Service Verified Amounts
</v>
      </c>
      <c r="F6905" s="211" t="str">
        <f>'IWP24'!I$471</f>
        <v>Amount Due to DADS (E. - D.)</v>
      </c>
      <c r="G6905" s="191" t="str">
        <f>IF('IWP24'!J$471=0,"",'IWP24'!J$471)</f>
        <v>Amount Reimbursed to 
Employee(s)/Employer</v>
      </c>
      <c r="H6905" s="211">
        <f>'IWP24'!K$471</f>
        <v>0</v>
      </c>
      <c r="I6905" s="211" t="str">
        <f>'IWP24'!L$471</f>
        <v>Amount Due to Employee(s) (G. - E.)</v>
      </c>
      <c r="J6905" s="212" t="str">
        <f>'IWP24'!M$471</f>
        <v>Amount Due to Employer (G. - E.)</v>
      </c>
      <c r="K6905" s="106"/>
      <c r="L6905" s="106"/>
      <c r="M6905" s="129"/>
    </row>
    <row r="6906" spans="1:13" s="146" customFormat="1">
      <c r="A6906" s="193" t="s">
        <v>522</v>
      </c>
      <c r="B6906" s="210">
        <v>8</v>
      </c>
      <c r="C6906" s="191" t="str">
        <f>IF('IWP24'!E$472=0,"",'IWP24'!E$472)</f>
        <v>Item/Service</v>
      </c>
      <c r="D6906" s="211" t="str">
        <f>'IWP24'!G$472</f>
        <v>Itemized Amount Paid by DADS</v>
      </c>
      <c r="E6906" s="211">
        <f>'IWP24'!H$472</f>
        <v>0</v>
      </c>
      <c r="F6906" s="211">
        <f>'IWP24'!I$472</f>
        <v>0</v>
      </c>
      <c r="G6906" s="191" t="str">
        <f>IF('IWP24'!J$472=0,"",'IWP24'!J$472)</f>
        <v/>
      </c>
      <c r="H6906" s="211">
        <f>'IWP24'!K$472</f>
        <v>0</v>
      </c>
      <c r="I6906" s="211">
        <f>'IWP24'!L$472</f>
        <v>0</v>
      </c>
      <c r="J6906" s="212">
        <f>'IWP24'!M$472</f>
        <v>0</v>
      </c>
      <c r="K6906" s="106"/>
      <c r="L6906" s="106"/>
      <c r="M6906" s="129"/>
    </row>
    <row r="6907" spans="1:13" s="146" customFormat="1">
      <c r="A6907" s="193" t="s">
        <v>522</v>
      </c>
      <c r="B6907" s="210">
        <v>8</v>
      </c>
      <c r="C6907" s="191" t="str">
        <f>IF('IWP24'!E$473=0,"",'IWP24'!E$473)</f>
        <v/>
      </c>
      <c r="D6907" s="211">
        <f>'IWP24'!G$473</f>
        <v>0</v>
      </c>
      <c r="E6907" s="211">
        <f>'IWP24'!H$473</f>
        <v>0</v>
      </c>
      <c r="F6907" s="211">
        <f>'IWP24'!I$473</f>
        <v>0</v>
      </c>
      <c r="G6907" s="191" t="str">
        <f>IF('IWP24'!J$473=0,"",'IWP24'!J$473)</f>
        <v/>
      </c>
      <c r="H6907" s="211">
        <f>'IWP24'!K$473</f>
        <v>0</v>
      </c>
      <c r="I6907" s="211">
        <f>'IWP24'!L$473</f>
        <v>0</v>
      </c>
      <c r="J6907" s="212">
        <f>'IWP24'!M$473</f>
        <v>0</v>
      </c>
      <c r="K6907" s="106"/>
      <c r="L6907" s="106"/>
      <c r="M6907" s="129"/>
    </row>
    <row r="6908" spans="1:13" s="146" customFormat="1">
      <c r="A6908" s="193" t="s">
        <v>522</v>
      </c>
      <c r="B6908" s="210">
        <v>8</v>
      </c>
      <c r="C6908" s="191" t="str">
        <f>IF('IWP24'!E$474=0,"",'IWP24'!E$474)</f>
        <v/>
      </c>
      <c r="D6908" s="211">
        <f>'IWP24'!G$474</f>
        <v>0</v>
      </c>
      <c r="E6908" s="211">
        <f>'IWP24'!H$474</f>
        <v>0</v>
      </c>
      <c r="F6908" s="211">
        <f>'IWP24'!I$474</f>
        <v>0</v>
      </c>
      <c r="G6908" s="191" t="str">
        <f>IF('IWP24'!J$474=0,"",'IWP24'!J$474)</f>
        <v/>
      </c>
      <c r="H6908" s="211">
        <f>'IWP24'!K$474</f>
        <v>0</v>
      </c>
      <c r="I6908" s="211">
        <f>'IWP24'!L$474</f>
        <v>0</v>
      </c>
      <c r="J6908" s="212">
        <f>'IWP24'!M$474</f>
        <v>0</v>
      </c>
      <c r="K6908" s="106"/>
      <c r="L6908" s="106"/>
      <c r="M6908" s="129"/>
    </row>
    <row r="6909" spans="1:13" s="146" customFormat="1">
      <c r="A6909" s="193" t="s">
        <v>522</v>
      </c>
      <c r="B6909" s="210">
        <v>8</v>
      </c>
      <c r="C6909" s="191" t="str">
        <f>IF('IWP24'!E$475=0,"",'IWP24'!E$475)</f>
        <v/>
      </c>
      <c r="D6909" s="211">
        <f>'IWP24'!G$475</f>
        <v>0</v>
      </c>
      <c r="E6909" s="211">
        <f>'IWP24'!H$475</f>
        <v>0</v>
      </c>
      <c r="F6909" s="211">
        <f>'IWP24'!I$475</f>
        <v>0</v>
      </c>
      <c r="G6909" s="191" t="str">
        <f>IF('IWP24'!J$475=0,"",'IWP24'!J$475)</f>
        <v/>
      </c>
      <c r="H6909" s="211">
        <f>'IWP24'!K$475</f>
        <v>0</v>
      </c>
      <c r="I6909" s="211">
        <f>'IWP24'!L$475</f>
        <v>0</v>
      </c>
      <c r="J6909" s="212">
        <f>'IWP24'!M$475</f>
        <v>0</v>
      </c>
      <c r="K6909" s="106"/>
      <c r="L6909" s="106"/>
      <c r="M6909" s="129"/>
    </row>
    <row r="6910" spans="1:13" s="146" customFormat="1">
      <c r="A6910" s="193" t="s">
        <v>522</v>
      </c>
      <c r="B6910" s="210">
        <v>8</v>
      </c>
      <c r="C6910" s="191" t="str">
        <f>IF('IWP24'!E$476=0,"",'IWP24'!E$476)</f>
        <v/>
      </c>
      <c r="D6910" s="211">
        <f>'IWP24'!G$476</f>
        <v>0</v>
      </c>
      <c r="E6910" s="211">
        <f>'IWP24'!H$476</f>
        <v>0</v>
      </c>
      <c r="F6910" s="211">
        <f>'IWP24'!I$476</f>
        <v>0</v>
      </c>
      <c r="G6910" s="191" t="str">
        <f>IF('IWP24'!J$476=0,"",'IWP24'!J$476)</f>
        <v/>
      </c>
      <c r="H6910" s="211">
        <f>'IWP24'!K$476</f>
        <v>0</v>
      </c>
      <c r="I6910" s="211">
        <f>'IWP24'!L$476</f>
        <v>0</v>
      </c>
      <c r="J6910" s="212">
        <f>'IWP24'!M$476</f>
        <v>0</v>
      </c>
      <c r="K6910" s="106"/>
      <c r="L6910" s="106"/>
      <c r="M6910" s="129"/>
    </row>
    <row r="6911" spans="1:13" s="146" customFormat="1">
      <c r="A6911" s="193" t="s">
        <v>522</v>
      </c>
      <c r="B6911" s="210">
        <v>9</v>
      </c>
      <c r="C6911" s="191" t="str">
        <f>IF('IWP24'!E$483=0,"",'IWP24'!E$483)</f>
        <v>Subtotal column D.</v>
      </c>
      <c r="D6911" s="211">
        <f>'IWP24'!G$483</f>
        <v>0</v>
      </c>
      <c r="E6911" s="211">
        <f>'IWP24'!H$483</f>
        <v>0</v>
      </c>
      <c r="F6911" s="211">
        <f>'IWP24'!I$483</f>
        <v>0</v>
      </c>
      <c r="G6911" s="191" t="str">
        <f>IF('IWP24'!J$483=0,"",'IWP24'!J$483)</f>
        <v/>
      </c>
      <c r="H6911" s="211">
        <f>'IWP24'!K$483</f>
        <v>0</v>
      </c>
      <c r="I6911" s="211">
        <f>'IWP24'!L$483</f>
        <v>0</v>
      </c>
      <c r="J6911" s="212">
        <f>'IWP24'!M$483</f>
        <v>0</v>
      </c>
      <c r="K6911" s="106"/>
      <c r="L6911" s="106"/>
      <c r="M6911" s="129"/>
    </row>
    <row r="6912" spans="1:13" s="146" customFormat="1">
      <c r="A6912" s="193" t="s">
        <v>522</v>
      </c>
      <c r="B6912" s="210">
        <v>9</v>
      </c>
      <c r="C6912" s="191" t="str">
        <f>IF('IWP24'!E$484=0,"",'IWP24'!E$484)</f>
        <v>Unverified/Undocumented (Subtotal D - C)</v>
      </c>
      <c r="D6912" s="211">
        <f>'IWP24'!G$484</f>
        <v>0</v>
      </c>
      <c r="E6912" s="211">
        <f>'IWP24'!H$484</f>
        <v>0</v>
      </c>
      <c r="F6912" s="211">
        <f>'IWP24'!I$484</f>
        <v>0</v>
      </c>
      <c r="G6912" s="191" t="str">
        <f>IF('IWP24'!J$484=0,"",'IWP24'!J$484)</f>
        <v/>
      </c>
      <c r="H6912" s="211">
        <f>'IWP24'!K$484</f>
        <v>0</v>
      </c>
      <c r="I6912" s="211">
        <f>'IWP24'!L$484</f>
        <v>0</v>
      </c>
      <c r="J6912" s="212">
        <f>'IWP24'!M$484</f>
        <v>0</v>
      </c>
      <c r="K6912" s="106"/>
      <c r="L6912" s="106"/>
      <c r="M6912" s="129"/>
    </row>
    <row r="6913" spans="1:13" s="146" customFormat="1">
      <c r="A6913" s="193" t="s">
        <v>522</v>
      </c>
      <c r="B6913" s="210">
        <v>9</v>
      </c>
      <c r="C6913" s="191" t="str">
        <f>IF('IWP24'!E$485=0,"",'IWP24'!E$485)</f>
        <v>J. Billing Period Total</v>
      </c>
      <c r="D6913" s="211">
        <f>'IWP24'!G$485</f>
        <v>0</v>
      </c>
      <c r="E6913" s="211">
        <f>'IWP24'!H$485</f>
        <v>0</v>
      </c>
      <c r="F6913" s="211">
        <f>'IWP24'!I$485</f>
        <v>0</v>
      </c>
      <c r="G6913" s="191" t="str">
        <f>IF('IWP24'!J$485=0,"",'IWP24'!J$485)</f>
        <v/>
      </c>
      <c r="H6913" s="211">
        <f>'IWP24'!K$485</f>
        <v>0</v>
      </c>
      <c r="I6913" s="211">
        <f>'IWP24'!L$485</f>
        <v>0</v>
      </c>
      <c r="J6913" s="212">
        <f>'IWP24'!M$485</f>
        <v>0</v>
      </c>
      <c r="K6913" s="106"/>
      <c r="L6913" s="106"/>
      <c r="M6913" s="129"/>
    </row>
    <row r="6914" spans="1:13" s="146" customFormat="1">
      <c r="A6914" s="193" t="s">
        <v>522</v>
      </c>
      <c r="B6914" s="210">
        <v>9</v>
      </c>
      <c r="C6914" s="191" t="str">
        <f>IF('IWP24'!E$486=0,"",'IWP24'!E$486)</f>
        <v>D.</v>
      </c>
      <c r="D6914" s="211">
        <f>'IWP24'!G$486</f>
        <v>0</v>
      </c>
      <c r="E6914" s="211" t="str">
        <f>'IWP24'!H$486</f>
        <v>E.</v>
      </c>
      <c r="F6914" s="211" t="str">
        <f>'IWP24'!I$486</f>
        <v>F.</v>
      </c>
      <c r="G6914" s="191" t="str">
        <f>IF('IWP24'!J$486=0,"",'IWP24'!J$486)</f>
        <v>G.</v>
      </c>
      <c r="H6914" s="211">
        <f>'IWP24'!K$486</f>
        <v>0</v>
      </c>
      <c r="I6914" s="211" t="str">
        <f>'IWP24'!L$486</f>
        <v>H.</v>
      </c>
      <c r="J6914" s="212" t="str">
        <f>'IWP24'!M$486</f>
        <v>I.</v>
      </c>
      <c r="K6914" s="106"/>
      <c r="L6914" s="106"/>
      <c r="M6914" s="129"/>
    </row>
    <row r="6915" spans="1:13" s="146" customFormat="1">
      <c r="A6915" s="193" t="s">
        <v>522</v>
      </c>
      <c r="B6915" s="210">
        <v>9</v>
      </c>
      <c r="C6915" s="191" t="str">
        <f>IF('IWP24'!E$487=0,"",'IWP24'!E$487)</f>
        <v xml:space="preserve">Items/Services Related to Billing Period </v>
      </c>
      <c r="D6915" s="211">
        <f>'IWP24'!G$487</f>
        <v>0</v>
      </c>
      <c r="E6915" s="211" t="str">
        <f>'IWP24'!H$487</f>
        <v xml:space="preserve">Item/
Service Verified Amounts
</v>
      </c>
      <c r="F6915" s="211" t="str">
        <f>'IWP24'!I$487</f>
        <v>Amount Due to DADS (E. - D.)</v>
      </c>
      <c r="G6915" s="191" t="str">
        <f>IF('IWP24'!J$487=0,"",'IWP24'!J$487)</f>
        <v>Amount Reimbursed to 
Employee(s)/Employer</v>
      </c>
      <c r="H6915" s="211">
        <f>'IWP24'!K$487</f>
        <v>0</v>
      </c>
      <c r="I6915" s="211" t="str">
        <f>'IWP24'!L$487</f>
        <v>Amount Due to Employee(s) (G. - E.)</v>
      </c>
      <c r="J6915" s="212" t="str">
        <f>'IWP24'!M$487</f>
        <v>Amount Due to Employer (G. - E.)</v>
      </c>
      <c r="K6915" s="106"/>
      <c r="L6915" s="106"/>
      <c r="M6915" s="129"/>
    </row>
    <row r="6916" spans="1:13" s="146" customFormat="1">
      <c r="A6916" s="193" t="s">
        <v>522</v>
      </c>
      <c r="B6916" s="210">
        <v>9</v>
      </c>
      <c r="C6916" s="191" t="str">
        <f>IF('IWP24'!E$488=0,"",'IWP24'!E$488)</f>
        <v>Item/Service</v>
      </c>
      <c r="D6916" s="211" t="str">
        <f>'IWP24'!G$488</f>
        <v>Itemized Amount Paid by DADS</v>
      </c>
      <c r="E6916" s="211">
        <f>'IWP24'!H$488</f>
        <v>0</v>
      </c>
      <c r="F6916" s="211">
        <f>'IWP24'!I$488</f>
        <v>0</v>
      </c>
      <c r="G6916" s="191" t="str">
        <f>IF('IWP24'!J$488=0,"",'IWP24'!J$488)</f>
        <v/>
      </c>
      <c r="H6916" s="211">
        <f>'IWP24'!K$488</f>
        <v>0</v>
      </c>
      <c r="I6916" s="211">
        <f>'IWP24'!L$488</f>
        <v>0</v>
      </c>
      <c r="J6916" s="212">
        <f>'IWP24'!M$488</f>
        <v>0</v>
      </c>
      <c r="K6916" s="106"/>
      <c r="L6916" s="106"/>
      <c r="M6916" s="129"/>
    </row>
    <row r="6917" spans="1:13" s="146" customFormat="1">
      <c r="A6917" s="193" t="s">
        <v>522</v>
      </c>
      <c r="B6917" s="210">
        <v>9</v>
      </c>
      <c r="C6917" s="191" t="str">
        <f>IF('IWP24'!E$489=0,"",'IWP24'!E$489)</f>
        <v/>
      </c>
      <c r="D6917" s="211">
        <f>'IWP24'!G$489</f>
        <v>0</v>
      </c>
      <c r="E6917" s="211">
        <f>'IWP24'!H$489</f>
        <v>0</v>
      </c>
      <c r="F6917" s="211">
        <f>'IWP24'!I$489</f>
        <v>0</v>
      </c>
      <c r="G6917" s="191" t="str">
        <f>IF('IWP24'!J$489=0,"",'IWP24'!J$489)</f>
        <v/>
      </c>
      <c r="H6917" s="211">
        <f>'IWP24'!K$489</f>
        <v>0</v>
      </c>
      <c r="I6917" s="211">
        <f>'IWP24'!L$489</f>
        <v>0</v>
      </c>
      <c r="J6917" s="212">
        <f>'IWP24'!M$489</f>
        <v>0</v>
      </c>
      <c r="K6917" s="106"/>
      <c r="L6917" s="106"/>
      <c r="M6917" s="129"/>
    </row>
    <row r="6918" spans="1:13" s="146" customFormat="1">
      <c r="A6918" s="193" t="s">
        <v>522</v>
      </c>
      <c r="B6918" s="210">
        <v>9</v>
      </c>
      <c r="C6918" s="191" t="str">
        <f>IF('IWP24'!E$490=0,"",'IWP24'!E$490)</f>
        <v/>
      </c>
      <c r="D6918" s="211">
        <f>'IWP24'!G$490</f>
        <v>0</v>
      </c>
      <c r="E6918" s="211">
        <f>'IWP24'!H$490</f>
        <v>0</v>
      </c>
      <c r="F6918" s="211">
        <f>'IWP24'!I$490</f>
        <v>0</v>
      </c>
      <c r="G6918" s="191" t="str">
        <f>IF('IWP24'!J$490=0,"",'IWP24'!J$490)</f>
        <v/>
      </c>
      <c r="H6918" s="211">
        <f>'IWP24'!K$490</f>
        <v>0</v>
      </c>
      <c r="I6918" s="211">
        <f>'IWP24'!L$490</f>
        <v>0</v>
      </c>
      <c r="J6918" s="212">
        <f>'IWP24'!M$490</f>
        <v>0</v>
      </c>
      <c r="K6918" s="106"/>
      <c r="L6918" s="106"/>
      <c r="M6918" s="129"/>
    </row>
    <row r="6919" spans="1:13" s="146" customFormat="1">
      <c r="A6919" s="193" t="s">
        <v>522</v>
      </c>
      <c r="B6919" s="210">
        <v>9</v>
      </c>
      <c r="C6919" s="191" t="str">
        <f>IF('IWP24'!E$491=0,"",'IWP24'!E$491)</f>
        <v/>
      </c>
      <c r="D6919" s="211">
        <f>'IWP24'!G$491</f>
        <v>0</v>
      </c>
      <c r="E6919" s="211">
        <f>'IWP24'!H$491</f>
        <v>0</v>
      </c>
      <c r="F6919" s="211">
        <f>'IWP24'!I$491</f>
        <v>0</v>
      </c>
      <c r="G6919" s="191" t="str">
        <f>IF('IWP24'!J$491=0,"",'IWP24'!J$491)</f>
        <v/>
      </c>
      <c r="H6919" s="211">
        <f>'IWP24'!K$491</f>
        <v>0</v>
      </c>
      <c r="I6919" s="211">
        <f>'IWP24'!L$491</f>
        <v>0</v>
      </c>
      <c r="J6919" s="212">
        <f>'IWP24'!M$491</f>
        <v>0</v>
      </c>
      <c r="K6919" s="106"/>
      <c r="L6919" s="106"/>
      <c r="M6919" s="129"/>
    </row>
    <row r="6920" spans="1:13" s="146" customFormat="1">
      <c r="A6920" s="193" t="s">
        <v>522</v>
      </c>
      <c r="B6920" s="210">
        <v>9</v>
      </c>
      <c r="C6920" s="191" t="str">
        <f>IF('IWP24'!E$492=0,"",'IWP24'!E$492)</f>
        <v/>
      </c>
      <c r="D6920" s="211">
        <f>'IWP24'!G$492</f>
        <v>0</v>
      </c>
      <c r="E6920" s="211">
        <f>'IWP24'!H$492</f>
        <v>0</v>
      </c>
      <c r="F6920" s="211">
        <f>'IWP24'!I$492</f>
        <v>0</v>
      </c>
      <c r="G6920" s="191" t="str">
        <f>IF('IWP24'!J$492=0,"",'IWP24'!J$492)</f>
        <v/>
      </c>
      <c r="H6920" s="211">
        <f>'IWP24'!K$492</f>
        <v>0</v>
      </c>
      <c r="I6920" s="211">
        <f>'IWP24'!L$492</f>
        <v>0</v>
      </c>
      <c r="J6920" s="212">
        <f>'IWP24'!M$492</f>
        <v>0</v>
      </c>
      <c r="K6920" s="106"/>
      <c r="L6920" s="106"/>
      <c r="M6920" s="129"/>
    </row>
    <row r="6921" spans="1:13" s="146" customFormat="1">
      <c r="A6921" s="193" t="s">
        <v>522</v>
      </c>
      <c r="B6921" s="210">
        <v>10</v>
      </c>
      <c r="C6921" s="191" t="str">
        <f>IF('IWP24'!E$499=0,"",'IWP24'!E$499)</f>
        <v>Subtotal column D.</v>
      </c>
      <c r="D6921" s="211">
        <f>'IWP24'!G$499</f>
        <v>0</v>
      </c>
      <c r="E6921" s="211">
        <f>'IWP24'!H$499</f>
        <v>0</v>
      </c>
      <c r="F6921" s="211">
        <f>'IWP24'!I$499</f>
        <v>0</v>
      </c>
      <c r="G6921" s="191" t="str">
        <f>IF('IWP24'!J$499=0,"",'IWP24'!J$499)</f>
        <v/>
      </c>
      <c r="H6921" s="211">
        <f>'IWP24'!K$499</f>
        <v>0</v>
      </c>
      <c r="I6921" s="211">
        <f>'IWP24'!L$499</f>
        <v>0</v>
      </c>
      <c r="J6921" s="212">
        <f>'IWP24'!M$499</f>
        <v>0</v>
      </c>
      <c r="K6921" s="106"/>
      <c r="L6921" s="106"/>
      <c r="M6921" s="129"/>
    </row>
    <row r="6922" spans="1:13" s="146" customFormat="1">
      <c r="A6922" s="193" t="s">
        <v>522</v>
      </c>
      <c r="B6922" s="210">
        <v>10</v>
      </c>
      <c r="C6922" s="191" t="str">
        <f>IF('IWP24'!E$500=0,"",'IWP24'!E$500)</f>
        <v>Unverified/Undocumented (Subtotal D - C)</v>
      </c>
      <c r="D6922" s="211">
        <f>'IWP24'!G$500</f>
        <v>0</v>
      </c>
      <c r="E6922" s="211">
        <f>'IWP24'!H$500</f>
        <v>0</v>
      </c>
      <c r="F6922" s="211">
        <f>'IWP24'!I$500</f>
        <v>0</v>
      </c>
      <c r="G6922" s="191" t="str">
        <f>IF('IWP24'!J$500=0,"",'IWP24'!J$500)</f>
        <v/>
      </c>
      <c r="H6922" s="211">
        <f>'IWP24'!K$500</f>
        <v>0</v>
      </c>
      <c r="I6922" s="211">
        <f>'IWP24'!L$500</f>
        <v>0</v>
      </c>
      <c r="J6922" s="212">
        <f>'IWP24'!M$500</f>
        <v>0</v>
      </c>
      <c r="K6922" s="106"/>
      <c r="L6922" s="106"/>
      <c r="M6922" s="129"/>
    </row>
    <row r="6923" spans="1:13" s="146" customFormat="1">
      <c r="A6923" s="193" t="s">
        <v>522</v>
      </c>
      <c r="B6923" s="210">
        <v>10</v>
      </c>
      <c r="C6923" s="191" t="str">
        <f>IF('IWP24'!E$501=0,"",'IWP24'!E$501)</f>
        <v>J. Billing Period Total</v>
      </c>
      <c r="D6923" s="211">
        <f>'IWP24'!G$501</f>
        <v>0</v>
      </c>
      <c r="E6923" s="211">
        <f>'IWP24'!H$501</f>
        <v>0</v>
      </c>
      <c r="F6923" s="211">
        <f>'IWP24'!I$501</f>
        <v>0</v>
      </c>
      <c r="G6923" s="191" t="str">
        <f>IF('IWP24'!J$501=0,"",'IWP24'!J$501)</f>
        <v/>
      </c>
      <c r="H6923" s="211">
        <f>'IWP24'!K$501</f>
        <v>0</v>
      </c>
      <c r="I6923" s="211">
        <f>'IWP24'!L$501</f>
        <v>0</v>
      </c>
      <c r="J6923" s="212">
        <f>'IWP24'!M$501</f>
        <v>0</v>
      </c>
      <c r="K6923" s="106"/>
      <c r="L6923" s="106"/>
      <c r="M6923" s="129"/>
    </row>
    <row r="6924" spans="1:13" s="146" customFormat="1">
      <c r="A6924" s="193" t="s">
        <v>522</v>
      </c>
      <c r="B6924" s="210">
        <v>10</v>
      </c>
      <c r="C6924" s="191" t="str">
        <f>IF('IWP24'!E$502=0,"",'IWP24'!E$502)</f>
        <v>D.</v>
      </c>
      <c r="D6924" s="211">
        <f>'IWP24'!G$502</f>
        <v>0</v>
      </c>
      <c r="E6924" s="211" t="str">
        <f>'IWP24'!H$502</f>
        <v>E.</v>
      </c>
      <c r="F6924" s="211" t="str">
        <f>'IWP24'!I$502</f>
        <v>F.</v>
      </c>
      <c r="G6924" s="191" t="str">
        <f>IF('IWP24'!J$502=0,"",'IWP24'!J$502)</f>
        <v>G.</v>
      </c>
      <c r="H6924" s="211">
        <f>'IWP24'!K$502</f>
        <v>0</v>
      </c>
      <c r="I6924" s="211" t="str">
        <f>'IWP24'!L$502</f>
        <v>H.</v>
      </c>
      <c r="J6924" s="212" t="str">
        <f>'IWP24'!M$502</f>
        <v>I.</v>
      </c>
      <c r="K6924" s="106"/>
      <c r="L6924" s="106"/>
      <c r="M6924" s="129"/>
    </row>
    <row r="6925" spans="1:13" s="146" customFormat="1">
      <c r="A6925" s="193" t="s">
        <v>522</v>
      </c>
      <c r="B6925" s="210">
        <v>10</v>
      </c>
      <c r="C6925" s="191" t="str">
        <f>IF('IWP24'!E$503=0,"",'IWP24'!E$503)</f>
        <v xml:space="preserve">Items/Services Related to Billing Period </v>
      </c>
      <c r="D6925" s="211">
        <f>'IWP24'!G$503</f>
        <v>0</v>
      </c>
      <c r="E6925" s="211" t="str">
        <f>'IWP24'!H$503</f>
        <v xml:space="preserve">Item/
Service Verified Amounts
</v>
      </c>
      <c r="F6925" s="211" t="str">
        <f>'IWP24'!I$503</f>
        <v>Amount Due to DADS (E. - D.)</v>
      </c>
      <c r="G6925" s="191" t="str">
        <f>IF('IWP24'!J$503=0,"",'IWP24'!J$503)</f>
        <v>Amount Reimbursed to 
Employee(s)/Employer</v>
      </c>
      <c r="H6925" s="211">
        <f>'IWP24'!K$503</f>
        <v>0</v>
      </c>
      <c r="I6925" s="211" t="str">
        <f>'IWP24'!L$503</f>
        <v>Amount Due to Employee(s) (G. - E.)</v>
      </c>
      <c r="J6925" s="212" t="str">
        <f>'IWP24'!M$503</f>
        <v>Amount Due to Employer (G. - E.)</v>
      </c>
      <c r="K6925" s="106"/>
      <c r="L6925" s="106"/>
      <c r="M6925" s="129"/>
    </row>
    <row r="6926" spans="1:13" s="146" customFormat="1">
      <c r="A6926" s="193" t="s">
        <v>522</v>
      </c>
      <c r="B6926" s="210">
        <v>10</v>
      </c>
      <c r="C6926" s="191" t="str">
        <f>IF('IWP24'!E$504=0,"",'IWP24'!E$504)</f>
        <v>Item/Service</v>
      </c>
      <c r="D6926" s="211" t="str">
        <f>'IWP24'!G$504</f>
        <v>Itemized Amount Paid by DADS</v>
      </c>
      <c r="E6926" s="211">
        <f>'IWP24'!H$504</f>
        <v>0</v>
      </c>
      <c r="F6926" s="211">
        <f>'IWP24'!I$504</f>
        <v>0</v>
      </c>
      <c r="G6926" s="191" t="str">
        <f>IF('IWP24'!J$504=0,"",'IWP24'!J$504)</f>
        <v/>
      </c>
      <c r="H6926" s="211">
        <f>'IWP24'!K$504</f>
        <v>0</v>
      </c>
      <c r="I6926" s="211">
        <f>'IWP24'!L$504</f>
        <v>0</v>
      </c>
      <c r="J6926" s="212">
        <f>'IWP24'!M$504</f>
        <v>0</v>
      </c>
      <c r="K6926" s="106"/>
      <c r="L6926" s="106"/>
      <c r="M6926" s="129"/>
    </row>
    <row r="6927" spans="1:13" s="146" customFormat="1">
      <c r="A6927" s="193" t="s">
        <v>522</v>
      </c>
      <c r="B6927" s="210">
        <v>10</v>
      </c>
      <c r="C6927" s="191" t="str">
        <f>IF('IWP24'!E$505=0,"",'IWP24'!E$505)</f>
        <v/>
      </c>
      <c r="D6927" s="211">
        <f>'IWP24'!G$505</f>
        <v>0</v>
      </c>
      <c r="E6927" s="211">
        <f>'IWP24'!H$505</f>
        <v>0</v>
      </c>
      <c r="F6927" s="211">
        <f>'IWP24'!I$505</f>
        <v>0</v>
      </c>
      <c r="G6927" s="191" t="str">
        <f>IF('IWP24'!J$505=0,"",'IWP24'!J$505)</f>
        <v/>
      </c>
      <c r="H6927" s="211">
        <f>'IWP24'!K$505</f>
        <v>0</v>
      </c>
      <c r="I6927" s="211">
        <f>'IWP24'!L$505</f>
        <v>0</v>
      </c>
      <c r="J6927" s="212">
        <f>'IWP24'!M$505</f>
        <v>0</v>
      </c>
      <c r="K6927" s="106"/>
      <c r="L6927" s="106"/>
      <c r="M6927" s="129"/>
    </row>
    <row r="6928" spans="1:13" s="146" customFormat="1">
      <c r="A6928" s="193" t="s">
        <v>522</v>
      </c>
      <c r="B6928" s="210">
        <v>10</v>
      </c>
      <c r="C6928" s="191" t="str">
        <f>IF('IWP24'!E$506=0,"",'IWP24'!E$506)</f>
        <v/>
      </c>
      <c r="D6928" s="211">
        <f>'IWP24'!G$506</f>
        <v>0</v>
      </c>
      <c r="E6928" s="211">
        <f>'IWP24'!H$506</f>
        <v>0</v>
      </c>
      <c r="F6928" s="211">
        <f>'IWP24'!I$506</f>
        <v>0</v>
      </c>
      <c r="G6928" s="191" t="str">
        <f>IF('IWP24'!J$506=0,"",'IWP24'!J$506)</f>
        <v/>
      </c>
      <c r="H6928" s="211">
        <f>'IWP24'!K$506</f>
        <v>0</v>
      </c>
      <c r="I6928" s="211">
        <f>'IWP24'!L$506</f>
        <v>0</v>
      </c>
      <c r="J6928" s="212">
        <f>'IWP24'!M$506</f>
        <v>0</v>
      </c>
      <c r="K6928" s="106"/>
      <c r="L6928" s="106"/>
      <c r="M6928" s="129"/>
    </row>
    <row r="6929" spans="1:13" s="146" customFormat="1">
      <c r="A6929" s="193" t="s">
        <v>522</v>
      </c>
      <c r="B6929" s="210">
        <v>10</v>
      </c>
      <c r="C6929" s="191" t="str">
        <f>IF('IWP24'!E$507=0,"",'IWP24'!E$507)</f>
        <v/>
      </c>
      <c r="D6929" s="211">
        <f>'IWP24'!G$507</f>
        <v>0</v>
      </c>
      <c r="E6929" s="211">
        <f>'IWP24'!H$507</f>
        <v>0</v>
      </c>
      <c r="F6929" s="211">
        <f>'IWP24'!I$507</f>
        <v>0</v>
      </c>
      <c r="G6929" s="191" t="str">
        <f>IF('IWP24'!J$507=0,"",'IWP24'!J$507)</f>
        <v/>
      </c>
      <c r="H6929" s="211">
        <f>'IWP24'!K$507</f>
        <v>0</v>
      </c>
      <c r="I6929" s="211">
        <f>'IWP24'!L$507</f>
        <v>0</v>
      </c>
      <c r="J6929" s="212">
        <f>'IWP24'!M$507</f>
        <v>0</v>
      </c>
      <c r="K6929" s="106"/>
      <c r="L6929" s="106"/>
      <c r="M6929" s="129"/>
    </row>
    <row r="6930" spans="1:13" s="146" customFormat="1">
      <c r="A6930" s="193" t="s">
        <v>522</v>
      </c>
      <c r="B6930" s="210">
        <v>10</v>
      </c>
      <c r="C6930" s="191" t="str">
        <f>IF('IWP24'!E$508=0,"",'IWP24'!E$508)</f>
        <v/>
      </c>
      <c r="D6930" s="211">
        <f>'IWP24'!G$508</f>
        <v>0</v>
      </c>
      <c r="E6930" s="211">
        <f>'IWP24'!H$508</f>
        <v>0</v>
      </c>
      <c r="F6930" s="211">
        <f>'IWP24'!I$508</f>
        <v>0</v>
      </c>
      <c r="G6930" s="191" t="str">
        <f>IF('IWP24'!J$508=0,"",'IWP24'!J$508)</f>
        <v/>
      </c>
      <c r="H6930" s="211">
        <f>'IWP24'!K$508</f>
        <v>0</v>
      </c>
      <c r="I6930" s="211">
        <f>'IWP24'!L$508</f>
        <v>0</v>
      </c>
      <c r="J6930" s="212">
        <f>'IWP24'!M$508</f>
        <v>0</v>
      </c>
      <c r="K6930" s="106"/>
      <c r="L6930" s="106"/>
      <c r="M6930" s="129"/>
    </row>
    <row r="6931" spans="1:13" s="146" customFormat="1">
      <c r="A6931" s="193" t="s">
        <v>522</v>
      </c>
      <c r="B6931" s="210">
        <v>11</v>
      </c>
      <c r="C6931" s="191" t="str">
        <f>IF('IWP24'!E$515=0,"",'IWP24'!E$515)</f>
        <v>Subtotal column D.</v>
      </c>
      <c r="D6931" s="211">
        <f>'IWP24'!G$515</f>
        <v>0</v>
      </c>
      <c r="E6931" s="211">
        <f>'IWP24'!H$515</f>
        <v>0</v>
      </c>
      <c r="F6931" s="211">
        <f>'IWP24'!I$515</f>
        <v>0</v>
      </c>
      <c r="G6931" s="191" t="str">
        <f>IF('IWP24'!J$515=0,"",'IWP24'!J$515)</f>
        <v/>
      </c>
      <c r="H6931" s="211">
        <f>'IWP24'!K$515</f>
        <v>0</v>
      </c>
      <c r="I6931" s="211">
        <f>'IWP24'!L$515</f>
        <v>0</v>
      </c>
      <c r="J6931" s="212">
        <f>'IWP24'!M$515</f>
        <v>0</v>
      </c>
      <c r="K6931" s="106"/>
      <c r="L6931" s="106"/>
      <c r="M6931" s="129"/>
    </row>
    <row r="6932" spans="1:13" s="146" customFormat="1">
      <c r="A6932" s="193" t="s">
        <v>522</v>
      </c>
      <c r="B6932" s="210">
        <v>11</v>
      </c>
      <c r="C6932" s="191" t="str">
        <f>IF('IWP24'!E$516=0,"",'IWP24'!E$516)</f>
        <v>Unverified/Undocumented (Subtotal D - C)</v>
      </c>
      <c r="D6932" s="211">
        <f>'IWP24'!G$516</f>
        <v>0</v>
      </c>
      <c r="E6932" s="211">
        <f>'IWP24'!H$516</f>
        <v>0</v>
      </c>
      <c r="F6932" s="211">
        <f>'IWP24'!I$516</f>
        <v>0</v>
      </c>
      <c r="G6932" s="191" t="str">
        <f>IF('IWP24'!J$516=0,"",'IWP24'!J$516)</f>
        <v/>
      </c>
      <c r="H6932" s="211">
        <f>'IWP24'!K$516</f>
        <v>0</v>
      </c>
      <c r="I6932" s="211">
        <f>'IWP24'!L$516</f>
        <v>0</v>
      </c>
      <c r="J6932" s="212">
        <f>'IWP24'!M$516</f>
        <v>0</v>
      </c>
      <c r="K6932" s="106"/>
      <c r="L6932" s="106"/>
      <c r="M6932" s="129"/>
    </row>
    <row r="6933" spans="1:13" s="146" customFormat="1">
      <c r="A6933" s="193" t="s">
        <v>522</v>
      </c>
      <c r="B6933" s="210">
        <v>11</v>
      </c>
      <c r="C6933" s="191" t="str">
        <f>IF('IWP24'!E$517=0,"",'IWP24'!E$517)</f>
        <v>J. Billing Period Total</v>
      </c>
      <c r="D6933" s="211">
        <f>'IWP24'!G$517</f>
        <v>0</v>
      </c>
      <c r="E6933" s="211">
        <f>'IWP24'!H$517</f>
        <v>0</v>
      </c>
      <c r="F6933" s="211">
        <f>'IWP24'!I$517</f>
        <v>0</v>
      </c>
      <c r="G6933" s="191" t="str">
        <f>IF('IWP24'!J$517=0,"",'IWP24'!J$517)</f>
        <v/>
      </c>
      <c r="H6933" s="211">
        <f>'IWP24'!K$517</f>
        <v>0</v>
      </c>
      <c r="I6933" s="211">
        <f>'IWP24'!L$517</f>
        <v>0</v>
      </c>
      <c r="J6933" s="212">
        <f>'IWP24'!M$517</f>
        <v>0</v>
      </c>
      <c r="K6933" s="106"/>
      <c r="L6933" s="106"/>
      <c r="M6933" s="129"/>
    </row>
    <row r="6934" spans="1:13" s="146" customFormat="1">
      <c r="A6934" s="193" t="s">
        <v>522</v>
      </c>
      <c r="B6934" s="210">
        <v>11</v>
      </c>
      <c r="C6934" s="191" t="str">
        <f>IF('IWP24'!E$518=0,"",'IWP24'!E$518)</f>
        <v>D.</v>
      </c>
      <c r="D6934" s="211">
        <f>'IWP24'!G$518</f>
        <v>0</v>
      </c>
      <c r="E6934" s="211" t="str">
        <f>'IWP24'!H$518</f>
        <v>E.</v>
      </c>
      <c r="F6934" s="211" t="str">
        <f>'IWP24'!I$518</f>
        <v>F.</v>
      </c>
      <c r="G6934" s="191" t="str">
        <f>IF('IWP24'!J$518=0,"",'IWP24'!J$518)</f>
        <v>G.</v>
      </c>
      <c r="H6934" s="211">
        <f>'IWP24'!K$518</f>
        <v>0</v>
      </c>
      <c r="I6934" s="211" t="str">
        <f>'IWP24'!L$518</f>
        <v>H.</v>
      </c>
      <c r="J6934" s="212" t="str">
        <f>'IWP24'!M$518</f>
        <v>I.</v>
      </c>
      <c r="K6934" s="106"/>
      <c r="L6934" s="106"/>
      <c r="M6934" s="129"/>
    </row>
    <row r="6935" spans="1:13" s="146" customFormat="1">
      <c r="A6935" s="193" t="s">
        <v>522</v>
      </c>
      <c r="B6935" s="210">
        <v>11</v>
      </c>
      <c r="C6935" s="191" t="str">
        <f>IF('IWP24'!E$519=0,"",'IWP24'!E$519)</f>
        <v xml:space="preserve">Items/Services Related to Billing Period </v>
      </c>
      <c r="D6935" s="211">
        <f>'IWP24'!G$519</f>
        <v>0</v>
      </c>
      <c r="E6935" s="211" t="str">
        <f>'IWP24'!H$519</f>
        <v xml:space="preserve">Item/
Service Verified Amounts
</v>
      </c>
      <c r="F6935" s="211" t="str">
        <f>'IWP24'!I$519</f>
        <v>Amount Due to DADS (E. - D.)</v>
      </c>
      <c r="G6935" s="191" t="str">
        <f>IF('IWP24'!J$519=0,"",'IWP24'!J$519)</f>
        <v>Amount Reimbursed to 
Employee(s)/Employer</v>
      </c>
      <c r="H6935" s="211">
        <f>'IWP24'!K$519</f>
        <v>0</v>
      </c>
      <c r="I6935" s="211" t="str">
        <f>'IWP24'!L$519</f>
        <v>Amount Due to Employee(s) (G. - E.)</v>
      </c>
      <c r="J6935" s="212" t="str">
        <f>'IWP24'!M$519</f>
        <v>Amount Due to Employer (G. - E.)</v>
      </c>
      <c r="K6935" s="106"/>
      <c r="L6935" s="106"/>
      <c r="M6935" s="129"/>
    </row>
    <row r="6936" spans="1:13" s="146" customFormat="1">
      <c r="A6936" s="193" t="s">
        <v>522</v>
      </c>
      <c r="B6936" s="210">
        <v>11</v>
      </c>
      <c r="C6936" s="191" t="str">
        <f>IF('IWP24'!E$520=0,"",'IWP24'!E$520)</f>
        <v>Item/Service</v>
      </c>
      <c r="D6936" s="211" t="str">
        <f>'IWP24'!G$520</f>
        <v>Itemized Amount Paid by DADS</v>
      </c>
      <c r="E6936" s="211">
        <f>'IWP24'!H$520</f>
        <v>0</v>
      </c>
      <c r="F6936" s="211">
        <f>'IWP24'!I$520</f>
        <v>0</v>
      </c>
      <c r="G6936" s="191" t="str">
        <f>IF('IWP24'!J$520=0,"",'IWP24'!J$520)</f>
        <v/>
      </c>
      <c r="H6936" s="211">
        <f>'IWP24'!K$520</f>
        <v>0</v>
      </c>
      <c r="I6936" s="211">
        <f>'IWP24'!L$520</f>
        <v>0</v>
      </c>
      <c r="J6936" s="212">
        <f>'IWP24'!M$520</f>
        <v>0</v>
      </c>
      <c r="K6936" s="106"/>
      <c r="L6936" s="106"/>
      <c r="M6936" s="129"/>
    </row>
    <row r="6937" spans="1:13" s="146" customFormat="1">
      <c r="A6937" s="193" t="s">
        <v>522</v>
      </c>
      <c r="B6937" s="210">
        <v>11</v>
      </c>
      <c r="C6937" s="191" t="str">
        <f>IF('IWP24'!E$521=0,"",'IWP24'!E$521)</f>
        <v/>
      </c>
      <c r="D6937" s="211">
        <f>'IWP24'!G$521</f>
        <v>0</v>
      </c>
      <c r="E6937" s="211">
        <f>'IWP24'!H$521</f>
        <v>0</v>
      </c>
      <c r="F6937" s="211">
        <f>'IWP24'!I$521</f>
        <v>0</v>
      </c>
      <c r="G6937" s="191" t="str">
        <f>IF('IWP24'!J$521=0,"",'IWP24'!J$521)</f>
        <v/>
      </c>
      <c r="H6937" s="211">
        <f>'IWP24'!K$521</f>
        <v>0</v>
      </c>
      <c r="I6937" s="211">
        <f>'IWP24'!L$521</f>
        <v>0</v>
      </c>
      <c r="J6937" s="212">
        <f>'IWP24'!M$521</f>
        <v>0</v>
      </c>
      <c r="K6937" s="106"/>
      <c r="L6937" s="106"/>
      <c r="M6937" s="129"/>
    </row>
    <row r="6938" spans="1:13" s="146" customFormat="1">
      <c r="A6938" s="193" t="s">
        <v>522</v>
      </c>
      <c r="B6938" s="210">
        <v>11</v>
      </c>
      <c r="C6938" s="191" t="str">
        <f>IF('IWP24'!E$522=0,"",'IWP24'!E$522)</f>
        <v/>
      </c>
      <c r="D6938" s="211">
        <f>'IWP24'!G$522</f>
        <v>0</v>
      </c>
      <c r="E6938" s="211">
        <f>'IWP24'!H$522</f>
        <v>0</v>
      </c>
      <c r="F6938" s="211">
        <f>'IWP24'!I$522</f>
        <v>0</v>
      </c>
      <c r="G6938" s="191" t="str">
        <f>IF('IWP24'!J$522=0,"",'IWP24'!J$522)</f>
        <v/>
      </c>
      <c r="H6938" s="211">
        <f>'IWP24'!K$522</f>
        <v>0</v>
      </c>
      <c r="I6938" s="211">
        <f>'IWP24'!L$522</f>
        <v>0</v>
      </c>
      <c r="J6938" s="212">
        <f>'IWP24'!M$522</f>
        <v>0</v>
      </c>
      <c r="K6938" s="106"/>
      <c r="L6938" s="106"/>
      <c r="M6938" s="129"/>
    </row>
    <row r="6939" spans="1:13" s="146" customFormat="1">
      <c r="A6939" s="193" t="s">
        <v>522</v>
      </c>
      <c r="B6939" s="210">
        <v>11</v>
      </c>
      <c r="C6939" s="191" t="str">
        <f>IF('IWP24'!E$523=0,"",'IWP24'!E$523)</f>
        <v/>
      </c>
      <c r="D6939" s="211">
        <f>'IWP24'!G$523</f>
        <v>0</v>
      </c>
      <c r="E6939" s="211">
        <f>'IWP24'!H$523</f>
        <v>0</v>
      </c>
      <c r="F6939" s="211">
        <f>'IWP24'!I$523</f>
        <v>0</v>
      </c>
      <c r="G6939" s="191" t="str">
        <f>IF('IWP24'!J$523=0,"",'IWP24'!J$523)</f>
        <v/>
      </c>
      <c r="H6939" s="211">
        <f>'IWP24'!K$523</f>
        <v>0</v>
      </c>
      <c r="I6939" s="211">
        <f>'IWP24'!L$523</f>
        <v>0</v>
      </c>
      <c r="J6939" s="212">
        <f>'IWP24'!M$523</f>
        <v>0</v>
      </c>
      <c r="K6939" s="106"/>
      <c r="L6939" s="106"/>
      <c r="M6939" s="129"/>
    </row>
    <row r="6940" spans="1:13" s="146" customFormat="1">
      <c r="A6940" s="193" t="s">
        <v>522</v>
      </c>
      <c r="B6940" s="210">
        <v>11</v>
      </c>
      <c r="C6940" s="191" t="str">
        <f>IF('IWP24'!E$524=0,"",'IWP24'!E$524)</f>
        <v/>
      </c>
      <c r="D6940" s="211">
        <f>'IWP24'!G$524</f>
        <v>0</v>
      </c>
      <c r="E6940" s="211">
        <f>'IWP24'!H$524</f>
        <v>0</v>
      </c>
      <c r="F6940" s="211">
        <f>'IWP24'!I$524</f>
        <v>0</v>
      </c>
      <c r="G6940" s="191" t="str">
        <f>IF('IWP24'!J$524=0,"",'IWP24'!J$524)</f>
        <v/>
      </c>
      <c r="H6940" s="211">
        <f>'IWP24'!K$524</f>
        <v>0</v>
      </c>
      <c r="I6940" s="211">
        <f>'IWP24'!L$524</f>
        <v>0</v>
      </c>
      <c r="J6940" s="212">
        <f>'IWP24'!M$524</f>
        <v>0</v>
      </c>
      <c r="K6940" s="106"/>
      <c r="L6940" s="106"/>
      <c r="M6940" s="129"/>
    </row>
    <row r="6941" spans="1:13" s="146" customFormat="1">
      <c r="A6941" s="193" t="s">
        <v>522</v>
      </c>
      <c r="B6941" s="210">
        <v>12</v>
      </c>
      <c r="C6941" s="191" t="str">
        <f>IF('IWP24'!E$531=0,"",'IWP24'!E$531)</f>
        <v>Subtotal column D.</v>
      </c>
      <c r="D6941" s="211">
        <f>'IWP24'!G$531</f>
        <v>0</v>
      </c>
      <c r="E6941" s="211">
        <f>'IWP24'!H$531</f>
        <v>0</v>
      </c>
      <c r="F6941" s="211">
        <f>'IWP24'!I$531</f>
        <v>0</v>
      </c>
      <c r="G6941" s="191" t="str">
        <f>IF('IWP24'!J$531=0,"",'IWP24'!J$531)</f>
        <v/>
      </c>
      <c r="H6941" s="211">
        <f>'IWP24'!K$531</f>
        <v>0</v>
      </c>
      <c r="I6941" s="211">
        <f>'IWP24'!L$531</f>
        <v>0</v>
      </c>
      <c r="J6941" s="212">
        <f>'IWP24'!M$531</f>
        <v>0</v>
      </c>
      <c r="K6941" s="106"/>
      <c r="L6941" s="106"/>
      <c r="M6941" s="129"/>
    </row>
    <row r="6942" spans="1:13" s="146" customFormat="1">
      <c r="A6942" s="193" t="s">
        <v>522</v>
      </c>
      <c r="B6942" s="210">
        <v>12</v>
      </c>
      <c r="C6942" s="191" t="str">
        <f>IF('IWP24'!E$532=0,"",'IWP24'!E$532)</f>
        <v>Unverified/Undocumented (Subtotal D - C)</v>
      </c>
      <c r="D6942" s="211">
        <f>'IWP24'!G$532</f>
        <v>0</v>
      </c>
      <c r="E6942" s="211">
        <f>'IWP24'!H$532</f>
        <v>0</v>
      </c>
      <c r="F6942" s="211">
        <f>'IWP24'!I$532</f>
        <v>0</v>
      </c>
      <c r="G6942" s="191" t="str">
        <f>IF('IWP24'!J$532=0,"",'IWP24'!J$532)</f>
        <v/>
      </c>
      <c r="H6942" s="211">
        <f>'IWP24'!K$532</f>
        <v>0</v>
      </c>
      <c r="I6942" s="211">
        <f>'IWP24'!L$532</f>
        <v>0</v>
      </c>
      <c r="J6942" s="212">
        <f>'IWP24'!M$532</f>
        <v>0</v>
      </c>
      <c r="K6942" s="106"/>
      <c r="L6942" s="106"/>
      <c r="M6942" s="129"/>
    </row>
    <row r="6943" spans="1:13" s="146" customFormat="1">
      <c r="A6943" s="193" t="s">
        <v>522</v>
      </c>
      <c r="B6943" s="210">
        <v>12</v>
      </c>
      <c r="C6943" s="191" t="str">
        <f>IF('IWP24'!E$533=0,"",'IWP24'!E$533)</f>
        <v>J. Billing Period Total</v>
      </c>
      <c r="D6943" s="211">
        <f>'IWP24'!G$533</f>
        <v>0</v>
      </c>
      <c r="E6943" s="211">
        <f>'IWP24'!H$533</f>
        <v>0</v>
      </c>
      <c r="F6943" s="211">
        <f>'IWP24'!I$533</f>
        <v>0</v>
      </c>
      <c r="G6943" s="191" t="str">
        <f>IF('IWP24'!J$533=0,"",'IWP24'!J$533)</f>
        <v/>
      </c>
      <c r="H6943" s="211">
        <f>'IWP24'!K$533</f>
        <v>0</v>
      </c>
      <c r="I6943" s="211">
        <f>'IWP24'!L$533</f>
        <v>0</v>
      </c>
      <c r="J6943" s="212">
        <f>'IWP24'!M$533</f>
        <v>0</v>
      </c>
      <c r="K6943" s="106"/>
      <c r="L6943" s="106"/>
      <c r="M6943" s="129"/>
    </row>
    <row r="6944" spans="1:13" s="146" customFormat="1">
      <c r="A6944" s="193" t="s">
        <v>522</v>
      </c>
      <c r="B6944" s="210">
        <v>12</v>
      </c>
      <c r="C6944" s="191" t="str">
        <f>IF('IWP24'!E$534=0,"",'IWP24'!E$534)</f>
        <v>D.</v>
      </c>
      <c r="D6944" s="211">
        <f>'IWP24'!G$534</f>
        <v>0</v>
      </c>
      <c r="E6944" s="211" t="str">
        <f>'IWP24'!H$534</f>
        <v>E.</v>
      </c>
      <c r="F6944" s="211" t="str">
        <f>'IWP24'!I$534</f>
        <v>F.</v>
      </c>
      <c r="G6944" s="191" t="str">
        <f>IF('IWP24'!J$534=0,"",'IWP24'!J$534)</f>
        <v>G.</v>
      </c>
      <c r="H6944" s="211">
        <f>'IWP24'!K$534</f>
        <v>0</v>
      </c>
      <c r="I6944" s="211" t="str">
        <f>'IWP24'!L$534</f>
        <v>H.</v>
      </c>
      <c r="J6944" s="212" t="str">
        <f>'IWP24'!M$534</f>
        <v>I.</v>
      </c>
      <c r="K6944" s="106"/>
      <c r="L6944" s="106"/>
      <c r="M6944" s="129"/>
    </row>
    <row r="6945" spans="1:13" s="146" customFormat="1">
      <c r="A6945" s="193" t="s">
        <v>522</v>
      </c>
      <c r="B6945" s="210">
        <v>12</v>
      </c>
      <c r="C6945" s="191" t="str">
        <f>IF('IWP24'!E$535=0,"",'IWP24'!E$535)</f>
        <v xml:space="preserve">Items/Services Related to Billing Period </v>
      </c>
      <c r="D6945" s="211">
        <f>'IWP24'!G$535</f>
        <v>0</v>
      </c>
      <c r="E6945" s="211" t="str">
        <f>'IWP24'!H$535</f>
        <v xml:space="preserve">Item/
Service Verified Amounts
</v>
      </c>
      <c r="F6945" s="211" t="str">
        <f>'IWP24'!I$535</f>
        <v>Amount Due to DADS (E. - D.)</v>
      </c>
      <c r="G6945" s="191" t="str">
        <f>IF('IWP24'!J$535=0,"",'IWP24'!J$535)</f>
        <v>Amount Reimbursed to 
Employee(s)/Employer</v>
      </c>
      <c r="H6945" s="211">
        <f>'IWP24'!K$535</f>
        <v>0</v>
      </c>
      <c r="I6945" s="211" t="str">
        <f>'IWP24'!L$535</f>
        <v>Amount Due to Employee(s) (G. - E.)</v>
      </c>
      <c r="J6945" s="212" t="str">
        <f>'IWP24'!M$535</f>
        <v>Amount Due to Employer (G. - E.)</v>
      </c>
      <c r="K6945" s="106"/>
      <c r="L6945" s="106"/>
      <c r="M6945" s="129"/>
    </row>
    <row r="6946" spans="1:13" s="146" customFormat="1">
      <c r="A6946" s="193" t="s">
        <v>522</v>
      </c>
      <c r="B6946" s="210">
        <v>12</v>
      </c>
      <c r="C6946" s="191" t="str">
        <f>IF('IWP24'!E$536=0,"",'IWP24'!E$536)</f>
        <v>Item/Service</v>
      </c>
      <c r="D6946" s="211" t="str">
        <f>'IWP24'!G$536</f>
        <v>Itemized Amount Paid by DADS</v>
      </c>
      <c r="E6946" s="211">
        <f>'IWP24'!H$536</f>
        <v>0</v>
      </c>
      <c r="F6946" s="211">
        <f>'IWP24'!I$536</f>
        <v>0</v>
      </c>
      <c r="G6946" s="191" t="str">
        <f>IF('IWP24'!J$536=0,"",'IWP24'!J$536)</f>
        <v/>
      </c>
      <c r="H6946" s="211">
        <f>'IWP24'!K$536</f>
        <v>0</v>
      </c>
      <c r="I6946" s="211">
        <f>'IWP24'!L$536</f>
        <v>0</v>
      </c>
      <c r="J6946" s="212">
        <f>'IWP24'!M$536</f>
        <v>0</v>
      </c>
      <c r="K6946" s="106"/>
      <c r="L6946" s="106"/>
      <c r="M6946" s="129"/>
    </row>
    <row r="6947" spans="1:13" s="146" customFormat="1">
      <c r="A6947" s="193" t="s">
        <v>522</v>
      </c>
      <c r="B6947" s="210">
        <v>12</v>
      </c>
      <c r="C6947" s="191" t="str">
        <f>IF('IWP24'!E$537=0,"",'IWP24'!E$537)</f>
        <v/>
      </c>
      <c r="D6947" s="211">
        <f>'IWP24'!G$537</f>
        <v>0</v>
      </c>
      <c r="E6947" s="211">
        <f>'IWP24'!H$537</f>
        <v>0</v>
      </c>
      <c r="F6947" s="211">
        <f>'IWP24'!I$537</f>
        <v>0</v>
      </c>
      <c r="G6947" s="191" t="str">
        <f>IF('IWP24'!J$537=0,"",'IWP24'!J$537)</f>
        <v/>
      </c>
      <c r="H6947" s="211">
        <f>'IWP24'!K$537</f>
        <v>0</v>
      </c>
      <c r="I6947" s="211">
        <f>'IWP24'!L$537</f>
        <v>0</v>
      </c>
      <c r="J6947" s="212">
        <f>'IWP24'!M$537</f>
        <v>0</v>
      </c>
      <c r="K6947" s="106"/>
      <c r="L6947" s="106"/>
      <c r="M6947" s="129"/>
    </row>
    <row r="6948" spans="1:13" s="146" customFormat="1">
      <c r="A6948" s="193" t="s">
        <v>522</v>
      </c>
      <c r="B6948" s="210">
        <v>12</v>
      </c>
      <c r="C6948" s="191" t="str">
        <f>IF('IWP24'!E$538=0,"",'IWP24'!E$538)</f>
        <v/>
      </c>
      <c r="D6948" s="211">
        <f>'IWP24'!G$538</f>
        <v>0</v>
      </c>
      <c r="E6948" s="211">
        <f>'IWP24'!H$538</f>
        <v>0</v>
      </c>
      <c r="F6948" s="211">
        <f>'IWP24'!I$538</f>
        <v>0</v>
      </c>
      <c r="G6948" s="191" t="str">
        <f>IF('IWP24'!J$538=0,"",'IWP24'!J$538)</f>
        <v/>
      </c>
      <c r="H6948" s="211">
        <f>'IWP24'!K$538</f>
        <v>0</v>
      </c>
      <c r="I6948" s="211">
        <f>'IWP24'!L$538</f>
        <v>0</v>
      </c>
      <c r="J6948" s="212">
        <f>'IWP24'!M$538</f>
        <v>0</v>
      </c>
      <c r="K6948" s="106"/>
      <c r="L6948" s="106"/>
      <c r="M6948" s="129"/>
    </row>
    <row r="6949" spans="1:13" s="146" customFormat="1">
      <c r="A6949" s="193" t="s">
        <v>522</v>
      </c>
      <c r="B6949" s="210">
        <v>12</v>
      </c>
      <c r="C6949" s="191" t="str">
        <f>IF('IWP24'!E$539=0,"",'IWP24'!E$539)</f>
        <v/>
      </c>
      <c r="D6949" s="211">
        <f>'IWP24'!G$539</f>
        <v>0</v>
      </c>
      <c r="E6949" s="211">
        <f>'IWP24'!H$539</f>
        <v>0</v>
      </c>
      <c r="F6949" s="211">
        <f>'IWP24'!I$539</f>
        <v>0</v>
      </c>
      <c r="G6949" s="191" t="str">
        <f>IF('IWP24'!J$539=0,"",'IWP24'!J$539)</f>
        <v/>
      </c>
      <c r="H6949" s="211">
        <f>'IWP24'!K$539</f>
        <v>0</v>
      </c>
      <c r="I6949" s="211">
        <f>'IWP24'!L$539</f>
        <v>0</v>
      </c>
      <c r="J6949" s="212">
        <f>'IWP24'!M$539</f>
        <v>0</v>
      </c>
      <c r="K6949" s="106"/>
      <c r="L6949" s="106"/>
      <c r="M6949" s="129"/>
    </row>
    <row r="6950" spans="1:13" s="146" customFormat="1">
      <c r="A6950" s="193" t="s">
        <v>522</v>
      </c>
      <c r="B6950" s="210">
        <v>12</v>
      </c>
      <c r="C6950" s="191" t="str">
        <f>IF('IWP24'!E$540=0,"",'IWP24'!E$540)</f>
        <v/>
      </c>
      <c r="D6950" s="211">
        <f>'IWP24'!G$540</f>
        <v>0</v>
      </c>
      <c r="E6950" s="211">
        <f>'IWP24'!H$540</f>
        <v>0</v>
      </c>
      <c r="F6950" s="211">
        <f>'IWP24'!I$540</f>
        <v>0</v>
      </c>
      <c r="G6950" s="191" t="str">
        <f>IF('IWP24'!J$540=0,"",'IWP24'!J$540)</f>
        <v/>
      </c>
      <c r="H6950" s="211">
        <f>'IWP24'!K$540</f>
        <v>0</v>
      </c>
      <c r="I6950" s="211">
        <f>'IWP24'!L$540</f>
        <v>0</v>
      </c>
      <c r="J6950" s="212">
        <f>'IWP24'!M$540</f>
        <v>0</v>
      </c>
      <c r="K6950" s="106"/>
      <c r="L6950" s="106"/>
      <c r="M6950" s="129"/>
    </row>
    <row r="6951" spans="1:13" s="146" customFormat="1">
      <c r="A6951" s="193" t="s">
        <v>522</v>
      </c>
      <c r="B6951" s="210">
        <v>13</v>
      </c>
      <c r="C6951" s="191" t="str">
        <f>IF('IWP24'!E$547=0,"",'IWP24'!E$547)</f>
        <v>Subtotal column D.</v>
      </c>
      <c r="D6951" s="211">
        <f>'IWP24'!G$547</f>
        <v>0</v>
      </c>
      <c r="E6951" s="211">
        <f>'IWP24'!H$547</f>
        <v>0</v>
      </c>
      <c r="F6951" s="211">
        <f>'IWP24'!I$547</f>
        <v>0</v>
      </c>
      <c r="G6951" s="191" t="str">
        <f>IF('IWP24'!J$547=0,"",'IWP24'!J$547)</f>
        <v/>
      </c>
      <c r="H6951" s="211">
        <f>'IWP24'!K$547</f>
        <v>0</v>
      </c>
      <c r="I6951" s="211">
        <f>'IWP24'!L$547</f>
        <v>0</v>
      </c>
      <c r="J6951" s="212">
        <f>'IWP24'!M$547</f>
        <v>0</v>
      </c>
      <c r="K6951" s="106"/>
      <c r="L6951" s="106"/>
      <c r="M6951" s="129"/>
    </row>
    <row r="6952" spans="1:13" s="146" customFormat="1">
      <c r="A6952" s="193" t="s">
        <v>522</v>
      </c>
      <c r="B6952" s="210">
        <v>13</v>
      </c>
      <c r="C6952" s="191" t="str">
        <f>IF('IWP24'!E$548=0,"",'IWP24'!E$548)</f>
        <v>Unverified/Undocumented (Subtotal D - C)</v>
      </c>
      <c r="D6952" s="211">
        <f>'IWP24'!G$548</f>
        <v>0</v>
      </c>
      <c r="E6952" s="211">
        <f>'IWP24'!H$548</f>
        <v>0</v>
      </c>
      <c r="F6952" s="211">
        <f>'IWP24'!I$548</f>
        <v>0</v>
      </c>
      <c r="G6952" s="191" t="str">
        <f>IF('IWP24'!J$548=0,"",'IWP24'!J$548)</f>
        <v/>
      </c>
      <c r="H6952" s="211">
        <f>'IWP24'!K$548</f>
        <v>0</v>
      </c>
      <c r="I6952" s="211">
        <f>'IWP24'!L$548</f>
        <v>0</v>
      </c>
      <c r="J6952" s="212">
        <f>'IWP24'!M$548</f>
        <v>0</v>
      </c>
      <c r="K6952" s="106"/>
      <c r="L6952" s="106"/>
      <c r="M6952" s="129"/>
    </row>
    <row r="6953" spans="1:13" s="146" customFormat="1">
      <c r="A6953" s="193" t="s">
        <v>522</v>
      </c>
      <c r="B6953" s="210">
        <v>13</v>
      </c>
      <c r="C6953" s="191" t="str">
        <f>IF('IWP24'!E$549=0,"",'IWP24'!E$549)</f>
        <v>J. Billing Period Total</v>
      </c>
      <c r="D6953" s="211">
        <f>'IWP24'!G$549</f>
        <v>0</v>
      </c>
      <c r="E6953" s="211">
        <f>'IWP24'!H$549</f>
        <v>0</v>
      </c>
      <c r="F6953" s="211">
        <f>'IWP24'!I$549</f>
        <v>0</v>
      </c>
      <c r="G6953" s="191" t="str">
        <f>IF('IWP24'!J$549=0,"",'IWP24'!J$549)</f>
        <v/>
      </c>
      <c r="H6953" s="211">
        <f>'IWP24'!K$549</f>
        <v>0</v>
      </c>
      <c r="I6953" s="211">
        <f>'IWP24'!L$549</f>
        <v>0</v>
      </c>
      <c r="J6953" s="212">
        <f>'IWP24'!M$549</f>
        <v>0</v>
      </c>
      <c r="K6953" s="106"/>
      <c r="L6953" s="106"/>
      <c r="M6953" s="129"/>
    </row>
    <row r="6954" spans="1:13" s="146" customFormat="1">
      <c r="A6954" s="193" t="s">
        <v>522</v>
      </c>
      <c r="B6954" s="210">
        <v>13</v>
      </c>
      <c r="C6954" s="191" t="str">
        <f>IF('IWP24'!E$550=0,"",'IWP24'!E$550)</f>
        <v>D.</v>
      </c>
      <c r="D6954" s="211">
        <f>'IWP24'!G$550</f>
        <v>0</v>
      </c>
      <c r="E6954" s="211" t="str">
        <f>'IWP24'!H$550</f>
        <v>E.</v>
      </c>
      <c r="F6954" s="211" t="str">
        <f>'IWP24'!I$550</f>
        <v>F.</v>
      </c>
      <c r="G6954" s="191" t="str">
        <f>IF('IWP24'!J$550=0,"",'IWP24'!J$550)</f>
        <v>G.</v>
      </c>
      <c r="H6954" s="211">
        <f>'IWP24'!K$550</f>
        <v>0</v>
      </c>
      <c r="I6954" s="211" t="str">
        <f>'IWP24'!L$550</f>
        <v>H.</v>
      </c>
      <c r="J6954" s="212" t="str">
        <f>'IWP24'!M$550</f>
        <v>I.</v>
      </c>
      <c r="K6954" s="106"/>
      <c r="L6954" s="106"/>
      <c r="M6954" s="129"/>
    </row>
    <row r="6955" spans="1:13" s="146" customFormat="1">
      <c r="A6955" s="193" t="s">
        <v>522</v>
      </c>
      <c r="B6955" s="210">
        <v>13</v>
      </c>
      <c r="C6955" s="191" t="str">
        <f>IF('IWP24'!E$551=0,"",'IWP24'!E$551)</f>
        <v xml:space="preserve">Items/Services Related to Billing Period </v>
      </c>
      <c r="D6955" s="211">
        <f>'IWP24'!G$551</f>
        <v>0</v>
      </c>
      <c r="E6955" s="211" t="str">
        <f>'IWP24'!H$551</f>
        <v xml:space="preserve">Item/
Service Verified Amounts
</v>
      </c>
      <c r="F6955" s="211" t="str">
        <f>'IWP24'!I$551</f>
        <v>Amount Due to DADS (E. - D.)</v>
      </c>
      <c r="G6955" s="191" t="str">
        <f>IF('IWP24'!J$551=0,"",'IWP24'!J$551)</f>
        <v>Amount Reimbursed to 
Employee(s)/Employer</v>
      </c>
      <c r="H6955" s="211">
        <f>'IWP24'!K$551</f>
        <v>0</v>
      </c>
      <c r="I6955" s="211" t="str">
        <f>'IWP24'!L$551</f>
        <v>Amount Due to Employee(s) (G. - E.)</v>
      </c>
      <c r="J6955" s="212" t="str">
        <f>'IWP24'!M$551</f>
        <v>Amount Due to Employer (G. - E.)</v>
      </c>
      <c r="K6955" s="106"/>
      <c r="L6955" s="106"/>
      <c r="M6955" s="129"/>
    </row>
    <row r="6956" spans="1:13" s="146" customFormat="1">
      <c r="A6956" s="193" t="s">
        <v>522</v>
      </c>
      <c r="B6956" s="210">
        <v>13</v>
      </c>
      <c r="C6956" s="191" t="str">
        <f>IF('IWP24'!E$552=0,"",'IWP24'!E$552)</f>
        <v>Item/Service</v>
      </c>
      <c r="D6956" s="211" t="str">
        <f>'IWP24'!G$552</f>
        <v>Itemized Amount Paid by DADS</v>
      </c>
      <c r="E6956" s="211">
        <f>'IWP24'!H$552</f>
        <v>0</v>
      </c>
      <c r="F6956" s="211">
        <f>'IWP24'!I$552</f>
        <v>0</v>
      </c>
      <c r="G6956" s="191" t="str">
        <f>IF('IWP24'!J$552=0,"",'IWP24'!J$552)</f>
        <v/>
      </c>
      <c r="H6956" s="211">
        <f>'IWP24'!K$552</f>
        <v>0</v>
      </c>
      <c r="I6956" s="211">
        <f>'IWP24'!L$552</f>
        <v>0</v>
      </c>
      <c r="J6956" s="212">
        <f>'IWP24'!M$552</f>
        <v>0</v>
      </c>
      <c r="K6956" s="106"/>
      <c r="L6956" s="106"/>
      <c r="M6956" s="129"/>
    </row>
    <row r="6957" spans="1:13" s="146" customFormat="1">
      <c r="A6957" s="193" t="s">
        <v>522</v>
      </c>
      <c r="B6957" s="210">
        <v>13</v>
      </c>
      <c r="C6957" s="191" t="str">
        <f>IF('IWP24'!E$553=0,"",'IWP24'!E$553)</f>
        <v/>
      </c>
      <c r="D6957" s="211">
        <f>'IWP24'!G$553</f>
        <v>0</v>
      </c>
      <c r="E6957" s="211">
        <f>'IWP24'!H$553</f>
        <v>0</v>
      </c>
      <c r="F6957" s="211">
        <f>'IWP24'!I$553</f>
        <v>0</v>
      </c>
      <c r="G6957" s="191" t="str">
        <f>IF('IWP24'!J$553=0,"",'IWP24'!J$553)</f>
        <v/>
      </c>
      <c r="H6957" s="211">
        <f>'IWP24'!K$553</f>
        <v>0</v>
      </c>
      <c r="I6957" s="211">
        <f>'IWP24'!L$553</f>
        <v>0</v>
      </c>
      <c r="J6957" s="212">
        <f>'IWP24'!M$553</f>
        <v>0</v>
      </c>
      <c r="K6957" s="106"/>
      <c r="L6957" s="106"/>
      <c r="M6957" s="129"/>
    </row>
    <row r="6958" spans="1:13" s="146" customFormat="1">
      <c r="A6958" s="193" t="s">
        <v>522</v>
      </c>
      <c r="B6958" s="210">
        <v>13</v>
      </c>
      <c r="C6958" s="191" t="str">
        <f>IF('IWP24'!E$554=0,"",'IWP24'!E$554)</f>
        <v/>
      </c>
      <c r="D6958" s="211">
        <f>'IWP24'!G$554</f>
        <v>0</v>
      </c>
      <c r="E6958" s="211">
        <f>'IWP24'!H$554</f>
        <v>0</v>
      </c>
      <c r="F6958" s="211">
        <f>'IWP24'!I$554</f>
        <v>0</v>
      </c>
      <c r="G6958" s="191" t="str">
        <f>IF('IWP24'!J$554=0,"",'IWP24'!J$554)</f>
        <v/>
      </c>
      <c r="H6958" s="211">
        <f>'IWP24'!K$554</f>
        <v>0</v>
      </c>
      <c r="I6958" s="211">
        <f>'IWP24'!L$554</f>
        <v>0</v>
      </c>
      <c r="J6958" s="212">
        <f>'IWP24'!M$554</f>
        <v>0</v>
      </c>
      <c r="K6958" s="106"/>
      <c r="L6958" s="106"/>
      <c r="M6958" s="129"/>
    </row>
    <row r="6959" spans="1:13" s="146" customFormat="1">
      <c r="A6959" s="193" t="s">
        <v>522</v>
      </c>
      <c r="B6959" s="210">
        <v>13</v>
      </c>
      <c r="C6959" s="191" t="str">
        <f>IF('IWP24'!E$555=0,"",'IWP24'!E$555)</f>
        <v/>
      </c>
      <c r="D6959" s="211">
        <f>'IWP24'!G$555</f>
        <v>0</v>
      </c>
      <c r="E6959" s="211">
        <f>'IWP24'!H$555</f>
        <v>0</v>
      </c>
      <c r="F6959" s="211">
        <f>'IWP24'!I$555</f>
        <v>0</v>
      </c>
      <c r="G6959" s="191" t="str">
        <f>IF('IWP24'!J$555=0,"",'IWP24'!J$555)</f>
        <v/>
      </c>
      <c r="H6959" s="211">
        <f>'IWP24'!K$555</f>
        <v>0</v>
      </c>
      <c r="I6959" s="211">
        <f>'IWP24'!L$555</f>
        <v>0</v>
      </c>
      <c r="J6959" s="212">
        <f>'IWP24'!M$555</f>
        <v>0</v>
      </c>
      <c r="K6959" s="106"/>
      <c r="L6959" s="106"/>
      <c r="M6959" s="129"/>
    </row>
    <row r="6960" spans="1:13" s="146" customFormat="1">
      <c r="A6960" s="193" t="s">
        <v>522</v>
      </c>
      <c r="B6960" s="210">
        <v>13</v>
      </c>
      <c r="C6960" s="191" t="str">
        <f>IF('IWP24'!E$556=0,"",'IWP24'!E$556)</f>
        <v/>
      </c>
      <c r="D6960" s="211">
        <f>'IWP24'!G$556</f>
        <v>0</v>
      </c>
      <c r="E6960" s="211">
        <f>'IWP24'!H$556</f>
        <v>0</v>
      </c>
      <c r="F6960" s="211">
        <f>'IWP24'!I$556</f>
        <v>0</v>
      </c>
      <c r="G6960" s="191" t="str">
        <f>IF('IWP24'!J$556=0,"",'IWP24'!J$556)</f>
        <v/>
      </c>
      <c r="H6960" s="211">
        <f>'IWP24'!K$556</f>
        <v>0</v>
      </c>
      <c r="I6960" s="211">
        <f>'IWP24'!L$556</f>
        <v>0</v>
      </c>
      <c r="J6960" s="212">
        <f>'IWP24'!M$556</f>
        <v>0</v>
      </c>
      <c r="K6960" s="106"/>
      <c r="L6960" s="106"/>
      <c r="M6960" s="129"/>
    </row>
    <row r="6961" spans="1:13" s="146" customFormat="1">
      <c r="A6961" s="193" t="s">
        <v>522</v>
      </c>
      <c r="B6961" s="210">
        <v>14</v>
      </c>
      <c r="C6961" s="191" t="str">
        <f>IF('IWP24'!E$563=0,"",'IWP24'!E$563)</f>
        <v>Subtotal column D.</v>
      </c>
      <c r="D6961" s="211">
        <f>'IWP24'!G$563</f>
        <v>0</v>
      </c>
      <c r="E6961" s="211">
        <f>'IWP24'!H$563</f>
        <v>0</v>
      </c>
      <c r="F6961" s="211">
        <f>'IWP24'!I$563</f>
        <v>0</v>
      </c>
      <c r="G6961" s="191" t="str">
        <f>IF('IWP24'!J$563=0,"",'IWP24'!J$563)</f>
        <v/>
      </c>
      <c r="H6961" s="211">
        <f>'IWP24'!K$563</f>
        <v>0</v>
      </c>
      <c r="I6961" s="211">
        <f>'IWP24'!L$563</f>
        <v>0</v>
      </c>
      <c r="J6961" s="212">
        <f>'IWP24'!M$563</f>
        <v>0</v>
      </c>
      <c r="K6961" s="106"/>
      <c r="L6961" s="106"/>
      <c r="M6961" s="129"/>
    </row>
    <row r="6962" spans="1:13" s="146" customFormat="1">
      <c r="A6962" s="193" t="s">
        <v>522</v>
      </c>
      <c r="B6962" s="210">
        <v>14</v>
      </c>
      <c r="C6962" s="191" t="str">
        <f>IF('IWP24'!E$564=0,"",'IWP24'!E$564)</f>
        <v>Unverified/Undocumented (Subtotal D - C)</v>
      </c>
      <c r="D6962" s="211">
        <f>'IWP24'!G$564</f>
        <v>0</v>
      </c>
      <c r="E6962" s="211">
        <f>'IWP24'!H$564</f>
        <v>0</v>
      </c>
      <c r="F6962" s="211">
        <f>'IWP24'!I$564</f>
        <v>0</v>
      </c>
      <c r="G6962" s="191" t="str">
        <f>IF('IWP24'!J$564=0,"",'IWP24'!J$564)</f>
        <v/>
      </c>
      <c r="H6962" s="211">
        <f>'IWP24'!K$564</f>
        <v>0</v>
      </c>
      <c r="I6962" s="211">
        <f>'IWP24'!L$564</f>
        <v>0</v>
      </c>
      <c r="J6962" s="212">
        <f>'IWP24'!M$564</f>
        <v>0</v>
      </c>
      <c r="K6962" s="106"/>
      <c r="L6962" s="106"/>
      <c r="M6962" s="129"/>
    </row>
    <row r="6963" spans="1:13" s="146" customFormat="1">
      <c r="A6963" s="193" t="s">
        <v>522</v>
      </c>
      <c r="B6963" s="210">
        <v>14</v>
      </c>
      <c r="C6963" s="191" t="str">
        <f>IF('IWP24'!E$565=0,"",'IWP24'!E$565)</f>
        <v>J. Billing Period Total</v>
      </c>
      <c r="D6963" s="211">
        <f>'IWP24'!G$565</f>
        <v>0</v>
      </c>
      <c r="E6963" s="211">
        <f>'IWP24'!H$565</f>
        <v>0</v>
      </c>
      <c r="F6963" s="211">
        <f>'IWP24'!I$565</f>
        <v>0</v>
      </c>
      <c r="G6963" s="191" t="str">
        <f>IF('IWP24'!J$565=0,"",'IWP24'!J$565)</f>
        <v/>
      </c>
      <c r="H6963" s="211">
        <f>'IWP24'!K$565</f>
        <v>0</v>
      </c>
      <c r="I6963" s="211">
        <f>'IWP24'!L$565</f>
        <v>0</v>
      </c>
      <c r="J6963" s="212">
        <f>'IWP24'!M$565</f>
        <v>0</v>
      </c>
      <c r="K6963" s="106"/>
      <c r="L6963" s="106"/>
      <c r="M6963" s="129"/>
    </row>
    <row r="6964" spans="1:13" s="146" customFormat="1">
      <c r="A6964" s="193" t="s">
        <v>522</v>
      </c>
      <c r="B6964" s="210">
        <v>14</v>
      </c>
      <c r="C6964" s="191" t="str">
        <f>IF('IWP24'!E$566=0,"",'IWP24'!E$566)</f>
        <v>D.</v>
      </c>
      <c r="D6964" s="211">
        <f>'IWP24'!G$566</f>
        <v>0</v>
      </c>
      <c r="E6964" s="211" t="str">
        <f>'IWP24'!H$566</f>
        <v>E.</v>
      </c>
      <c r="F6964" s="211" t="str">
        <f>'IWP24'!I$566</f>
        <v>F.</v>
      </c>
      <c r="G6964" s="191" t="str">
        <f>IF('IWP24'!J$566=0,"",'IWP24'!J$566)</f>
        <v>G.</v>
      </c>
      <c r="H6964" s="211">
        <f>'IWP24'!K$566</f>
        <v>0</v>
      </c>
      <c r="I6964" s="211" t="str">
        <f>'IWP24'!L$566</f>
        <v>H.</v>
      </c>
      <c r="J6964" s="212" t="str">
        <f>'IWP24'!M$566</f>
        <v>I.</v>
      </c>
      <c r="K6964" s="106"/>
      <c r="L6964" s="106"/>
      <c r="M6964" s="129"/>
    </row>
    <row r="6965" spans="1:13" s="146" customFormat="1">
      <c r="A6965" s="193" t="s">
        <v>522</v>
      </c>
      <c r="B6965" s="210">
        <v>14</v>
      </c>
      <c r="C6965" s="191" t="str">
        <f>IF('IWP24'!E$567=0,"",'IWP24'!E$567)</f>
        <v xml:space="preserve">Items/Services Related to Billing Period </v>
      </c>
      <c r="D6965" s="211">
        <f>'IWP24'!G$567</f>
        <v>0</v>
      </c>
      <c r="E6965" s="211" t="str">
        <f>'IWP24'!H$567</f>
        <v xml:space="preserve">Item/
Service Verified Amounts
</v>
      </c>
      <c r="F6965" s="211" t="str">
        <f>'IWP24'!I$567</f>
        <v>Amount Due to DADS (E. - D.)</v>
      </c>
      <c r="G6965" s="191" t="str">
        <f>IF('IWP24'!J$567=0,"",'IWP24'!J$567)</f>
        <v>Amount Reimbursed to 
Employee(s)/Employer</v>
      </c>
      <c r="H6965" s="211">
        <f>'IWP24'!K$567</f>
        <v>0</v>
      </c>
      <c r="I6965" s="211" t="str">
        <f>'IWP24'!L$567</f>
        <v>Amount Due to Employee(s) (G. - E.)</v>
      </c>
      <c r="J6965" s="212" t="str">
        <f>'IWP24'!M$567</f>
        <v>Amount Due to Employer (G. - E.)</v>
      </c>
      <c r="K6965" s="106"/>
      <c r="L6965" s="106"/>
      <c r="M6965" s="129"/>
    </row>
    <row r="6966" spans="1:13" s="146" customFormat="1">
      <c r="A6966" s="193" t="s">
        <v>522</v>
      </c>
      <c r="B6966" s="210">
        <v>14</v>
      </c>
      <c r="C6966" s="191" t="str">
        <f>IF('IWP24'!E$568=0,"",'IWP24'!E$568)</f>
        <v>Item/Service</v>
      </c>
      <c r="D6966" s="211" t="str">
        <f>'IWP24'!G$568</f>
        <v>Itemized Amount Paid by DADS</v>
      </c>
      <c r="E6966" s="211">
        <f>'IWP24'!H$568</f>
        <v>0</v>
      </c>
      <c r="F6966" s="211">
        <f>'IWP24'!I$568</f>
        <v>0</v>
      </c>
      <c r="G6966" s="191" t="str">
        <f>IF('IWP24'!J$568=0,"",'IWP24'!J$568)</f>
        <v/>
      </c>
      <c r="H6966" s="211">
        <f>'IWP24'!K$568</f>
        <v>0</v>
      </c>
      <c r="I6966" s="211">
        <f>'IWP24'!L$568</f>
        <v>0</v>
      </c>
      <c r="J6966" s="212">
        <f>'IWP24'!M$568</f>
        <v>0</v>
      </c>
      <c r="K6966" s="106"/>
      <c r="L6966" s="106"/>
      <c r="M6966" s="129"/>
    </row>
    <row r="6967" spans="1:13" s="146" customFormat="1">
      <c r="A6967" s="193" t="s">
        <v>522</v>
      </c>
      <c r="B6967" s="210">
        <v>14</v>
      </c>
      <c r="C6967" s="191" t="str">
        <f>IF('IWP24'!E$569=0,"",'IWP24'!E$569)</f>
        <v/>
      </c>
      <c r="D6967" s="211">
        <f>'IWP24'!G$569</f>
        <v>0</v>
      </c>
      <c r="E6967" s="211">
        <f>'IWP24'!H$569</f>
        <v>0</v>
      </c>
      <c r="F6967" s="211">
        <f>'IWP24'!I$569</f>
        <v>0</v>
      </c>
      <c r="G6967" s="191" t="str">
        <f>IF('IWP24'!J$569=0,"",'IWP24'!J$569)</f>
        <v/>
      </c>
      <c r="H6967" s="211">
        <f>'IWP24'!K$569</f>
        <v>0</v>
      </c>
      <c r="I6967" s="211">
        <f>'IWP24'!L$569</f>
        <v>0</v>
      </c>
      <c r="J6967" s="212">
        <f>'IWP24'!M$569</f>
        <v>0</v>
      </c>
      <c r="K6967" s="106"/>
      <c r="L6967" s="106"/>
      <c r="M6967" s="129"/>
    </row>
    <row r="6968" spans="1:13" s="146" customFormat="1">
      <c r="A6968" s="193" t="s">
        <v>522</v>
      </c>
      <c r="B6968" s="210">
        <v>14</v>
      </c>
      <c r="C6968" s="191" t="str">
        <f>IF('IWP24'!E$570=0,"",'IWP24'!E$570)</f>
        <v/>
      </c>
      <c r="D6968" s="211">
        <f>'IWP24'!G$570</f>
        <v>0</v>
      </c>
      <c r="E6968" s="211">
        <f>'IWP24'!H$570</f>
        <v>0</v>
      </c>
      <c r="F6968" s="211">
        <f>'IWP24'!I$570</f>
        <v>0</v>
      </c>
      <c r="G6968" s="191" t="str">
        <f>IF('IWP24'!J$570=0,"",'IWP24'!J$570)</f>
        <v/>
      </c>
      <c r="H6968" s="211">
        <f>'IWP24'!K$570</f>
        <v>0</v>
      </c>
      <c r="I6968" s="211">
        <f>'IWP24'!L$570</f>
        <v>0</v>
      </c>
      <c r="J6968" s="212">
        <f>'IWP24'!M$570</f>
        <v>0</v>
      </c>
      <c r="K6968" s="106"/>
      <c r="L6968" s="106"/>
      <c r="M6968" s="129"/>
    </row>
    <row r="6969" spans="1:13" s="146" customFormat="1">
      <c r="A6969" s="193" t="s">
        <v>522</v>
      </c>
      <c r="B6969" s="210">
        <v>14</v>
      </c>
      <c r="C6969" s="191" t="str">
        <f>IF('IWP24'!E$571=0,"",'IWP24'!E$571)</f>
        <v/>
      </c>
      <c r="D6969" s="211">
        <f>'IWP24'!G$571</f>
        <v>0</v>
      </c>
      <c r="E6969" s="211">
        <f>'IWP24'!H$571</f>
        <v>0</v>
      </c>
      <c r="F6969" s="211">
        <f>'IWP24'!I$571</f>
        <v>0</v>
      </c>
      <c r="G6969" s="191" t="str">
        <f>IF('IWP24'!J$571=0,"",'IWP24'!J$571)</f>
        <v/>
      </c>
      <c r="H6969" s="211">
        <f>'IWP24'!K$571</f>
        <v>0</v>
      </c>
      <c r="I6969" s="211">
        <f>'IWP24'!L$571</f>
        <v>0</v>
      </c>
      <c r="J6969" s="212">
        <f>'IWP24'!M$571</f>
        <v>0</v>
      </c>
      <c r="K6969" s="106"/>
      <c r="L6969" s="106"/>
      <c r="M6969" s="129"/>
    </row>
    <row r="6970" spans="1:13" s="146" customFormat="1">
      <c r="A6970" s="193" t="s">
        <v>522</v>
      </c>
      <c r="B6970" s="210">
        <v>14</v>
      </c>
      <c r="C6970" s="191" t="str">
        <f>IF('IWP24'!E$572=0,"",'IWP24'!E$572)</f>
        <v/>
      </c>
      <c r="D6970" s="211">
        <f>'IWP24'!G$572</f>
        <v>0</v>
      </c>
      <c r="E6970" s="211">
        <f>'IWP24'!H$572</f>
        <v>0</v>
      </c>
      <c r="F6970" s="211">
        <f>'IWP24'!I$572</f>
        <v>0</v>
      </c>
      <c r="G6970" s="191" t="str">
        <f>IF('IWP24'!J$572=0,"",'IWP24'!J$572)</f>
        <v/>
      </c>
      <c r="H6970" s="211">
        <f>'IWP24'!K$572</f>
        <v>0</v>
      </c>
      <c r="I6970" s="211">
        <f>'IWP24'!L$572</f>
        <v>0</v>
      </c>
      <c r="J6970" s="212">
        <f>'IWP24'!M$572</f>
        <v>0</v>
      </c>
      <c r="K6970" s="106"/>
      <c r="L6970" s="106"/>
      <c r="M6970" s="129"/>
    </row>
    <row r="6971" spans="1:13" s="146" customFormat="1">
      <c r="A6971" s="193" t="s">
        <v>522</v>
      </c>
      <c r="B6971" s="210">
        <v>15</v>
      </c>
      <c r="C6971" s="191" t="str">
        <f>IF('IWP24'!E$579=0,"",'IWP24'!E$579)</f>
        <v>Subtotal column D.</v>
      </c>
      <c r="D6971" s="211">
        <f>'IWP24'!G$579</f>
        <v>0</v>
      </c>
      <c r="E6971" s="211">
        <f>'IWP24'!H$579</f>
        <v>0</v>
      </c>
      <c r="F6971" s="211">
        <f>'IWP24'!I$579</f>
        <v>0</v>
      </c>
      <c r="G6971" s="191" t="str">
        <f>IF('IWP24'!J$579=0,"",'IWP24'!J$579)</f>
        <v/>
      </c>
      <c r="H6971" s="211">
        <f>'IWP24'!K$579</f>
        <v>0</v>
      </c>
      <c r="I6971" s="211">
        <f>'IWP24'!L$579</f>
        <v>0</v>
      </c>
      <c r="J6971" s="212">
        <f>'IWP24'!M$579</f>
        <v>0</v>
      </c>
      <c r="K6971" s="106"/>
      <c r="L6971" s="106"/>
      <c r="M6971" s="129"/>
    </row>
    <row r="6972" spans="1:13" s="146" customFormat="1">
      <c r="A6972" s="193" t="s">
        <v>522</v>
      </c>
      <c r="B6972" s="210">
        <v>15</v>
      </c>
      <c r="C6972" s="191" t="str">
        <f>IF('IWP24'!E$580=0,"",'IWP24'!E$580)</f>
        <v>Unverified/Undocumented (Subtotal D - C)</v>
      </c>
      <c r="D6972" s="211">
        <f>'IWP24'!G$580</f>
        <v>0</v>
      </c>
      <c r="E6972" s="211">
        <f>'IWP24'!H$580</f>
        <v>0</v>
      </c>
      <c r="F6972" s="211">
        <f>'IWP24'!I$580</f>
        <v>0</v>
      </c>
      <c r="G6972" s="191" t="str">
        <f>IF('IWP24'!J$580=0,"",'IWP24'!J$580)</f>
        <v/>
      </c>
      <c r="H6972" s="211">
        <f>'IWP24'!K$580</f>
        <v>0</v>
      </c>
      <c r="I6972" s="211">
        <f>'IWP24'!L$580</f>
        <v>0</v>
      </c>
      <c r="J6972" s="212">
        <f>'IWP24'!M$580</f>
        <v>0</v>
      </c>
      <c r="K6972" s="106"/>
      <c r="L6972" s="106"/>
      <c r="M6972" s="129"/>
    </row>
    <row r="6973" spans="1:13" s="146" customFormat="1">
      <c r="A6973" s="193" t="s">
        <v>522</v>
      </c>
      <c r="B6973" s="210">
        <v>15</v>
      </c>
      <c r="C6973" s="191" t="str">
        <f>IF('IWP24'!E$581=0,"",'IWP24'!E$581)</f>
        <v>J. Billing Period Total</v>
      </c>
      <c r="D6973" s="211">
        <f>'IWP24'!G$581</f>
        <v>0</v>
      </c>
      <c r="E6973" s="211">
        <f>'IWP24'!H$581</f>
        <v>0</v>
      </c>
      <c r="F6973" s="211">
        <f>'IWP24'!I$581</f>
        <v>0</v>
      </c>
      <c r="G6973" s="191" t="str">
        <f>IF('IWP24'!J$581=0,"",'IWP24'!J$581)</f>
        <v/>
      </c>
      <c r="H6973" s="211">
        <f>'IWP24'!K$581</f>
        <v>0</v>
      </c>
      <c r="I6973" s="211">
        <f>'IWP24'!L$581</f>
        <v>0</v>
      </c>
      <c r="J6973" s="212">
        <f>'IWP24'!M$581</f>
        <v>0</v>
      </c>
      <c r="K6973" s="106"/>
      <c r="L6973" s="106"/>
      <c r="M6973" s="129"/>
    </row>
    <row r="6974" spans="1:13" s="146" customFormat="1">
      <c r="A6974" s="193" t="s">
        <v>522</v>
      </c>
      <c r="B6974" s="210">
        <v>15</v>
      </c>
      <c r="C6974" s="191" t="str">
        <f>IF('IWP24'!E$582=0,"",'IWP24'!E$582)</f>
        <v>D.</v>
      </c>
      <c r="D6974" s="211">
        <f>'IWP24'!G$582</f>
        <v>0</v>
      </c>
      <c r="E6974" s="211" t="str">
        <f>'IWP24'!H$582</f>
        <v>E.</v>
      </c>
      <c r="F6974" s="211" t="str">
        <f>'IWP24'!I$582</f>
        <v>F.</v>
      </c>
      <c r="G6974" s="191" t="str">
        <f>IF('IWP24'!J$582=0,"",'IWP24'!J$582)</f>
        <v>G.</v>
      </c>
      <c r="H6974" s="211">
        <f>'IWP24'!K$582</f>
        <v>0</v>
      </c>
      <c r="I6974" s="211" t="str">
        <f>'IWP24'!L$582</f>
        <v>H.</v>
      </c>
      <c r="J6974" s="212" t="str">
        <f>'IWP24'!M$582</f>
        <v>I.</v>
      </c>
      <c r="K6974" s="106"/>
      <c r="L6974" s="106"/>
      <c r="M6974" s="129"/>
    </row>
    <row r="6975" spans="1:13" s="146" customFormat="1">
      <c r="A6975" s="193" t="s">
        <v>522</v>
      </c>
      <c r="B6975" s="210">
        <v>15</v>
      </c>
      <c r="C6975" s="191" t="str">
        <f>IF('IWP24'!E$583=0,"",'IWP24'!E$583)</f>
        <v xml:space="preserve">Items/Services Related to Billing Period </v>
      </c>
      <c r="D6975" s="211">
        <f>'IWP24'!G$583</f>
        <v>0</v>
      </c>
      <c r="E6975" s="211" t="str">
        <f>'IWP24'!H$583</f>
        <v xml:space="preserve">Item/
Service Verified Amounts
</v>
      </c>
      <c r="F6975" s="211" t="str">
        <f>'IWP24'!I$583</f>
        <v>Amount Due to DADS (E. - D.)</v>
      </c>
      <c r="G6975" s="191" t="str">
        <f>IF('IWP24'!J$583=0,"",'IWP24'!J$583)</f>
        <v>Amount Reimbursed to 
Employee(s)/Employer</v>
      </c>
      <c r="H6975" s="211">
        <f>'IWP24'!K$583</f>
        <v>0</v>
      </c>
      <c r="I6975" s="211" t="str">
        <f>'IWP24'!L$583</f>
        <v>Amount Due to Employee(s) (G. - E.)</v>
      </c>
      <c r="J6975" s="212" t="str">
        <f>'IWP24'!M$583</f>
        <v>Amount Due to Employer (G. - E.)</v>
      </c>
      <c r="K6975" s="106"/>
      <c r="L6975" s="106"/>
      <c r="M6975" s="129"/>
    </row>
    <row r="6976" spans="1:13" s="146" customFormat="1">
      <c r="A6976" s="193" t="s">
        <v>522</v>
      </c>
      <c r="B6976" s="210">
        <v>15</v>
      </c>
      <c r="C6976" s="191" t="str">
        <f>IF('IWP24'!E$584=0,"",'IWP24'!E$584)</f>
        <v>Item/Service</v>
      </c>
      <c r="D6976" s="211" t="str">
        <f>'IWP24'!G$584</f>
        <v>Itemized Amount Paid by DADS</v>
      </c>
      <c r="E6976" s="211">
        <f>'IWP24'!H$584</f>
        <v>0</v>
      </c>
      <c r="F6976" s="211">
        <f>'IWP24'!I$584</f>
        <v>0</v>
      </c>
      <c r="G6976" s="191" t="str">
        <f>IF('IWP24'!J$584=0,"",'IWP24'!J$584)</f>
        <v/>
      </c>
      <c r="H6976" s="211">
        <f>'IWP24'!K$584</f>
        <v>0</v>
      </c>
      <c r="I6976" s="211">
        <f>'IWP24'!L$584</f>
        <v>0</v>
      </c>
      <c r="J6976" s="212">
        <f>'IWP24'!M$584</f>
        <v>0</v>
      </c>
      <c r="K6976" s="106"/>
      <c r="L6976" s="106"/>
      <c r="M6976" s="129"/>
    </row>
    <row r="6977" spans="1:13" s="146" customFormat="1">
      <c r="A6977" s="193" t="s">
        <v>522</v>
      </c>
      <c r="B6977" s="210">
        <v>15</v>
      </c>
      <c r="C6977" s="191" t="str">
        <f>IF('IWP24'!E$585=0,"",'IWP24'!E$585)</f>
        <v/>
      </c>
      <c r="D6977" s="211">
        <f>'IWP24'!G$585</f>
        <v>0</v>
      </c>
      <c r="E6977" s="211">
        <f>'IWP24'!H$585</f>
        <v>0</v>
      </c>
      <c r="F6977" s="211">
        <f>'IWP24'!I$585</f>
        <v>0</v>
      </c>
      <c r="G6977" s="191" t="str">
        <f>IF('IWP24'!J$585=0,"",'IWP24'!J$585)</f>
        <v/>
      </c>
      <c r="H6977" s="211">
        <f>'IWP24'!K$585</f>
        <v>0</v>
      </c>
      <c r="I6977" s="211">
        <f>'IWP24'!L$585</f>
        <v>0</v>
      </c>
      <c r="J6977" s="212">
        <f>'IWP24'!M$585</f>
        <v>0</v>
      </c>
      <c r="K6977" s="106"/>
      <c r="L6977" s="106"/>
      <c r="M6977" s="129"/>
    </row>
    <row r="6978" spans="1:13" s="146" customFormat="1">
      <c r="A6978" s="193" t="s">
        <v>522</v>
      </c>
      <c r="B6978" s="210">
        <v>15</v>
      </c>
      <c r="C6978" s="191" t="str">
        <f>IF('IWP24'!E$586=0,"",'IWP24'!E$586)</f>
        <v/>
      </c>
      <c r="D6978" s="211">
        <f>'IWP24'!G$586</f>
        <v>0</v>
      </c>
      <c r="E6978" s="211">
        <f>'IWP24'!H$586</f>
        <v>0</v>
      </c>
      <c r="F6978" s="211">
        <f>'IWP24'!I$586</f>
        <v>0</v>
      </c>
      <c r="G6978" s="191" t="str">
        <f>IF('IWP24'!J$586=0,"",'IWP24'!J$586)</f>
        <v/>
      </c>
      <c r="H6978" s="211">
        <f>'IWP24'!K$586</f>
        <v>0</v>
      </c>
      <c r="I6978" s="211">
        <f>'IWP24'!L$586</f>
        <v>0</v>
      </c>
      <c r="J6978" s="212">
        <f>'IWP24'!M$586</f>
        <v>0</v>
      </c>
      <c r="K6978" s="106"/>
      <c r="L6978" s="106"/>
      <c r="M6978" s="129"/>
    </row>
    <row r="6979" spans="1:13" s="146" customFormat="1">
      <c r="A6979" s="193" t="s">
        <v>522</v>
      </c>
      <c r="B6979" s="210">
        <v>15</v>
      </c>
      <c r="C6979" s="191" t="str">
        <f>IF('IWP24'!E$587=0,"",'IWP24'!E$587)</f>
        <v/>
      </c>
      <c r="D6979" s="211">
        <f>'IWP24'!G$587</f>
        <v>0</v>
      </c>
      <c r="E6979" s="211">
        <f>'IWP24'!H$587</f>
        <v>0</v>
      </c>
      <c r="F6979" s="211">
        <f>'IWP24'!I$587</f>
        <v>0</v>
      </c>
      <c r="G6979" s="191" t="str">
        <f>IF('IWP24'!J$587=0,"",'IWP24'!J$587)</f>
        <v/>
      </c>
      <c r="H6979" s="211">
        <f>'IWP24'!K$587</f>
        <v>0</v>
      </c>
      <c r="I6979" s="211">
        <f>'IWP24'!L$587</f>
        <v>0</v>
      </c>
      <c r="J6979" s="212">
        <f>'IWP24'!M$587</f>
        <v>0</v>
      </c>
      <c r="K6979" s="106"/>
      <c r="L6979" s="106"/>
      <c r="M6979" s="129"/>
    </row>
    <row r="6980" spans="1:13" s="146" customFormat="1">
      <c r="A6980" s="193" t="s">
        <v>522</v>
      </c>
      <c r="B6980" s="210">
        <v>15</v>
      </c>
      <c r="C6980" s="191" t="str">
        <f>IF('IWP24'!E$588=0,"",'IWP24'!E$588)</f>
        <v/>
      </c>
      <c r="D6980" s="211">
        <f>'IWP24'!G$588</f>
        <v>0</v>
      </c>
      <c r="E6980" s="211">
        <f>'IWP24'!H$588</f>
        <v>0</v>
      </c>
      <c r="F6980" s="211">
        <f>'IWP24'!I$588</f>
        <v>0</v>
      </c>
      <c r="G6980" s="191" t="str">
        <f>IF('IWP24'!J$588=0,"",'IWP24'!J$588)</f>
        <v/>
      </c>
      <c r="H6980" s="211">
        <f>'IWP24'!K$588</f>
        <v>0</v>
      </c>
      <c r="I6980" s="211">
        <f>'IWP24'!L$588</f>
        <v>0</v>
      </c>
      <c r="J6980" s="212">
        <f>'IWP24'!M$588</f>
        <v>0</v>
      </c>
      <c r="K6980" s="106"/>
      <c r="L6980" s="106"/>
      <c r="M6980" s="129"/>
    </row>
    <row r="6981" spans="1:13" s="146" customFormat="1">
      <c r="A6981" s="193" t="s">
        <v>522</v>
      </c>
      <c r="B6981" s="210">
        <v>16</v>
      </c>
      <c r="C6981" s="191" t="str">
        <f>IF('IWP24'!E$595=0,"",'IWP24'!E$595)</f>
        <v>Subtotal column D.</v>
      </c>
      <c r="D6981" s="211">
        <f>'IWP24'!G$595</f>
        <v>0</v>
      </c>
      <c r="E6981" s="211">
        <f>'IWP24'!H$595</f>
        <v>0</v>
      </c>
      <c r="F6981" s="211">
        <f>'IWP24'!I$595</f>
        <v>0</v>
      </c>
      <c r="G6981" s="191" t="str">
        <f>IF('IWP24'!J$595=0,"",'IWP24'!J$595)</f>
        <v/>
      </c>
      <c r="H6981" s="211">
        <f>'IWP24'!K$595</f>
        <v>0</v>
      </c>
      <c r="I6981" s="211">
        <f>'IWP24'!L$595</f>
        <v>0</v>
      </c>
      <c r="J6981" s="212">
        <f>'IWP24'!M$595</f>
        <v>0</v>
      </c>
      <c r="K6981" s="106"/>
      <c r="L6981" s="106"/>
      <c r="M6981" s="129"/>
    </row>
    <row r="6982" spans="1:13" s="146" customFormat="1">
      <c r="A6982" s="193" t="s">
        <v>522</v>
      </c>
      <c r="B6982" s="210">
        <v>16</v>
      </c>
      <c r="C6982" s="191" t="str">
        <f>IF('IWP24'!E$596=0,"",'IWP24'!E$596)</f>
        <v>Unverified/Undocumented (Subtotal D - C)</v>
      </c>
      <c r="D6982" s="211">
        <f>'IWP24'!G$596</f>
        <v>0</v>
      </c>
      <c r="E6982" s="211">
        <f>'IWP24'!H$596</f>
        <v>0</v>
      </c>
      <c r="F6982" s="211">
        <f>'IWP24'!I$596</f>
        <v>0</v>
      </c>
      <c r="G6982" s="191" t="str">
        <f>IF('IWP24'!J$596=0,"",'IWP24'!J$596)</f>
        <v/>
      </c>
      <c r="H6982" s="211">
        <f>'IWP24'!K$596</f>
        <v>0</v>
      </c>
      <c r="I6982" s="211">
        <f>'IWP24'!L$596</f>
        <v>0</v>
      </c>
      <c r="J6982" s="212">
        <f>'IWP24'!M$596</f>
        <v>0</v>
      </c>
      <c r="K6982" s="106"/>
      <c r="L6982" s="106"/>
      <c r="M6982" s="129"/>
    </row>
    <row r="6983" spans="1:13" s="146" customFormat="1">
      <c r="A6983" s="193" t="s">
        <v>522</v>
      </c>
      <c r="B6983" s="210">
        <v>16</v>
      </c>
      <c r="C6983" s="191" t="str">
        <f>IF('IWP24'!E$597=0,"",'IWP24'!E$597)</f>
        <v>J. Billing Period Total</v>
      </c>
      <c r="D6983" s="211">
        <f>'IWP24'!G$597</f>
        <v>0</v>
      </c>
      <c r="E6983" s="211">
        <f>'IWP24'!H$597</f>
        <v>0</v>
      </c>
      <c r="F6983" s="211">
        <f>'IWP24'!I$597</f>
        <v>0</v>
      </c>
      <c r="G6983" s="191" t="str">
        <f>IF('IWP24'!J$597=0,"",'IWP24'!J$597)</f>
        <v/>
      </c>
      <c r="H6983" s="211">
        <f>'IWP24'!K$597</f>
        <v>0</v>
      </c>
      <c r="I6983" s="211">
        <f>'IWP24'!L$597</f>
        <v>0</v>
      </c>
      <c r="J6983" s="212">
        <f>'IWP24'!M$597</f>
        <v>0</v>
      </c>
      <c r="K6983" s="106"/>
      <c r="L6983" s="106"/>
      <c r="M6983" s="129"/>
    </row>
    <row r="6984" spans="1:13" s="146" customFormat="1">
      <c r="A6984" s="193" t="s">
        <v>522</v>
      </c>
      <c r="B6984" s="210">
        <v>16</v>
      </c>
      <c r="C6984" s="191" t="str">
        <f>IF('IWP24'!E$598=0,"",'IWP24'!E$598)</f>
        <v>D.</v>
      </c>
      <c r="D6984" s="211">
        <f>'IWP24'!G$598</f>
        <v>0</v>
      </c>
      <c r="E6984" s="211" t="str">
        <f>'IWP24'!H$598</f>
        <v>E.</v>
      </c>
      <c r="F6984" s="211" t="str">
        <f>'IWP24'!I$598</f>
        <v>F.</v>
      </c>
      <c r="G6984" s="191" t="str">
        <f>IF('IWP24'!J$598=0,"",'IWP24'!J$598)</f>
        <v>G.</v>
      </c>
      <c r="H6984" s="211">
        <f>'IWP24'!K$598</f>
        <v>0</v>
      </c>
      <c r="I6984" s="211" t="str">
        <f>'IWP24'!L$598</f>
        <v>H.</v>
      </c>
      <c r="J6984" s="212" t="str">
        <f>'IWP24'!M$598</f>
        <v>I.</v>
      </c>
      <c r="K6984" s="106"/>
      <c r="L6984" s="106"/>
      <c r="M6984" s="129"/>
    </row>
    <row r="6985" spans="1:13" s="146" customFormat="1">
      <c r="A6985" s="193" t="s">
        <v>522</v>
      </c>
      <c r="B6985" s="210">
        <v>16</v>
      </c>
      <c r="C6985" s="191" t="str">
        <f>IF('IWP24'!E$599=0,"",'IWP24'!E$599)</f>
        <v xml:space="preserve">Items/Services Related to Billing Period </v>
      </c>
      <c r="D6985" s="211">
        <f>'IWP24'!G$599</f>
        <v>0</v>
      </c>
      <c r="E6985" s="211" t="str">
        <f>'IWP24'!H$599</f>
        <v xml:space="preserve">Item/
Service Verified Amounts
</v>
      </c>
      <c r="F6985" s="211" t="str">
        <f>'IWP24'!I$599</f>
        <v>Amount Due to DADS (E. - D.)</v>
      </c>
      <c r="G6985" s="191" t="str">
        <f>IF('IWP24'!J$599=0,"",'IWP24'!J$599)</f>
        <v>Amount Reimbursed to 
Employee(s)/Employer</v>
      </c>
      <c r="H6985" s="211">
        <f>'IWP24'!K$599</f>
        <v>0</v>
      </c>
      <c r="I6985" s="211" t="str">
        <f>'IWP24'!L$599</f>
        <v>Amount Due to Employee(s) (G. - E.)</v>
      </c>
      <c r="J6985" s="212" t="str">
        <f>'IWP24'!M$599</f>
        <v>Amount Due to Employer (G. - E.)</v>
      </c>
      <c r="K6985" s="106"/>
      <c r="L6985" s="106"/>
      <c r="M6985" s="129"/>
    </row>
    <row r="6986" spans="1:13" s="146" customFormat="1">
      <c r="A6986" s="193" t="s">
        <v>522</v>
      </c>
      <c r="B6986" s="210">
        <v>16</v>
      </c>
      <c r="C6986" s="191" t="str">
        <f>IF('IWP24'!E$600=0,"",'IWP24'!E$600)</f>
        <v>Item/Service</v>
      </c>
      <c r="D6986" s="211" t="str">
        <f>'IWP24'!G$600</f>
        <v>Itemized Amount Paid by DADS</v>
      </c>
      <c r="E6986" s="211">
        <f>'IWP24'!H$600</f>
        <v>0</v>
      </c>
      <c r="F6986" s="211">
        <f>'IWP24'!I$600</f>
        <v>0</v>
      </c>
      <c r="G6986" s="191" t="str">
        <f>IF('IWP24'!J$600=0,"",'IWP24'!J$600)</f>
        <v/>
      </c>
      <c r="H6986" s="211">
        <f>'IWP24'!K$600</f>
        <v>0</v>
      </c>
      <c r="I6986" s="211">
        <f>'IWP24'!L$600</f>
        <v>0</v>
      </c>
      <c r="J6986" s="212">
        <f>'IWP24'!M$600</f>
        <v>0</v>
      </c>
      <c r="K6986" s="106"/>
      <c r="L6986" s="106"/>
      <c r="M6986" s="129"/>
    </row>
    <row r="6987" spans="1:13" s="146" customFormat="1">
      <c r="A6987" s="193" t="s">
        <v>522</v>
      </c>
      <c r="B6987" s="210">
        <v>16</v>
      </c>
      <c r="C6987" s="191" t="str">
        <f>IF('IWP24'!E$601=0,"",'IWP24'!E$601)</f>
        <v/>
      </c>
      <c r="D6987" s="211">
        <f>'IWP24'!G$601</f>
        <v>0</v>
      </c>
      <c r="E6987" s="211">
        <f>'IWP24'!H$601</f>
        <v>0</v>
      </c>
      <c r="F6987" s="211">
        <f>'IWP24'!I$601</f>
        <v>0</v>
      </c>
      <c r="G6987" s="191" t="str">
        <f>IF('IWP24'!J$601=0,"",'IWP24'!J$601)</f>
        <v/>
      </c>
      <c r="H6987" s="211">
        <f>'IWP24'!K$601</f>
        <v>0</v>
      </c>
      <c r="I6987" s="211">
        <f>'IWP24'!L$601</f>
        <v>0</v>
      </c>
      <c r="J6987" s="212">
        <f>'IWP24'!M$601</f>
        <v>0</v>
      </c>
      <c r="K6987" s="106"/>
      <c r="L6987" s="106"/>
      <c r="M6987" s="129"/>
    </row>
    <row r="6988" spans="1:13" s="146" customFormat="1">
      <c r="A6988" s="193" t="s">
        <v>522</v>
      </c>
      <c r="B6988" s="210">
        <v>16</v>
      </c>
      <c r="C6988" s="191" t="str">
        <f>IF('IWP24'!E$602=0,"",'IWP24'!E$602)</f>
        <v/>
      </c>
      <c r="D6988" s="211">
        <f>'IWP24'!G$602</f>
        <v>0</v>
      </c>
      <c r="E6988" s="211">
        <f>'IWP24'!H$602</f>
        <v>0</v>
      </c>
      <c r="F6988" s="211">
        <f>'IWP24'!I$602</f>
        <v>0</v>
      </c>
      <c r="G6988" s="191" t="str">
        <f>IF('IWP24'!J$602=0,"",'IWP24'!J$602)</f>
        <v/>
      </c>
      <c r="H6988" s="211">
        <f>'IWP24'!K$602</f>
        <v>0</v>
      </c>
      <c r="I6988" s="211">
        <f>'IWP24'!L$602</f>
        <v>0</v>
      </c>
      <c r="J6988" s="212">
        <f>'IWP24'!M$602</f>
        <v>0</v>
      </c>
      <c r="K6988" s="106"/>
      <c r="L6988" s="106"/>
      <c r="M6988" s="129"/>
    </row>
    <row r="6989" spans="1:13" s="146" customFormat="1">
      <c r="A6989" s="193" t="s">
        <v>522</v>
      </c>
      <c r="B6989" s="210">
        <v>16</v>
      </c>
      <c r="C6989" s="191" t="str">
        <f>IF('IWP24'!E$603=0,"",'IWP24'!E$603)</f>
        <v/>
      </c>
      <c r="D6989" s="211">
        <f>'IWP24'!G$603</f>
        <v>0</v>
      </c>
      <c r="E6989" s="211">
        <f>'IWP24'!H$603</f>
        <v>0</v>
      </c>
      <c r="F6989" s="211">
        <f>'IWP24'!I$603</f>
        <v>0</v>
      </c>
      <c r="G6989" s="191" t="str">
        <f>IF('IWP24'!J$603=0,"",'IWP24'!J$603)</f>
        <v/>
      </c>
      <c r="H6989" s="211">
        <f>'IWP24'!K$603</f>
        <v>0</v>
      </c>
      <c r="I6989" s="211">
        <f>'IWP24'!L$603</f>
        <v>0</v>
      </c>
      <c r="J6989" s="212">
        <f>'IWP24'!M$603</f>
        <v>0</v>
      </c>
      <c r="K6989" s="106"/>
      <c r="L6989" s="106"/>
      <c r="M6989" s="129"/>
    </row>
    <row r="6990" spans="1:13" s="146" customFormat="1">
      <c r="A6990" s="193" t="s">
        <v>522</v>
      </c>
      <c r="B6990" s="210">
        <v>16</v>
      </c>
      <c r="C6990" s="191" t="str">
        <f>IF('IWP24'!E$604=0,"",'IWP24'!E$604)</f>
        <v/>
      </c>
      <c r="D6990" s="211">
        <f>'IWP24'!G$604</f>
        <v>0</v>
      </c>
      <c r="E6990" s="211">
        <f>'IWP24'!H$604</f>
        <v>0</v>
      </c>
      <c r="F6990" s="211">
        <f>'IWP24'!I$604</f>
        <v>0</v>
      </c>
      <c r="G6990" s="191" t="str">
        <f>IF('IWP24'!J$604=0,"",'IWP24'!J$604)</f>
        <v/>
      </c>
      <c r="H6990" s="211">
        <f>'IWP24'!K$604</f>
        <v>0</v>
      </c>
      <c r="I6990" s="211">
        <f>'IWP24'!L$604</f>
        <v>0</v>
      </c>
      <c r="J6990" s="212">
        <f>'IWP24'!M$604</f>
        <v>0</v>
      </c>
      <c r="K6990" s="106"/>
      <c r="L6990" s="106"/>
      <c r="M6990" s="129"/>
    </row>
    <row r="6991" spans="1:13" s="146" customFormat="1">
      <c r="A6991" s="193" t="s">
        <v>522</v>
      </c>
      <c r="B6991" s="210">
        <v>17</v>
      </c>
      <c r="C6991" s="191" t="str">
        <f>IF('IWP24'!E$611=0,"",'IWP24'!E$611)</f>
        <v>Subtotal column D.</v>
      </c>
      <c r="D6991" s="211">
        <f>'IWP24'!G$611</f>
        <v>0</v>
      </c>
      <c r="E6991" s="211">
        <f>'IWP24'!H$611</f>
        <v>0</v>
      </c>
      <c r="F6991" s="211">
        <f>'IWP24'!I$611</f>
        <v>0</v>
      </c>
      <c r="G6991" s="191" t="str">
        <f>IF('IWP24'!J$611=0,"",'IWP24'!J$611)</f>
        <v/>
      </c>
      <c r="H6991" s="211">
        <f>'IWP24'!K$611</f>
        <v>0</v>
      </c>
      <c r="I6991" s="211">
        <f>'IWP24'!L$611</f>
        <v>0</v>
      </c>
      <c r="J6991" s="212">
        <f>'IWP24'!M$611</f>
        <v>0</v>
      </c>
      <c r="K6991" s="106"/>
      <c r="L6991" s="106"/>
      <c r="M6991" s="129"/>
    </row>
    <row r="6992" spans="1:13" s="146" customFormat="1">
      <c r="A6992" s="193" t="s">
        <v>522</v>
      </c>
      <c r="B6992" s="210">
        <v>17</v>
      </c>
      <c r="C6992" s="191" t="str">
        <f>IF('IWP24'!E$612=0,"",'IWP24'!E$612)</f>
        <v>Unverified/Undocumented (Subtotal D - C)</v>
      </c>
      <c r="D6992" s="211">
        <f>'IWP24'!G$612</f>
        <v>0</v>
      </c>
      <c r="E6992" s="211">
        <f>'IWP24'!H$612</f>
        <v>0</v>
      </c>
      <c r="F6992" s="211">
        <f>'IWP24'!I$612</f>
        <v>0</v>
      </c>
      <c r="G6992" s="191" t="str">
        <f>IF('IWP24'!J$612=0,"",'IWP24'!J$612)</f>
        <v/>
      </c>
      <c r="H6992" s="211">
        <f>'IWP24'!K$612</f>
        <v>0</v>
      </c>
      <c r="I6992" s="211">
        <f>'IWP24'!L$612</f>
        <v>0</v>
      </c>
      <c r="J6992" s="212">
        <f>'IWP24'!M$612</f>
        <v>0</v>
      </c>
      <c r="K6992" s="106"/>
      <c r="L6992" s="106"/>
      <c r="M6992" s="129"/>
    </row>
    <row r="6993" spans="1:13" s="146" customFormat="1">
      <c r="A6993" s="193" t="s">
        <v>522</v>
      </c>
      <c r="B6993" s="210">
        <v>17</v>
      </c>
      <c r="C6993" s="191" t="str">
        <f>IF('IWP24'!E$613=0,"",'IWP24'!E$613)</f>
        <v>J. Billing Period Total</v>
      </c>
      <c r="D6993" s="211">
        <f>'IWP24'!G$613</f>
        <v>0</v>
      </c>
      <c r="E6993" s="211">
        <f>'IWP24'!H$613</f>
        <v>0</v>
      </c>
      <c r="F6993" s="211">
        <f>'IWP24'!I$613</f>
        <v>0</v>
      </c>
      <c r="G6993" s="191" t="str">
        <f>IF('IWP24'!J$613=0,"",'IWP24'!J$613)</f>
        <v/>
      </c>
      <c r="H6993" s="211">
        <f>'IWP24'!K$613</f>
        <v>0</v>
      </c>
      <c r="I6993" s="211">
        <f>'IWP24'!L$613</f>
        <v>0</v>
      </c>
      <c r="J6993" s="212">
        <f>'IWP24'!M$613</f>
        <v>0</v>
      </c>
      <c r="K6993" s="106"/>
      <c r="L6993" s="106"/>
      <c r="M6993" s="129"/>
    </row>
    <row r="6994" spans="1:13" s="146" customFormat="1">
      <c r="A6994" s="193" t="s">
        <v>522</v>
      </c>
      <c r="B6994" s="210">
        <v>17</v>
      </c>
      <c r="C6994" s="191" t="str">
        <f>IF('IWP24'!E$614=0,"",'IWP24'!E$614)</f>
        <v/>
      </c>
      <c r="D6994" s="211">
        <f>'IWP24'!G$614</f>
        <v>0</v>
      </c>
      <c r="E6994" s="211">
        <f>'IWP24'!H$614</f>
        <v>0</v>
      </c>
      <c r="F6994" s="211">
        <f>'IWP24'!I$614</f>
        <v>0</v>
      </c>
      <c r="G6994" s="191" t="str">
        <f>IF('IWP24'!J$614=0,"",'IWP24'!J$614)</f>
        <v/>
      </c>
      <c r="H6994" s="211">
        <f>'IWP24'!K$614</f>
        <v>0</v>
      </c>
      <c r="I6994" s="211">
        <f>'IWP24'!L$614</f>
        <v>0</v>
      </c>
      <c r="J6994" s="212">
        <f>'IWP24'!M$614</f>
        <v>0</v>
      </c>
      <c r="K6994" s="106"/>
      <c r="L6994" s="106"/>
      <c r="M6994" s="129"/>
    </row>
    <row r="6995" spans="1:13" s="146" customFormat="1">
      <c r="A6995" s="193" t="s">
        <v>522</v>
      </c>
      <c r="B6995" s="210">
        <v>17</v>
      </c>
      <c r="C6995" s="191" t="str">
        <f>IF('IWP24'!E$615=0,"",'IWP24'!E$615)</f>
        <v/>
      </c>
      <c r="D6995" s="211">
        <f>'IWP24'!G$615</f>
        <v>0</v>
      </c>
      <c r="E6995" s="211">
        <f>'IWP24'!H$615</f>
        <v>0</v>
      </c>
      <c r="F6995" s="211">
        <f>'IWP24'!I$615</f>
        <v>0</v>
      </c>
      <c r="G6995" s="191" t="str">
        <f>IF('IWP24'!J$615=0,"",'IWP24'!J$615)</f>
        <v/>
      </c>
      <c r="H6995" s="211">
        <f>'IWP24'!K$615</f>
        <v>0</v>
      </c>
      <c r="I6995" s="211">
        <f>'IWP24'!L$615</f>
        <v>0</v>
      </c>
      <c r="J6995" s="212">
        <f>'IWP24'!M$615</f>
        <v>0</v>
      </c>
      <c r="K6995" s="106"/>
      <c r="L6995" s="106"/>
      <c r="M6995" s="129"/>
    </row>
    <row r="6996" spans="1:13" s="146" customFormat="1">
      <c r="A6996" s="193" t="s">
        <v>522</v>
      </c>
      <c r="B6996" s="210">
        <v>17</v>
      </c>
      <c r="C6996" s="191" t="str">
        <f>IF('IWP24'!E$616=0,"",'IWP24'!E$616)</f>
        <v/>
      </c>
      <c r="D6996" s="211">
        <f>'IWP24'!G$616</f>
        <v>0</v>
      </c>
      <c r="E6996" s="211">
        <f>'IWP24'!H$616</f>
        <v>0</v>
      </c>
      <c r="F6996" s="211">
        <f>'IWP24'!I$616</f>
        <v>0</v>
      </c>
      <c r="G6996" s="191" t="str">
        <f>IF('IWP24'!J$616=0,"",'IWP24'!J$616)</f>
        <v/>
      </c>
      <c r="H6996" s="211">
        <f>'IWP24'!K$616</f>
        <v>0</v>
      </c>
      <c r="I6996" s="211">
        <f>'IWP24'!L$616</f>
        <v>0</v>
      </c>
      <c r="J6996" s="212">
        <f>'IWP24'!M$616</f>
        <v>0</v>
      </c>
      <c r="K6996" s="106"/>
      <c r="L6996" s="106"/>
      <c r="M6996" s="129"/>
    </row>
    <row r="6997" spans="1:13" s="146" customFormat="1">
      <c r="A6997" s="193" t="s">
        <v>522</v>
      </c>
      <c r="B6997" s="210">
        <v>17</v>
      </c>
      <c r="C6997" s="191" t="str">
        <f>IF('IWP24'!E$617=0,"",'IWP24'!E$617)</f>
        <v/>
      </c>
      <c r="D6997" s="211">
        <f>'IWP24'!G$617</f>
        <v>0</v>
      </c>
      <c r="E6997" s="211">
        <f>'IWP24'!H$617</f>
        <v>0</v>
      </c>
      <c r="F6997" s="211">
        <f>'IWP24'!I$617</f>
        <v>0</v>
      </c>
      <c r="G6997" s="191" t="str">
        <f>IF('IWP24'!J$617=0,"",'IWP24'!J$617)</f>
        <v/>
      </c>
      <c r="H6997" s="211">
        <f>'IWP24'!K$617</f>
        <v>0</v>
      </c>
      <c r="I6997" s="211">
        <f>'IWP24'!L$617</f>
        <v>0</v>
      </c>
      <c r="J6997" s="212">
        <f>'IWP24'!M$617</f>
        <v>0</v>
      </c>
      <c r="K6997" s="106"/>
      <c r="L6997" s="106"/>
      <c r="M6997" s="129"/>
    </row>
    <row r="6998" spans="1:13" s="146" customFormat="1">
      <c r="A6998" s="193" t="s">
        <v>522</v>
      </c>
      <c r="B6998" s="210">
        <v>17</v>
      </c>
      <c r="C6998" s="191" t="str">
        <f>IF('IWP24'!E$618=0,"",'IWP24'!E$618)</f>
        <v/>
      </c>
      <c r="D6998" s="211">
        <f>'IWP24'!G$618</f>
        <v>0</v>
      </c>
      <c r="E6998" s="211">
        <f>'IWP24'!H$618</f>
        <v>0</v>
      </c>
      <c r="F6998" s="211">
        <f>'IWP24'!I$618</f>
        <v>0</v>
      </c>
      <c r="G6998" s="191" t="str">
        <f>IF('IWP24'!J$618=0,"",'IWP24'!J$618)</f>
        <v/>
      </c>
      <c r="H6998" s="211">
        <f>'IWP24'!K$618</f>
        <v>0</v>
      </c>
      <c r="I6998" s="211">
        <f>'IWP24'!L$618</f>
        <v>0</v>
      </c>
      <c r="J6998" s="212">
        <f>'IWP24'!M$618</f>
        <v>0</v>
      </c>
      <c r="K6998" s="106"/>
      <c r="L6998" s="106"/>
      <c r="M6998" s="129"/>
    </row>
    <row r="6999" spans="1:13" s="146" customFormat="1">
      <c r="A6999" s="193" t="s">
        <v>522</v>
      </c>
      <c r="B6999" s="210">
        <v>17</v>
      </c>
      <c r="C6999" s="191" t="str">
        <f>IF('IWP24'!E$619=0,"",'IWP24'!E$619)</f>
        <v/>
      </c>
      <c r="D6999" s="211">
        <f>'IWP24'!G$619</f>
        <v>0</v>
      </c>
      <c r="E6999" s="211">
        <f>'IWP24'!H$619</f>
        <v>0</v>
      </c>
      <c r="F6999" s="211">
        <f>'IWP24'!I$619</f>
        <v>0</v>
      </c>
      <c r="G6999" s="191" t="str">
        <f>IF('IWP24'!J$619=0,"",'IWP24'!J$619)</f>
        <v/>
      </c>
      <c r="H6999" s="211">
        <f>'IWP24'!K$619</f>
        <v>0</v>
      </c>
      <c r="I6999" s="211">
        <f>'IWP24'!L$619</f>
        <v>0</v>
      </c>
      <c r="J6999" s="212">
        <f>'IWP24'!M$619</f>
        <v>0</v>
      </c>
      <c r="K6999" s="106"/>
      <c r="L6999" s="106"/>
      <c r="M6999" s="129"/>
    </row>
    <row r="7000" spans="1:13" s="146" customFormat="1">
      <c r="A7000" s="193" t="s">
        <v>522</v>
      </c>
      <c r="B7000" s="210">
        <v>17</v>
      </c>
      <c r="C7000" s="191" t="str">
        <f>IF('IWP24'!E$620=0,"",'IWP24'!E$620)</f>
        <v/>
      </c>
      <c r="D7000" s="211">
        <f>'IWP24'!G$620</f>
        <v>0</v>
      </c>
      <c r="E7000" s="211">
        <f>'IWP24'!H$620</f>
        <v>0</v>
      </c>
      <c r="F7000" s="211">
        <f>'IWP24'!I$620</f>
        <v>0</v>
      </c>
      <c r="G7000" s="191" t="str">
        <f>IF('IWP24'!J$620=0,"",'IWP24'!J$620)</f>
        <v/>
      </c>
      <c r="H7000" s="211">
        <f>'IWP24'!K$620</f>
        <v>0</v>
      </c>
      <c r="I7000" s="211">
        <f>'IWP24'!L$620</f>
        <v>0</v>
      </c>
      <c r="J7000" s="212">
        <f>'IWP24'!M$620</f>
        <v>0</v>
      </c>
      <c r="K7000" s="106"/>
      <c r="L7000" s="106"/>
      <c r="M7000" s="129"/>
    </row>
    <row r="7001" spans="1:13" s="146" customFormat="1">
      <c r="A7001" s="193" t="s">
        <v>522</v>
      </c>
      <c r="B7001" s="210">
        <v>18</v>
      </c>
      <c r="C7001" s="191" t="str">
        <f>IF('IWP24'!E$627=0,"",'IWP24'!E$627)</f>
        <v/>
      </c>
      <c r="D7001" s="211">
        <f>'IWP24'!G$627</f>
        <v>0</v>
      </c>
      <c r="E7001" s="211">
        <f>'IWP24'!H$627</f>
        <v>0</v>
      </c>
      <c r="F7001" s="211">
        <f>'IWP24'!I$627</f>
        <v>0</v>
      </c>
      <c r="G7001" s="191" t="str">
        <f>IF('IWP24'!J$627=0,"",'IWP24'!J$627)</f>
        <v/>
      </c>
      <c r="H7001" s="211">
        <f>'IWP24'!K$627</f>
        <v>0</v>
      </c>
      <c r="I7001" s="211">
        <f>'IWP24'!L$627</f>
        <v>0</v>
      </c>
      <c r="J7001" s="212">
        <f>'IWP24'!M$627</f>
        <v>0</v>
      </c>
      <c r="K7001" s="106"/>
      <c r="L7001" s="106"/>
      <c r="M7001" s="129"/>
    </row>
    <row r="7002" spans="1:13" s="146" customFormat="1">
      <c r="A7002" s="193" t="s">
        <v>522</v>
      </c>
      <c r="B7002" s="210">
        <v>18</v>
      </c>
      <c r="C7002" s="191" t="str">
        <f>IF('IWP24'!E$628=0,"",'IWP24'!E$628)</f>
        <v/>
      </c>
      <c r="D7002" s="211">
        <f>'IWP24'!G$628</f>
        <v>0</v>
      </c>
      <c r="E7002" s="211">
        <f>'IWP24'!H$628</f>
        <v>0</v>
      </c>
      <c r="F7002" s="211">
        <f>'IWP24'!I$628</f>
        <v>0</v>
      </c>
      <c r="G7002" s="191" t="str">
        <f>IF('IWP24'!J$628=0,"",'IWP24'!J$628)</f>
        <v/>
      </c>
      <c r="H7002" s="211">
        <f>'IWP24'!K$628</f>
        <v>0</v>
      </c>
      <c r="I7002" s="211">
        <f>'IWP24'!L$628</f>
        <v>0</v>
      </c>
      <c r="J7002" s="212">
        <f>'IWP24'!M$628</f>
        <v>0</v>
      </c>
      <c r="K7002" s="106"/>
      <c r="L7002" s="106"/>
      <c r="M7002" s="129"/>
    </row>
    <row r="7003" spans="1:13" s="146" customFormat="1">
      <c r="A7003" s="193" t="s">
        <v>522</v>
      </c>
      <c r="B7003" s="210">
        <v>18</v>
      </c>
      <c r="C7003" s="191" t="str">
        <f>IF('IWP24'!E$629=0,"",'IWP24'!E$629)</f>
        <v/>
      </c>
      <c r="D7003" s="211">
        <f>'IWP24'!G$629</f>
        <v>0</v>
      </c>
      <c r="E7003" s="211">
        <f>'IWP24'!H$629</f>
        <v>0</v>
      </c>
      <c r="F7003" s="211">
        <f>'IWP24'!I$629</f>
        <v>0</v>
      </c>
      <c r="G7003" s="191" t="str">
        <f>IF('IWP24'!J$629=0,"",'IWP24'!J$629)</f>
        <v/>
      </c>
      <c r="H7003" s="211">
        <f>'IWP24'!K$629</f>
        <v>0</v>
      </c>
      <c r="I7003" s="211">
        <f>'IWP24'!L$629</f>
        <v>0</v>
      </c>
      <c r="J7003" s="212">
        <f>'IWP24'!M$629</f>
        <v>0</v>
      </c>
      <c r="K7003" s="106"/>
      <c r="L7003" s="106"/>
      <c r="M7003" s="129"/>
    </row>
    <row r="7004" spans="1:13" s="146" customFormat="1">
      <c r="A7004" s="193" t="s">
        <v>522</v>
      </c>
      <c r="B7004" s="210">
        <v>18</v>
      </c>
      <c r="C7004" s="191" t="str">
        <f>IF('IWP24'!E$630=0,"",'IWP24'!E$630)</f>
        <v/>
      </c>
      <c r="D7004" s="211">
        <f>'IWP24'!G$630</f>
        <v>0</v>
      </c>
      <c r="E7004" s="211">
        <f>'IWP24'!H$630</f>
        <v>0</v>
      </c>
      <c r="F7004" s="211">
        <f>'IWP24'!I$630</f>
        <v>0</v>
      </c>
      <c r="G7004" s="191" t="str">
        <f>IF('IWP24'!J$630=0,"",'IWP24'!J$630)</f>
        <v/>
      </c>
      <c r="H7004" s="211">
        <f>'IWP24'!K$630</f>
        <v>0</v>
      </c>
      <c r="I7004" s="211">
        <f>'IWP24'!L$630</f>
        <v>0</v>
      </c>
      <c r="J7004" s="212">
        <f>'IWP24'!M$630</f>
        <v>0</v>
      </c>
      <c r="K7004" s="106"/>
      <c r="L7004" s="106"/>
      <c r="M7004" s="129"/>
    </row>
    <row r="7005" spans="1:13" s="146" customFormat="1">
      <c r="A7005" s="193" t="s">
        <v>522</v>
      </c>
      <c r="B7005" s="210">
        <v>18</v>
      </c>
      <c r="C7005" s="191" t="str">
        <f>IF('IWP24'!E$631=0,"",'IWP24'!E$631)</f>
        <v/>
      </c>
      <c r="D7005" s="211">
        <f>'IWP24'!G$631</f>
        <v>0</v>
      </c>
      <c r="E7005" s="211">
        <f>'IWP24'!H$631</f>
        <v>0</v>
      </c>
      <c r="F7005" s="211">
        <f>'IWP24'!I$631</f>
        <v>0</v>
      </c>
      <c r="G7005" s="191" t="str">
        <f>IF('IWP24'!J$631=0,"",'IWP24'!J$631)</f>
        <v/>
      </c>
      <c r="H7005" s="211">
        <f>'IWP24'!K$631</f>
        <v>0</v>
      </c>
      <c r="I7005" s="211">
        <f>'IWP24'!L$631</f>
        <v>0</v>
      </c>
      <c r="J7005" s="212">
        <f>'IWP24'!M$631</f>
        <v>0</v>
      </c>
      <c r="K7005" s="106"/>
      <c r="L7005" s="106"/>
      <c r="M7005" s="129"/>
    </row>
    <row r="7006" spans="1:13" s="146" customFormat="1">
      <c r="A7006" s="193" t="s">
        <v>522</v>
      </c>
      <c r="B7006" s="210">
        <v>18</v>
      </c>
      <c r="C7006" s="191" t="str">
        <f>IF('IWP24'!E$632=0,"",'IWP24'!E$632)</f>
        <v/>
      </c>
      <c r="D7006" s="211">
        <f>'IWP24'!G$632</f>
        <v>0</v>
      </c>
      <c r="E7006" s="211">
        <f>'IWP24'!H$632</f>
        <v>0</v>
      </c>
      <c r="F7006" s="211">
        <f>'IWP24'!I$632</f>
        <v>0</v>
      </c>
      <c r="G7006" s="191" t="str">
        <f>IF('IWP24'!J$632=0,"",'IWP24'!J$632)</f>
        <v/>
      </c>
      <c r="H7006" s="211">
        <f>'IWP24'!K$632</f>
        <v>0</v>
      </c>
      <c r="I7006" s="211">
        <f>'IWP24'!L$632</f>
        <v>0</v>
      </c>
      <c r="J7006" s="212">
        <f>'IWP24'!M$632</f>
        <v>0</v>
      </c>
      <c r="K7006" s="106"/>
      <c r="L7006" s="106"/>
      <c r="M7006" s="129"/>
    </row>
    <row r="7007" spans="1:13" s="146" customFormat="1">
      <c r="A7007" s="193" t="s">
        <v>522</v>
      </c>
      <c r="B7007" s="210">
        <v>18</v>
      </c>
      <c r="C7007" s="191" t="str">
        <f>IF('IWP24'!E$633=0,"",'IWP24'!E$633)</f>
        <v/>
      </c>
      <c r="D7007" s="211">
        <f>'IWP24'!G$633</f>
        <v>0</v>
      </c>
      <c r="E7007" s="211">
        <f>'IWP24'!H$633</f>
        <v>0</v>
      </c>
      <c r="F7007" s="211">
        <f>'IWP24'!I$633</f>
        <v>0</v>
      </c>
      <c r="G7007" s="191" t="str">
        <f>IF('IWP24'!J$633=0,"",'IWP24'!J$633)</f>
        <v/>
      </c>
      <c r="H7007" s="211">
        <f>'IWP24'!K$633</f>
        <v>0</v>
      </c>
      <c r="I7007" s="211">
        <f>'IWP24'!L$633</f>
        <v>0</v>
      </c>
      <c r="J7007" s="212">
        <f>'IWP24'!M$633</f>
        <v>0</v>
      </c>
      <c r="K7007" s="106"/>
      <c r="L7007" s="106"/>
      <c r="M7007" s="129"/>
    </row>
    <row r="7008" spans="1:13" s="146" customFormat="1">
      <c r="A7008" s="193" t="s">
        <v>522</v>
      </c>
      <c r="B7008" s="210">
        <v>18</v>
      </c>
      <c r="C7008" s="191" t="str">
        <f>IF('IWP24'!E$634=0,"",'IWP24'!E$634)</f>
        <v/>
      </c>
      <c r="D7008" s="211">
        <f>'IWP24'!G$634</f>
        <v>0</v>
      </c>
      <c r="E7008" s="211">
        <f>'IWP24'!H$634</f>
        <v>0</v>
      </c>
      <c r="F7008" s="211">
        <f>'IWP24'!I$634</f>
        <v>0</v>
      </c>
      <c r="G7008" s="191" t="str">
        <f>IF('IWP24'!J$634=0,"",'IWP24'!J$634)</f>
        <v/>
      </c>
      <c r="H7008" s="211">
        <f>'IWP24'!K$634</f>
        <v>0</v>
      </c>
      <c r="I7008" s="211">
        <f>'IWP24'!L$634</f>
        <v>0</v>
      </c>
      <c r="J7008" s="212">
        <f>'IWP24'!M$634</f>
        <v>0</v>
      </c>
      <c r="K7008" s="106"/>
      <c r="L7008" s="106"/>
      <c r="M7008" s="129"/>
    </row>
    <row r="7009" spans="1:13" s="146" customFormat="1">
      <c r="A7009" s="193" t="s">
        <v>522</v>
      </c>
      <c r="B7009" s="210">
        <v>18</v>
      </c>
      <c r="C7009" s="191" t="str">
        <f>IF('IWP24'!E$635=0,"",'IWP24'!E$635)</f>
        <v/>
      </c>
      <c r="D7009" s="211">
        <f>'IWP24'!G$635</f>
        <v>0</v>
      </c>
      <c r="E7009" s="211">
        <f>'IWP24'!H$635</f>
        <v>0</v>
      </c>
      <c r="F7009" s="211">
        <f>'IWP24'!I$635</f>
        <v>0</v>
      </c>
      <c r="G7009" s="191" t="str">
        <f>IF('IWP24'!J$635=0,"",'IWP24'!J$635)</f>
        <v/>
      </c>
      <c r="H7009" s="211">
        <f>'IWP24'!K$635</f>
        <v>0</v>
      </c>
      <c r="I7009" s="211">
        <f>'IWP24'!L$635</f>
        <v>0</v>
      </c>
      <c r="J7009" s="212">
        <f>'IWP24'!M$635</f>
        <v>0</v>
      </c>
      <c r="K7009" s="106"/>
      <c r="L7009" s="106"/>
      <c r="M7009" s="129"/>
    </row>
    <row r="7010" spans="1:13" s="146" customFormat="1">
      <c r="A7010" s="193" t="s">
        <v>522</v>
      </c>
      <c r="B7010" s="210">
        <v>18</v>
      </c>
      <c r="C7010" s="191" t="str">
        <f>IF('IWP24'!E$636=0,"",'IWP24'!E$636)</f>
        <v/>
      </c>
      <c r="D7010" s="211">
        <f>'IWP24'!G$636</f>
        <v>0</v>
      </c>
      <c r="E7010" s="211">
        <f>'IWP24'!H$636</f>
        <v>0</v>
      </c>
      <c r="F7010" s="211">
        <f>'IWP24'!I$636</f>
        <v>0</v>
      </c>
      <c r="G7010" s="191" t="str">
        <f>IF('IWP24'!J$636=0,"",'IWP24'!J$636)</f>
        <v/>
      </c>
      <c r="H7010" s="211">
        <f>'IWP24'!K$636</f>
        <v>0</v>
      </c>
      <c r="I7010" s="211">
        <f>'IWP24'!L$636</f>
        <v>0</v>
      </c>
      <c r="J7010" s="212">
        <f>'IWP24'!M$636</f>
        <v>0</v>
      </c>
      <c r="K7010" s="106"/>
      <c r="L7010" s="106"/>
      <c r="M7010" s="129"/>
    </row>
    <row r="7011" spans="1:13" s="146" customFormat="1">
      <c r="A7011" s="193" t="s">
        <v>523</v>
      </c>
      <c r="B7011" s="210">
        <v>1</v>
      </c>
      <c r="C7011" s="191" t="str">
        <f>IF('IWP25'!E$355=0,"",'IWP25'!E$355)</f>
        <v>Subtotal column D.</v>
      </c>
      <c r="D7011" s="211">
        <f>'IWP25'!G$355</f>
        <v>0</v>
      </c>
      <c r="E7011" s="211">
        <f>'IWP25'!H$355</f>
        <v>0</v>
      </c>
      <c r="F7011" s="211">
        <f>'IWP25'!I$355</f>
        <v>0</v>
      </c>
      <c r="G7011" s="191" t="str">
        <f>IF('IWP25'!J$355=0,"",'IWP25'!J$355)</f>
        <v/>
      </c>
      <c r="H7011" s="211">
        <f>'IWP25'!K$355</f>
        <v>0</v>
      </c>
      <c r="I7011" s="211">
        <f>'IWP25'!L$355</f>
        <v>0</v>
      </c>
      <c r="J7011" s="212">
        <f>'IWP25'!M$355</f>
        <v>0</v>
      </c>
      <c r="K7011" s="106"/>
      <c r="L7011" s="106"/>
      <c r="M7011" s="129"/>
    </row>
    <row r="7012" spans="1:13" s="146" customFormat="1">
      <c r="A7012" s="193" t="s">
        <v>523</v>
      </c>
      <c r="B7012" s="210">
        <v>1</v>
      </c>
      <c r="C7012" s="191" t="str">
        <f>IF('IWP25'!E$356=0,"",'IWP25'!E$356)</f>
        <v>Unverified/Undocumented (Subtotall D - C)</v>
      </c>
      <c r="D7012" s="211">
        <f>'IWP25'!G$356</f>
        <v>0</v>
      </c>
      <c r="E7012" s="211">
        <f>'IWP25'!H$356</f>
        <v>0</v>
      </c>
      <c r="F7012" s="211">
        <f>'IWP25'!I$356</f>
        <v>0</v>
      </c>
      <c r="G7012" s="191" t="str">
        <f>IF('IWP25'!J$356=0,"",'IWP25'!J$356)</f>
        <v/>
      </c>
      <c r="H7012" s="211">
        <f>'IWP25'!K$356</f>
        <v>0</v>
      </c>
      <c r="I7012" s="211">
        <f>'IWP25'!L$356</f>
        <v>0</v>
      </c>
      <c r="J7012" s="212">
        <f>'IWP25'!M$356</f>
        <v>0</v>
      </c>
      <c r="K7012" s="106"/>
      <c r="L7012" s="106"/>
      <c r="M7012" s="129"/>
    </row>
    <row r="7013" spans="1:13" s="146" customFormat="1">
      <c r="A7013" s="193" t="s">
        <v>523</v>
      </c>
      <c r="B7013" s="210">
        <v>1</v>
      </c>
      <c r="C7013" s="191" t="str">
        <f>IF('IWP25'!E$357=0,"",'IWP25'!E$357)</f>
        <v>J. Billing Period Total</v>
      </c>
      <c r="D7013" s="211">
        <f>'IWP25'!G$357</f>
        <v>0</v>
      </c>
      <c r="E7013" s="211">
        <f>'IWP25'!H$357</f>
        <v>0</v>
      </c>
      <c r="F7013" s="211">
        <f>'IWP25'!I$357</f>
        <v>0</v>
      </c>
      <c r="G7013" s="191" t="str">
        <f>IF('IWP25'!J$357=0,"",'IWP25'!J$357)</f>
        <v/>
      </c>
      <c r="H7013" s="211">
        <f>'IWP25'!K$357</f>
        <v>0</v>
      </c>
      <c r="I7013" s="211">
        <f>'IWP25'!L$357</f>
        <v>0</v>
      </c>
      <c r="J7013" s="212">
        <f>'IWP25'!M$357</f>
        <v>0</v>
      </c>
      <c r="K7013" s="106"/>
      <c r="L7013" s="106"/>
      <c r="M7013" s="129"/>
    </row>
    <row r="7014" spans="1:13" s="146" customFormat="1">
      <c r="A7014" s="193" t="s">
        <v>523</v>
      </c>
      <c r="B7014" s="210">
        <v>1</v>
      </c>
      <c r="C7014" s="191" t="str">
        <f>IF('IWP25'!E$358=0,"",'IWP25'!E$358)</f>
        <v>D.</v>
      </c>
      <c r="D7014" s="211">
        <f>'IWP25'!G$358</f>
        <v>0</v>
      </c>
      <c r="E7014" s="211" t="str">
        <f>'IWP25'!H$358</f>
        <v>E.</v>
      </c>
      <c r="F7014" s="211" t="str">
        <f>'IWP25'!I$358</f>
        <v>F.</v>
      </c>
      <c r="G7014" s="191" t="str">
        <f>IF('IWP25'!J$358=0,"",'IWP25'!J$358)</f>
        <v>G.</v>
      </c>
      <c r="H7014" s="211">
        <f>'IWP25'!K$358</f>
        <v>0</v>
      </c>
      <c r="I7014" s="211" t="str">
        <f>'IWP25'!L$358</f>
        <v>H.</v>
      </c>
      <c r="J7014" s="212" t="str">
        <f>'IWP25'!M$358</f>
        <v>I.</v>
      </c>
      <c r="K7014" s="106"/>
      <c r="L7014" s="106"/>
      <c r="M7014" s="129"/>
    </row>
    <row r="7015" spans="1:13" s="146" customFormat="1">
      <c r="A7015" s="193" t="s">
        <v>523</v>
      </c>
      <c r="B7015" s="210">
        <v>1</v>
      </c>
      <c r="C7015" s="191" t="str">
        <f>IF('IWP25'!E$359=0,"",'IWP25'!E$359)</f>
        <v xml:space="preserve">Items/Services Related to Billing Period </v>
      </c>
      <c r="D7015" s="211">
        <f>'IWP25'!G$359</f>
        <v>0</v>
      </c>
      <c r="E7015" s="211" t="str">
        <f>'IWP25'!H$359</f>
        <v xml:space="preserve">Item/
Service Verified Amounts
</v>
      </c>
      <c r="F7015" s="211" t="str">
        <f>'IWP25'!I$359</f>
        <v>Amount Due to DADS (E. - D.)</v>
      </c>
      <c r="G7015" s="191" t="str">
        <f>IF('IWP25'!J$359=0,"",'IWP25'!J$359)</f>
        <v>Amount Reimbursed to 
Employee(s)/Employer</v>
      </c>
      <c r="H7015" s="211">
        <f>'IWP25'!K$359</f>
        <v>0</v>
      </c>
      <c r="I7015" s="211" t="str">
        <f>'IWP25'!L$359</f>
        <v>Amount Due to Employee(s) (G. - E.)</v>
      </c>
      <c r="J7015" s="212" t="str">
        <f>'IWP25'!M$359</f>
        <v>Amount Due to Employer (G. - E.)</v>
      </c>
      <c r="K7015" s="106"/>
      <c r="L7015" s="106"/>
      <c r="M7015" s="129"/>
    </row>
    <row r="7016" spans="1:13" s="146" customFormat="1">
      <c r="A7016" s="193" t="s">
        <v>523</v>
      </c>
      <c r="B7016" s="210">
        <v>1</v>
      </c>
      <c r="C7016" s="191" t="str">
        <f>IF('IWP25'!E$360=0,"",'IWP25'!E$360)</f>
        <v>Item/Service</v>
      </c>
      <c r="D7016" s="211" t="str">
        <f>'IWP25'!G$360</f>
        <v>Itemized Amount Paid by DADS</v>
      </c>
      <c r="E7016" s="211">
        <f>'IWP25'!H$360</f>
        <v>0</v>
      </c>
      <c r="F7016" s="211">
        <f>'IWP25'!I$360</f>
        <v>0</v>
      </c>
      <c r="G7016" s="191" t="str">
        <f>IF('IWP25'!J$360=0,"",'IWP25'!J$360)</f>
        <v/>
      </c>
      <c r="H7016" s="211">
        <f>'IWP25'!K$360</f>
        <v>0</v>
      </c>
      <c r="I7016" s="211">
        <f>'IWP25'!L$360</f>
        <v>0</v>
      </c>
      <c r="J7016" s="212">
        <f>'IWP25'!M$360</f>
        <v>0</v>
      </c>
      <c r="K7016" s="106"/>
      <c r="L7016" s="106"/>
      <c r="M7016" s="129"/>
    </row>
    <row r="7017" spans="1:13" s="146" customFormat="1">
      <c r="A7017" s="193" t="s">
        <v>523</v>
      </c>
      <c r="B7017" s="210">
        <v>1</v>
      </c>
      <c r="C7017" s="191" t="str">
        <f>IF('IWP25'!E$361=0,"",'IWP25'!E$361)</f>
        <v/>
      </c>
      <c r="D7017" s="211">
        <f>'IWP25'!G$361</f>
        <v>0</v>
      </c>
      <c r="E7017" s="211">
        <f>'IWP25'!H$361</f>
        <v>0</v>
      </c>
      <c r="F7017" s="211">
        <f>'IWP25'!I$361</f>
        <v>0</v>
      </c>
      <c r="G7017" s="191" t="str">
        <f>IF('IWP25'!J$361=0,"",'IWP25'!J$361)</f>
        <v/>
      </c>
      <c r="H7017" s="211">
        <f>'IWP25'!K$361</f>
        <v>0</v>
      </c>
      <c r="I7017" s="211">
        <f>'IWP25'!L$361</f>
        <v>0</v>
      </c>
      <c r="J7017" s="212">
        <f>'IWP25'!M$361</f>
        <v>0</v>
      </c>
      <c r="K7017" s="106"/>
      <c r="L7017" s="106"/>
      <c r="M7017" s="129"/>
    </row>
    <row r="7018" spans="1:13" s="146" customFormat="1">
      <c r="A7018" s="193" t="s">
        <v>523</v>
      </c>
      <c r="B7018" s="210">
        <v>1</v>
      </c>
      <c r="C7018" s="191" t="str">
        <f>IF('IWP25'!E$362=0,"",'IWP25'!E$362)</f>
        <v/>
      </c>
      <c r="D7018" s="211">
        <f>'IWP25'!G$362</f>
        <v>0</v>
      </c>
      <c r="E7018" s="211">
        <f>'IWP25'!H$362</f>
        <v>0</v>
      </c>
      <c r="F7018" s="211">
        <f>'IWP25'!I$362</f>
        <v>0</v>
      </c>
      <c r="G7018" s="191" t="str">
        <f>IF('IWP25'!J$362=0,"",'IWP25'!J$362)</f>
        <v/>
      </c>
      <c r="H7018" s="211">
        <f>'IWP25'!K$362</f>
        <v>0</v>
      </c>
      <c r="I7018" s="211">
        <f>'IWP25'!L$362</f>
        <v>0</v>
      </c>
      <c r="J7018" s="212">
        <f>'IWP25'!M$362</f>
        <v>0</v>
      </c>
      <c r="K7018" s="106"/>
      <c r="L7018" s="106"/>
      <c r="M7018" s="129"/>
    </row>
    <row r="7019" spans="1:13" s="146" customFormat="1">
      <c r="A7019" s="193" t="s">
        <v>523</v>
      </c>
      <c r="B7019" s="210">
        <v>1</v>
      </c>
      <c r="C7019" s="191" t="str">
        <f>IF('IWP25'!E$363=0,"",'IWP25'!E$363)</f>
        <v/>
      </c>
      <c r="D7019" s="211">
        <f>'IWP25'!G$363</f>
        <v>0</v>
      </c>
      <c r="E7019" s="211">
        <f>'IWP25'!H$363</f>
        <v>0</v>
      </c>
      <c r="F7019" s="211">
        <f>'IWP25'!I$363</f>
        <v>0</v>
      </c>
      <c r="G7019" s="191" t="str">
        <f>IF('IWP25'!J$363=0,"",'IWP25'!J$363)</f>
        <v/>
      </c>
      <c r="H7019" s="211">
        <f>'IWP25'!K$363</f>
        <v>0</v>
      </c>
      <c r="I7019" s="211">
        <f>'IWP25'!L$363</f>
        <v>0</v>
      </c>
      <c r="J7019" s="212">
        <f>'IWP25'!M$363</f>
        <v>0</v>
      </c>
      <c r="K7019" s="106"/>
      <c r="L7019" s="106"/>
      <c r="M7019" s="129"/>
    </row>
    <row r="7020" spans="1:13" s="146" customFormat="1">
      <c r="A7020" s="193" t="s">
        <v>523</v>
      </c>
      <c r="B7020" s="210">
        <v>1</v>
      </c>
      <c r="C7020" s="191" t="str">
        <f>IF('IWP25'!E$364=0,"",'IWP25'!E$364)</f>
        <v/>
      </c>
      <c r="D7020" s="211">
        <f>'IWP25'!G$364</f>
        <v>0</v>
      </c>
      <c r="E7020" s="211">
        <f>'IWP25'!H$364</f>
        <v>0</v>
      </c>
      <c r="F7020" s="211">
        <f>'IWP25'!I$364</f>
        <v>0</v>
      </c>
      <c r="G7020" s="191" t="str">
        <f>IF('IWP25'!J$364=0,"",'IWP25'!J$364)</f>
        <v/>
      </c>
      <c r="H7020" s="211">
        <f>'IWP25'!K$364</f>
        <v>0</v>
      </c>
      <c r="I7020" s="211">
        <f>'IWP25'!L$364</f>
        <v>0</v>
      </c>
      <c r="J7020" s="212">
        <f>'IWP25'!M$364</f>
        <v>0</v>
      </c>
      <c r="K7020" s="106"/>
      <c r="L7020" s="106"/>
      <c r="M7020" s="129"/>
    </row>
    <row r="7021" spans="1:13" s="146" customFormat="1">
      <c r="A7021" s="193" t="s">
        <v>523</v>
      </c>
      <c r="B7021" s="210">
        <v>2</v>
      </c>
      <c r="C7021" s="191" t="str">
        <f>IF('IWP25'!E$371=0,"",'IWP25'!E$371)</f>
        <v>Subtotal column D.</v>
      </c>
      <c r="D7021" s="211">
        <f>'IWP25'!G$371</f>
        <v>0</v>
      </c>
      <c r="E7021" s="211">
        <f>'IWP25'!H$371</f>
        <v>0</v>
      </c>
      <c r="F7021" s="211">
        <f>'IWP25'!I$371</f>
        <v>0</v>
      </c>
      <c r="G7021" s="191" t="str">
        <f>IF('IWP25'!J$371=0,"",'IWP25'!J$371)</f>
        <v/>
      </c>
      <c r="H7021" s="211">
        <f>'IWP25'!K$371</f>
        <v>0</v>
      </c>
      <c r="I7021" s="211">
        <f>'IWP25'!L$371</f>
        <v>0</v>
      </c>
      <c r="J7021" s="212">
        <f>'IWP25'!M$371</f>
        <v>0</v>
      </c>
      <c r="K7021" s="106"/>
      <c r="L7021" s="106"/>
      <c r="M7021" s="129"/>
    </row>
    <row r="7022" spans="1:13" s="146" customFormat="1">
      <c r="A7022" s="193" t="s">
        <v>523</v>
      </c>
      <c r="B7022" s="210">
        <v>2</v>
      </c>
      <c r="C7022" s="191" t="str">
        <f>IF('IWP25'!E$372=0,"",'IWP25'!E$372)</f>
        <v>Unverified/Undocumented (Subtotal D - C)</v>
      </c>
      <c r="D7022" s="211">
        <f>'IWP25'!G$372</f>
        <v>0</v>
      </c>
      <c r="E7022" s="211">
        <f>'IWP25'!H$372</f>
        <v>0</v>
      </c>
      <c r="F7022" s="211">
        <f>'IWP25'!I$372</f>
        <v>0</v>
      </c>
      <c r="G7022" s="191" t="str">
        <f>IF('IWP25'!J$372=0,"",'IWP25'!J$372)</f>
        <v/>
      </c>
      <c r="H7022" s="211">
        <f>'IWP25'!K$372</f>
        <v>0</v>
      </c>
      <c r="I7022" s="211">
        <f>'IWP25'!L$372</f>
        <v>0</v>
      </c>
      <c r="J7022" s="212">
        <f>'IWP25'!M$372</f>
        <v>0</v>
      </c>
      <c r="K7022" s="106"/>
      <c r="L7022" s="106"/>
      <c r="M7022" s="129"/>
    </row>
    <row r="7023" spans="1:13" s="146" customFormat="1">
      <c r="A7023" s="193" t="s">
        <v>523</v>
      </c>
      <c r="B7023" s="210">
        <v>2</v>
      </c>
      <c r="C7023" s="191" t="str">
        <f>IF('IWP25'!E$373=0,"",'IWP25'!E$373)</f>
        <v>J. Billing Period Total</v>
      </c>
      <c r="D7023" s="211">
        <f>'IWP25'!G$373</f>
        <v>0</v>
      </c>
      <c r="E7023" s="211">
        <f>'IWP25'!H$373</f>
        <v>0</v>
      </c>
      <c r="F7023" s="211">
        <f>'IWP25'!I$373</f>
        <v>0</v>
      </c>
      <c r="G7023" s="191" t="str">
        <f>IF('IWP25'!J$373=0,"",'IWP25'!J$373)</f>
        <v/>
      </c>
      <c r="H7023" s="211">
        <f>'IWP25'!K$373</f>
        <v>0</v>
      </c>
      <c r="I7023" s="211">
        <f>'IWP25'!L$373</f>
        <v>0</v>
      </c>
      <c r="J7023" s="212">
        <f>'IWP25'!M$373</f>
        <v>0</v>
      </c>
      <c r="K7023" s="106"/>
      <c r="L7023" s="106"/>
      <c r="M7023" s="129"/>
    </row>
    <row r="7024" spans="1:13" s="146" customFormat="1">
      <c r="A7024" s="193" t="s">
        <v>523</v>
      </c>
      <c r="B7024" s="210">
        <v>2</v>
      </c>
      <c r="C7024" s="191" t="str">
        <f>IF('IWP25'!E$374=0,"",'IWP25'!E$374)</f>
        <v>D.</v>
      </c>
      <c r="D7024" s="211">
        <f>'IWP25'!G$374</f>
        <v>0</v>
      </c>
      <c r="E7024" s="211" t="str">
        <f>'IWP25'!H$374</f>
        <v>E.</v>
      </c>
      <c r="F7024" s="211" t="str">
        <f>'IWP25'!I$374</f>
        <v>F.</v>
      </c>
      <c r="G7024" s="191" t="str">
        <f>IF('IWP25'!J$374=0,"",'IWP25'!J$374)</f>
        <v>G.</v>
      </c>
      <c r="H7024" s="211">
        <f>'IWP25'!K$374</f>
        <v>0</v>
      </c>
      <c r="I7024" s="211" t="str">
        <f>'IWP25'!L$374</f>
        <v>H.</v>
      </c>
      <c r="J7024" s="212" t="str">
        <f>'IWP25'!M$374</f>
        <v>I.</v>
      </c>
      <c r="K7024" s="106"/>
      <c r="L7024" s="106"/>
      <c r="M7024" s="129"/>
    </row>
    <row r="7025" spans="1:13" s="146" customFormat="1">
      <c r="A7025" s="193" t="s">
        <v>523</v>
      </c>
      <c r="B7025" s="210">
        <v>2</v>
      </c>
      <c r="C7025" s="191" t="str">
        <f>IF('IWP25'!E$375=0,"",'IWP25'!E$375)</f>
        <v xml:space="preserve">Items/Services Related to Billing Period </v>
      </c>
      <c r="D7025" s="211">
        <f>'IWP25'!G$375</f>
        <v>0</v>
      </c>
      <c r="E7025" s="211" t="str">
        <f>'IWP25'!H$375</f>
        <v xml:space="preserve">Item/
Service Verified Amounts
</v>
      </c>
      <c r="F7025" s="211" t="str">
        <f>'IWP25'!I$375</f>
        <v>Amount Due to DADS (E. - D.)</v>
      </c>
      <c r="G7025" s="191" t="str">
        <f>IF('IWP25'!J$375=0,"",'IWP25'!J$375)</f>
        <v>Amount Reimbursed to 
Employee(s)/Employer</v>
      </c>
      <c r="H7025" s="211">
        <f>'IWP25'!K$375</f>
        <v>0</v>
      </c>
      <c r="I7025" s="211" t="str">
        <f>'IWP25'!L$375</f>
        <v>Amount Due to Employee(s) (G. - E.)</v>
      </c>
      <c r="J7025" s="212" t="str">
        <f>'IWP25'!M$375</f>
        <v>Amount Due to Employer (G. - E.)</v>
      </c>
      <c r="K7025" s="106"/>
      <c r="L7025" s="106"/>
      <c r="M7025" s="129"/>
    </row>
    <row r="7026" spans="1:13" s="146" customFormat="1">
      <c r="A7026" s="193" t="s">
        <v>523</v>
      </c>
      <c r="B7026" s="210">
        <v>2</v>
      </c>
      <c r="C7026" s="191" t="str">
        <f>IF('IWP25'!E$376=0,"",'IWP25'!E$376)</f>
        <v>Item/Service</v>
      </c>
      <c r="D7026" s="211" t="str">
        <f>'IWP25'!G$376</f>
        <v>Itemized Amount Paid by DADS</v>
      </c>
      <c r="E7026" s="211">
        <f>'IWP25'!H$376</f>
        <v>0</v>
      </c>
      <c r="F7026" s="211">
        <f>'IWP25'!I$376</f>
        <v>0</v>
      </c>
      <c r="G7026" s="191" t="str">
        <f>IF('IWP25'!J$376=0,"",'IWP25'!J$376)</f>
        <v/>
      </c>
      <c r="H7026" s="211">
        <f>'IWP25'!K$376</f>
        <v>0</v>
      </c>
      <c r="I7026" s="211">
        <f>'IWP25'!L$376</f>
        <v>0</v>
      </c>
      <c r="J7026" s="212">
        <f>'IWP25'!M$376</f>
        <v>0</v>
      </c>
      <c r="K7026" s="106"/>
      <c r="L7026" s="106"/>
      <c r="M7026" s="129"/>
    </row>
    <row r="7027" spans="1:13" s="146" customFormat="1">
      <c r="A7027" s="193" t="s">
        <v>523</v>
      </c>
      <c r="B7027" s="210">
        <v>2</v>
      </c>
      <c r="C7027" s="191" t="str">
        <f>IF('IWP25'!E$377=0,"",'IWP25'!E$377)</f>
        <v/>
      </c>
      <c r="D7027" s="211">
        <f>'IWP25'!G$377</f>
        <v>0</v>
      </c>
      <c r="E7027" s="211">
        <f>'IWP25'!H$377</f>
        <v>0</v>
      </c>
      <c r="F7027" s="211">
        <f>'IWP25'!I$377</f>
        <v>0</v>
      </c>
      <c r="G7027" s="191" t="str">
        <f>IF('IWP25'!J$377=0,"",'IWP25'!J$377)</f>
        <v/>
      </c>
      <c r="H7027" s="211">
        <f>'IWP25'!K$377</f>
        <v>0</v>
      </c>
      <c r="I7027" s="211">
        <f>'IWP25'!L$377</f>
        <v>0</v>
      </c>
      <c r="J7027" s="212">
        <f>'IWP25'!M$377</f>
        <v>0</v>
      </c>
      <c r="K7027" s="106"/>
      <c r="L7027" s="106"/>
      <c r="M7027" s="129"/>
    </row>
    <row r="7028" spans="1:13" s="146" customFormat="1">
      <c r="A7028" s="193" t="s">
        <v>523</v>
      </c>
      <c r="B7028" s="210">
        <v>2</v>
      </c>
      <c r="C7028" s="191" t="str">
        <f>IF('IWP25'!E$378=0,"",'IWP25'!E$378)</f>
        <v/>
      </c>
      <c r="D7028" s="211">
        <f>'IWP25'!G$378</f>
        <v>0</v>
      </c>
      <c r="E7028" s="211">
        <f>'IWP25'!H$378</f>
        <v>0</v>
      </c>
      <c r="F7028" s="211">
        <f>'IWP25'!I$378</f>
        <v>0</v>
      </c>
      <c r="G7028" s="191" t="str">
        <f>IF('IWP25'!J$378=0,"",'IWP25'!J$378)</f>
        <v/>
      </c>
      <c r="H7028" s="211">
        <f>'IWP25'!K$378</f>
        <v>0</v>
      </c>
      <c r="I7028" s="211">
        <f>'IWP25'!L$378</f>
        <v>0</v>
      </c>
      <c r="J7028" s="212">
        <f>'IWP25'!M$378</f>
        <v>0</v>
      </c>
      <c r="K7028" s="106"/>
      <c r="L7028" s="106"/>
      <c r="M7028" s="129"/>
    </row>
    <row r="7029" spans="1:13" s="146" customFormat="1">
      <c r="A7029" s="193" t="s">
        <v>523</v>
      </c>
      <c r="B7029" s="210">
        <v>2</v>
      </c>
      <c r="C7029" s="191" t="str">
        <f>IF('IWP25'!E$379=0,"",'IWP25'!E$379)</f>
        <v/>
      </c>
      <c r="D7029" s="211">
        <f>'IWP25'!G$379</f>
        <v>0</v>
      </c>
      <c r="E7029" s="211">
        <f>'IWP25'!H$379</f>
        <v>0</v>
      </c>
      <c r="F7029" s="211">
        <f>'IWP25'!I$379</f>
        <v>0</v>
      </c>
      <c r="G7029" s="191" t="str">
        <f>IF('IWP25'!J$379=0,"",'IWP25'!J$379)</f>
        <v/>
      </c>
      <c r="H7029" s="211">
        <f>'IWP25'!K$379</f>
        <v>0</v>
      </c>
      <c r="I7029" s="211">
        <f>'IWP25'!L$379</f>
        <v>0</v>
      </c>
      <c r="J7029" s="212">
        <f>'IWP25'!M$379</f>
        <v>0</v>
      </c>
      <c r="K7029" s="106"/>
      <c r="L7029" s="106"/>
      <c r="M7029" s="129"/>
    </row>
    <row r="7030" spans="1:13" s="146" customFormat="1">
      <c r="A7030" s="193" t="s">
        <v>523</v>
      </c>
      <c r="B7030" s="210">
        <v>2</v>
      </c>
      <c r="C7030" s="191" t="str">
        <f>IF('IWP25'!E$380=0,"",'IWP25'!E$380)</f>
        <v/>
      </c>
      <c r="D7030" s="211">
        <f>'IWP25'!G$380</f>
        <v>0</v>
      </c>
      <c r="E7030" s="211">
        <f>'IWP25'!H$380</f>
        <v>0</v>
      </c>
      <c r="F7030" s="211">
        <f>'IWP25'!I$380</f>
        <v>0</v>
      </c>
      <c r="G7030" s="191" t="str">
        <f>IF('IWP25'!J$380=0,"",'IWP25'!J$380)</f>
        <v/>
      </c>
      <c r="H7030" s="211">
        <f>'IWP25'!K$380</f>
        <v>0</v>
      </c>
      <c r="I7030" s="211">
        <f>'IWP25'!L$380</f>
        <v>0</v>
      </c>
      <c r="J7030" s="212">
        <f>'IWP25'!M$380</f>
        <v>0</v>
      </c>
      <c r="K7030" s="106"/>
      <c r="L7030" s="106"/>
      <c r="M7030" s="129"/>
    </row>
    <row r="7031" spans="1:13" s="146" customFormat="1">
      <c r="A7031" s="193" t="s">
        <v>523</v>
      </c>
      <c r="B7031" s="210">
        <v>3</v>
      </c>
      <c r="C7031" s="191" t="str">
        <f>IF('IWP25'!E$387=0,"",'IWP25'!E$387)</f>
        <v>Subtotal column D.</v>
      </c>
      <c r="D7031" s="211">
        <f>'IWP25'!G$387</f>
        <v>0</v>
      </c>
      <c r="E7031" s="211">
        <f>'IWP25'!H$387</f>
        <v>0</v>
      </c>
      <c r="F7031" s="211">
        <f>'IWP25'!I$387</f>
        <v>0</v>
      </c>
      <c r="G7031" s="191" t="str">
        <f>IF('IWP25'!J$387=0,"",'IWP25'!J$387)</f>
        <v/>
      </c>
      <c r="H7031" s="211">
        <f>'IWP25'!K$387</f>
        <v>0</v>
      </c>
      <c r="I7031" s="211">
        <f>'IWP25'!L$387</f>
        <v>0</v>
      </c>
      <c r="J7031" s="212">
        <f>'IWP25'!M$387</f>
        <v>0</v>
      </c>
      <c r="K7031" s="106"/>
      <c r="L7031" s="106"/>
      <c r="M7031" s="129"/>
    </row>
    <row r="7032" spans="1:13" s="146" customFormat="1">
      <c r="A7032" s="193" t="s">
        <v>523</v>
      </c>
      <c r="B7032" s="210">
        <v>3</v>
      </c>
      <c r="C7032" s="191" t="str">
        <f>IF('IWP25'!E$388=0,"",'IWP25'!E$388)</f>
        <v>Unverified/Undocumented (Subtotal D - C)</v>
      </c>
      <c r="D7032" s="211">
        <f>'IWP25'!G$388</f>
        <v>0</v>
      </c>
      <c r="E7032" s="211">
        <f>'IWP25'!H$388</f>
        <v>0</v>
      </c>
      <c r="F7032" s="211">
        <f>'IWP25'!I$388</f>
        <v>0</v>
      </c>
      <c r="G7032" s="191" t="str">
        <f>IF('IWP25'!J$388=0,"",'IWP25'!J$388)</f>
        <v/>
      </c>
      <c r="H7032" s="211">
        <f>'IWP25'!K$388</f>
        <v>0</v>
      </c>
      <c r="I7032" s="211">
        <f>'IWP25'!L$388</f>
        <v>0</v>
      </c>
      <c r="J7032" s="212">
        <f>'IWP25'!M$388</f>
        <v>0</v>
      </c>
      <c r="K7032" s="106"/>
      <c r="L7032" s="106"/>
      <c r="M7032" s="129"/>
    </row>
    <row r="7033" spans="1:13" s="146" customFormat="1">
      <c r="A7033" s="193" t="s">
        <v>523</v>
      </c>
      <c r="B7033" s="210">
        <v>3</v>
      </c>
      <c r="C7033" s="191" t="str">
        <f>IF('IWP25'!E$389=0,"",'IWP25'!E$389)</f>
        <v>J. Billing Period Total</v>
      </c>
      <c r="D7033" s="211">
        <f>'IWP25'!G$389</f>
        <v>0</v>
      </c>
      <c r="E7033" s="211">
        <f>'IWP25'!H$389</f>
        <v>0</v>
      </c>
      <c r="F7033" s="211">
        <f>'IWP25'!I$389</f>
        <v>0</v>
      </c>
      <c r="G7033" s="191" t="str">
        <f>IF('IWP25'!J$389=0,"",'IWP25'!J$389)</f>
        <v/>
      </c>
      <c r="H7033" s="211">
        <f>'IWP25'!K$389</f>
        <v>0</v>
      </c>
      <c r="I7033" s="211">
        <f>'IWP25'!L$389</f>
        <v>0</v>
      </c>
      <c r="J7033" s="212">
        <f>'IWP25'!M$389</f>
        <v>0</v>
      </c>
      <c r="K7033" s="106"/>
      <c r="L7033" s="106"/>
      <c r="M7033" s="129"/>
    </row>
    <row r="7034" spans="1:13" s="146" customFormat="1">
      <c r="A7034" s="193" t="s">
        <v>523</v>
      </c>
      <c r="B7034" s="210">
        <v>3</v>
      </c>
      <c r="C7034" s="191" t="str">
        <f>IF('IWP25'!E$390=0,"",'IWP25'!E$390)</f>
        <v>D.</v>
      </c>
      <c r="D7034" s="211">
        <f>'IWP25'!G$390</f>
        <v>0</v>
      </c>
      <c r="E7034" s="211" t="str">
        <f>'IWP25'!H$390</f>
        <v>E.</v>
      </c>
      <c r="F7034" s="211" t="str">
        <f>'IWP25'!I$390</f>
        <v>F.</v>
      </c>
      <c r="G7034" s="191" t="str">
        <f>IF('IWP25'!J$390=0,"",'IWP25'!J$390)</f>
        <v>G.</v>
      </c>
      <c r="H7034" s="211">
        <f>'IWP25'!K$390</f>
        <v>0</v>
      </c>
      <c r="I7034" s="211" t="str">
        <f>'IWP25'!L$390</f>
        <v>H.</v>
      </c>
      <c r="J7034" s="212" t="str">
        <f>'IWP25'!M$390</f>
        <v>I.</v>
      </c>
      <c r="K7034" s="106"/>
      <c r="L7034" s="106"/>
      <c r="M7034" s="129"/>
    </row>
    <row r="7035" spans="1:13" s="146" customFormat="1">
      <c r="A7035" s="193" t="s">
        <v>523</v>
      </c>
      <c r="B7035" s="210">
        <v>3</v>
      </c>
      <c r="C7035" s="191" t="str">
        <f>IF('IWP25'!E$391=0,"",'IWP25'!E$391)</f>
        <v xml:space="preserve">Items/Services Related to Billing Period </v>
      </c>
      <c r="D7035" s="211">
        <f>'IWP25'!G$391</f>
        <v>0</v>
      </c>
      <c r="E7035" s="211" t="str">
        <f>'IWP25'!H$391</f>
        <v xml:space="preserve">Item/
Service Verified Amounts
</v>
      </c>
      <c r="F7035" s="211" t="str">
        <f>'IWP25'!I$391</f>
        <v>Amount Due to DADS (E. - D.)</v>
      </c>
      <c r="G7035" s="191" t="str">
        <f>IF('IWP25'!J$391=0,"",'IWP25'!J$391)</f>
        <v>Amount Reimbursed to 
Employee(s)/Employer</v>
      </c>
      <c r="H7035" s="211">
        <f>'IWP25'!K$391</f>
        <v>0</v>
      </c>
      <c r="I7035" s="211" t="str">
        <f>'IWP25'!L$391</f>
        <v>Amount Due to Employee(s) (G. - E.)</v>
      </c>
      <c r="J7035" s="212" t="str">
        <f>'IWP25'!M$391</f>
        <v>Amount Due to Employer (G. - E.)</v>
      </c>
      <c r="K7035" s="106"/>
      <c r="L7035" s="106"/>
      <c r="M7035" s="129"/>
    </row>
    <row r="7036" spans="1:13" s="146" customFormat="1">
      <c r="A7036" s="193" t="s">
        <v>523</v>
      </c>
      <c r="B7036" s="210">
        <v>3</v>
      </c>
      <c r="C7036" s="191" t="str">
        <f>IF('IWP25'!E$392=0,"",'IWP25'!E$392)</f>
        <v>Item/Service</v>
      </c>
      <c r="D7036" s="211" t="str">
        <f>'IWP25'!G$392</f>
        <v>Itemized Amount Paid by DADS</v>
      </c>
      <c r="E7036" s="211">
        <f>'IWP25'!H$392</f>
        <v>0</v>
      </c>
      <c r="F7036" s="211">
        <f>'IWP25'!I$392</f>
        <v>0</v>
      </c>
      <c r="G7036" s="191" t="str">
        <f>IF('IWP25'!J$392=0,"",'IWP25'!J$392)</f>
        <v/>
      </c>
      <c r="H7036" s="211">
        <f>'IWP25'!K$392</f>
        <v>0</v>
      </c>
      <c r="I7036" s="211">
        <f>'IWP25'!L$392</f>
        <v>0</v>
      </c>
      <c r="J7036" s="212">
        <f>'IWP25'!M$392</f>
        <v>0</v>
      </c>
      <c r="K7036" s="106"/>
      <c r="L7036" s="106"/>
      <c r="M7036" s="129"/>
    </row>
    <row r="7037" spans="1:13" s="146" customFormat="1">
      <c r="A7037" s="193" t="s">
        <v>523</v>
      </c>
      <c r="B7037" s="210">
        <v>3</v>
      </c>
      <c r="C7037" s="191" t="str">
        <f>IF('IWP25'!E$393=0,"",'IWP25'!E$393)</f>
        <v/>
      </c>
      <c r="D7037" s="211">
        <f>'IWP25'!G$393</f>
        <v>0</v>
      </c>
      <c r="E7037" s="211">
        <f>'IWP25'!H$393</f>
        <v>0</v>
      </c>
      <c r="F7037" s="211">
        <f>'IWP25'!I$393</f>
        <v>0</v>
      </c>
      <c r="G7037" s="191" t="str">
        <f>IF('IWP25'!J$393=0,"",'IWP25'!J$393)</f>
        <v/>
      </c>
      <c r="H7037" s="211">
        <f>'IWP25'!K$393</f>
        <v>0</v>
      </c>
      <c r="I7037" s="211">
        <f>'IWP25'!L$393</f>
        <v>0</v>
      </c>
      <c r="J7037" s="212">
        <f>'IWP25'!M$393</f>
        <v>0</v>
      </c>
      <c r="K7037" s="106"/>
      <c r="L7037" s="106"/>
      <c r="M7037" s="129"/>
    </row>
    <row r="7038" spans="1:13" s="146" customFormat="1">
      <c r="A7038" s="193" t="s">
        <v>523</v>
      </c>
      <c r="B7038" s="210">
        <v>3</v>
      </c>
      <c r="C7038" s="191" t="str">
        <f>IF('IWP25'!E$394=0,"",'IWP25'!E$394)</f>
        <v/>
      </c>
      <c r="D7038" s="211">
        <f>'IWP25'!G$394</f>
        <v>0</v>
      </c>
      <c r="E7038" s="211">
        <f>'IWP25'!H$394</f>
        <v>0</v>
      </c>
      <c r="F7038" s="211">
        <f>'IWP25'!I$394</f>
        <v>0</v>
      </c>
      <c r="G7038" s="191" t="str">
        <f>IF('IWP25'!J$394=0,"",'IWP25'!J$394)</f>
        <v/>
      </c>
      <c r="H7038" s="211">
        <f>'IWP25'!K$394</f>
        <v>0</v>
      </c>
      <c r="I7038" s="211">
        <f>'IWP25'!L$394</f>
        <v>0</v>
      </c>
      <c r="J7038" s="212">
        <f>'IWP25'!M$394</f>
        <v>0</v>
      </c>
      <c r="K7038" s="106"/>
      <c r="L7038" s="106"/>
      <c r="M7038" s="129"/>
    </row>
    <row r="7039" spans="1:13" s="146" customFormat="1">
      <c r="A7039" s="193" t="s">
        <v>523</v>
      </c>
      <c r="B7039" s="210">
        <v>3</v>
      </c>
      <c r="C7039" s="191" t="str">
        <f>IF('IWP25'!E$395=0,"",'IWP25'!E$395)</f>
        <v/>
      </c>
      <c r="D7039" s="211">
        <f>'IWP25'!G$395</f>
        <v>0</v>
      </c>
      <c r="E7039" s="211">
        <f>'IWP25'!H$395</f>
        <v>0</v>
      </c>
      <c r="F7039" s="211">
        <f>'IWP25'!I$395</f>
        <v>0</v>
      </c>
      <c r="G7039" s="191" t="str">
        <f>IF('IWP25'!J$395=0,"",'IWP25'!J$395)</f>
        <v/>
      </c>
      <c r="H7039" s="211">
        <f>'IWP25'!K$395</f>
        <v>0</v>
      </c>
      <c r="I7039" s="211">
        <f>'IWP25'!L$395</f>
        <v>0</v>
      </c>
      <c r="J7039" s="212">
        <f>'IWP25'!M$395</f>
        <v>0</v>
      </c>
      <c r="K7039" s="106"/>
      <c r="L7039" s="106"/>
      <c r="M7039" s="129"/>
    </row>
    <row r="7040" spans="1:13" s="146" customFormat="1">
      <c r="A7040" s="193" t="s">
        <v>523</v>
      </c>
      <c r="B7040" s="210">
        <v>3</v>
      </c>
      <c r="C7040" s="191" t="str">
        <f>IF('IWP25'!E$396=0,"",'IWP25'!E$396)</f>
        <v/>
      </c>
      <c r="D7040" s="211">
        <f>'IWP25'!G$396</f>
        <v>0</v>
      </c>
      <c r="E7040" s="211">
        <f>'IWP25'!H$396</f>
        <v>0</v>
      </c>
      <c r="F7040" s="211">
        <f>'IWP25'!I$396</f>
        <v>0</v>
      </c>
      <c r="G7040" s="191" t="str">
        <f>IF('IWP25'!J$396=0,"",'IWP25'!J$396)</f>
        <v/>
      </c>
      <c r="H7040" s="211">
        <f>'IWP25'!K$396</f>
        <v>0</v>
      </c>
      <c r="I7040" s="211">
        <f>'IWP25'!L$396</f>
        <v>0</v>
      </c>
      <c r="J7040" s="212">
        <f>'IWP25'!M$396</f>
        <v>0</v>
      </c>
      <c r="K7040" s="106"/>
      <c r="L7040" s="106"/>
      <c r="M7040" s="129"/>
    </row>
    <row r="7041" spans="1:13" s="146" customFormat="1">
      <c r="A7041" s="193" t="s">
        <v>523</v>
      </c>
      <c r="B7041" s="210">
        <v>4</v>
      </c>
      <c r="C7041" s="191" t="str">
        <f>IF('IWP25'!E$403=0,"",'IWP25'!E$403)</f>
        <v>Subtotal column D.</v>
      </c>
      <c r="D7041" s="211">
        <f>'IWP25'!G$403</f>
        <v>0</v>
      </c>
      <c r="E7041" s="211">
        <f>'IWP25'!H$403</f>
        <v>0</v>
      </c>
      <c r="F7041" s="211">
        <f>'IWP25'!I$403</f>
        <v>0</v>
      </c>
      <c r="G7041" s="191" t="str">
        <f>IF('IWP25'!J$403=0,"",'IWP25'!J$403)</f>
        <v/>
      </c>
      <c r="H7041" s="211">
        <f>'IWP25'!K$403</f>
        <v>0</v>
      </c>
      <c r="I7041" s="211">
        <f>'IWP25'!L$403</f>
        <v>0</v>
      </c>
      <c r="J7041" s="212">
        <f>'IWP25'!M$403</f>
        <v>0</v>
      </c>
      <c r="K7041" s="106"/>
      <c r="L7041" s="106"/>
      <c r="M7041" s="129"/>
    </row>
    <row r="7042" spans="1:13" s="146" customFormat="1">
      <c r="A7042" s="193" t="s">
        <v>523</v>
      </c>
      <c r="B7042" s="210">
        <v>4</v>
      </c>
      <c r="C7042" s="191" t="str">
        <f>IF('IWP25'!E$404=0,"",'IWP25'!E$404)</f>
        <v>Unverified/Undocumented (Subtotal D - C)</v>
      </c>
      <c r="D7042" s="211">
        <f>'IWP25'!G$404</f>
        <v>0</v>
      </c>
      <c r="E7042" s="211">
        <f>'IWP25'!H$404</f>
        <v>0</v>
      </c>
      <c r="F7042" s="211">
        <f>'IWP25'!I$404</f>
        <v>0</v>
      </c>
      <c r="G7042" s="191" t="str">
        <f>IF('IWP25'!J$404=0,"",'IWP25'!J$404)</f>
        <v/>
      </c>
      <c r="H7042" s="211">
        <f>'IWP25'!K$404</f>
        <v>0</v>
      </c>
      <c r="I7042" s="211">
        <f>'IWP25'!L$404</f>
        <v>0</v>
      </c>
      <c r="J7042" s="212">
        <f>'IWP25'!M$404</f>
        <v>0</v>
      </c>
      <c r="K7042" s="106"/>
      <c r="L7042" s="106"/>
      <c r="M7042" s="129"/>
    </row>
    <row r="7043" spans="1:13" s="146" customFormat="1">
      <c r="A7043" s="193" t="s">
        <v>523</v>
      </c>
      <c r="B7043" s="210">
        <v>4</v>
      </c>
      <c r="C7043" s="191" t="str">
        <f>IF('IWP25'!E$405=0,"",'IWP25'!E$405)</f>
        <v>J. Billing Period Total</v>
      </c>
      <c r="D7043" s="211">
        <f>'IWP25'!G$405</f>
        <v>0</v>
      </c>
      <c r="E7043" s="211">
        <f>'IWP25'!H$405</f>
        <v>0</v>
      </c>
      <c r="F7043" s="211">
        <f>'IWP25'!I$405</f>
        <v>0</v>
      </c>
      <c r="G7043" s="191" t="str">
        <f>IF('IWP25'!J$405=0,"",'IWP25'!J$405)</f>
        <v/>
      </c>
      <c r="H7043" s="211">
        <f>'IWP25'!K$405</f>
        <v>0</v>
      </c>
      <c r="I7043" s="211">
        <f>'IWP25'!L$405</f>
        <v>0</v>
      </c>
      <c r="J7043" s="212">
        <f>'IWP25'!M$405</f>
        <v>0</v>
      </c>
      <c r="K7043" s="106"/>
      <c r="L7043" s="106"/>
      <c r="M7043" s="129"/>
    </row>
    <row r="7044" spans="1:13" s="146" customFormat="1">
      <c r="A7044" s="193" t="s">
        <v>523</v>
      </c>
      <c r="B7044" s="210">
        <v>4</v>
      </c>
      <c r="C7044" s="191" t="str">
        <f>IF('IWP25'!E$406=0,"",'IWP25'!E$406)</f>
        <v>D.</v>
      </c>
      <c r="D7044" s="211">
        <f>'IWP25'!G$406</f>
        <v>0</v>
      </c>
      <c r="E7044" s="211" t="str">
        <f>'IWP25'!H$406</f>
        <v>E.</v>
      </c>
      <c r="F7044" s="211" t="str">
        <f>'IWP25'!I$406</f>
        <v>F.</v>
      </c>
      <c r="G7044" s="191" t="str">
        <f>IF('IWP25'!J$406=0,"",'IWP25'!J$406)</f>
        <v>G.</v>
      </c>
      <c r="H7044" s="211">
        <f>'IWP25'!K$406</f>
        <v>0</v>
      </c>
      <c r="I7044" s="211" t="str">
        <f>'IWP25'!L$406</f>
        <v>H.</v>
      </c>
      <c r="J7044" s="212" t="str">
        <f>'IWP25'!M$406</f>
        <v>I.</v>
      </c>
      <c r="K7044" s="106"/>
      <c r="L7044" s="106"/>
      <c r="M7044" s="129"/>
    </row>
    <row r="7045" spans="1:13" s="146" customFormat="1">
      <c r="A7045" s="193" t="s">
        <v>523</v>
      </c>
      <c r="B7045" s="210">
        <v>4</v>
      </c>
      <c r="C7045" s="191" t="str">
        <f>IF('IWP25'!E$407=0,"",'IWP25'!E$407)</f>
        <v xml:space="preserve">Items/Services Related to Billing Period </v>
      </c>
      <c r="D7045" s="211">
        <f>'IWP25'!G$407</f>
        <v>0</v>
      </c>
      <c r="E7045" s="211" t="str">
        <f>'IWP25'!H$407</f>
        <v xml:space="preserve">Item/
Service Verified Amounts
</v>
      </c>
      <c r="F7045" s="211" t="str">
        <f>'IWP25'!I$407</f>
        <v>Amount Due to DADS (E. - D.)</v>
      </c>
      <c r="G7045" s="191" t="str">
        <f>IF('IWP25'!J$407=0,"",'IWP25'!J$407)</f>
        <v>Amount Reimbursed to 
Employee(s)/Employer</v>
      </c>
      <c r="H7045" s="211">
        <f>'IWP25'!K$407</f>
        <v>0</v>
      </c>
      <c r="I7045" s="211" t="str">
        <f>'IWP25'!L$407</f>
        <v>Amount Due to Employee(s) (G. - E.)</v>
      </c>
      <c r="J7045" s="212" t="str">
        <f>'IWP25'!M$407</f>
        <v>Amount Due to Employer (G. - E.)</v>
      </c>
      <c r="K7045" s="106"/>
      <c r="L7045" s="106"/>
      <c r="M7045" s="129"/>
    </row>
    <row r="7046" spans="1:13" s="146" customFormat="1">
      <c r="A7046" s="193" t="s">
        <v>523</v>
      </c>
      <c r="B7046" s="210">
        <v>4</v>
      </c>
      <c r="C7046" s="191" t="str">
        <f>IF('IWP25'!E$408=0,"",'IWP25'!E$408)</f>
        <v>Item/Service</v>
      </c>
      <c r="D7046" s="211" t="str">
        <f>'IWP25'!G$408</f>
        <v>Itemized Amount Paid by DADS</v>
      </c>
      <c r="E7046" s="211">
        <f>'IWP25'!H$408</f>
        <v>0</v>
      </c>
      <c r="F7046" s="211">
        <f>'IWP25'!I$408</f>
        <v>0</v>
      </c>
      <c r="G7046" s="191" t="str">
        <f>IF('IWP25'!J$408=0,"",'IWP25'!J$408)</f>
        <v/>
      </c>
      <c r="H7046" s="211">
        <f>'IWP25'!K$408</f>
        <v>0</v>
      </c>
      <c r="I7046" s="211">
        <f>'IWP25'!L$408</f>
        <v>0</v>
      </c>
      <c r="J7046" s="212">
        <f>'IWP25'!M$408</f>
        <v>0</v>
      </c>
      <c r="K7046" s="106"/>
      <c r="L7046" s="106"/>
      <c r="M7046" s="129"/>
    </row>
    <row r="7047" spans="1:13" s="146" customFormat="1">
      <c r="A7047" s="193" t="s">
        <v>523</v>
      </c>
      <c r="B7047" s="210">
        <v>4</v>
      </c>
      <c r="C7047" s="191" t="str">
        <f>IF('IWP25'!E$409=0,"",'IWP25'!E$409)</f>
        <v/>
      </c>
      <c r="D7047" s="211">
        <f>'IWP25'!G$409</f>
        <v>0</v>
      </c>
      <c r="E7047" s="211">
        <f>'IWP25'!H$409</f>
        <v>0</v>
      </c>
      <c r="F7047" s="211">
        <f>'IWP25'!I$409</f>
        <v>0</v>
      </c>
      <c r="G7047" s="191" t="str">
        <f>IF('IWP25'!J$409=0,"",'IWP25'!J$409)</f>
        <v/>
      </c>
      <c r="H7047" s="211">
        <f>'IWP25'!K$409</f>
        <v>0</v>
      </c>
      <c r="I7047" s="211">
        <f>'IWP25'!L$409</f>
        <v>0</v>
      </c>
      <c r="J7047" s="212">
        <f>'IWP25'!M$409</f>
        <v>0</v>
      </c>
      <c r="K7047" s="106"/>
      <c r="L7047" s="106"/>
      <c r="M7047" s="129"/>
    </row>
    <row r="7048" spans="1:13" s="146" customFormat="1">
      <c r="A7048" s="193" t="s">
        <v>523</v>
      </c>
      <c r="B7048" s="210">
        <v>4</v>
      </c>
      <c r="C7048" s="191" t="str">
        <f>IF('IWP25'!E$410=0,"",'IWP25'!E$410)</f>
        <v/>
      </c>
      <c r="D7048" s="211">
        <f>'IWP25'!G$410</f>
        <v>0</v>
      </c>
      <c r="E7048" s="211">
        <f>'IWP25'!H$410</f>
        <v>0</v>
      </c>
      <c r="F7048" s="211">
        <f>'IWP25'!I$410</f>
        <v>0</v>
      </c>
      <c r="G7048" s="191" t="str">
        <f>IF('IWP25'!J$410=0,"",'IWP25'!J$410)</f>
        <v/>
      </c>
      <c r="H7048" s="211">
        <f>'IWP25'!K$410</f>
        <v>0</v>
      </c>
      <c r="I7048" s="211">
        <f>'IWP25'!L$410</f>
        <v>0</v>
      </c>
      <c r="J7048" s="212">
        <f>'IWP25'!M$410</f>
        <v>0</v>
      </c>
      <c r="K7048" s="106"/>
      <c r="L7048" s="106"/>
      <c r="M7048" s="129"/>
    </row>
    <row r="7049" spans="1:13" s="146" customFormat="1">
      <c r="A7049" s="193" t="s">
        <v>523</v>
      </c>
      <c r="B7049" s="210">
        <v>4</v>
      </c>
      <c r="C7049" s="191" t="str">
        <f>IF('IWP25'!E$411=0,"",'IWP25'!E$411)</f>
        <v/>
      </c>
      <c r="D7049" s="211">
        <f>'IWP25'!G$411</f>
        <v>0</v>
      </c>
      <c r="E7049" s="211">
        <f>'IWP25'!H$411</f>
        <v>0</v>
      </c>
      <c r="F7049" s="211">
        <f>'IWP25'!I$411</f>
        <v>0</v>
      </c>
      <c r="G7049" s="191" t="str">
        <f>IF('IWP25'!J$411=0,"",'IWP25'!J$411)</f>
        <v/>
      </c>
      <c r="H7049" s="211">
        <f>'IWP25'!K$411</f>
        <v>0</v>
      </c>
      <c r="I7049" s="211">
        <f>'IWP25'!L$411</f>
        <v>0</v>
      </c>
      <c r="J7049" s="212">
        <f>'IWP25'!M$411</f>
        <v>0</v>
      </c>
      <c r="K7049" s="106"/>
      <c r="L7049" s="106"/>
      <c r="M7049" s="129"/>
    </row>
    <row r="7050" spans="1:13" s="146" customFormat="1">
      <c r="A7050" s="193" t="s">
        <v>523</v>
      </c>
      <c r="B7050" s="210">
        <v>4</v>
      </c>
      <c r="C7050" s="191" t="str">
        <f>IF('IWP25'!E$412=0,"",'IWP25'!E$412)</f>
        <v/>
      </c>
      <c r="D7050" s="211">
        <f>'IWP25'!G$412</f>
        <v>0</v>
      </c>
      <c r="E7050" s="211">
        <f>'IWP25'!H$412</f>
        <v>0</v>
      </c>
      <c r="F7050" s="211">
        <f>'IWP25'!I$412</f>
        <v>0</v>
      </c>
      <c r="G7050" s="191" t="str">
        <f>IF('IWP25'!J$412=0,"",'IWP25'!J$412)</f>
        <v/>
      </c>
      <c r="H7050" s="211">
        <f>'IWP25'!K$412</f>
        <v>0</v>
      </c>
      <c r="I7050" s="211">
        <f>'IWP25'!L$412</f>
        <v>0</v>
      </c>
      <c r="J7050" s="212">
        <f>'IWP25'!M$412</f>
        <v>0</v>
      </c>
      <c r="K7050" s="106"/>
      <c r="L7050" s="106"/>
      <c r="M7050" s="129"/>
    </row>
    <row r="7051" spans="1:13" s="146" customFormat="1">
      <c r="A7051" s="193" t="s">
        <v>523</v>
      </c>
      <c r="B7051" s="210">
        <v>5</v>
      </c>
      <c r="C7051" s="191" t="str">
        <f>IF('IWP25'!E$419=0,"",'IWP25'!E$419)</f>
        <v>Subtotal column D.</v>
      </c>
      <c r="D7051" s="211">
        <f>'IWP25'!G$419</f>
        <v>0</v>
      </c>
      <c r="E7051" s="211">
        <f>'IWP25'!H$419</f>
        <v>0</v>
      </c>
      <c r="F7051" s="211">
        <f>'IWP25'!I$419</f>
        <v>0</v>
      </c>
      <c r="G7051" s="191" t="str">
        <f>IF('IWP25'!J$419=0,"",'IWP25'!J$419)</f>
        <v/>
      </c>
      <c r="H7051" s="211">
        <f>'IWP25'!K$419</f>
        <v>0</v>
      </c>
      <c r="I7051" s="211">
        <f>'IWP25'!L$419</f>
        <v>0</v>
      </c>
      <c r="J7051" s="212">
        <f>'IWP25'!M$419</f>
        <v>0</v>
      </c>
      <c r="K7051" s="106"/>
      <c r="L7051" s="106"/>
      <c r="M7051" s="129"/>
    </row>
    <row r="7052" spans="1:13" s="146" customFormat="1">
      <c r="A7052" s="193" t="s">
        <v>523</v>
      </c>
      <c r="B7052" s="210">
        <v>5</v>
      </c>
      <c r="C7052" s="191" t="str">
        <f>IF('IWP25'!E$420=0,"",'IWP25'!E$420)</f>
        <v>Unverified/Undocumented (Subtotal D - C)</v>
      </c>
      <c r="D7052" s="211">
        <f>'IWP25'!G$420</f>
        <v>0</v>
      </c>
      <c r="E7052" s="211">
        <f>'IWP25'!H$420</f>
        <v>0</v>
      </c>
      <c r="F7052" s="211">
        <f>'IWP25'!I$420</f>
        <v>0</v>
      </c>
      <c r="G7052" s="191" t="str">
        <f>IF('IWP25'!J$420=0,"",'IWP25'!J$420)</f>
        <v/>
      </c>
      <c r="H7052" s="211">
        <f>'IWP25'!K$420</f>
        <v>0</v>
      </c>
      <c r="I7052" s="211">
        <f>'IWP25'!L$420</f>
        <v>0</v>
      </c>
      <c r="J7052" s="212">
        <f>'IWP25'!M$420</f>
        <v>0</v>
      </c>
      <c r="K7052" s="106"/>
      <c r="L7052" s="106"/>
      <c r="M7052" s="129"/>
    </row>
    <row r="7053" spans="1:13" s="146" customFormat="1">
      <c r="A7053" s="193" t="s">
        <v>523</v>
      </c>
      <c r="B7053" s="210">
        <v>5</v>
      </c>
      <c r="C7053" s="191" t="str">
        <f>IF('IWP25'!E$421=0,"",'IWP25'!E$421)</f>
        <v>J. Billing Period Total</v>
      </c>
      <c r="D7053" s="211">
        <f>'IWP25'!G$421</f>
        <v>0</v>
      </c>
      <c r="E7053" s="211">
        <f>'IWP25'!H$421</f>
        <v>0</v>
      </c>
      <c r="F7053" s="211">
        <f>'IWP25'!I$421</f>
        <v>0</v>
      </c>
      <c r="G7053" s="191" t="str">
        <f>IF('IWP25'!J$421=0,"",'IWP25'!J$421)</f>
        <v/>
      </c>
      <c r="H7053" s="211">
        <f>'IWP25'!K$421</f>
        <v>0</v>
      </c>
      <c r="I7053" s="211">
        <f>'IWP25'!L$421</f>
        <v>0</v>
      </c>
      <c r="J7053" s="212">
        <f>'IWP25'!M$421</f>
        <v>0</v>
      </c>
      <c r="K7053" s="106"/>
      <c r="L7053" s="106"/>
      <c r="M7053" s="129"/>
    </row>
    <row r="7054" spans="1:13" s="146" customFormat="1">
      <c r="A7054" s="193" t="s">
        <v>523</v>
      </c>
      <c r="B7054" s="210">
        <v>5</v>
      </c>
      <c r="C7054" s="191" t="str">
        <f>IF('IWP25'!E$422=0,"",'IWP25'!E$422)</f>
        <v>D.</v>
      </c>
      <c r="D7054" s="211">
        <f>'IWP25'!G$422</f>
        <v>0</v>
      </c>
      <c r="E7054" s="211" t="str">
        <f>'IWP25'!H$422</f>
        <v>E.</v>
      </c>
      <c r="F7054" s="211" t="str">
        <f>'IWP25'!I$422</f>
        <v>F.</v>
      </c>
      <c r="G7054" s="191" t="str">
        <f>IF('IWP25'!J$422=0,"",'IWP25'!J$422)</f>
        <v>G.</v>
      </c>
      <c r="H7054" s="211">
        <f>'IWP25'!K$422</f>
        <v>0</v>
      </c>
      <c r="I7054" s="211" t="str">
        <f>'IWP25'!L$422</f>
        <v>H.</v>
      </c>
      <c r="J7054" s="212" t="str">
        <f>'IWP25'!M$422</f>
        <v>I.</v>
      </c>
      <c r="K7054" s="106"/>
      <c r="L7054" s="106"/>
      <c r="M7054" s="129"/>
    </row>
    <row r="7055" spans="1:13" s="146" customFormat="1">
      <c r="A7055" s="193" t="s">
        <v>523</v>
      </c>
      <c r="B7055" s="210">
        <v>5</v>
      </c>
      <c r="C7055" s="191" t="str">
        <f>IF('IWP25'!E$423=0,"",'IWP25'!E$423)</f>
        <v xml:space="preserve">Items/Services Related to Billing Period </v>
      </c>
      <c r="D7055" s="211">
        <f>'IWP25'!G$423</f>
        <v>0</v>
      </c>
      <c r="E7055" s="211" t="str">
        <f>'IWP25'!H$423</f>
        <v xml:space="preserve">Item/
Service Verified Amounts
</v>
      </c>
      <c r="F7055" s="211" t="str">
        <f>'IWP25'!I$423</f>
        <v>Amount Due to DADS (E. - D.)</v>
      </c>
      <c r="G7055" s="191" t="str">
        <f>IF('IWP25'!J$423=0,"",'IWP25'!J$423)</f>
        <v>Amount Reimbursed to 
Employee(s)/Employer</v>
      </c>
      <c r="H7055" s="211">
        <f>'IWP25'!K$423</f>
        <v>0</v>
      </c>
      <c r="I7055" s="211" t="str">
        <f>'IWP25'!L$423</f>
        <v>Amount Due to Employee(s) (G. - E.)</v>
      </c>
      <c r="J7055" s="212" t="str">
        <f>'IWP25'!M$423</f>
        <v>Amount Due to Employer (G. - E.)</v>
      </c>
      <c r="K7055" s="106"/>
      <c r="L7055" s="106"/>
      <c r="M7055" s="129"/>
    </row>
    <row r="7056" spans="1:13" s="146" customFormat="1">
      <c r="A7056" s="193" t="s">
        <v>523</v>
      </c>
      <c r="B7056" s="210">
        <v>5</v>
      </c>
      <c r="C7056" s="191" t="str">
        <f>IF('IWP25'!E$424=0,"",'IWP25'!E$424)</f>
        <v>Item/Service</v>
      </c>
      <c r="D7056" s="211" t="str">
        <f>'IWP25'!G$424</f>
        <v>Itemized Amount Paid by DADS</v>
      </c>
      <c r="E7056" s="211">
        <f>'IWP25'!H$424</f>
        <v>0</v>
      </c>
      <c r="F7056" s="211">
        <f>'IWP25'!I$424</f>
        <v>0</v>
      </c>
      <c r="G7056" s="191" t="str">
        <f>IF('IWP25'!J$424=0,"",'IWP25'!J$424)</f>
        <v/>
      </c>
      <c r="H7056" s="211">
        <f>'IWP25'!K$424</f>
        <v>0</v>
      </c>
      <c r="I7056" s="211">
        <f>'IWP25'!L$424</f>
        <v>0</v>
      </c>
      <c r="J7056" s="212">
        <f>'IWP25'!M$424</f>
        <v>0</v>
      </c>
      <c r="K7056" s="106"/>
      <c r="L7056" s="106"/>
      <c r="M7056" s="129"/>
    </row>
    <row r="7057" spans="1:13" s="146" customFormat="1">
      <c r="A7057" s="193" t="s">
        <v>523</v>
      </c>
      <c r="B7057" s="210">
        <v>5</v>
      </c>
      <c r="C7057" s="191" t="str">
        <f>IF('IWP25'!E$425=0,"",'IWP25'!E$425)</f>
        <v/>
      </c>
      <c r="D7057" s="211">
        <f>'IWP25'!G$425</f>
        <v>0</v>
      </c>
      <c r="E7057" s="211">
        <f>'IWP25'!H$425</f>
        <v>0</v>
      </c>
      <c r="F7057" s="211">
        <f>'IWP25'!I$425</f>
        <v>0</v>
      </c>
      <c r="G7057" s="191" t="str">
        <f>IF('IWP25'!J$425=0,"",'IWP25'!J$425)</f>
        <v/>
      </c>
      <c r="H7057" s="211">
        <f>'IWP25'!K$425</f>
        <v>0</v>
      </c>
      <c r="I7057" s="211">
        <f>'IWP25'!L$425</f>
        <v>0</v>
      </c>
      <c r="J7057" s="212">
        <f>'IWP25'!M$425</f>
        <v>0</v>
      </c>
      <c r="K7057" s="106"/>
      <c r="L7057" s="106"/>
      <c r="M7057" s="129"/>
    </row>
    <row r="7058" spans="1:13" s="146" customFormat="1">
      <c r="A7058" s="193" t="s">
        <v>523</v>
      </c>
      <c r="B7058" s="210">
        <v>5</v>
      </c>
      <c r="C7058" s="191" t="str">
        <f>IF('IWP25'!E$426=0,"",'IWP25'!E$426)</f>
        <v/>
      </c>
      <c r="D7058" s="211">
        <f>'IWP25'!G$426</f>
        <v>0</v>
      </c>
      <c r="E7058" s="211">
        <f>'IWP25'!H$426</f>
        <v>0</v>
      </c>
      <c r="F7058" s="211">
        <f>'IWP25'!I$426</f>
        <v>0</v>
      </c>
      <c r="G7058" s="191" t="str">
        <f>IF('IWP25'!J$426=0,"",'IWP25'!J$426)</f>
        <v/>
      </c>
      <c r="H7058" s="211">
        <f>'IWP25'!K$426</f>
        <v>0</v>
      </c>
      <c r="I7058" s="211">
        <f>'IWP25'!L$426</f>
        <v>0</v>
      </c>
      <c r="J7058" s="212">
        <f>'IWP25'!M$426</f>
        <v>0</v>
      </c>
      <c r="K7058" s="106"/>
      <c r="L7058" s="106"/>
      <c r="M7058" s="129"/>
    </row>
    <row r="7059" spans="1:13" s="146" customFormat="1">
      <c r="A7059" s="193" t="s">
        <v>523</v>
      </c>
      <c r="B7059" s="210">
        <v>5</v>
      </c>
      <c r="C7059" s="191" t="str">
        <f>IF('IWP25'!E$427=0,"",'IWP25'!E$427)</f>
        <v/>
      </c>
      <c r="D7059" s="211">
        <f>'IWP25'!G$427</f>
        <v>0</v>
      </c>
      <c r="E7059" s="211">
        <f>'IWP25'!H$427</f>
        <v>0</v>
      </c>
      <c r="F7059" s="211">
        <f>'IWP25'!I$427</f>
        <v>0</v>
      </c>
      <c r="G7059" s="191" t="str">
        <f>IF('IWP25'!J$427=0,"",'IWP25'!J$427)</f>
        <v/>
      </c>
      <c r="H7059" s="211">
        <f>'IWP25'!K$427</f>
        <v>0</v>
      </c>
      <c r="I7059" s="211">
        <f>'IWP25'!L$427</f>
        <v>0</v>
      </c>
      <c r="J7059" s="212">
        <f>'IWP25'!M$427</f>
        <v>0</v>
      </c>
      <c r="K7059" s="106"/>
      <c r="L7059" s="106"/>
      <c r="M7059" s="129"/>
    </row>
    <row r="7060" spans="1:13" s="146" customFormat="1">
      <c r="A7060" s="193" t="s">
        <v>523</v>
      </c>
      <c r="B7060" s="210">
        <v>5</v>
      </c>
      <c r="C7060" s="191" t="str">
        <f>IF('IWP25'!E$428=0,"",'IWP25'!E$428)</f>
        <v/>
      </c>
      <c r="D7060" s="211">
        <f>'IWP25'!G$428</f>
        <v>0</v>
      </c>
      <c r="E7060" s="211">
        <f>'IWP25'!H$428</f>
        <v>0</v>
      </c>
      <c r="F7060" s="211">
        <f>'IWP25'!I$428</f>
        <v>0</v>
      </c>
      <c r="G7060" s="191" t="str">
        <f>IF('IWP25'!J$428=0,"",'IWP25'!J$428)</f>
        <v/>
      </c>
      <c r="H7060" s="211">
        <f>'IWP25'!K$428</f>
        <v>0</v>
      </c>
      <c r="I7060" s="211">
        <f>'IWP25'!L$428</f>
        <v>0</v>
      </c>
      <c r="J7060" s="212">
        <f>'IWP25'!M$428</f>
        <v>0</v>
      </c>
      <c r="K7060" s="106"/>
      <c r="L7060" s="106"/>
      <c r="M7060" s="129"/>
    </row>
    <row r="7061" spans="1:13" s="146" customFormat="1">
      <c r="A7061" s="193" t="s">
        <v>523</v>
      </c>
      <c r="B7061" s="210">
        <v>6</v>
      </c>
      <c r="C7061" s="191" t="str">
        <f>IF('IWP25'!E$435=0,"",'IWP25'!E$435)</f>
        <v>Subtotal column D.</v>
      </c>
      <c r="D7061" s="211">
        <f>'IWP25'!G$435</f>
        <v>0</v>
      </c>
      <c r="E7061" s="211">
        <f>'IWP25'!H$435</f>
        <v>0</v>
      </c>
      <c r="F7061" s="211">
        <f>'IWP25'!I$435</f>
        <v>0</v>
      </c>
      <c r="G7061" s="191" t="str">
        <f>IF('IWP25'!J$435=0,"",'IWP25'!J$435)</f>
        <v/>
      </c>
      <c r="H7061" s="211">
        <f>'IWP25'!K$435</f>
        <v>0</v>
      </c>
      <c r="I7061" s="211">
        <f>'IWP25'!L$435</f>
        <v>0</v>
      </c>
      <c r="J7061" s="212">
        <f>'IWP25'!M$435</f>
        <v>0</v>
      </c>
      <c r="K7061" s="106"/>
      <c r="L7061" s="106"/>
      <c r="M7061" s="129"/>
    </row>
    <row r="7062" spans="1:13" s="146" customFormat="1">
      <c r="A7062" s="193" t="s">
        <v>523</v>
      </c>
      <c r="B7062" s="210">
        <v>6</v>
      </c>
      <c r="C7062" s="191" t="str">
        <f>IF('IWP25'!E$436=0,"",'IWP25'!E$436)</f>
        <v>Unverified/Undocumented (Subtotal D - C)</v>
      </c>
      <c r="D7062" s="211">
        <f>'IWP25'!G$436</f>
        <v>0</v>
      </c>
      <c r="E7062" s="211">
        <f>'IWP25'!H$436</f>
        <v>0</v>
      </c>
      <c r="F7062" s="211">
        <f>'IWP25'!I$436</f>
        <v>0</v>
      </c>
      <c r="G7062" s="191" t="str">
        <f>IF('IWP25'!J$436=0,"",'IWP25'!J$436)</f>
        <v/>
      </c>
      <c r="H7062" s="211">
        <f>'IWP25'!K$436</f>
        <v>0</v>
      </c>
      <c r="I7062" s="211">
        <f>'IWP25'!L$436</f>
        <v>0</v>
      </c>
      <c r="J7062" s="212">
        <f>'IWP25'!M$436</f>
        <v>0</v>
      </c>
      <c r="K7062" s="106"/>
      <c r="L7062" s="106"/>
      <c r="M7062" s="129"/>
    </row>
    <row r="7063" spans="1:13" s="146" customFormat="1">
      <c r="A7063" s="193" t="s">
        <v>523</v>
      </c>
      <c r="B7063" s="210">
        <v>6</v>
      </c>
      <c r="C7063" s="191" t="str">
        <f>IF('IWP25'!E$437=0,"",'IWP25'!E$437)</f>
        <v>J. Billing Period Total</v>
      </c>
      <c r="D7063" s="211">
        <f>'IWP25'!G$437</f>
        <v>0</v>
      </c>
      <c r="E7063" s="211">
        <f>'IWP25'!H$437</f>
        <v>0</v>
      </c>
      <c r="F7063" s="211">
        <f>'IWP25'!I$437</f>
        <v>0</v>
      </c>
      <c r="G7063" s="191" t="str">
        <f>IF('IWP25'!J$437=0,"",'IWP25'!J$437)</f>
        <v/>
      </c>
      <c r="H7063" s="211">
        <f>'IWP25'!K$437</f>
        <v>0</v>
      </c>
      <c r="I7063" s="211">
        <f>'IWP25'!L$437</f>
        <v>0</v>
      </c>
      <c r="J7063" s="212">
        <f>'IWP25'!M$437</f>
        <v>0</v>
      </c>
      <c r="K7063" s="106"/>
      <c r="L7063" s="106"/>
      <c r="M7063" s="129"/>
    </row>
    <row r="7064" spans="1:13" s="146" customFormat="1">
      <c r="A7064" s="193" t="s">
        <v>523</v>
      </c>
      <c r="B7064" s="210">
        <v>6</v>
      </c>
      <c r="C7064" s="191" t="str">
        <f>IF('IWP25'!E$438=0,"",'IWP25'!E$438)</f>
        <v>D.</v>
      </c>
      <c r="D7064" s="211">
        <f>'IWP25'!G$438</f>
        <v>0</v>
      </c>
      <c r="E7064" s="211" t="str">
        <f>'IWP25'!H$438</f>
        <v>E.</v>
      </c>
      <c r="F7064" s="211" t="str">
        <f>'IWP25'!I$438</f>
        <v>F.</v>
      </c>
      <c r="G7064" s="191" t="str">
        <f>IF('IWP25'!J$438=0,"",'IWP25'!J$438)</f>
        <v>G.</v>
      </c>
      <c r="H7064" s="211">
        <f>'IWP25'!K$438</f>
        <v>0</v>
      </c>
      <c r="I7064" s="211" t="str">
        <f>'IWP25'!L$438</f>
        <v>H.</v>
      </c>
      <c r="J7064" s="212" t="str">
        <f>'IWP25'!M$438</f>
        <v>I.</v>
      </c>
      <c r="K7064" s="106"/>
      <c r="L7064" s="106"/>
      <c r="M7064" s="129"/>
    </row>
    <row r="7065" spans="1:13" s="146" customFormat="1">
      <c r="A7065" s="193" t="s">
        <v>523</v>
      </c>
      <c r="B7065" s="210">
        <v>6</v>
      </c>
      <c r="C7065" s="191" t="str">
        <f>IF('IWP25'!E$439=0,"",'IWP25'!E$439)</f>
        <v xml:space="preserve">Items/Services Related to Billing Period </v>
      </c>
      <c r="D7065" s="211">
        <f>'IWP25'!G$439</f>
        <v>0</v>
      </c>
      <c r="E7065" s="211" t="str">
        <f>'IWP25'!H$439</f>
        <v xml:space="preserve">Item/
Service Verified Amounts
</v>
      </c>
      <c r="F7065" s="211" t="str">
        <f>'IWP25'!I$439</f>
        <v>Amount Due to DADS (E. - D.)</v>
      </c>
      <c r="G7065" s="191" t="str">
        <f>IF('IWP25'!J$439=0,"",'IWP25'!J$439)</f>
        <v>Amount Reimbursed to 
Employee(s)/Employer</v>
      </c>
      <c r="H7065" s="211">
        <f>'IWP25'!K$439</f>
        <v>0</v>
      </c>
      <c r="I7065" s="211" t="str">
        <f>'IWP25'!L$439</f>
        <v>Amount Due to Employee(s) (G. - E.)</v>
      </c>
      <c r="J7065" s="212" t="str">
        <f>'IWP25'!M$439</f>
        <v>Amount Due to Employer (G. - E.)</v>
      </c>
      <c r="K7065" s="106"/>
      <c r="L7065" s="106"/>
      <c r="M7065" s="129"/>
    </row>
    <row r="7066" spans="1:13" s="146" customFormat="1">
      <c r="A7066" s="193" t="s">
        <v>523</v>
      </c>
      <c r="B7066" s="210">
        <v>6</v>
      </c>
      <c r="C7066" s="191" t="str">
        <f>IF('IWP25'!E$440=0,"",'IWP25'!E$440)</f>
        <v>Item/Service</v>
      </c>
      <c r="D7066" s="211" t="str">
        <f>'IWP25'!G$440</f>
        <v>Itemized Amount Paid by DADS</v>
      </c>
      <c r="E7066" s="211">
        <f>'IWP25'!H$440</f>
        <v>0</v>
      </c>
      <c r="F7066" s="211">
        <f>'IWP25'!I$440</f>
        <v>0</v>
      </c>
      <c r="G7066" s="191" t="str">
        <f>IF('IWP25'!J$440=0,"",'IWP25'!J$440)</f>
        <v/>
      </c>
      <c r="H7066" s="211">
        <f>'IWP25'!K$440</f>
        <v>0</v>
      </c>
      <c r="I7066" s="211">
        <f>'IWP25'!L$440</f>
        <v>0</v>
      </c>
      <c r="J7066" s="212">
        <f>'IWP25'!M$440</f>
        <v>0</v>
      </c>
      <c r="K7066" s="106"/>
      <c r="L7066" s="106"/>
      <c r="M7066" s="129"/>
    </row>
    <row r="7067" spans="1:13" s="146" customFormat="1">
      <c r="A7067" s="193" t="s">
        <v>523</v>
      </c>
      <c r="B7067" s="210">
        <v>6</v>
      </c>
      <c r="C7067" s="191" t="str">
        <f>IF('IWP25'!E$441=0,"",'IWP25'!E$441)</f>
        <v/>
      </c>
      <c r="D7067" s="211">
        <f>'IWP25'!G$441</f>
        <v>0</v>
      </c>
      <c r="E7067" s="211">
        <f>'IWP25'!H$441</f>
        <v>0</v>
      </c>
      <c r="F7067" s="211">
        <f>'IWP25'!I$441</f>
        <v>0</v>
      </c>
      <c r="G7067" s="191" t="str">
        <f>IF('IWP25'!J$441=0,"",'IWP25'!J$441)</f>
        <v/>
      </c>
      <c r="H7067" s="211">
        <f>'IWP25'!K$441</f>
        <v>0</v>
      </c>
      <c r="I7067" s="211">
        <f>'IWP25'!L$441</f>
        <v>0</v>
      </c>
      <c r="J7067" s="212">
        <f>'IWP25'!M$441</f>
        <v>0</v>
      </c>
      <c r="K7067" s="106"/>
      <c r="L7067" s="106"/>
      <c r="M7067" s="129"/>
    </row>
    <row r="7068" spans="1:13" s="146" customFormat="1">
      <c r="A7068" s="193" t="s">
        <v>523</v>
      </c>
      <c r="B7068" s="210">
        <v>6</v>
      </c>
      <c r="C7068" s="191" t="str">
        <f>IF('IWP25'!E$442=0,"",'IWP25'!E$442)</f>
        <v/>
      </c>
      <c r="D7068" s="211">
        <f>'IWP25'!G$442</f>
        <v>0</v>
      </c>
      <c r="E7068" s="211">
        <f>'IWP25'!H$442</f>
        <v>0</v>
      </c>
      <c r="F7068" s="211">
        <f>'IWP25'!I$442</f>
        <v>0</v>
      </c>
      <c r="G7068" s="191" t="str">
        <f>IF('IWP25'!J$442=0,"",'IWP25'!J$442)</f>
        <v/>
      </c>
      <c r="H7068" s="211">
        <f>'IWP25'!K$442</f>
        <v>0</v>
      </c>
      <c r="I7068" s="211">
        <f>'IWP25'!L$442</f>
        <v>0</v>
      </c>
      <c r="J7068" s="212">
        <f>'IWP25'!M$442</f>
        <v>0</v>
      </c>
      <c r="K7068" s="106"/>
      <c r="L7068" s="106"/>
      <c r="M7068" s="129"/>
    </row>
    <row r="7069" spans="1:13" s="146" customFormat="1">
      <c r="A7069" s="193" t="s">
        <v>523</v>
      </c>
      <c r="B7069" s="210">
        <v>6</v>
      </c>
      <c r="C7069" s="191" t="str">
        <f>IF('IWP25'!E$443=0,"",'IWP25'!E$443)</f>
        <v/>
      </c>
      <c r="D7069" s="211">
        <f>'IWP25'!G$443</f>
        <v>0</v>
      </c>
      <c r="E7069" s="211">
        <f>'IWP25'!H$443</f>
        <v>0</v>
      </c>
      <c r="F7069" s="211">
        <f>'IWP25'!I$443</f>
        <v>0</v>
      </c>
      <c r="G7069" s="191" t="str">
        <f>IF('IWP25'!J$443=0,"",'IWP25'!J$443)</f>
        <v/>
      </c>
      <c r="H7069" s="211">
        <f>'IWP25'!K$443</f>
        <v>0</v>
      </c>
      <c r="I7069" s="211">
        <f>'IWP25'!L$443</f>
        <v>0</v>
      </c>
      <c r="J7069" s="212">
        <f>'IWP25'!M$443</f>
        <v>0</v>
      </c>
      <c r="K7069" s="106"/>
      <c r="L7069" s="106"/>
      <c r="M7069" s="129"/>
    </row>
    <row r="7070" spans="1:13" s="146" customFormat="1">
      <c r="A7070" s="193" t="s">
        <v>523</v>
      </c>
      <c r="B7070" s="210">
        <v>6</v>
      </c>
      <c r="C7070" s="191" t="str">
        <f>IF('IWP25'!E$444=0,"",'IWP25'!E$444)</f>
        <v/>
      </c>
      <c r="D7070" s="211">
        <f>'IWP25'!G$444</f>
        <v>0</v>
      </c>
      <c r="E7070" s="211">
        <f>'IWP25'!H$444</f>
        <v>0</v>
      </c>
      <c r="F7070" s="211">
        <f>'IWP25'!I$444</f>
        <v>0</v>
      </c>
      <c r="G7070" s="191" t="str">
        <f>IF('IWP25'!J$444=0,"",'IWP25'!J$444)</f>
        <v/>
      </c>
      <c r="H7070" s="211">
        <f>'IWP25'!K$444</f>
        <v>0</v>
      </c>
      <c r="I7070" s="211">
        <f>'IWP25'!L$444</f>
        <v>0</v>
      </c>
      <c r="J7070" s="212">
        <f>'IWP25'!M$444</f>
        <v>0</v>
      </c>
      <c r="K7070" s="106"/>
      <c r="L7070" s="106"/>
      <c r="M7070" s="129"/>
    </row>
    <row r="7071" spans="1:13" s="146" customFormat="1">
      <c r="A7071" s="193" t="s">
        <v>523</v>
      </c>
      <c r="B7071" s="210">
        <v>7</v>
      </c>
      <c r="C7071" s="191" t="str">
        <f>IF('IWP25'!E$451=0,"",'IWP25'!E$451)</f>
        <v>Subtotal column D.</v>
      </c>
      <c r="D7071" s="211">
        <f>'IWP25'!G$451</f>
        <v>0</v>
      </c>
      <c r="E7071" s="211">
        <f>'IWP25'!H$451</f>
        <v>0</v>
      </c>
      <c r="F7071" s="211">
        <f>'IWP25'!I$451</f>
        <v>0</v>
      </c>
      <c r="G7071" s="191" t="str">
        <f>IF('IWP25'!J$451=0,"",'IWP25'!J$451)</f>
        <v/>
      </c>
      <c r="H7071" s="211">
        <f>'IWP25'!K$451</f>
        <v>0</v>
      </c>
      <c r="I7071" s="211">
        <f>'IWP25'!L$451</f>
        <v>0</v>
      </c>
      <c r="J7071" s="212">
        <f>'IWP25'!M$451</f>
        <v>0</v>
      </c>
      <c r="K7071" s="106"/>
      <c r="L7071" s="106"/>
      <c r="M7071" s="129"/>
    </row>
    <row r="7072" spans="1:13" s="146" customFormat="1">
      <c r="A7072" s="193" t="s">
        <v>523</v>
      </c>
      <c r="B7072" s="210">
        <v>7</v>
      </c>
      <c r="C7072" s="191" t="str">
        <f>IF('IWP25'!E$452=0,"",'IWP25'!E$452)</f>
        <v>Unverified/Undocumented (Subtotal D - C)</v>
      </c>
      <c r="D7072" s="211">
        <f>'IWP25'!G$452</f>
        <v>0</v>
      </c>
      <c r="E7072" s="211">
        <f>'IWP25'!H$452</f>
        <v>0</v>
      </c>
      <c r="F7072" s="211">
        <f>'IWP25'!I$452</f>
        <v>0</v>
      </c>
      <c r="G7072" s="191" t="str">
        <f>IF('IWP25'!J$452=0,"",'IWP25'!J$452)</f>
        <v/>
      </c>
      <c r="H7072" s="211">
        <f>'IWP25'!K$452</f>
        <v>0</v>
      </c>
      <c r="I7072" s="211">
        <f>'IWP25'!L$452</f>
        <v>0</v>
      </c>
      <c r="J7072" s="212">
        <f>'IWP25'!M$452</f>
        <v>0</v>
      </c>
      <c r="K7072" s="106"/>
      <c r="L7072" s="106"/>
      <c r="M7072" s="129"/>
    </row>
    <row r="7073" spans="1:13" s="146" customFormat="1">
      <c r="A7073" s="193" t="s">
        <v>523</v>
      </c>
      <c r="B7073" s="210">
        <v>7</v>
      </c>
      <c r="C7073" s="191" t="str">
        <f>IF('IWP25'!E$453=0,"",'IWP25'!E$453)</f>
        <v>J. Billing Period Total</v>
      </c>
      <c r="D7073" s="211">
        <f>'IWP25'!G$453</f>
        <v>0</v>
      </c>
      <c r="E7073" s="211">
        <f>'IWP25'!H$453</f>
        <v>0</v>
      </c>
      <c r="F7073" s="211">
        <f>'IWP25'!I$453</f>
        <v>0</v>
      </c>
      <c r="G7073" s="191" t="str">
        <f>IF('IWP25'!J$453=0,"",'IWP25'!J$453)</f>
        <v/>
      </c>
      <c r="H7073" s="211">
        <f>'IWP25'!K$453</f>
        <v>0</v>
      </c>
      <c r="I7073" s="211">
        <f>'IWP25'!L$453</f>
        <v>0</v>
      </c>
      <c r="J7073" s="212">
        <f>'IWP25'!M$453</f>
        <v>0</v>
      </c>
      <c r="K7073" s="106"/>
      <c r="L7073" s="106"/>
      <c r="M7073" s="129"/>
    </row>
    <row r="7074" spans="1:13" s="146" customFormat="1">
      <c r="A7074" s="193" t="s">
        <v>523</v>
      </c>
      <c r="B7074" s="210">
        <v>7</v>
      </c>
      <c r="C7074" s="191" t="str">
        <f>IF('IWP25'!E$454=0,"",'IWP25'!E$454)</f>
        <v>D.</v>
      </c>
      <c r="D7074" s="211">
        <f>'IWP25'!G$454</f>
        <v>0</v>
      </c>
      <c r="E7074" s="211" t="str">
        <f>'IWP25'!H$454</f>
        <v>E.</v>
      </c>
      <c r="F7074" s="211" t="str">
        <f>'IWP25'!I$454</f>
        <v>F.</v>
      </c>
      <c r="G7074" s="191" t="str">
        <f>IF('IWP25'!J$454=0,"",'IWP25'!J$454)</f>
        <v>G.</v>
      </c>
      <c r="H7074" s="211">
        <f>'IWP25'!K$454</f>
        <v>0</v>
      </c>
      <c r="I7074" s="211" t="str">
        <f>'IWP25'!L$454</f>
        <v>H.</v>
      </c>
      <c r="J7074" s="212" t="str">
        <f>'IWP25'!M$454</f>
        <v>I.</v>
      </c>
      <c r="K7074" s="106"/>
      <c r="L7074" s="106"/>
      <c r="M7074" s="129"/>
    </row>
    <row r="7075" spans="1:13" s="146" customFormat="1">
      <c r="A7075" s="193" t="s">
        <v>523</v>
      </c>
      <c r="B7075" s="210">
        <v>7</v>
      </c>
      <c r="C7075" s="191" t="str">
        <f>IF('IWP25'!E$455=0,"",'IWP25'!E$455)</f>
        <v xml:space="preserve">Items/Services Related to Billing Period </v>
      </c>
      <c r="D7075" s="211">
        <f>'IWP25'!G$455</f>
        <v>0</v>
      </c>
      <c r="E7075" s="211" t="str">
        <f>'IWP25'!H$455</f>
        <v xml:space="preserve">Item/
Service Verified Amounts
</v>
      </c>
      <c r="F7075" s="211" t="str">
        <f>'IWP25'!I$455</f>
        <v>Amount Due to DADS (E. - D.)</v>
      </c>
      <c r="G7075" s="191" t="str">
        <f>IF('IWP25'!J$455=0,"",'IWP25'!J$455)</f>
        <v>Amount Reimbursed to 
Employee(s)/Employer</v>
      </c>
      <c r="H7075" s="211">
        <f>'IWP25'!K$455</f>
        <v>0</v>
      </c>
      <c r="I7075" s="211" t="str">
        <f>'IWP25'!L$455</f>
        <v>Amount Due to Employee(s) (G. - E.)</v>
      </c>
      <c r="J7075" s="212" t="str">
        <f>'IWP25'!M$455</f>
        <v>Amount Due to Employer (G. - E.)</v>
      </c>
      <c r="K7075" s="106"/>
      <c r="L7075" s="106"/>
      <c r="M7075" s="129"/>
    </row>
    <row r="7076" spans="1:13" s="146" customFormat="1">
      <c r="A7076" s="193" t="s">
        <v>523</v>
      </c>
      <c r="B7076" s="210">
        <v>7</v>
      </c>
      <c r="C7076" s="191" t="str">
        <f>IF('IWP25'!E$456=0,"",'IWP25'!E$456)</f>
        <v>Item/Service</v>
      </c>
      <c r="D7076" s="211" t="str">
        <f>'IWP25'!G$456</f>
        <v>Itemized Amount Paid by DADS</v>
      </c>
      <c r="E7076" s="211">
        <f>'IWP25'!H$456</f>
        <v>0</v>
      </c>
      <c r="F7076" s="211">
        <f>'IWP25'!I$456</f>
        <v>0</v>
      </c>
      <c r="G7076" s="191" t="str">
        <f>IF('IWP25'!J$456=0,"",'IWP25'!J$456)</f>
        <v/>
      </c>
      <c r="H7076" s="211">
        <f>'IWP25'!K$456</f>
        <v>0</v>
      </c>
      <c r="I7076" s="211">
        <f>'IWP25'!L$456</f>
        <v>0</v>
      </c>
      <c r="J7076" s="212">
        <f>'IWP25'!M$456</f>
        <v>0</v>
      </c>
      <c r="K7076" s="106"/>
      <c r="L7076" s="106"/>
      <c r="M7076" s="129"/>
    </row>
    <row r="7077" spans="1:13" s="146" customFormat="1">
      <c r="A7077" s="193" t="s">
        <v>523</v>
      </c>
      <c r="B7077" s="210">
        <v>7</v>
      </c>
      <c r="C7077" s="191" t="str">
        <f>IF('IWP25'!E$457=0,"",'IWP25'!E$457)</f>
        <v/>
      </c>
      <c r="D7077" s="211">
        <f>'IWP25'!G$457</f>
        <v>0</v>
      </c>
      <c r="E7077" s="211">
        <f>'IWP25'!H$457</f>
        <v>0</v>
      </c>
      <c r="F7077" s="211">
        <f>'IWP25'!I$457</f>
        <v>0</v>
      </c>
      <c r="G7077" s="191" t="str">
        <f>IF('IWP25'!J$457=0,"",'IWP25'!J$457)</f>
        <v/>
      </c>
      <c r="H7077" s="211">
        <f>'IWP25'!K$457</f>
        <v>0</v>
      </c>
      <c r="I7077" s="211">
        <f>'IWP25'!L$457</f>
        <v>0</v>
      </c>
      <c r="J7077" s="212">
        <f>'IWP25'!M$457</f>
        <v>0</v>
      </c>
      <c r="K7077" s="106"/>
      <c r="L7077" s="106"/>
      <c r="M7077" s="129"/>
    </row>
    <row r="7078" spans="1:13" s="146" customFormat="1">
      <c r="A7078" s="193" t="s">
        <v>523</v>
      </c>
      <c r="B7078" s="210">
        <v>7</v>
      </c>
      <c r="C7078" s="191" t="str">
        <f>IF('IWP25'!E$458=0,"",'IWP25'!E$458)</f>
        <v/>
      </c>
      <c r="D7078" s="211">
        <f>'IWP25'!G$458</f>
        <v>0</v>
      </c>
      <c r="E7078" s="211">
        <f>'IWP25'!H$458</f>
        <v>0</v>
      </c>
      <c r="F7078" s="211">
        <f>'IWP25'!I$458</f>
        <v>0</v>
      </c>
      <c r="G7078" s="191" t="str">
        <f>IF('IWP25'!J$458=0,"",'IWP25'!J$458)</f>
        <v/>
      </c>
      <c r="H7078" s="211">
        <f>'IWP25'!K$458</f>
        <v>0</v>
      </c>
      <c r="I7078" s="211">
        <f>'IWP25'!L$458</f>
        <v>0</v>
      </c>
      <c r="J7078" s="212">
        <f>'IWP25'!M$458</f>
        <v>0</v>
      </c>
      <c r="K7078" s="106"/>
      <c r="L7078" s="106"/>
      <c r="M7078" s="129"/>
    </row>
    <row r="7079" spans="1:13" s="146" customFormat="1">
      <c r="A7079" s="193" t="s">
        <v>523</v>
      </c>
      <c r="B7079" s="210">
        <v>7</v>
      </c>
      <c r="C7079" s="191" t="str">
        <f>IF('IWP25'!E$459=0,"",'IWP25'!E$459)</f>
        <v/>
      </c>
      <c r="D7079" s="211">
        <f>'IWP25'!G$459</f>
        <v>0</v>
      </c>
      <c r="E7079" s="211">
        <f>'IWP25'!H$459</f>
        <v>0</v>
      </c>
      <c r="F7079" s="211">
        <f>'IWP25'!I$459</f>
        <v>0</v>
      </c>
      <c r="G7079" s="191" t="str">
        <f>IF('IWP25'!J$459=0,"",'IWP25'!J$459)</f>
        <v/>
      </c>
      <c r="H7079" s="211">
        <f>'IWP25'!K$459</f>
        <v>0</v>
      </c>
      <c r="I7079" s="211">
        <f>'IWP25'!L$459</f>
        <v>0</v>
      </c>
      <c r="J7079" s="212">
        <f>'IWP25'!M$459</f>
        <v>0</v>
      </c>
      <c r="K7079" s="106"/>
      <c r="L7079" s="106"/>
      <c r="M7079" s="129"/>
    </row>
    <row r="7080" spans="1:13" s="146" customFormat="1">
      <c r="A7080" s="193" t="s">
        <v>523</v>
      </c>
      <c r="B7080" s="210">
        <v>7</v>
      </c>
      <c r="C7080" s="191" t="str">
        <f>IF('IWP25'!E$460=0,"",'IWP25'!E$460)</f>
        <v/>
      </c>
      <c r="D7080" s="211">
        <f>'IWP25'!G$460</f>
        <v>0</v>
      </c>
      <c r="E7080" s="211">
        <f>'IWP25'!H$460</f>
        <v>0</v>
      </c>
      <c r="F7080" s="211">
        <f>'IWP25'!I$460</f>
        <v>0</v>
      </c>
      <c r="G7080" s="191" t="str">
        <f>IF('IWP25'!J$460=0,"",'IWP25'!J$460)</f>
        <v/>
      </c>
      <c r="H7080" s="211">
        <f>'IWP25'!K$460</f>
        <v>0</v>
      </c>
      <c r="I7080" s="211">
        <f>'IWP25'!L$460</f>
        <v>0</v>
      </c>
      <c r="J7080" s="212">
        <f>'IWP25'!M$460</f>
        <v>0</v>
      </c>
      <c r="K7080" s="106"/>
      <c r="L7080" s="106"/>
      <c r="M7080" s="129"/>
    </row>
    <row r="7081" spans="1:13" s="146" customFormat="1">
      <c r="A7081" s="193" t="s">
        <v>523</v>
      </c>
      <c r="B7081" s="210">
        <v>8</v>
      </c>
      <c r="C7081" s="191" t="str">
        <f>IF('IWP25'!E$467=0,"",'IWP25'!E$467)</f>
        <v>Subtotal column D.</v>
      </c>
      <c r="D7081" s="211">
        <f>'IWP25'!G$467</f>
        <v>0</v>
      </c>
      <c r="E7081" s="211">
        <f>'IWP25'!H$467</f>
        <v>0</v>
      </c>
      <c r="F7081" s="211">
        <f>'IWP25'!I$467</f>
        <v>0</v>
      </c>
      <c r="G7081" s="191" t="str">
        <f>IF('IWP25'!J$467=0,"",'IWP25'!J$467)</f>
        <v/>
      </c>
      <c r="H7081" s="211">
        <f>'IWP25'!K$467</f>
        <v>0</v>
      </c>
      <c r="I7081" s="211">
        <f>'IWP25'!L$467</f>
        <v>0</v>
      </c>
      <c r="J7081" s="212">
        <f>'IWP25'!M$467</f>
        <v>0</v>
      </c>
      <c r="K7081" s="106"/>
      <c r="L7081" s="106"/>
      <c r="M7081" s="129"/>
    </row>
    <row r="7082" spans="1:13" s="146" customFormat="1">
      <c r="A7082" s="193" t="s">
        <v>523</v>
      </c>
      <c r="B7082" s="210">
        <v>8</v>
      </c>
      <c r="C7082" s="191" t="str">
        <f>IF('IWP25'!E$468=0,"",'IWP25'!E$468)</f>
        <v>Unverified/Undocumented (Subtotal D - C)</v>
      </c>
      <c r="D7082" s="211">
        <f>'IWP25'!G$468</f>
        <v>0</v>
      </c>
      <c r="E7082" s="211">
        <f>'IWP25'!H$468</f>
        <v>0</v>
      </c>
      <c r="F7082" s="211">
        <f>'IWP25'!I$468</f>
        <v>0</v>
      </c>
      <c r="G7082" s="191" t="str">
        <f>IF('IWP25'!J$468=0,"",'IWP25'!J$468)</f>
        <v/>
      </c>
      <c r="H7082" s="211">
        <f>'IWP25'!K$468</f>
        <v>0</v>
      </c>
      <c r="I7082" s="211">
        <f>'IWP25'!L$468</f>
        <v>0</v>
      </c>
      <c r="J7082" s="212">
        <f>'IWP25'!M$468</f>
        <v>0</v>
      </c>
      <c r="K7082" s="106"/>
      <c r="L7082" s="106"/>
      <c r="M7082" s="129"/>
    </row>
    <row r="7083" spans="1:13" s="146" customFormat="1">
      <c r="A7083" s="193" t="s">
        <v>523</v>
      </c>
      <c r="B7083" s="210">
        <v>8</v>
      </c>
      <c r="C7083" s="191" t="str">
        <f>IF('IWP25'!E$469=0,"",'IWP25'!E$469)</f>
        <v>J. Billing Period Total</v>
      </c>
      <c r="D7083" s="211">
        <f>'IWP25'!G$469</f>
        <v>0</v>
      </c>
      <c r="E7083" s="211">
        <f>'IWP25'!H$469</f>
        <v>0</v>
      </c>
      <c r="F7083" s="211">
        <f>'IWP25'!I$469</f>
        <v>0</v>
      </c>
      <c r="G7083" s="191" t="str">
        <f>IF('IWP25'!J$469=0,"",'IWP25'!J$469)</f>
        <v/>
      </c>
      <c r="H7083" s="211">
        <f>'IWP25'!K$469</f>
        <v>0</v>
      </c>
      <c r="I7083" s="211">
        <f>'IWP25'!L$469</f>
        <v>0</v>
      </c>
      <c r="J7083" s="212">
        <f>'IWP25'!M$469</f>
        <v>0</v>
      </c>
      <c r="K7083" s="106"/>
      <c r="L7083" s="106"/>
      <c r="M7083" s="129"/>
    </row>
    <row r="7084" spans="1:13" s="146" customFormat="1">
      <c r="A7084" s="193" t="s">
        <v>523</v>
      </c>
      <c r="B7084" s="210">
        <v>8</v>
      </c>
      <c r="C7084" s="191" t="str">
        <f>IF('IWP25'!E$470=0,"",'IWP25'!E$470)</f>
        <v>D.</v>
      </c>
      <c r="D7084" s="211">
        <f>'IWP25'!G$470</f>
        <v>0</v>
      </c>
      <c r="E7084" s="211" t="str">
        <f>'IWP25'!H$470</f>
        <v>E.</v>
      </c>
      <c r="F7084" s="211" t="str">
        <f>'IWP25'!I$470</f>
        <v>F.</v>
      </c>
      <c r="G7084" s="191" t="str">
        <f>IF('IWP25'!J$470=0,"",'IWP25'!J$470)</f>
        <v>G.</v>
      </c>
      <c r="H7084" s="211">
        <f>'IWP25'!K$470</f>
        <v>0</v>
      </c>
      <c r="I7084" s="211" t="str">
        <f>'IWP25'!L$470</f>
        <v>H.</v>
      </c>
      <c r="J7084" s="212" t="str">
        <f>'IWP25'!M$470</f>
        <v>I.</v>
      </c>
      <c r="K7084" s="106"/>
      <c r="L7084" s="106"/>
      <c r="M7084" s="129"/>
    </row>
    <row r="7085" spans="1:13" s="146" customFormat="1">
      <c r="A7085" s="193" t="s">
        <v>523</v>
      </c>
      <c r="B7085" s="210">
        <v>8</v>
      </c>
      <c r="C7085" s="191" t="str">
        <f>IF('IWP25'!E$471=0,"",'IWP25'!E$471)</f>
        <v xml:space="preserve">Items/Services Related to Billing Period </v>
      </c>
      <c r="D7085" s="211">
        <f>'IWP25'!G$471</f>
        <v>0</v>
      </c>
      <c r="E7085" s="211" t="str">
        <f>'IWP25'!H$471</f>
        <v xml:space="preserve">Item/
Service Verified Amounts
</v>
      </c>
      <c r="F7085" s="211" t="str">
        <f>'IWP25'!I$471</f>
        <v>Amount Due to DADS (E. - D.)</v>
      </c>
      <c r="G7085" s="191" t="str">
        <f>IF('IWP25'!J$471=0,"",'IWP25'!J$471)</f>
        <v>Amount Reimbursed to 
Employee(s)/Employer</v>
      </c>
      <c r="H7085" s="211">
        <f>'IWP25'!K$471</f>
        <v>0</v>
      </c>
      <c r="I7085" s="211" t="str">
        <f>'IWP25'!L$471</f>
        <v>Amount Due to Employee(s) (G. - E.)</v>
      </c>
      <c r="J7085" s="212" t="str">
        <f>'IWP25'!M$471</f>
        <v>Amount Due to Employer (G. - E.)</v>
      </c>
      <c r="K7085" s="106"/>
      <c r="L7085" s="106"/>
      <c r="M7085" s="129"/>
    </row>
    <row r="7086" spans="1:13" s="146" customFormat="1">
      <c r="A7086" s="193" t="s">
        <v>523</v>
      </c>
      <c r="B7086" s="210">
        <v>8</v>
      </c>
      <c r="C7086" s="191" t="str">
        <f>IF('IWP25'!E$472=0,"",'IWP25'!E$472)</f>
        <v>Item/Service</v>
      </c>
      <c r="D7086" s="211" t="str">
        <f>'IWP25'!G$472</f>
        <v>Itemized Amount Paid by DADS</v>
      </c>
      <c r="E7086" s="211">
        <f>'IWP25'!H$472</f>
        <v>0</v>
      </c>
      <c r="F7086" s="211">
        <f>'IWP25'!I$472</f>
        <v>0</v>
      </c>
      <c r="G7086" s="191" t="str">
        <f>IF('IWP25'!J$472=0,"",'IWP25'!J$472)</f>
        <v/>
      </c>
      <c r="H7086" s="211">
        <f>'IWP25'!K$472</f>
        <v>0</v>
      </c>
      <c r="I7086" s="211">
        <f>'IWP25'!L$472</f>
        <v>0</v>
      </c>
      <c r="J7086" s="212">
        <f>'IWP25'!M$472</f>
        <v>0</v>
      </c>
      <c r="K7086" s="106"/>
      <c r="L7086" s="106"/>
      <c r="M7086" s="129"/>
    </row>
    <row r="7087" spans="1:13" s="146" customFormat="1">
      <c r="A7087" s="193" t="s">
        <v>523</v>
      </c>
      <c r="B7087" s="210">
        <v>8</v>
      </c>
      <c r="C7087" s="191" t="str">
        <f>IF('IWP25'!E$473=0,"",'IWP25'!E$473)</f>
        <v/>
      </c>
      <c r="D7087" s="211">
        <f>'IWP25'!G$473</f>
        <v>0</v>
      </c>
      <c r="E7087" s="211">
        <f>'IWP25'!H$473</f>
        <v>0</v>
      </c>
      <c r="F7087" s="211">
        <f>'IWP25'!I$473</f>
        <v>0</v>
      </c>
      <c r="G7087" s="191" t="str">
        <f>IF('IWP25'!J$473=0,"",'IWP25'!J$473)</f>
        <v/>
      </c>
      <c r="H7087" s="211">
        <f>'IWP25'!K$473</f>
        <v>0</v>
      </c>
      <c r="I7087" s="211">
        <f>'IWP25'!L$473</f>
        <v>0</v>
      </c>
      <c r="J7087" s="212">
        <f>'IWP25'!M$473</f>
        <v>0</v>
      </c>
      <c r="K7087" s="106"/>
      <c r="L7087" s="106"/>
      <c r="M7087" s="129"/>
    </row>
    <row r="7088" spans="1:13" s="146" customFormat="1">
      <c r="A7088" s="193" t="s">
        <v>523</v>
      </c>
      <c r="B7088" s="210">
        <v>8</v>
      </c>
      <c r="C7088" s="191" t="str">
        <f>IF('IWP25'!E$474=0,"",'IWP25'!E$474)</f>
        <v/>
      </c>
      <c r="D7088" s="211">
        <f>'IWP25'!G$474</f>
        <v>0</v>
      </c>
      <c r="E7088" s="211">
        <f>'IWP25'!H$474</f>
        <v>0</v>
      </c>
      <c r="F7088" s="211">
        <f>'IWP25'!I$474</f>
        <v>0</v>
      </c>
      <c r="G7088" s="191" t="str">
        <f>IF('IWP25'!J$474=0,"",'IWP25'!J$474)</f>
        <v/>
      </c>
      <c r="H7088" s="211">
        <f>'IWP25'!K$474</f>
        <v>0</v>
      </c>
      <c r="I7088" s="211">
        <f>'IWP25'!L$474</f>
        <v>0</v>
      </c>
      <c r="J7088" s="212">
        <f>'IWP25'!M$474</f>
        <v>0</v>
      </c>
      <c r="K7088" s="106"/>
      <c r="L7088" s="106"/>
      <c r="M7088" s="129"/>
    </row>
    <row r="7089" spans="1:13" s="146" customFormat="1">
      <c r="A7089" s="193" t="s">
        <v>523</v>
      </c>
      <c r="B7089" s="210">
        <v>8</v>
      </c>
      <c r="C7089" s="191" t="str">
        <f>IF('IWP25'!E$475=0,"",'IWP25'!E$475)</f>
        <v/>
      </c>
      <c r="D7089" s="211">
        <f>'IWP25'!G$475</f>
        <v>0</v>
      </c>
      <c r="E7089" s="211">
        <f>'IWP25'!H$475</f>
        <v>0</v>
      </c>
      <c r="F7089" s="211">
        <f>'IWP25'!I$475</f>
        <v>0</v>
      </c>
      <c r="G7089" s="191" t="str">
        <f>IF('IWP25'!J$475=0,"",'IWP25'!J$475)</f>
        <v/>
      </c>
      <c r="H7089" s="211">
        <f>'IWP25'!K$475</f>
        <v>0</v>
      </c>
      <c r="I7089" s="211">
        <f>'IWP25'!L$475</f>
        <v>0</v>
      </c>
      <c r="J7089" s="212">
        <f>'IWP25'!M$475</f>
        <v>0</v>
      </c>
      <c r="K7089" s="106"/>
      <c r="L7089" s="106"/>
      <c r="M7089" s="129"/>
    </row>
    <row r="7090" spans="1:13" s="146" customFormat="1">
      <c r="A7090" s="193" t="s">
        <v>523</v>
      </c>
      <c r="B7090" s="210">
        <v>8</v>
      </c>
      <c r="C7090" s="191" t="str">
        <f>IF('IWP25'!E$476=0,"",'IWP25'!E$476)</f>
        <v/>
      </c>
      <c r="D7090" s="211">
        <f>'IWP25'!G$476</f>
        <v>0</v>
      </c>
      <c r="E7090" s="211">
        <f>'IWP25'!H$476</f>
        <v>0</v>
      </c>
      <c r="F7090" s="211">
        <f>'IWP25'!I$476</f>
        <v>0</v>
      </c>
      <c r="G7090" s="191" t="str">
        <f>IF('IWP25'!J$476=0,"",'IWP25'!J$476)</f>
        <v/>
      </c>
      <c r="H7090" s="211">
        <f>'IWP25'!K$476</f>
        <v>0</v>
      </c>
      <c r="I7090" s="211">
        <f>'IWP25'!L$476</f>
        <v>0</v>
      </c>
      <c r="J7090" s="212">
        <f>'IWP25'!M$476</f>
        <v>0</v>
      </c>
      <c r="K7090" s="106"/>
      <c r="L7090" s="106"/>
      <c r="M7090" s="129"/>
    </row>
    <row r="7091" spans="1:13" s="146" customFormat="1">
      <c r="A7091" s="193" t="s">
        <v>523</v>
      </c>
      <c r="B7091" s="210">
        <v>9</v>
      </c>
      <c r="C7091" s="191" t="str">
        <f>IF('IWP25'!E$483=0,"",'IWP25'!E$483)</f>
        <v>Subtotal column D.</v>
      </c>
      <c r="D7091" s="211">
        <f>'IWP25'!G$483</f>
        <v>0</v>
      </c>
      <c r="E7091" s="211">
        <f>'IWP25'!H$483</f>
        <v>0</v>
      </c>
      <c r="F7091" s="211">
        <f>'IWP25'!I$483</f>
        <v>0</v>
      </c>
      <c r="G7091" s="191" t="str">
        <f>IF('IWP25'!J$483=0,"",'IWP25'!J$483)</f>
        <v/>
      </c>
      <c r="H7091" s="211">
        <f>'IWP25'!K$483</f>
        <v>0</v>
      </c>
      <c r="I7091" s="211">
        <f>'IWP25'!L$483</f>
        <v>0</v>
      </c>
      <c r="J7091" s="212">
        <f>'IWP25'!M$483</f>
        <v>0</v>
      </c>
      <c r="K7091" s="106"/>
      <c r="L7091" s="106"/>
      <c r="M7091" s="129"/>
    </row>
    <row r="7092" spans="1:13" s="146" customFormat="1">
      <c r="A7092" s="193" t="s">
        <v>523</v>
      </c>
      <c r="B7092" s="210">
        <v>9</v>
      </c>
      <c r="C7092" s="191" t="str">
        <f>IF('IWP25'!E$484=0,"",'IWP25'!E$484)</f>
        <v>Unverified/Undocumented (Subtotal D - C)</v>
      </c>
      <c r="D7092" s="211">
        <f>'IWP25'!G$484</f>
        <v>0</v>
      </c>
      <c r="E7092" s="211">
        <f>'IWP25'!H$484</f>
        <v>0</v>
      </c>
      <c r="F7092" s="211">
        <f>'IWP25'!I$484</f>
        <v>0</v>
      </c>
      <c r="G7092" s="191" t="str">
        <f>IF('IWP25'!J$484=0,"",'IWP25'!J$484)</f>
        <v/>
      </c>
      <c r="H7092" s="211">
        <f>'IWP25'!K$484</f>
        <v>0</v>
      </c>
      <c r="I7092" s="211">
        <f>'IWP25'!L$484</f>
        <v>0</v>
      </c>
      <c r="J7092" s="212">
        <f>'IWP25'!M$484</f>
        <v>0</v>
      </c>
      <c r="K7092" s="106"/>
      <c r="L7092" s="106"/>
      <c r="M7092" s="129"/>
    </row>
    <row r="7093" spans="1:13" s="146" customFormat="1">
      <c r="A7093" s="193" t="s">
        <v>523</v>
      </c>
      <c r="B7093" s="210">
        <v>9</v>
      </c>
      <c r="C7093" s="191" t="str">
        <f>IF('IWP25'!E$485=0,"",'IWP25'!E$485)</f>
        <v>J. Billing Period Total</v>
      </c>
      <c r="D7093" s="211">
        <f>'IWP25'!G$485</f>
        <v>0</v>
      </c>
      <c r="E7093" s="211">
        <f>'IWP25'!H$485</f>
        <v>0</v>
      </c>
      <c r="F7093" s="211">
        <f>'IWP25'!I$485</f>
        <v>0</v>
      </c>
      <c r="G7093" s="191" t="str">
        <f>IF('IWP25'!J$485=0,"",'IWP25'!J$485)</f>
        <v/>
      </c>
      <c r="H7093" s="211">
        <f>'IWP25'!K$485</f>
        <v>0</v>
      </c>
      <c r="I7093" s="211">
        <f>'IWP25'!L$485</f>
        <v>0</v>
      </c>
      <c r="J7093" s="212">
        <f>'IWP25'!M$485</f>
        <v>0</v>
      </c>
      <c r="K7093" s="106"/>
      <c r="L7093" s="106"/>
      <c r="M7093" s="129"/>
    </row>
    <row r="7094" spans="1:13" s="146" customFormat="1">
      <c r="A7094" s="193" t="s">
        <v>523</v>
      </c>
      <c r="B7094" s="210">
        <v>9</v>
      </c>
      <c r="C7094" s="191" t="str">
        <f>IF('IWP25'!E$486=0,"",'IWP25'!E$486)</f>
        <v>D.</v>
      </c>
      <c r="D7094" s="211">
        <f>'IWP25'!G$486</f>
        <v>0</v>
      </c>
      <c r="E7094" s="211" t="str">
        <f>'IWP25'!H$486</f>
        <v>E.</v>
      </c>
      <c r="F7094" s="211" t="str">
        <f>'IWP25'!I$486</f>
        <v>F.</v>
      </c>
      <c r="G7094" s="191" t="str">
        <f>IF('IWP25'!J$486=0,"",'IWP25'!J$486)</f>
        <v>G.</v>
      </c>
      <c r="H7094" s="211">
        <f>'IWP25'!K$486</f>
        <v>0</v>
      </c>
      <c r="I7094" s="211" t="str">
        <f>'IWP25'!L$486</f>
        <v>H.</v>
      </c>
      <c r="J7094" s="212" t="str">
        <f>'IWP25'!M$486</f>
        <v>I.</v>
      </c>
      <c r="K7094" s="106"/>
      <c r="L7094" s="106"/>
      <c r="M7094" s="129"/>
    </row>
    <row r="7095" spans="1:13" s="146" customFormat="1">
      <c r="A7095" s="193" t="s">
        <v>523</v>
      </c>
      <c r="B7095" s="210">
        <v>9</v>
      </c>
      <c r="C7095" s="191" t="str">
        <f>IF('IWP25'!E$487=0,"",'IWP25'!E$487)</f>
        <v xml:space="preserve">Items/Services Related to Billing Period </v>
      </c>
      <c r="D7095" s="211">
        <f>'IWP25'!G$487</f>
        <v>0</v>
      </c>
      <c r="E7095" s="211" t="str">
        <f>'IWP25'!H$487</f>
        <v xml:space="preserve">Item/
Service Verified Amounts
</v>
      </c>
      <c r="F7095" s="211" t="str">
        <f>'IWP25'!I$487</f>
        <v>Amount Due to DADS (E. - D.)</v>
      </c>
      <c r="G7095" s="191" t="str">
        <f>IF('IWP25'!J$487=0,"",'IWP25'!J$487)</f>
        <v>Amount Reimbursed to 
Employee(s)/Employer</v>
      </c>
      <c r="H7095" s="211">
        <f>'IWP25'!K$487</f>
        <v>0</v>
      </c>
      <c r="I7095" s="211" t="str">
        <f>'IWP25'!L$487</f>
        <v>Amount Due to Employee(s) (G. - E.)</v>
      </c>
      <c r="J7095" s="212" t="str">
        <f>'IWP25'!M$487</f>
        <v>Amount Due to Employer (G. - E.)</v>
      </c>
      <c r="K7095" s="106"/>
      <c r="L7095" s="106"/>
      <c r="M7095" s="129"/>
    </row>
    <row r="7096" spans="1:13" s="146" customFormat="1">
      <c r="A7096" s="193" t="s">
        <v>523</v>
      </c>
      <c r="B7096" s="210">
        <v>9</v>
      </c>
      <c r="C7096" s="191" t="str">
        <f>IF('IWP25'!E$488=0,"",'IWP25'!E$488)</f>
        <v>Item/Service</v>
      </c>
      <c r="D7096" s="211" t="str">
        <f>'IWP25'!G$488</f>
        <v>Itemized Amount Paid by DADS</v>
      </c>
      <c r="E7096" s="211">
        <f>'IWP25'!H$488</f>
        <v>0</v>
      </c>
      <c r="F7096" s="211">
        <f>'IWP25'!I$488</f>
        <v>0</v>
      </c>
      <c r="G7096" s="191" t="str">
        <f>IF('IWP25'!J$488=0,"",'IWP25'!J$488)</f>
        <v/>
      </c>
      <c r="H7096" s="211">
        <f>'IWP25'!K$488</f>
        <v>0</v>
      </c>
      <c r="I7096" s="211">
        <f>'IWP25'!L$488</f>
        <v>0</v>
      </c>
      <c r="J7096" s="212">
        <f>'IWP25'!M$488</f>
        <v>0</v>
      </c>
      <c r="K7096" s="106"/>
      <c r="L7096" s="106"/>
      <c r="M7096" s="129"/>
    </row>
    <row r="7097" spans="1:13" s="146" customFormat="1">
      <c r="A7097" s="193" t="s">
        <v>523</v>
      </c>
      <c r="B7097" s="210">
        <v>9</v>
      </c>
      <c r="C7097" s="191" t="str">
        <f>IF('IWP25'!E$489=0,"",'IWP25'!E$489)</f>
        <v/>
      </c>
      <c r="D7097" s="211">
        <f>'IWP25'!G$489</f>
        <v>0</v>
      </c>
      <c r="E7097" s="211">
        <f>'IWP25'!H$489</f>
        <v>0</v>
      </c>
      <c r="F7097" s="211">
        <f>'IWP25'!I$489</f>
        <v>0</v>
      </c>
      <c r="G7097" s="191" t="str">
        <f>IF('IWP25'!J$489=0,"",'IWP25'!J$489)</f>
        <v/>
      </c>
      <c r="H7097" s="211">
        <f>'IWP25'!K$489</f>
        <v>0</v>
      </c>
      <c r="I7097" s="211">
        <f>'IWP25'!L$489</f>
        <v>0</v>
      </c>
      <c r="J7097" s="212">
        <f>'IWP25'!M$489</f>
        <v>0</v>
      </c>
      <c r="K7097" s="106"/>
      <c r="L7097" s="106"/>
      <c r="M7097" s="129"/>
    </row>
    <row r="7098" spans="1:13" s="146" customFormat="1">
      <c r="A7098" s="193" t="s">
        <v>523</v>
      </c>
      <c r="B7098" s="210">
        <v>9</v>
      </c>
      <c r="C7098" s="191" t="str">
        <f>IF('IWP25'!E$490=0,"",'IWP25'!E$490)</f>
        <v/>
      </c>
      <c r="D7098" s="211">
        <f>'IWP25'!G$490</f>
        <v>0</v>
      </c>
      <c r="E7098" s="211">
        <f>'IWP25'!H$490</f>
        <v>0</v>
      </c>
      <c r="F7098" s="211">
        <f>'IWP25'!I$490</f>
        <v>0</v>
      </c>
      <c r="G7098" s="191" t="str">
        <f>IF('IWP25'!J$490=0,"",'IWP25'!J$490)</f>
        <v/>
      </c>
      <c r="H7098" s="211">
        <f>'IWP25'!K$490</f>
        <v>0</v>
      </c>
      <c r="I7098" s="211">
        <f>'IWP25'!L$490</f>
        <v>0</v>
      </c>
      <c r="J7098" s="212">
        <f>'IWP25'!M$490</f>
        <v>0</v>
      </c>
      <c r="K7098" s="106"/>
      <c r="L7098" s="106"/>
      <c r="M7098" s="129"/>
    </row>
    <row r="7099" spans="1:13" s="146" customFormat="1">
      <c r="A7099" s="193" t="s">
        <v>523</v>
      </c>
      <c r="B7099" s="210">
        <v>9</v>
      </c>
      <c r="C7099" s="191" t="str">
        <f>IF('IWP25'!E$491=0,"",'IWP25'!E$491)</f>
        <v/>
      </c>
      <c r="D7099" s="211">
        <f>'IWP25'!G$491</f>
        <v>0</v>
      </c>
      <c r="E7099" s="211">
        <f>'IWP25'!H$491</f>
        <v>0</v>
      </c>
      <c r="F7099" s="211">
        <f>'IWP25'!I$491</f>
        <v>0</v>
      </c>
      <c r="G7099" s="191" t="str">
        <f>IF('IWP25'!J$491=0,"",'IWP25'!J$491)</f>
        <v/>
      </c>
      <c r="H7099" s="211">
        <f>'IWP25'!K$491</f>
        <v>0</v>
      </c>
      <c r="I7099" s="211">
        <f>'IWP25'!L$491</f>
        <v>0</v>
      </c>
      <c r="J7099" s="212">
        <f>'IWP25'!M$491</f>
        <v>0</v>
      </c>
      <c r="K7099" s="106"/>
      <c r="L7099" s="106"/>
      <c r="M7099" s="129"/>
    </row>
    <row r="7100" spans="1:13" s="146" customFormat="1">
      <c r="A7100" s="193" t="s">
        <v>523</v>
      </c>
      <c r="B7100" s="210">
        <v>9</v>
      </c>
      <c r="C7100" s="191" t="str">
        <f>IF('IWP25'!E$492=0,"",'IWP25'!E$492)</f>
        <v/>
      </c>
      <c r="D7100" s="211">
        <f>'IWP25'!G$492</f>
        <v>0</v>
      </c>
      <c r="E7100" s="211">
        <f>'IWP25'!H$492</f>
        <v>0</v>
      </c>
      <c r="F7100" s="211">
        <f>'IWP25'!I$492</f>
        <v>0</v>
      </c>
      <c r="G7100" s="191" t="str">
        <f>IF('IWP25'!J$492=0,"",'IWP25'!J$492)</f>
        <v/>
      </c>
      <c r="H7100" s="211">
        <f>'IWP25'!K$492</f>
        <v>0</v>
      </c>
      <c r="I7100" s="211">
        <f>'IWP25'!L$492</f>
        <v>0</v>
      </c>
      <c r="J7100" s="212">
        <f>'IWP25'!M$492</f>
        <v>0</v>
      </c>
      <c r="K7100" s="106"/>
      <c r="L7100" s="106"/>
      <c r="M7100" s="129"/>
    </row>
    <row r="7101" spans="1:13" s="146" customFormat="1">
      <c r="A7101" s="193" t="s">
        <v>523</v>
      </c>
      <c r="B7101" s="210">
        <v>10</v>
      </c>
      <c r="C7101" s="191" t="str">
        <f>IF('IWP25'!E$499=0,"",'IWP25'!E$499)</f>
        <v>Subtotal column D.</v>
      </c>
      <c r="D7101" s="211">
        <f>'IWP25'!G$499</f>
        <v>0</v>
      </c>
      <c r="E7101" s="211">
        <f>'IWP25'!H$499</f>
        <v>0</v>
      </c>
      <c r="F7101" s="211">
        <f>'IWP25'!I$499</f>
        <v>0</v>
      </c>
      <c r="G7101" s="191" t="str">
        <f>IF('IWP25'!J$499=0,"",'IWP25'!J$499)</f>
        <v/>
      </c>
      <c r="H7101" s="211">
        <f>'IWP25'!K$499</f>
        <v>0</v>
      </c>
      <c r="I7101" s="211">
        <f>'IWP25'!L$499</f>
        <v>0</v>
      </c>
      <c r="J7101" s="212">
        <f>'IWP25'!M$499</f>
        <v>0</v>
      </c>
      <c r="K7101" s="106"/>
      <c r="L7101" s="106"/>
      <c r="M7101" s="129"/>
    </row>
    <row r="7102" spans="1:13" s="146" customFormat="1">
      <c r="A7102" s="193" t="s">
        <v>523</v>
      </c>
      <c r="B7102" s="210">
        <v>10</v>
      </c>
      <c r="C7102" s="191" t="str">
        <f>IF('IWP25'!E$500=0,"",'IWP25'!E$500)</f>
        <v>Unverified/Undocumented (Subtotal D - C)</v>
      </c>
      <c r="D7102" s="211">
        <f>'IWP25'!G$500</f>
        <v>0</v>
      </c>
      <c r="E7102" s="211">
        <f>'IWP25'!H$500</f>
        <v>0</v>
      </c>
      <c r="F7102" s="211">
        <f>'IWP25'!I$500</f>
        <v>0</v>
      </c>
      <c r="G7102" s="191" t="str">
        <f>IF('IWP25'!J$500=0,"",'IWP25'!J$500)</f>
        <v/>
      </c>
      <c r="H7102" s="211">
        <f>'IWP25'!K$500</f>
        <v>0</v>
      </c>
      <c r="I7102" s="211">
        <f>'IWP25'!L$500</f>
        <v>0</v>
      </c>
      <c r="J7102" s="212">
        <f>'IWP25'!M$500</f>
        <v>0</v>
      </c>
      <c r="K7102" s="106"/>
      <c r="L7102" s="106"/>
      <c r="M7102" s="129"/>
    </row>
    <row r="7103" spans="1:13" s="146" customFormat="1">
      <c r="A7103" s="193" t="s">
        <v>523</v>
      </c>
      <c r="B7103" s="210">
        <v>10</v>
      </c>
      <c r="C7103" s="191" t="str">
        <f>IF('IWP25'!E$501=0,"",'IWP25'!E$501)</f>
        <v>J. Billing Period Total</v>
      </c>
      <c r="D7103" s="211">
        <f>'IWP25'!G$501</f>
        <v>0</v>
      </c>
      <c r="E7103" s="211">
        <f>'IWP25'!H$501</f>
        <v>0</v>
      </c>
      <c r="F7103" s="211">
        <f>'IWP25'!I$501</f>
        <v>0</v>
      </c>
      <c r="G7103" s="191" t="str">
        <f>IF('IWP25'!J$501=0,"",'IWP25'!J$501)</f>
        <v/>
      </c>
      <c r="H7103" s="211">
        <f>'IWP25'!K$501</f>
        <v>0</v>
      </c>
      <c r="I7103" s="211">
        <f>'IWP25'!L$501</f>
        <v>0</v>
      </c>
      <c r="J7103" s="212">
        <f>'IWP25'!M$501</f>
        <v>0</v>
      </c>
      <c r="K7103" s="106"/>
      <c r="L7103" s="106"/>
      <c r="M7103" s="129"/>
    </row>
    <row r="7104" spans="1:13" s="146" customFormat="1">
      <c r="A7104" s="193" t="s">
        <v>523</v>
      </c>
      <c r="B7104" s="210">
        <v>10</v>
      </c>
      <c r="C7104" s="191" t="str">
        <f>IF('IWP25'!E$502=0,"",'IWP25'!E$502)</f>
        <v>D.</v>
      </c>
      <c r="D7104" s="211">
        <f>'IWP25'!G$502</f>
        <v>0</v>
      </c>
      <c r="E7104" s="211" t="str">
        <f>'IWP25'!H$502</f>
        <v>E.</v>
      </c>
      <c r="F7104" s="211" t="str">
        <f>'IWP25'!I$502</f>
        <v>F.</v>
      </c>
      <c r="G7104" s="191" t="str">
        <f>IF('IWP25'!J$502=0,"",'IWP25'!J$502)</f>
        <v>G.</v>
      </c>
      <c r="H7104" s="211">
        <f>'IWP25'!K$502</f>
        <v>0</v>
      </c>
      <c r="I7104" s="211" t="str">
        <f>'IWP25'!L$502</f>
        <v>H.</v>
      </c>
      <c r="J7104" s="212" t="str">
        <f>'IWP25'!M$502</f>
        <v>I.</v>
      </c>
      <c r="K7104" s="106"/>
      <c r="L7104" s="106"/>
      <c r="M7104" s="129"/>
    </row>
    <row r="7105" spans="1:13" s="146" customFormat="1">
      <c r="A7105" s="193" t="s">
        <v>523</v>
      </c>
      <c r="B7105" s="210">
        <v>10</v>
      </c>
      <c r="C7105" s="191" t="str">
        <f>IF('IWP25'!E$503=0,"",'IWP25'!E$503)</f>
        <v xml:space="preserve">Items/Services Related to Billing Period </v>
      </c>
      <c r="D7105" s="211">
        <f>'IWP25'!G$503</f>
        <v>0</v>
      </c>
      <c r="E7105" s="211" t="str">
        <f>'IWP25'!H$503</f>
        <v xml:space="preserve">Item/
Service Verified Amounts
</v>
      </c>
      <c r="F7105" s="211" t="str">
        <f>'IWP25'!I$503</f>
        <v>Amount Due to DADS (E. - D.)</v>
      </c>
      <c r="G7105" s="191" t="str">
        <f>IF('IWP25'!J$503=0,"",'IWP25'!J$503)</f>
        <v>Amount Reimbursed to 
Employee(s)/Employer</v>
      </c>
      <c r="H7105" s="211">
        <f>'IWP25'!K$503</f>
        <v>0</v>
      </c>
      <c r="I7105" s="211" t="str">
        <f>'IWP25'!L$503</f>
        <v>Amount Due to Employee(s) (G. - E.)</v>
      </c>
      <c r="J7105" s="212" t="str">
        <f>'IWP25'!M$503</f>
        <v>Amount Due to Employer (G. - E.)</v>
      </c>
      <c r="K7105" s="106"/>
      <c r="L7105" s="106"/>
      <c r="M7105" s="129"/>
    </row>
    <row r="7106" spans="1:13" s="146" customFormat="1">
      <c r="A7106" s="193" t="s">
        <v>523</v>
      </c>
      <c r="B7106" s="210">
        <v>10</v>
      </c>
      <c r="C7106" s="191" t="str">
        <f>IF('IWP25'!E$504=0,"",'IWP25'!E$504)</f>
        <v>Item/Service</v>
      </c>
      <c r="D7106" s="211" t="str">
        <f>'IWP25'!G$504</f>
        <v>Itemized Amount Paid by DADS</v>
      </c>
      <c r="E7106" s="211">
        <f>'IWP25'!H$504</f>
        <v>0</v>
      </c>
      <c r="F7106" s="211">
        <f>'IWP25'!I$504</f>
        <v>0</v>
      </c>
      <c r="G7106" s="191" t="str">
        <f>IF('IWP25'!J$504=0,"",'IWP25'!J$504)</f>
        <v/>
      </c>
      <c r="H7106" s="211">
        <f>'IWP25'!K$504</f>
        <v>0</v>
      </c>
      <c r="I7106" s="211">
        <f>'IWP25'!L$504</f>
        <v>0</v>
      </c>
      <c r="J7106" s="212">
        <f>'IWP25'!M$504</f>
        <v>0</v>
      </c>
      <c r="K7106" s="106"/>
      <c r="L7106" s="106"/>
      <c r="M7106" s="129"/>
    </row>
    <row r="7107" spans="1:13" s="146" customFormat="1">
      <c r="A7107" s="193" t="s">
        <v>523</v>
      </c>
      <c r="B7107" s="210">
        <v>10</v>
      </c>
      <c r="C7107" s="191" t="str">
        <f>IF('IWP25'!E$505=0,"",'IWP25'!E$505)</f>
        <v/>
      </c>
      <c r="D7107" s="211">
        <f>'IWP25'!G$505</f>
        <v>0</v>
      </c>
      <c r="E7107" s="211">
        <f>'IWP25'!H$505</f>
        <v>0</v>
      </c>
      <c r="F7107" s="211">
        <f>'IWP25'!I$505</f>
        <v>0</v>
      </c>
      <c r="G7107" s="191" t="str">
        <f>IF('IWP25'!J$505=0,"",'IWP25'!J$505)</f>
        <v/>
      </c>
      <c r="H7107" s="211">
        <f>'IWP25'!K$505</f>
        <v>0</v>
      </c>
      <c r="I7107" s="211">
        <f>'IWP25'!L$505</f>
        <v>0</v>
      </c>
      <c r="J7107" s="212">
        <f>'IWP25'!M$505</f>
        <v>0</v>
      </c>
      <c r="K7107" s="106"/>
      <c r="L7107" s="106"/>
      <c r="M7107" s="129"/>
    </row>
    <row r="7108" spans="1:13" s="146" customFormat="1">
      <c r="A7108" s="193" t="s">
        <v>523</v>
      </c>
      <c r="B7108" s="210">
        <v>10</v>
      </c>
      <c r="C7108" s="191" t="str">
        <f>IF('IWP25'!E$506=0,"",'IWP25'!E$506)</f>
        <v/>
      </c>
      <c r="D7108" s="211">
        <f>'IWP25'!G$506</f>
        <v>0</v>
      </c>
      <c r="E7108" s="211">
        <f>'IWP25'!H$506</f>
        <v>0</v>
      </c>
      <c r="F7108" s="211">
        <f>'IWP25'!I$506</f>
        <v>0</v>
      </c>
      <c r="G7108" s="191" t="str">
        <f>IF('IWP25'!J$506=0,"",'IWP25'!J$506)</f>
        <v/>
      </c>
      <c r="H7108" s="211">
        <f>'IWP25'!K$506</f>
        <v>0</v>
      </c>
      <c r="I7108" s="211">
        <f>'IWP25'!L$506</f>
        <v>0</v>
      </c>
      <c r="J7108" s="212">
        <f>'IWP25'!M$506</f>
        <v>0</v>
      </c>
      <c r="K7108" s="106"/>
      <c r="L7108" s="106"/>
      <c r="M7108" s="129"/>
    </row>
    <row r="7109" spans="1:13" s="146" customFormat="1">
      <c r="A7109" s="193" t="s">
        <v>523</v>
      </c>
      <c r="B7109" s="210">
        <v>10</v>
      </c>
      <c r="C7109" s="191" t="str">
        <f>IF('IWP25'!E$507=0,"",'IWP25'!E$507)</f>
        <v/>
      </c>
      <c r="D7109" s="211">
        <f>'IWP25'!G$507</f>
        <v>0</v>
      </c>
      <c r="E7109" s="211">
        <f>'IWP25'!H$507</f>
        <v>0</v>
      </c>
      <c r="F7109" s="211">
        <f>'IWP25'!I$507</f>
        <v>0</v>
      </c>
      <c r="G7109" s="191" t="str">
        <f>IF('IWP25'!J$507=0,"",'IWP25'!J$507)</f>
        <v/>
      </c>
      <c r="H7109" s="211">
        <f>'IWP25'!K$507</f>
        <v>0</v>
      </c>
      <c r="I7109" s="211">
        <f>'IWP25'!L$507</f>
        <v>0</v>
      </c>
      <c r="J7109" s="212">
        <f>'IWP25'!M$507</f>
        <v>0</v>
      </c>
      <c r="K7109" s="106"/>
      <c r="L7109" s="106"/>
      <c r="M7109" s="129"/>
    </row>
    <row r="7110" spans="1:13" s="146" customFormat="1">
      <c r="A7110" s="193" t="s">
        <v>523</v>
      </c>
      <c r="B7110" s="210">
        <v>10</v>
      </c>
      <c r="C7110" s="191" t="str">
        <f>IF('IWP25'!E$508=0,"",'IWP25'!E$508)</f>
        <v/>
      </c>
      <c r="D7110" s="211">
        <f>'IWP25'!G$508</f>
        <v>0</v>
      </c>
      <c r="E7110" s="211">
        <f>'IWP25'!H$508</f>
        <v>0</v>
      </c>
      <c r="F7110" s="211">
        <f>'IWP25'!I$508</f>
        <v>0</v>
      </c>
      <c r="G7110" s="191" t="str">
        <f>IF('IWP25'!J$508=0,"",'IWP25'!J$508)</f>
        <v/>
      </c>
      <c r="H7110" s="211">
        <f>'IWP25'!K$508</f>
        <v>0</v>
      </c>
      <c r="I7110" s="211">
        <f>'IWP25'!L$508</f>
        <v>0</v>
      </c>
      <c r="J7110" s="212">
        <f>'IWP25'!M$508</f>
        <v>0</v>
      </c>
      <c r="K7110" s="106"/>
      <c r="L7110" s="106"/>
      <c r="M7110" s="129"/>
    </row>
    <row r="7111" spans="1:13" s="146" customFormat="1">
      <c r="A7111" s="193" t="s">
        <v>523</v>
      </c>
      <c r="B7111" s="210">
        <v>11</v>
      </c>
      <c r="C7111" s="191" t="str">
        <f>IF('IWP25'!E$515=0,"",'IWP25'!E$515)</f>
        <v>Subtotal column D.</v>
      </c>
      <c r="D7111" s="211">
        <f>'IWP25'!G$515</f>
        <v>0</v>
      </c>
      <c r="E7111" s="211">
        <f>'IWP25'!H$515</f>
        <v>0</v>
      </c>
      <c r="F7111" s="211">
        <f>'IWP25'!I$515</f>
        <v>0</v>
      </c>
      <c r="G7111" s="191" t="str">
        <f>IF('IWP25'!J$515=0,"",'IWP25'!J$515)</f>
        <v/>
      </c>
      <c r="H7111" s="211">
        <f>'IWP25'!K$515</f>
        <v>0</v>
      </c>
      <c r="I7111" s="211">
        <f>'IWP25'!L$515</f>
        <v>0</v>
      </c>
      <c r="J7111" s="212">
        <f>'IWP25'!M$515</f>
        <v>0</v>
      </c>
      <c r="K7111" s="106"/>
      <c r="L7111" s="106"/>
      <c r="M7111" s="129"/>
    </row>
    <row r="7112" spans="1:13" s="146" customFormat="1">
      <c r="A7112" s="193" t="s">
        <v>523</v>
      </c>
      <c r="B7112" s="210">
        <v>11</v>
      </c>
      <c r="C7112" s="191" t="str">
        <f>IF('IWP25'!E$516=0,"",'IWP25'!E$516)</f>
        <v>Unverified/Undocumented (Subtotal D - C)</v>
      </c>
      <c r="D7112" s="211">
        <f>'IWP25'!G$516</f>
        <v>0</v>
      </c>
      <c r="E7112" s="211">
        <f>'IWP25'!H$516</f>
        <v>0</v>
      </c>
      <c r="F7112" s="211">
        <f>'IWP25'!I$516</f>
        <v>0</v>
      </c>
      <c r="G7112" s="191" t="str">
        <f>IF('IWP25'!J$516=0,"",'IWP25'!J$516)</f>
        <v/>
      </c>
      <c r="H7112" s="211">
        <f>'IWP25'!K$516</f>
        <v>0</v>
      </c>
      <c r="I7112" s="211">
        <f>'IWP25'!L$516</f>
        <v>0</v>
      </c>
      <c r="J7112" s="212">
        <f>'IWP25'!M$516</f>
        <v>0</v>
      </c>
      <c r="K7112" s="106"/>
      <c r="L7112" s="106"/>
      <c r="M7112" s="129"/>
    </row>
    <row r="7113" spans="1:13" s="146" customFormat="1">
      <c r="A7113" s="193" t="s">
        <v>523</v>
      </c>
      <c r="B7113" s="210">
        <v>11</v>
      </c>
      <c r="C7113" s="191" t="str">
        <f>IF('IWP25'!E$517=0,"",'IWP25'!E$517)</f>
        <v>J. Billing Period Total</v>
      </c>
      <c r="D7113" s="211">
        <f>'IWP25'!G$517</f>
        <v>0</v>
      </c>
      <c r="E7113" s="211">
        <f>'IWP25'!H$517</f>
        <v>0</v>
      </c>
      <c r="F7113" s="211">
        <f>'IWP25'!I$517</f>
        <v>0</v>
      </c>
      <c r="G7113" s="191" t="str">
        <f>IF('IWP25'!J$517=0,"",'IWP25'!J$517)</f>
        <v/>
      </c>
      <c r="H7113" s="211">
        <f>'IWP25'!K$517</f>
        <v>0</v>
      </c>
      <c r="I7113" s="211">
        <f>'IWP25'!L$517</f>
        <v>0</v>
      </c>
      <c r="J7113" s="212">
        <f>'IWP25'!M$517</f>
        <v>0</v>
      </c>
      <c r="K7113" s="106"/>
      <c r="L7113" s="106"/>
      <c r="M7113" s="129"/>
    </row>
    <row r="7114" spans="1:13" s="146" customFormat="1">
      <c r="A7114" s="193" t="s">
        <v>523</v>
      </c>
      <c r="B7114" s="210">
        <v>11</v>
      </c>
      <c r="C7114" s="191" t="str">
        <f>IF('IWP25'!E$518=0,"",'IWP25'!E$518)</f>
        <v>D.</v>
      </c>
      <c r="D7114" s="211">
        <f>'IWP25'!G$518</f>
        <v>0</v>
      </c>
      <c r="E7114" s="211" t="str">
        <f>'IWP25'!H$518</f>
        <v>E.</v>
      </c>
      <c r="F7114" s="211" t="str">
        <f>'IWP25'!I$518</f>
        <v>F.</v>
      </c>
      <c r="G7114" s="191" t="str">
        <f>IF('IWP25'!J$518=0,"",'IWP25'!J$518)</f>
        <v>G.</v>
      </c>
      <c r="H7114" s="211">
        <f>'IWP25'!K$518</f>
        <v>0</v>
      </c>
      <c r="I7114" s="211" t="str">
        <f>'IWP25'!L$518</f>
        <v>H.</v>
      </c>
      <c r="J7114" s="212" t="str">
        <f>'IWP25'!M$518</f>
        <v>I.</v>
      </c>
      <c r="K7114" s="106"/>
      <c r="L7114" s="106"/>
      <c r="M7114" s="129"/>
    </row>
    <row r="7115" spans="1:13" s="146" customFormat="1">
      <c r="A7115" s="193" t="s">
        <v>523</v>
      </c>
      <c r="B7115" s="210">
        <v>11</v>
      </c>
      <c r="C7115" s="191" t="str">
        <f>IF('IWP25'!E$519=0,"",'IWP25'!E$519)</f>
        <v xml:space="preserve">Items/Services Related to Billing Period </v>
      </c>
      <c r="D7115" s="211">
        <f>'IWP25'!G$519</f>
        <v>0</v>
      </c>
      <c r="E7115" s="211" t="str">
        <f>'IWP25'!H$519</f>
        <v xml:space="preserve">Item/
Service Verified Amounts
</v>
      </c>
      <c r="F7115" s="211" t="str">
        <f>'IWP25'!I$519</f>
        <v>Amount Due to DADS (E. - D.)</v>
      </c>
      <c r="G7115" s="191" t="str">
        <f>IF('IWP25'!J$519=0,"",'IWP25'!J$519)</f>
        <v>Amount Reimbursed to 
Employee(s)/Employer</v>
      </c>
      <c r="H7115" s="211">
        <f>'IWP25'!K$519</f>
        <v>0</v>
      </c>
      <c r="I7115" s="211" t="str">
        <f>'IWP25'!L$519</f>
        <v>Amount Due to Employee(s) (G. - E.)</v>
      </c>
      <c r="J7115" s="212" t="str">
        <f>'IWP25'!M$519</f>
        <v>Amount Due to Employer (G. - E.)</v>
      </c>
      <c r="K7115" s="106"/>
      <c r="L7115" s="106"/>
      <c r="M7115" s="129"/>
    </row>
    <row r="7116" spans="1:13" s="146" customFormat="1">
      <c r="A7116" s="193" t="s">
        <v>523</v>
      </c>
      <c r="B7116" s="210">
        <v>11</v>
      </c>
      <c r="C7116" s="191" t="str">
        <f>IF('IWP25'!E$520=0,"",'IWP25'!E$520)</f>
        <v>Item/Service</v>
      </c>
      <c r="D7116" s="211" t="str">
        <f>'IWP25'!G$520</f>
        <v>Itemized Amount Paid by DADS</v>
      </c>
      <c r="E7116" s="211">
        <f>'IWP25'!H$520</f>
        <v>0</v>
      </c>
      <c r="F7116" s="211">
        <f>'IWP25'!I$520</f>
        <v>0</v>
      </c>
      <c r="G7116" s="191" t="str">
        <f>IF('IWP25'!J$520=0,"",'IWP25'!J$520)</f>
        <v/>
      </c>
      <c r="H7116" s="211">
        <f>'IWP25'!K$520</f>
        <v>0</v>
      </c>
      <c r="I7116" s="211">
        <f>'IWP25'!L$520</f>
        <v>0</v>
      </c>
      <c r="J7116" s="212">
        <f>'IWP25'!M$520</f>
        <v>0</v>
      </c>
      <c r="K7116" s="106"/>
      <c r="L7116" s="106"/>
      <c r="M7116" s="129"/>
    </row>
    <row r="7117" spans="1:13" s="146" customFormat="1">
      <c r="A7117" s="193" t="s">
        <v>523</v>
      </c>
      <c r="B7117" s="210">
        <v>11</v>
      </c>
      <c r="C7117" s="191" t="str">
        <f>IF('IWP25'!E$521=0,"",'IWP25'!E$521)</f>
        <v/>
      </c>
      <c r="D7117" s="211">
        <f>'IWP25'!G$521</f>
        <v>0</v>
      </c>
      <c r="E7117" s="211">
        <f>'IWP25'!H$521</f>
        <v>0</v>
      </c>
      <c r="F7117" s="211">
        <f>'IWP25'!I$521</f>
        <v>0</v>
      </c>
      <c r="G7117" s="191" t="str">
        <f>IF('IWP25'!J$521=0,"",'IWP25'!J$521)</f>
        <v/>
      </c>
      <c r="H7117" s="211">
        <f>'IWP25'!K$521</f>
        <v>0</v>
      </c>
      <c r="I7117" s="211">
        <f>'IWP25'!L$521</f>
        <v>0</v>
      </c>
      <c r="J7117" s="212">
        <f>'IWP25'!M$521</f>
        <v>0</v>
      </c>
      <c r="K7117" s="106"/>
      <c r="L7117" s="106"/>
      <c r="M7117" s="129"/>
    </row>
    <row r="7118" spans="1:13" s="146" customFormat="1">
      <c r="A7118" s="193" t="s">
        <v>523</v>
      </c>
      <c r="B7118" s="210">
        <v>11</v>
      </c>
      <c r="C7118" s="191" t="str">
        <f>IF('IWP25'!E$522=0,"",'IWP25'!E$522)</f>
        <v/>
      </c>
      <c r="D7118" s="211">
        <f>'IWP25'!G$522</f>
        <v>0</v>
      </c>
      <c r="E7118" s="211">
        <f>'IWP25'!H$522</f>
        <v>0</v>
      </c>
      <c r="F7118" s="211">
        <f>'IWP25'!I$522</f>
        <v>0</v>
      </c>
      <c r="G7118" s="191" t="str">
        <f>IF('IWP25'!J$522=0,"",'IWP25'!J$522)</f>
        <v/>
      </c>
      <c r="H7118" s="211">
        <f>'IWP25'!K$522</f>
        <v>0</v>
      </c>
      <c r="I7118" s="211">
        <f>'IWP25'!L$522</f>
        <v>0</v>
      </c>
      <c r="J7118" s="212">
        <f>'IWP25'!M$522</f>
        <v>0</v>
      </c>
      <c r="K7118" s="106"/>
      <c r="L7118" s="106"/>
      <c r="M7118" s="129"/>
    </row>
    <row r="7119" spans="1:13" s="146" customFormat="1">
      <c r="A7119" s="193" t="s">
        <v>523</v>
      </c>
      <c r="B7119" s="210">
        <v>11</v>
      </c>
      <c r="C7119" s="191" t="str">
        <f>IF('IWP25'!E$523=0,"",'IWP25'!E$523)</f>
        <v/>
      </c>
      <c r="D7119" s="211">
        <f>'IWP25'!G$523</f>
        <v>0</v>
      </c>
      <c r="E7119" s="211">
        <f>'IWP25'!H$523</f>
        <v>0</v>
      </c>
      <c r="F7119" s="211">
        <f>'IWP25'!I$523</f>
        <v>0</v>
      </c>
      <c r="G7119" s="191" t="str">
        <f>IF('IWP25'!J$523=0,"",'IWP25'!J$523)</f>
        <v/>
      </c>
      <c r="H7119" s="211">
        <f>'IWP25'!K$523</f>
        <v>0</v>
      </c>
      <c r="I7119" s="211">
        <f>'IWP25'!L$523</f>
        <v>0</v>
      </c>
      <c r="J7119" s="212">
        <f>'IWP25'!M$523</f>
        <v>0</v>
      </c>
      <c r="K7119" s="106"/>
      <c r="L7119" s="106"/>
      <c r="M7119" s="129"/>
    </row>
    <row r="7120" spans="1:13" s="146" customFormat="1">
      <c r="A7120" s="193" t="s">
        <v>523</v>
      </c>
      <c r="B7120" s="210">
        <v>11</v>
      </c>
      <c r="C7120" s="191" t="str">
        <f>IF('IWP25'!E$524=0,"",'IWP25'!E$524)</f>
        <v/>
      </c>
      <c r="D7120" s="211">
        <f>'IWP25'!G$524</f>
        <v>0</v>
      </c>
      <c r="E7120" s="211">
        <f>'IWP25'!H$524</f>
        <v>0</v>
      </c>
      <c r="F7120" s="211">
        <f>'IWP25'!I$524</f>
        <v>0</v>
      </c>
      <c r="G7120" s="191" t="str">
        <f>IF('IWP25'!J$524=0,"",'IWP25'!J$524)</f>
        <v/>
      </c>
      <c r="H7120" s="211">
        <f>'IWP25'!K$524</f>
        <v>0</v>
      </c>
      <c r="I7120" s="211">
        <f>'IWP25'!L$524</f>
        <v>0</v>
      </c>
      <c r="J7120" s="212">
        <f>'IWP25'!M$524</f>
        <v>0</v>
      </c>
      <c r="K7120" s="106"/>
      <c r="L7120" s="106"/>
      <c r="M7120" s="129"/>
    </row>
    <row r="7121" spans="1:13" s="146" customFormat="1">
      <c r="A7121" s="193" t="s">
        <v>523</v>
      </c>
      <c r="B7121" s="210">
        <v>12</v>
      </c>
      <c r="C7121" s="191" t="str">
        <f>IF('IWP25'!E$531=0,"",'IWP25'!E$531)</f>
        <v>Subtotal column D.</v>
      </c>
      <c r="D7121" s="211">
        <f>'IWP25'!G$531</f>
        <v>0</v>
      </c>
      <c r="E7121" s="211">
        <f>'IWP25'!H$531</f>
        <v>0</v>
      </c>
      <c r="F7121" s="211">
        <f>'IWP25'!I$531</f>
        <v>0</v>
      </c>
      <c r="G7121" s="191" t="str">
        <f>IF('IWP25'!J$531=0,"",'IWP25'!J$531)</f>
        <v/>
      </c>
      <c r="H7121" s="211">
        <f>'IWP25'!K$531</f>
        <v>0</v>
      </c>
      <c r="I7121" s="211">
        <f>'IWP25'!L$531</f>
        <v>0</v>
      </c>
      <c r="J7121" s="212">
        <f>'IWP25'!M$531</f>
        <v>0</v>
      </c>
      <c r="K7121" s="106"/>
      <c r="L7121" s="106"/>
      <c r="M7121" s="129"/>
    </row>
    <row r="7122" spans="1:13" s="146" customFormat="1">
      <c r="A7122" s="193" t="s">
        <v>523</v>
      </c>
      <c r="B7122" s="210">
        <v>12</v>
      </c>
      <c r="C7122" s="191" t="str">
        <f>IF('IWP25'!E$532=0,"",'IWP25'!E$532)</f>
        <v>Unverified/Undocumented (Subtotal D - C)</v>
      </c>
      <c r="D7122" s="211">
        <f>'IWP25'!G$532</f>
        <v>0</v>
      </c>
      <c r="E7122" s="211">
        <f>'IWP25'!H$532</f>
        <v>0</v>
      </c>
      <c r="F7122" s="211">
        <f>'IWP25'!I$532</f>
        <v>0</v>
      </c>
      <c r="G7122" s="191" t="str">
        <f>IF('IWP25'!J$532=0,"",'IWP25'!J$532)</f>
        <v/>
      </c>
      <c r="H7122" s="211">
        <f>'IWP25'!K$532</f>
        <v>0</v>
      </c>
      <c r="I7122" s="211">
        <f>'IWP25'!L$532</f>
        <v>0</v>
      </c>
      <c r="J7122" s="212">
        <f>'IWP25'!M$532</f>
        <v>0</v>
      </c>
      <c r="K7122" s="106"/>
      <c r="L7122" s="106"/>
      <c r="M7122" s="129"/>
    </row>
    <row r="7123" spans="1:13" s="146" customFormat="1">
      <c r="A7123" s="193" t="s">
        <v>523</v>
      </c>
      <c r="B7123" s="210">
        <v>12</v>
      </c>
      <c r="C7123" s="191" t="str">
        <f>IF('IWP25'!E$533=0,"",'IWP25'!E$533)</f>
        <v>J. Billing Period Total</v>
      </c>
      <c r="D7123" s="211">
        <f>'IWP25'!G$533</f>
        <v>0</v>
      </c>
      <c r="E7123" s="211">
        <f>'IWP25'!H$533</f>
        <v>0</v>
      </c>
      <c r="F7123" s="211">
        <f>'IWP25'!I$533</f>
        <v>0</v>
      </c>
      <c r="G7123" s="191" t="str">
        <f>IF('IWP25'!J$533=0,"",'IWP25'!J$533)</f>
        <v/>
      </c>
      <c r="H7123" s="211">
        <f>'IWP25'!K$533</f>
        <v>0</v>
      </c>
      <c r="I7123" s="211">
        <f>'IWP25'!L$533</f>
        <v>0</v>
      </c>
      <c r="J7123" s="212">
        <f>'IWP25'!M$533</f>
        <v>0</v>
      </c>
      <c r="K7123" s="106"/>
      <c r="L7123" s="106"/>
      <c r="M7123" s="129"/>
    </row>
    <row r="7124" spans="1:13" s="146" customFormat="1">
      <c r="A7124" s="193" t="s">
        <v>523</v>
      </c>
      <c r="B7124" s="210">
        <v>12</v>
      </c>
      <c r="C7124" s="191" t="str">
        <f>IF('IWP25'!E$534=0,"",'IWP25'!E$534)</f>
        <v>D.</v>
      </c>
      <c r="D7124" s="211">
        <f>'IWP25'!G$534</f>
        <v>0</v>
      </c>
      <c r="E7124" s="211" t="str">
        <f>'IWP25'!H$534</f>
        <v>E.</v>
      </c>
      <c r="F7124" s="211" t="str">
        <f>'IWP25'!I$534</f>
        <v>F.</v>
      </c>
      <c r="G7124" s="191" t="str">
        <f>IF('IWP25'!J$534=0,"",'IWP25'!J$534)</f>
        <v>G.</v>
      </c>
      <c r="H7124" s="211">
        <f>'IWP25'!K$534</f>
        <v>0</v>
      </c>
      <c r="I7124" s="211" t="str">
        <f>'IWP25'!L$534</f>
        <v>H.</v>
      </c>
      <c r="J7124" s="212" t="str">
        <f>'IWP25'!M$534</f>
        <v>I.</v>
      </c>
      <c r="K7124" s="106"/>
      <c r="L7124" s="106"/>
      <c r="M7124" s="129"/>
    </row>
    <row r="7125" spans="1:13" s="146" customFormat="1">
      <c r="A7125" s="193" t="s">
        <v>523</v>
      </c>
      <c r="B7125" s="210">
        <v>12</v>
      </c>
      <c r="C7125" s="191" t="str">
        <f>IF('IWP25'!E$535=0,"",'IWP25'!E$535)</f>
        <v xml:space="preserve">Items/Services Related to Billing Period </v>
      </c>
      <c r="D7125" s="211">
        <f>'IWP25'!G$535</f>
        <v>0</v>
      </c>
      <c r="E7125" s="211" t="str">
        <f>'IWP25'!H$535</f>
        <v xml:space="preserve">Item/
Service Verified Amounts
</v>
      </c>
      <c r="F7125" s="211" t="str">
        <f>'IWP25'!I$535</f>
        <v>Amount Due to DADS (E. - D.)</v>
      </c>
      <c r="G7125" s="191" t="str">
        <f>IF('IWP25'!J$535=0,"",'IWP25'!J$535)</f>
        <v>Amount Reimbursed to 
Employee(s)/Employer</v>
      </c>
      <c r="H7125" s="211">
        <f>'IWP25'!K$535</f>
        <v>0</v>
      </c>
      <c r="I7125" s="211" t="str">
        <f>'IWP25'!L$535</f>
        <v>Amount Due to Employee(s) (G. - E.)</v>
      </c>
      <c r="J7125" s="212" t="str">
        <f>'IWP25'!M$535</f>
        <v>Amount Due to Employer (G. - E.)</v>
      </c>
      <c r="K7125" s="106"/>
      <c r="L7125" s="106"/>
      <c r="M7125" s="129"/>
    </row>
    <row r="7126" spans="1:13" s="146" customFormat="1">
      <c r="A7126" s="193" t="s">
        <v>523</v>
      </c>
      <c r="B7126" s="210">
        <v>12</v>
      </c>
      <c r="C7126" s="191" t="str">
        <f>IF('IWP25'!E$536=0,"",'IWP25'!E$536)</f>
        <v>Item/Service</v>
      </c>
      <c r="D7126" s="211" t="str">
        <f>'IWP25'!G$536</f>
        <v>Itemized Amount Paid by DADS</v>
      </c>
      <c r="E7126" s="211">
        <f>'IWP25'!H$536</f>
        <v>0</v>
      </c>
      <c r="F7126" s="211">
        <f>'IWP25'!I$536</f>
        <v>0</v>
      </c>
      <c r="G7126" s="191" t="str">
        <f>IF('IWP25'!J$536=0,"",'IWP25'!J$536)</f>
        <v/>
      </c>
      <c r="H7126" s="211">
        <f>'IWP25'!K$536</f>
        <v>0</v>
      </c>
      <c r="I7126" s="211">
        <f>'IWP25'!L$536</f>
        <v>0</v>
      </c>
      <c r="J7126" s="212">
        <f>'IWP25'!M$536</f>
        <v>0</v>
      </c>
      <c r="K7126" s="106"/>
      <c r="L7126" s="106"/>
      <c r="M7126" s="129"/>
    </row>
    <row r="7127" spans="1:13" s="146" customFormat="1">
      <c r="A7127" s="193" t="s">
        <v>523</v>
      </c>
      <c r="B7127" s="210">
        <v>12</v>
      </c>
      <c r="C7127" s="191" t="str">
        <f>IF('IWP25'!E$537=0,"",'IWP25'!E$537)</f>
        <v/>
      </c>
      <c r="D7127" s="211">
        <f>'IWP25'!G$537</f>
        <v>0</v>
      </c>
      <c r="E7127" s="211">
        <f>'IWP25'!H$537</f>
        <v>0</v>
      </c>
      <c r="F7127" s="211">
        <f>'IWP25'!I$537</f>
        <v>0</v>
      </c>
      <c r="G7127" s="191" t="str">
        <f>IF('IWP25'!J$537=0,"",'IWP25'!J$537)</f>
        <v/>
      </c>
      <c r="H7127" s="211">
        <f>'IWP25'!K$537</f>
        <v>0</v>
      </c>
      <c r="I7127" s="211">
        <f>'IWP25'!L$537</f>
        <v>0</v>
      </c>
      <c r="J7127" s="212">
        <f>'IWP25'!M$537</f>
        <v>0</v>
      </c>
      <c r="K7127" s="106"/>
      <c r="L7127" s="106"/>
      <c r="M7127" s="129"/>
    </row>
    <row r="7128" spans="1:13" s="146" customFormat="1">
      <c r="A7128" s="193" t="s">
        <v>523</v>
      </c>
      <c r="B7128" s="210">
        <v>12</v>
      </c>
      <c r="C7128" s="191" t="str">
        <f>IF('IWP25'!E$538=0,"",'IWP25'!E$538)</f>
        <v/>
      </c>
      <c r="D7128" s="211">
        <f>'IWP25'!G$538</f>
        <v>0</v>
      </c>
      <c r="E7128" s="211">
        <f>'IWP25'!H$538</f>
        <v>0</v>
      </c>
      <c r="F7128" s="211">
        <f>'IWP25'!I$538</f>
        <v>0</v>
      </c>
      <c r="G7128" s="191" t="str">
        <f>IF('IWP25'!J$538=0,"",'IWP25'!J$538)</f>
        <v/>
      </c>
      <c r="H7128" s="211">
        <f>'IWP25'!K$538</f>
        <v>0</v>
      </c>
      <c r="I7128" s="211">
        <f>'IWP25'!L$538</f>
        <v>0</v>
      </c>
      <c r="J7128" s="212">
        <f>'IWP25'!M$538</f>
        <v>0</v>
      </c>
      <c r="K7128" s="106"/>
      <c r="L7128" s="106"/>
      <c r="M7128" s="129"/>
    </row>
    <row r="7129" spans="1:13" s="146" customFormat="1">
      <c r="A7129" s="193" t="s">
        <v>523</v>
      </c>
      <c r="B7129" s="210">
        <v>12</v>
      </c>
      <c r="C7129" s="191" t="str">
        <f>IF('IWP25'!E$539=0,"",'IWP25'!E$539)</f>
        <v/>
      </c>
      <c r="D7129" s="211">
        <f>'IWP25'!G$539</f>
        <v>0</v>
      </c>
      <c r="E7129" s="211">
        <f>'IWP25'!H$539</f>
        <v>0</v>
      </c>
      <c r="F7129" s="211">
        <f>'IWP25'!I$539</f>
        <v>0</v>
      </c>
      <c r="G7129" s="191" t="str">
        <f>IF('IWP25'!J$539=0,"",'IWP25'!J$539)</f>
        <v/>
      </c>
      <c r="H7129" s="211">
        <f>'IWP25'!K$539</f>
        <v>0</v>
      </c>
      <c r="I7129" s="211">
        <f>'IWP25'!L$539</f>
        <v>0</v>
      </c>
      <c r="J7129" s="212">
        <f>'IWP25'!M$539</f>
        <v>0</v>
      </c>
      <c r="K7129" s="106"/>
      <c r="L7129" s="106"/>
      <c r="M7129" s="129"/>
    </row>
    <row r="7130" spans="1:13" s="146" customFormat="1">
      <c r="A7130" s="193" t="s">
        <v>523</v>
      </c>
      <c r="B7130" s="210">
        <v>12</v>
      </c>
      <c r="C7130" s="191" t="str">
        <f>IF('IWP25'!E$540=0,"",'IWP25'!E$540)</f>
        <v/>
      </c>
      <c r="D7130" s="211">
        <f>'IWP25'!G$540</f>
        <v>0</v>
      </c>
      <c r="E7130" s="211">
        <f>'IWP25'!H$540</f>
        <v>0</v>
      </c>
      <c r="F7130" s="211">
        <f>'IWP25'!I$540</f>
        <v>0</v>
      </c>
      <c r="G7130" s="191" t="str">
        <f>IF('IWP25'!J$540=0,"",'IWP25'!J$540)</f>
        <v/>
      </c>
      <c r="H7130" s="211">
        <f>'IWP25'!K$540</f>
        <v>0</v>
      </c>
      <c r="I7130" s="211">
        <f>'IWP25'!L$540</f>
        <v>0</v>
      </c>
      <c r="J7130" s="212">
        <f>'IWP25'!M$540</f>
        <v>0</v>
      </c>
      <c r="K7130" s="106"/>
      <c r="L7130" s="106"/>
      <c r="M7130" s="129"/>
    </row>
    <row r="7131" spans="1:13" s="146" customFormat="1">
      <c r="A7131" s="193" t="s">
        <v>523</v>
      </c>
      <c r="B7131" s="210">
        <v>13</v>
      </c>
      <c r="C7131" s="191" t="str">
        <f>IF('IWP25'!E$547=0,"",'IWP25'!E$547)</f>
        <v>Subtotal column D.</v>
      </c>
      <c r="D7131" s="211">
        <f>'IWP25'!G$547</f>
        <v>0</v>
      </c>
      <c r="E7131" s="211">
        <f>'IWP25'!H$547</f>
        <v>0</v>
      </c>
      <c r="F7131" s="211">
        <f>'IWP25'!I$547</f>
        <v>0</v>
      </c>
      <c r="G7131" s="191" t="str">
        <f>IF('IWP25'!J$547=0,"",'IWP25'!J$547)</f>
        <v/>
      </c>
      <c r="H7131" s="211">
        <f>'IWP25'!K$547</f>
        <v>0</v>
      </c>
      <c r="I7131" s="211">
        <f>'IWP25'!L$547</f>
        <v>0</v>
      </c>
      <c r="J7131" s="212">
        <f>'IWP25'!M$547</f>
        <v>0</v>
      </c>
      <c r="K7131" s="106"/>
      <c r="L7131" s="106"/>
      <c r="M7131" s="129"/>
    </row>
    <row r="7132" spans="1:13" s="146" customFormat="1">
      <c r="A7132" s="193" t="s">
        <v>523</v>
      </c>
      <c r="B7132" s="210">
        <v>13</v>
      </c>
      <c r="C7132" s="191" t="str">
        <f>IF('IWP25'!E$548=0,"",'IWP25'!E$548)</f>
        <v>Unverified/Undocumented (Subtotal D - C)</v>
      </c>
      <c r="D7132" s="211">
        <f>'IWP25'!G$548</f>
        <v>0</v>
      </c>
      <c r="E7132" s="211">
        <f>'IWP25'!H$548</f>
        <v>0</v>
      </c>
      <c r="F7132" s="211">
        <f>'IWP25'!I$548</f>
        <v>0</v>
      </c>
      <c r="G7132" s="191" t="str">
        <f>IF('IWP25'!J$548=0,"",'IWP25'!J$548)</f>
        <v/>
      </c>
      <c r="H7132" s="211">
        <f>'IWP25'!K$548</f>
        <v>0</v>
      </c>
      <c r="I7132" s="211">
        <f>'IWP25'!L$548</f>
        <v>0</v>
      </c>
      <c r="J7132" s="212">
        <f>'IWP25'!M$548</f>
        <v>0</v>
      </c>
      <c r="K7132" s="106"/>
      <c r="L7132" s="106"/>
      <c r="M7132" s="129"/>
    </row>
    <row r="7133" spans="1:13" s="146" customFormat="1">
      <c r="A7133" s="193" t="s">
        <v>523</v>
      </c>
      <c r="B7133" s="210">
        <v>13</v>
      </c>
      <c r="C7133" s="191" t="str">
        <f>IF('IWP25'!E$549=0,"",'IWP25'!E$549)</f>
        <v>J. Billing Period Total</v>
      </c>
      <c r="D7133" s="211">
        <f>'IWP25'!G$549</f>
        <v>0</v>
      </c>
      <c r="E7133" s="211">
        <f>'IWP25'!H$549</f>
        <v>0</v>
      </c>
      <c r="F7133" s="211">
        <f>'IWP25'!I$549</f>
        <v>0</v>
      </c>
      <c r="G7133" s="191" t="str">
        <f>IF('IWP25'!J$549=0,"",'IWP25'!J$549)</f>
        <v/>
      </c>
      <c r="H7133" s="211">
        <f>'IWP25'!K$549</f>
        <v>0</v>
      </c>
      <c r="I7133" s="211">
        <f>'IWP25'!L$549</f>
        <v>0</v>
      </c>
      <c r="J7133" s="212">
        <f>'IWP25'!M$549</f>
        <v>0</v>
      </c>
      <c r="K7133" s="106"/>
      <c r="L7133" s="106"/>
      <c r="M7133" s="129"/>
    </row>
    <row r="7134" spans="1:13" s="146" customFormat="1">
      <c r="A7134" s="193" t="s">
        <v>523</v>
      </c>
      <c r="B7134" s="210">
        <v>13</v>
      </c>
      <c r="C7134" s="191" t="str">
        <f>IF('IWP25'!E$550=0,"",'IWP25'!E$550)</f>
        <v>D.</v>
      </c>
      <c r="D7134" s="211">
        <f>'IWP25'!G$550</f>
        <v>0</v>
      </c>
      <c r="E7134" s="211" t="str">
        <f>'IWP25'!H$550</f>
        <v>E.</v>
      </c>
      <c r="F7134" s="211" t="str">
        <f>'IWP25'!I$550</f>
        <v>F.</v>
      </c>
      <c r="G7134" s="191" t="str">
        <f>IF('IWP25'!J$550=0,"",'IWP25'!J$550)</f>
        <v>G.</v>
      </c>
      <c r="H7134" s="211">
        <f>'IWP25'!K$550</f>
        <v>0</v>
      </c>
      <c r="I7134" s="211" t="str">
        <f>'IWP25'!L$550</f>
        <v>H.</v>
      </c>
      <c r="J7134" s="212" t="str">
        <f>'IWP25'!M$550</f>
        <v>I.</v>
      </c>
      <c r="K7134" s="106"/>
      <c r="L7134" s="106"/>
      <c r="M7134" s="129"/>
    </row>
    <row r="7135" spans="1:13" s="146" customFormat="1">
      <c r="A7135" s="193" t="s">
        <v>523</v>
      </c>
      <c r="B7135" s="210">
        <v>13</v>
      </c>
      <c r="C7135" s="191" t="str">
        <f>IF('IWP25'!E$551=0,"",'IWP25'!E$551)</f>
        <v xml:space="preserve">Items/Services Related to Billing Period </v>
      </c>
      <c r="D7135" s="211">
        <f>'IWP25'!G$551</f>
        <v>0</v>
      </c>
      <c r="E7135" s="211" t="str">
        <f>'IWP25'!H$551</f>
        <v xml:space="preserve">Item/
Service Verified Amounts
</v>
      </c>
      <c r="F7135" s="211" t="str">
        <f>'IWP25'!I$551</f>
        <v>Amount Due to DADS (E. - D.)</v>
      </c>
      <c r="G7135" s="191" t="str">
        <f>IF('IWP25'!J$551=0,"",'IWP25'!J$551)</f>
        <v>Amount Reimbursed to 
Employee(s)/Employer</v>
      </c>
      <c r="H7135" s="211">
        <f>'IWP25'!K$551</f>
        <v>0</v>
      </c>
      <c r="I7135" s="211" t="str">
        <f>'IWP25'!L$551</f>
        <v>Amount Due to Employee(s) (G. - E.)</v>
      </c>
      <c r="J7135" s="212" t="str">
        <f>'IWP25'!M$551</f>
        <v>Amount Due to Employer (G. - E.)</v>
      </c>
      <c r="K7135" s="106"/>
      <c r="L7135" s="106"/>
      <c r="M7135" s="129"/>
    </row>
    <row r="7136" spans="1:13" s="146" customFormat="1">
      <c r="A7136" s="193" t="s">
        <v>523</v>
      </c>
      <c r="B7136" s="210">
        <v>13</v>
      </c>
      <c r="C7136" s="191" t="str">
        <f>IF('IWP25'!E$552=0,"",'IWP25'!E$552)</f>
        <v>Item/Service</v>
      </c>
      <c r="D7136" s="211" t="str">
        <f>'IWP25'!G$552</f>
        <v>Itemized Amount Paid by DADS</v>
      </c>
      <c r="E7136" s="211">
        <f>'IWP25'!H$552</f>
        <v>0</v>
      </c>
      <c r="F7136" s="211">
        <f>'IWP25'!I$552</f>
        <v>0</v>
      </c>
      <c r="G7136" s="191" t="str">
        <f>IF('IWP25'!J$552=0,"",'IWP25'!J$552)</f>
        <v/>
      </c>
      <c r="H7136" s="211">
        <f>'IWP25'!K$552</f>
        <v>0</v>
      </c>
      <c r="I7136" s="211">
        <f>'IWP25'!L$552</f>
        <v>0</v>
      </c>
      <c r="J7136" s="212">
        <f>'IWP25'!M$552</f>
        <v>0</v>
      </c>
      <c r="K7136" s="106"/>
      <c r="L7136" s="106"/>
      <c r="M7136" s="129"/>
    </row>
    <row r="7137" spans="1:13" s="146" customFormat="1">
      <c r="A7137" s="193" t="s">
        <v>523</v>
      </c>
      <c r="B7137" s="210">
        <v>13</v>
      </c>
      <c r="C7137" s="191" t="str">
        <f>IF('IWP25'!E$553=0,"",'IWP25'!E$553)</f>
        <v/>
      </c>
      <c r="D7137" s="211">
        <f>'IWP25'!G$553</f>
        <v>0</v>
      </c>
      <c r="E7137" s="211">
        <f>'IWP25'!H$553</f>
        <v>0</v>
      </c>
      <c r="F7137" s="211">
        <f>'IWP25'!I$553</f>
        <v>0</v>
      </c>
      <c r="G7137" s="191" t="str">
        <f>IF('IWP25'!J$553=0,"",'IWP25'!J$553)</f>
        <v/>
      </c>
      <c r="H7137" s="211">
        <f>'IWP25'!K$553</f>
        <v>0</v>
      </c>
      <c r="I7137" s="211">
        <f>'IWP25'!L$553</f>
        <v>0</v>
      </c>
      <c r="J7137" s="212">
        <f>'IWP25'!M$553</f>
        <v>0</v>
      </c>
      <c r="K7137" s="106"/>
      <c r="L7137" s="106"/>
      <c r="M7137" s="129"/>
    </row>
    <row r="7138" spans="1:13" s="146" customFormat="1">
      <c r="A7138" s="193" t="s">
        <v>523</v>
      </c>
      <c r="B7138" s="210">
        <v>13</v>
      </c>
      <c r="C7138" s="191" t="str">
        <f>IF('IWP25'!E$554=0,"",'IWP25'!E$554)</f>
        <v/>
      </c>
      <c r="D7138" s="211">
        <f>'IWP25'!G$554</f>
        <v>0</v>
      </c>
      <c r="E7138" s="211">
        <f>'IWP25'!H$554</f>
        <v>0</v>
      </c>
      <c r="F7138" s="211">
        <f>'IWP25'!I$554</f>
        <v>0</v>
      </c>
      <c r="G7138" s="191" t="str">
        <f>IF('IWP25'!J$554=0,"",'IWP25'!J$554)</f>
        <v/>
      </c>
      <c r="H7138" s="211">
        <f>'IWP25'!K$554</f>
        <v>0</v>
      </c>
      <c r="I7138" s="211">
        <f>'IWP25'!L$554</f>
        <v>0</v>
      </c>
      <c r="J7138" s="212">
        <f>'IWP25'!M$554</f>
        <v>0</v>
      </c>
      <c r="K7138" s="106"/>
      <c r="L7138" s="106"/>
      <c r="M7138" s="129"/>
    </row>
    <row r="7139" spans="1:13" s="146" customFormat="1">
      <c r="A7139" s="193" t="s">
        <v>523</v>
      </c>
      <c r="B7139" s="210">
        <v>13</v>
      </c>
      <c r="C7139" s="191" t="str">
        <f>IF('IWP25'!E$555=0,"",'IWP25'!E$555)</f>
        <v/>
      </c>
      <c r="D7139" s="211">
        <f>'IWP25'!G$555</f>
        <v>0</v>
      </c>
      <c r="E7139" s="211">
        <f>'IWP25'!H$555</f>
        <v>0</v>
      </c>
      <c r="F7139" s="211">
        <f>'IWP25'!I$555</f>
        <v>0</v>
      </c>
      <c r="G7139" s="191" t="str">
        <f>IF('IWP25'!J$555=0,"",'IWP25'!J$555)</f>
        <v/>
      </c>
      <c r="H7139" s="211">
        <f>'IWP25'!K$555</f>
        <v>0</v>
      </c>
      <c r="I7139" s="211">
        <f>'IWP25'!L$555</f>
        <v>0</v>
      </c>
      <c r="J7139" s="212">
        <f>'IWP25'!M$555</f>
        <v>0</v>
      </c>
      <c r="K7139" s="106"/>
      <c r="L7139" s="106"/>
      <c r="M7139" s="129"/>
    </row>
    <row r="7140" spans="1:13" s="146" customFormat="1">
      <c r="A7140" s="193" t="s">
        <v>523</v>
      </c>
      <c r="B7140" s="210">
        <v>13</v>
      </c>
      <c r="C7140" s="191" t="str">
        <f>IF('IWP25'!E$556=0,"",'IWP25'!E$556)</f>
        <v/>
      </c>
      <c r="D7140" s="211">
        <f>'IWP25'!G$556</f>
        <v>0</v>
      </c>
      <c r="E7140" s="211">
        <f>'IWP25'!H$556</f>
        <v>0</v>
      </c>
      <c r="F7140" s="211">
        <f>'IWP25'!I$556</f>
        <v>0</v>
      </c>
      <c r="G7140" s="191" t="str">
        <f>IF('IWP25'!J$556=0,"",'IWP25'!J$556)</f>
        <v/>
      </c>
      <c r="H7140" s="211">
        <f>'IWP25'!K$556</f>
        <v>0</v>
      </c>
      <c r="I7140" s="211">
        <f>'IWP25'!L$556</f>
        <v>0</v>
      </c>
      <c r="J7140" s="212">
        <f>'IWP25'!M$556</f>
        <v>0</v>
      </c>
      <c r="K7140" s="106"/>
      <c r="L7140" s="106"/>
      <c r="M7140" s="129"/>
    </row>
    <row r="7141" spans="1:13" s="146" customFormat="1">
      <c r="A7141" s="193" t="s">
        <v>523</v>
      </c>
      <c r="B7141" s="210">
        <v>14</v>
      </c>
      <c r="C7141" s="191" t="str">
        <f>IF('IWP25'!E$563=0,"",'IWP25'!E$563)</f>
        <v>Subtotal column D.</v>
      </c>
      <c r="D7141" s="211">
        <f>'IWP25'!G$563</f>
        <v>0</v>
      </c>
      <c r="E7141" s="211">
        <f>'IWP25'!H$563</f>
        <v>0</v>
      </c>
      <c r="F7141" s="211">
        <f>'IWP25'!I$563</f>
        <v>0</v>
      </c>
      <c r="G7141" s="191" t="str">
        <f>IF('IWP25'!J$563=0,"",'IWP25'!J$563)</f>
        <v/>
      </c>
      <c r="H7141" s="211">
        <f>'IWP25'!K$563</f>
        <v>0</v>
      </c>
      <c r="I7141" s="211">
        <f>'IWP25'!L$563</f>
        <v>0</v>
      </c>
      <c r="J7141" s="212">
        <f>'IWP25'!M$563</f>
        <v>0</v>
      </c>
      <c r="K7141" s="106"/>
      <c r="L7141" s="106"/>
      <c r="M7141" s="129"/>
    </row>
    <row r="7142" spans="1:13" s="146" customFormat="1">
      <c r="A7142" s="193" t="s">
        <v>523</v>
      </c>
      <c r="B7142" s="210">
        <v>14</v>
      </c>
      <c r="C7142" s="191" t="str">
        <f>IF('IWP25'!E$564=0,"",'IWP25'!E$564)</f>
        <v>Unverified/Undocumented (Subtotal D - C)</v>
      </c>
      <c r="D7142" s="211">
        <f>'IWP25'!G$564</f>
        <v>0</v>
      </c>
      <c r="E7142" s="211">
        <f>'IWP25'!H$564</f>
        <v>0</v>
      </c>
      <c r="F7142" s="211">
        <f>'IWP25'!I$564</f>
        <v>0</v>
      </c>
      <c r="G7142" s="191" t="str">
        <f>IF('IWP25'!J$564=0,"",'IWP25'!J$564)</f>
        <v/>
      </c>
      <c r="H7142" s="211">
        <f>'IWP25'!K$564</f>
        <v>0</v>
      </c>
      <c r="I7142" s="211">
        <f>'IWP25'!L$564</f>
        <v>0</v>
      </c>
      <c r="J7142" s="212">
        <f>'IWP25'!M$564</f>
        <v>0</v>
      </c>
      <c r="K7142" s="106"/>
      <c r="L7142" s="106"/>
      <c r="M7142" s="129"/>
    </row>
    <row r="7143" spans="1:13" s="146" customFormat="1">
      <c r="A7143" s="193" t="s">
        <v>523</v>
      </c>
      <c r="B7143" s="210">
        <v>14</v>
      </c>
      <c r="C7143" s="191" t="str">
        <f>IF('IWP25'!E$565=0,"",'IWP25'!E$565)</f>
        <v>J. Billing Period Total</v>
      </c>
      <c r="D7143" s="211">
        <f>'IWP25'!G$565</f>
        <v>0</v>
      </c>
      <c r="E7143" s="211">
        <f>'IWP25'!H$565</f>
        <v>0</v>
      </c>
      <c r="F7143" s="211">
        <f>'IWP25'!I$565</f>
        <v>0</v>
      </c>
      <c r="G7143" s="191" t="str">
        <f>IF('IWP25'!J$565=0,"",'IWP25'!J$565)</f>
        <v/>
      </c>
      <c r="H7143" s="211">
        <f>'IWP25'!K$565</f>
        <v>0</v>
      </c>
      <c r="I7143" s="211">
        <f>'IWP25'!L$565</f>
        <v>0</v>
      </c>
      <c r="J7143" s="212">
        <f>'IWP25'!M$565</f>
        <v>0</v>
      </c>
      <c r="K7143" s="106"/>
      <c r="L7143" s="106"/>
      <c r="M7143" s="129"/>
    </row>
    <row r="7144" spans="1:13" s="146" customFormat="1">
      <c r="A7144" s="193" t="s">
        <v>523</v>
      </c>
      <c r="B7144" s="210">
        <v>14</v>
      </c>
      <c r="C7144" s="191" t="str">
        <f>IF('IWP25'!E$566=0,"",'IWP25'!E$566)</f>
        <v>D.</v>
      </c>
      <c r="D7144" s="211">
        <f>'IWP25'!G$566</f>
        <v>0</v>
      </c>
      <c r="E7144" s="211" t="str">
        <f>'IWP25'!H$566</f>
        <v>E.</v>
      </c>
      <c r="F7144" s="211" t="str">
        <f>'IWP25'!I$566</f>
        <v>F.</v>
      </c>
      <c r="G7144" s="191" t="str">
        <f>IF('IWP25'!J$566=0,"",'IWP25'!J$566)</f>
        <v>G.</v>
      </c>
      <c r="H7144" s="211">
        <f>'IWP25'!K$566</f>
        <v>0</v>
      </c>
      <c r="I7144" s="211" t="str">
        <f>'IWP25'!L$566</f>
        <v>H.</v>
      </c>
      <c r="J7144" s="212" t="str">
        <f>'IWP25'!M$566</f>
        <v>I.</v>
      </c>
      <c r="K7144" s="106"/>
      <c r="L7144" s="106"/>
      <c r="M7144" s="129"/>
    </row>
    <row r="7145" spans="1:13" s="146" customFormat="1">
      <c r="A7145" s="193" t="s">
        <v>523</v>
      </c>
      <c r="B7145" s="210">
        <v>14</v>
      </c>
      <c r="C7145" s="191" t="str">
        <f>IF('IWP25'!E$567=0,"",'IWP25'!E$567)</f>
        <v xml:space="preserve">Items/Services Related to Billing Period </v>
      </c>
      <c r="D7145" s="211">
        <f>'IWP25'!G$567</f>
        <v>0</v>
      </c>
      <c r="E7145" s="211" t="str">
        <f>'IWP25'!H$567</f>
        <v xml:space="preserve">Item/
Service Verified Amounts
</v>
      </c>
      <c r="F7145" s="211" t="str">
        <f>'IWP25'!I$567</f>
        <v>Amount Due to DADS (E. - D.)</v>
      </c>
      <c r="G7145" s="191" t="str">
        <f>IF('IWP25'!J$567=0,"",'IWP25'!J$567)</f>
        <v>Amount Reimbursed to 
Employee(s)/Employer</v>
      </c>
      <c r="H7145" s="211">
        <f>'IWP25'!K$567</f>
        <v>0</v>
      </c>
      <c r="I7145" s="211" t="str">
        <f>'IWP25'!L$567</f>
        <v>Amount Due to Employee(s) (G. - E.)</v>
      </c>
      <c r="J7145" s="212" t="str">
        <f>'IWP25'!M$567</f>
        <v>Amount Due to Employer (G. - E.)</v>
      </c>
      <c r="K7145" s="106"/>
      <c r="L7145" s="106"/>
      <c r="M7145" s="129"/>
    </row>
    <row r="7146" spans="1:13" s="146" customFormat="1">
      <c r="A7146" s="193" t="s">
        <v>523</v>
      </c>
      <c r="B7146" s="210">
        <v>14</v>
      </c>
      <c r="C7146" s="191" t="str">
        <f>IF('IWP25'!E$568=0,"",'IWP25'!E$568)</f>
        <v>Item/Service</v>
      </c>
      <c r="D7146" s="211" t="str">
        <f>'IWP25'!G$568</f>
        <v>Itemized Amount Paid by DADS</v>
      </c>
      <c r="E7146" s="211">
        <f>'IWP25'!H$568</f>
        <v>0</v>
      </c>
      <c r="F7146" s="211">
        <f>'IWP25'!I$568</f>
        <v>0</v>
      </c>
      <c r="G7146" s="191" t="str">
        <f>IF('IWP25'!J$568=0,"",'IWP25'!J$568)</f>
        <v/>
      </c>
      <c r="H7146" s="211">
        <f>'IWP25'!K$568</f>
        <v>0</v>
      </c>
      <c r="I7146" s="211">
        <f>'IWP25'!L$568</f>
        <v>0</v>
      </c>
      <c r="J7146" s="212">
        <f>'IWP25'!M$568</f>
        <v>0</v>
      </c>
      <c r="K7146" s="106"/>
      <c r="L7146" s="106"/>
      <c r="M7146" s="129"/>
    </row>
    <row r="7147" spans="1:13" s="146" customFormat="1">
      <c r="A7147" s="193" t="s">
        <v>523</v>
      </c>
      <c r="B7147" s="210">
        <v>14</v>
      </c>
      <c r="C7147" s="191" t="str">
        <f>IF('IWP25'!E$569=0,"",'IWP25'!E$569)</f>
        <v/>
      </c>
      <c r="D7147" s="211">
        <f>'IWP25'!G$569</f>
        <v>0</v>
      </c>
      <c r="E7147" s="211">
        <f>'IWP25'!H$569</f>
        <v>0</v>
      </c>
      <c r="F7147" s="211">
        <f>'IWP25'!I$569</f>
        <v>0</v>
      </c>
      <c r="G7147" s="191" t="str">
        <f>IF('IWP25'!J$569=0,"",'IWP25'!J$569)</f>
        <v/>
      </c>
      <c r="H7147" s="211">
        <f>'IWP25'!K$569</f>
        <v>0</v>
      </c>
      <c r="I7147" s="211">
        <f>'IWP25'!L$569</f>
        <v>0</v>
      </c>
      <c r="J7147" s="212">
        <f>'IWP25'!M$569</f>
        <v>0</v>
      </c>
      <c r="K7147" s="106"/>
      <c r="L7147" s="106"/>
      <c r="M7147" s="129"/>
    </row>
    <row r="7148" spans="1:13" s="146" customFormat="1">
      <c r="A7148" s="193" t="s">
        <v>523</v>
      </c>
      <c r="B7148" s="210">
        <v>14</v>
      </c>
      <c r="C7148" s="191" t="str">
        <f>IF('IWP25'!E$570=0,"",'IWP25'!E$570)</f>
        <v/>
      </c>
      <c r="D7148" s="211">
        <f>'IWP25'!G$570</f>
        <v>0</v>
      </c>
      <c r="E7148" s="211">
        <f>'IWP25'!H$570</f>
        <v>0</v>
      </c>
      <c r="F7148" s="211">
        <f>'IWP25'!I$570</f>
        <v>0</v>
      </c>
      <c r="G7148" s="191" t="str">
        <f>IF('IWP25'!J$570=0,"",'IWP25'!J$570)</f>
        <v/>
      </c>
      <c r="H7148" s="211">
        <f>'IWP25'!K$570</f>
        <v>0</v>
      </c>
      <c r="I7148" s="211">
        <f>'IWP25'!L$570</f>
        <v>0</v>
      </c>
      <c r="J7148" s="212">
        <f>'IWP25'!M$570</f>
        <v>0</v>
      </c>
      <c r="K7148" s="106"/>
      <c r="L7148" s="106"/>
      <c r="M7148" s="129"/>
    </row>
    <row r="7149" spans="1:13" s="146" customFormat="1">
      <c r="A7149" s="193" t="s">
        <v>523</v>
      </c>
      <c r="B7149" s="210">
        <v>14</v>
      </c>
      <c r="C7149" s="191" t="str">
        <f>IF('IWP25'!E$571=0,"",'IWP25'!E$571)</f>
        <v/>
      </c>
      <c r="D7149" s="211">
        <f>'IWP25'!G$571</f>
        <v>0</v>
      </c>
      <c r="E7149" s="211">
        <f>'IWP25'!H$571</f>
        <v>0</v>
      </c>
      <c r="F7149" s="211">
        <f>'IWP25'!I$571</f>
        <v>0</v>
      </c>
      <c r="G7149" s="191" t="str">
        <f>IF('IWP25'!J$571=0,"",'IWP25'!J$571)</f>
        <v/>
      </c>
      <c r="H7149" s="211">
        <f>'IWP25'!K$571</f>
        <v>0</v>
      </c>
      <c r="I7149" s="211">
        <f>'IWP25'!L$571</f>
        <v>0</v>
      </c>
      <c r="J7149" s="212">
        <f>'IWP25'!M$571</f>
        <v>0</v>
      </c>
      <c r="K7149" s="106"/>
      <c r="L7149" s="106"/>
      <c r="M7149" s="129"/>
    </row>
    <row r="7150" spans="1:13" s="146" customFormat="1">
      <c r="A7150" s="193" t="s">
        <v>523</v>
      </c>
      <c r="B7150" s="210">
        <v>14</v>
      </c>
      <c r="C7150" s="191" t="str">
        <f>IF('IWP25'!E$572=0,"",'IWP25'!E$572)</f>
        <v/>
      </c>
      <c r="D7150" s="211">
        <f>'IWP25'!G$572</f>
        <v>0</v>
      </c>
      <c r="E7150" s="211">
        <f>'IWP25'!H$572</f>
        <v>0</v>
      </c>
      <c r="F7150" s="211">
        <f>'IWP25'!I$572</f>
        <v>0</v>
      </c>
      <c r="G7150" s="191" t="str">
        <f>IF('IWP25'!J$572=0,"",'IWP25'!J$572)</f>
        <v/>
      </c>
      <c r="H7150" s="211">
        <f>'IWP25'!K$572</f>
        <v>0</v>
      </c>
      <c r="I7150" s="211">
        <f>'IWP25'!L$572</f>
        <v>0</v>
      </c>
      <c r="J7150" s="212">
        <f>'IWP25'!M$572</f>
        <v>0</v>
      </c>
      <c r="K7150" s="106"/>
      <c r="L7150" s="106"/>
      <c r="M7150" s="129"/>
    </row>
    <row r="7151" spans="1:13" s="146" customFormat="1">
      <c r="A7151" s="193" t="s">
        <v>523</v>
      </c>
      <c r="B7151" s="210">
        <v>15</v>
      </c>
      <c r="C7151" s="191" t="str">
        <f>IF('IWP25'!E$579=0,"",'IWP25'!E$579)</f>
        <v>Subtotal column D.</v>
      </c>
      <c r="D7151" s="211">
        <f>'IWP25'!G$579</f>
        <v>0</v>
      </c>
      <c r="E7151" s="211">
        <f>'IWP25'!H$579</f>
        <v>0</v>
      </c>
      <c r="F7151" s="211">
        <f>'IWP25'!I$579</f>
        <v>0</v>
      </c>
      <c r="G7151" s="191" t="str">
        <f>IF('IWP25'!J$579=0,"",'IWP25'!J$579)</f>
        <v/>
      </c>
      <c r="H7151" s="211">
        <f>'IWP25'!K$579</f>
        <v>0</v>
      </c>
      <c r="I7151" s="211">
        <f>'IWP25'!L$579</f>
        <v>0</v>
      </c>
      <c r="J7151" s="212">
        <f>'IWP25'!M$579</f>
        <v>0</v>
      </c>
      <c r="K7151" s="106"/>
      <c r="L7151" s="106"/>
      <c r="M7151" s="129"/>
    </row>
    <row r="7152" spans="1:13" s="146" customFormat="1">
      <c r="A7152" s="193" t="s">
        <v>523</v>
      </c>
      <c r="B7152" s="210">
        <v>15</v>
      </c>
      <c r="C7152" s="191" t="str">
        <f>IF('IWP25'!E$580=0,"",'IWP25'!E$580)</f>
        <v>Unverified/Undocumented (Subtotal D - C)</v>
      </c>
      <c r="D7152" s="211">
        <f>'IWP25'!G$580</f>
        <v>0</v>
      </c>
      <c r="E7152" s="211">
        <f>'IWP25'!H$580</f>
        <v>0</v>
      </c>
      <c r="F7152" s="211">
        <f>'IWP25'!I$580</f>
        <v>0</v>
      </c>
      <c r="G7152" s="191" t="str">
        <f>IF('IWP25'!J$580=0,"",'IWP25'!J$580)</f>
        <v/>
      </c>
      <c r="H7152" s="211">
        <f>'IWP25'!K$580</f>
        <v>0</v>
      </c>
      <c r="I7152" s="211">
        <f>'IWP25'!L$580</f>
        <v>0</v>
      </c>
      <c r="J7152" s="212">
        <f>'IWP25'!M$580</f>
        <v>0</v>
      </c>
      <c r="K7152" s="106"/>
      <c r="L7152" s="106"/>
      <c r="M7152" s="129"/>
    </row>
    <row r="7153" spans="1:13" s="146" customFormat="1">
      <c r="A7153" s="193" t="s">
        <v>523</v>
      </c>
      <c r="B7153" s="210">
        <v>15</v>
      </c>
      <c r="C7153" s="191" t="str">
        <f>IF('IWP25'!E$581=0,"",'IWP25'!E$581)</f>
        <v>J. Billing Period Total</v>
      </c>
      <c r="D7153" s="211">
        <f>'IWP25'!G$581</f>
        <v>0</v>
      </c>
      <c r="E7153" s="211">
        <f>'IWP25'!H$581</f>
        <v>0</v>
      </c>
      <c r="F7153" s="211">
        <f>'IWP25'!I$581</f>
        <v>0</v>
      </c>
      <c r="G7153" s="191" t="str">
        <f>IF('IWP25'!J$581=0,"",'IWP25'!J$581)</f>
        <v/>
      </c>
      <c r="H7153" s="211">
        <f>'IWP25'!K$581</f>
        <v>0</v>
      </c>
      <c r="I7153" s="211">
        <f>'IWP25'!L$581</f>
        <v>0</v>
      </c>
      <c r="J7153" s="212">
        <f>'IWP25'!M$581</f>
        <v>0</v>
      </c>
      <c r="K7153" s="106"/>
      <c r="L7153" s="106"/>
      <c r="M7153" s="129"/>
    </row>
    <row r="7154" spans="1:13" s="146" customFormat="1">
      <c r="A7154" s="193" t="s">
        <v>523</v>
      </c>
      <c r="B7154" s="210">
        <v>15</v>
      </c>
      <c r="C7154" s="191" t="str">
        <f>IF('IWP25'!E$582=0,"",'IWP25'!E$582)</f>
        <v>D.</v>
      </c>
      <c r="D7154" s="211">
        <f>'IWP25'!G$582</f>
        <v>0</v>
      </c>
      <c r="E7154" s="211" t="str">
        <f>'IWP25'!H$582</f>
        <v>E.</v>
      </c>
      <c r="F7154" s="211" t="str">
        <f>'IWP25'!I$582</f>
        <v>F.</v>
      </c>
      <c r="G7154" s="191" t="str">
        <f>IF('IWP25'!J$582=0,"",'IWP25'!J$582)</f>
        <v>G.</v>
      </c>
      <c r="H7154" s="211">
        <f>'IWP25'!K$582</f>
        <v>0</v>
      </c>
      <c r="I7154" s="211" t="str">
        <f>'IWP25'!L$582</f>
        <v>H.</v>
      </c>
      <c r="J7154" s="212" t="str">
        <f>'IWP25'!M$582</f>
        <v>I.</v>
      </c>
      <c r="K7154" s="106"/>
      <c r="L7154" s="106"/>
      <c r="M7154" s="129"/>
    </row>
    <row r="7155" spans="1:13" s="146" customFormat="1">
      <c r="A7155" s="193" t="s">
        <v>523</v>
      </c>
      <c r="B7155" s="210">
        <v>15</v>
      </c>
      <c r="C7155" s="191" t="str">
        <f>IF('IWP25'!E$583=0,"",'IWP25'!E$583)</f>
        <v xml:space="preserve">Items/Services Related to Billing Period </v>
      </c>
      <c r="D7155" s="211">
        <f>'IWP25'!G$583</f>
        <v>0</v>
      </c>
      <c r="E7155" s="211" t="str">
        <f>'IWP25'!H$583</f>
        <v xml:space="preserve">Item/
Service Verified Amounts
</v>
      </c>
      <c r="F7155" s="211" t="str">
        <f>'IWP25'!I$583</f>
        <v>Amount Due to DADS (E. - D.)</v>
      </c>
      <c r="G7155" s="191" t="str">
        <f>IF('IWP25'!J$583=0,"",'IWP25'!J$583)</f>
        <v>Amount Reimbursed to 
Employee(s)/Employer</v>
      </c>
      <c r="H7155" s="211">
        <f>'IWP25'!K$583</f>
        <v>0</v>
      </c>
      <c r="I7155" s="211" t="str">
        <f>'IWP25'!L$583</f>
        <v>Amount Due to Employee(s) (G. - E.)</v>
      </c>
      <c r="J7155" s="212" t="str">
        <f>'IWP25'!M$583</f>
        <v>Amount Due to Employer (G. - E.)</v>
      </c>
      <c r="K7155" s="106"/>
      <c r="L7155" s="106"/>
      <c r="M7155" s="129"/>
    </row>
    <row r="7156" spans="1:13" s="146" customFormat="1">
      <c r="A7156" s="193" t="s">
        <v>523</v>
      </c>
      <c r="B7156" s="210">
        <v>15</v>
      </c>
      <c r="C7156" s="191" t="str">
        <f>IF('IWP25'!E$584=0,"",'IWP25'!E$584)</f>
        <v>Item/Service</v>
      </c>
      <c r="D7156" s="211" t="str">
        <f>'IWP25'!G$584</f>
        <v>Itemized Amount Paid by DADS</v>
      </c>
      <c r="E7156" s="211">
        <f>'IWP25'!H$584</f>
        <v>0</v>
      </c>
      <c r="F7156" s="211">
        <f>'IWP25'!I$584</f>
        <v>0</v>
      </c>
      <c r="G7156" s="191" t="str">
        <f>IF('IWP25'!J$584=0,"",'IWP25'!J$584)</f>
        <v/>
      </c>
      <c r="H7156" s="211">
        <f>'IWP25'!K$584</f>
        <v>0</v>
      </c>
      <c r="I7156" s="211">
        <f>'IWP25'!L$584</f>
        <v>0</v>
      </c>
      <c r="J7156" s="212">
        <f>'IWP25'!M$584</f>
        <v>0</v>
      </c>
      <c r="K7156" s="106"/>
      <c r="L7156" s="106"/>
      <c r="M7156" s="129"/>
    </row>
    <row r="7157" spans="1:13" s="146" customFormat="1">
      <c r="A7157" s="193" t="s">
        <v>523</v>
      </c>
      <c r="B7157" s="210">
        <v>15</v>
      </c>
      <c r="C7157" s="191" t="str">
        <f>IF('IWP25'!E$585=0,"",'IWP25'!E$585)</f>
        <v/>
      </c>
      <c r="D7157" s="211">
        <f>'IWP25'!G$585</f>
        <v>0</v>
      </c>
      <c r="E7157" s="211">
        <f>'IWP25'!H$585</f>
        <v>0</v>
      </c>
      <c r="F7157" s="211">
        <f>'IWP25'!I$585</f>
        <v>0</v>
      </c>
      <c r="G7157" s="191" t="str">
        <f>IF('IWP25'!J$585=0,"",'IWP25'!J$585)</f>
        <v/>
      </c>
      <c r="H7157" s="211">
        <f>'IWP25'!K$585</f>
        <v>0</v>
      </c>
      <c r="I7157" s="211">
        <f>'IWP25'!L$585</f>
        <v>0</v>
      </c>
      <c r="J7157" s="212">
        <f>'IWP25'!M$585</f>
        <v>0</v>
      </c>
      <c r="K7157" s="106"/>
      <c r="L7157" s="106"/>
      <c r="M7157" s="129"/>
    </row>
    <row r="7158" spans="1:13" s="146" customFormat="1">
      <c r="A7158" s="193" t="s">
        <v>523</v>
      </c>
      <c r="B7158" s="210">
        <v>15</v>
      </c>
      <c r="C7158" s="191" t="str">
        <f>IF('IWP25'!E$586=0,"",'IWP25'!E$586)</f>
        <v/>
      </c>
      <c r="D7158" s="211">
        <f>'IWP25'!G$586</f>
        <v>0</v>
      </c>
      <c r="E7158" s="211">
        <f>'IWP25'!H$586</f>
        <v>0</v>
      </c>
      <c r="F7158" s="211">
        <f>'IWP25'!I$586</f>
        <v>0</v>
      </c>
      <c r="G7158" s="191" t="str">
        <f>IF('IWP25'!J$586=0,"",'IWP25'!J$586)</f>
        <v/>
      </c>
      <c r="H7158" s="211">
        <f>'IWP25'!K$586</f>
        <v>0</v>
      </c>
      <c r="I7158" s="211">
        <f>'IWP25'!L$586</f>
        <v>0</v>
      </c>
      <c r="J7158" s="212">
        <f>'IWP25'!M$586</f>
        <v>0</v>
      </c>
      <c r="K7158" s="106"/>
      <c r="L7158" s="106"/>
      <c r="M7158" s="129"/>
    </row>
    <row r="7159" spans="1:13" s="146" customFormat="1">
      <c r="A7159" s="193" t="s">
        <v>523</v>
      </c>
      <c r="B7159" s="210">
        <v>15</v>
      </c>
      <c r="C7159" s="191" t="str">
        <f>IF('IWP25'!E$587=0,"",'IWP25'!E$587)</f>
        <v/>
      </c>
      <c r="D7159" s="211">
        <f>'IWP25'!G$587</f>
        <v>0</v>
      </c>
      <c r="E7159" s="211">
        <f>'IWP25'!H$587</f>
        <v>0</v>
      </c>
      <c r="F7159" s="211">
        <f>'IWP25'!I$587</f>
        <v>0</v>
      </c>
      <c r="G7159" s="191" t="str">
        <f>IF('IWP25'!J$587=0,"",'IWP25'!J$587)</f>
        <v/>
      </c>
      <c r="H7159" s="211">
        <f>'IWP25'!K$587</f>
        <v>0</v>
      </c>
      <c r="I7159" s="211">
        <f>'IWP25'!L$587</f>
        <v>0</v>
      </c>
      <c r="J7159" s="212">
        <f>'IWP25'!M$587</f>
        <v>0</v>
      </c>
      <c r="K7159" s="106"/>
      <c r="L7159" s="106"/>
      <c r="M7159" s="129"/>
    </row>
    <row r="7160" spans="1:13" s="146" customFormat="1">
      <c r="A7160" s="193" t="s">
        <v>523</v>
      </c>
      <c r="B7160" s="210">
        <v>15</v>
      </c>
      <c r="C7160" s="191" t="str">
        <f>IF('IWP25'!E$588=0,"",'IWP25'!E$588)</f>
        <v/>
      </c>
      <c r="D7160" s="211">
        <f>'IWP25'!G$588</f>
        <v>0</v>
      </c>
      <c r="E7160" s="211">
        <f>'IWP25'!H$588</f>
        <v>0</v>
      </c>
      <c r="F7160" s="211">
        <f>'IWP25'!I$588</f>
        <v>0</v>
      </c>
      <c r="G7160" s="191" t="str">
        <f>IF('IWP25'!J$588=0,"",'IWP25'!J$588)</f>
        <v/>
      </c>
      <c r="H7160" s="211">
        <f>'IWP25'!K$588</f>
        <v>0</v>
      </c>
      <c r="I7160" s="211">
        <f>'IWP25'!L$588</f>
        <v>0</v>
      </c>
      <c r="J7160" s="212">
        <f>'IWP25'!M$588</f>
        <v>0</v>
      </c>
      <c r="K7160" s="106"/>
      <c r="L7160" s="106"/>
      <c r="M7160" s="129"/>
    </row>
    <row r="7161" spans="1:13" s="146" customFormat="1">
      <c r="A7161" s="193" t="s">
        <v>523</v>
      </c>
      <c r="B7161" s="210">
        <v>16</v>
      </c>
      <c r="C7161" s="191" t="str">
        <f>IF('IWP25'!E$595=0,"",'IWP25'!E$595)</f>
        <v>Subtotal column D.</v>
      </c>
      <c r="D7161" s="211">
        <f>'IWP25'!G$595</f>
        <v>0</v>
      </c>
      <c r="E7161" s="211">
        <f>'IWP25'!H$595</f>
        <v>0</v>
      </c>
      <c r="F7161" s="211">
        <f>'IWP25'!I$595</f>
        <v>0</v>
      </c>
      <c r="G7161" s="191" t="str">
        <f>IF('IWP25'!J$595=0,"",'IWP25'!J$595)</f>
        <v/>
      </c>
      <c r="H7161" s="211">
        <f>'IWP25'!K$595</f>
        <v>0</v>
      </c>
      <c r="I7161" s="211">
        <f>'IWP25'!L$595</f>
        <v>0</v>
      </c>
      <c r="J7161" s="212">
        <f>'IWP25'!M$595</f>
        <v>0</v>
      </c>
      <c r="K7161" s="106"/>
      <c r="L7161" s="106"/>
      <c r="M7161" s="129"/>
    </row>
    <row r="7162" spans="1:13" s="146" customFormat="1">
      <c r="A7162" s="193" t="s">
        <v>523</v>
      </c>
      <c r="B7162" s="210">
        <v>16</v>
      </c>
      <c r="C7162" s="191" t="str">
        <f>IF('IWP25'!E$596=0,"",'IWP25'!E$596)</f>
        <v>Unverified/Undocumented (Subtotal D - C)</v>
      </c>
      <c r="D7162" s="211">
        <f>'IWP25'!G$596</f>
        <v>0</v>
      </c>
      <c r="E7162" s="211">
        <f>'IWP25'!H$596</f>
        <v>0</v>
      </c>
      <c r="F7162" s="211">
        <f>'IWP25'!I$596</f>
        <v>0</v>
      </c>
      <c r="G7162" s="191" t="str">
        <f>IF('IWP25'!J$596=0,"",'IWP25'!J$596)</f>
        <v/>
      </c>
      <c r="H7162" s="211">
        <f>'IWP25'!K$596</f>
        <v>0</v>
      </c>
      <c r="I7162" s="211">
        <f>'IWP25'!L$596</f>
        <v>0</v>
      </c>
      <c r="J7162" s="212">
        <f>'IWP25'!M$596</f>
        <v>0</v>
      </c>
      <c r="K7162" s="106"/>
      <c r="L7162" s="106"/>
      <c r="M7162" s="129"/>
    </row>
    <row r="7163" spans="1:13" s="146" customFormat="1">
      <c r="A7163" s="193" t="s">
        <v>523</v>
      </c>
      <c r="B7163" s="210">
        <v>16</v>
      </c>
      <c r="C7163" s="191" t="str">
        <f>IF('IWP25'!E$597=0,"",'IWP25'!E$597)</f>
        <v>J. Billing Period Total</v>
      </c>
      <c r="D7163" s="211">
        <f>'IWP25'!G$597</f>
        <v>0</v>
      </c>
      <c r="E7163" s="211">
        <f>'IWP25'!H$597</f>
        <v>0</v>
      </c>
      <c r="F7163" s="211">
        <f>'IWP25'!I$597</f>
        <v>0</v>
      </c>
      <c r="G7163" s="191" t="str">
        <f>IF('IWP25'!J$597=0,"",'IWP25'!J$597)</f>
        <v/>
      </c>
      <c r="H7163" s="211">
        <f>'IWP25'!K$597</f>
        <v>0</v>
      </c>
      <c r="I7163" s="211">
        <f>'IWP25'!L$597</f>
        <v>0</v>
      </c>
      <c r="J7163" s="212">
        <f>'IWP25'!M$597</f>
        <v>0</v>
      </c>
      <c r="K7163" s="106"/>
      <c r="L7163" s="106"/>
      <c r="M7163" s="129"/>
    </row>
    <row r="7164" spans="1:13" s="146" customFormat="1">
      <c r="A7164" s="193" t="s">
        <v>523</v>
      </c>
      <c r="B7164" s="210">
        <v>16</v>
      </c>
      <c r="C7164" s="191" t="str">
        <f>IF('IWP25'!E$598=0,"",'IWP25'!E$598)</f>
        <v>D.</v>
      </c>
      <c r="D7164" s="211">
        <f>'IWP25'!G$598</f>
        <v>0</v>
      </c>
      <c r="E7164" s="211" t="str">
        <f>'IWP25'!H$598</f>
        <v>E.</v>
      </c>
      <c r="F7164" s="211" t="str">
        <f>'IWP25'!I$598</f>
        <v>F.</v>
      </c>
      <c r="G7164" s="191" t="str">
        <f>IF('IWP25'!J$598=0,"",'IWP25'!J$598)</f>
        <v>G.</v>
      </c>
      <c r="H7164" s="211">
        <f>'IWP25'!K$598</f>
        <v>0</v>
      </c>
      <c r="I7164" s="211" t="str">
        <f>'IWP25'!L$598</f>
        <v>H.</v>
      </c>
      <c r="J7164" s="212" t="str">
        <f>'IWP25'!M$598</f>
        <v>I.</v>
      </c>
      <c r="K7164" s="106"/>
      <c r="L7164" s="106"/>
      <c r="M7164" s="129"/>
    </row>
    <row r="7165" spans="1:13" s="146" customFormat="1">
      <c r="A7165" s="193" t="s">
        <v>523</v>
      </c>
      <c r="B7165" s="210">
        <v>16</v>
      </c>
      <c r="C7165" s="191" t="str">
        <f>IF('IWP25'!E$599=0,"",'IWP25'!E$599)</f>
        <v xml:space="preserve">Items/Services Related to Billing Period </v>
      </c>
      <c r="D7165" s="211">
        <f>'IWP25'!G$599</f>
        <v>0</v>
      </c>
      <c r="E7165" s="211" t="str">
        <f>'IWP25'!H$599</f>
        <v xml:space="preserve">Item/
Service Verified Amounts
</v>
      </c>
      <c r="F7165" s="211" t="str">
        <f>'IWP25'!I$599</f>
        <v>Amount Due to DADS (E. - D.)</v>
      </c>
      <c r="G7165" s="191" t="str">
        <f>IF('IWP25'!J$599=0,"",'IWP25'!J$599)</f>
        <v>Amount Reimbursed to 
Employee(s)/Employer</v>
      </c>
      <c r="H7165" s="211">
        <f>'IWP25'!K$599</f>
        <v>0</v>
      </c>
      <c r="I7165" s="211" t="str">
        <f>'IWP25'!L$599</f>
        <v>Amount Due to Employee(s) (G. - E.)</v>
      </c>
      <c r="J7165" s="212" t="str">
        <f>'IWP25'!M$599</f>
        <v>Amount Due to Employer (G. - E.)</v>
      </c>
      <c r="K7165" s="106"/>
      <c r="L7165" s="106"/>
      <c r="M7165" s="129"/>
    </row>
    <row r="7166" spans="1:13" s="146" customFormat="1">
      <c r="A7166" s="193" t="s">
        <v>523</v>
      </c>
      <c r="B7166" s="210">
        <v>16</v>
      </c>
      <c r="C7166" s="191" t="str">
        <f>IF('IWP25'!E$600=0,"",'IWP25'!E$600)</f>
        <v>Item/Service</v>
      </c>
      <c r="D7166" s="211" t="str">
        <f>'IWP25'!G$600</f>
        <v>Itemized Amount Paid by DADS</v>
      </c>
      <c r="E7166" s="211">
        <f>'IWP25'!H$600</f>
        <v>0</v>
      </c>
      <c r="F7166" s="211">
        <f>'IWP25'!I$600</f>
        <v>0</v>
      </c>
      <c r="G7166" s="191" t="str">
        <f>IF('IWP25'!J$600=0,"",'IWP25'!J$600)</f>
        <v/>
      </c>
      <c r="H7166" s="211">
        <f>'IWP25'!K$600</f>
        <v>0</v>
      </c>
      <c r="I7166" s="211">
        <f>'IWP25'!L$600</f>
        <v>0</v>
      </c>
      <c r="J7166" s="212">
        <f>'IWP25'!M$600</f>
        <v>0</v>
      </c>
      <c r="K7166" s="106"/>
      <c r="L7166" s="106"/>
      <c r="M7166" s="129"/>
    </row>
    <row r="7167" spans="1:13" s="146" customFormat="1">
      <c r="A7167" s="193" t="s">
        <v>523</v>
      </c>
      <c r="B7167" s="210">
        <v>16</v>
      </c>
      <c r="C7167" s="191" t="str">
        <f>IF('IWP25'!E$601=0,"",'IWP25'!E$601)</f>
        <v/>
      </c>
      <c r="D7167" s="211">
        <f>'IWP25'!G$601</f>
        <v>0</v>
      </c>
      <c r="E7167" s="211">
        <f>'IWP25'!H$601</f>
        <v>0</v>
      </c>
      <c r="F7167" s="211">
        <f>'IWP25'!I$601</f>
        <v>0</v>
      </c>
      <c r="G7167" s="191" t="str">
        <f>IF('IWP25'!J$601=0,"",'IWP25'!J$601)</f>
        <v/>
      </c>
      <c r="H7167" s="211">
        <f>'IWP25'!K$601</f>
        <v>0</v>
      </c>
      <c r="I7167" s="211">
        <f>'IWP25'!L$601</f>
        <v>0</v>
      </c>
      <c r="J7167" s="212">
        <f>'IWP25'!M$601</f>
        <v>0</v>
      </c>
      <c r="K7167" s="106"/>
      <c r="L7167" s="106"/>
      <c r="M7167" s="129"/>
    </row>
    <row r="7168" spans="1:13" s="146" customFormat="1">
      <c r="A7168" s="193" t="s">
        <v>523</v>
      </c>
      <c r="B7168" s="210">
        <v>16</v>
      </c>
      <c r="C7168" s="191" t="str">
        <f>IF('IWP25'!E$602=0,"",'IWP25'!E$602)</f>
        <v/>
      </c>
      <c r="D7168" s="211">
        <f>'IWP25'!G$602</f>
        <v>0</v>
      </c>
      <c r="E7168" s="211">
        <f>'IWP25'!H$602</f>
        <v>0</v>
      </c>
      <c r="F7168" s="211">
        <f>'IWP25'!I$602</f>
        <v>0</v>
      </c>
      <c r="G7168" s="191" t="str">
        <f>IF('IWP25'!J$602=0,"",'IWP25'!J$602)</f>
        <v/>
      </c>
      <c r="H7168" s="211">
        <f>'IWP25'!K$602</f>
        <v>0</v>
      </c>
      <c r="I7168" s="211">
        <f>'IWP25'!L$602</f>
        <v>0</v>
      </c>
      <c r="J7168" s="212">
        <f>'IWP25'!M$602</f>
        <v>0</v>
      </c>
      <c r="K7168" s="106"/>
      <c r="L7168" s="106"/>
      <c r="M7168" s="129"/>
    </row>
    <row r="7169" spans="1:13" s="146" customFormat="1">
      <c r="A7169" s="193" t="s">
        <v>523</v>
      </c>
      <c r="B7169" s="210">
        <v>16</v>
      </c>
      <c r="C7169" s="191" t="str">
        <f>IF('IWP25'!E$603=0,"",'IWP25'!E$603)</f>
        <v/>
      </c>
      <c r="D7169" s="211">
        <f>'IWP25'!G$603</f>
        <v>0</v>
      </c>
      <c r="E7169" s="211">
        <f>'IWP25'!H$603</f>
        <v>0</v>
      </c>
      <c r="F7169" s="211">
        <f>'IWP25'!I$603</f>
        <v>0</v>
      </c>
      <c r="G7169" s="191" t="str">
        <f>IF('IWP25'!J$603=0,"",'IWP25'!J$603)</f>
        <v/>
      </c>
      <c r="H7169" s="211">
        <f>'IWP25'!K$603</f>
        <v>0</v>
      </c>
      <c r="I7169" s="211">
        <f>'IWP25'!L$603</f>
        <v>0</v>
      </c>
      <c r="J7169" s="212">
        <f>'IWP25'!M$603</f>
        <v>0</v>
      </c>
      <c r="K7169" s="106"/>
      <c r="L7169" s="106"/>
      <c r="M7169" s="129"/>
    </row>
    <row r="7170" spans="1:13" s="146" customFormat="1">
      <c r="A7170" s="193" t="s">
        <v>523</v>
      </c>
      <c r="B7170" s="210">
        <v>16</v>
      </c>
      <c r="C7170" s="191" t="str">
        <f>IF('IWP25'!E$604=0,"",'IWP25'!E$604)</f>
        <v/>
      </c>
      <c r="D7170" s="211">
        <f>'IWP25'!G$604</f>
        <v>0</v>
      </c>
      <c r="E7170" s="211">
        <f>'IWP25'!H$604</f>
        <v>0</v>
      </c>
      <c r="F7170" s="211">
        <f>'IWP25'!I$604</f>
        <v>0</v>
      </c>
      <c r="G7170" s="191" t="str">
        <f>IF('IWP25'!J$604=0,"",'IWP25'!J$604)</f>
        <v/>
      </c>
      <c r="H7170" s="211">
        <f>'IWP25'!K$604</f>
        <v>0</v>
      </c>
      <c r="I7170" s="211">
        <f>'IWP25'!L$604</f>
        <v>0</v>
      </c>
      <c r="J7170" s="212">
        <f>'IWP25'!M$604</f>
        <v>0</v>
      </c>
      <c r="K7170" s="106"/>
      <c r="L7170" s="106"/>
      <c r="M7170" s="129"/>
    </row>
    <row r="7171" spans="1:13" s="146" customFormat="1">
      <c r="A7171" s="193" t="s">
        <v>523</v>
      </c>
      <c r="B7171" s="210">
        <v>17</v>
      </c>
      <c r="C7171" s="191" t="str">
        <f>IF('IWP25'!E$611=0,"",'IWP25'!E$611)</f>
        <v>Subtotal column D.</v>
      </c>
      <c r="D7171" s="211">
        <f>'IWP25'!G$611</f>
        <v>0</v>
      </c>
      <c r="E7171" s="211">
        <f>'IWP25'!H$611</f>
        <v>0</v>
      </c>
      <c r="F7171" s="211">
        <f>'IWP25'!I$611</f>
        <v>0</v>
      </c>
      <c r="G7171" s="191" t="str">
        <f>IF('IWP25'!J$611=0,"",'IWP25'!J$611)</f>
        <v/>
      </c>
      <c r="H7171" s="211">
        <f>'IWP25'!K$611</f>
        <v>0</v>
      </c>
      <c r="I7171" s="211">
        <f>'IWP25'!L$611</f>
        <v>0</v>
      </c>
      <c r="J7171" s="212">
        <f>'IWP25'!M$611</f>
        <v>0</v>
      </c>
      <c r="K7171" s="106"/>
      <c r="L7171" s="106"/>
      <c r="M7171" s="129"/>
    </row>
    <row r="7172" spans="1:13" s="146" customFormat="1">
      <c r="A7172" s="193" t="s">
        <v>523</v>
      </c>
      <c r="B7172" s="210">
        <v>17</v>
      </c>
      <c r="C7172" s="191" t="str">
        <f>IF('IWP25'!E$612=0,"",'IWP25'!E$612)</f>
        <v>Unverified/Undocumented (Subtotal D - C)</v>
      </c>
      <c r="D7172" s="211">
        <f>'IWP25'!G$612</f>
        <v>0</v>
      </c>
      <c r="E7172" s="211">
        <f>'IWP25'!H$612</f>
        <v>0</v>
      </c>
      <c r="F7172" s="211">
        <f>'IWP25'!I$612</f>
        <v>0</v>
      </c>
      <c r="G7172" s="191" t="str">
        <f>IF('IWP25'!J$612=0,"",'IWP25'!J$612)</f>
        <v/>
      </c>
      <c r="H7172" s="211">
        <f>'IWP25'!K$612</f>
        <v>0</v>
      </c>
      <c r="I7172" s="211">
        <f>'IWP25'!L$612</f>
        <v>0</v>
      </c>
      <c r="J7172" s="212">
        <f>'IWP25'!M$612</f>
        <v>0</v>
      </c>
      <c r="K7172" s="106"/>
      <c r="L7172" s="106"/>
      <c r="M7172" s="129"/>
    </row>
    <row r="7173" spans="1:13" s="146" customFormat="1">
      <c r="A7173" s="193" t="s">
        <v>523</v>
      </c>
      <c r="B7173" s="210">
        <v>17</v>
      </c>
      <c r="C7173" s="191" t="str">
        <f>IF('IWP25'!E$613=0,"",'IWP25'!E$613)</f>
        <v>J. Billing Period Total</v>
      </c>
      <c r="D7173" s="211">
        <f>'IWP25'!G$613</f>
        <v>0</v>
      </c>
      <c r="E7173" s="211">
        <f>'IWP25'!H$613</f>
        <v>0</v>
      </c>
      <c r="F7173" s="211">
        <f>'IWP25'!I$613</f>
        <v>0</v>
      </c>
      <c r="G7173" s="191" t="str">
        <f>IF('IWP25'!J$613=0,"",'IWP25'!J$613)</f>
        <v/>
      </c>
      <c r="H7173" s="211">
        <f>'IWP25'!K$613</f>
        <v>0</v>
      </c>
      <c r="I7173" s="211">
        <f>'IWP25'!L$613</f>
        <v>0</v>
      </c>
      <c r="J7173" s="212">
        <f>'IWP25'!M$613</f>
        <v>0</v>
      </c>
      <c r="K7173" s="106"/>
      <c r="L7173" s="106"/>
      <c r="M7173" s="129"/>
    </row>
    <row r="7174" spans="1:13" s="146" customFormat="1">
      <c r="A7174" s="193" t="s">
        <v>523</v>
      </c>
      <c r="B7174" s="210">
        <v>17</v>
      </c>
      <c r="C7174" s="191" t="str">
        <f>IF('IWP25'!E$614=0,"",'IWP25'!E$614)</f>
        <v/>
      </c>
      <c r="D7174" s="211">
        <f>'IWP25'!G$614</f>
        <v>0</v>
      </c>
      <c r="E7174" s="211">
        <f>'IWP25'!H$614</f>
        <v>0</v>
      </c>
      <c r="F7174" s="211">
        <f>'IWP25'!I$614</f>
        <v>0</v>
      </c>
      <c r="G7174" s="191" t="str">
        <f>IF('IWP25'!J$614=0,"",'IWP25'!J$614)</f>
        <v/>
      </c>
      <c r="H7174" s="211">
        <f>'IWP25'!K$614</f>
        <v>0</v>
      </c>
      <c r="I7174" s="211">
        <f>'IWP25'!L$614</f>
        <v>0</v>
      </c>
      <c r="J7174" s="212">
        <f>'IWP25'!M$614</f>
        <v>0</v>
      </c>
      <c r="K7174" s="106"/>
      <c r="L7174" s="106"/>
      <c r="M7174" s="129"/>
    </row>
    <row r="7175" spans="1:13" s="146" customFormat="1">
      <c r="A7175" s="193" t="s">
        <v>523</v>
      </c>
      <c r="B7175" s="210">
        <v>17</v>
      </c>
      <c r="C7175" s="191" t="str">
        <f>IF('IWP25'!E$615=0,"",'IWP25'!E$615)</f>
        <v/>
      </c>
      <c r="D7175" s="211">
        <f>'IWP25'!G$615</f>
        <v>0</v>
      </c>
      <c r="E7175" s="211">
        <f>'IWP25'!H$615</f>
        <v>0</v>
      </c>
      <c r="F7175" s="211">
        <f>'IWP25'!I$615</f>
        <v>0</v>
      </c>
      <c r="G7175" s="191" t="str">
        <f>IF('IWP25'!J$615=0,"",'IWP25'!J$615)</f>
        <v/>
      </c>
      <c r="H7175" s="211">
        <f>'IWP25'!K$615</f>
        <v>0</v>
      </c>
      <c r="I7175" s="211">
        <f>'IWP25'!L$615</f>
        <v>0</v>
      </c>
      <c r="J7175" s="212">
        <f>'IWP25'!M$615</f>
        <v>0</v>
      </c>
      <c r="K7175" s="106"/>
      <c r="L7175" s="106"/>
      <c r="M7175" s="129"/>
    </row>
    <row r="7176" spans="1:13" s="146" customFormat="1">
      <c r="A7176" s="193" t="s">
        <v>523</v>
      </c>
      <c r="B7176" s="210">
        <v>17</v>
      </c>
      <c r="C7176" s="191" t="str">
        <f>IF('IWP25'!E$616=0,"",'IWP25'!E$616)</f>
        <v/>
      </c>
      <c r="D7176" s="211">
        <f>'IWP25'!G$616</f>
        <v>0</v>
      </c>
      <c r="E7176" s="211">
        <f>'IWP25'!H$616</f>
        <v>0</v>
      </c>
      <c r="F7176" s="211">
        <f>'IWP25'!I$616</f>
        <v>0</v>
      </c>
      <c r="G7176" s="191" t="str">
        <f>IF('IWP25'!J$616=0,"",'IWP25'!J$616)</f>
        <v/>
      </c>
      <c r="H7176" s="211">
        <f>'IWP25'!K$616</f>
        <v>0</v>
      </c>
      <c r="I7176" s="211">
        <f>'IWP25'!L$616</f>
        <v>0</v>
      </c>
      <c r="J7176" s="212">
        <f>'IWP25'!M$616</f>
        <v>0</v>
      </c>
      <c r="K7176" s="106"/>
      <c r="L7176" s="106"/>
      <c r="M7176" s="129"/>
    </row>
    <row r="7177" spans="1:13" s="146" customFormat="1">
      <c r="A7177" s="193" t="s">
        <v>523</v>
      </c>
      <c r="B7177" s="210">
        <v>17</v>
      </c>
      <c r="C7177" s="191" t="str">
        <f>IF('IWP25'!E$617=0,"",'IWP25'!E$617)</f>
        <v/>
      </c>
      <c r="D7177" s="211">
        <f>'IWP25'!G$617</f>
        <v>0</v>
      </c>
      <c r="E7177" s="211">
        <f>'IWP25'!H$617</f>
        <v>0</v>
      </c>
      <c r="F7177" s="211">
        <f>'IWP25'!I$617</f>
        <v>0</v>
      </c>
      <c r="G7177" s="191" t="str">
        <f>IF('IWP25'!J$617=0,"",'IWP25'!J$617)</f>
        <v/>
      </c>
      <c r="H7177" s="211">
        <f>'IWP25'!K$617</f>
        <v>0</v>
      </c>
      <c r="I7177" s="211">
        <f>'IWP25'!L$617</f>
        <v>0</v>
      </c>
      <c r="J7177" s="212">
        <f>'IWP25'!M$617</f>
        <v>0</v>
      </c>
      <c r="K7177" s="106"/>
      <c r="L7177" s="106"/>
      <c r="M7177" s="129"/>
    </row>
    <row r="7178" spans="1:13" s="146" customFormat="1">
      <c r="A7178" s="193" t="s">
        <v>523</v>
      </c>
      <c r="B7178" s="210">
        <v>17</v>
      </c>
      <c r="C7178" s="191" t="str">
        <f>IF('IWP25'!E$618=0,"",'IWP25'!E$618)</f>
        <v/>
      </c>
      <c r="D7178" s="211">
        <f>'IWP25'!G$618</f>
        <v>0</v>
      </c>
      <c r="E7178" s="211">
        <f>'IWP25'!H$618</f>
        <v>0</v>
      </c>
      <c r="F7178" s="211">
        <f>'IWP25'!I$618</f>
        <v>0</v>
      </c>
      <c r="G7178" s="191" t="str">
        <f>IF('IWP25'!J$618=0,"",'IWP25'!J$618)</f>
        <v/>
      </c>
      <c r="H7178" s="211">
        <f>'IWP25'!K$618</f>
        <v>0</v>
      </c>
      <c r="I7178" s="211">
        <f>'IWP25'!L$618</f>
        <v>0</v>
      </c>
      <c r="J7178" s="212">
        <f>'IWP25'!M$618</f>
        <v>0</v>
      </c>
      <c r="K7178" s="106"/>
      <c r="L7178" s="106"/>
      <c r="M7178" s="129"/>
    </row>
    <row r="7179" spans="1:13" s="146" customFormat="1">
      <c r="A7179" s="193" t="s">
        <v>523</v>
      </c>
      <c r="B7179" s="210">
        <v>17</v>
      </c>
      <c r="C7179" s="191" t="str">
        <f>IF('IWP25'!E$619=0,"",'IWP25'!E$619)</f>
        <v/>
      </c>
      <c r="D7179" s="211">
        <f>'IWP25'!G$619</f>
        <v>0</v>
      </c>
      <c r="E7179" s="211">
        <f>'IWP25'!H$619</f>
        <v>0</v>
      </c>
      <c r="F7179" s="211">
        <f>'IWP25'!I$619</f>
        <v>0</v>
      </c>
      <c r="G7179" s="191" t="str">
        <f>IF('IWP25'!J$619=0,"",'IWP25'!J$619)</f>
        <v/>
      </c>
      <c r="H7179" s="211">
        <f>'IWP25'!K$619</f>
        <v>0</v>
      </c>
      <c r="I7179" s="211">
        <f>'IWP25'!L$619</f>
        <v>0</v>
      </c>
      <c r="J7179" s="212">
        <f>'IWP25'!M$619</f>
        <v>0</v>
      </c>
      <c r="K7179" s="106"/>
      <c r="L7179" s="106"/>
      <c r="M7179" s="129"/>
    </row>
    <row r="7180" spans="1:13" s="146" customFormat="1">
      <c r="A7180" s="193" t="s">
        <v>523</v>
      </c>
      <c r="B7180" s="210">
        <v>17</v>
      </c>
      <c r="C7180" s="191" t="str">
        <f>IF('IWP25'!E$620=0,"",'IWP25'!E$620)</f>
        <v/>
      </c>
      <c r="D7180" s="211">
        <f>'IWP25'!G$620</f>
        <v>0</v>
      </c>
      <c r="E7180" s="211">
        <f>'IWP25'!H$620</f>
        <v>0</v>
      </c>
      <c r="F7180" s="211">
        <f>'IWP25'!I$620</f>
        <v>0</v>
      </c>
      <c r="G7180" s="191" t="str">
        <f>IF('IWP25'!J$620=0,"",'IWP25'!J$620)</f>
        <v/>
      </c>
      <c r="H7180" s="211">
        <f>'IWP25'!K$620</f>
        <v>0</v>
      </c>
      <c r="I7180" s="211">
        <f>'IWP25'!L$620</f>
        <v>0</v>
      </c>
      <c r="J7180" s="212">
        <f>'IWP25'!M$620</f>
        <v>0</v>
      </c>
      <c r="K7180" s="106"/>
      <c r="L7180" s="106"/>
      <c r="M7180" s="129"/>
    </row>
    <row r="7181" spans="1:13" s="146" customFormat="1">
      <c r="A7181" s="193" t="s">
        <v>523</v>
      </c>
      <c r="B7181" s="210">
        <v>18</v>
      </c>
      <c r="C7181" s="191" t="str">
        <f>IF('IWP25'!E$627=0,"",'IWP25'!E$627)</f>
        <v/>
      </c>
      <c r="D7181" s="211">
        <f>'IWP25'!G$627</f>
        <v>0</v>
      </c>
      <c r="E7181" s="211">
        <f>'IWP25'!H$627</f>
        <v>0</v>
      </c>
      <c r="F7181" s="211">
        <f>'IWP25'!I$627</f>
        <v>0</v>
      </c>
      <c r="G7181" s="191" t="str">
        <f>IF('IWP25'!J$627=0,"",'IWP25'!J$627)</f>
        <v/>
      </c>
      <c r="H7181" s="211">
        <f>'IWP25'!K$627</f>
        <v>0</v>
      </c>
      <c r="I7181" s="211">
        <f>'IWP25'!L$627</f>
        <v>0</v>
      </c>
      <c r="J7181" s="212">
        <f>'IWP25'!M$627</f>
        <v>0</v>
      </c>
      <c r="K7181" s="106"/>
      <c r="L7181" s="106"/>
      <c r="M7181" s="129"/>
    </row>
    <row r="7182" spans="1:13" s="146" customFormat="1">
      <c r="A7182" s="193" t="s">
        <v>523</v>
      </c>
      <c r="B7182" s="210">
        <v>18</v>
      </c>
      <c r="C7182" s="191" t="str">
        <f>IF('IWP25'!E$628=0,"",'IWP25'!E$628)</f>
        <v/>
      </c>
      <c r="D7182" s="211">
        <f>'IWP25'!G$628</f>
        <v>0</v>
      </c>
      <c r="E7182" s="211">
        <f>'IWP25'!H$628</f>
        <v>0</v>
      </c>
      <c r="F7182" s="211">
        <f>'IWP25'!I$628</f>
        <v>0</v>
      </c>
      <c r="G7182" s="191" t="str">
        <f>IF('IWP25'!J$628=0,"",'IWP25'!J$628)</f>
        <v/>
      </c>
      <c r="H7182" s="211">
        <f>'IWP25'!K$628</f>
        <v>0</v>
      </c>
      <c r="I7182" s="211">
        <f>'IWP25'!L$628</f>
        <v>0</v>
      </c>
      <c r="J7182" s="212">
        <f>'IWP25'!M$628</f>
        <v>0</v>
      </c>
      <c r="K7182" s="106"/>
      <c r="L7182" s="106"/>
      <c r="M7182" s="129"/>
    </row>
    <row r="7183" spans="1:13" s="146" customFormat="1">
      <c r="A7183" s="193" t="s">
        <v>523</v>
      </c>
      <c r="B7183" s="210">
        <v>18</v>
      </c>
      <c r="C7183" s="191" t="str">
        <f>IF('IWP25'!E$629=0,"",'IWP25'!E$629)</f>
        <v/>
      </c>
      <c r="D7183" s="211">
        <f>'IWP25'!G$629</f>
        <v>0</v>
      </c>
      <c r="E7183" s="211">
        <f>'IWP25'!H$629</f>
        <v>0</v>
      </c>
      <c r="F7183" s="211">
        <f>'IWP25'!I$629</f>
        <v>0</v>
      </c>
      <c r="G7183" s="191" t="str">
        <f>IF('IWP25'!J$629=0,"",'IWP25'!J$629)</f>
        <v/>
      </c>
      <c r="H7183" s="211">
        <f>'IWP25'!K$629</f>
        <v>0</v>
      </c>
      <c r="I7183" s="211">
        <f>'IWP25'!L$629</f>
        <v>0</v>
      </c>
      <c r="J7183" s="212">
        <f>'IWP25'!M$629</f>
        <v>0</v>
      </c>
      <c r="K7183" s="106"/>
      <c r="L7183" s="106"/>
      <c r="M7183" s="129"/>
    </row>
    <row r="7184" spans="1:13" s="146" customFormat="1">
      <c r="A7184" s="193" t="s">
        <v>523</v>
      </c>
      <c r="B7184" s="210">
        <v>18</v>
      </c>
      <c r="C7184" s="191" t="str">
        <f>IF('IWP25'!E$630=0,"",'IWP25'!E$630)</f>
        <v/>
      </c>
      <c r="D7184" s="211">
        <f>'IWP25'!G$630</f>
        <v>0</v>
      </c>
      <c r="E7184" s="211">
        <f>'IWP25'!H$630</f>
        <v>0</v>
      </c>
      <c r="F7184" s="211">
        <f>'IWP25'!I$630</f>
        <v>0</v>
      </c>
      <c r="G7184" s="191" t="str">
        <f>IF('IWP25'!J$630=0,"",'IWP25'!J$630)</f>
        <v/>
      </c>
      <c r="H7184" s="211">
        <f>'IWP25'!K$630</f>
        <v>0</v>
      </c>
      <c r="I7184" s="211">
        <f>'IWP25'!L$630</f>
        <v>0</v>
      </c>
      <c r="J7184" s="212">
        <f>'IWP25'!M$630</f>
        <v>0</v>
      </c>
      <c r="K7184" s="106"/>
      <c r="L7184" s="106"/>
      <c r="M7184" s="129"/>
    </row>
    <row r="7185" spans="1:13" s="146" customFormat="1">
      <c r="A7185" s="193" t="s">
        <v>523</v>
      </c>
      <c r="B7185" s="210">
        <v>18</v>
      </c>
      <c r="C7185" s="191" t="str">
        <f>IF('IWP25'!E$631=0,"",'IWP25'!E$631)</f>
        <v/>
      </c>
      <c r="D7185" s="211">
        <f>'IWP25'!G$631</f>
        <v>0</v>
      </c>
      <c r="E7185" s="211">
        <f>'IWP25'!H$631</f>
        <v>0</v>
      </c>
      <c r="F7185" s="211">
        <f>'IWP25'!I$631</f>
        <v>0</v>
      </c>
      <c r="G7185" s="191" t="str">
        <f>IF('IWP25'!J$631=0,"",'IWP25'!J$631)</f>
        <v/>
      </c>
      <c r="H7185" s="211">
        <f>'IWP25'!K$631</f>
        <v>0</v>
      </c>
      <c r="I7185" s="211">
        <f>'IWP25'!L$631</f>
        <v>0</v>
      </c>
      <c r="J7185" s="212">
        <f>'IWP25'!M$631</f>
        <v>0</v>
      </c>
      <c r="K7185" s="106"/>
      <c r="L7185" s="106"/>
      <c r="M7185" s="129"/>
    </row>
    <row r="7186" spans="1:13" s="146" customFormat="1">
      <c r="A7186" s="193" t="s">
        <v>523</v>
      </c>
      <c r="B7186" s="210">
        <v>18</v>
      </c>
      <c r="C7186" s="191" t="str">
        <f>IF('IWP25'!E$632=0,"",'IWP25'!E$632)</f>
        <v/>
      </c>
      <c r="D7186" s="211">
        <f>'IWP25'!G$632</f>
        <v>0</v>
      </c>
      <c r="E7186" s="211">
        <f>'IWP25'!H$632</f>
        <v>0</v>
      </c>
      <c r="F7186" s="211">
        <f>'IWP25'!I$632</f>
        <v>0</v>
      </c>
      <c r="G7186" s="191" t="str">
        <f>IF('IWP25'!J$632=0,"",'IWP25'!J$632)</f>
        <v/>
      </c>
      <c r="H7186" s="211">
        <f>'IWP25'!K$632</f>
        <v>0</v>
      </c>
      <c r="I7186" s="211">
        <f>'IWP25'!L$632</f>
        <v>0</v>
      </c>
      <c r="J7186" s="212">
        <f>'IWP25'!M$632</f>
        <v>0</v>
      </c>
      <c r="K7186" s="106"/>
      <c r="L7186" s="106"/>
      <c r="M7186" s="129"/>
    </row>
    <row r="7187" spans="1:13" s="146" customFormat="1">
      <c r="A7187" s="193" t="s">
        <v>523</v>
      </c>
      <c r="B7187" s="210">
        <v>18</v>
      </c>
      <c r="C7187" s="191" t="str">
        <f>IF('IWP25'!E$633=0,"",'IWP25'!E$633)</f>
        <v/>
      </c>
      <c r="D7187" s="211">
        <f>'IWP25'!G$633</f>
        <v>0</v>
      </c>
      <c r="E7187" s="211">
        <f>'IWP25'!H$633</f>
        <v>0</v>
      </c>
      <c r="F7187" s="211">
        <f>'IWP25'!I$633</f>
        <v>0</v>
      </c>
      <c r="G7187" s="191" t="str">
        <f>IF('IWP25'!J$633=0,"",'IWP25'!J$633)</f>
        <v/>
      </c>
      <c r="H7187" s="211">
        <f>'IWP25'!K$633</f>
        <v>0</v>
      </c>
      <c r="I7187" s="211">
        <f>'IWP25'!L$633</f>
        <v>0</v>
      </c>
      <c r="J7187" s="212">
        <f>'IWP25'!M$633</f>
        <v>0</v>
      </c>
      <c r="K7187" s="106"/>
      <c r="L7187" s="106"/>
      <c r="M7187" s="129"/>
    </row>
    <row r="7188" spans="1:13" s="146" customFormat="1">
      <c r="A7188" s="193" t="s">
        <v>523</v>
      </c>
      <c r="B7188" s="210">
        <v>18</v>
      </c>
      <c r="C7188" s="191" t="str">
        <f>IF('IWP25'!E$634=0,"",'IWP25'!E$634)</f>
        <v/>
      </c>
      <c r="D7188" s="211">
        <f>'IWP25'!G$634</f>
        <v>0</v>
      </c>
      <c r="E7188" s="211">
        <f>'IWP25'!H$634</f>
        <v>0</v>
      </c>
      <c r="F7188" s="211">
        <f>'IWP25'!I$634</f>
        <v>0</v>
      </c>
      <c r="G7188" s="191" t="str">
        <f>IF('IWP25'!J$634=0,"",'IWP25'!J$634)</f>
        <v/>
      </c>
      <c r="H7188" s="211">
        <f>'IWP25'!K$634</f>
        <v>0</v>
      </c>
      <c r="I7188" s="211">
        <f>'IWP25'!L$634</f>
        <v>0</v>
      </c>
      <c r="J7188" s="212">
        <f>'IWP25'!M$634</f>
        <v>0</v>
      </c>
      <c r="K7188" s="106"/>
      <c r="L7188" s="106"/>
      <c r="M7188" s="129"/>
    </row>
    <row r="7189" spans="1:13" s="146" customFormat="1">
      <c r="A7189" s="193" t="s">
        <v>523</v>
      </c>
      <c r="B7189" s="210">
        <v>18</v>
      </c>
      <c r="C7189" s="191" t="str">
        <f>IF('IWP25'!E$635=0,"",'IWP25'!E$635)</f>
        <v/>
      </c>
      <c r="D7189" s="211">
        <f>'IWP25'!G$635</f>
        <v>0</v>
      </c>
      <c r="E7189" s="211">
        <f>'IWP25'!H$635</f>
        <v>0</v>
      </c>
      <c r="F7189" s="211">
        <f>'IWP25'!I$635</f>
        <v>0</v>
      </c>
      <c r="G7189" s="191" t="str">
        <f>IF('IWP25'!J$635=0,"",'IWP25'!J$635)</f>
        <v/>
      </c>
      <c r="H7189" s="211">
        <f>'IWP25'!K$635</f>
        <v>0</v>
      </c>
      <c r="I7189" s="211">
        <f>'IWP25'!L$635</f>
        <v>0</v>
      </c>
      <c r="J7189" s="212">
        <f>'IWP25'!M$635</f>
        <v>0</v>
      </c>
      <c r="K7189" s="106"/>
      <c r="L7189" s="106"/>
      <c r="M7189" s="129"/>
    </row>
    <row r="7190" spans="1:13" s="146" customFormat="1">
      <c r="A7190" s="193" t="s">
        <v>523</v>
      </c>
      <c r="B7190" s="210">
        <v>18</v>
      </c>
      <c r="C7190" s="191" t="str">
        <f>IF('IWP25'!E$636=0,"",'IWP25'!E$636)</f>
        <v/>
      </c>
      <c r="D7190" s="211">
        <f>'IWP25'!G$636</f>
        <v>0</v>
      </c>
      <c r="E7190" s="211">
        <f>'IWP25'!H$636</f>
        <v>0</v>
      </c>
      <c r="F7190" s="211">
        <f>'IWP25'!I$636</f>
        <v>0</v>
      </c>
      <c r="G7190" s="191" t="str">
        <f>IF('IWP25'!J$636=0,"",'IWP25'!J$636)</f>
        <v/>
      </c>
      <c r="H7190" s="211">
        <f>'IWP25'!K$636</f>
        <v>0</v>
      </c>
      <c r="I7190" s="211">
        <f>'IWP25'!L$636</f>
        <v>0</v>
      </c>
      <c r="J7190" s="212">
        <f>'IWP25'!M$636</f>
        <v>0</v>
      </c>
      <c r="K7190" s="106"/>
      <c r="L7190" s="106"/>
      <c r="M7190" s="129"/>
    </row>
    <row r="7191" spans="1:13" s="146" customFormat="1">
      <c r="A7191" s="193" t="s">
        <v>524</v>
      </c>
      <c r="B7191" s="210">
        <v>1</v>
      </c>
      <c r="C7191" s="191" t="str">
        <f>IF('IWP26'!E$355=0,"",'IWP26'!E$355)</f>
        <v>Subtotal column D.</v>
      </c>
      <c r="D7191" s="211">
        <f>'IWP26'!G$355</f>
        <v>0</v>
      </c>
      <c r="E7191" s="211">
        <f>'IWP26'!H$355</f>
        <v>0</v>
      </c>
      <c r="F7191" s="211">
        <f>'IWP26'!I$355</f>
        <v>0</v>
      </c>
      <c r="G7191" s="191" t="str">
        <f>IF('IWP26'!J$355=0,"",'IWP26'!J$355)</f>
        <v/>
      </c>
      <c r="H7191" s="211">
        <f>'IWP26'!K$355</f>
        <v>0</v>
      </c>
      <c r="I7191" s="211">
        <f>'IWP26'!L$355</f>
        <v>0</v>
      </c>
      <c r="J7191" s="212">
        <f>'IWP26'!M$355</f>
        <v>0</v>
      </c>
      <c r="K7191" s="106"/>
      <c r="L7191" s="106"/>
      <c r="M7191" s="129"/>
    </row>
    <row r="7192" spans="1:13" s="146" customFormat="1">
      <c r="A7192" s="193" t="s">
        <v>524</v>
      </c>
      <c r="B7192" s="210">
        <v>1</v>
      </c>
      <c r="C7192" s="191" t="str">
        <f>IF('IWP26'!E$356=0,"",'IWP26'!E$356)</f>
        <v>Unverified/Undocumented (Subtotall D - C)</v>
      </c>
      <c r="D7192" s="211">
        <f>'IWP26'!G$356</f>
        <v>0</v>
      </c>
      <c r="E7192" s="211">
        <f>'IWP26'!H$356</f>
        <v>0</v>
      </c>
      <c r="F7192" s="211">
        <f>'IWP26'!I$356</f>
        <v>0</v>
      </c>
      <c r="G7192" s="191" t="str">
        <f>IF('IWP26'!J$356=0,"",'IWP26'!J$356)</f>
        <v/>
      </c>
      <c r="H7192" s="211">
        <f>'IWP26'!K$356</f>
        <v>0</v>
      </c>
      <c r="I7192" s="211">
        <f>'IWP26'!L$356</f>
        <v>0</v>
      </c>
      <c r="J7192" s="212">
        <f>'IWP26'!M$356</f>
        <v>0</v>
      </c>
      <c r="K7192" s="106"/>
      <c r="L7192" s="106"/>
      <c r="M7192" s="129"/>
    </row>
    <row r="7193" spans="1:13" s="146" customFormat="1">
      <c r="A7193" s="193" t="s">
        <v>524</v>
      </c>
      <c r="B7193" s="210">
        <v>1</v>
      </c>
      <c r="C7193" s="191" t="str">
        <f>IF('IWP26'!E$357=0,"",'IWP26'!E$357)</f>
        <v>J. Billing Period Total</v>
      </c>
      <c r="D7193" s="211">
        <f>'IWP26'!G$357</f>
        <v>0</v>
      </c>
      <c r="E7193" s="211">
        <f>'IWP26'!H$357</f>
        <v>0</v>
      </c>
      <c r="F7193" s="211">
        <f>'IWP26'!I$357</f>
        <v>0</v>
      </c>
      <c r="G7193" s="191" t="str">
        <f>IF('IWP26'!J$357=0,"",'IWP26'!J$357)</f>
        <v/>
      </c>
      <c r="H7193" s="211">
        <f>'IWP26'!K$357</f>
        <v>0</v>
      </c>
      <c r="I7193" s="211">
        <f>'IWP26'!L$357</f>
        <v>0</v>
      </c>
      <c r="J7193" s="212">
        <f>'IWP26'!M$357</f>
        <v>0</v>
      </c>
      <c r="K7193" s="106"/>
      <c r="L7193" s="106"/>
      <c r="M7193" s="129"/>
    </row>
    <row r="7194" spans="1:13" s="146" customFormat="1">
      <c r="A7194" s="193" t="s">
        <v>524</v>
      </c>
      <c r="B7194" s="210">
        <v>1</v>
      </c>
      <c r="C7194" s="191" t="str">
        <f>IF('IWP26'!E$358=0,"",'IWP26'!E$358)</f>
        <v>D.</v>
      </c>
      <c r="D7194" s="211">
        <f>'IWP26'!G$358</f>
        <v>0</v>
      </c>
      <c r="E7194" s="211" t="str">
        <f>'IWP26'!H$358</f>
        <v>E.</v>
      </c>
      <c r="F7194" s="211" t="str">
        <f>'IWP26'!I$358</f>
        <v>F.</v>
      </c>
      <c r="G7194" s="191" t="str">
        <f>IF('IWP26'!J$358=0,"",'IWP26'!J$358)</f>
        <v>G.</v>
      </c>
      <c r="H7194" s="211">
        <f>'IWP26'!K$358</f>
        <v>0</v>
      </c>
      <c r="I7194" s="211" t="str">
        <f>'IWP26'!L$358</f>
        <v>H.</v>
      </c>
      <c r="J7194" s="212" t="str">
        <f>'IWP26'!M$358</f>
        <v>I.</v>
      </c>
      <c r="K7194" s="106"/>
      <c r="L7194" s="106"/>
      <c r="M7194" s="129"/>
    </row>
    <row r="7195" spans="1:13" s="146" customFormat="1">
      <c r="A7195" s="193" t="s">
        <v>524</v>
      </c>
      <c r="B7195" s="210">
        <v>1</v>
      </c>
      <c r="C7195" s="191" t="str">
        <f>IF('IWP26'!E$359=0,"",'IWP26'!E$359)</f>
        <v xml:space="preserve">Items/Services Related to Billing Period </v>
      </c>
      <c r="D7195" s="211">
        <f>'IWP26'!G$359</f>
        <v>0</v>
      </c>
      <c r="E7195" s="211" t="str">
        <f>'IWP26'!H$359</f>
        <v xml:space="preserve">Item/
Service Verified Amounts
</v>
      </c>
      <c r="F7195" s="211" t="str">
        <f>'IWP26'!I$359</f>
        <v>Amount Due to DADS (E. - D.)</v>
      </c>
      <c r="G7195" s="191" t="str">
        <f>IF('IWP26'!J$359=0,"",'IWP26'!J$359)</f>
        <v>Amount Reimbursed to 
Employee(s)/Employer</v>
      </c>
      <c r="H7195" s="211">
        <f>'IWP26'!K$359</f>
        <v>0</v>
      </c>
      <c r="I7195" s="211" t="str">
        <f>'IWP26'!L$359</f>
        <v>Amount Due to Employee(s) (G. - E.)</v>
      </c>
      <c r="J7195" s="212" t="str">
        <f>'IWP26'!M$359</f>
        <v>Amount Due to Employer (G. - E.)</v>
      </c>
      <c r="K7195" s="106"/>
      <c r="L7195" s="106"/>
      <c r="M7195" s="129"/>
    </row>
    <row r="7196" spans="1:13" s="146" customFormat="1">
      <c r="A7196" s="193" t="s">
        <v>524</v>
      </c>
      <c r="B7196" s="210">
        <v>1</v>
      </c>
      <c r="C7196" s="191" t="str">
        <f>IF('IWP26'!E$360=0,"",'IWP26'!E$360)</f>
        <v>Item/Service</v>
      </c>
      <c r="D7196" s="211" t="str">
        <f>'IWP26'!G$360</f>
        <v>Itemized Amount Paid by DADS</v>
      </c>
      <c r="E7196" s="211">
        <f>'IWP26'!H$360</f>
        <v>0</v>
      </c>
      <c r="F7196" s="211">
        <f>'IWP26'!I$360</f>
        <v>0</v>
      </c>
      <c r="G7196" s="191" t="str">
        <f>IF('IWP26'!J$360=0,"",'IWP26'!J$360)</f>
        <v/>
      </c>
      <c r="H7196" s="211">
        <f>'IWP26'!K$360</f>
        <v>0</v>
      </c>
      <c r="I7196" s="211">
        <f>'IWP26'!L$360</f>
        <v>0</v>
      </c>
      <c r="J7196" s="212">
        <f>'IWP26'!M$360</f>
        <v>0</v>
      </c>
      <c r="K7196" s="106"/>
      <c r="L7196" s="106"/>
      <c r="M7196" s="129"/>
    </row>
    <row r="7197" spans="1:13" s="146" customFormat="1">
      <c r="A7197" s="193" t="s">
        <v>524</v>
      </c>
      <c r="B7197" s="210">
        <v>1</v>
      </c>
      <c r="C7197" s="191" t="str">
        <f>IF('IWP26'!E$361=0,"",'IWP26'!E$361)</f>
        <v/>
      </c>
      <c r="D7197" s="211">
        <f>'IWP26'!G$361</f>
        <v>0</v>
      </c>
      <c r="E7197" s="211">
        <f>'IWP26'!H$361</f>
        <v>0</v>
      </c>
      <c r="F7197" s="211">
        <f>'IWP26'!I$361</f>
        <v>0</v>
      </c>
      <c r="G7197" s="191" t="str">
        <f>IF('IWP26'!J$361=0,"",'IWP26'!J$361)</f>
        <v/>
      </c>
      <c r="H7197" s="211">
        <f>'IWP26'!K$361</f>
        <v>0</v>
      </c>
      <c r="I7197" s="211">
        <f>'IWP26'!L$361</f>
        <v>0</v>
      </c>
      <c r="J7197" s="212">
        <f>'IWP26'!M$361</f>
        <v>0</v>
      </c>
      <c r="K7197" s="106"/>
      <c r="L7197" s="106"/>
      <c r="M7197" s="129"/>
    </row>
    <row r="7198" spans="1:13" s="146" customFormat="1">
      <c r="A7198" s="193" t="s">
        <v>524</v>
      </c>
      <c r="B7198" s="210">
        <v>1</v>
      </c>
      <c r="C7198" s="191" t="str">
        <f>IF('IWP26'!E$362=0,"",'IWP26'!E$362)</f>
        <v/>
      </c>
      <c r="D7198" s="211">
        <f>'IWP26'!G$362</f>
        <v>0</v>
      </c>
      <c r="E7198" s="211">
        <f>'IWP26'!H$362</f>
        <v>0</v>
      </c>
      <c r="F7198" s="211">
        <f>'IWP26'!I$362</f>
        <v>0</v>
      </c>
      <c r="G7198" s="191" t="str">
        <f>IF('IWP26'!J$362=0,"",'IWP26'!J$362)</f>
        <v/>
      </c>
      <c r="H7198" s="211">
        <f>'IWP26'!K$362</f>
        <v>0</v>
      </c>
      <c r="I7198" s="211">
        <f>'IWP26'!L$362</f>
        <v>0</v>
      </c>
      <c r="J7198" s="212">
        <f>'IWP26'!M$362</f>
        <v>0</v>
      </c>
      <c r="K7198" s="106"/>
      <c r="L7198" s="106"/>
      <c r="M7198" s="129"/>
    </row>
    <row r="7199" spans="1:13" s="146" customFormat="1">
      <c r="A7199" s="193" t="s">
        <v>524</v>
      </c>
      <c r="B7199" s="210">
        <v>1</v>
      </c>
      <c r="C7199" s="191" t="str">
        <f>IF('IWP26'!E$363=0,"",'IWP26'!E$363)</f>
        <v/>
      </c>
      <c r="D7199" s="211">
        <f>'IWP26'!G$363</f>
        <v>0</v>
      </c>
      <c r="E7199" s="211">
        <f>'IWP26'!H$363</f>
        <v>0</v>
      </c>
      <c r="F7199" s="211">
        <f>'IWP26'!I$363</f>
        <v>0</v>
      </c>
      <c r="G7199" s="191" t="str">
        <f>IF('IWP26'!J$363=0,"",'IWP26'!J$363)</f>
        <v/>
      </c>
      <c r="H7199" s="211">
        <f>'IWP26'!K$363</f>
        <v>0</v>
      </c>
      <c r="I7199" s="211">
        <f>'IWP26'!L$363</f>
        <v>0</v>
      </c>
      <c r="J7199" s="212">
        <f>'IWP26'!M$363</f>
        <v>0</v>
      </c>
      <c r="K7199" s="106"/>
      <c r="L7199" s="106"/>
      <c r="M7199" s="129"/>
    </row>
    <row r="7200" spans="1:13" s="146" customFormat="1">
      <c r="A7200" s="193" t="s">
        <v>524</v>
      </c>
      <c r="B7200" s="210">
        <v>1</v>
      </c>
      <c r="C7200" s="191" t="str">
        <f>IF('IWP26'!E$364=0,"",'IWP26'!E$364)</f>
        <v/>
      </c>
      <c r="D7200" s="211">
        <f>'IWP26'!G$364</f>
        <v>0</v>
      </c>
      <c r="E7200" s="211">
        <f>'IWP26'!H$364</f>
        <v>0</v>
      </c>
      <c r="F7200" s="211">
        <f>'IWP26'!I$364</f>
        <v>0</v>
      </c>
      <c r="G7200" s="191" t="str">
        <f>IF('IWP26'!J$364=0,"",'IWP26'!J$364)</f>
        <v/>
      </c>
      <c r="H7200" s="211">
        <f>'IWP26'!K$364</f>
        <v>0</v>
      </c>
      <c r="I7200" s="211">
        <f>'IWP26'!L$364</f>
        <v>0</v>
      </c>
      <c r="J7200" s="212">
        <f>'IWP26'!M$364</f>
        <v>0</v>
      </c>
      <c r="K7200" s="106"/>
      <c r="L7200" s="106"/>
      <c r="M7200" s="129"/>
    </row>
    <row r="7201" spans="1:13" s="146" customFormat="1">
      <c r="A7201" s="193" t="s">
        <v>524</v>
      </c>
      <c r="B7201" s="210">
        <v>2</v>
      </c>
      <c r="C7201" s="191" t="str">
        <f>IF('IWP26'!E$371=0,"",'IWP26'!E$371)</f>
        <v>Subtotal column D.</v>
      </c>
      <c r="D7201" s="211">
        <f>'IWP26'!G$371</f>
        <v>0</v>
      </c>
      <c r="E7201" s="211">
        <f>'IWP26'!H$371</f>
        <v>0</v>
      </c>
      <c r="F7201" s="211">
        <f>'IWP26'!I$371</f>
        <v>0</v>
      </c>
      <c r="G7201" s="191" t="str">
        <f>IF('IWP26'!J$371=0,"",'IWP26'!J$371)</f>
        <v/>
      </c>
      <c r="H7201" s="211">
        <f>'IWP26'!K$371</f>
        <v>0</v>
      </c>
      <c r="I7201" s="211">
        <f>'IWP26'!L$371</f>
        <v>0</v>
      </c>
      <c r="J7201" s="212">
        <f>'IWP26'!M$371</f>
        <v>0</v>
      </c>
      <c r="K7201" s="106"/>
      <c r="L7201" s="106"/>
      <c r="M7201" s="129"/>
    </row>
    <row r="7202" spans="1:13" s="146" customFormat="1">
      <c r="A7202" s="193" t="s">
        <v>524</v>
      </c>
      <c r="B7202" s="210">
        <v>2</v>
      </c>
      <c r="C7202" s="191" t="str">
        <f>IF('IWP26'!E$372=0,"",'IWP26'!E$372)</f>
        <v>Unverified/Undocumented (Subtotal D - C)</v>
      </c>
      <c r="D7202" s="211">
        <f>'IWP26'!G$372</f>
        <v>0</v>
      </c>
      <c r="E7202" s="211">
        <f>'IWP26'!H$372</f>
        <v>0</v>
      </c>
      <c r="F7202" s="211">
        <f>'IWP26'!I$372</f>
        <v>0</v>
      </c>
      <c r="G7202" s="191" t="str">
        <f>IF('IWP26'!J$372=0,"",'IWP26'!J$372)</f>
        <v/>
      </c>
      <c r="H7202" s="211">
        <f>'IWP26'!K$372</f>
        <v>0</v>
      </c>
      <c r="I7202" s="211">
        <f>'IWP26'!L$372</f>
        <v>0</v>
      </c>
      <c r="J7202" s="212">
        <f>'IWP26'!M$372</f>
        <v>0</v>
      </c>
      <c r="K7202" s="106"/>
      <c r="L7202" s="106"/>
      <c r="M7202" s="129"/>
    </row>
    <row r="7203" spans="1:13" s="146" customFormat="1">
      <c r="A7203" s="193" t="s">
        <v>524</v>
      </c>
      <c r="B7203" s="210">
        <v>2</v>
      </c>
      <c r="C7203" s="191" t="str">
        <f>IF('IWP26'!E$373=0,"",'IWP26'!E$373)</f>
        <v>J. Billing Period Total</v>
      </c>
      <c r="D7203" s="211">
        <f>'IWP26'!G$373</f>
        <v>0</v>
      </c>
      <c r="E7203" s="211">
        <f>'IWP26'!H$373</f>
        <v>0</v>
      </c>
      <c r="F7203" s="211">
        <f>'IWP26'!I$373</f>
        <v>0</v>
      </c>
      <c r="G7203" s="191" t="str">
        <f>IF('IWP26'!J$373=0,"",'IWP26'!J$373)</f>
        <v/>
      </c>
      <c r="H7203" s="211">
        <f>'IWP26'!K$373</f>
        <v>0</v>
      </c>
      <c r="I7203" s="211">
        <f>'IWP26'!L$373</f>
        <v>0</v>
      </c>
      <c r="J7203" s="212">
        <f>'IWP26'!M$373</f>
        <v>0</v>
      </c>
      <c r="K7203" s="106"/>
      <c r="L7203" s="106"/>
      <c r="M7203" s="129"/>
    </row>
    <row r="7204" spans="1:13" s="146" customFormat="1">
      <c r="A7204" s="193" t="s">
        <v>524</v>
      </c>
      <c r="B7204" s="210">
        <v>2</v>
      </c>
      <c r="C7204" s="191" t="str">
        <f>IF('IWP26'!E$374=0,"",'IWP26'!E$374)</f>
        <v>D.</v>
      </c>
      <c r="D7204" s="211">
        <f>'IWP26'!G$374</f>
        <v>0</v>
      </c>
      <c r="E7204" s="211" t="str">
        <f>'IWP26'!H$374</f>
        <v>E.</v>
      </c>
      <c r="F7204" s="211" t="str">
        <f>'IWP26'!I$374</f>
        <v>F.</v>
      </c>
      <c r="G7204" s="191" t="str">
        <f>IF('IWP26'!J$374=0,"",'IWP26'!J$374)</f>
        <v>G.</v>
      </c>
      <c r="H7204" s="211">
        <f>'IWP26'!K$374</f>
        <v>0</v>
      </c>
      <c r="I7204" s="211" t="str">
        <f>'IWP26'!L$374</f>
        <v>H.</v>
      </c>
      <c r="J7204" s="212" t="str">
        <f>'IWP26'!M$374</f>
        <v>I.</v>
      </c>
      <c r="K7204" s="106"/>
      <c r="L7204" s="106"/>
      <c r="M7204" s="129"/>
    </row>
    <row r="7205" spans="1:13" s="146" customFormat="1">
      <c r="A7205" s="193" t="s">
        <v>524</v>
      </c>
      <c r="B7205" s="210">
        <v>2</v>
      </c>
      <c r="C7205" s="191" t="str">
        <f>IF('IWP26'!E$375=0,"",'IWP26'!E$375)</f>
        <v xml:space="preserve">Items/Services Related to Billing Period </v>
      </c>
      <c r="D7205" s="211">
        <f>'IWP26'!G$375</f>
        <v>0</v>
      </c>
      <c r="E7205" s="211" t="str">
        <f>'IWP26'!H$375</f>
        <v xml:space="preserve">Item/
Service Verified Amounts
</v>
      </c>
      <c r="F7205" s="211" t="str">
        <f>'IWP26'!I$375</f>
        <v>Amount Due to DADS (E. - D.)</v>
      </c>
      <c r="G7205" s="191" t="str">
        <f>IF('IWP26'!J$375=0,"",'IWP26'!J$375)</f>
        <v>Amount Reimbursed to 
Employee(s)/Employer</v>
      </c>
      <c r="H7205" s="211">
        <f>'IWP26'!K$375</f>
        <v>0</v>
      </c>
      <c r="I7205" s="211" t="str">
        <f>'IWP26'!L$375</f>
        <v>Amount Due to Employee(s) (G. - E.)</v>
      </c>
      <c r="J7205" s="212" t="str">
        <f>'IWP26'!M$375</f>
        <v>Amount Due to Employer (G. - E.)</v>
      </c>
      <c r="K7205" s="106"/>
      <c r="L7205" s="106"/>
      <c r="M7205" s="129"/>
    </row>
    <row r="7206" spans="1:13" s="146" customFormat="1">
      <c r="A7206" s="193" t="s">
        <v>524</v>
      </c>
      <c r="B7206" s="210">
        <v>2</v>
      </c>
      <c r="C7206" s="191" t="str">
        <f>IF('IWP26'!E$376=0,"",'IWP26'!E$376)</f>
        <v>Item/Service</v>
      </c>
      <c r="D7206" s="211" t="str">
        <f>'IWP26'!G$376</f>
        <v>Itemized Amount Paid by DADS</v>
      </c>
      <c r="E7206" s="211">
        <f>'IWP26'!H$376</f>
        <v>0</v>
      </c>
      <c r="F7206" s="211">
        <f>'IWP26'!I$376</f>
        <v>0</v>
      </c>
      <c r="G7206" s="191" t="str">
        <f>IF('IWP26'!J$376=0,"",'IWP26'!J$376)</f>
        <v/>
      </c>
      <c r="H7206" s="211">
        <f>'IWP26'!K$376</f>
        <v>0</v>
      </c>
      <c r="I7206" s="211">
        <f>'IWP26'!L$376</f>
        <v>0</v>
      </c>
      <c r="J7206" s="212">
        <f>'IWP26'!M$376</f>
        <v>0</v>
      </c>
      <c r="K7206" s="106"/>
      <c r="L7206" s="106"/>
      <c r="M7206" s="129"/>
    </row>
    <row r="7207" spans="1:13" s="146" customFormat="1">
      <c r="A7207" s="193" t="s">
        <v>524</v>
      </c>
      <c r="B7207" s="210">
        <v>2</v>
      </c>
      <c r="C7207" s="191" t="str">
        <f>IF('IWP26'!E$377=0,"",'IWP26'!E$377)</f>
        <v/>
      </c>
      <c r="D7207" s="211">
        <f>'IWP26'!G$377</f>
        <v>0</v>
      </c>
      <c r="E7207" s="211">
        <f>'IWP26'!H$377</f>
        <v>0</v>
      </c>
      <c r="F7207" s="211">
        <f>'IWP26'!I$377</f>
        <v>0</v>
      </c>
      <c r="G7207" s="191" t="str">
        <f>IF('IWP26'!J$377=0,"",'IWP26'!J$377)</f>
        <v/>
      </c>
      <c r="H7207" s="211">
        <f>'IWP26'!K$377</f>
        <v>0</v>
      </c>
      <c r="I7207" s="211">
        <f>'IWP26'!L$377</f>
        <v>0</v>
      </c>
      <c r="J7207" s="212">
        <f>'IWP26'!M$377</f>
        <v>0</v>
      </c>
      <c r="K7207" s="106"/>
      <c r="L7207" s="106"/>
      <c r="M7207" s="129"/>
    </row>
    <row r="7208" spans="1:13" s="146" customFormat="1">
      <c r="A7208" s="193" t="s">
        <v>524</v>
      </c>
      <c r="B7208" s="210">
        <v>2</v>
      </c>
      <c r="C7208" s="191" t="str">
        <f>IF('IWP26'!E$378=0,"",'IWP26'!E$378)</f>
        <v/>
      </c>
      <c r="D7208" s="211">
        <f>'IWP26'!G$378</f>
        <v>0</v>
      </c>
      <c r="E7208" s="211">
        <f>'IWP26'!H$378</f>
        <v>0</v>
      </c>
      <c r="F7208" s="211">
        <f>'IWP26'!I$378</f>
        <v>0</v>
      </c>
      <c r="G7208" s="191" t="str">
        <f>IF('IWP26'!J$378=0,"",'IWP26'!J$378)</f>
        <v/>
      </c>
      <c r="H7208" s="211">
        <f>'IWP26'!K$378</f>
        <v>0</v>
      </c>
      <c r="I7208" s="211">
        <f>'IWP26'!L$378</f>
        <v>0</v>
      </c>
      <c r="J7208" s="212">
        <f>'IWP26'!M$378</f>
        <v>0</v>
      </c>
      <c r="K7208" s="106"/>
      <c r="L7208" s="106"/>
      <c r="M7208" s="129"/>
    </row>
    <row r="7209" spans="1:13" s="146" customFormat="1">
      <c r="A7209" s="193" t="s">
        <v>524</v>
      </c>
      <c r="B7209" s="210">
        <v>2</v>
      </c>
      <c r="C7209" s="191" t="str">
        <f>IF('IWP26'!E$379=0,"",'IWP26'!E$379)</f>
        <v/>
      </c>
      <c r="D7209" s="211">
        <f>'IWP26'!G$379</f>
        <v>0</v>
      </c>
      <c r="E7209" s="211">
        <f>'IWP26'!H$379</f>
        <v>0</v>
      </c>
      <c r="F7209" s="211">
        <f>'IWP26'!I$379</f>
        <v>0</v>
      </c>
      <c r="G7209" s="191" t="str">
        <f>IF('IWP26'!J$379=0,"",'IWP26'!J$379)</f>
        <v/>
      </c>
      <c r="H7209" s="211">
        <f>'IWP26'!K$379</f>
        <v>0</v>
      </c>
      <c r="I7209" s="211">
        <f>'IWP26'!L$379</f>
        <v>0</v>
      </c>
      <c r="J7209" s="212">
        <f>'IWP26'!M$379</f>
        <v>0</v>
      </c>
      <c r="K7209" s="106"/>
      <c r="L7209" s="106"/>
      <c r="M7209" s="129"/>
    </row>
    <row r="7210" spans="1:13" s="146" customFormat="1">
      <c r="A7210" s="193" t="s">
        <v>524</v>
      </c>
      <c r="B7210" s="210">
        <v>2</v>
      </c>
      <c r="C7210" s="191" t="str">
        <f>IF('IWP26'!E$380=0,"",'IWP26'!E$380)</f>
        <v/>
      </c>
      <c r="D7210" s="211">
        <f>'IWP26'!G$380</f>
        <v>0</v>
      </c>
      <c r="E7210" s="211">
        <f>'IWP26'!H$380</f>
        <v>0</v>
      </c>
      <c r="F7210" s="211">
        <f>'IWP26'!I$380</f>
        <v>0</v>
      </c>
      <c r="G7210" s="191" t="str">
        <f>IF('IWP26'!J$380=0,"",'IWP26'!J$380)</f>
        <v/>
      </c>
      <c r="H7210" s="211">
        <f>'IWP26'!K$380</f>
        <v>0</v>
      </c>
      <c r="I7210" s="211">
        <f>'IWP26'!L$380</f>
        <v>0</v>
      </c>
      <c r="J7210" s="212">
        <f>'IWP26'!M$380</f>
        <v>0</v>
      </c>
      <c r="K7210" s="106"/>
      <c r="L7210" s="106"/>
      <c r="M7210" s="129"/>
    </row>
    <row r="7211" spans="1:13" s="146" customFormat="1">
      <c r="A7211" s="193" t="s">
        <v>524</v>
      </c>
      <c r="B7211" s="210">
        <v>3</v>
      </c>
      <c r="C7211" s="191" t="str">
        <f>IF('IWP26'!E$387=0,"",'IWP26'!E$387)</f>
        <v>Subtotal column D.</v>
      </c>
      <c r="D7211" s="211">
        <f>'IWP26'!G$387</f>
        <v>0</v>
      </c>
      <c r="E7211" s="211">
        <f>'IWP26'!H$387</f>
        <v>0</v>
      </c>
      <c r="F7211" s="211">
        <f>'IWP26'!I$387</f>
        <v>0</v>
      </c>
      <c r="G7211" s="191" t="str">
        <f>IF('IWP26'!J$387=0,"",'IWP26'!J$387)</f>
        <v/>
      </c>
      <c r="H7211" s="211">
        <f>'IWP26'!K$387</f>
        <v>0</v>
      </c>
      <c r="I7211" s="211">
        <f>'IWP26'!L$387</f>
        <v>0</v>
      </c>
      <c r="J7211" s="212">
        <f>'IWP26'!M$387</f>
        <v>0</v>
      </c>
      <c r="K7211" s="106"/>
      <c r="L7211" s="106"/>
      <c r="M7211" s="129"/>
    </row>
    <row r="7212" spans="1:13" s="146" customFormat="1">
      <c r="A7212" s="193" t="s">
        <v>524</v>
      </c>
      <c r="B7212" s="210">
        <v>3</v>
      </c>
      <c r="C7212" s="191" t="str">
        <f>IF('IWP26'!E$388=0,"",'IWP26'!E$388)</f>
        <v>Unverified/Undocumented (Subtotal D - C)</v>
      </c>
      <c r="D7212" s="211">
        <f>'IWP26'!G$388</f>
        <v>0</v>
      </c>
      <c r="E7212" s="211">
        <f>'IWP26'!H$388</f>
        <v>0</v>
      </c>
      <c r="F7212" s="211">
        <f>'IWP26'!I$388</f>
        <v>0</v>
      </c>
      <c r="G7212" s="191" t="str">
        <f>IF('IWP26'!J$388=0,"",'IWP26'!J$388)</f>
        <v/>
      </c>
      <c r="H7212" s="211">
        <f>'IWP26'!K$388</f>
        <v>0</v>
      </c>
      <c r="I7212" s="211">
        <f>'IWP26'!L$388</f>
        <v>0</v>
      </c>
      <c r="J7212" s="212">
        <f>'IWP26'!M$388</f>
        <v>0</v>
      </c>
      <c r="K7212" s="106"/>
      <c r="L7212" s="106"/>
      <c r="M7212" s="129"/>
    </row>
    <row r="7213" spans="1:13" s="146" customFormat="1">
      <c r="A7213" s="193" t="s">
        <v>524</v>
      </c>
      <c r="B7213" s="210">
        <v>3</v>
      </c>
      <c r="C7213" s="191" t="str">
        <f>IF('IWP26'!E$389=0,"",'IWP26'!E$389)</f>
        <v>J. Billing Period Total</v>
      </c>
      <c r="D7213" s="211">
        <f>'IWP26'!G$389</f>
        <v>0</v>
      </c>
      <c r="E7213" s="211">
        <f>'IWP26'!H$389</f>
        <v>0</v>
      </c>
      <c r="F7213" s="211">
        <f>'IWP26'!I$389</f>
        <v>0</v>
      </c>
      <c r="G7213" s="191" t="str">
        <f>IF('IWP26'!J$389=0,"",'IWP26'!J$389)</f>
        <v/>
      </c>
      <c r="H7213" s="211">
        <f>'IWP26'!K$389</f>
        <v>0</v>
      </c>
      <c r="I7213" s="211">
        <f>'IWP26'!L$389</f>
        <v>0</v>
      </c>
      <c r="J7213" s="212">
        <f>'IWP26'!M$389</f>
        <v>0</v>
      </c>
      <c r="K7213" s="106"/>
      <c r="L7213" s="106"/>
      <c r="M7213" s="129"/>
    </row>
    <row r="7214" spans="1:13" s="146" customFormat="1">
      <c r="A7214" s="193" t="s">
        <v>524</v>
      </c>
      <c r="B7214" s="210">
        <v>3</v>
      </c>
      <c r="C7214" s="191" t="str">
        <f>IF('IWP26'!E$390=0,"",'IWP26'!E$390)</f>
        <v>D.</v>
      </c>
      <c r="D7214" s="211">
        <f>'IWP26'!G$390</f>
        <v>0</v>
      </c>
      <c r="E7214" s="211" t="str">
        <f>'IWP26'!H$390</f>
        <v>E.</v>
      </c>
      <c r="F7214" s="211" t="str">
        <f>'IWP26'!I$390</f>
        <v>F.</v>
      </c>
      <c r="G7214" s="191" t="str">
        <f>IF('IWP26'!J$390=0,"",'IWP26'!J$390)</f>
        <v>G.</v>
      </c>
      <c r="H7214" s="211">
        <f>'IWP26'!K$390</f>
        <v>0</v>
      </c>
      <c r="I7214" s="211" t="str">
        <f>'IWP26'!L$390</f>
        <v>H.</v>
      </c>
      <c r="J7214" s="212" t="str">
        <f>'IWP26'!M$390</f>
        <v>I.</v>
      </c>
      <c r="K7214" s="106"/>
      <c r="L7214" s="106"/>
      <c r="M7214" s="129"/>
    </row>
    <row r="7215" spans="1:13" s="146" customFormat="1">
      <c r="A7215" s="193" t="s">
        <v>524</v>
      </c>
      <c r="B7215" s="210">
        <v>3</v>
      </c>
      <c r="C7215" s="191" t="str">
        <f>IF('IWP26'!E$391=0,"",'IWP26'!E$391)</f>
        <v xml:space="preserve">Items/Services Related to Billing Period </v>
      </c>
      <c r="D7215" s="211">
        <f>'IWP26'!G$391</f>
        <v>0</v>
      </c>
      <c r="E7215" s="211" t="str">
        <f>'IWP26'!H$391</f>
        <v xml:space="preserve">Item/
Service Verified Amounts
</v>
      </c>
      <c r="F7215" s="211" t="str">
        <f>'IWP26'!I$391</f>
        <v>Amount Due to DADS (E. - D.)</v>
      </c>
      <c r="G7215" s="191" t="str">
        <f>IF('IWP26'!J$391=0,"",'IWP26'!J$391)</f>
        <v>Amount Reimbursed to 
Employee(s)/Employer</v>
      </c>
      <c r="H7215" s="211">
        <f>'IWP26'!K$391</f>
        <v>0</v>
      </c>
      <c r="I7215" s="211" t="str">
        <f>'IWP26'!L$391</f>
        <v>Amount Due to Employee(s) (G. - E.)</v>
      </c>
      <c r="J7215" s="212" t="str">
        <f>'IWP26'!M$391</f>
        <v>Amount Due to Employer (G. - E.)</v>
      </c>
      <c r="K7215" s="106"/>
      <c r="L7215" s="106"/>
      <c r="M7215" s="129"/>
    </row>
    <row r="7216" spans="1:13" s="146" customFormat="1">
      <c r="A7216" s="193" t="s">
        <v>524</v>
      </c>
      <c r="B7216" s="210">
        <v>3</v>
      </c>
      <c r="C7216" s="191" t="str">
        <f>IF('IWP26'!E$392=0,"",'IWP26'!E$392)</f>
        <v>Item/Service</v>
      </c>
      <c r="D7216" s="211" t="str">
        <f>'IWP26'!G$392</f>
        <v>Itemized Amount Paid by DADS</v>
      </c>
      <c r="E7216" s="211">
        <f>'IWP26'!H$392</f>
        <v>0</v>
      </c>
      <c r="F7216" s="211">
        <f>'IWP26'!I$392</f>
        <v>0</v>
      </c>
      <c r="G7216" s="191" t="str">
        <f>IF('IWP26'!J$392=0,"",'IWP26'!J$392)</f>
        <v/>
      </c>
      <c r="H7216" s="211">
        <f>'IWP26'!K$392</f>
        <v>0</v>
      </c>
      <c r="I7216" s="211">
        <f>'IWP26'!L$392</f>
        <v>0</v>
      </c>
      <c r="J7216" s="212">
        <f>'IWP26'!M$392</f>
        <v>0</v>
      </c>
      <c r="K7216" s="106"/>
      <c r="L7216" s="106"/>
      <c r="M7216" s="129"/>
    </row>
    <row r="7217" spans="1:13" s="146" customFormat="1">
      <c r="A7217" s="193" t="s">
        <v>524</v>
      </c>
      <c r="B7217" s="210">
        <v>3</v>
      </c>
      <c r="C7217" s="191" t="str">
        <f>IF('IWP26'!E$393=0,"",'IWP26'!E$393)</f>
        <v/>
      </c>
      <c r="D7217" s="211">
        <f>'IWP26'!G$393</f>
        <v>0</v>
      </c>
      <c r="E7217" s="211">
        <f>'IWP26'!H$393</f>
        <v>0</v>
      </c>
      <c r="F7217" s="211">
        <f>'IWP26'!I$393</f>
        <v>0</v>
      </c>
      <c r="G7217" s="191" t="str">
        <f>IF('IWP26'!J$393=0,"",'IWP26'!J$393)</f>
        <v/>
      </c>
      <c r="H7217" s="211">
        <f>'IWP26'!K$393</f>
        <v>0</v>
      </c>
      <c r="I7217" s="211">
        <f>'IWP26'!L$393</f>
        <v>0</v>
      </c>
      <c r="J7217" s="212">
        <f>'IWP26'!M$393</f>
        <v>0</v>
      </c>
      <c r="K7217" s="106"/>
      <c r="L7217" s="106"/>
      <c r="M7217" s="129"/>
    </row>
    <row r="7218" spans="1:13" s="146" customFormat="1">
      <c r="A7218" s="193" t="s">
        <v>524</v>
      </c>
      <c r="B7218" s="210">
        <v>3</v>
      </c>
      <c r="C7218" s="191" t="str">
        <f>IF('IWP26'!E$394=0,"",'IWP26'!E$394)</f>
        <v/>
      </c>
      <c r="D7218" s="211">
        <f>'IWP26'!G$394</f>
        <v>0</v>
      </c>
      <c r="E7218" s="211">
        <f>'IWP26'!H$394</f>
        <v>0</v>
      </c>
      <c r="F7218" s="211">
        <f>'IWP26'!I$394</f>
        <v>0</v>
      </c>
      <c r="G7218" s="191" t="str">
        <f>IF('IWP26'!J$394=0,"",'IWP26'!J$394)</f>
        <v/>
      </c>
      <c r="H7218" s="211">
        <f>'IWP26'!K$394</f>
        <v>0</v>
      </c>
      <c r="I7218" s="211">
        <f>'IWP26'!L$394</f>
        <v>0</v>
      </c>
      <c r="J7218" s="212">
        <f>'IWP26'!M$394</f>
        <v>0</v>
      </c>
      <c r="K7218" s="106"/>
      <c r="L7218" s="106"/>
      <c r="M7218" s="129"/>
    </row>
    <row r="7219" spans="1:13" s="146" customFormat="1">
      <c r="A7219" s="193" t="s">
        <v>524</v>
      </c>
      <c r="B7219" s="210">
        <v>3</v>
      </c>
      <c r="C7219" s="191" t="str">
        <f>IF('IWP26'!E$395=0,"",'IWP26'!E$395)</f>
        <v/>
      </c>
      <c r="D7219" s="211">
        <f>'IWP26'!G$395</f>
        <v>0</v>
      </c>
      <c r="E7219" s="211">
        <f>'IWP26'!H$395</f>
        <v>0</v>
      </c>
      <c r="F7219" s="211">
        <f>'IWP26'!I$395</f>
        <v>0</v>
      </c>
      <c r="G7219" s="191" t="str">
        <f>IF('IWP26'!J$395=0,"",'IWP26'!J$395)</f>
        <v/>
      </c>
      <c r="H7219" s="211">
        <f>'IWP26'!K$395</f>
        <v>0</v>
      </c>
      <c r="I7219" s="211">
        <f>'IWP26'!L$395</f>
        <v>0</v>
      </c>
      <c r="J7219" s="212">
        <f>'IWP26'!M$395</f>
        <v>0</v>
      </c>
      <c r="K7219" s="106"/>
      <c r="L7219" s="106"/>
      <c r="M7219" s="129"/>
    </row>
    <row r="7220" spans="1:13" s="146" customFormat="1">
      <c r="A7220" s="193" t="s">
        <v>524</v>
      </c>
      <c r="B7220" s="210">
        <v>3</v>
      </c>
      <c r="C7220" s="191" t="str">
        <f>IF('IWP26'!E$396=0,"",'IWP26'!E$396)</f>
        <v/>
      </c>
      <c r="D7220" s="211">
        <f>'IWP26'!G$396</f>
        <v>0</v>
      </c>
      <c r="E7220" s="211">
        <f>'IWP26'!H$396</f>
        <v>0</v>
      </c>
      <c r="F7220" s="211">
        <f>'IWP26'!I$396</f>
        <v>0</v>
      </c>
      <c r="G7220" s="191" t="str">
        <f>IF('IWP26'!J$396=0,"",'IWP26'!J$396)</f>
        <v/>
      </c>
      <c r="H7220" s="211">
        <f>'IWP26'!K$396</f>
        <v>0</v>
      </c>
      <c r="I7220" s="211">
        <f>'IWP26'!L$396</f>
        <v>0</v>
      </c>
      <c r="J7220" s="212">
        <f>'IWP26'!M$396</f>
        <v>0</v>
      </c>
      <c r="K7220" s="106"/>
      <c r="L7220" s="106"/>
      <c r="M7220" s="129"/>
    </row>
    <row r="7221" spans="1:13" s="146" customFormat="1">
      <c r="A7221" s="193" t="s">
        <v>524</v>
      </c>
      <c r="B7221" s="210">
        <v>4</v>
      </c>
      <c r="C7221" s="191" t="str">
        <f>IF('IWP26'!E$403=0,"",'IWP26'!E$403)</f>
        <v>Subtotal column D.</v>
      </c>
      <c r="D7221" s="211">
        <f>'IWP26'!G$403</f>
        <v>0</v>
      </c>
      <c r="E7221" s="211">
        <f>'IWP26'!H$403</f>
        <v>0</v>
      </c>
      <c r="F7221" s="211">
        <f>'IWP26'!I$403</f>
        <v>0</v>
      </c>
      <c r="G7221" s="191" t="str">
        <f>IF('IWP26'!J$403=0,"",'IWP26'!J$403)</f>
        <v/>
      </c>
      <c r="H7221" s="211">
        <f>'IWP26'!K$403</f>
        <v>0</v>
      </c>
      <c r="I7221" s="211">
        <f>'IWP26'!L$403</f>
        <v>0</v>
      </c>
      <c r="J7221" s="212">
        <f>'IWP26'!M$403</f>
        <v>0</v>
      </c>
      <c r="K7221" s="106"/>
      <c r="L7221" s="106"/>
      <c r="M7221" s="129"/>
    </row>
    <row r="7222" spans="1:13" s="146" customFormat="1">
      <c r="A7222" s="193" t="s">
        <v>524</v>
      </c>
      <c r="B7222" s="210">
        <v>4</v>
      </c>
      <c r="C7222" s="191" t="str">
        <f>IF('IWP26'!E$404=0,"",'IWP26'!E$404)</f>
        <v>Unverified/Undocumented (Subtotal D - C)</v>
      </c>
      <c r="D7222" s="211">
        <f>'IWP26'!G$404</f>
        <v>0</v>
      </c>
      <c r="E7222" s="211">
        <f>'IWP26'!H$404</f>
        <v>0</v>
      </c>
      <c r="F7222" s="211">
        <f>'IWP26'!I$404</f>
        <v>0</v>
      </c>
      <c r="G7222" s="191" t="str">
        <f>IF('IWP26'!J$404=0,"",'IWP26'!J$404)</f>
        <v/>
      </c>
      <c r="H7222" s="211">
        <f>'IWP26'!K$404</f>
        <v>0</v>
      </c>
      <c r="I7222" s="211">
        <f>'IWP26'!L$404</f>
        <v>0</v>
      </c>
      <c r="J7222" s="212">
        <f>'IWP26'!M$404</f>
        <v>0</v>
      </c>
      <c r="K7222" s="106"/>
      <c r="L7222" s="106"/>
      <c r="M7222" s="129"/>
    </row>
    <row r="7223" spans="1:13" s="146" customFormat="1">
      <c r="A7223" s="193" t="s">
        <v>524</v>
      </c>
      <c r="B7223" s="210">
        <v>4</v>
      </c>
      <c r="C7223" s="191" t="str">
        <f>IF('IWP26'!E$405=0,"",'IWP26'!E$405)</f>
        <v>J. Billing Period Total</v>
      </c>
      <c r="D7223" s="211">
        <f>'IWP26'!G$405</f>
        <v>0</v>
      </c>
      <c r="E7223" s="211">
        <f>'IWP26'!H$405</f>
        <v>0</v>
      </c>
      <c r="F7223" s="211">
        <f>'IWP26'!I$405</f>
        <v>0</v>
      </c>
      <c r="G7223" s="191" t="str">
        <f>IF('IWP26'!J$405=0,"",'IWP26'!J$405)</f>
        <v/>
      </c>
      <c r="H7223" s="211">
        <f>'IWP26'!K$405</f>
        <v>0</v>
      </c>
      <c r="I7223" s="211">
        <f>'IWP26'!L$405</f>
        <v>0</v>
      </c>
      <c r="J7223" s="212">
        <f>'IWP26'!M$405</f>
        <v>0</v>
      </c>
      <c r="K7223" s="106"/>
      <c r="L7223" s="106"/>
      <c r="M7223" s="129"/>
    </row>
    <row r="7224" spans="1:13" s="146" customFormat="1">
      <c r="A7224" s="193" t="s">
        <v>524</v>
      </c>
      <c r="B7224" s="210">
        <v>4</v>
      </c>
      <c r="C7224" s="191" t="str">
        <f>IF('IWP26'!E$406=0,"",'IWP26'!E$406)</f>
        <v>D.</v>
      </c>
      <c r="D7224" s="211">
        <f>'IWP26'!G$406</f>
        <v>0</v>
      </c>
      <c r="E7224" s="211" t="str">
        <f>'IWP26'!H$406</f>
        <v>E.</v>
      </c>
      <c r="F7224" s="211" t="str">
        <f>'IWP26'!I$406</f>
        <v>F.</v>
      </c>
      <c r="G7224" s="191" t="str">
        <f>IF('IWP26'!J$406=0,"",'IWP26'!J$406)</f>
        <v>G.</v>
      </c>
      <c r="H7224" s="211">
        <f>'IWP26'!K$406</f>
        <v>0</v>
      </c>
      <c r="I7224" s="211" t="str">
        <f>'IWP26'!L$406</f>
        <v>H.</v>
      </c>
      <c r="J7224" s="212" t="str">
        <f>'IWP26'!M$406</f>
        <v>I.</v>
      </c>
      <c r="K7224" s="106"/>
      <c r="L7224" s="106"/>
      <c r="M7224" s="129"/>
    </row>
    <row r="7225" spans="1:13" s="146" customFormat="1">
      <c r="A7225" s="193" t="s">
        <v>524</v>
      </c>
      <c r="B7225" s="210">
        <v>4</v>
      </c>
      <c r="C7225" s="191" t="str">
        <f>IF('IWP26'!E$407=0,"",'IWP26'!E$407)</f>
        <v xml:space="preserve">Items/Services Related to Billing Period </v>
      </c>
      <c r="D7225" s="211">
        <f>'IWP26'!G$407</f>
        <v>0</v>
      </c>
      <c r="E7225" s="211" t="str">
        <f>'IWP26'!H$407</f>
        <v xml:space="preserve">Item/
Service Verified Amounts
</v>
      </c>
      <c r="F7225" s="211" t="str">
        <f>'IWP26'!I$407</f>
        <v>Amount Due to DADS (E. - D.)</v>
      </c>
      <c r="G7225" s="191" t="str">
        <f>IF('IWP26'!J$407=0,"",'IWP26'!J$407)</f>
        <v>Amount Reimbursed to 
Employee(s)/Employer</v>
      </c>
      <c r="H7225" s="211">
        <f>'IWP26'!K$407</f>
        <v>0</v>
      </c>
      <c r="I7225" s="211" t="str">
        <f>'IWP26'!L$407</f>
        <v>Amount Due to Employee(s) (G. - E.)</v>
      </c>
      <c r="J7225" s="212" t="str">
        <f>'IWP26'!M$407</f>
        <v>Amount Due to Employer (G. - E.)</v>
      </c>
      <c r="K7225" s="106"/>
      <c r="L7225" s="106"/>
      <c r="M7225" s="129"/>
    </row>
    <row r="7226" spans="1:13" s="146" customFormat="1">
      <c r="A7226" s="193" t="s">
        <v>524</v>
      </c>
      <c r="B7226" s="210">
        <v>4</v>
      </c>
      <c r="C7226" s="191" t="str">
        <f>IF('IWP26'!E$408=0,"",'IWP26'!E$408)</f>
        <v>Item/Service</v>
      </c>
      <c r="D7226" s="211" t="str">
        <f>'IWP26'!G$408</f>
        <v>Itemized Amount Paid by DADS</v>
      </c>
      <c r="E7226" s="211">
        <f>'IWP26'!H$408</f>
        <v>0</v>
      </c>
      <c r="F7226" s="211">
        <f>'IWP26'!I$408</f>
        <v>0</v>
      </c>
      <c r="G7226" s="191" t="str">
        <f>IF('IWP26'!J$408=0,"",'IWP26'!J$408)</f>
        <v/>
      </c>
      <c r="H7226" s="211">
        <f>'IWP26'!K$408</f>
        <v>0</v>
      </c>
      <c r="I7226" s="211">
        <f>'IWP26'!L$408</f>
        <v>0</v>
      </c>
      <c r="J7226" s="212">
        <f>'IWP26'!M$408</f>
        <v>0</v>
      </c>
      <c r="K7226" s="106"/>
      <c r="L7226" s="106"/>
      <c r="M7226" s="129"/>
    </row>
    <row r="7227" spans="1:13" s="146" customFormat="1">
      <c r="A7227" s="193" t="s">
        <v>524</v>
      </c>
      <c r="B7227" s="210">
        <v>4</v>
      </c>
      <c r="C7227" s="191" t="str">
        <f>IF('IWP26'!E$409=0,"",'IWP26'!E$409)</f>
        <v/>
      </c>
      <c r="D7227" s="211">
        <f>'IWP26'!G$409</f>
        <v>0</v>
      </c>
      <c r="E7227" s="211">
        <f>'IWP26'!H$409</f>
        <v>0</v>
      </c>
      <c r="F7227" s="211">
        <f>'IWP26'!I$409</f>
        <v>0</v>
      </c>
      <c r="G7227" s="191" t="str">
        <f>IF('IWP26'!J$409=0,"",'IWP26'!J$409)</f>
        <v/>
      </c>
      <c r="H7227" s="211">
        <f>'IWP26'!K$409</f>
        <v>0</v>
      </c>
      <c r="I7227" s="211">
        <f>'IWP26'!L$409</f>
        <v>0</v>
      </c>
      <c r="J7227" s="212">
        <f>'IWP26'!M$409</f>
        <v>0</v>
      </c>
      <c r="K7227" s="106"/>
      <c r="L7227" s="106"/>
      <c r="M7227" s="129"/>
    </row>
    <row r="7228" spans="1:13" s="146" customFormat="1">
      <c r="A7228" s="193" t="s">
        <v>524</v>
      </c>
      <c r="B7228" s="210">
        <v>4</v>
      </c>
      <c r="C7228" s="191" t="str">
        <f>IF('IWP26'!E$410=0,"",'IWP26'!E$410)</f>
        <v/>
      </c>
      <c r="D7228" s="211">
        <f>'IWP26'!G$410</f>
        <v>0</v>
      </c>
      <c r="E7228" s="211">
        <f>'IWP26'!H$410</f>
        <v>0</v>
      </c>
      <c r="F7228" s="211">
        <f>'IWP26'!I$410</f>
        <v>0</v>
      </c>
      <c r="G7228" s="191" t="str">
        <f>IF('IWP26'!J$410=0,"",'IWP26'!J$410)</f>
        <v/>
      </c>
      <c r="H7228" s="211">
        <f>'IWP26'!K$410</f>
        <v>0</v>
      </c>
      <c r="I7228" s="211">
        <f>'IWP26'!L$410</f>
        <v>0</v>
      </c>
      <c r="J7228" s="212">
        <f>'IWP26'!M$410</f>
        <v>0</v>
      </c>
      <c r="K7228" s="106"/>
      <c r="L7228" s="106"/>
      <c r="M7228" s="129"/>
    </row>
    <row r="7229" spans="1:13" s="146" customFormat="1">
      <c r="A7229" s="193" t="s">
        <v>524</v>
      </c>
      <c r="B7229" s="210">
        <v>4</v>
      </c>
      <c r="C7229" s="191" t="str">
        <f>IF('IWP26'!E$411=0,"",'IWP26'!E$411)</f>
        <v/>
      </c>
      <c r="D7229" s="211">
        <f>'IWP26'!G$411</f>
        <v>0</v>
      </c>
      <c r="E7229" s="211">
        <f>'IWP26'!H$411</f>
        <v>0</v>
      </c>
      <c r="F7229" s="211">
        <f>'IWP26'!I$411</f>
        <v>0</v>
      </c>
      <c r="G7229" s="191" t="str">
        <f>IF('IWP26'!J$411=0,"",'IWP26'!J$411)</f>
        <v/>
      </c>
      <c r="H7229" s="211">
        <f>'IWP26'!K$411</f>
        <v>0</v>
      </c>
      <c r="I7229" s="211">
        <f>'IWP26'!L$411</f>
        <v>0</v>
      </c>
      <c r="J7229" s="212">
        <f>'IWP26'!M$411</f>
        <v>0</v>
      </c>
      <c r="K7229" s="106"/>
      <c r="L7229" s="106"/>
      <c r="M7229" s="129"/>
    </row>
    <row r="7230" spans="1:13" s="146" customFormat="1">
      <c r="A7230" s="193" t="s">
        <v>524</v>
      </c>
      <c r="B7230" s="210">
        <v>4</v>
      </c>
      <c r="C7230" s="191" t="str">
        <f>IF('IWP26'!E$412=0,"",'IWP26'!E$412)</f>
        <v/>
      </c>
      <c r="D7230" s="211">
        <f>'IWP26'!G$412</f>
        <v>0</v>
      </c>
      <c r="E7230" s="211">
        <f>'IWP26'!H$412</f>
        <v>0</v>
      </c>
      <c r="F7230" s="211">
        <f>'IWP26'!I$412</f>
        <v>0</v>
      </c>
      <c r="G7230" s="191" t="str">
        <f>IF('IWP26'!J$412=0,"",'IWP26'!J$412)</f>
        <v/>
      </c>
      <c r="H7230" s="211">
        <f>'IWP26'!K$412</f>
        <v>0</v>
      </c>
      <c r="I7230" s="211">
        <f>'IWP26'!L$412</f>
        <v>0</v>
      </c>
      <c r="J7230" s="212">
        <f>'IWP26'!M$412</f>
        <v>0</v>
      </c>
      <c r="K7230" s="106"/>
      <c r="L7230" s="106"/>
      <c r="M7230" s="129"/>
    </row>
    <row r="7231" spans="1:13" s="146" customFormat="1">
      <c r="A7231" s="193" t="s">
        <v>524</v>
      </c>
      <c r="B7231" s="210">
        <v>5</v>
      </c>
      <c r="C7231" s="191" t="str">
        <f>IF('IWP26'!E$419=0,"",'IWP26'!E$419)</f>
        <v>Subtotal column D.</v>
      </c>
      <c r="D7231" s="211">
        <f>'IWP26'!G$419</f>
        <v>0</v>
      </c>
      <c r="E7231" s="211">
        <f>'IWP26'!H$419</f>
        <v>0</v>
      </c>
      <c r="F7231" s="211">
        <f>'IWP26'!I$419</f>
        <v>0</v>
      </c>
      <c r="G7231" s="191" t="str">
        <f>IF('IWP26'!J$419=0,"",'IWP26'!J$419)</f>
        <v/>
      </c>
      <c r="H7231" s="211">
        <f>'IWP26'!K$419</f>
        <v>0</v>
      </c>
      <c r="I7231" s="211">
        <f>'IWP26'!L$419</f>
        <v>0</v>
      </c>
      <c r="J7231" s="212">
        <f>'IWP26'!M$419</f>
        <v>0</v>
      </c>
      <c r="K7231" s="106"/>
      <c r="L7231" s="106"/>
      <c r="M7231" s="129"/>
    </row>
    <row r="7232" spans="1:13" s="146" customFormat="1">
      <c r="A7232" s="193" t="s">
        <v>524</v>
      </c>
      <c r="B7232" s="210">
        <v>5</v>
      </c>
      <c r="C7232" s="191" t="str">
        <f>IF('IWP26'!E$420=0,"",'IWP26'!E$420)</f>
        <v>Unverified/Undocumented (Subtotal D - C)</v>
      </c>
      <c r="D7232" s="211">
        <f>'IWP26'!G$420</f>
        <v>0</v>
      </c>
      <c r="E7232" s="211">
        <f>'IWP26'!H$420</f>
        <v>0</v>
      </c>
      <c r="F7232" s="211">
        <f>'IWP26'!I$420</f>
        <v>0</v>
      </c>
      <c r="G7232" s="191" t="str">
        <f>IF('IWP26'!J$420=0,"",'IWP26'!J$420)</f>
        <v/>
      </c>
      <c r="H7232" s="211">
        <f>'IWP26'!K$420</f>
        <v>0</v>
      </c>
      <c r="I7232" s="211">
        <f>'IWP26'!L$420</f>
        <v>0</v>
      </c>
      <c r="J7232" s="212">
        <f>'IWP26'!M$420</f>
        <v>0</v>
      </c>
      <c r="K7232" s="106"/>
      <c r="L7232" s="106"/>
      <c r="M7232" s="129"/>
    </row>
    <row r="7233" spans="1:13" s="146" customFormat="1">
      <c r="A7233" s="193" t="s">
        <v>524</v>
      </c>
      <c r="B7233" s="210">
        <v>5</v>
      </c>
      <c r="C7233" s="191" t="str">
        <f>IF('IWP26'!E$421=0,"",'IWP26'!E$421)</f>
        <v>J. Billing Period Total</v>
      </c>
      <c r="D7233" s="211">
        <f>'IWP26'!G$421</f>
        <v>0</v>
      </c>
      <c r="E7233" s="211">
        <f>'IWP26'!H$421</f>
        <v>0</v>
      </c>
      <c r="F7233" s="211">
        <f>'IWP26'!I$421</f>
        <v>0</v>
      </c>
      <c r="G7233" s="191" t="str">
        <f>IF('IWP26'!J$421=0,"",'IWP26'!J$421)</f>
        <v/>
      </c>
      <c r="H7233" s="211">
        <f>'IWP26'!K$421</f>
        <v>0</v>
      </c>
      <c r="I7233" s="211">
        <f>'IWP26'!L$421</f>
        <v>0</v>
      </c>
      <c r="J7233" s="212">
        <f>'IWP26'!M$421</f>
        <v>0</v>
      </c>
      <c r="K7233" s="106"/>
      <c r="L7233" s="106"/>
      <c r="M7233" s="129"/>
    </row>
    <row r="7234" spans="1:13" s="146" customFormat="1">
      <c r="A7234" s="193" t="s">
        <v>524</v>
      </c>
      <c r="B7234" s="210">
        <v>5</v>
      </c>
      <c r="C7234" s="191" t="str">
        <f>IF('IWP26'!E$422=0,"",'IWP26'!E$422)</f>
        <v>D.</v>
      </c>
      <c r="D7234" s="211">
        <f>'IWP26'!G$422</f>
        <v>0</v>
      </c>
      <c r="E7234" s="211" t="str">
        <f>'IWP26'!H$422</f>
        <v>E.</v>
      </c>
      <c r="F7234" s="211" t="str">
        <f>'IWP26'!I$422</f>
        <v>F.</v>
      </c>
      <c r="G7234" s="191" t="str">
        <f>IF('IWP26'!J$422=0,"",'IWP26'!J$422)</f>
        <v>G.</v>
      </c>
      <c r="H7234" s="211">
        <f>'IWP26'!K$422</f>
        <v>0</v>
      </c>
      <c r="I7234" s="211" t="str">
        <f>'IWP26'!L$422</f>
        <v>H.</v>
      </c>
      <c r="J7234" s="212" t="str">
        <f>'IWP26'!M$422</f>
        <v>I.</v>
      </c>
      <c r="K7234" s="106"/>
      <c r="L7234" s="106"/>
      <c r="M7234" s="129"/>
    </row>
    <row r="7235" spans="1:13" s="146" customFormat="1">
      <c r="A7235" s="193" t="s">
        <v>524</v>
      </c>
      <c r="B7235" s="210">
        <v>5</v>
      </c>
      <c r="C7235" s="191" t="str">
        <f>IF('IWP26'!E$423=0,"",'IWP26'!E$423)</f>
        <v xml:space="preserve">Items/Services Related to Billing Period </v>
      </c>
      <c r="D7235" s="211">
        <f>'IWP26'!G$423</f>
        <v>0</v>
      </c>
      <c r="E7235" s="211" t="str">
        <f>'IWP26'!H$423</f>
        <v xml:space="preserve">Item/
Service Verified Amounts
</v>
      </c>
      <c r="F7235" s="211" t="str">
        <f>'IWP26'!I$423</f>
        <v>Amount Due to DADS (E. - D.)</v>
      </c>
      <c r="G7235" s="191" t="str">
        <f>IF('IWP26'!J$423=0,"",'IWP26'!J$423)</f>
        <v>Amount Reimbursed to 
Employee(s)/Employer</v>
      </c>
      <c r="H7235" s="211">
        <f>'IWP26'!K$423</f>
        <v>0</v>
      </c>
      <c r="I7235" s="211" t="str">
        <f>'IWP26'!L$423</f>
        <v>Amount Due to Employee(s) (G. - E.)</v>
      </c>
      <c r="J7235" s="212" t="str">
        <f>'IWP26'!M$423</f>
        <v>Amount Due to Employer (G. - E.)</v>
      </c>
      <c r="K7235" s="106"/>
      <c r="L7235" s="106"/>
      <c r="M7235" s="129"/>
    </row>
    <row r="7236" spans="1:13" s="146" customFormat="1">
      <c r="A7236" s="193" t="s">
        <v>524</v>
      </c>
      <c r="B7236" s="210">
        <v>5</v>
      </c>
      <c r="C7236" s="191" t="str">
        <f>IF('IWP26'!E$424=0,"",'IWP26'!E$424)</f>
        <v>Item/Service</v>
      </c>
      <c r="D7236" s="211" t="str">
        <f>'IWP26'!G$424</f>
        <v>Itemized Amount Paid by DADS</v>
      </c>
      <c r="E7236" s="211">
        <f>'IWP26'!H$424</f>
        <v>0</v>
      </c>
      <c r="F7236" s="211">
        <f>'IWP26'!I$424</f>
        <v>0</v>
      </c>
      <c r="G7236" s="191" t="str">
        <f>IF('IWP26'!J$424=0,"",'IWP26'!J$424)</f>
        <v/>
      </c>
      <c r="H7236" s="211">
        <f>'IWP26'!K$424</f>
        <v>0</v>
      </c>
      <c r="I7236" s="211">
        <f>'IWP26'!L$424</f>
        <v>0</v>
      </c>
      <c r="J7236" s="212">
        <f>'IWP26'!M$424</f>
        <v>0</v>
      </c>
      <c r="K7236" s="106"/>
      <c r="L7236" s="106"/>
      <c r="M7236" s="129"/>
    </row>
    <row r="7237" spans="1:13" s="146" customFormat="1">
      <c r="A7237" s="193" t="s">
        <v>524</v>
      </c>
      <c r="B7237" s="210">
        <v>5</v>
      </c>
      <c r="C7237" s="191" t="str">
        <f>IF('IWP26'!E$425=0,"",'IWP26'!E$425)</f>
        <v/>
      </c>
      <c r="D7237" s="211">
        <f>'IWP26'!G$425</f>
        <v>0</v>
      </c>
      <c r="E7237" s="211">
        <f>'IWP26'!H$425</f>
        <v>0</v>
      </c>
      <c r="F7237" s="211">
        <f>'IWP26'!I$425</f>
        <v>0</v>
      </c>
      <c r="G7237" s="191" t="str">
        <f>IF('IWP26'!J$425=0,"",'IWP26'!J$425)</f>
        <v/>
      </c>
      <c r="H7237" s="211">
        <f>'IWP26'!K$425</f>
        <v>0</v>
      </c>
      <c r="I7237" s="211">
        <f>'IWP26'!L$425</f>
        <v>0</v>
      </c>
      <c r="J7237" s="212">
        <f>'IWP26'!M$425</f>
        <v>0</v>
      </c>
      <c r="K7237" s="106"/>
      <c r="L7237" s="106"/>
      <c r="M7237" s="129"/>
    </row>
    <row r="7238" spans="1:13" s="146" customFormat="1">
      <c r="A7238" s="193" t="s">
        <v>524</v>
      </c>
      <c r="B7238" s="210">
        <v>5</v>
      </c>
      <c r="C7238" s="191" t="str">
        <f>IF('IWP26'!E$426=0,"",'IWP26'!E$426)</f>
        <v/>
      </c>
      <c r="D7238" s="211">
        <f>'IWP26'!G$426</f>
        <v>0</v>
      </c>
      <c r="E7238" s="211">
        <f>'IWP26'!H$426</f>
        <v>0</v>
      </c>
      <c r="F7238" s="211">
        <f>'IWP26'!I$426</f>
        <v>0</v>
      </c>
      <c r="G7238" s="191" t="str">
        <f>IF('IWP26'!J$426=0,"",'IWP26'!J$426)</f>
        <v/>
      </c>
      <c r="H7238" s="211">
        <f>'IWP26'!K$426</f>
        <v>0</v>
      </c>
      <c r="I7238" s="211">
        <f>'IWP26'!L$426</f>
        <v>0</v>
      </c>
      <c r="J7238" s="212">
        <f>'IWP26'!M$426</f>
        <v>0</v>
      </c>
      <c r="K7238" s="106"/>
      <c r="L7238" s="106"/>
      <c r="M7238" s="129"/>
    </row>
    <row r="7239" spans="1:13" s="146" customFormat="1">
      <c r="A7239" s="193" t="s">
        <v>524</v>
      </c>
      <c r="B7239" s="210">
        <v>5</v>
      </c>
      <c r="C7239" s="191" t="str">
        <f>IF('IWP26'!E$427=0,"",'IWP26'!E$427)</f>
        <v/>
      </c>
      <c r="D7239" s="211">
        <f>'IWP26'!G$427</f>
        <v>0</v>
      </c>
      <c r="E7239" s="211">
        <f>'IWP26'!H$427</f>
        <v>0</v>
      </c>
      <c r="F7239" s="211">
        <f>'IWP26'!I$427</f>
        <v>0</v>
      </c>
      <c r="G7239" s="191" t="str">
        <f>IF('IWP26'!J$427=0,"",'IWP26'!J$427)</f>
        <v/>
      </c>
      <c r="H7239" s="211">
        <f>'IWP26'!K$427</f>
        <v>0</v>
      </c>
      <c r="I7239" s="211">
        <f>'IWP26'!L$427</f>
        <v>0</v>
      </c>
      <c r="J7239" s="212">
        <f>'IWP26'!M$427</f>
        <v>0</v>
      </c>
      <c r="K7239" s="106"/>
      <c r="L7239" s="106"/>
      <c r="M7239" s="129"/>
    </row>
    <row r="7240" spans="1:13" s="146" customFormat="1">
      <c r="A7240" s="193" t="s">
        <v>524</v>
      </c>
      <c r="B7240" s="210">
        <v>5</v>
      </c>
      <c r="C7240" s="191" t="str">
        <f>IF('IWP26'!E$428=0,"",'IWP26'!E$428)</f>
        <v/>
      </c>
      <c r="D7240" s="211">
        <f>'IWP26'!G$428</f>
        <v>0</v>
      </c>
      <c r="E7240" s="211">
        <f>'IWP26'!H$428</f>
        <v>0</v>
      </c>
      <c r="F7240" s="211">
        <f>'IWP26'!I$428</f>
        <v>0</v>
      </c>
      <c r="G7240" s="191" t="str">
        <f>IF('IWP26'!J$428=0,"",'IWP26'!J$428)</f>
        <v/>
      </c>
      <c r="H7240" s="211">
        <f>'IWP26'!K$428</f>
        <v>0</v>
      </c>
      <c r="I7240" s="211">
        <f>'IWP26'!L$428</f>
        <v>0</v>
      </c>
      <c r="J7240" s="212">
        <f>'IWP26'!M$428</f>
        <v>0</v>
      </c>
      <c r="K7240" s="106"/>
      <c r="L7240" s="106"/>
      <c r="M7240" s="129"/>
    </row>
    <row r="7241" spans="1:13" s="146" customFormat="1">
      <c r="A7241" s="193" t="s">
        <v>524</v>
      </c>
      <c r="B7241" s="210">
        <v>6</v>
      </c>
      <c r="C7241" s="191" t="str">
        <f>IF('IWP26'!E$435=0,"",'IWP26'!E$435)</f>
        <v>Subtotal column D.</v>
      </c>
      <c r="D7241" s="211">
        <f>'IWP26'!G$435</f>
        <v>0</v>
      </c>
      <c r="E7241" s="211">
        <f>'IWP26'!H$435</f>
        <v>0</v>
      </c>
      <c r="F7241" s="211">
        <f>'IWP26'!I$435</f>
        <v>0</v>
      </c>
      <c r="G7241" s="191" t="str">
        <f>IF('IWP26'!J$435=0,"",'IWP26'!J$435)</f>
        <v/>
      </c>
      <c r="H7241" s="211">
        <f>'IWP26'!K$435</f>
        <v>0</v>
      </c>
      <c r="I7241" s="211">
        <f>'IWP26'!L$435</f>
        <v>0</v>
      </c>
      <c r="J7241" s="212">
        <f>'IWP26'!M$435</f>
        <v>0</v>
      </c>
      <c r="K7241" s="106"/>
      <c r="L7241" s="106"/>
      <c r="M7241" s="129"/>
    </row>
    <row r="7242" spans="1:13" s="146" customFormat="1">
      <c r="A7242" s="193" t="s">
        <v>524</v>
      </c>
      <c r="B7242" s="210">
        <v>6</v>
      </c>
      <c r="C7242" s="191" t="str">
        <f>IF('IWP26'!E$436=0,"",'IWP26'!E$436)</f>
        <v>Unverified/Undocumented (Subtotal D - C)</v>
      </c>
      <c r="D7242" s="211">
        <f>'IWP26'!G$436</f>
        <v>0</v>
      </c>
      <c r="E7242" s="211">
        <f>'IWP26'!H$436</f>
        <v>0</v>
      </c>
      <c r="F7242" s="211">
        <f>'IWP26'!I$436</f>
        <v>0</v>
      </c>
      <c r="G7242" s="191" t="str">
        <f>IF('IWP26'!J$436=0,"",'IWP26'!J$436)</f>
        <v/>
      </c>
      <c r="H7242" s="211">
        <f>'IWP26'!K$436</f>
        <v>0</v>
      </c>
      <c r="I7242" s="211">
        <f>'IWP26'!L$436</f>
        <v>0</v>
      </c>
      <c r="J7242" s="212">
        <f>'IWP26'!M$436</f>
        <v>0</v>
      </c>
      <c r="K7242" s="106"/>
      <c r="L7242" s="106"/>
      <c r="M7242" s="129"/>
    </row>
    <row r="7243" spans="1:13" s="146" customFormat="1">
      <c r="A7243" s="193" t="s">
        <v>524</v>
      </c>
      <c r="B7243" s="210">
        <v>6</v>
      </c>
      <c r="C7243" s="191" t="str">
        <f>IF('IWP26'!E$437=0,"",'IWP26'!E$437)</f>
        <v>J. Billing Period Total</v>
      </c>
      <c r="D7243" s="211">
        <f>'IWP26'!G$437</f>
        <v>0</v>
      </c>
      <c r="E7243" s="211">
        <f>'IWP26'!H$437</f>
        <v>0</v>
      </c>
      <c r="F7243" s="211">
        <f>'IWP26'!I$437</f>
        <v>0</v>
      </c>
      <c r="G7243" s="191" t="str">
        <f>IF('IWP26'!J$437=0,"",'IWP26'!J$437)</f>
        <v/>
      </c>
      <c r="H7243" s="211">
        <f>'IWP26'!K$437</f>
        <v>0</v>
      </c>
      <c r="I7243" s="211">
        <f>'IWP26'!L$437</f>
        <v>0</v>
      </c>
      <c r="J7243" s="212">
        <f>'IWP26'!M$437</f>
        <v>0</v>
      </c>
      <c r="K7243" s="106"/>
      <c r="L7243" s="106"/>
      <c r="M7243" s="129"/>
    </row>
    <row r="7244" spans="1:13" s="146" customFormat="1">
      <c r="A7244" s="193" t="s">
        <v>524</v>
      </c>
      <c r="B7244" s="210">
        <v>6</v>
      </c>
      <c r="C7244" s="191" t="str">
        <f>IF('IWP26'!E$438=0,"",'IWP26'!E$438)</f>
        <v>D.</v>
      </c>
      <c r="D7244" s="211">
        <f>'IWP26'!G$438</f>
        <v>0</v>
      </c>
      <c r="E7244" s="211" t="str">
        <f>'IWP26'!H$438</f>
        <v>E.</v>
      </c>
      <c r="F7244" s="211" t="str">
        <f>'IWP26'!I$438</f>
        <v>F.</v>
      </c>
      <c r="G7244" s="191" t="str">
        <f>IF('IWP26'!J$438=0,"",'IWP26'!J$438)</f>
        <v>G.</v>
      </c>
      <c r="H7244" s="211">
        <f>'IWP26'!K$438</f>
        <v>0</v>
      </c>
      <c r="I7244" s="211" t="str">
        <f>'IWP26'!L$438</f>
        <v>H.</v>
      </c>
      <c r="J7244" s="212" t="str">
        <f>'IWP26'!M$438</f>
        <v>I.</v>
      </c>
      <c r="K7244" s="106"/>
      <c r="L7244" s="106"/>
      <c r="M7244" s="129"/>
    </row>
    <row r="7245" spans="1:13" s="146" customFormat="1">
      <c r="A7245" s="193" t="s">
        <v>524</v>
      </c>
      <c r="B7245" s="210">
        <v>6</v>
      </c>
      <c r="C7245" s="191" t="str">
        <f>IF('IWP26'!E$439=0,"",'IWP26'!E$439)</f>
        <v xml:space="preserve">Items/Services Related to Billing Period </v>
      </c>
      <c r="D7245" s="211">
        <f>'IWP26'!G$439</f>
        <v>0</v>
      </c>
      <c r="E7245" s="211" t="str">
        <f>'IWP26'!H$439</f>
        <v xml:space="preserve">Item/
Service Verified Amounts
</v>
      </c>
      <c r="F7245" s="211" t="str">
        <f>'IWP26'!I$439</f>
        <v>Amount Due to DADS (E. - D.)</v>
      </c>
      <c r="G7245" s="191" t="str">
        <f>IF('IWP26'!J$439=0,"",'IWP26'!J$439)</f>
        <v>Amount Reimbursed to 
Employee(s)/Employer</v>
      </c>
      <c r="H7245" s="211">
        <f>'IWP26'!K$439</f>
        <v>0</v>
      </c>
      <c r="I7245" s="211" t="str">
        <f>'IWP26'!L$439</f>
        <v>Amount Due to Employee(s) (G. - E.)</v>
      </c>
      <c r="J7245" s="212" t="str">
        <f>'IWP26'!M$439</f>
        <v>Amount Due to Employer (G. - E.)</v>
      </c>
      <c r="K7245" s="106"/>
      <c r="L7245" s="106"/>
      <c r="M7245" s="129"/>
    </row>
    <row r="7246" spans="1:13" s="146" customFormat="1">
      <c r="A7246" s="193" t="s">
        <v>524</v>
      </c>
      <c r="B7246" s="210">
        <v>6</v>
      </c>
      <c r="C7246" s="191" t="str">
        <f>IF('IWP26'!E$440=0,"",'IWP26'!E$440)</f>
        <v>Item/Service</v>
      </c>
      <c r="D7246" s="211" t="str">
        <f>'IWP26'!G$440</f>
        <v>Itemized Amount Paid by DADS</v>
      </c>
      <c r="E7246" s="211">
        <f>'IWP26'!H$440</f>
        <v>0</v>
      </c>
      <c r="F7246" s="211">
        <f>'IWP26'!I$440</f>
        <v>0</v>
      </c>
      <c r="G7246" s="191" t="str">
        <f>IF('IWP26'!J$440=0,"",'IWP26'!J$440)</f>
        <v/>
      </c>
      <c r="H7246" s="211">
        <f>'IWP26'!K$440</f>
        <v>0</v>
      </c>
      <c r="I7246" s="211">
        <f>'IWP26'!L$440</f>
        <v>0</v>
      </c>
      <c r="J7246" s="212">
        <f>'IWP26'!M$440</f>
        <v>0</v>
      </c>
      <c r="K7246" s="106"/>
      <c r="L7246" s="106"/>
      <c r="M7246" s="129"/>
    </row>
    <row r="7247" spans="1:13" s="146" customFormat="1">
      <c r="A7247" s="193" t="s">
        <v>524</v>
      </c>
      <c r="B7247" s="210">
        <v>6</v>
      </c>
      <c r="C7247" s="191" t="str">
        <f>IF('IWP26'!E$441=0,"",'IWP26'!E$441)</f>
        <v/>
      </c>
      <c r="D7247" s="211">
        <f>'IWP26'!G$441</f>
        <v>0</v>
      </c>
      <c r="E7247" s="211">
        <f>'IWP26'!H$441</f>
        <v>0</v>
      </c>
      <c r="F7247" s="211">
        <f>'IWP26'!I$441</f>
        <v>0</v>
      </c>
      <c r="G7247" s="191" t="str">
        <f>IF('IWP26'!J$441=0,"",'IWP26'!J$441)</f>
        <v/>
      </c>
      <c r="H7247" s="211">
        <f>'IWP26'!K$441</f>
        <v>0</v>
      </c>
      <c r="I7247" s="211">
        <f>'IWP26'!L$441</f>
        <v>0</v>
      </c>
      <c r="J7247" s="212">
        <f>'IWP26'!M$441</f>
        <v>0</v>
      </c>
      <c r="K7247" s="106"/>
      <c r="L7247" s="106"/>
      <c r="M7247" s="129"/>
    </row>
    <row r="7248" spans="1:13" s="146" customFormat="1">
      <c r="A7248" s="193" t="s">
        <v>524</v>
      </c>
      <c r="B7248" s="210">
        <v>6</v>
      </c>
      <c r="C7248" s="191" t="str">
        <f>IF('IWP26'!E$442=0,"",'IWP26'!E$442)</f>
        <v/>
      </c>
      <c r="D7248" s="211">
        <f>'IWP26'!G$442</f>
        <v>0</v>
      </c>
      <c r="E7248" s="211">
        <f>'IWP26'!H$442</f>
        <v>0</v>
      </c>
      <c r="F7248" s="211">
        <f>'IWP26'!I$442</f>
        <v>0</v>
      </c>
      <c r="G7248" s="191" t="str">
        <f>IF('IWP26'!J$442=0,"",'IWP26'!J$442)</f>
        <v/>
      </c>
      <c r="H7248" s="211">
        <f>'IWP26'!K$442</f>
        <v>0</v>
      </c>
      <c r="I7248" s="211">
        <f>'IWP26'!L$442</f>
        <v>0</v>
      </c>
      <c r="J7248" s="212">
        <f>'IWP26'!M$442</f>
        <v>0</v>
      </c>
      <c r="K7248" s="106"/>
      <c r="L7248" s="106"/>
      <c r="M7248" s="129"/>
    </row>
    <row r="7249" spans="1:13" s="146" customFormat="1">
      <c r="A7249" s="193" t="s">
        <v>524</v>
      </c>
      <c r="B7249" s="210">
        <v>6</v>
      </c>
      <c r="C7249" s="191" t="str">
        <f>IF('IWP26'!E$443=0,"",'IWP26'!E$443)</f>
        <v/>
      </c>
      <c r="D7249" s="211">
        <f>'IWP26'!G$443</f>
        <v>0</v>
      </c>
      <c r="E7249" s="211">
        <f>'IWP26'!H$443</f>
        <v>0</v>
      </c>
      <c r="F7249" s="211">
        <f>'IWP26'!I$443</f>
        <v>0</v>
      </c>
      <c r="G7249" s="191" t="str">
        <f>IF('IWP26'!J$443=0,"",'IWP26'!J$443)</f>
        <v/>
      </c>
      <c r="H7249" s="211">
        <f>'IWP26'!K$443</f>
        <v>0</v>
      </c>
      <c r="I7249" s="211">
        <f>'IWP26'!L$443</f>
        <v>0</v>
      </c>
      <c r="J7249" s="212">
        <f>'IWP26'!M$443</f>
        <v>0</v>
      </c>
      <c r="K7249" s="106"/>
      <c r="L7249" s="106"/>
      <c r="M7249" s="129"/>
    </row>
    <row r="7250" spans="1:13" s="146" customFormat="1">
      <c r="A7250" s="193" t="s">
        <v>524</v>
      </c>
      <c r="B7250" s="210">
        <v>6</v>
      </c>
      <c r="C7250" s="191" t="str">
        <f>IF('IWP26'!E$444=0,"",'IWP26'!E$444)</f>
        <v/>
      </c>
      <c r="D7250" s="211">
        <f>'IWP26'!G$444</f>
        <v>0</v>
      </c>
      <c r="E7250" s="211">
        <f>'IWP26'!H$444</f>
        <v>0</v>
      </c>
      <c r="F7250" s="211">
        <f>'IWP26'!I$444</f>
        <v>0</v>
      </c>
      <c r="G7250" s="191" t="str">
        <f>IF('IWP26'!J$444=0,"",'IWP26'!J$444)</f>
        <v/>
      </c>
      <c r="H7250" s="211">
        <f>'IWP26'!K$444</f>
        <v>0</v>
      </c>
      <c r="I7250" s="211">
        <f>'IWP26'!L$444</f>
        <v>0</v>
      </c>
      <c r="J7250" s="212">
        <f>'IWP26'!M$444</f>
        <v>0</v>
      </c>
      <c r="K7250" s="106"/>
      <c r="L7250" s="106"/>
      <c r="M7250" s="129"/>
    </row>
    <row r="7251" spans="1:13" s="146" customFormat="1">
      <c r="A7251" s="193" t="s">
        <v>524</v>
      </c>
      <c r="B7251" s="210">
        <v>7</v>
      </c>
      <c r="C7251" s="191" t="str">
        <f>IF('IWP26'!E$451=0,"",'IWP26'!E$451)</f>
        <v>Subtotal column D.</v>
      </c>
      <c r="D7251" s="211">
        <f>'IWP26'!G$451</f>
        <v>0</v>
      </c>
      <c r="E7251" s="211">
        <f>'IWP26'!H$451</f>
        <v>0</v>
      </c>
      <c r="F7251" s="211">
        <f>'IWP26'!I$451</f>
        <v>0</v>
      </c>
      <c r="G7251" s="191" t="str">
        <f>IF('IWP26'!J$451=0,"",'IWP26'!J$451)</f>
        <v/>
      </c>
      <c r="H7251" s="211">
        <f>'IWP26'!K$451</f>
        <v>0</v>
      </c>
      <c r="I7251" s="211">
        <f>'IWP26'!L$451</f>
        <v>0</v>
      </c>
      <c r="J7251" s="212">
        <f>'IWP26'!M$451</f>
        <v>0</v>
      </c>
      <c r="K7251" s="106"/>
      <c r="L7251" s="106"/>
      <c r="M7251" s="129"/>
    </row>
    <row r="7252" spans="1:13" s="146" customFormat="1">
      <c r="A7252" s="193" t="s">
        <v>524</v>
      </c>
      <c r="B7252" s="210">
        <v>7</v>
      </c>
      <c r="C7252" s="191" t="str">
        <f>IF('IWP26'!E$452=0,"",'IWP26'!E$452)</f>
        <v>Unverified/Undocumented (Subtotal D - C)</v>
      </c>
      <c r="D7252" s="211">
        <f>'IWP26'!G$452</f>
        <v>0</v>
      </c>
      <c r="E7252" s="211">
        <f>'IWP26'!H$452</f>
        <v>0</v>
      </c>
      <c r="F7252" s="211">
        <f>'IWP26'!I$452</f>
        <v>0</v>
      </c>
      <c r="G7252" s="191" t="str">
        <f>IF('IWP26'!J$452=0,"",'IWP26'!J$452)</f>
        <v/>
      </c>
      <c r="H7252" s="211">
        <f>'IWP26'!K$452</f>
        <v>0</v>
      </c>
      <c r="I7252" s="211">
        <f>'IWP26'!L$452</f>
        <v>0</v>
      </c>
      <c r="J7252" s="212">
        <f>'IWP26'!M$452</f>
        <v>0</v>
      </c>
      <c r="K7252" s="106"/>
      <c r="L7252" s="106"/>
      <c r="M7252" s="129"/>
    </row>
    <row r="7253" spans="1:13" s="146" customFormat="1">
      <c r="A7253" s="193" t="s">
        <v>524</v>
      </c>
      <c r="B7253" s="210">
        <v>7</v>
      </c>
      <c r="C7253" s="191" t="str">
        <f>IF('IWP26'!E$453=0,"",'IWP26'!E$453)</f>
        <v>J. Billing Period Total</v>
      </c>
      <c r="D7253" s="211">
        <f>'IWP26'!G$453</f>
        <v>0</v>
      </c>
      <c r="E7253" s="211">
        <f>'IWP26'!H$453</f>
        <v>0</v>
      </c>
      <c r="F7253" s="211">
        <f>'IWP26'!I$453</f>
        <v>0</v>
      </c>
      <c r="G7253" s="191" t="str">
        <f>IF('IWP26'!J$453=0,"",'IWP26'!J$453)</f>
        <v/>
      </c>
      <c r="H7253" s="211">
        <f>'IWP26'!K$453</f>
        <v>0</v>
      </c>
      <c r="I7253" s="211">
        <f>'IWP26'!L$453</f>
        <v>0</v>
      </c>
      <c r="J7253" s="212">
        <f>'IWP26'!M$453</f>
        <v>0</v>
      </c>
      <c r="K7253" s="106"/>
      <c r="L7253" s="106"/>
      <c r="M7253" s="129"/>
    </row>
    <row r="7254" spans="1:13" s="146" customFormat="1">
      <c r="A7254" s="193" t="s">
        <v>524</v>
      </c>
      <c r="B7254" s="210">
        <v>7</v>
      </c>
      <c r="C7254" s="191" t="str">
        <f>IF('IWP26'!E$454=0,"",'IWP26'!E$454)</f>
        <v>D.</v>
      </c>
      <c r="D7254" s="211">
        <f>'IWP26'!G$454</f>
        <v>0</v>
      </c>
      <c r="E7254" s="211" t="str">
        <f>'IWP26'!H$454</f>
        <v>E.</v>
      </c>
      <c r="F7254" s="211" t="str">
        <f>'IWP26'!I$454</f>
        <v>F.</v>
      </c>
      <c r="G7254" s="191" t="str">
        <f>IF('IWP26'!J$454=0,"",'IWP26'!J$454)</f>
        <v>G.</v>
      </c>
      <c r="H7254" s="211">
        <f>'IWP26'!K$454</f>
        <v>0</v>
      </c>
      <c r="I7254" s="211" t="str">
        <f>'IWP26'!L$454</f>
        <v>H.</v>
      </c>
      <c r="J7254" s="212" t="str">
        <f>'IWP26'!M$454</f>
        <v>I.</v>
      </c>
      <c r="K7254" s="106"/>
      <c r="L7254" s="106"/>
      <c r="M7254" s="129"/>
    </row>
    <row r="7255" spans="1:13" s="146" customFormat="1">
      <c r="A7255" s="193" t="s">
        <v>524</v>
      </c>
      <c r="B7255" s="210">
        <v>7</v>
      </c>
      <c r="C7255" s="191" t="str">
        <f>IF('IWP26'!E$455=0,"",'IWP26'!E$455)</f>
        <v xml:space="preserve">Items/Services Related to Billing Period </v>
      </c>
      <c r="D7255" s="211">
        <f>'IWP26'!G$455</f>
        <v>0</v>
      </c>
      <c r="E7255" s="211" t="str">
        <f>'IWP26'!H$455</f>
        <v xml:space="preserve">Item/
Service Verified Amounts
</v>
      </c>
      <c r="F7255" s="211" t="str">
        <f>'IWP26'!I$455</f>
        <v>Amount Due to DADS (E. - D.)</v>
      </c>
      <c r="G7255" s="191" t="str">
        <f>IF('IWP26'!J$455=0,"",'IWP26'!J$455)</f>
        <v>Amount Reimbursed to 
Employee(s)/Employer</v>
      </c>
      <c r="H7255" s="211">
        <f>'IWP26'!K$455</f>
        <v>0</v>
      </c>
      <c r="I7255" s="211" t="str">
        <f>'IWP26'!L$455</f>
        <v>Amount Due to Employee(s) (G. - E.)</v>
      </c>
      <c r="J7255" s="212" t="str">
        <f>'IWP26'!M$455</f>
        <v>Amount Due to Employer (G. - E.)</v>
      </c>
      <c r="K7255" s="106"/>
      <c r="L7255" s="106"/>
      <c r="M7255" s="129"/>
    </row>
    <row r="7256" spans="1:13" s="146" customFormat="1">
      <c r="A7256" s="193" t="s">
        <v>524</v>
      </c>
      <c r="B7256" s="210">
        <v>7</v>
      </c>
      <c r="C7256" s="191" t="str">
        <f>IF('IWP26'!E$456=0,"",'IWP26'!E$456)</f>
        <v>Item/Service</v>
      </c>
      <c r="D7256" s="211" t="str">
        <f>'IWP26'!G$456</f>
        <v>Itemized Amount Paid by DADS</v>
      </c>
      <c r="E7256" s="211">
        <f>'IWP26'!H$456</f>
        <v>0</v>
      </c>
      <c r="F7256" s="211">
        <f>'IWP26'!I$456</f>
        <v>0</v>
      </c>
      <c r="G7256" s="191" t="str">
        <f>IF('IWP26'!J$456=0,"",'IWP26'!J$456)</f>
        <v/>
      </c>
      <c r="H7256" s="211">
        <f>'IWP26'!K$456</f>
        <v>0</v>
      </c>
      <c r="I7256" s="211">
        <f>'IWP26'!L$456</f>
        <v>0</v>
      </c>
      <c r="J7256" s="212">
        <f>'IWP26'!M$456</f>
        <v>0</v>
      </c>
      <c r="K7256" s="106"/>
      <c r="L7256" s="106"/>
      <c r="M7256" s="129"/>
    </row>
    <row r="7257" spans="1:13" s="146" customFormat="1">
      <c r="A7257" s="193" t="s">
        <v>524</v>
      </c>
      <c r="B7257" s="210">
        <v>7</v>
      </c>
      <c r="C7257" s="191" t="str">
        <f>IF('IWP26'!E$457=0,"",'IWP26'!E$457)</f>
        <v/>
      </c>
      <c r="D7257" s="211">
        <f>'IWP26'!G$457</f>
        <v>0</v>
      </c>
      <c r="E7257" s="211">
        <f>'IWP26'!H$457</f>
        <v>0</v>
      </c>
      <c r="F7257" s="211">
        <f>'IWP26'!I$457</f>
        <v>0</v>
      </c>
      <c r="G7257" s="191" t="str">
        <f>IF('IWP26'!J$457=0,"",'IWP26'!J$457)</f>
        <v/>
      </c>
      <c r="H7257" s="211">
        <f>'IWP26'!K$457</f>
        <v>0</v>
      </c>
      <c r="I7257" s="211">
        <f>'IWP26'!L$457</f>
        <v>0</v>
      </c>
      <c r="J7257" s="212">
        <f>'IWP26'!M$457</f>
        <v>0</v>
      </c>
      <c r="K7257" s="106"/>
      <c r="L7257" s="106"/>
      <c r="M7257" s="129"/>
    </row>
    <row r="7258" spans="1:13" s="146" customFormat="1">
      <c r="A7258" s="193" t="s">
        <v>524</v>
      </c>
      <c r="B7258" s="210">
        <v>7</v>
      </c>
      <c r="C7258" s="191" t="str">
        <f>IF('IWP26'!E$458=0,"",'IWP26'!E$458)</f>
        <v/>
      </c>
      <c r="D7258" s="211">
        <f>'IWP26'!G$458</f>
        <v>0</v>
      </c>
      <c r="E7258" s="211">
        <f>'IWP26'!H$458</f>
        <v>0</v>
      </c>
      <c r="F7258" s="211">
        <f>'IWP26'!I$458</f>
        <v>0</v>
      </c>
      <c r="G7258" s="191" t="str">
        <f>IF('IWP26'!J$458=0,"",'IWP26'!J$458)</f>
        <v/>
      </c>
      <c r="H7258" s="211">
        <f>'IWP26'!K$458</f>
        <v>0</v>
      </c>
      <c r="I7258" s="211">
        <f>'IWP26'!L$458</f>
        <v>0</v>
      </c>
      <c r="J7258" s="212">
        <f>'IWP26'!M$458</f>
        <v>0</v>
      </c>
      <c r="K7258" s="106"/>
      <c r="L7258" s="106"/>
      <c r="M7258" s="129"/>
    </row>
    <row r="7259" spans="1:13" s="146" customFormat="1">
      <c r="A7259" s="193" t="s">
        <v>524</v>
      </c>
      <c r="B7259" s="210">
        <v>7</v>
      </c>
      <c r="C7259" s="191" t="str">
        <f>IF('IWP26'!E$459=0,"",'IWP26'!E$459)</f>
        <v/>
      </c>
      <c r="D7259" s="211">
        <f>'IWP26'!G$459</f>
        <v>0</v>
      </c>
      <c r="E7259" s="211">
        <f>'IWP26'!H$459</f>
        <v>0</v>
      </c>
      <c r="F7259" s="211">
        <f>'IWP26'!I$459</f>
        <v>0</v>
      </c>
      <c r="G7259" s="191" t="str">
        <f>IF('IWP26'!J$459=0,"",'IWP26'!J$459)</f>
        <v/>
      </c>
      <c r="H7259" s="211">
        <f>'IWP26'!K$459</f>
        <v>0</v>
      </c>
      <c r="I7259" s="211">
        <f>'IWP26'!L$459</f>
        <v>0</v>
      </c>
      <c r="J7259" s="212">
        <f>'IWP26'!M$459</f>
        <v>0</v>
      </c>
      <c r="K7259" s="106"/>
      <c r="L7259" s="106"/>
      <c r="M7259" s="129"/>
    </row>
    <row r="7260" spans="1:13" s="146" customFormat="1">
      <c r="A7260" s="193" t="s">
        <v>524</v>
      </c>
      <c r="B7260" s="210">
        <v>7</v>
      </c>
      <c r="C7260" s="191" t="str">
        <f>IF('IWP26'!E$460=0,"",'IWP26'!E$460)</f>
        <v/>
      </c>
      <c r="D7260" s="211">
        <f>'IWP26'!G$460</f>
        <v>0</v>
      </c>
      <c r="E7260" s="211">
        <f>'IWP26'!H$460</f>
        <v>0</v>
      </c>
      <c r="F7260" s="211">
        <f>'IWP26'!I$460</f>
        <v>0</v>
      </c>
      <c r="G7260" s="191" t="str">
        <f>IF('IWP26'!J$460=0,"",'IWP26'!J$460)</f>
        <v/>
      </c>
      <c r="H7260" s="211">
        <f>'IWP26'!K$460</f>
        <v>0</v>
      </c>
      <c r="I7260" s="211">
        <f>'IWP26'!L$460</f>
        <v>0</v>
      </c>
      <c r="J7260" s="212">
        <f>'IWP26'!M$460</f>
        <v>0</v>
      </c>
      <c r="K7260" s="106"/>
      <c r="L7260" s="106"/>
      <c r="M7260" s="129"/>
    </row>
    <row r="7261" spans="1:13" s="146" customFormat="1">
      <c r="A7261" s="193" t="s">
        <v>524</v>
      </c>
      <c r="B7261" s="210">
        <v>8</v>
      </c>
      <c r="C7261" s="191" t="str">
        <f>IF('IWP26'!E$467=0,"",'IWP26'!E$467)</f>
        <v>Subtotal column D.</v>
      </c>
      <c r="D7261" s="211">
        <f>'IWP26'!G$467</f>
        <v>0</v>
      </c>
      <c r="E7261" s="211">
        <f>'IWP26'!H$467</f>
        <v>0</v>
      </c>
      <c r="F7261" s="211">
        <f>'IWP26'!I$467</f>
        <v>0</v>
      </c>
      <c r="G7261" s="191" t="str">
        <f>IF('IWP26'!J$467=0,"",'IWP26'!J$467)</f>
        <v/>
      </c>
      <c r="H7261" s="211">
        <f>'IWP26'!K$467</f>
        <v>0</v>
      </c>
      <c r="I7261" s="211">
        <f>'IWP26'!L$467</f>
        <v>0</v>
      </c>
      <c r="J7261" s="212">
        <f>'IWP26'!M$467</f>
        <v>0</v>
      </c>
      <c r="K7261" s="106"/>
      <c r="L7261" s="106"/>
      <c r="M7261" s="129"/>
    </row>
    <row r="7262" spans="1:13" s="146" customFormat="1">
      <c r="A7262" s="193" t="s">
        <v>524</v>
      </c>
      <c r="B7262" s="210">
        <v>8</v>
      </c>
      <c r="C7262" s="191" t="str">
        <f>IF('IWP26'!E$468=0,"",'IWP26'!E$468)</f>
        <v>Unverified/Undocumented (Subtotal D - C)</v>
      </c>
      <c r="D7262" s="211">
        <f>'IWP26'!G$468</f>
        <v>0</v>
      </c>
      <c r="E7262" s="211">
        <f>'IWP26'!H$468</f>
        <v>0</v>
      </c>
      <c r="F7262" s="211">
        <f>'IWP26'!I$468</f>
        <v>0</v>
      </c>
      <c r="G7262" s="191" t="str">
        <f>IF('IWP26'!J$468=0,"",'IWP26'!J$468)</f>
        <v/>
      </c>
      <c r="H7262" s="211">
        <f>'IWP26'!K$468</f>
        <v>0</v>
      </c>
      <c r="I7262" s="211">
        <f>'IWP26'!L$468</f>
        <v>0</v>
      </c>
      <c r="J7262" s="212">
        <f>'IWP26'!M$468</f>
        <v>0</v>
      </c>
      <c r="K7262" s="106"/>
      <c r="L7262" s="106"/>
      <c r="M7262" s="129"/>
    </row>
    <row r="7263" spans="1:13" s="146" customFormat="1">
      <c r="A7263" s="193" t="s">
        <v>524</v>
      </c>
      <c r="B7263" s="210">
        <v>8</v>
      </c>
      <c r="C7263" s="191" t="str">
        <f>IF('IWP26'!E$469=0,"",'IWP26'!E$469)</f>
        <v>J. Billing Period Total</v>
      </c>
      <c r="D7263" s="211">
        <f>'IWP26'!G$469</f>
        <v>0</v>
      </c>
      <c r="E7263" s="211">
        <f>'IWP26'!H$469</f>
        <v>0</v>
      </c>
      <c r="F7263" s="211">
        <f>'IWP26'!I$469</f>
        <v>0</v>
      </c>
      <c r="G7263" s="191" t="str">
        <f>IF('IWP26'!J$469=0,"",'IWP26'!J$469)</f>
        <v/>
      </c>
      <c r="H7263" s="211">
        <f>'IWP26'!K$469</f>
        <v>0</v>
      </c>
      <c r="I7263" s="211">
        <f>'IWP26'!L$469</f>
        <v>0</v>
      </c>
      <c r="J7263" s="212">
        <f>'IWP26'!M$469</f>
        <v>0</v>
      </c>
      <c r="K7263" s="106"/>
      <c r="L7263" s="106"/>
      <c r="M7263" s="129"/>
    </row>
    <row r="7264" spans="1:13" s="146" customFormat="1">
      <c r="A7264" s="193" t="s">
        <v>524</v>
      </c>
      <c r="B7264" s="210">
        <v>8</v>
      </c>
      <c r="C7264" s="191" t="str">
        <f>IF('IWP26'!E$470=0,"",'IWP26'!E$470)</f>
        <v>D.</v>
      </c>
      <c r="D7264" s="211">
        <f>'IWP26'!G$470</f>
        <v>0</v>
      </c>
      <c r="E7264" s="211" t="str">
        <f>'IWP26'!H$470</f>
        <v>E.</v>
      </c>
      <c r="F7264" s="211" t="str">
        <f>'IWP26'!I$470</f>
        <v>F.</v>
      </c>
      <c r="G7264" s="191" t="str">
        <f>IF('IWP26'!J$470=0,"",'IWP26'!J$470)</f>
        <v>G.</v>
      </c>
      <c r="H7264" s="211">
        <f>'IWP26'!K$470</f>
        <v>0</v>
      </c>
      <c r="I7264" s="211" t="str">
        <f>'IWP26'!L$470</f>
        <v>H.</v>
      </c>
      <c r="J7264" s="212" t="str">
        <f>'IWP26'!M$470</f>
        <v>I.</v>
      </c>
      <c r="K7264" s="106"/>
      <c r="L7264" s="106"/>
      <c r="M7264" s="129"/>
    </row>
    <row r="7265" spans="1:13" s="146" customFormat="1">
      <c r="A7265" s="193" t="s">
        <v>524</v>
      </c>
      <c r="B7265" s="210">
        <v>8</v>
      </c>
      <c r="C7265" s="191" t="str">
        <f>IF('IWP26'!E$471=0,"",'IWP26'!E$471)</f>
        <v xml:space="preserve">Items/Services Related to Billing Period </v>
      </c>
      <c r="D7265" s="211">
        <f>'IWP26'!G$471</f>
        <v>0</v>
      </c>
      <c r="E7265" s="211" t="str">
        <f>'IWP26'!H$471</f>
        <v xml:space="preserve">Item/
Service Verified Amounts
</v>
      </c>
      <c r="F7265" s="211" t="str">
        <f>'IWP26'!I$471</f>
        <v>Amount Due to DADS (E. - D.)</v>
      </c>
      <c r="G7265" s="191" t="str">
        <f>IF('IWP26'!J$471=0,"",'IWP26'!J$471)</f>
        <v>Amount Reimbursed to 
Employee(s)/Employer</v>
      </c>
      <c r="H7265" s="211">
        <f>'IWP26'!K$471</f>
        <v>0</v>
      </c>
      <c r="I7265" s="211" t="str">
        <f>'IWP26'!L$471</f>
        <v>Amount Due to Employee(s) (G. - E.)</v>
      </c>
      <c r="J7265" s="212" t="str">
        <f>'IWP26'!M$471</f>
        <v>Amount Due to Employer (G. - E.)</v>
      </c>
      <c r="K7265" s="106"/>
      <c r="L7265" s="106"/>
      <c r="M7265" s="129"/>
    </row>
    <row r="7266" spans="1:13" s="146" customFormat="1">
      <c r="A7266" s="193" t="s">
        <v>524</v>
      </c>
      <c r="B7266" s="210">
        <v>8</v>
      </c>
      <c r="C7266" s="191" t="str">
        <f>IF('IWP26'!E$472=0,"",'IWP26'!E$472)</f>
        <v>Item/Service</v>
      </c>
      <c r="D7266" s="211" t="str">
        <f>'IWP26'!G$472</f>
        <v>Itemized Amount Paid by DADS</v>
      </c>
      <c r="E7266" s="211">
        <f>'IWP26'!H$472</f>
        <v>0</v>
      </c>
      <c r="F7266" s="211">
        <f>'IWP26'!I$472</f>
        <v>0</v>
      </c>
      <c r="G7266" s="191" t="str">
        <f>IF('IWP26'!J$472=0,"",'IWP26'!J$472)</f>
        <v/>
      </c>
      <c r="H7266" s="211">
        <f>'IWP26'!K$472</f>
        <v>0</v>
      </c>
      <c r="I7266" s="211">
        <f>'IWP26'!L$472</f>
        <v>0</v>
      </c>
      <c r="J7266" s="212">
        <f>'IWP26'!M$472</f>
        <v>0</v>
      </c>
      <c r="K7266" s="106"/>
      <c r="L7266" s="106"/>
      <c r="M7266" s="129"/>
    </row>
    <row r="7267" spans="1:13" s="146" customFormat="1">
      <c r="A7267" s="193" t="s">
        <v>524</v>
      </c>
      <c r="B7267" s="210">
        <v>8</v>
      </c>
      <c r="C7267" s="191" t="str">
        <f>IF('IWP26'!E$473=0,"",'IWP26'!E$473)</f>
        <v/>
      </c>
      <c r="D7267" s="211">
        <f>'IWP26'!G$473</f>
        <v>0</v>
      </c>
      <c r="E7267" s="211">
        <f>'IWP26'!H$473</f>
        <v>0</v>
      </c>
      <c r="F7267" s="211">
        <f>'IWP26'!I$473</f>
        <v>0</v>
      </c>
      <c r="G7267" s="191" t="str">
        <f>IF('IWP26'!J$473=0,"",'IWP26'!J$473)</f>
        <v/>
      </c>
      <c r="H7267" s="211">
        <f>'IWP26'!K$473</f>
        <v>0</v>
      </c>
      <c r="I7267" s="211">
        <f>'IWP26'!L$473</f>
        <v>0</v>
      </c>
      <c r="J7267" s="212">
        <f>'IWP26'!M$473</f>
        <v>0</v>
      </c>
      <c r="K7267" s="106"/>
      <c r="L7267" s="106"/>
      <c r="M7267" s="129"/>
    </row>
    <row r="7268" spans="1:13" s="146" customFormat="1">
      <c r="A7268" s="193" t="s">
        <v>524</v>
      </c>
      <c r="B7268" s="210">
        <v>8</v>
      </c>
      <c r="C7268" s="191" t="str">
        <f>IF('IWP26'!E$474=0,"",'IWP26'!E$474)</f>
        <v/>
      </c>
      <c r="D7268" s="211">
        <f>'IWP26'!G$474</f>
        <v>0</v>
      </c>
      <c r="E7268" s="211">
        <f>'IWP26'!H$474</f>
        <v>0</v>
      </c>
      <c r="F7268" s="211">
        <f>'IWP26'!I$474</f>
        <v>0</v>
      </c>
      <c r="G7268" s="191" t="str">
        <f>IF('IWP26'!J$474=0,"",'IWP26'!J$474)</f>
        <v/>
      </c>
      <c r="H7268" s="211">
        <f>'IWP26'!K$474</f>
        <v>0</v>
      </c>
      <c r="I7268" s="211">
        <f>'IWP26'!L$474</f>
        <v>0</v>
      </c>
      <c r="J7268" s="212">
        <f>'IWP26'!M$474</f>
        <v>0</v>
      </c>
      <c r="K7268" s="106"/>
      <c r="L7268" s="106"/>
      <c r="M7268" s="129"/>
    </row>
    <row r="7269" spans="1:13" s="146" customFormat="1">
      <c r="A7269" s="193" t="s">
        <v>524</v>
      </c>
      <c r="B7269" s="210">
        <v>8</v>
      </c>
      <c r="C7269" s="191" t="str">
        <f>IF('IWP26'!E$475=0,"",'IWP26'!E$475)</f>
        <v/>
      </c>
      <c r="D7269" s="211">
        <f>'IWP26'!G$475</f>
        <v>0</v>
      </c>
      <c r="E7269" s="211">
        <f>'IWP26'!H$475</f>
        <v>0</v>
      </c>
      <c r="F7269" s="211">
        <f>'IWP26'!I$475</f>
        <v>0</v>
      </c>
      <c r="G7269" s="191" t="str">
        <f>IF('IWP26'!J$475=0,"",'IWP26'!J$475)</f>
        <v/>
      </c>
      <c r="H7269" s="211">
        <f>'IWP26'!K$475</f>
        <v>0</v>
      </c>
      <c r="I7269" s="211">
        <f>'IWP26'!L$475</f>
        <v>0</v>
      </c>
      <c r="J7269" s="212">
        <f>'IWP26'!M$475</f>
        <v>0</v>
      </c>
      <c r="K7269" s="106"/>
      <c r="L7269" s="106"/>
      <c r="M7269" s="129"/>
    </row>
    <row r="7270" spans="1:13" s="146" customFormat="1">
      <c r="A7270" s="193" t="s">
        <v>524</v>
      </c>
      <c r="B7270" s="210">
        <v>8</v>
      </c>
      <c r="C7270" s="191" t="str">
        <f>IF('IWP26'!E$476=0,"",'IWP26'!E$476)</f>
        <v/>
      </c>
      <c r="D7270" s="211">
        <f>'IWP26'!G$476</f>
        <v>0</v>
      </c>
      <c r="E7270" s="211">
        <f>'IWP26'!H$476</f>
        <v>0</v>
      </c>
      <c r="F7270" s="211">
        <f>'IWP26'!I$476</f>
        <v>0</v>
      </c>
      <c r="G7270" s="191" t="str">
        <f>IF('IWP26'!J$476=0,"",'IWP26'!J$476)</f>
        <v/>
      </c>
      <c r="H7270" s="211">
        <f>'IWP26'!K$476</f>
        <v>0</v>
      </c>
      <c r="I7270" s="211">
        <f>'IWP26'!L$476</f>
        <v>0</v>
      </c>
      <c r="J7270" s="212">
        <f>'IWP26'!M$476</f>
        <v>0</v>
      </c>
      <c r="K7270" s="106"/>
      <c r="L7270" s="106"/>
      <c r="M7270" s="129"/>
    </row>
    <row r="7271" spans="1:13" s="146" customFormat="1">
      <c r="A7271" s="193" t="s">
        <v>524</v>
      </c>
      <c r="B7271" s="210">
        <v>9</v>
      </c>
      <c r="C7271" s="191" t="str">
        <f>IF('IWP26'!E$483=0,"",'IWP26'!E$483)</f>
        <v>Subtotal column D.</v>
      </c>
      <c r="D7271" s="211">
        <f>'IWP26'!G$483</f>
        <v>0</v>
      </c>
      <c r="E7271" s="211">
        <f>'IWP26'!H$483</f>
        <v>0</v>
      </c>
      <c r="F7271" s="211">
        <f>'IWP26'!I$483</f>
        <v>0</v>
      </c>
      <c r="G7271" s="191" t="str">
        <f>IF('IWP26'!J$483=0,"",'IWP26'!J$483)</f>
        <v/>
      </c>
      <c r="H7271" s="211">
        <f>'IWP26'!K$483</f>
        <v>0</v>
      </c>
      <c r="I7271" s="211">
        <f>'IWP26'!L$483</f>
        <v>0</v>
      </c>
      <c r="J7271" s="212">
        <f>'IWP26'!M$483</f>
        <v>0</v>
      </c>
      <c r="K7271" s="106"/>
      <c r="L7271" s="106"/>
      <c r="M7271" s="129"/>
    </row>
    <row r="7272" spans="1:13" s="146" customFormat="1">
      <c r="A7272" s="193" t="s">
        <v>524</v>
      </c>
      <c r="B7272" s="210">
        <v>9</v>
      </c>
      <c r="C7272" s="191" t="str">
        <f>IF('IWP26'!E$484=0,"",'IWP26'!E$484)</f>
        <v>Unverified/Undocumented (Subtotal D - C)</v>
      </c>
      <c r="D7272" s="211">
        <f>'IWP26'!G$484</f>
        <v>0</v>
      </c>
      <c r="E7272" s="211">
        <f>'IWP26'!H$484</f>
        <v>0</v>
      </c>
      <c r="F7272" s="211">
        <f>'IWP26'!I$484</f>
        <v>0</v>
      </c>
      <c r="G7272" s="191" t="str">
        <f>IF('IWP26'!J$484=0,"",'IWP26'!J$484)</f>
        <v/>
      </c>
      <c r="H7272" s="211">
        <f>'IWP26'!K$484</f>
        <v>0</v>
      </c>
      <c r="I7272" s="211">
        <f>'IWP26'!L$484</f>
        <v>0</v>
      </c>
      <c r="J7272" s="212">
        <f>'IWP26'!M$484</f>
        <v>0</v>
      </c>
      <c r="K7272" s="106"/>
      <c r="L7272" s="106"/>
      <c r="M7272" s="129"/>
    </row>
    <row r="7273" spans="1:13" s="146" customFormat="1">
      <c r="A7273" s="193" t="s">
        <v>524</v>
      </c>
      <c r="B7273" s="210">
        <v>9</v>
      </c>
      <c r="C7273" s="191" t="str">
        <f>IF('IWP26'!E$485=0,"",'IWP26'!E$485)</f>
        <v>J. Billing Period Total</v>
      </c>
      <c r="D7273" s="211">
        <f>'IWP26'!G$485</f>
        <v>0</v>
      </c>
      <c r="E7273" s="211">
        <f>'IWP26'!H$485</f>
        <v>0</v>
      </c>
      <c r="F7273" s="211">
        <f>'IWP26'!I$485</f>
        <v>0</v>
      </c>
      <c r="G7273" s="191" t="str">
        <f>IF('IWP26'!J$485=0,"",'IWP26'!J$485)</f>
        <v/>
      </c>
      <c r="H7273" s="211">
        <f>'IWP26'!K$485</f>
        <v>0</v>
      </c>
      <c r="I7273" s="211">
        <f>'IWP26'!L$485</f>
        <v>0</v>
      </c>
      <c r="J7273" s="212">
        <f>'IWP26'!M$485</f>
        <v>0</v>
      </c>
      <c r="K7273" s="106"/>
      <c r="L7273" s="106"/>
      <c r="M7273" s="129"/>
    </row>
    <row r="7274" spans="1:13" s="146" customFormat="1">
      <c r="A7274" s="193" t="s">
        <v>524</v>
      </c>
      <c r="B7274" s="210">
        <v>9</v>
      </c>
      <c r="C7274" s="191" t="str">
        <f>IF('IWP26'!E$486=0,"",'IWP26'!E$486)</f>
        <v>D.</v>
      </c>
      <c r="D7274" s="211">
        <f>'IWP26'!G$486</f>
        <v>0</v>
      </c>
      <c r="E7274" s="211" t="str">
        <f>'IWP26'!H$486</f>
        <v>E.</v>
      </c>
      <c r="F7274" s="211" t="str">
        <f>'IWP26'!I$486</f>
        <v>F.</v>
      </c>
      <c r="G7274" s="191" t="str">
        <f>IF('IWP26'!J$486=0,"",'IWP26'!J$486)</f>
        <v>G.</v>
      </c>
      <c r="H7274" s="211">
        <f>'IWP26'!K$486</f>
        <v>0</v>
      </c>
      <c r="I7274" s="211" t="str">
        <f>'IWP26'!L$486</f>
        <v>H.</v>
      </c>
      <c r="J7274" s="212" t="str">
        <f>'IWP26'!M$486</f>
        <v>I.</v>
      </c>
      <c r="K7274" s="106"/>
      <c r="L7274" s="106"/>
      <c r="M7274" s="129"/>
    </row>
    <row r="7275" spans="1:13" s="146" customFormat="1">
      <c r="A7275" s="193" t="s">
        <v>524</v>
      </c>
      <c r="B7275" s="210">
        <v>9</v>
      </c>
      <c r="C7275" s="191" t="str">
        <f>IF('IWP26'!E$487=0,"",'IWP26'!E$487)</f>
        <v xml:space="preserve">Items/Services Related to Billing Period </v>
      </c>
      <c r="D7275" s="211">
        <f>'IWP26'!G$487</f>
        <v>0</v>
      </c>
      <c r="E7275" s="211" t="str">
        <f>'IWP26'!H$487</f>
        <v xml:space="preserve">Item/
Service Verified Amounts
</v>
      </c>
      <c r="F7275" s="211" t="str">
        <f>'IWP26'!I$487</f>
        <v>Amount Due to DADS (E. - D.)</v>
      </c>
      <c r="G7275" s="191" t="str">
        <f>IF('IWP26'!J$487=0,"",'IWP26'!J$487)</f>
        <v>Amount Reimbursed to 
Employee(s)/Employer</v>
      </c>
      <c r="H7275" s="211">
        <f>'IWP26'!K$487</f>
        <v>0</v>
      </c>
      <c r="I7275" s="211" t="str">
        <f>'IWP26'!L$487</f>
        <v>Amount Due to Employee(s) (G. - E.)</v>
      </c>
      <c r="J7275" s="212" t="str">
        <f>'IWP26'!M$487</f>
        <v>Amount Due to Employer (G. - E.)</v>
      </c>
      <c r="K7275" s="106"/>
      <c r="L7275" s="106"/>
      <c r="M7275" s="129"/>
    </row>
    <row r="7276" spans="1:13" s="146" customFormat="1">
      <c r="A7276" s="193" t="s">
        <v>524</v>
      </c>
      <c r="B7276" s="210">
        <v>9</v>
      </c>
      <c r="C7276" s="191" t="str">
        <f>IF('IWP26'!E$488=0,"",'IWP26'!E$488)</f>
        <v>Item/Service</v>
      </c>
      <c r="D7276" s="211" t="str">
        <f>'IWP26'!G$488</f>
        <v>Itemized Amount Paid by DADS</v>
      </c>
      <c r="E7276" s="211">
        <f>'IWP26'!H$488</f>
        <v>0</v>
      </c>
      <c r="F7276" s="211">
        <f>'IWP26'!I$488</f>
        <v>0</v>
      </c>
      <c r="G7276" s="191" t="str">
        <f>IF('IWP26'!J$488=0,"",'IWP26'!J$488)</f>
        <v/>
      </c>
      <c r="H7276" s="211">
        <f>'IWP26'!K$488</f>
        <v>0</v>
      </c>
      <c r="I7276" s="211">
        <f>'IWP26'!L$488</f>
        <v>0</v>
      </c>
      <c r="J7276" s="212">
        <f>'IWP26'!M$488</f>
        <v>0</v>
      </c>
      <c r="K7276" s="106"/>
      <c r="L7276" s="106"/>
      <c r="M7276" s="129"/>
    </row>
    <row r="7277" spans="1:13" s="146" customFormat="1">
      <c r="A7277" s="193" t="s">
        <v>524</v>
      </c>
      <c r="B7277" s="210">
        <v>9</v>
      </c>
      <c r="C7277" s="191" t="str">
        <f>IF('IWP26'!E$489=0,"",'IWP26'!E$489)</f>
        <v/>
      </c>
      <c r="D7277" s="211">
        <f>'IWP26'!G$489</f>
        <v>0</v>
      </c>
      <c r="E7277" s="211">
        <f>'IWP26'!H$489</f>
        <v>0</v>
      </c>
      <c r="F7277" s="211">
        <f>'IWP26'!I$489</f>
        <v>0</v>
      </c>
      <c r="G7277" s="191" t="str">
        <f>IF('IWP26'!J$489=0,"",'IWP26'!J$489)</f>
        <v/>
      </c>
      <c r="H7277" s="211">
        <f>'IWP26'!K$489</f>
        <v>0</v>
      </c>
      <c r="I7277" s="211">
        <f>'IWP26'!L$489</f>
        <v>0</v>
      </c>
      <c r="J7277" s="212">
        <f>'IWP26'!M$489</f>
        <v>0</v>
      </c>
      <c r="K7277" s="106"/>
      <c r="L7277" s="106"/>
      <c r="M7277" s="129"/>
    </row>
    <row r="7278" spans="1:13" s="146" customFormat="1">
      <c r="A7278" s="193" t="s">
        <v>524</v>
      </c>
      <c r="B7278" s="210">
        <v>9</v>
      </c>
      <c r="C7278" s="191" t="str">
        <f>IF('IWP26'!E$490=0,"",'IWP26'!E$490)</f>
        <v/>
      </c>
      <c r="D7278" s="211">
        <f>'IWP26'!G$490</f>
        <v>0</v>
      </c>
      <c r="E7278" s="211">
        <f>'IWP26'!H$490</f>
        <v>0</v>
      </c>
      <c r="F7278" s="211">
        <f>'IWP26'!I$490</f>
        <v>0</v>
      </c>
      <c r="G7278" s="191" t="str">
        <f>IF('IWP26'!J$490=0,"",'IWP26'!J$490)</f>
        <v/>
      </c>
      <c r="H7278" s="211">
        <f>'IWP26'!K$490</f>
        <v>0</v>
      </c>
      <c r="I7278" s="211">
        <f>'IWP26'!L$490</f>
        <v>0</v>
      </c>
      <c r="J7278" s="212">
        <f>'IWP26'!M$490</f>
        <v>0</v>
      </c>
      <c r="K7278" s="106"/>
      <c r="L7278" s="106"/>
      <c r="M7278" s="129"/>
    </row>
    <row r="7279" spans="1:13" s="146" customFormat="1">
      <c r="A7279" s="193" t="s">
        <v>524</v>
      </c>
      <c r="B7279" s="210">
        <v>9</v>
      </c>
      <c r="C7279" s="191" t="str">
        <f>IF('IWP26'!E$491=0,"",'IWP26'!E$491)</f>
        <v/>
      </c>
      <c r="D7279" s="211">
        <f>'IWP26'!G$491</f>
        <v>0</v>
      </c>
      <c r="E7279" s="211">
        <f>'IWP26'!H$491</f>
        <v>0</v>
      </c>
      <c r="F7279" s="211">
        <f>'IWP26'!I$491</f>
        <v>0</v>
      </c>
      <c r="G7279" s="191" t="str">
        <f>IF('IWP26'!J$491=0,"",'IWP26'!J$491)</f>
        <v/>
      </c>
      <c r="H7279" s="211">
        <f>'IWP26'!K$491</f>
        <v>0</v>
      </c>
      <c r="I7279" s="211">
        <f>'IWP26'!L$491</f>
        <v>0</v>
      </c>
      <c r="J7279" s="212">
        <f>'IWP26'!M$491</f>
        <v>0</v>
      </c>
      <c r="K7279" s="106"/>
      <c r="L7279" s="106"/>
      <c r="M7279" s="129"/>
    </row>
    <row r="7280" spans="1:13" s="146" customFormat="1">
      <c r="A7280" s="193" t="s">
        <v>524</v>
      </c>
      <c r="B7280" s="210">
        <v>9</v>
      </c>
      <c r="C7280" s="191" t="str">
        <f>IF('IWP26'!E$492=0,"",'IWP26'!E$492)</f>
        <v/>
      </c>
      <c r="D7280" s="211">
        <f>'IWP26'!G$492</f>
        <v>0</v>
      </c>
      <c r="E7280" s="211">
        <f>'IWP26'!H$492</f>
        <v>0</v>
      </c>
      <c r="F7280" s="211">
        <f>'IWP26'!I$492</f>
        <v>0</v>
      </c>
      <c r="G7280" s="191" t="str">
        <f>IF('IWP26'!J$492=0,"",'IWP26'!J$492)</f>
        <v/>
      </c>
      <c r="H7280" s="211">
        <f>'IWP26'!K$492</f>
        <v>0</v>
      </c>
      <c r="I7280" s="211">
        <f>'IWP26'!L$492</f>
        <v>0</v>
      </c>
      <c r="J7280" s="212">
        <f>'IWP26'!M$492</f>
        <v>0</v>
      </c>
      <c r="K7280" s="106"/>
      <c r="L7280" s="106"/>
      <c r="M7280" s="129"/>
    </row>
    <row r="7281" spans="1:13" s="146" customFormat="1">
      <c r="A7281" s="193" t="s">
        <v>524</v>
      </c>
      <c r="B7281" s="210">
        <v>10</v>
      </c>
      <c r="C7281" s="191" t="str">
        <f>IF('IWP26'!E$499=0,"",'IWP26'!E$499)</f>
        <v>Subtotal column D.</v>
      </c>
      <c r="D7281" s="211">
        <f>'IWP26'!G$499</f>
        <v>0</v>
      </c>
      <c r="E7281" s="211">
        <f>'IWP26'!H$499</f>
        <v>0</v>
      </c>
      <c r="F7281" s="211">
        <f>'IWP26'!I$499</f>
        <v>0</v>
      </c>
      <c r="G7281" s="191" t="str">
        <f>IF('IWP26'!J$499=0,"",'IWP26'!J$499)</f>
        <v/>
      </c>
      <c r="H7281" s="211">
        <f>'IWP26'!K$499</f>
        <v>0</v>
      </c>
      <c r="I7281" s="211">
        <f>'IWP26'!L$499</f>
        <v>0</v>
      </c>
      <c r="J7281" s="212">
        <f>'IWP26'!M$499</f>
        <v>0</v>
      </c>
      <c r="K7281" s="106"/>
      <c r="L7281" s="106"/>
      <c r="M7281" s="129"/>
    </row>
    <row r="7282" spans="1:13" s="146" customFormat="1">
      <c r="A7282" s="193" t="s">
        <v>524</v>
      </c>
      <c r="B7282" s="210">
        <v>10</v>
      </c>
      <c r="C7282" s="191" t="str">
        <f>IF('IWP26'!E$500=0,"",'IWP26'!E$500)</f>
        <v>Unverified/Undocumented (Subtotal D - C)</v>
      </c>
      <c r="D7282" s="211">
        <f>'IWP26'!G$500</f>
        <v>0</v>
      </c>
      <c r="E7282" s="211">
        <f>'IWP26'!H$500</f>
        <v>0</v>
      </c>
      <c r="F7282" s="211">
        <f>'IWP26'!I$500</f>
        <v>0</v>
      </c>
      <c r="G7282" s="191" t="str">
        <f>IF('IWP26'!J$500=0,"",'IWP26'!J$500)</f>
        <v/>
      </c>
      <c r="H7282" s="211">
        <f>'IWP26'!K$500</f>
        <v>0</v>
      </c>
      <c r="I7282" s="211">
        <f>'IWP26'!L$500</f>
        <v>0</v>
      </c>
      <c r="J7282" s="212">
        <f>'IWP26'!M$500</f>
        <v>0</v>
      </c>
      <c r="K7282" s="106"/>
      <c r="L7282" s="106"/>
      <c r="M7282" s="129"/>
    </row>
    <row r="7283" spans="1:13" s="146" customFormat="1">
      <c r="A7283" s="193" t="s">
        <v>524</v>
      </c>
      <c r="B7283" s="210">
        <v>10</v>
      </c>
      <c r="C7283" s="191" t="str">
        <f>IF('IWP26'!E$501=0,"",'IWP26'!E$501)</f>
        <v>J. Billing Period Total</v>
      </c>
      <c r="D7283" s="211">
        <f>'IWP26'!G$501</f>
        <v>0</v>
      </c>
      <c r="E7283" s="211">
        <f>'IWP26'!H$501</f>
        <v>0</v>
      </c>
      <c r="F7283" s="211">
        <f>'IWP26'!I$501</f>
        <v>0</v>
      </c>
      <c r="G7283" s="191" t="str">
        <f>IF('IWP26'!J$501=0,"",'IWP26'!J$501)</f>
        <v/>
      </c>
      <c r="H7283" s="211">
        <f>'IWP26'!K$501</f>
        <v>0</v>
      </c>
      <c r="I7283" s="211">
        <f>'IWP26'!L$501</f>
        <v>0</v>
      </c>
      <c r="J7283" s="212">
        <f>'IWP26'!M$501</f>
        <v>0</v>
      </c>
      <c r="K7283" s="106"/>
      <c r="L7283" s="106"/>
      <c r="M7283" s="129"/>
    </row>
    <row r="7284" spans="1:13" s="146" customFormat="1">
      <c r="A7284" s="193" t="s">
        <v>524</v>
      </c>
      <c r="B7284" s="210">
        <v>10</v>
      </c>
      <c r="C7284" s="191" t="str">
        <f>IF('IWP26'!E$502=0,"",'IWP26'!E$502)</f>
        <v>D.</v>
      </c>
      <c r="D7284" s="211">
        <f>'IWP26'!G$502</f>
        <v>0</v>
      </c>
      <c r="E7284" s="211" t="str">
        <f>'IWP26'!H$502</f>
        <v>E.</v>
      </c>
      <c r="F7284" s="211" t="str">
        <f>'IWP26'!I$502</f>
        <v>F.</v>
      </c>
      <c r="G7284" s="191" t="str">
        <f>IF('IWP26'!J$502=0,"",'IWP26'!J$502)</f>
        <v>G.</v>
      </c>
      <c r="H7284" s="211">
        <f>'IWP26'!K$502</f>
        <v>0</v>
      </c>
      <c r="I7284" s="211" t="str">
        <f>'IWP26'!L$502</f>
        <v>H.</v>
      </c>
      <c r="J7284" s="212" t="str">
        <f>'IWP26'!M$502</f>
        <v>I.</v>
      </c>
      <c r="K7284" s="106"/>
      <c r="L7284" s="106"/>
      <c r="M7284" s="129"/>
    </row>
    <row r="7285" spans="1:13" s="146" customFormat="1">
      <c r="A7285" s="193" t="s">
        <v>524</v>
      </c>
      <c r="B7285" s="210">
        <v>10</v>
      </c>
      <c r="C7285" s="191" t="str">
        <f>IF('IWP26'!E$503=0,"",'IWP26'!E$503)</f>
        <v xml:space="preserve">Items/Services Related to Billing Period </v>
      </c>
      <c r="D7285" s="211">
        <f>'IWP26'!G$503</f>
        <v>0</v>
      </c>
      <c r="E7285" s="211" t="str">
        <f>'IWP26'!H$503</f>
        <v xml:space="preserve">Item/
Service Verified Amounts
</v>
      </c>
      <c r="F7285" s="211" t="str">
        <f>'IWP26'!I$503</f>
        <v>Amount Due to DADS (E. - D.)</v>
      </c>
      <c r="G7285" s="191" t="str">
        <f>IF('IWP26'!J$503=0,"",'IWP26'!J$503)</f>
        <v>Amount Reimbursed to 
Employee(s)/Employer</v>
      </c>
      <c r="H7285" s="211">
        <f>'IWP26'!K$503</f>
        <v>0</v>
      </c>
      <c r="I7285" s="211" t="str">
        <f>'IWP26'!L$503</f>
        <v>Amount Due to Employee(s) (G. - E.)</v>
      </c>
      <c r="J7285" s="212" t="str">
        <f>'IWP26'!M$503</f>
        <v>Amount Due to Employer (G. - E.)</v>
      </c>
      <c r="K7285" s="106"/>
      <c r="L7285" s="106"/>
      <c r="M7285" s="129"/>
    </row>
    <row r="7286" spans="1:13" s="146" customFormat="1">
      <c r="A7286" s="193" t="s">
        <v>524</v>
      </c>
      <c r="B7286" s="210">
        <v>10</v>
      </c>
      <c r="C7286" s="191" t="str">
        <f>IF('IWP26'!E$504=0,"",'IWP26'!E$504)</f>
        <v>Item/Service</v>
      </c>
      <c r="D7286" s="211" t="str">
        <f>'IWP26'!G$504</f>
        <v>Itemized Amount Paid by DADS</v>
      </c>
      <c r="E7286" s="211">
        <f>'IWP26'!H$504</f>
        <v>0</v>
      </c>
      <c r="F7286" s="211">
        <f>'IWP26'!I$504</f>
        <v>0</v>
      </c>
      <c r="G7286" s="191" t="str">
        <f>IF('IWP26'!J$504=0,"",'IWP26'!J$504)</f>
        <v/>
      </c>
      <c r="H7286" s="211">
        <f>'IWP26'!K$504</f>
        <v>0</v>
      </c>
      <c r="I7286" s="211">
        <f>'IWP26'!L$504</f>
        <v>0</v>
      </c>
      <c r="J7286" s="212">
        <f>'IWP26'!M$504</f>
        <v>0</v>
      </c>
      <c r="K7286" s="106"/>
      <c r="L7286" s="106"/>
      <c r="M7286" s="129"/>
    </row>
    <row r="7287" spans="1:13" s="146" customFormat="1">
      <c r="A7287" s="193" t="s">
        <v>524</v>
      </c>
      <c r="B7287" s="210">
        <v>10</v>
      </c>
      <c r="C7287" s="191" t="str">
        <f>IF('IWP26'!E$505=0,"",'IWP26'!E$505)</f>
        <v/>
      </c>
      <c r="D7287" s="211">
        <f>'IWP26'!G$505</f>
        <v>0</v>
      </c>
      <c r="E7287" s="211">
        <f>'IWP26'!H$505</f>
        <v>0</v>
      </c>
      <c r="F7287" s="211">
        <f>'IWP26'!I$505</f>
        <v>0</v>
      </c>
      <c r="G7287" s="191" t="str">
        <f>IF('IWP26'!J$505=0,"",'IWP26'!J$505)</f>
        <v/>
      </c>
      <c r="H7287" s="211">
        <f>'IWP26'!K$505</f>
        <v>0</v>
      </c>
      <c r="I7287" s="211">
        <f>'IWP26'!L$505</f>
        <v>0</v>
      </c>
      <c r="J7287" s="212">
        <f>'IWP26'!M$505</f>
        <v>0</v>
      </c>
      <c r="K7287" s="106"/>
      <c r="L7287" s="106"/>
      <c r="M7287" s="129"/>
    </row>
    <row r="7288" spans="1:13" s="146" customFormat="1">
      <c r="A7288" s="193" t="s">
        <v>524</v>
      </c>
      <c r="B7288" s="210">
        <v>10</v>
      </c>
      <c r="C7288" s="191" t="str">
        <f>IF('IWP26'!E$506=0,"",'IWP26'!E$506)</f>
        <v/>
      </c>
      <c r="D7288" s="211">
        <f>'IWP26'!G$506</f>
        <v>0</v>
      </c>
      <c r="E7288" s="211">
        <f>'IWP26'!H$506</f>
        <v>0</v>
      </c>
      <c r="F7288" s="211">
        <f>'IWP26'!I$506</f>
        <v>0</v>
      </c>
      <c r="G7288" s="191" t="str">
        <f>IF('IWP26'!J$506=0,"",'IWP26'!J$506)</f>
        <v/>
      </c>
      <c r="H7288" s="211">
        <f>'IWP26'!K$506</f>
        <v>0</v>
      </c>
      <c r="I7288" s="211">
        <f>'IWP26'!L$506</f>
        <v>0</v>
      </c>
      <c r="J7288" s="212">
        <f>'IWP26'!M$506</f>
        <v>0</v>
      </c>
      <c r="K7288" s="106"/>
      <c r="L7288" s="106"/>
      <c r="M7288" s="129"/>
    </row>
    <row r="7289" spans="1:13" s="146" customFormat="1">
      <c r="A7289" s="193" t="s">
        <v>524</v>
      </c>
      <c r="B7289" s="210">
        <v>10</v>
      </c>
      <c r="C7289" s="191" t="str">
        <f>IF('IWP26'!E$507=0,"",'IWP26'!E$507)</f>
        <v/>
      </c>
      <c r="D7289" s="211">
        <f>'IWP26'!G$507</f>
        <v>0</v>
      </c>
      <c r="E7289" s="211">
        <f>'IWP26'!H$507</f>
        <v>0</v>
      </c>
      <c r="F7289" s="211">
        <f>'IWP26'!I$507</f>
        <v>0</v>
      </c>
      <c r="G7289" s="191" t="str">
        <f>IF('IWP26'!J$507=0,"",'IWP26'!J$507)</f>
        <v/>
      </c>
      <c r="H7289" s="211">
        <f>'IWP26'!K$507</f>
        <v>0</v>
      </c>
      <c r="I7289" s="211">
        <f>'IWP26'!L$507</f>
        <v>0</v>
      </c>
      <c r="J7289" s="212">
        <f>'IWP26'!M$507</f>
        <v>0</v>
      </c>
      <c r="K7289" s="106"/>
      <c r="L7289" s="106"/>
      <c r="M7289" s="129"/>
    </row>
    <row r="7290" spans="1:13" s="146" customFormat="1">
      <c r="A7290" s="193" t="s">
        <v>524</v>
      </c>
      <c r="B7290" s="210">
        <v>10</v>
      </c>
      <c r="C7290" s="191" t="str">
        <f>IF('IWP26'!E$508=0,"",'IWP26'!E$508)</f>
        <v/>
      </c>
      <c r="D7290" s="211">
        <f>'IWP26'!G$508</f>
        <v>0</v>
      </c>
      <c r="E7290" s="211">
        <f>'IWP26'!H$508</f>
        <v>0</v>
      </c>
      <c r="F7290" s="211">
        <f>'IWP26'!I$508</f>
        <v>0</v>
      </c>
      <c r="G7290" s="191" t="str">
        <f>IF('IWP26'!J$508=0,"",'IWP26'!J$508)</f>
        <v/>
      </c>
      <c r="H7290" s="211">
        <f>'IWP26'!K$508</f>
        <v>0</v>
      </c>
      <c r="I7290" s="211">
        <f>'IWP26'!L$508</f>
        <v>0</v>
      </c>
      <c r="J7290" s="212">
        <f>'IWP26'!M$508</f>
        <v>0</v>
      </c>
      <c r="K7290" s="106"/>
      <c r="L7290" s="106"/>
      <c r="M7290" s="129"/>
    </row>
    <row r="7291" spans="1:13" s="146" customFormat="1">
      <c r="A7291" s="193" t="s">
        <v>524</v>
      </c>
      <c r="B7291" s="210">
        <v>11</v>
      </c>
      <c r="C7291" s="191" t="str">
        <f>IF('IWP26'!E$515=0,"",'IWP26'!E$515)</f>
        <v>Subtotal column D.</v>
      </c>
      <c r="D7291" s="211">
        <f>'IWP26'!G$515</f>
        <v>0</v>
      </c>
      <c r="E7291" s="211">
        <f>'IWP26'!H$515</f>
        <v>0</v>
      </c>
      <c r="F7291" s="211">
        <f>'IWP26'!I$515</f>
        <v>0</v>
      </c>
      <c r="G7291" s="191" t="str">
        <f>IF('IWP26'!J$515=0,"",'IWP26'!J$515)</f>
        <v/>
      </c>
      <c r="H7291" s="211">
        <f>'IWP26'!K$515</f>
        <v>0</v>
      </c>
      <c r="I7291" s="211">
        <f>'IWP26'!L$515</f>
        <v>0</v>
      </c>
      <c r="J7291" s="212">
        <f>'IWP26'!M$515</f>
        <v>0</v>
      </c>
      <c r="K7291" s="106"/>
      <c r="L7291" s="106"/>
      <c r="M7291" s="129"/>
    </row>
    <row r="7292" spans="1:13" s="146" customFormat="1">
      <c r="A7292" s="193" t="s">
        <v>524</v>
      </c>
      <c r="B7292" s="210">
        <v>11</v>
      </c>
      <c r="C7292" s="191" t="str">
        <f>IF('IWP26'!E$516=0,"",'IWP26'!E$516)</f>
        <v>Unverified/Undocumented (Subtotal D - C)</v>
      </c>
      <c r="D7292" s="211">
        <f>'IWP26'!G$516</f>
        <v>0</v>
      </c>
      <c r="E7292" s="211">
        <f>'IWP26'!H$516</f>
        <v>0</v>
      </c>
      <c r="F7292" s="211">
        <f>'IWP26'!I$516</f>
        <v>0</v>
      </c>
      <c r="G7292" s="191" t="str">
        <f>IF('IWP26'!J$516=0,"",'IWP26'!J$516)</f>
        <v/>
      </c>
      <c r="H7292" s="211">
        <f>'IWP26'!K$516</f>
        <v>0</v>
      </c>
      <c r="I7292" s="211">
        <f>'IWP26'!L$516</f>
        <v>0</v>
      </c>
      <c r="J7292" s="212">
        <f>'IWP26'!M$516</f>
        <v>0</v>
      </c>
      <c r="K7292" s="106"/>
      <c r="L7292" s="106"/>
      <c r="M7292" s="129"/>
    </row>
    <row r="7293" spans="1:13" s="146" customFormat="1">
      <c r="A7293" s="193" t="s">
        <v>524</v>
      </c>
      <c r="B7293" s="210">
        <v>11</v>
      </c>
      <c r="C7293" s="191" t="str">
        <f>IF('IWP26'!E$517=0,"",'IWP26'!E$517)</f>
        <v>J. Billing Period Total</v>
      </c>
      <c r="D7293" s="211">
        <f>'IWP26'!G$517</f>
        <v>0</v>
      </c>
      <c r="E7293" s="211">
        <f>'IWP26'!H$517</f>
        <v>0</v>
      </c>
      <c r="F7293" s="211">
        <f>'IWP26'!I$517</f>
        <v>0</v>
      </c>
      <c r="G7293" s="191" t="str">
        <f>IF('IWP26'!J$517=0,"",'IWP26'!J$517)</f>
        <v/>
      </c>
      <c r="H7293" s="211">
        <f>'IWP26'!K$517</f>
        <v>0</v>
      </c>
      <c r="I7293" s="211">
        <f>'IWP26'!L$517</f>
        <v>0</v>
      </c>
      <c r="J7293" s="212">
        <f>'IWP26'!M$517</f>
        <v>0</v>
      </c>
      <c r="K7293" s="106"/>
      <c r="L7293" s="106"/>
      <c r="M7293" s="129"/>
    </row>
    <row r="7294" spans="1:13" s="146" customFormat="1">
      <c r="A7294" s="193" t="s">
        <v>524</v>
      </c>
      <c r="B7294" s="210">
        <v>11</v>
      </c>
      <c r="C7294" s="191" t="str">
        <f>IF('IWP26'!E$518=0,"",'IWP26'!E$518)</f>
        <v>D.</v>
      </c>
      <c r="D7294" s="211">
        <f>'IWP26'!G$518</f>
        <v>0</v>
      </c>
      <c r="E7294" s="211" t="str">
        <f>'IWP26'!H$518</f>
        <v>E.</v>
      </c>
      <c r="F7294" s="211" t="str">
        <f>'IWP26'!I$518</f>
        <v>F.</v>
      </c>
      <c r="G7294" s="191" t="str">
        <f>IF('IWP26'!J$518=0,"",'IWP26'!J$518)</f>
        <v>G.</v>
      </c>
      <c r="H7294" s="211">
        <f>'IWP26'!K$518</f>
        <v>0</v>
      </c>
      <c r="I7294" s="211" t="str">
        <f>'IWP26'!L$518</f>
        <v>H.</v>
      </c>
      <c r="J7294" s="212" t="str">
        <f>'IWP26'!M$518</f>
        <v>I.</v>
      </c>
      <c r="K7294" s="106"/>
      <c r="L7294" s="106"/>
      <c r="M7294" s="129"/>
    </row>
    <row r="7295" spans="1:13" s="146" customFormat="1">
      <c r="A7295" s="193" t="s">
        <v>524</v>
      </c>
      <c r="B7295" s="210">
        <v>11</v>
      </c>
      <c r="C7295" s="191" t="str">
        <f>IF('IWP26'!E$519=0,"",'IWP26'!E$519)</f>
        <v xml:space="preserve">Items/Services Related to Billing Period </v>
      </c>
      <c r="D7295" s="211">
        <f>'IWP26'!G$519</f>
        <v>0</v>
      </c>
      <c r="E7295" s="211" t="str">
        <f>'IWP26'!H$519</f>
        <v xml:space="preserve">Item/
Service Verified Amounts
</v>
      </c>
      <c r="F7295" s="211" t="str">
        <f>'IWP26'!I$519</f>
        <v>Amount Due to DADS (E. - D.)</v>
      </c>
      <c r="G7295" s="191" t="str">
        <f>IF('IWP26'!J$519=0,"",'IWP26'!J$519)</f>
        <v>Amount Reimbursed to 
Employee(s)/Employer</v>
      </c>
      <c r="H7295" s="211">
        <f>'IWP26'!K$519</f>
        <v>0</v>
      </c>
      <c r="I7295" s="211" t="str">
        <f>'IWP26'!L$519</f>
        <v>Amount Due to Employee(s) (G. - E.)</v>
      </c>
      <c r="J7295" s="212" t="str">
        <f>'IWP26'!M$519</f>
        <v>Amount Due to Employer (G. - E.)</v>
      </c>
      <c r="K7295" s="106"/>
      <c r="L7295" s="106"/>
      <c r="M7295" s="129"/>
    </row>
    <row r="7296" spans="1:13" s="146" customFormat="1">
      <c r="A7296" s="193" t="s">
        <v>524</v>
      </c>
      <c r="B7296" s="210">
        <v>11</v>
      </c>
      <c r="C7296" s="191" t="str">
        <f>IF('IWP26'!E$520=0,"",'IWP26'!E$520)</f>
        <v>Item/Service</v>
      </c>
      <c r="D7296" s="211" t="str">
        <f>'IWP26'!G$520</f>
        <v>Itemized Amount Paid by DADS</v>
      </c>
      <c r="E7296" s="211">
        <f>'IWP26'!H$520</f>
        <v>0</v>
      </c>
      <c r="F7296" s="211">
        <f>'IWP26'!I$520</f>
        <v>0</v>
      </c>
      <c r="G7296" s="191" t="str">
        <f>IF('IWP26'!J$520=0,"",'IWP26'!J$520)</f>
        <v/>
      </c>
      <c r="H7296" s="211">
        <f>'IWP26'!K$520</f>
        <v>0</v>
      </c>
      <c r="I7296" s="211">
        <f>'IWP26'!L$520</f>
        <v>0</v>
      </c>
      <c r="J7296" s="212">
        <f>'IWP26'!M$520</f>
        <v>0</v>
      </c>
      <c r="K7296" s="106"/>
      <c r="L7296" s="106"/>
      <c r="M7296" s="129"/>
    </row>
    <row r="7297" spans="1:13" s="146" customFormat="1">
      <c r="A7297" s="193" t="s">
        <v>524</v>
      </c>
      <c r="B7297" s="210">
        <v>11</v>
      </c>
      <c r="C7297" s="191" t="str">
        <f>IF('IWP26'!E$521=0,"",'IWP26'!E$521)</f>
        <v/>
      </c>
      <c r="D7297" s="211">
        <f>'IWP26'!G$521</f>
        <v>0</v>
      </c>
      <c r="E7297" s="211">
        <f>'IWP26'!H$521</f>
        <v>0</v>
      </c>
      <c r="F7297" s="211">
        <f>'IWP26'!I$521</f>
        <v>0</v>
      </c>
      <c r="G7297" s="191" t="str">
        <f>IF('IWP26'!J$521=0,"",'IWP26'!J$521)</f>
        <v/>
      </c>
      <c r="H7297" s="211">
        <f>'IWP26'!K$521</f>
        <v>0</v>
      </c>
      <c r="I7297" s="211">
        <f>'IWP26'!L$521</f>
        <v>0</v>
      </c>
      <c r="J7297" s="212">
        <f>'IWP26'!M$521</f>
        <v>0</v>
      </c>
      <c r="K7297" s="106"/>
      <c r="L7297" s="106"/>
      <c r="M7297" s="129"/>
    </row>
    <row r="7298" spans="1:13" s="146" customFormat="1">
      <c r="A7298" s="193" t="s">
        <v>524</v>
      </c>
      <c r="B7298" s="210">
        <v>11</v>
      </c>
      <c r="C7298" s="191" t="str">
        <f>IF('IWP26'!E$522=0,"",'IWP26'!E$522)</f>
        <v/>
      </c>
      <c r="D7298" s="211">
        <f>'IWP26'!G$522</f>
        <v>0</v>
      </c>
      <c r="E7298" s="211">
        <f>'IWP26'!H$522</f>
        <v>0</v>
      </c>
      <c r="F7298" s="211">
        <f>'IWP26'!I$522</f>
        <v>0</v>
      </c>
      <c r="G7298" s="191" t="str">
        <f>IF('IWP26'!J$522=0,"",'IWP26'!J$522)</f>
        <v/>
      </c>
      <c r="H7298" s="211">
        <f>'IWP26'!K$522</f>
        <v>0</v>
      </c>
      <c r="I7298" s="211">
        <f>'IWP26'!L$522</f>
        <v>0</v>
      </c>
      <c r="J7298" s="212">
        <f>'IWP26'!M$522</f>
        <v>0</v>
      </c>
      <c r="K7298" s="106"/>
      <c r="L7298" s="106"/>
      <c r="M7298" s="129"/>
    </row>
    <row r="7299" spans="1:13" s="146" customFormat="1">
      <c r="A7299" s="193" t="s">
        <v>524</v>
      </c>
      <c r="B7299" s="210">
        <v>11</v>
      </c>
      <c r="C7299" s="191" t="str">
        <f>IF('IWP26'!E$523=0,"",'IWP26'!E$523)</f>
        <v/>
      </c>
      <c r="D7299" s="211">
        <f>'IWP26'!G$523</f>
        <v>0</v>
      </c>
      <c r="E7299" s="211">
        <f>'IWP26'!H$523</f>
        <v>0</v>
      </c>
      <c r="F7299" s="211">
        <f>'IWP26'!I$523</f>
        <v>0</v>
      </c>
      <c r="G7299" s="191" t="str">
        <f>IF('IWP26'!J$523=0,"",'IWP26'!J$523)</f>
        <v/>
      </c>
      <c r="H7299" s="211">
        <f>'IWP26'!K$523</f>
        <v>0</v>
      </c>
      <c r="I7299" s="211">
        <f>'IWP26'!L$523</f>
        <v>0</v>
      </c>
      <c r="J7299" s="212">
        <f>'IWP26'!M$523</f>
        <v>0</v>
      </c>
      <c r="K7299" s="106"/>
      <c r="L7299" s="106"/>
      <c r="M7299" s="129"/>
    </row>
    <row r="7300" spans="1:13" s="146" customFormat="1">
      <c r="A7300" s="193" t="s">
        <v>524</v>
      </c>
      <c r="B7300" s="210">
        <v>11</v>
      </c>
      <c r="C7300" s="191" t="str">
        <f>IF('IWP26'!E$524=0,"",'IWP26'!E$524)</f>
        <v/>
      </c>
      <c r="D7300" s="211">
        <f>'IWP26'!G$524</f>
        <v>0</v>
      </c>
      <c r="E7300" s="211">
        <f>'IWP26'!H$524</f>
        <v>0</v>
      </c>
      <c r="F7300" s="211">
        <f>'IWP26'!I$524</f>
        <v>0</v>
      </c>
      <c r="G7300" s="191" t="str">
        <f>IF('IWP26'!J$524=0,"",'IWP26'!J$524)</f>
        <v/>
      </c>
      <c r="H7300" s="211">
        <f>'IWP26'!K$524</f>
        <v>0</v>
      </c>
      <c r="I7300" s="211">
        <f>'IWP26'!L$524</f>
        <v>0</v>
      </c>
      <c r="J7300" s="212">
        <f>'IWP26'!M$524</f>
        <v>0</v>
      </c>
      <c r="K7300" s="106"/>
      <c r="L7300" s="106"/>
      <c r="M7300" s="129"/>
    </row>
    <row r="7301" spans="1:13" s="146" customFormat="1">
      <c r="A7301" s="193" t="s">
        <v>524</v>
      </c>
      <c r="B7301" s="210">
        <v>12</v>
      </c>
      <c r="C7301" s="191" t="str">
        <f>IF('IWP26'!E$531=0,"",'IWP26'!E$531)</f>
        <v>Subtotal column D.</v>
      </c>
      <c r="D7301" s="211">
        <f>'IWP26'!G$531</f>
        <v>0</v>
      </c>
      <c r="E7301" s="211">
        <f>'IWP26'!H$531</f>
        <v>0</v>
      </c>
      <c r="F7301" s="211">
        <f>'IWP26'!I$531</f>
        <v>0</v>
      </c>
      <c r="G7301" s="191" t="str">
        <f>IF('IWP26'!J$531=0,"",'IWP26'!J$531)</f>
        <v/>
      </c>
      <c r="H7301" s="211">
        <f>'IWP26'!K$531</f>
        <v>0</v>
      </c>
      <c r="I7301" s="211">
        <f>'IWP26'!L$531</f>
        <v>0</v>
      </c>
      <c r="J7301" s="212">
        <f>'IWP26'!M$531</f>
        <v>0</v>
      </c>
      <c r="K7301" s="106"/>
      <c r="L7301" s="106"/>
      <c r="M7301" s="129"/>
    </row>
    <row r="7302" spans="1:13" s="146" customFormat="1">
      <c r="A7302" s="193" t="s">
        <v>524</v>
      </c>
      <c r="B7302" s="210">
        <v>12</v>
      </c>
      <c r="C7302" s="191" t="str">
        <f>IF('IWP26'!E$532=0,"",'IWP26'!E$532)</f>
        <v>Unverified/Undocumented (Subtotal D - C)</v>
      </c>
      <c r="D7302" s="211">
        <f>'IWP26'!G$532</f>
        <v>0</v>
      </c>
      <c r="E7302" s="211">
        <f>'IWP26'!H$532</f>
        <v>0</v>
      </c>
      <c r="F7302" s="211">
        <f>'IWP26'!I$532</f>
        <v>0</v>
      </c>
      <c r="G7302" s="191" t="str">
        <f>IF('IWP26'!J$532=0,"",'IWP26'!J$532)</f>
        <v/>
      </c>
      <c r="H7302" s="211">
        <f>'IWP26'!K$532</f>
        <v>0</v>
      </c>
      <c r="I7302" s="211">
        <f>'IWP26'!L$532</f>
        <v>0</v>
      </c>
      <c r="J7302" s="212">
        <f>'IWP26'!M$532</f>
        <v>0</v>
      </c>
      <c r="K7302" s="106"/>
      <c r="L7302" s="106"/>
      <c r="M7302" s="129"/>
    </row>
    <row r="7303" spans="1:13" s="146" customFormat="1">
      <c r="A7303" s="193" t="s">
        <v>524</v>
      </c>
      <c r="B7303" s="210">
        <v>12</v>
      </c>
      <c r="C7303" s="191" t="str">
        <f>IF('IWP26'!E$533=0,"",'IWP26'!E$533)</f>
        <v>J. Billing Period Total</v>
      </c>
      <c r="D7303" s="211">
        <f>'IWP26'!G$533</f>
        <v>0</v>
      </c>
      <c r="E7303" s="211">
        <f>'IWP26'!H$533</f>
        <v>0</v>
      </c>
      <c r="F7303" s="211">
        <f>'IWP26'!I$533</f>
        <v>0</v>
      </c>
      <c r="G7303" s="191" t="str">
        <f>IF('IWP26'!J$533=0,"",'IWP26'!J$533)</f>
        <v/>
      </c>
      <c r="H7303" s="211">
        <f>'IWP26'!K$533</f>
        <v>0</v>
      </c>
      <c r="I7303" s="211">
        <f>'IWP26'!L$533</f>
        <v>0</v>
      </c>
      <c r="J7303" s="212">
        <f>'IWP26'!M$533</f>
        <v>0</v>
      </c>
      <c r="K7303" s="106"/>
      <c r="L7303" s="106"/>
      <c r="M7303" s="129"/>
    </row>
    <row r="7304" spans="1:13" s="146" customFormat="1">
      <c r="A7304" s="193" t="s">
        <v>524</v>
      </c>
      <c r="B7304" s="210">
        <v>12</v>
      </c>
      <c r="C7304" s="191" t="str">
        <f>IF('IWP26'!E$534=0,"",'IWP26'!E$534)</f>
        <v>D.</v>
      </c>
      <c r="D7304" s="211">
        <f>'IWP26'!G$534</f>
        <v>0</v>
      </c>
      <c r="E7304" s="211" t="str">
        <f>'IWP26'!H$534</f>
        <v>E.</v>
      </c>
      <c r="F7304" s="211" t="str">
        <f>'IWP26'!I$534</f>
        <v>F.</v>
      </c>
      <c r="G7304" s="191" t="str">
        <f>IF('IWP26'!J$534=0,"",'IWP26'!J$534)</f>
        <v>G.</v>
      </c>
      <c r="H7304" s="211">
        <f>'IWP26'!K$534</f>
        <v>0</v>
      </c>
      <c r="I7304" s="211" t="str">
        <f>'IWP26'!L$534</f>
        <v>H.</v>
      </c>
      <c r="J7304" s="212" t="str">
        <f>'IWP26'!M$534</f>
        <v>I.</v>
      </c>
      <c r="K7304" s="106"/>
      <c r="L7304" s="106"/>
      <c r="M7304" s="129"/>
    </row>
    <row r="7305" spans="1:13" s="146" customFormat="1">
      <c r="A7305" s="193" t="s">
        <v>524</v>
      </c>
      <c r="B7305" s="210">
        <v>12</v>
      </c>
      <c r="C7305" s="191" t="str">
        <f>IF('IWP26'!E$535=0,"",'IWP26'!E$535)</f>
        <v xml:space="preserve">Items/Services Related to Billing Period </v>
      </c>
      <c r="D7305" s="211">
        <f>'IWP26'!G$535</f>
        <v>0</v>
      </c>
      <c r="E7305" s="211" t="str">
        <f>'IWP26'!H$535</f>
        <v xml:space="preserve">Item/
Service Verified Amounts
</v>
      </c>
      <c r="F7305" s="211" t="str">
        <f>'IWP26'!I$535</f>
        <v>Amount Due to DADS (E. - D.)</v>
      </c>
      <c r="G7305" s="191" t="str">
        <f>IF('IWP26'!J$535=0,"",'IWP26'!J$535)</f>
        <v>Amount Reimbursed to 
Employee(s)/Employer</v>
      </c>
      <c r="H7305" s="211">
        <f>'IWP26'!K$535</f>
        <v>0</v>
      </c>
      <c r="I7305" s="211" t="str">
        <f>'IWP26'!L$535</f>
        <v>Amount Due to Employee(s) (G. - E.)</v>
      </c>
      <c r="J7305" s="212" t="str">
        <f>'IWP26'!M$535</f>
        <v>Amount Due to Employer (G. - E.)</v>
      </c>
      <c r="K7305" s="106"/>
      <c r="L7305" s="106"/>
      <c r="M7305" s="129"/>
    </row>
    <row r="7306" spans="1:13" s="146" customFormat="1">
      <c r="A7306" s="193" t="s">
        <v>524</v>
      </c>
      <c r="B7306" s="210">
        <v>12</v>
      </c>
      <c r="C7306" s="191" t="str">
        <f>IF('IWP26'!E$536=0,"",'IWP26'!E$536)</f>
        <v>Item/Service</v>
      </c>
      <c r="D7306" s="211" t="str">
        <f>'IWP26'!G$536</f>
        <v>Itemized Amount Paid by DADS</v>
      </c>
      <c r="E7306" s="211">
        <f>'IWP26'!H$536</f>
        <v>0</v>
      </c>
      <c r="F7306" s="211">
        <f>'IWP26'!I$536</f>
        <v>0</v>
      </c>
      <c r="G7306" s="191" t="str">
        <f>IF('IWP26'!J$536=0,"",'IWP26'!J$536)</f>
        <v/>
      </c>
      <c r="H7306" s="211">
        <f>'IWP26'!K$536</f>
        <v>0</v>
      </c>
      <c r="I7306" s="211">
        <f>'IWP26'!L$536</f>
        <v>0</v>
      </c>
      <c r="J7306" s="212">
        <f>'IWP26'!M$536</f>
        <v>0</v>
      </c>
      <c r="K7306" s="106"/>
      <c r="L7306" s="106"/>
      <c r="M7306" s="129"/>
    </row>
    <row r="7307" spans="1:13" s="146" customFormat="1">
      <c r="A7307" s="193" t="s">
        <v>524</v>
      </c>
      <c r="B7307" s="210">
        <v>12</v>
      </c>
      <c r="C7307" s="191" t="str">
        <f>IF('IWP26'!E$537=0,"",'IWP26'!E$537)</f>
        <v/>
      </c>
      <c r="D7307" s="211">
        <f>'IWP26'!G$537</f>
        <v>0</v>
      </c>
      <c r="E7307" s="211">
        <f>'IWP26'!H$537</f>
        <v>0</v>
      </c>
      <c r="F7307" s="211">
        <f>'IWP26'!I$537</f>
        <v>0</v>
      </c>
      <c r="G7307" s="191" t="str">
        <f>IF('IWP26'!J$537=0,"",'IWP26'!J$537)</f>
        <v/>
      </c>
      <c r="H7307" s="211">
        <f>'IWP26'!K$537</f>
        <v>0</v>
      </c>
      <c r="I7307" s="211">
        <f>'IWP26'!L$537</f>
        <v>0</v>
      </c>
      <c r="J7307" s="212">
        <f>'IWP26'!M$537</f>
        <v>0</v>
      </c>
      <c r="K7307" s="106"/>
      <c r="L7307" s="106"/>
      <c r="M7307" s="129"/>
    </row>
    <row r="7308" spans="1:13" s="146" customFormat="1">
      <c r="A7308" s="193" t="s">
        <v>524</v>
      </c>
      <c r="B7308" s="210">
        <v>12</v>
      </c>
      <c r="C7308" s="191" t="str">
        <f>IF('IWP26'!E$538=0,"",'IWP26'!E$538)</f>
        <v/>
      </c>
      <c r="D7308" s="211">
        <f>'IWP26'!G$538</f>
        <v>0</v>
      </c>
      <c r="E7308" s="211">
        <f>'IWP26'!H$538</f>
        <v>0</v>
      </c>
      <c r="F7308" s="211">
        <f>'IWP26'!I$538</f>
        <v>0</v>
      </c>
      <c r="G7308" s="191" t="str">
        <f>IF('IWP26'!J$538=0,"",'IWP26'!J$538)</f>
        <v/>
      </c>
      <c r="H7308" s="211">
        <f>'IWP26'!K$538</f>
        <v>0</v>
      </c>
      <c r="I7308" s="211">
        <f>'IWP26'!L$538</f>
        <v>0</v>
      </c>
      <c r="J7308" s="212">
        <f>'IWP26'!M$538</f>
        <v>0</v>
      </c>
      <c r="K7308" s="106"/>
      <c r="L7308" s="106"/>
      <c r="M7308" s="129"/>
    </row>
    <row r="7309" spans="1:13" s="146" customFormat="1">
      <c r="A7309" s="193" t="s">
        <v>524</v>
      </c>
      <c r="B7309" s="210">
        <v>12</v>
      </c>
      <c r="C7309" s="191" t="str">
        <f>IF('IWP26'!E$539=0,"",'IWP26'!E$539)</f>
        <v/>
      </c>
      <c r="D7309" s="211">
        <f>'IWP26'!G$539</f>
        <v>0</v>
      </c>
      <c r="E7309" s="211">
        <f>'IWP26'!H$539</f>
        <v>0</v>
      </c>
      <c r="F7309" s="211">
        <f>'IWP26'!I$539</f>
        <v>0</v>
      </c>
      <c r="G7309" s="191" t="str">
        <f>IF('IWP26'!J$539=0,"",'IWP26'!J$539)</f>
        <v/>
      </c>
      <c r="H7309" s="211">
        <f>'IWP26'!K$539</f>
        <v>0</v>
      </c>
      <c r="I7309" s="211">
        <f>'IWP26'!L$539</f>
        <v>0</v>
      </c>
      <c r="J7309" s="212">
        <f>'IWP26'!M$539</f>
        <v>0</v>
      </c>
      <c r="K7309" s="106"/>
      <c r="L7309" s="106"/>
      <c r="M7309" s="129"/>
    </row>
    <row r="7310" spans="1:13" s="146" customFormat="1">
      <c r="A7310" s="193" t="s">
        <v>524</v>
      </c>
      <c r="B7310" s="210">
        <v>12</v>
      </c>
      <c r="C7310" s="191" t="str">
        <f>IF('IWP26'!E$540=0,"",'IWP26'!E$540)</f>
        <v/>
      </c>
      <c r="D7310" s="211">
        <f>'IWP26'!G$540</f>
        <v>0</v>
      </c>
      <c r="E7310" s="211">
        <f>'IWP26'!H$540</f>
        <v>0</v>
      </c>
      <c r="F7310" s="211">
        <f>'IWP26'!I$540</f>
        <v>0</v>
      </c>
      <c r="G7310" s="191" t="str">
        <f>IF('IWP26'!J$540=0,"",'IWP26'!J$540)</f>
        <v/>
      </c>
      <c r="H7310" s="211">
        <f>'IWP26'!K$540</f>
        <v>0</v>
      </c>
      <c r="I7310" s="211">
        <f>'IWP26'!L$540</f>
        <v>0</v>
      </c>
      <c r="J7310" s="212">
        <f>'IWP26'!M$540</f>
        <v>0</v>
      </c>
      <c r="K7310" s="106"/>
      <c r="L7310" s="106"/>
      <c r="M7310" s="129"/>
    </row>
    <row r="7311" spans="1:13" s="146" customFormat="1">
      <c r="A7311" s="193" t="s">
        <v>524</v>
      </c>
      <c r="B7311" s="210">
        <v>13</v>
      </c>
      <c r="C7311" s="191" t="str">
        <f>IF('IWP26'!E$547=0,"",'IWP26'!E$547)</f>
        <v>Subtotal column D.</v>
      </c>
      <c r="D7311" s="211">
        <f>'IWP26'!G$547</f>
        <v>0</v>
      </c>
      <c r="E7311" s="211">
        <f>'IWP26'!H$547</f>
        <v>0</v>
      </c>
      <c r="F7311" s="211">
        <f>'IWP26'!I$547</f>
        <v>0</v>
      </c>
      <c r="G7311" s="191" t="str">
        <f>IF('IWP26'!J$547=0,"",'IWP26'!J$547)</f>
        <v/>
      </c>
      <c r="H7311" s="211">
        <f>'IWP26'!K$547</f>
        <v>0</v>
      </c>
      <c r="I7311" s="211">
        <f>'IWP26'!L$547</f>
        <v>0</v>
      </c>
      <c r="J7311" s="212">
        <f>'IWP26'!M$547</f>
        <v>0</v>
      </c>
      <c r="K7311" s="106"/>
      <c r="L7311" s="106"/>
      <c r="M7311" s="129"/>
    </row>
    <row r="7312" spans="1:13" s="146" customFormat="1">
      <c r="A7312" s="193" t="s">
        <v>524</v>
      </c>
      <c r="B7312" s="210">
        <v>13</v>
      </c>
      <c r="C7312" s="191" t="str">
        <f>IF('IWP26'!E$548=0,"",'IWP26'!E$548)</f>
        <v>Unverified/Undocumented (Subtotal D - C)</v>
      </c>
      <c r="D7312" s="211">
        <f>'IWP26'!G$548</f>
        <v>0</v>
      </c>
      <c r="E7312" s="211">
        <f>'IWP26'!H$548</f>
        <v>0</v>
      </c>
      <c r="F7312" s="211">
        <f>'IWP26'!I$548</f>
        <v>0</v>
      </c>
      <c r="G7312" s="191" t="str">
        <f>IF('IWP26'!J$548=0,"",'IWP26'!J$548)</f>
        <v/>
      </c>
      <c r="H7312" s="211">
        <f>'IWP26'!K$548</f>
        <v>0</v>
      </c>
      <c r="I7312" s="211">
        <f>'IWP26'!L$548</f>
        <v>0</v>
      </c>
      <c r="J7312" s="212">
        <f>'IWP26'!M$548</f>
        <v>0</v>
      </c>
      <c r="K7312" s="106"/>
      <c r="L7312" s="106"/>
      <c r="M7312" s="129"/>
    </row>
    <row r="7313" spans="1:13" s="146" customFormat="1">
      <c r="A7313" s="193" t="s">
        <v>524</v>
      </c>
      <c r="B7313" s="210">
        <v>13</v>
      </c>
      <c r="C7313" s="191" t="str">
        <f>IF('IWP26'!E$549=0,"",'IWP26'!E$549)</f>
        <v>J. Billing Period Total</v>
      </c>
      <c r="D7313" s="211">
        <f>'IWP26'!G$549</f>
        <v>0</v>
      </c>
      <c r="E7313" s="211">
        <f>'IWP26'!H$549</f>
        <v>0</v>
      </c>
      <c r="F7313" s="211">
        <f>'IWP26'!I$549</f>
        <v>0</v>
      </c>
      <c r="G7313" s="191" t="str">
        <f>IF('IWP26'!J$549=0,"",'IWP26'!J$549)</f>
        <v/>
      </c>
      <c r="H7313" s="211">
        <f>'IWP26'!K$549</f>
        <v>0</v>
      </c>
      <c r="I7313" s="211">
        <f>'IWP26'!L$549</f>
        <v>0</v>
      </c>
      <c r="J7313" s="212">
        <f>'IWP26'!M$549</f>
        <v>0</v>
      </c>
      <c r="K7313" s="106"/>
      <c r="L7313" s="106"/>
      <c r="M7313" s="129"/>
    </row>
    <row r="7314" spans="1:13" s="146" customFormat="1">
      <c r="A7314" s="193" t="s">
        <v>524</v>
      </c>
      <c r="B7314" s="210">
        <v>13</v>
      </c>
      <c r="C7314" s="191" t="str">
        <f>IF('IWP26'!E$550=0,"",'IWP26'!E$550)</f>
        <v>D.</v>
      </c>
      <c r="D7314" s="211">
        <f>'IWP26'!G$550</f>
        <v>0</v>
      </c>
      <c r="E7314" s="211" t="str">
        <f>'IWP26'!H$550</f>
        <v>E.</v>
      </c>
      <c r="F7314" s="211" t="str">
        <f>'IWP26'!I$550</f>
        <v>F.</v>
      </c>
      <c r="G7314" s="191" t="str">
        <f>IF('IWP26'!J$550=0,"",'IWP26'!J$550)</f>
        <v>G.</v>
      </c>
      <c r="H7314" s="211">
        <f>'IWP26'!K$550</f>
        <v>0</v>
      </c>
      <c r="I7314" s="211" t="str">
        <f>'IWP26'!L$550</f>
        <v>H.</v>
      </c>
      <c r="J7314" s="212" t="str">
        <f>'IWP26'!M$550</f>
        <v>I.</v>
      </c>
      <c r="K7314" s="106"/>
      <c r="L7314" s="106"/>
      <c r="M7314" s="129"/>
    </row>
    <row r="7315" spans="1:13" s="146" customFormat="1">
      <c r="A7315" s="193" t="s">
        <v>524</v>
      </c>
      <c r="B7315" s="210">
        <v>13</v>
      </c>
      <c r="C7315" s="191" t="str">
        <f>IF('IWP26'!E$551=0,"",'IWP26'!E$551)</f>
        <v xml:space="preserve">Items/Services Related to Billing Period </v>
      </c>
      <c r="D7315" s="211">
        <f>'IWP26'!G$551</f>
        <v>0</v>
      </c>
      <c r="E7315" s="211" t="str">
        <f>'IWP26'!H$551</f>
        <v xml:space="preserve">Item/
Service Verified Amounts
</v>
      </c>
      <c r="F7315" s="211" t="str">
        <f>'IWP26'!I$551</f>
        <v>Amount Due to DADS (E. - D.)</v>
      </c>
      <c r="G7315" s="191" t="str">
        <f>IF('IWP26'!J$551=0,"",'IWP26'!J$551)</f>
        <v>Amount Reimbursed to 
Employee(s)/Employer</v>
      </c>
      <c r="H7315" s="211">
        <f>'IWP26'!K$551</f>
        <v>0</v>
      </c>
      <c r="I7315" s="211" t="str">
        <f>'IWP26'!L$551</f>
        <v>Amount Due to Employee(s) (G. - E.)</v>
      </c>
      <c r="J7315" s="212" t="str">
        <f>'IWP26'!M$551</f>
        <v>Amount Due to Employer (G. - E.)</v>
      </c>
      <c r="K7315" s="106"/>
      <c r="L7315" s="106"/>
      <c r="M7315" s="129"/>
    </row>
    <row r="7316" spans="1:13" s="146" customFormat="1">
      <c r="A7316" s="193" t="s">
        <v>524</v>
      </c>
      <c r="B7316" s="210">
        <v>13</v>
      </c>
      <c r="C7316" s="191" t="str">
        <f>IF('IWP26'!E$552=0,"",'IWP26'!E$552)</f>
        <v>Item/Service</v>
      </c>
      <c r="D7316" s="211" t="str">
        <f>'IWP26'!G$552</f>
        <v>Itemized Amount Paid by DADS</v>
      </c>
      <c r="E7316" s="211">
        <f>'IWP26'!H$552</f>
        <v>0</v>
      </c>
      <c r="F7316" s="211">
        <f>'IWP26'!I$552</f>
        <v>0</v>
      </c>
      <c r="G7316" s="191" t="str">
        <f>IF('IWP26'!J$552=0,"",'IWP26'!J$552)</f>
        <v/>
      </c>
      <c r="H7316" s="211">
        <f>'IWP26'!K$552</f>
        <v>0</v>
      </c>
      <c r="I7316" s="211">
        <f>'IWP26'!L$552</f>
        <v>0</v>
      </c>
      <c r="J7316" s="212">
        <f>'IWP26'!M$552</f>
        <v>0</v>
      </c>
      <c r="K7316" s="106"/>
      <c r="L7316" s="106"/>
      <c r="M7316" s="129"/>
    </row>
    <row r="7317" spans="1:13" s="146" customFormat="1">
      <c r="A7317" s="193" t="s">
        <v>524</v>
      </c>
      <c r="B7317" s="210">
        <v>13</v>
      </c>
      <c r="C7317" s="191" t="str">
        <f>IF('IWP26'!E$553=0,"",'IWP26'!E$553)</f>
        <v/>
      </c>
      <c r="D7317" s="211">
        <f>'IWP26'!G$553</f>
        <v>0</v>
      </c>
      <c r="E7317" s="211">
        <f>'IWP26'!H$553</f>
        <v>0</v>
      </c>
      <c r="F7317" s="211">
        <f>'IWP26'!I$553</f>
        <v>0</v>
      </c>
      <c r="G7317" s="191" t="str">
        <f>IF('IWP26'!J$553=0,"",'IWP26'!J$553)</f>
        <v/>
      </c>
      <c r="H7317" s="211">
        <f>'IWP26'!K$553</f>
        <v>0</v>
      </c>
      <c r="I7317" s="211">
        <f>'IWP26'!L$553</f>
        <v>0</v>
      </c>
      <c r="J7317" s="212">
        <f>'IWP26'!M$553</f>
        <v>0</v>
      </c>
      <c r="K7317" s="106"/>
      <c r="L7317" s="106"/>
      <c r="M7317" s="129"/>
    </row>
    <row r="7318" spans="1:13" s="146" customFormat="1">
      <c r="A7318" s="193" t="s">
        <v>524</v>
      </c>
      <c r="B7318" s="210">
        <v>13</v>
      </c>
      <c r="C7318" s="191" t="str">
        <f>IF('IWP26'!E$554=0,"",'IWP26'!E$554)</f>
        <v/>
      </c>
      <c r="D7318" s="211">
        <f>'IWP26'!G$554</f>
        <v>0</v>
      </c>
      <c r="E7318" s="211">
        <f>'IWP26'!H$554</f>
        <v>0</v>
      </c>
      <c r="F7318" s="211">
        <f>'IWP26'!I$554</f>
        <v>0</v>
      </c>
      <c r="G7318" s="191" t="str">
        <f>IF('IWP26'!J$554=0,"",'IWP26'!J$554)</f>
        <v/>
      </c>
      <c r="H7318" s="211">
        <f>'IWP26'!K$554</f>
        <v>0</v>
      </c>
      <c r="I7318" s="211">
        <f>'IWP26'!L$554</f>
        <v>0</v>
      </c>
      <c r="J7318" s="212">
        <f>'IWP26'!M$554</f>
        <v>0</v>
      </c>
      <c r="K7318" s="106"/>
      <c r="L7318" s="106"/>
      <c r="M7318" s="129"/>
    </row>
    <row r="7319" spans="1:13" s="146" customFormat="1">
      <c r="A7319" s="193" t="s">
        <v>524</v>
      </c>
      <c r="B7319" s="210">
        <v>13</v>
      </c>
      <c r="C7319" s="191" t="str">
        <f>IF('IWP26'!E$555=0,"",'IWP26'!E$555)</f>
        <v/>
      </c>
      <c r="D7319" s="211">
        <f>'IWP26'!G$555</f>
        <v>0</v>
      </c>
      <c r="E7319" s="211">
        <f>'IWP26'!H$555</f>
        <v>0</v>
      </c>
      <c r="F7319" s="211">
        <f>'IWP26'!I$555</f>
        <v>0</v>
      </c>
      <c r="G7319" s="191" t="str">
        <f>IF('IWP26'!J$555=0,"",'IWP26'!J$555)</f>
        <v/>
      </c>
      <c r="H7319" s="211">
        <f>'IWP26'!K$555</f>
        <v>0</v>
      </c>
      <c r="I7319" s="211">
        <f>'IWP26'!L$555</f>
        <v>0</v>
      </c>
      <c r="J7319" s="212">
        <f>'IWP26'!M$555</f>
        <v>0</v>
      </c>
      <c r="K7319" s="106"/>
      <c r="L7319" s="106"/>
      <c r="M7319" s="129"/>
    </row>
    <row r="7320" spans="1:13" s="146" customFormat="1">
      <c r="A7320" s="193" t="s">
        <v>524</v>
      </c>
      <c r="B7320" s="210">
        <v>13</v>
      </c>
      <c r="C7320" s="191" t="str">
        <f>IF('IWP26'!E$556=0,"",'IWP26'!E$556)</f>
        <v/>
      </c>
      <c r="D7320" s="211">
        <f>'IWP26'!G$556</f>
        <v>0</v>
      </c>
      <c r="E7320" s="211">
        <f>'IWP26'!H$556</f>
        <v>0</v>
      </c>
      <c r="F7320" s="211">
        <f>'IWP26'!I$556</f>
        <v>0</v>
      </c>
      <c r="G7320" s="191" t="str">
        <f>IF('IWP26'!J$556=0,"",'IWP26'!J$556)</f>
        <v/>
      </c>
      <c r="H7320" s="211">
        <f>'IWP26'!K$556</f>
        <v>0</v>
      </c>
      <c r="I7320" s="211">
        <f>'IWP26'!L$556</f>
        <v>0</v>
      </c>
      <c r="J7320" s="212">
        <f>'IWP26'!M$556</f>
        <v>0</v>
      </c>
      <c r="K7320" s="106"/>
      <c r="L7320" s="106"/>
      <c r="M7320" s="129"/>
    </row>
    <row r="7321" spans="1:13" s="146" customFormat="1">
      <c r="A7321" s="193" t="s">
        <v>524</v>
      </c>
      <c r="B7321" s="210">
        <v>14</v>
      </c>
      <c r="C7321" s="191" t="str">
        <f>IF('IWP26'!E$563=0,"",'IWP26'!E$563)</f>
        <v>Subtotal column D.</v>
      </c>
      <c r="D7321" s="211">
        <f>'IWP26'!G$563</f>
        <v>0</v>
      </c>
      <c r="E7321" s="211">
        <f>'IWP26'!H$563</f>
        <v>0</v>
      </c>
      <c r="F7321" s="211">
        <f>'IWP26'!I$563</f>
        <v>0</v>
      </c>
      <c r="G7321" s="191" t="str">
        <f>IF('IWP26'!J$563=0,"",'IWP26'!J$563)</f>
        <v/>
      </c>
      <c r="H7321" s="211">
        <f>'IWP26'!K$563</f>
        <v>0</v>
      </c>
      <c r="I7321" s="211">
        <f>'IWP26'!L$563</f>
        <v>0</v>
      </c>
      <c r="J7321" s="212">
        <f>'IWP26'!M$563</f>
        <v>0</v>
      </c>
      <c r="K7321" s="106"/>
      <c r="L7321" s="106"/>
      <c r="M7321" s="129"/>
    </row>
    <row r="7322" spans="1:13" s="146" customFormat="1">
      <c r="A7322" s="193" t="s">
        <v>524</v>
      </c>
      <c r="B7322" s="210">
        <v>14</v>
      </c>
      <c r="C7322" s="191" t="str">
        <f>IF('IWP26'!E$564=0,"",'IWP26'!E$564)</f>
        <v>Unverified/Undocumented (Subtotal D - C)</v>
      </c>
      <c r="D7322" s="211">
        <f>'IWP26'!G$564</f>
        <v>0</v>
      </c>
      <c r="E7322" s="211">
        <f>'IWP26'!H$564</f>
        <v>0</v>
      </c>
      <c r="F7322" s="211">
        <f>'IWP26'!I$564</f>
        <v>0</v>
      </c>
      <c r="G7322" s="191" t="str">
        <f>IF('IWP26'!J$564=0,"",'IWP26'!J$564)</f>
        <v/>
      </c>
      <c r="H7322" s="211">
        <f>'IWP26'!K$564</f>
        <v>0</v>
      </c>
      <c r="I7322" s="211">
        <f>'IWP26'!L$564</f>
        <v>0</v>
      </c>
      <c r="J7322" s="212">
        <f>'IWP26'!M$564</f>
        <v>0</v>
      </c>
      <c r="K7322" s="106"/>
      <c r="L7322" s="106"/>
      <c r="M7322" s="129"/>
    </row>
    <row r="7323" spans="1:13" s="146" customFormat="1">
      <c r="A7323" s="193" t="s">
        <v>524</v>
      </c>
      <c r="B7323" s="210">
        <v>14</v>
      </c>
      <c r="C7323" s="191" t="str">
        <f>IF('IWP26'!E$565=0,"",'IWP26'!E$565)</f>
        <v>J. Billing Period Total</v>
      </c>
      <c r="D7323" s="211">
        <f>'IWP26'!G$565</f>
        <v>0</v>
      </c>
      <c r="E7323" s="211">
        <f>'IWP26'!H$565</f>
        <v>0</v>
      </c>
      <c r="F7323" s="211">
        <f>'IWP26'!I$565</f>
        <v>0</v>
      </c>
      <c r="G7323" s="191" t="str">
        <f>IF('IWP26'!J$565=0,"",'IWP26'!J$565)</f>
        <v/>
      </c>
      <c r="H7323" s="211">
        <f>'IWP26'!K$565</f>
        <v>0</v>
      </c>
      <c r="I7323" s="211">
        <f>'IWP26'!L$565</f>
        <v>0</v>
      </c>
      <c r="J7323" s="212">
        <f>'IWP26'!M$565</f>
        <v>0</v>
      </c>
      <c r="K7323" s="106"/>
      <c r="L7323" s="106"/>
      <c r="M7323" s="129"/>
    </row>
    <row r="7324" spans="1:13" s="146" customFormat="1">
      <c r="A7324" s="193" t="s">
        <v>524</v>
      </c>
      <c r="B7324" s="210">
        <v>14</v>
      </c>
      <c r="C7324" s="191" t="str">
        <f>IF('IWP26'!E$566=0,"",'IWP26'!E$566)</f>
        <v>D.</v>
      </c>
      <c r="D7324" s="211">
        <f>'IWP26'!G$566</f>
        <v>0</v>
      </c>
      <c r="E7324" s="211" t="str">
        <f>'IWP26'!H$566</f>
        <v>E.</v>
      </c>
      <c r="F7324" s="211" t="str">
        <f>'IWP26'!I$566</f>
        <v>F.</v>
      </c>
      <c r="G7324" s="191" t="str">
        <f>IF('IWP26'!J$566=0,"",'IWP26'!J$566)</f>
        <v>G.</v>
      </c>
      <c r="H7324" s="211">
        <f>'IWP26'!K$566</f>
        <v>0</v>
      </c>
      <c r="I7324" s="211" t="str">
        <f>'IWP26'!L$566</f>
        <v>H.</v>
      </c>
      <c r="J7324" s="212" t="str">
        <f>'IWP26'!M$566</f>
        <v>I.</v>
      </c>
      <c r="K7324" s="106"/>
      <c r="L7324" s="106"/>
      <c r="M7324" s="129"/>
    </row>
    <row r="7325" spans="1:13" s="146" customFormat="1">
      <c r="A7325" s="193" t="s">
        <v>524</v>
      </c>
      <c r="B7325" s="210">
        <v>14</v>
      </c>
      <c r="C7325" s="191" t="str">
        <f>IF('IWP26'!E$567=0,"",'IWP26'!E$567)</f>
        <v xml:space="preserve">Items/Services Related to Billing Period </v>
      </c>
      <c r="D7325" s="211">
        <f>'IWP26'!G$567</f>
        <v>0</v>
      </c>
      <c r="E7325" s="211" t="str">
        <f>'IWP26'!H$567</f>
        <v xml:space="preserve">Item/
Service Verified Amounts
</v>
      </c>
      <c r="F7325" s="211" t="str">
        <f>'IWP26'!I$567</f>
        <v>Amount Due to DADS (E. - D.)</v>
      </c>
      <c r="G7325" s="191" t="str">
        <f>IF('IWP26'!J$567=0,"",'IWP26'!J$567)</f>
        <v>Amount Reimbursed to 
Employee(s)/Employer</v>
      </c>
      <c r="H7325" s="211">
        <f>'IWP26'!K$567</f>
        <v>0</v>
      </c>
      <c r="I7325" s="211" t="str">
        <f>'IWP26'!L$567</f>
        <v>Amount Due to Employee(s) (G. - E.)</v>
      </c>
      <c r="J7325" s="212" t="str">
        <f>'IWP26'!M$567</f>
        <v>Amount Due to Employer (G. - E.)</v>
      </c>
      <c r="K7325" s="106"/>
      <c r="L7325" s="106"/>
      <c r="M7325" s="129"/>
    </row>
    <row r="7326" spans="1:13" s="146" customFormat="1">
      <c r="A7326" s="193" t="s">
        <v>524</v>
      </c>
      <c r="B7326" s="210">
        <v>14</v>
      </c>
      <c r="C7326" s="191" t="str">
        <f>IF('IWP26'!E$568=0,"",'IWP26'!E$568)</f>
        <v>Item/Service</v>
      </c>
      <c r="D7326" s="211" t="str">
        <f>'IWP26'!G$568</f>
        <v>Itemized Amount Paid by DADS</v>
      </c>
      <c r="E7326" s="211">
        <f>'IWP26'!H$568</f>
        <v>0</v>
      </c>
      <c r="F7326" s="211">
        <f>'IWP26'!I$568</f>
        <v>0</v>
      </c>
      <c r="G7326" s="191" t="str">
        <f>IF('IWP26'!J$568=0,"",'IWP26'!J$568)</f>
        <v/>
      </c>
      <c r="H7326" s="211">
        <f>'IWP26'!K$568</f>
        <v>0</v>
      </c>
      <c r="I7326" s="211">
        <f>'IWP26'!L$568</f>
        <v>0</v>
      </c>
      <c r="J7326" s="212">
        <f>'IWP26'!M$568</f>
        <v>0</v>
      </c>
      <c r="K7326" s="106"/>
      <c r="L7326" s="106"/>
      <c r="M7326" s="129"/>
    </row>
    <row r="7327" spans="1:13" s="146" customFormat="1">
      <c r="A7327" s="193" t="s">
        <v>524</v>
      </c>
      <c r="B7327" s="210">
        <v>14</v>
      </c>
      <c r="C7327" s="191" t="str">
        <f>IF('IWP26'!E$569=0,"",'IWP26'!E$569)</f>
        <v/>
      </c>
      <c r="D7327" s="211">
        <f>'IWP26'!G$569</f>
        <v>0</v>
      </c>
      <c r="E7327" s="211">
        <f>'IWP26'!H$569</f>
        <v>0</v>
      </c>
      <c r="F7327" s="211">
        <f>'IWP26'!I$569</f>
        <v>0</v>
      </c>
      <c r="G7327" s="191" t="str">
        <f>IF('IWP26'!J$569=0,"",'IWP26'!J$569)</f>
        <v/>
      </c>
      <c r="H7327" s="211">
        <f>'IWP26'!K$569</f>
        <v>0</v>
      </c>
      <c r="I7327" s="211">
        <f>'IWP26'!L$569</f>
        <v>0</v>
      </c>
      <c r="J7327" s="212">
        <f>'IWP26'!M$569</f>
        <v>0</v>
      </c>
      <c r="K7327" s="106"/>
      <c r="L7327" s="106"/>
      <c r="M7327" s="129"/>
    </row>
    <row r="7328" spans="1:13" s="146" customFormat="1">
      <c r="A7328" s="193" t="s">
        <v>524</v>
      </c>
      <c r="B7328" s="210">
        <v>14</v>
      </c>
      <c r="C7328" s="191" t="str">
        <f>IF('IWP26'!E$570=0,"",'IWP26'!E$570)</f>
        <v/>
      </c>
      <c r="D7328" s="211">
        <f>'IWP26'!G$570</f>
        <v>0</v>
      </c>
      <c r="E7328" s="211">
        <f>'IWP26'!H$570</f>
        <v>0</v>
      </c>
      <c r="F7328" s="211">
        <f>'IWP26'!I$570</f>
        <v>0</v>
      </c>
      <c r="G7328" s="191" t="str">
        <f>IF('IWP26'!J$570=0,"",'IWP26'!J$570)</f>
        <v/>
      </c>
      <c r="H7328" s="211">
        <f>'IWP26'!K$570</f>
        <v>0</v>
      </c>
      <c r="I7328" s="211">
        <f>'IWP26'!L$570</f>
        <v>0</v>
      </c>
      <c r="J7328" s="212">
        <f>'IWP26'!M$570</f>
        <v>0</v>
      </c>
      <c r="K7328" s="106"/>
      <c r="L7328" s="106"/>
      <c r="M7328" s="129"/>
    </row>
    <row r="7329" spans="1:13" s="146" customFormat="1">
      <c r="A7329" s="193" t="s">
        <v>524</v>
      </c>
      <c r="B7329" s="210">
        <v>14</v>
      </c>
      <c r="C7329" s="191" t="str">
        <f>IF('IWP26'!E$571=0,"",'IWP26'!E$571)</f>
        <v/>
      </c>
      <c r="D7329" s="211">
        <f>'IWP26'!G$571</f>
        <v>0</v>
      </c>
      <c r="E7329" s="211">
        <f>'IWP26'!H$571</f>
        <v>0</v>
      </c>
      <c r="F7329" s="211">
        <f>'IWP26'!I$571</f>
        <v>0</v>
      </c>
      <c r="G7329" s="191" t="str">
        <f>IF('IWP26'!J$571=0,"",'IWP26'!J$571)</f>
        <v/>
      </c>
      <c r="H7329" s="211">
        <f>'IWP26'!K$571</f>
        <v>0</v>
      </c>
      <c r="I7329" s="211">
        <f>'IWP26'!L$571</f>
        <v>0</v>
      </c>
      <c r="J7329" s="212">
        <f>'IWP26'!M$571</f>
        <v>0</v>
      </c>
      <c r="K7329" s="106"/>
      <c r="L7329" s="106"/>
      <c r="M7329" s="129"/>
    </row>
    <row r="7330" spans="1:13" s="146" customFormat="1">
      <c r="A7330" s="193" t="s">
        <v>524</v>
      </c>
      <c r="B7330" s="210">
        <v>14</v>
      </c>
      <c r="C7330" s="191" t="str">
        <f>IF('IWP26'!E$572=0,"",'IWP26'!E$572)</f>
        <v/>
      </c>
      <c r="D7330" s="211">
        <f>'IWP26'!G$572</f>
        <v>0</v>
      </c>
      <c r="E7330" s="211">
        <f>'IWP26'!H$572</f>
        <v>0</v>
      </c>
      <c r="F7330" s="211">
        <f>'IWP26'!I$572</f>
        <v>0</v>
      </c>
      <c r="G7330" s="191" t="str">
        <f>IF('IWP26'!J$572=0,"",'IWP26'!J$572)</f>
        <v/>
      </c>
      <c r="H7330" s="211">
        <f>'IWP26'!K$572</f>
        <v>0</v>
      </c>
      <c r="I7330" s="211">
        <f>'IWP26'!L$572</f>
        <v>0</v>
      </c>
      <c r="J7330" s="212">
        <f>'IWP26'!M$572</f>
        <v>0</v>
      </c>
      <c r="K7330" s="106"/>
      <c r="L7330" s="106"/>
      <c r="M7330" s="129"/>
    </row>
    <row r="7331" spans="1:13" s="146" customFormat="1">
      <c r="A7331" s="193" t="s">
        <v>524</v>
      </c>
      <c r="B7331" s="210">
        <v>15</v>
      </c>
      <c r="C7331" s="191" t="str">
        <f>IF('IWP26'!E$579=0,"",'IWP26'!E$579)</f>
        <v>Subtotal column D.</v>
      </c>
      <c r="D7331" s="211">
        <f>'IWP26'!G$579</f>
        <v>0</v>
      </c>
      <c r="E7331" s="211">
        <f>'IWP26'!H$579</f>
        <v>0</v>
      </c>
      <c r="F7331" s="211">
        <f>'IWP26'!I$579</f>
        <v>0</v>
      </c>
      <c r="G7331" s="191" t="str">
        <f>IF('IWP26'!J$579=0,"",'IWP26'!J$579)</f>
        <v/>
      </c>
      <c r="H7331" s="211">
        <f>'IWP26'!K$579</f>
        <v>0</v>
      </c>
      <c r="I7331" s="211">
        <f>'IWP26'!L$579</f>
        <v>0</v>
      </c>
      <c r="J7331" s="212">
        <f>'IWP26'!M$579</f>
        <v>0</v>
      </c>
      <c r="K7331" s="106"/>
      <c r="L7331" s="106"/>
      <c r="M7331" s="129"/>
    </row>
    <row r="7332" spans="1:13" s="146" customFormat="1">
      <c r="A7332" s="193" t="s">
        <v>524</v>
      </c>
      <c r="B7332" s="210">
        <v>15</v>
      </c>
      <c r="C7332" s="191" t="str">
        <f>IF('IWP26'!E$580=0,"",'IWP26'!E$580)</f>
        <v>Unverified/Undocumented (Subtotal D - C)</v>
      </c>
      <c r="D7332" s="211">
        <f>'IWP26'!G$580</f>
        <v>0</v>
      </c>
      <c r="E7332" s="211">
        <f>'IWP26'!H$580</f>
        <v>0</v>
      </c>
      <c r="F7332" s="211">
        <f>'IWP26'!I$580</f>
        <v>0</v>
      </c>
      <c r="G7332" s="191" t="str">
        <f>IF('IWP26'!J$580=0,"",'IWP26'!J$580)</f>
        <v/>
      </c>
      <c r="H7332" s="211">
        <f>'IWP26'!K$580</f>
        <v>0</v>
      </c>
      <c r="I7332" s="211">
        <f>'IWP26'!L$580</f>
        <v>0</v>
      </c>
      <c r="J7332" s="212">
        <f>'IWP26'!M$580</f>
        <v>0</v>
      </c>
      <c r="K7332" s="106"/>
      <c r="L7332" s="106"/>
      <c r="M7332" s="129"/>
    </row>
    <row r="7333" spans="1:13" s="146" customFormat="1">
      <c r="A7333" s="193" t="s">
        <v>524</v>
      </c>
      <c r="B7333" s="210">
        <v>15</v>
      </c>
      <c r="C7333" s="191" t="str">
        <f>IF('IWP26'!E$581=0,"",'IWP26'!E$581)</f>
        <v>J. Billing Period Total</v>
      </c>
      <c r="D7333" s="211">
        <f>'IWP26'!G$581</f>
        <v>0</v>
      </c>
      <c r="E7333" s="211">
        <f>'IWP26'!H$581</f>
        <v>0</v>
      </c>
      <c r="F7333" s="211">
        <f>'IWP26'!I$581</f>
        <v>0</v>
      </c>
      <c r="G7333" s="191" t="str">
        <f>IF('IWP26'!J$581=0,"",'IWP26'!J$581)</f>
        <v/>
      </c>
      <c r="H7333" s="211">
        <f>'IWP26'!K$581</f>
        <v>0</v>
      </c>
      <c r="I7333" s="211">
        <f>'IWP26'!L$581</f>
        <v>0</v>
      </c>
      <c r="J7333" s="212">
        <f>'IWP26'!M$581</f>
        <v>0</v>
      </c>
      <c r="K7333" s="106"/>
      <c r="L7333" s="106"/>
      <c r="M7333" s="129"/>
    </row>
    <row r="7334" spans="1:13" s="146" customFormat="1">
      <c r="A7334" s="193" t="s">
        <v>524</v>
      </c>
      <c r="B7334" s="210">
        <v>15</v>
      </c>
      <c r="C7334" s="191" t="str">
        <f>IF('IWP26'!E$582=0,"",'IWP26'!E$582)</f>
        <v>D.</v>
      </c>
      <c r="D7334" s="211">
        <f>'IWP26'!G$582</f>
        <v>0</v>
      </c>
      <c r="E7334" s="211" t="str">
        <f>'IWP26'!H$582</f>
        <v>E.</v>
      </c>
      <c r="F7334" s="211" t="str">
        <f>'IWP26'!I$582</f>
        <v>F.</v>
      </c>
      <c r="G7334" s="191" t="str">
        <f>IF('IWP26'!J$582=0,"",'IWP26'!J$582)</f>
        <v>G.</v>
      </c>
      <c r="H7334" s="211">
        <f>'IWP26'!K$582</f>
        <v>0</v>
      </c>
      <c r="I7334" s="211" t="str">
        <f>'IWP26'!L$582</f>
        <v>H.</v>
      </c>
      <c r="J7334" s="212" t="str">
        <f>'IWP26'!M$582</f>
        <v>I.</v>
      </c>
      <c r="K7334" s="106"/>
      <c r="L7334" s="106"/>
      <c r="M7334" s="129"/>
    </row>
    <row r="7335" spans="1:13" s="146" customFormat="1">
      <c r="A7335" s="193" t="s">
        <v>524</v>
      </c>
      <c r="B7335" s="210">
        <v>15</v>
      </c>
      <c r="C7335" s="191" t="str">
        <f>IF('IWP26'!E$583=0,"",'IWP26'!E$583)</f>
        <v xml:space="preserve">Items/Services Related to Billing Period </v>
      </c>
      <c r="D7335" s="211">
        <f>'IWP26'!G$583</f>
        <v>0</v>
      </c>
      <c r="E7335" s="211" t="str">
        <f>'IWP26'!H$583</f>
        <v xml:space="preserve">Item/
Service Verified Amounts
</v>
      </c>
      <c r="F7335" s="211" t="str">
        <f>'IWP26'!I$583</f>
        <v>Amount Due to DADS (E. - D.)</v>
      </c>
      <c r="G7335" s="191" t="str">
        <f>IF('IWP26'!J$583=0,"",'IWP26'!J$583)</f>
        <v>Amount Reimbursed to 
Employee(s)/Employer</v>
      </c>
      <c r="H7335" s="211">
        <f>'IWP26'!K$583</f>
        <v>0</v>
      </c>
      <c r="I7335" s="211" t="str">
        <f>'IWP26'!L$583</f>
        <v>Amount Due to Employee(s) (G. - E.)</v>
      </c>
      <c r="J7335" s="212" t="str">
        <f>'IWP26'!M$583</f>
        <v>Amount Due to Employer (G. - E.)</v>
      </c>
      <c r="K7335" s="106"/>
      <c r="L7335" s="106"/>
      <c r="M7335" s="129"/>
    </row>
    <row r="7336" spans="1:13" s="146" customFormat="1">
      <c r="A7336" s="193" t="s">
        <v>524</v>
      </c>
      <c r="B7336" s="210">
        <v>15</v>
      </c>
      <c r="C7336" s="191" t="str">
        <f>IF('IWP26'!E$584=0,"",'IWP26'!E$584)</f>
        <v>Item/Service</v>
      </c>
      <c r="D7336" s="211" t="str">
        <f>'IWP26'!G$584</f>
        <v>Itemized Amount Paid by DADS</v>
      </c>
      <c r="E7336" s="211">
        <f>'IWP26'!H$584</f>
        <v>0</v>
      </c>
      <c r="F7336" s="211">
        <f>'IWP26'!I$584</f>
        <v>0</v>
      </c>
      <c r="G7336" s="191" t="str">
        <f>IF('IWP26'!J$584=0,"",'IWP26'!J$584)</f>
        <v/>
      </c>
      <c r="H7336" s="211">
        <f>'IWP26'!K$584</f>
        <v>0</v>
      </c>
      <c r="I7336" s="211">
        <f>'IWP26'!L$584</f>
        <v>0</v>
      </c>
      <c r="J7336" s="212">
        <f>'IWP26'!M$584</f>
        <v>0</v>
      </c>
      <c r="K7336" s="106"/>
      <c r="L7336" s="106"/>
      <c r="M7336" s="129"/>
    </row>
    <row r="7337" spans="1:13" s="146" customFormat="1">
      <c r="A7337" s="193" t="s">
        <v>524</v>
      </c>
      <c r="B7337" s="210">
        <v>15</v>
      </c>
      <c r="C7337" s="191" t="str">
        <f>IF('IWP26'!E$585=0,"",'IWP26'!E$585)</f>
        <v/>
      </c>
      <c r="D7337" s="211">
        <f>'IWP26'!G$585</f>
        <v>0</v>
      </c>
      <c r="E7337" s="211">
        <f>'IWP26'!H$585</f>
        <v>0</v>
      </c>
      <c r="F7337" s="211">
        <f>'IWP26'!I$585</f>
        <v>0</v>
      </c>
      <c r="G7337" s="191" t="str">
        <f>IF('IWP26'!J$585=0,"",'IWP26'!J$585)</f>
        <v/>
      </c>
      <c r="H7337" s="211">
        <f>'IWP26'!K$585</f>
        <v>0</v>
      </c>
      <c r="I7337" s="211">
        <f>'IWP26'!L$585</f>
        <v>0</v>
      </c>
      <c r="J7337" s="212">
        <f>'IWP26'!M$585</f>
        <v>0</v>
      </c>
      <c r="K7337" s="106"/>
      <c r="L7337" s="106"/>
      <c r="M7337" s="129"/>
    </row>
    <row r="7338" spans="1:13" s="146" customFormat="1">
      <c r="A7338" s="193" t="s">
        <v>524</v>
      </c>
      <c r="B7338" s="210">
        <v>15</v>
      </c>
      <c r="C7338" s="191" t="str">
        <f>IF('IWP26'!E$586=0,"",'IWP26'!E$586)</f>
        <v/>
      </c>
      <c r="D7338" s="211">
        <f>'IWP26'!G$586</f>
        <v>0</v>
      </c>
      <c r="E7338" s="211">
        <f>'IWP26'!H$586</f>
        <v>0</v>
      </c>
      <c r="F7338" s="211">
        <f>'IWP26'!I$586</f>
        <v>0</v>
      </c>
      <c r="G7338" s="191" t="str">
        <f>IF('IWP26'!J$586=0,"",'IWP26'!J$586)</f>
        <v/>
      </c>
      <c r="H7338" s="211">
        <f>'IWP26'!K$586</f>
        <v>0</v>
      </c>
      <c r="I7338" s="211">
        <f>'IWP26'!L$586</f>
        <v>0</v>
      </c>
      <c r="J7338" s="212">
        <f>'IWP26'!M$586</f>
        <v>0</v>
      </c>
      <c r="K7338" s="106"/>
      <c r="L7338" s="106"/>
      <c r="M7338" s="129"/>
    </row>
    <row r="7339" spans="1:13" s="146" customFormat="1">
      <c r="A7339" s="193" t="s">
        <v>524</v>
      </c>
      <c r="B7339" s="210">
        <v>15</v>
      </c>
      <c r="C7339" s="191" t="str">
        <f>IF('IWP26'!E$587=0,"",'IWP26'!E$587)</f>
        <v/>
      </c>
      <c r="D7339" s="211">
        <f>'IWP26'!G$587</f>
        <v>0</v>
      </c>
      <c r="E7339" s="211">
        <f>'IWP26'!H$587</f>
        <v>0</v>
      </c>
      <c r="F7339" s="211">
        <f>'IWP26'!I$587</f>
        <v>0</v>
      </c>
      <c r="G7339" s="191" t="str">
        <f>IF('IWP26'!J$587=0,"",'IWP26'!J$587)</f>
        <v/>
      </c>
      <c r="H7339" s="211">
        <f>'IWP26'!K$587</f>
        <v>0</v>
      </c>
      <c r="I7339" s="211">
        <f>'IWP26'!L$587</f>
        <v>0</v>
      </c>
      <c r="J7339" s="212">
        <f>'IWP26'!M$587</f>
        <v>0</v>
      </c>
      <c r="K7339" s="106"/>
      <c r="L7339" s="106"/>
      <c r="M7339" s="129"/>
    </row>
    <row r="7340" spans="1:13" s="146" customFormat="1">
      <c r="A7340" s="193" t="s">
        <v>524</v>
      </c>
      <c r="B7340" s="210">
        <v>15</v>
      </c>
      <c r="C7340" s="191" t="str">
        <f>IF('IWP26'!E$588=0,"",'IWP26'!E$588)</f>
        <v/>
      </c>
      <c r="D7340" s="211">
        <f>'IWP26'!G$588</f>
        <v>0</v>
      </c>
      <c r="E7340" s="211">
        <f>'IWP26'!H$588</f>
        <v>0</v>
      </c>
      <c r="F7340" s="211">
        <f>'IWP26'!I$588</f>
        <v>0</v>
      </c>
      <c r="G7340" s="191" t="str">
        <f>IF('IWP26'!J$588=0,"",'IWP26'!J$588)</f>
        <v/>
      </c>
      <c r="H7340" s="211">
        <f>'IWP26'!K$588</f>
        <v>0</v>
      </c>
      <c r="I7340" s="211">
        <f>'IWP26'!L$588</f>
        <v>0</v>
      </c>
      <c r="J7340" s="212">
        <f>'IWP26'!M$588</f>
        <v>0</v>
      </c>
      <c r="K7340" s="106"/>
      <c r="L7340" s="106"/>
      <c r="M7340" s="129"/>
    </row>
    <row r="7341" spans="1:13" s="146" customFormat="1">
      <c r="A7341" s="193" t="s">
        <v>524</v>
      </c>
      <c r="B7341" s="210">
        <v>16</v>
      </c>
      <c r="C7341" s="191" t="str">
        <f>IF('IWP26'!E$595=0,"",'IWP26'!E$595)</f>
        <v>Subtotal column D.</v>
      </c>
      <c r="D7341" s="211">
        <f>'IWP26'!G$595</f>
        <v>0</v>
      </c>
      <c r="E7341" s="211">
        <f>'IWP26'!H$595</f>
        <v>0</v>
      </c>
      <c r="F7341" s="211">
        <f>'IWP26'!I$595</f>
        <v>0</v>
      </c>
      <c r="G7341" s="191" t="str">
        <f>IF('IWP26'!J$595=0,"",'IWP26'!J$595)</f>
        <v/>
      </c>
      <c r="H7341" s="211">
        <f>'IWP26'!K$595</f>
        <v>0</v>
      </c>
      <c r="I7341" s="211">
        <f>'IWP26'!L$595</f>
        <v>0</v>
      </c>
      <c r="J7341" s="212">
        <f>'IWP26'!M$595</f>
        <v>0</v>
      </c>
      <c r="K7341" s="106"/>
      <c r="L7341" s="106"/>
      <c r="M7341" s="129"/>
    </row>
    <row r="7342" spans="1:13" s="146" customFormat="1">
      <c r="A7342" s="193" t="s">
        <v>524</v>
      </c>
      <c r="B7342" s="210">
        <v>16</v>
      </c>
      <c r="C7342" s="191" t="str">
        <f>IF('IWP26'!E$596=0,"",'IWP26'!E$596)</f>
        <v>Unverified/Undocumented (Subtotal D - C)</v>
      </c>
      <c r="D7342" s="211">
        <f>'IWP26'!G$596</f>
        <v>0</v>
      </c>
      <c r="E7342" s="211">
        <f>'IWP26'!H$596</f>
        <v>0</v>
      </c>
      <c r="F7342" s="211">
        <f>'IWP26'!I$596</f>
        <v>0</v>
      </c>
      <c r="G7342" s="191" t="str">
        <f>IF('IWP26'!J$596=0,"",'IWP26'!J$596)</f>
        <v/>
      </c>
      <c r="H7342" s="211">
        <f>'IWP26'!K$596</f>
        <v>0</v>
      </c>
      <c r="I7342" s="211">
        <f>'IWP26'!L$596</f>
        <v>0</v>
      </c>
      <c r="J7342" s="212">
        <f>'IWP26'!M$596</f>
        <v>0</v>
      </c>
      <c r="K7342" s="106"/>
      <c r="L7342" s="106"/>
      <c r="M7342" s="129"/>
    </row>
    <row r="7343" spans="1:13" s="146" customFormat="1">
      <c r="A7343" s="193" t="s">
        <v>524</v>
      </c>
      <c r="B7343" s="210">
        <v>16</v>
      </c>
      <c r="C7343" s="191" t="str">
        <f>IF('IWP26'!E$597=0,"",'IWP26'!E$597)</f>
        <v>J. Billing Period Total</v>
      </c>
      <c r="D7343" s="211">
        <f>'IWP26'!G$597</f>
        <v>0</v>
      </c>
      <c r="E7343" s="211">
        <f>'IWP26'!H$597</f>
        <v>0</v>
      </c>
      <c r="F7343" s="211">
        <f>'IWP26'!I$597</f>
        <v>0</v>
      </c>
      <c r="G7343" s="191" t="str">
        <f>IF('IWP26'!J$597=0,"",'IWP26'!J$597)</f>
        <v/>
      </c>
      <c r="H7343" s="211">
        <f>'IWP26'!K$597</f>
        <v>0</v>
      </c>
      <c r="I7343" s="211">
        <f>'IWP26'!L$597</f>
        <v>0</v>
      </c>
      <c r="J7343" s="212">
        <f>'IWP26'!M$597</f>
        <v>0</v>
      </c>
      <c r="K7343" s="106"/>
      <c r="L7343" s="106"/>
      <c r="M7343" s="129"/>
    </row>
    <row r="7344" spans="1:13" s="146" customFormat="1">
      <c r="A7344" s="193" t="s">
        <v>524</v>
      </c>
      <c r="B7344" s="210">
        <v>16</v>
      </c>
      <c r="C7344" s="191" t="str">
        <f>IF('IWP26'!E$598=0,"",'IWP26'!E$598)</f>
        <v>D.</v>
      </c>
      <c r="D7344" s="211">
        <f>'IWP26'!G$598</f>
        <v>0</v>
      </c>
      <c r="E7344" s="211" t="str">
        <f>'IWP26'!H$598</f>
        <v>E.</v>
      </c>
      <c r="F7344" s="211" t="str">
        <f>'IWP26'!I$598</f>
        <v>F.</v>
      </c>
      <c r="G7344" s="191" t="str">
        <f>IF('IWP26'!J$598=0,"",'IWP26'!J$598)</f>
        <v>G.</v>
      </c>
      <c r="H7344" s="211">
        <f>'IWP26'!K$598</f>
        <v>0</v>
      </c>
      <c r="I7344" s="211" t="str">
        <f>'IWP26'!L$598</f>
        <v>H.</v>
      </c>
      <c r="J7344" s="212" t="str">
        <f>'IWP26'!M$598</f>
        <v>I.</v>
      </c>
      <c r="K7344" s="106"/>
      <c r="L7344" s="106"/>
      <c r="M7344" s="129"/>
    </row>
    <row r="7345" spans="1:13" s="146" customFormat="1">
      <c r="A7345" s="193" t="s">
        <v>524</v>
      </c>
      <c r="B7345" s="210">
        <v>16</v>
      </c>
      <c r="C7345" s="191" t="str">
        <f>IF('IWP26'!E$599=0,"",'IWP26'!E$599)</f>
        <v xml:space="preserve">Items/Services Related to Billing Period </v>
      </c>
      <c r="D7345" s="211">
        <f>'IWP26'!G$599</f>
        <v>0</v>
      </c>
      <c r="E7345" s="211" t="str">
        <f>'IWP26'!H$599</f>
        <v xml:space="preserve">Item/
Service Verified Amounts
</v>
      </c>
      <c r="F7345" s="211" t="str">
        <f>'IWP26'!I$599</f>
        <v>Amount Due to DADS (E. - D.)</v>
      </c>
      <c r="G7345" s="191" t="str">
        <f>IF('IWP26'!J$599=0,"",'IWP26'!J$599)</f>
        <v>Amount Reimbursed to 
Employee(s)/Employer</v>
      </c>
      <c r="H7345" s="211">
        <f>'IWP26'!K$599</f>
        <v>0</v>
      </c>
      <c r="I7345" s="211" t="str">
        <f>'IWP26'!L$599</f>
        <v>Amount Due to Employee(s) (G. - E.)</v>
      </c>
      <c r="J7345" s="212" t="str">
        <f>'IWP26'!M$599</f>
        <v>Amount Due to Employer (G. - E.)</v>
      </c>
      <c r="K7345" s="106"/>
      <c r="L7345" s="106"/>
      <c r="M7345" s="129"/>
    </row>
    <row r="7346" spans="1:13" s="146" customFormat="1">
      <c r="A7346" s="193" t="s">
        <v>524</v>
      </c>
      <c r="B7346" s="210">
        <v>16</v>
      </c>
      <c r="C7346" s="191" t="str">
        <f>IF('IWP26'!E$600=0,"",'IWP26'!E$600)</f>
        <v>Item/Service</v>
      </c>
      <c r="D7346" s="211" t="str">
        <f>'IWP26'!G$600</f>
        <v>Itemized Amount Paid by DADS</v>
      </c>
      <c r="E7346" s="211">
        <f>'IWP26'!H$600</f>
        <v>0</v>
      </c>
      <c r="F7346" s="211">
        <f>'IWP26'!I$600</f>
        <v>0</v>
      </c>
      <c r="G7346" s="191" t="str">
        <f>IF('IWP26'!J$600=0,"",'IWP26'!J$600)</f>
        <v/>
      </c>
      <c r="H7346" s="211">
        <f>'IWP26'!K$600</f>
        <v>0</v>
      </c>
      <c r="I7346" s="211">
        <f>'IWP26'!L$600</f>
        <v>0</v>
      </c>
      <c r="J7346" s="212">
        <f>'IWP26'!M$600</f>
        <v>0</v>
      </c>
      <c r="K7346" s="106"/>
      <c r="L7346" s="106"/>
      <c r="M7346" s="129"/>
    </row>
    <row r="7347" spans="1:13" s="146" customFormat="1">
      <c r="A7347" s="193" t="s">
        <v>524</v>
      </c>
      <c r="B7347" s="210">
        <v>16</v>
      </c>
      <c r="C7347" s="191" t="str">
        <f>IF('IWP26'!E$601=0,"",'IWP26'!E$601)</f>
        <v/>
      </c>
      <c r="D7347" s="211">
        <f>'IWP26'!G$601</f>
        <v>0</v>
      </c>
      <c r="E7347" s="211">
        <f>'IWP26'!H$601</f>
        <v>0</v>
      </c>
      <c r="F7347" s="211">
        <f>'IWP26'!I$601</f>
        <v>0</v>
      </c>
      <c r="G7347" s="191" t="str">
        <f>IF('IWP26'!J$601=0,"",'IWP26'!J$601)</f>
        <v/>
      </c>
      <c r="H7347" s="211">
        <f>'IWP26'!K$601</f>
        <v>0</v>
      </c>
      <c r="I7347" s="211">
        <f>'IWP26'!L$601</f>
        <v>0</v>
      </c>
      <c r="J7347" s="212">
        <f>'IWP26'!M$601</f>
        <v>0</v>
      </c>
      <c r="K7347" s="106"/>
      <c r="L7347" s="106"/>
      <c r="M7347" s="129"/>
    </row>
    <row r="7348" spans="1:13" s="146" customFormat="1">
      <c r="A7348" s="193" t="s">
        <v>524</v>
      </c>
      <c r="B7348" s="210">
        <v>16</v>
      </c>
      <c r="C7348" s="191" t="str">
        <f>IF('IWP26'!E$602=0,"",'IWP26'!E$602)</f>
        <v/>
      </c>
      <c r="D7348" s="211">
        <f>'IWP26'!G$602</f>
        <v>0</v>
      </c>
      <c r="E7348" s="211">
        <f>'IWP26'!H$602</f>
        <v>0</v>
      </c>
      <c r="F7348" s="211">
        <f>'IWP26'!I$602</f>
        <v>0</v>
      </c>
      <c r="G7348" s="191" t="str">
        <f>IF('IWP26'!J$602=0,"",'IWP26'!J$602)</f>
        <v/>
      </c>
      <c r="H7348" s="211">
        <f>'IWP26'!K$602</f>
        <v>0</v>
      </c>
      <c r="I7348" s="211">
        <f>'IWP26'!L$602</f>
        <v>0</v>
      </c>
      <c r="J7348" s="212">
        <f>'IWP26'!M$602</f>
        <v>0</v>
      </c>
      <c r="K7348" s="106"/>
      <c r="L7348" s="106"/>
      <c r="M7348" s="129"/>
    </row>
    <row r="7349" spans="1:13" s="146" customFormat="1">
      <c r="A7349" s="193" t="s">
        <v>524</v>
      </c>
      <c r="B7349" s="210">
        <v>16</v>
      </c>
      <c r="C7349" s="191" t="str">
        <f>IF('IWP26'!E$603=0,"",'IWP26'!E$603)</f>
        <v/>
      </c>
      <c r="D7349" s="211">
        <f>'IWP26'!G$603</f>
        <v>0</v>
      </c>
      <c r="E7349" s="211">
        <f>'IWP26'!H$603</f>
        <v>0</v>
      </c>
      <c r="F7349" s="211">
        <f>'IWP26'!I$603</f>
        <v>0</v>
      </c>
      <c r="G7349" s="191" t="str">
        <f>IF('IWP26'!J$603=0,"",'IWP26'!J$603)</f>
        <v/>
      </c>
      <c r="H7349" s="211">
        <f>'IWP26'!K$603</f>
        <v>0</v>
      </c>
      <c r="I7349" s="211">
        <f>'IWP26'!L$603</f>
        <v>0</v>
      </c>
      <c r="J7349" s="212">
        <f>'IWP26'!M$603</f>
        <v>0</v>
      </c>
      <c r="K7349" s="106"/>
      <c r="L7349" s="106"/>
      <c r="M7349" s="129"/>
    </row>
    <row r="7350" spans="1:13" s="146" customFormat="1">
      <c r="A7350" s="193" t="s">
        <v>524</v>
      </c>
      <c r="B7350" s="210">
        <v>16</v>
      </c>
      <c r="C7350" s="191" t="str">
        <f>IF('IWP26'!E$604=0,"",'IWP26'!E$604)</f>
        <v/>
      </c>
      <c r="D7350" s="211">
        <f>'IWP26'!G$604</f>
        <v>0</v>
      </c>
      <c r="E7350" s="211">
        <f>'IWP26'!H$604</f>
        <v>0</v>
      </c>
      <c r="F7350" s="211">
        <f>'IWP26'!I$604</f>
        <v>0</v>
      </c>
      <c r="G7350" s="191" t="str">
        <f>IF('IWP26'!J$604=0,"",'IWP26'!J$604)</f>
        <v/>
      </c>
      <c r="H7350" s="211">
        <f>'IWP26'!K$604</f>
        <v>0</v>
      </c>
      <c r="I7350" s="211">
        <f>'IWP26'!L$604</f>
        <v>0</v>
      </c>
      <c r="J7350" s="212">
        <f>'IWP26'!M$604</f>
        <v>0</v>
      </c>
      <c r="K7350" s="106"/>
      <c r="L7350" s="106"/>
      <c r="M7350" s="129"/>
    </row>
    <row r="7351" spans="1:13" s="146" customFormat="1">
      <c r="A7351" s="193" t="s">
        <v>524</v>
      </c>
      <c r="B7351" s="210">
        <v>17</v>
      </c>
      <c r="C7351" s="191" t="str">
        <f>IF('IWP26'!E$611=0,"",'IWP26'!E$611)</f>
        <v>Subtotal column D.</v>
      </c>
      <c r="D7351" s="211">
        <f>'IWP26'!G$611</f>
        <v>0</v>
      </c>
      <c r="E7351" s="211">
        <f>'IWP26'!H$611</f>
        <v>0</v>
      </c>
      <c r="F7351" s="211">
        <f>'IWP26'!I$611</f>
        <v>0</v>
      </c>
      <c r="G7351" s="191" t="str">
        <f>IF('IWP26'!J$611=0,"",'IWP26'!J$611)</f>
        <v/>
      </c>
      <c r="H7351" s="211">
        <f>'IWP26'!K$611</f>
        <v>0</v>
      </c>
      <c r="I7351" s="211">
        <f>'IWP26'!L$611</f>
        <v>0</v>
      </c>
      <c r="J7351" s="212">
        <f>'IWP26'!M$611</f>
        <v>0</v>
      </c>
      <c r="K7351" s="106"/>
      <c r="L7351" s="106"/>
      <c r="M7351" s="129"/>
    </row>
    <row r="7352" spans="1:13" s="146" customFormat="1">
      <c r="A7352" s="193" t="s">
        <v>524</v>
      </c>
      <c r="B7352" s="210">
        <v>17</v>
      </c>
      <c r="C7352" s="191" t="str">
        <f>IF('IWP26'!E$612=0,"",'IWP26'!E$612)</f>
        <v>Unverified/Undocumented (Subtotal D - C)</v>
      </c>
      <c r="D7352" s="211">
        <f>'IWP26'!G$612</f>
        <v>0</v>
      </c>
      <c r="E7352" s="211">
        <f>'IWP26'!H$612</f>
        <v>0</v>
      </c>
      <c r="F7352" s="211">
        <f>'IWP26'!I$612</f>
        <v>0</v>
      </c>
      <c r="G7352" s="191" t="str">
        <f>IF('IWP26'!J$612=0,"",'IWP26'!J$612)</f>
        <v/>
      </c>
      <c r="H7352" s="211">
        <f>'IWP26'!K$612</f>
        <v>0</v>
      </c>
      <c r="I7352" s="211">
        <f>'IWP26'!L$612</f>
        <v>0</v>
      </c>
      <c r="J7352" s="212">
        <f>'IWP26'!M$612</f>
        <v>0</v>
      </c>
      <c r="K7352" s="106"/>
      <c r="L7352" s="106"/>
      <c r="M7352" s="129"/>
    </row>
    <row r="7353" spans="1:13" s="146" customFormat="1">
      <c r="A7353" s="193" t="s">
        <v>524</v>
      </c>
      <c r="B7353" s="210">
        <v>17</v>
      </c>
      <c r="C7353" s="191" t="str">
        <f>IF('IWP26'!E$613=0,"",'IWP26'!E$613)</f>
        <v>J. Billing Period Total</v>
      </c>
      <c r="D7353" s="211">
        <f>'IWP26'!G$613</f>
        <v>0</v>
      </c>
      <c r="E7353" s="211">
        <f>'IWP26'!H$613</f>
        <v>0</v>
      </c>
      <c r="F7353" s="211">
        <f>'IWP26'!I$613</f>
        <v>0</v>
      </c>
      <c r="G7353" s="191" t="str">
        <f>IF('IWP26'!J$613=0,"",'IWP26'!J$613)</f>
        <v/>
      </c>
      <c r="H7353" s="211">
        <f>'IWP26'!K$613</f>
        <v>0</v>
      </c>
      <c r="I7353" s="211">
        <f>'IWP26'!L$613</f>
        <v>0</v>
      </c>
      <c r="J7353" s="212">
        <f>'IWP26'!M$613</f>
        <v>0</v>
      </c>
      <c r="K7353" s="106"/>
      <c r="L7353" s="106"/>
      <c r="M7353" s="129"/>
    </row>
    <row r="7354" spans="1:13" s="146" customFormat="1">
      <c r="A7354" s="193" t="s">
        <v>524</v>
      </c>
      <c r="B7354" s="210">
        <v>17</v>
      </c>
      <c r="C7354" s="191" t="str">
        <f>IF('IWP26'!E$614=0,"",'IWP26'!E$614)</f>
        <v/>
      </c>
      <c r="D7354" s="211">
        <f>'IWP26'!G$614</f>
        <v>0</v>
      </c>
      <c r="E7354" s="211">
        <f>'IWP26'!H$614</f>
        <v>0</v>
      </c>
      <c r="F7354" s="211">
        <f>'IWP26'!I$614</f>
        <v>0</v>
      </c>
      <c r="G7354" s="191" t="str">
        <f>IF('IWP26'!J$614=0,"",'IWP26'!J$614)</f>
        <v/>
      </c>
      <c r="H7354" s="211">
        <f>'IWP26'!K$614</f>
        <v>0</v>
      </c>
      <c r="I7354" s="211">
        <f>'IWP26'!L$614</f>
        <v>0</v>
      </c>
      <c r="J7354" s="212">
        <f>'IWP26'!M$614</f>
        <v>0</v>
      </c>
      <c r="K7354" s="106"/>
      <c r="L7354" s="106"/>
      <c r="M7354" s="129"/>
    </row>
    <row r="7355" spans="1:13" s="146" customFormat="1">
      <c r="A7355" s="193" t="s">
        <v>524</v>
      </c>
      <c r="B7355" s="210">
        <v>17</v>
      </c>
      <c r="C7355" s="191" t="str">
        <f>IF('IWP26'!E$615=0,"",'IWP26'!E$615)</f>
        <v/>
      </c>
      <c r="D7355" s="211">
        <f>'IWP26'!G$615</f>
        <v>0</v>
      </c>
      <c r="E7355" s="211">
        <f>'IWP26'!H$615</f>
        <v>0</v>
      </c>
      <c r="F7355" s="211">
        <f>'IWP26'!I$615</f>
        <v>0</v>
      </c>
      <c r="G7355" s="191" t="str">
        <f>IF('IWP26'!J$615=0,"",'IWP26'!J$615)</f>
        <v/>
      </c>
      <c r="H7355" s="211">
        <f>'IWP26'!K$615</f>
        <v>0</v>
      </c>
      <c r="I7355" s="211">
        <f>'IWP26'!L$615</f>
        <v>0</v>
      </c>
      <c r="J7355" s="212">
        <f>'IWP26'!M$615</f>
        <v>0</v>
      </c>
      <c r="K7355" s="106"/>
      <c r="L7355" s="106"/>
      <c r="M7355" s="129"/>
    </row>
    <row r="7356" spans="1:13" s="146" customFormat="1">
      <c r="A7356" s="193" t="s">
        <v>524</v>
      </c>
      <c r="B7356" s="210">
        <v>17</v>
      </c>
      <c r="C7356" s="191" t="str">
        <f>IF('IWP26'!E$616=0,"",'IWP26'!E$616)</f>
        <v/>
      </c>
      <c r="D7356" s="211">
        <f>'IWP26'!G$616</f>
        <v>0</v>
      </c>
      <c r="E7356" s="211">
        <f>'IWP26'!H$616</f>
        <v>0</v>
      </c>
      <c r="F7356" s="211">
        <f>'IWP26'!I$616</f>
        <v>0</v>
      </c>
      <c r="G7356" s="191" t="str">
        <f>IF('IWP26'!J$616=0,"",'IWP26'!J$616)</f>
        <v/>
      </c>
      <c r="H7356" s="211">
        <f>'IWP26'!K$616</f>
        <v>0</v>
      </c>
      <c r="I7356" s="211">
        <f>'IWP26'!L$616</f>
        <v>0</v>
      </c>
      <c r="J7356" s="212">
        <f>'IWP26'!M$616</f>
        <v>0</v>
      </c>
      <c r="K7356" s="106"/>
      <c r="L7356" s="106"/>
      <c r="M7356" s="129"/>
    </row>
    <row r="7357" spans="1:13" s="146" customFormat="1">
      <c r="A7357" s="193" t="s">
        <v>524</v>
      </c>
      <c r="B7357" s="210">
        <v>17</v>
      </c>
      <c r="C7357" s="191" t="str">
        <f>IF('IWP26'!E$617=0,"",'IWP26'!E$617)</f>
        <v/>
      </c>
      <c r="D7357" s="211">
        <f>'IWP26'!G$617</f>
        <v>0</v>
      </c>
      <c r="E7357" s="211">
        <f>'IWP26'!H$617</f>
        <v>0</v>
      </c>
      <c r="F7357" s="211">
        <f>'IWP26'!I$617</f>
        <v>0</v>
      </c>
      <c r="G7357" s="191" t="str">
        <f>IF('IWP26'!J$617=0,"",'IWP26'!J$617)</f>
        <v/>
      </c>
      <c r="H7357" s="211">
        <f>'IWP26'!K$617</f>
        <v>0</v>
      </c>
      <c r="I7357" s="211">
        <f>'IWP26'!L$617</f>
        <v>0</v>
      </c>
      <c r="J7357" s="212">
        <f>'IWP26'!M$617</f>
        <v>0</v>
      </c>
      <c r="K7357" s="106"/>
      <c r="L7357" s="106"/>
      <c r="M7357" s="129"/>
    </row>
    <row r="7358" spans="1:13" s="146" customFormat="1">
      <c r="A7358" s="193" t="s">
        <v>524</v>
      </c>
      <c r="B7358" s="210">
        <v>17</v>
      </c>
      <c r="C7358" s="191" t="str">
        <f>IF('IWP26'!E$618=0,"",'IWP26'!E$618)</f>
        <v/>
      </c>
      <c r="D7358" s="211">
        <f>'IWP26'!G$618</f>
        <v>0</v>
      </c>
      <c r="E7358" s="211">
        <f>'IWP26'!H$618</f>
        <v>0</v>
      </c>
      <c r="F7358" s="211">
        <f>'IWP26'!I$618</f>
        <v>0</v>
      </c>
      <c r="G7358" s="191" t="str">
        <f>IF('IWP26'!J$618=0,"",'IWP26'!J$618)</f>
        <v/>
      </c>
      <c r="H7358" s="211">
        <f>'IWP26'!K$618</f>
        <v>0</v>
      </c>
      <c r="I7358" s="211">
        <f>'IWP26'!L$618</f>
        <v>0</v>
      </c>
      <c r="J7358" s="212">
        <f>'IWP26'!M$618</f>
        <v>0</v>
      </c>
      <c r="K7358" s="106"/>
      <c r="L7358" s="106"/>
      <c r="M7358" s="129"/>
    </row>
    <row r="7359" spans="1:13" s="146" customFormat="1">
      <c r="A7359" s="193" t="s">
        <v>524</v>
      </c>
      <c r="B7359" s="210">
        <v>17</v>
      </c>
      <c r="C7359" s="191" t="str">
        <f>IF('IWP26'!E$619=0,"",'IWP26'!E$619)</f>
        <v/>
      </c>
      <c r="D7359" s="211">
        <f>'IWP26'!G$619</f>
        <v>0</v>
      </c>
      <c r="E7359" s="211">
        <f>'IWP26'!H$619</f>
        <v>0</v>
      </c>
      <c r="F7359" s="211">
        <f>'IWP26'!I$619</f>
        <v>0</v>
      </c>
      <c r="G7359" s="191" t="str">
        <f>IF('IWP26'!J$619=0,"",'IWP26'!J$619)</f>
        <v/>
      </c>
      <c r="H7359" s="211">
        <f>'IWP26'!K$619</f>
        <v>0</v>
      </c>
      <c r="I7359" s="211">
        <f>'IWP26'!L$619</f>
        <v>0</v>
      </c>
      <c r="J7359" s="212">
        <f>'IWP26'!M$619</f>
        <v>0</v>
      </c>
      <c r="K7359" s="106"/>
      <c r="L7359" s="106"/>
      <c r="M7359" s="129"/>
    </row>
    <row r="7360" spans="1:13" s="146" customFormat="1">
      <c r="A7360" s="193" t="s">
        <v>524</v>
      </c>
      <c r="B7360" s="210">
        <v>17</v>
      </c>
      <c r="C7360" s="191" t="str">
        <f>IF('IWP26'!E$620=0,"",'IWP26'!E$620)</f>
        <v/>
      </c>
      <c r="D7360" s="211">
        <f>'IWP26'!G$620</f>
        <v>0</v>
      </c>
      <c r="E7360" s="211">
        <f>'IWP26'!H$620</f>
        <v>0</v>
      </c>
      <c r="F7360" s="211">
        <f>'IWP26'!I$620</f>
        <v>0</v>
      </c>
      <c r="G7360" s="191" t="str">
        <f>IF('IWP26'!J$620=0,"",'IWP26'!J$620)</f>
        <v/>
      </c>
      <c r="H7360" s="211">
        <f>'IWP26'!K$620</f>
        <v>0</v>
      </c>
      <c r="I7360" s="211">
        <f>'IWP26'!L$620</f>
        <v>0</v>
      </c>
      <c r="J7360" s="212">
        <f>'IWP26'!M$620</f>
        <v>0</v>
      </c>
      <c r="K7360" s="106"/>
      <c r="L7360" s="106"/>
      <c r="M7360" s="129"/>
    </row>
    <row r="7361" spans="1:13" s="146" customFormat="1">
      <c r="A7361" s="193" t="s">
        <v>524</v>
      </c>
      <c r="B7361" s="210">
        <v>18</v>
      </c>
      <c r="C7361" s="191" t="str">
        <f>IF('IWP26'!E$627=0,"",'IWP26'!E$627)</f>
        <v/>
      </c>
      <c r="D7361" s="211">
        <f>'IWP26'!G$627</f>
        <v>0</v>
      </c>
      <c r="E7361" s="211">
        <f>'IWP26'!H$627</f>
        <v>0</v>
      </c>
      <c r="F7361" s="211">
        <f>'IWP26'!I$627</f>
        <v>0</v>
      </c>
      <c r="G7361" s="191" t="str">
        <f>IF('IWP26'!J$627=0,"",'IWP26'!J$627)</f>
        <v/>
      </c>
      <c r="H7361" s="211">
        <f>'IWP26'!K$627</f>
        <v>0</v>
      </c>
      <c r="I7361" s="211">
        <f>'IWP26'!L$627</f>
        <v>0</v>
      </c>
      <c r="J7361" s="212">
        <f>'IWP26'!M$627</f>
        <v>0</v>
      </c>
      <c r="K7361" s="106"/>
      <c r="L7361" s="106"/>
      <c r="M7361" s="129"/>
    </row>
    <row r="7362" spans="1:13" s="146" customFormat="1">
      <c r="A7362" s="193" t="s">
        <v>524</v>
      </c>
      <c r="B7362" s="210">
        <v>18</v>
      </c>
      <c r="C7362" s="191" t="str">
        <f>IF('IWP26'!E$628=0,"",'IWP26'!E$628)</f>
        <v/>
      </c>
      <c r="D7362" s="211">
        <f>'IWP26'!G$628</f>
        <v>0</v>
      </c>
      <c r="E7362" s="211">
        <f>'IWP26'!H$628</f>
        <v>0</v>
      </c>
      <c r="F7362" s="211">
        <f>'IWP26'!I$628</f>
        <v>0</v>
      </c>
      <c r="G7362" s="191" t="str">
        <f>IF('IWP26'!J$628=0,"",'IWP26'!J$628)</f>
        <v/>
      </c>
      <c r="H7362" s="211">
        <f>'IWP26'!K$628</f>
        <v>0</v>
      </c>
      <c r="I7362" s="211">
        <f>'IWP26'!L$628</f>
        <v>0</v>
      </c>
      <c r="J7362" s="212">
        <f>'IWP26'!M$628</f>
        <v>0</v>
      </c>
      <c r="K7362" s="106"/>
      <c r="L7362" s="106"/>
      <c r="M7362" s="129"/>
    </row>
    <row r="7363" spans="1:13" s="146" customFormat="1">
      <c r="A7363" s="193" t="s">
        <v>524</v>
      </c>
      <c r="B7363" s="210">
        <v>18</v>
      </c>
      <c r="C7363" s="191" t="str">
        <f>IF('IWP26'!E$629=0,"",'IWP26'!E$629)</f>
        <v/>
      </c>
      <c r="D7363" s="211">
        <f>'IWP26'!G$629</f>
        <v>0</v>
      </c>
      <c r="E7363" s="211">
        <f>'IWP26'!H$629</f>
        <v>0</v>
      </c>
      <c r="F7363" s="211">
        <f>'IWP26'!I$629</f>
        <v>0</v>
      </c>
      <c r="G7363" s="191" t="str">
        <f>IF('IWP26'!J$629=0,"",'IWP26'!J$629)</f>
        <v/>
      </c>
      <c r="H7363" s="211">
        <f>'IWP26'!K$629</f>
        <v>0</v>
      </c>
      <c r="I7363" s="211">
        <f>'IWP26'!L$629</f>
        <v>0</v>
      </c>
      <c r="J7363" s="212">
        <f>'IWP26'!M$629</f>
        <v>0</v>
      </c>
      <c r="K7363" s="106"/>
      <c r="L7363" s="106"/>
      <c r="M7363" s="129"/>
    </row>
    <row r="7364" spans="1:13" s="146" customFormat="1">
      <c r="A7364" s="193" t="s">
        <v>524</v>
      </c>
      <c r="B7364" s="210">
        <v>18</v>
      </c>
      <c r="C7364" s="191" t="str">
        <f>IF('IWP26'!E$630=0,"",'IWP26'!E$630)</f>
        <v/>
      </c>
      <c r="D7364" s="211">
        <f>'IWP26'!G$630</f>
        <v>0</v>
      </c>
      <c r="E7364" s="211">
        <f>'IWP26'!H$630</f>
        <v>0</v>
      </c>
      <c r="F7364" s="211">
        <f>'IWP26'!I$630</f>
        <v>0</v>
      </c>
      <c r="G7364" s="191" t="str">
        <f>IF('IWP26'!J$630=0,"",'IWP26'!J$630)</f>
        <v/>
      </c>
      <c r="H7364" s="211">
        <f>'IWP26'!K$630</f>
        <v>0</v>
      </c>
      <c r="I7364" s="211">
        <f>'IWP26'!L$630</f>
        <v>0</v>
      </c>
      <c r="J7364" s="212">
        <f>'IWP26'!M$630</f>
        <v>0</v>
      </c>
      <c r="K7364" s="106"/>
      <c r="L7364" s="106"/>
      <c r="M7364" s="129"/>
    </row>
    <row r="7365" spans="1:13" s="146" customFormat="1">
      <c r="A7365" s="193" t="s">
        <v>524</v>
      </c>
      <c r="B7365" s="210">
        <v>18</v>
      </c>
      <c r="C7365" s="191" t="str">
        <f>IF('IWP26'!E$631=0,"",'IWP26'!E$631)</f>
        <v/>
      </c>
      <c r="D7365" s="211">
        <f>'IWP26'!G$631</f>
        <v>0</v>
      </c>
      <c r="E7365" s="211">
        <f>'IWP26'!H$631</f>
        <v>0</v>
      </c>
      <c r="F7365" s="211">
        <f>'IWP26'!I$631</f>
        <v>0</v>
      </c>
      <c r="G7365" s="191" t="str">
        <f>IF('IWP26'!J$631=0,"",'IWP26'!J$631)</f>
        <v/>
      </c>
      <c r="H7365" s="211">
        <f>'IWP26'!K$631</f>
        <v>0</v>
      </c>
      <c r="I7365" s="211">
        <f>'IWP26'!L$631</f>
        <v>0</v>
      </c>
      <c r="J7365" s="212">
        <f>'IWP26'!M$631</f>
        <v>0</v>
      </c>
      <c r="K7365" s="106"/>
      <c r="L7365" s="106"/>
      <c r="M7365" s="129"/>
    </row>
    <row r="7366" spans="1:13" s="146" customFormat="1">
      <c r="A7366" s="193" t="s">
        <v>524</v>
      </c>
      <c r="B7366" s="210">
        <v>18</v>
      </c>
      <c r="C7366" s="191" t="str">
        <f>IF('IWP26'!E$632=0,"",'IWP26'!E$632)</f>
        <v/>
      </c>
      <c r="D7366" s="211">
        <f>'IWP26'!G$632</f>
        <v>0</v>
      </c>
      <c r="E7366" s="211">
        <f>'IWP26'!H$632</f>
        <v>0</v>
      </c>
      <c r="F7366" s="211">
        <f>'IWP26'!I$632</f>
        <v>0</v>
      </c>
      <c r="G7366" s="191" t="str">
        <f>IF('IWP26'!J$632=0,"",'IWP26'!J$632)</f>
        <v/>
      </c>
      <c r="H7366" s="211">
        <f>'IWP26'!K$632</f>
        <v>0</v>
      </c>
      <c r="I7366" s="211">
        <f>'IWP26'!L$632</f>
        <v>0</v>
      </c>
      <c r="J7366" s="212">
        <f>'IWP26'!M$632</f>
        <v>0</v>
      </c>
      <c r="K7366" s="106"/>
      <c r="L7366" s="106"/>
      <c r="M7366" s="129"/>
    </row>
    <row r="7367" spans="1:13" s="146" customFormat="1">
      <c r="A7367" s="193" t="s">
        <v>524</v>
      </c>
      <c r="B7367" s="210">
        <v>18</v>
      </c>
      <c r="C7367" s="191" t="str">
        <f>IF('IWP26'!E$633=0,"",'IWP26'!E$633)</f>
        <v/>
      </c>
      <c r="D7367" s="211">
        <f>'IWP26'!G$633</f>
        <v>0</v>
      </c>
      <c r="E7367" s="211">
        <f>'IWP26'!H$633</f>
        <v>0</v>
      </c>
      <c r="F7367" s="211">
        <f>'IWP26'!I$633</f>
        <v>0</v>
      </c>
      <c r="G7367" s="191" t="str">
        <f>IF('IWP26'!J$633=0,"",'IWP26'!J$633)</f>
        <v/>
      </c>
      <c r="H7367" s="211">
        <f>'IWP26'!K$633</f>
        <v>0</v>
      </c>
      <c r="I7367" s="211">
        <f>'IWP26'!L$633</f>
        <v>0</v>
      </c>
      <c r="J7367" s="212">
        <f>'IWP26'!M$633</f>
        <v>0</v>
      </c>
      <c r="K7367" s="106"/>
      <c r="L7367" s="106"/>
      <c r="M7367" s="129"/>
    </row>
    <row r="7368" spans="1:13" s="146" customFormat="1">
      <c r="A7368" s="193" t="s">
        <v>524</v>
      </c>
      <c r="B7368" s="210">
        <v>18</v>
      </c>
      <c r="C7368" s="191" t="str">
        <f>IF('IWP26'!E$634=0,"",'IWP26'!E$634)</f>
        <v/>
      </c>
      <c r="D7368" s="211">
        <f>'IWP26'!G$634</f>
        <v>0</v>
      </c>
      <c r="E7368" s="211">
        <f>'IWP26'!H$634</f>
        <v>0</v>
      </c>
      <c r="F7368" s="211">
        <f>'IWP26'!I$634</f>
        <v>0</v>
      </c>
      <c r="G7368" s="191" t="str">
        <f>IF('IWP26'!J$634=0,"",'IWP26'!J$634)</f>
        <v/>
      </c>
      <c r="H7368" s="211">
        <f>'IWP26'!K$634</f>
        <v>0</v>
      </c>
      <c r="I7368" s="211">
        <f>'IWP26'!L$634</f>
        <v>0</v>
      </c>
      <c r="J7368" s="212">
        <f>'IWP26'!M$634</f>
        <v>0</v>
      </c>
      <c r="K7368" s="106"/>
      <c r="L7368" s="106"/>
      <c r="M7368" s="129"/>
    </row>
    <row r="7369" spans="1:13" s="146" customFormat="1">
      <c r="A7369" s="193" t="s">
        <v>524</v>
      </c>
      <c r="B7369" s="210">
        <v>18</v>
      </c>
      <c r="C7369" s="191" t="str">
        <f>IF('IWP26'!E$635=0,"",'IWP26'!E$635)</f>
        <v/>
      </c>
      <c r="D7369" s="211">
        <f>'IWP26'!G$635</f>
        <v>0</v>
      </c>
      <c r="E7369" s="211">
        <f>'IWP26'!H$635</f>
        <v>0</v>
      </c>
      <c r="F7369" s="211">
        <f>'IWP26'!I$635</f>
        <v>0</v>
      </c>
      <c r="G7369" s="191" t="str">
        <f>IF('IWP26'!J$635=0,"",'IWP26'!J$635)</f>
        <v/>
      </c>
      <c r="H7369" s="211">
        <f>'IWP26'!K$635</f>
        <v>0</v>
      </c>
      <c r="I7369" s="211">
        <f>'IWP26'!L$635</f>
        <v>0</v>
      </c>
      <c r="J7369" s="212">
        <f>'IWP26'!M$635</f>
        <v>0</v>
      </c>
      <c r="K7369" s="106"/>
      <c r="L7369" s="106"/>
      <c r="M7369" s="129"/>
    </row>
    <row r="7370" spans="1:13" s="146" customFormat="1">
      <c r="A7370" s="193" t="s">
        <v>524</v>
      </c>
      <c r="B7370" s="210">
        <v>18</v>
      </c>
      <c r="C7370" s="191" t="str">
        <f>IF('IWP26'!E$636=0,"",'IWP26'!E$636)</f>
        <v/>
      </c>
      <c r="D7370" s="211">
        <f>'IWP26'!G$636</f>
        <v>0</v>
      </c>
      <c r="E7370" s="211">
        <f>'IWP26'!H$636</f>
        <v>0</v>
      </c>
      <c r="F7370" s="211">
        <f>'IWP26'!I$636</f>
        <v>0</v>
      </c>
      <c r="G7370" s="191" t="str">
        <f>IF('IWP26'!J$636=0,"",'IWP26'!J$636)</f>
        <v/>
      </c>
      <c r="H7370" s="211">
        <f>'IWP26'!K$636</f>
        <v>0</v>
      </c>
      <c r="I7370" s="211">
        <f>'IWP26'!L$636</f>
        <v>0</v>
      </c>
      <c r="J7370" s="212">
        <f>'IWP26'!M$636</f>
        <v>0</v>
      </c>
      <c r="K7370" s="106"/>
      <c r="L7370" s="106"/>
      <c r="M7370" s="129"/>
    </row>
    <row r="7371" spans="1:13" s="146" customFormat="1">
      <c r="A7371" s="193" t="s">
        <v>525</v>
      </c>
      <c r="B7371" s="210">
        <v>1</v>
      </c>
      <c r="C7371" s="191" t="str">
        <f>IF('IWP27'!E$355=0,"",'IWP27'!E$355)</f>
        <v>Subtotal column D.</v>
      </c>
      <c r="D7371" s="211">
        <f>'IWP27'!G$355</f>
        <v>0</v>
      </c>
      <c r="E7371" s="211">
        <f>'IWP27'!H$355</f>
        <v>0</v>
      </c>
      <c r="F7371" s="211">
        <f>'IWP27'!I$355</f>
        <v>0</v>
      </c>
      <c r="G7371" s="191" t="str">
        <f>IF('IWP27'!J$355=0,"",'IWP27'!J$355)</f>
        <v/>
      </c>
      <c r="H7371" s="211">
        <f>'IWP27'!K$355</f>
        <v>0</v>
      </c>
      <c r="I7371" s="211">
        <f>'IWP27'!L$355</f>
        <v>0</v>
      </c>
      <c r="J7371" s="212">
        <f>'IWP27'!M$355</f>
        <v>0</v>
      </c>
      <c r="K7371" s="106"/>
      <c r="L7371" s="106"/>
      <c r="M7371" s="129"/>
    </row>
    <row r="7372" spans="1:13" s="146" customFormat="1">
      <c r="A7372" s="193" t="s">
        <v>525</v>
      </c>
      <c r="B7372" s="210">
        <v>1</v>
      </c>
      <c r="C7372" s="191" t="str">
        <f>IF('IWP27'!E$356=0,"",'IWP27'!E$356)</f>
        <v>Unverified/Undocumented (Subtotall D - C)</v>
      </c>
      <c r="D7372" s="211">
        <f>'IWP27'!G$356</f>
        <v>0</v>
      </c>
      <c r="E7372" s="211">
        <f>'IWP27'!H$356</f>
        <v>0</v>
      </c>
      <c r="F7372" s="211">
        <f>'IWP27'!I$356</f>
        <v>0</v>
      </c>
      <c r="G7372" s="191" t="str">
        <f>IF('IWP27'!J$356=0,"",'IWP27'!J$356)</f>
        <v/>
      </c>
      <c r="H7372" s="211">
        <f>'IWP27'!K$356</f>
        <v>0</v>
      </c>
      <c r="I7372" s="211">
        <f>'IWP27'!L$356</f>
        <v>0</v>
      </c>
      <c r="J7372" s="212">
        <f>'IWP27'!M$356</f>
        <v>0</v>
      </c>
      <c r="K7372" s="106"/>
      <c r="L7372" s="106"/>
      <c r="M7372" s="129"/>
    </row>
    <row r="7373" spans="1:13" s="146" customFormat="1">
      <c r="A7373" s="193" t="s">
        <v>525</v>
      </c>
      <c r="B7373" s="210">
        <v>1</v>
      </c>
      <c r="C7373" s="191" t="str">
        <f>IF('IWP27'!E$357=0,"",'IWP27'!E$357)</f>
        <v>J. Billing Period Total</v>
      </c>
      <c r="D7373" s="211">
        <f>'IWP27'!G$357</f>
        <v>0</v>
      </c>
      <c r="E7373" s="211">
        <f>'IWP27'!H$357</f>
        <v>0</v>
      </c>
      <c r="F7373" s="211">
        <f>'IWP27'!I$357</f>
        <v>0</v>
      </c>
      <c r="G7373" s="191" t="str">
        <f>IF('IWP27'!J$357=0,"",'IWP27'!J$357)</f>
        <v/>
      </c>
      <c r="H7373" s="211">
        <f>'IWP27'!K$357</f>
        <v>0</v>
      </c>
      <c r="I7373" s="211">
        <f>'IWP27'!L$357</f>
        <v>0</v>
      </c>
      <c r="J7373" s="212">
        <f>'IWP27'!M$357</f>
        <v>0</v>
      </c>
      <c r="K7373" s="106"/>
      <c r="L7373" s="106"/>
      <c r="M7373" s="129"/>
    </row>
    <row r="7374" spans="1:13" s="146" customFormat="1">
      <c r="A7374" s="193" t="s">
        <v>525</v>
      </c>
      <c r="B7374" s="210">
        <v>1</v>
      </c>
      <c r="C7374" s="191" t="str">
        <f>IF('IWP27'!E$358=0,"",'IWP27'!E$358)</f>
        <v>D.</v>
      </c>
      <c r="D7374" s="211">
        <f>'IWP27'!G$358</f>
        <v>0</v>
      </c>
      <c r="E7374" s="211" t="str">
        <f>'IWP27'!H$358</f>
        <v>E.</v>
      </c>
      <c r="F7374" s="211" t="str">
        <f>'IWP27'!I$358</f>
        <v>F.</v>
      </c>
      <c r="G7374" s="191" t="str">
        <f>IF('IWP27'!J$358=0,"",'IWP27'!J$358)</f>
        <v>G.</v>
      </c>
      <c r="H7374" s="211">
        <f>'IWP27'!K$358</f>
        <v>0</v>
      </c>
      <c r="I7374" s="211" t="str">
        <f>'IWP27'!L$358</f>
        <v>H.</v>
      </c>
      <c r="J7374" s="212" t="str">
        <f>'IWP27'!M$358</f>
        <v>I.</v>
      </c>
      <c r="K7374" s="106"/>
      <c r="L7374" s="106"/>
      <c r="M7374" s="129"/>
    </row>
    <row r="7375" spans="1:13" s="146" customFormat="1">
      <c r="A7375" s="193" t="s">
        <v>525</v>
      </c>
      <c r="B7375" s="210">
        <v>1</v>
      </c>
      <c r="C7375" s="191" t="str">
        <f>IF('IWP27'!E$359=0,"",'IWP27'!E$359)</f>
        <v xml:space="preserve">Items/Services Related to Billing Period </v>
      </c>
      <c r="D7375" s="211">
        <f>'IWP27'!G$359</f>
        <v>0</v>
      </c>
      <c r="E7375" s="211" t="str">
        <f>'IWP27'!H$359</f>
        <v xml:space="preserve">Item/
Service Verified Amounts
</v>
      </c>
      <c r="F7375" s="211" t="str">
        <f>'IWP27'!I$359</f>
        <v>Amount Due to DADS (E. - D.)</v>
      </c>
      <c r="G7375" s="191" t="str">
        <f>IF('IWP27'!J$359=0,"",'IWP27'!J$359)</f>
        <v>Amount Reimbursed to 
Employee(s)/Employer</v>
      </c>
      <c r="H7375" s="211">
        <f>'IWP27'!K$359</f>
        <v>0</v>
      </c>
      <c r="I7375" s="211" t="str">
        <f>'IWP27'!L$359</f>
        <v>Amount Due to Employee(s) (G. - E.)</v>
      </c>
      <c r="J7375" s="212" t="str">
        <f>'IWP27'!M$359</f>
        <v>Amount Due to Employer (G. - E.)</v>
      </c>
      <c r="K7375" s="106"/>
      <c r="L7375" s="106"/>
      <c r="M7375" s="129"/>
    </row>
    <row r="7376" spans="1:13" s="146" customFormat="1">
      <c r="A7376" s="193" t="s">
        <v>525</v>
      </c>
      <c r="B7376" s="210">
        <v>1</v>
      </c>
      <c r="C7376" s="191" t="str">
        <f>IF('IWP27'!E$360=0,"",'IWP27'!E$360)</f>
        <v>Item/Service</v>
      </c>
      <c r="D7376" s="211" t="str">
        <f>'IWP27'!G$360</f>
        <v>Itemized Amount Paid by DADS</v>
      </c>
      <c r="E7376" s="211">
        <f>'IWP27'!H$360</f>
        <v>0</v>
      </c>
      <c r="F7376" s="211">
        <f>'IWP27'!I$360</f>
        <v>0</v>
      </c>
      <c r="G7376" s="191" t="str">
        <f>IF('IWP27'!J$360=0,"",'IWP27'!J$360)</f>
        <v/>
      </c>
      <c r="H7376" s="211">
        <f>'IWP27'!K$360</f>
        <v>0</v>
      </c>
      <c r="I7376" s="211">
        <f>'IWP27'!L$360</f>
        <v>0</v>
      </c>
      <c r="J7376" s="212">
        <f>'IWP27'!M$360</f>
        <v>0</v>
      </c>
      <c r="K7376" s="106"/>
      <c r="L7376" s="106"/>
      <c r="M7376" s="129"/>
    </row>
    <row r="7377" spans="1:13" s="146" customFormat="1">
      <c r="A7377" s="193" t="s">
        <v>525</v>
      </c>
      <c r="B7377" s="210">
        <v>1</v>
      </c>
      <c r="C7377" s="191" t="str">
        <f>IF('IWP27'!E$361=0,"",'IWP27'!E$361)</f>
        <v/>
      </c>
      <c r="D7377" s="211">
        <f>'IWP27'!G$361</f>
        <v>0</v>
      </c>
      <c r="E7377" s="211">
        <f>'IWP27'!H$361</f>
        <v>0</v>
      </c>
      <c r="F7377" s="211">
        <f>'IWP27'!I$361</f>
        <v>0</v>
      </c>
      <c r="G7377" s="191" t="str">
        <f>IF('IWP27'!J$361=0,"",'IWP27'!J$361)</f>
        <v/>
      </c>
      <c r="H7377" s="211">
        <f>'IWP27'!K$361</f>
        <v>0</v>
      </c>
      <c r="I7377" s="211">
        <f>'IWP27'!L$361</f>
        <v>0</v>
      </c>
      <c r="J7377" s="212">
        <f>'IWP27'!M$361</f>
        <v>0</v>
      </c>
      <c r="K7377" s="106"/>
      <c r="L7377" s="106"/>
      <c r="M7377" s="129"/>
    </row>
    <row r="7378" spans="1:13" s="146" customFormat="1">
      <c r="A7378" s="193" t="s">
        <v>525</v>
      </c>
      <c r="B7378" s="210">
        <v>1</v>
      </c>
      <c r="C7378" s="191" t="str">
        <f>IF('IWP27'!E$362=0,"",'IWP27'!E$362)</f>
        <v/>
      </c>
      <c r="D7378" s="211">
        <f>'IWP27'!G$362</f>
        <v>0</v>
      </c>
      <c r="E7378" s="211">
        <f>'IWP27'!H$362</f>
        <v>0</v>
      </c>
      <c r="F7378" s="211">
        <f>'IWP27'!I$362</f>
        <v>0</v>
      </c>
      <c r="G7378" s="191" t="str">
        <f>IF('IWP27'!J$362=0,"",'IWP27'!J$362)</f>
        <v/>
      </c>
      <c r="H7378" s="211">
        <f>'IWP27'!K$362</f>
        <v>0</v>
      </c>
      <c r="I7378" s="211">
        <f>'IWP27'!L$362</f>
        <v>0</v>
      </c>
      <c r="J7378" s="212">
        <f>'IWP27'!M$362</f>
        <v>0</v>
      </c>
      <c r="K7378" s="106"/>
      <c r="L7378" s="106"/>
      <c r="M7378" s="129"/>
    </row>
    <row r="7379" spans="1:13" s="146" customFormat="1">
      <c r="A7379" s="193" t="s">
        <v>525</v>
      </c>
      <c r="B7379" s="210">
        <v>1</v>
      </c>
      <c r="C7379" s="191" t="str">
        <f>IF('IWP27'!E$363=0,"",'IWP27'!E$363)</f>
        <v/>
      </c>
      <c r="D7379" s="211">
        <f>'IWP27'!G$363</f>
        <v>0</v>
      </c>
      <c r="E7379" s="211">
        <f>'IWP27'!H$363</f>
        <v>0</v>
      </c>
      <c r="F7379" s="211">
        <f>'IWP27'!I$363</f>
        <v>0</v>
      </c>
      <c r="G7379" s="191" t="str">
        <f>IF('IWP27'!J$363=0,"",'IWP27'!J$363)</f>
        <v/>
      </c>
      <c r="H7379" s="211">
        <f>'IWP27'!K$363</f>
        <v>0</v>
      </c>
      <c r="I7379" s="211">
        <f>'IWP27'!L$363</f>
        <v>0</v>
      </c>
      <c r="J7379" s="212">
        <f>'IWP27'!M$363</f>
        <v>0</v>
      </c>
      <c r="K7379" s="106"/>
      <c r="L7379" s="106"/>
      <c r="M7379" s="129"/>
    </row>
    <row r="7380" spans="1:13" s="146" customFormat="1">
      <c r="A7380" s="193" t="s">
        <v>525</v>
      </c>
      <c r="B7380" s="210">
        <v>1</v>
      </c>
      <c r="C7380" s="191" t="str">
        <f>IF('IWP27'!E$364=0,"",'IWP27'!E$364)</f>
        <v/>
      </c>
      <c r="D7380" s="211">
        <f>'IWP27'!G$364</f>
        <v>0</v>
      </c>
      <c r="E7380" s="211">
        <f>'IWP27'!H$364</f>
        <v>0</v>
      </c>
      <c r="F7380" s="211">
        <f>'IWP27'!I$364</f>
        <v>0</v>
      </c>
      <c r="G7380" s="191" t="str">
        <f>IF('IWP27'!J$364=0,"",'IWP27'!J$364)</f>
        <v/>
      </c>
      <c r="H7380" s="211">
        <f>'IWP27'!K$364</f>
        <v>0</v>
      </c>
      <c r="I7380" s="211">
        <f>'IWP27'!L$364</f>
        <v>0</v>
      </c>
      <c r="J7380" s="212">
        <f>'IWP27'!M$364</f>
        <v>0</v>
      </c>
      <c r="K7380" s="106"/>
      <c r="L7380" s="106"/>
      <c r="M7380" s="129"/>
    </row>
    <row r="7381" spans="1:13" s="146" customFormat="1">
      <c r="A7381" s="193" t="s">
        <v>525</v>
      </c>
      <c r="B7381" s="210">
        <v>2</v>
      </c>
      <c r="C7381" s="191" t="str">
        <f>IF('IWP27'!E$371=0,"",'IWP27'!E$371)</f>
        <v>Subtotal column D.</v>
      </c>
      <c r="D7381" s="211">
        <f>'IWP27'!G$371</f>
        <v>0</v>
      </c>
      <c r="E7381" s="211">
        <f>'IWP27'!H$371</f>
        <v>0</v>
      </c>
      <c r="F7381" s="211">
        <f>'IWP27'!I$371</f>
        <v>0</v>
      </c>
      <c r="G7381" s="191" t="str">
        <f>IF('IWP27'!J$371=0,"",'IWP27'!J$371)</f>
        <v/>
      </c>
      <c r="H7381" s="211">
        <f>'IWP27'!K$371</f>
        <v>0</v>
      </c>
      <c r="I7381" s="211">
        <f>'IWP27'!L$371</f>
        <v>0</v>
      </c>
      <c r="J7381" s="212">
        <f>'IWP27'!M$371</f>
        <v>0</v>
      </c>
      <c r="K7381" s="106"/>
      <c r="L7381" s="106"/>
      <c r="M7381" s="129"/>
    </row>
    <row r="7382" spans="1:13" s="146" customFormat="1">
      <c r="A7382" s="193" t="s">
        <v>525</v>
      </c>
      <c r="B7382" s="210">
        <v>2</v>
      </c>
      <c r="C7382" s="191" t="str">
        <f>IF('IWP27'!E$372=0,"",'IWP27'!E$372)</f>
        <v>Unverified/Undocumented (Subtotal D - C)</v>
      </c>
      <c r="D7382" s="211">
        <f>'IWP27'!G$372</f>
        <v>0</v>
      </c>
      <c r="E7382" s="211">
        <f>'IWP27'!H$372</f>
        <v>0</v>
      </c>
      <c r="F7382" s="211">
        <f>'IWP27'!I$372</f>
        <v>0</v>
      </c>
      <c r="G7382" s="191" t="str">
        <f>IF('IWP27'!J$372=0,"",'IWP27'!J$372)</f>
        <v/>
      </c>
      <c r="H7382" s="211">
        <f>'IWP27'!K$372</f>
        <v>0</v>
      </c>
      <c r="I7382" s="211">
        <f>'IWP27'!L$372</f>
        <v>0</v>
      </c>
      <c r="J7382" s="212">
        <f>'IWP27'!M$372</f>
        <v>0</v>
      </c>
      <c r="K7382" s="106"/>
      <c r="L7382" s="106"/>
      <c r="M7382" s="129"/>
    </row>
    <row r="7383" spans="1:13" s="146" customFormat="1">
      <c r="A7383" s="193" t="s">
        <v>525</v>
      </c>
      <c r="B7383" s="210">
        <v>2</v>
      </c>
      <c r="C7383" s="191" t="str">
        <f>IF('IWP27'!E$373=0,"",'IWP27'!E$373)</f>
        <v>J. Billing Period Total</v>
      </c>
      <c r="D7383" s="211">
        <f>'IWP27'!G$373</f>
        <v>0</v>
      </c>
      <c r="E7383" s="211">
        <f>'IWP27'!H$373</f>
        <v>0</v>
      </c>
      <c r="F7383" s="211">
        <f>'IWP27'!I$373</f>
        <v>0</v>
      </c>
      <c r="G7383" s="191" t="str">
        <f>IF('IWP27'!J$373=0,"",'IWP27'!J$373)</f>
        <v/>
      </c>
      <c r="H7383" s="211">
        <f>'IWP27'!K$373</f>
        <v>0</v>
      </c>
      <c r="I7383" s="211">
        <f>'IWP27'!L$373</f>
        <v>0</v>
      </c>
      <c r="J7383" s="212">
        <f>'IWP27'!M$373</f>
        <v>0</v>
      </c>
      <c r="K7383" s="106"/>
      <c r="L7383" s="106"/>
      <c r="M7383" s="129"/>
    </row>
    <row r="7384" spans="1:13" s="146" customFormat="1">
      <c r="A7384" s="193" t="s">
        <v>525</v>
      </c>
      <c r="B7384" s="210">
        <v>2</v>
      </c>
      <c r="C7384" s="191" t="str">
        <f>IF('IWP27'!E$374=0,"",'IWP27'!E$374)</f>
        <v>D.</v>
      </c>
      <c r="D7384" s="211">
        <f>'IWP27'!G$374</f>
        <v>0</v>
      </c>
      <c r="E7384" s="211" t="str">
        <f>'IWP27'!H$374</f>
        <v>E.</v>
      </c>
      <c r="F7384" s="211" t="str">
        <f>'IWP27'!I$374</f>
        <v>F.</v>
      </c>
      <c r="G7384" s="191" t="str">
        <f>IF('IWP27'!J$374=0,"",'IWP27'!J$374)</f>
        <v>G.</v>
      </c>
      <c r="H7384" s="211">
        <f>'IWP27'!K$374</f>
        <v>0</v>
      </c>
      <c r="I7384" s="211" t="str">
        <f>'IWP27'!L$374</f>
        <v>H.</v>
      </c>
      <c r="J7384" s="212" t="str">
        <f>'IWP27'!M$374</f>
        <v>I.</v>
      </c>
      <c r="K7384" s="106"/>
      <c r="L7384" s="106"/>
      <c r="M7384" s="129"/>
    </row>
    <row r="7385" spans="1:13" s="146" customFormat="1">
      <c r="A7385" s="193" t="s">
        <v>525</v>
      </c>
      <c r="B7385" s="210">
        <v>2</v>
      </c>
      <c r="C7385" s="191" t="str">
        <f>IF('IWP27'!E$375=0,"",'IWP27'!E$375)</f>
        <v xml:space="preserve">Items/Services Related to Billing Period </v>
      </c>
      <c r="D7385" s="211">
        <f>'IWP27'!G$375</f>
        <v>0</v>
      </c>
      <c r="E7385" s="211" t="str">
        <f>'IWP27'!H$375</f>
        <v xml:space="preserve">Item/
Service Verified Amounts
</v>
      </c>
      <c r="F7385" s="211" t="str">
        <f>'IWP27'!I$375</f>
        <v>Amount Due to DADS (E. - D.)</v>
      </c>
      <c r="G7385" s="191" t="str">
        <f>IF('IWP27'!J$375=0,"",'IWP27'!J$375)</f>
        <v>Amount Reimbursed to 
Employee(s)/Employer</v>
      </c>
      <c r="H7385" s="211">
        <f>'IWP27'!K$375</f>
        <v>0</v>
      </c>
      <c r="I7385" s="211" t="str">
        <f>'IWP27'!L$375</f>
        <v>Amount Due to Employee(s) (G. - E.)</v>
      </c>
      <c r="J7385" s="212" t="str">
        <f>'IWP27'!M$375</f>
        <v>Amount Due to Employer (G. - E.)</v>
      </c>
      <c r="K7385" s="106"/>
      <c r="L7385" s="106"/>
      <c r="M7385" s="129"/>
    </row>
    <row r="7386" spans="1:13" s="146" customFormat="1">
      <c r="A7386" s="193" t="s">
        <v>525</v>
      </c>
      <c r="B7386" s="210">
        <v>2</v>
      </c>
      <c r="C7386" s="191" t="str">
        <f>IF('IWP27'!E$376=0,"",'IWP27'!E$376)</f>
        <v>Item/Service</v>
      </c>
      <c r="D7386" s="211" t="str">
        <f>'IWP27'!G$376</f>
        <v>Itemized Amount Paid by DADS</v>
      </c>
      <c r="E7386" s="211">
        <f>'IWP27'!H$376</f>
        <v>0</v>
      </c>
      <c r="F7386" s="211">
        <f>'IWP27'!I$376</f>
        <v>0</v>
      </c>
      <c r="G7386" s="191" t="str">
        <f>IF('IWP27'!J$376=0,"",'IWP27'!J$376)</f>
        <v/>
      </c>
      <c r="H7386" s="211">
        <f>'IWP27'!K$376</f>
        <v>0</v>
      </c>
      <c r="I7386" s="211">
        <f>'IWP27'!L$376</f>
        <v>0</v>
      </c>
      <c r="J7386" s="212">
        <f>'IWP27'!M$376</f>
        <v>0</v>
      </c>
      <c r="K7386" s="106"/>
      <c r="L7386" s="106"/>
      <c r="M7386" s="129"/>
    </row>
    <row r="7387" spans="1:13" s="146" customFormat="1">
      <c r="A7387" s="193" t="s">
        <v>525</v>
      </c>
      <c r="B7387" s="210">
        <v>2</v>
      </c>
      <c r="C7387" s="191" t="str">
        <f>IF('IWP27'!E$377=0,"",'IWP27'!E$377)</f>
        <v/>
      </c>
      <c r="D7387" s="211">
        <f>'IWP27'!G$377</f>
        <v>0</v>
      </c>
      <c r="E7387" s="211">
        <f>'IWP27'!H$377</f>
        <v>0</v>
      </c>
      <c r="F7387" s="211">
        <f>'IWP27'!I$377</f>
        <v>0</v>
      </c>
      <c r="G7387" s="191" t="str">
        <f>IF('IWP27'!J$377=0,"",'IWP27'!J$377)</f>
        <v/>
      </c>
      <c r="H7387" s="211">
        <f>'IWP27'!K$377</f>
        <v>0</v>
      </c>
      <c r="I7387" s="211">
        <f>'IWP27'!L$377</f>
        <v>0</v>
      </c>
      <c r="J7387" s="212">
        <f>'IWP27'!M$377</f>
        <v>0</v>
      </c>
      <c r="K7387" s="106"/>
      <c r="L7387" s="106"/>
      <c r="M7387" s="129"/>
    </row>
    <row r="7388" spans="1:13" s="146" customFormat="1">
      <c r="A7388" s="193" t="s">
        <v>525</v>
      </c>
      <c r="B7388" s="210">
        <v>2</v>
      </c>
      <c r="C7388" s="191" t="str">
        <f>IF('IWP27'!E$378=0,"",'IWP27'!E$378)</f>
        <v/>
      </c>
      <c r="D7388" s="211">
        <f>'IWP27'!G$378</f>
        <v>0</v>
      </c>
      <c r="E7388" s="211">
        <f>'IWP27'!H$378</f>
        <v>0</v>
      </c>
      <c r="F7388" s="211">
        <f>'IWP27'!I$378</f>
        <v>0</v>
      </c>
      <c r="G7388" s="191" t="str">
        <f>IF('IWP27'!J$378=0,"",'IWP27'!J$378)</f>
        <v/>
      </c>
      <c r="H7388" s="211">
        <f>'IWP27'!K$378</f>
        <v>0</v>
      </c>
      <c r="I7388" s="211">
        <f>'IWP27'!L$378</f>
        <v>0</v>
      </c>
      <c r="J7388" s="212">
        <f>'IWP27'!M$378</f>
        <v>0</v>
      </c>
      <c r="K7388" s="106"/>
      <c r="L7388" s="106"/>
      <c r="M7388" s="129"/>
    </row>
    <row r="7389" spans="1:13" s="146" customFormat="1">
      <c r="A7389" s="193" t="s">
        <v>525</v>
      </c>
      <c r="B7389" s="210">
        <v>2</v>
      </c>
      <c r="C7389" s="191" t="str">
        <f>IF('IWP27'!E$379=0,"",'IWP27'!E$379)</f>
        <v/>
      </c>
      <c r="D7389" s="211">
        <f>'IWP27'!G$379</f>
        <v>0</v>
      </c>
      <c r="E7389" s="211">
        <f>'IWP27'!H$379</f>
        <v>0</v>
      </c>
      <c r="F7389" s="211">
        <f>'IWP27'!I$379</f>
        <v>0</v>
      </c>
      <c r="G7389" s="191" t="str">
        <f>IF('IWP27'!J$379=0,"",'IWP27'!J$379)</f>
        <v/>
      </c>
      <c r="H7389" s="211">
        <f>'IWP27'!K$379</f>
        <v>0</v>
      </c>
      <c r="I7389" s="211">
        <f>'IWP27'!L$379</f>
        <v>0</v>
      </c>
      <c r="J7389" s="212">
        <f>'IWP27'!M$379</f>
        <v>0</v>
      </c>
      <c r="K7389" s="106"/>
      <c r="L7389" s="106"/>
      <c r="M7389" s="129"/>
    </row>
    <row r="7390" spans="1:13" s="146" customFormat="1">
      <c r="A7390" s="193" t="s">
        <v>525</v>
      </c>
      <c r="B7390" s="210">
        <v>2</v>
      </c>
      <c r="C7390" s="191" t="str">
        <f>IF('IWP27'!E$380=0,"",'IWP27'!E$380)</f>
        <v/>
      </c>
      <c r="D7390" s="211">
        <f>'IWP27'!G$380</f>
        <v>0</v>
      </c>
      <c r="E7390" s="211">
        <f>'IWP27'!H$380</f>
        <v>0</v>
      </c>
      <c r="F7390" s="211">
        <f>'IWP27'!I$380</f>
        <v>0</v>
      </c>
      <c r="G7390" s="191" t="str">
        <f>IF('IWP27'!J$380=0,"",'IWP27'!J$380)</f>
        <v/>
      </c>
      <c r="H7390" s="211">
        <f>'IWP27'!K$380</f>
        <v>0</v>
      </c>
      <c r="I7390" s="211">
        <f>'IWP27'!L$380</f>
        <v>0</v>
      </c>
      <c r="J7390" s="212">
        <f>'IWP27'!M$380</f>
        <v>0</v>
      </c>
      <c r="K7390" s="106"/>
      <c r="L7390" s="106"/>
      <c r="M7390" s="129"/>
    </row>
    <row r="7391" spans="1:13" s="146" customFormat="1">
      <c r="A7391" s="193" t="s">
        <v>525</v>
      </c>
      <c r="B7391" s="210">
        <v>3</v>
      </c>
      <c r="C7391" s="191" t="str">
        <f>IF('IWP27'!E$387=0,"",'IWP27'!E$387)</f>
        <v>Subtotal column D.</v>
      </c>
      <c r="D7391" s="211">
        <f>'IWP27'!G$387</f>
        <v>0</v>
      </c>
      <c r="E7391" s="211">
        <f>'IWP27'!H$387</f>
        <v>0</v>
      </c>
      <c r="F7391" s="211">
        <f>'IWP27'!I$387</f>
        <v>0</v>
      </c>
      <c r="G7391" s="191" t="str">
        <f>IF('IWP27'!J$387=0,"",'IWP27'!J$387)</f>
        <v/>
      </c>
      <c r="H7391" s="211">
        <f>'IWP27'!K$387</f>
        <v>0</v>
      </c>
      <c r="I7391" s="211">
        <f>'IWP27'!L$387</f>
        <v>0</v>
      </c>
      <c r="J7391" s="212">
        <f>'IWP27'!M$387</f>
        <v>0</v>
      </c>
      <c r="K7391" s="106"/>
      <c r="L7391" s="106"/>
      <c r="M7391" s="129"/>
    </row>
    <row r="7392" spans="1:13" s="146" customFormat="1">
      <c r="A7392" s="193" t="s">
        <v>525</v>
      </c>
      <c r="B7392" s="210">
        <v>3</v>
      </c>
      <c r="C7392" s="191" t="str">
        <f>IF('IWP27'!E$388=0,"",'IWP27'!E$388)</f>
        <v>Unverified/Undocumented (Subtotal D - C)</v>
      </c>
      <c r="D7392" s="211">
        <f>'IWP27'!G$388</f>
        <v>0</v>
      </c>
      <c r="E7392" s="211">
        <f>'IWP27'!H$388</f>
        <v>0</v>
      </c>
      <c r="F7392" s="211">
        <f>'IWP27'!I$388</f>
        <v>0</v>
      </c>
      <c r="G7392" s="191" t="str">
        <f>IF('IWP27'!J$388=0,"",'IWP27'!J$388)</f>
        <v/>
      </c>
      <c r="H7392" s="211">
        <f>'IWP27'!K$388</f>
        <v>0</v>
      </c>
      <c r="I7392" s="211">
        <f>'IWP27'!L$388</f>
        <v>0</v>
      </c>
      <c r="J7392" s="212">
        <f>'IWP27'!M$388</f>
        <v>0</v>
      </c>
      <c r="K7392" s="106"/>
      <c r="L7392" s="106"/>
      <c r="M7392" s="129"/>
    </row>
    <row r="7393" spans="1:13" s="146" customFormat="1">
      <c r="A7393" s="193" t="s">
        <v>525</v>
      </c>
      <c r="B7393" s="210">
        <v>3</v>
      </c>
      <c r="C7393" s="191" t="str">
        <f>IF('IWP27'!E$389=0,"",'IWP27'!E$389)</f>
        <v>J. Billing Period Total</v>
      </c>
      <c r="D7393" s="211">
        <f>'IWP27'!G$389</f>
        <v>0</v>
      </c>
      <c r="E7393" s="211">
        <f>'IWP27'!H$389</f>
        <v>0</v>
      </c>
      <c r="F7393" s="211">
        <f>'IWP27'!I$389</f>
        <v>0</v>
      </c>
      <c r="G7393" s="191" t="str">
        <f>IF('IWP27'!J$389=0,"",'IWP27'!J$389)</f>
        <v/>
      </c>
      <c r="H7393" s="211">
        <f>'IWP27'!K$389</f>
        <v>0</v>
      </c>
      <c r="I7393" s="211">
        <f>'IWP27'!L$389</f>
        <v>0</v>
      </c>
      <c r="J7393" s="212">
        <f>'IWP27'!M$389</f>
        <v>0</v>
      </c>
      <c r="K7393" s="106"/>
      <c r="L7393" s="106"/>
      <c r="M7393" s="129"/>
    </row>
    <row r="7394" spans="1:13" s="146" customFormat="1">
      <c r="A7394" s="193" t="s">
        <v>525</v>
      </c>
      <c r="B7394" s="210">
        <v>3</v>
      </c>
      <c r="C7394" s="191" t="str">
        <f>IF('IWP27'!E$390=0,"",'IWP27'!E$390)</f>
        <v>D.</v>
      </c>
      <c r="D7394" s="211">
        <f>'IWP27'!G$390</f>
        <v>0</v>
      </c>
      <c r="E7394" s="211" t="str">
        <f>'IWP27'!H$390</f>
        <v>E.</v>
      </c>
      <c r="F7394" s="211" t="str">
        <f>'IWP27'!I$390</f>
        <v>F.</v>
      </c>
      <c r="G7394" s="191" t="str">
        <f>IF('IWP27'!J$390=0,"",'IWP27'!J$390)</f>
        <v>G.</v>
      </c>
      <c r="H7394" s="211">
        <f>'IWP27'!K$390</f>
        <v>0</v>
      </c>
      <c r="I7394" s="211" t="str">
        <f>'IWP27'!L$390</f>
        <v>H.</v>
      </c>
      <c r="J7394" s="212" t="str">
        <f>'IWP27'!M$390</f>
        <v>I.</v>
      </c>
      <c r="K7394" s="106"/>
      <c r="L7394" s="106"/>
      <c r="M7394" s="129"/>
    </row>
    <row r="7395" spans="1:13" s="146" customFormat="1">
      <c r="A7395" s="193" t="s">
        <v>525</v>
      </c>
      <c r="B7395" s="210">
        <v>3</v>
      </c>
      <c r="C7395" s="191" t="str">
        <f>IF('IWP27'!E$391=0,"",'IWP27'!E$391)</f>
        <v xml:space="preserve">Items/Services Related to Billing Period </v>
      </c>
      <c r="D7395" s="211">
        <f>'IWP27'!G$391</f>
        <v>0</v>
      </c>
      <c r="E7395" s="211" t="str">
        <f>'IWP27'!H$391</f>
        <v xml:space="preserve">Item/
Service Verified Amounts
</v>
      </c>
      <c r="F7395" s="211" t="str">
        <f>'IWP27'!I$391</f>
        <v>Amount Due to DADS (E. - D.)</v>
      </c>
      <c r="G7395" s="191" t="str">
        <f>IF('IWP27'!J$391=0,"",'IWP27'!J$391)</f>
        <v>Amount Reimbursed to 
Employee(s)/Employer</v>
      </c>
      <c r="H7395" s="211">
        <f>'IWP27'!K$391</f>
        <v>0</v>
      </c>
      <c r="I7395" s="211" t="str">
        <f>'IWP27'!L$391</f>
        <v>Amount Due to Employee(s) (G. - E.)</v>
      </c>
      <c r="J7395" s="212" t="str">
        <f>'IWP27'!M$391</f>
        <v>Amount Due to Employer (G. - E.)</v>
      </c>
      <c r="K7395" s="106"/>
      <c r="L7395" s="106"/>
      <c r="M7395" s="129"/>
    </row>
    <row r="7396" spans="1:13" s="146" customFormat="1">
      <c r="A7396" s="193" t="s">
        <v>525</v>
      </c>
      <c r="B7396" s="210">
        <v>3</v>
      </c>
      <c r="C7396" s="191" t="str">
        <f>IF('IWP27'!E$392=0,"",'IWP27'!E$392)</f>
        <v>Item/Service</v>
      </c>
      <c r="D7396" s="211" t="str">
        <f>'IWP27'!G$392</f>
        <v>Itemized Amount Paid by DADS</v>
      </c>
      <c r="E7396" s="211">
        <f>'IWP27'!H$392</f>
        <v>0</v>
      </c>
      <c r="F7396" s="211">
        <f>'IWP27'!I$392</f>
        <v>0</v>
      </c>
      <c r="G7396" s="191" t="str">
        <f>IF('IWP27'!J$392=0,"",'IWP27'!J$392)</f>
        <v/>
      </c>
      <c r="H7396" s="211">
        <f>'IWP27'!K$392</f>
        <v>0</v>
      </c>
      <c r="I7396" s="211">
        <f>'IWP27'!L$392</f>
        <v>0</v>
      </c>
      <c r="J7396" s="212">
        <f>'IWP27'!M$392</f>
        <v>0</v>
      </c>
      <c r="K7396" s="106"/>
      <c r="L7396" s="106"/>
      <c r="M7396" s="129"/>
    </row>
    <row r="7397" spans="1:13" s="146" customFormat="1">
      <c r="A7397" s="193" t="s">
        <v>525</v>
      </c>
      <c r="B7397" s="210">
        <v>3</v>
      </c>
      <c r="C7397" s="191" t="str">
        <f>IF('IWP27'!E$393=0,"",'IWP27'!E$393)</f>
        <v/>
      </c>
      <c r="D7397" s="211">
        <f>'IWP27'!G$393</f>
        <v>0</v>
      </c>
      <c r="E7397" s="211">
        <f>'IWP27'!H$393</f>
        <v>0</v>
      </c>
      <c r="F7397" s="211">
        <f>'IWP27'!I$393</f>
        <v>0</v>
      </c>
      <c r="G7397" s="191" t="str">
        <f>IF('IWP27'!J$393=0,"",'IWP27'!J$393)</f>
        <v/>
      </c>
      <c r="H7397" s="211">
        <f>'IWP27'!K$393</f>
        <v>0</v>
      </c>
      <c r="I7397" s="211">
        <f>'IWP27'!L$393</f>
        <v>0</v>
      </c>
      <c r="J7397" s="212">
        <f>'IWP27'!M$393</f>
        <v>0</v>
      </c>
      <c r="K7397" s="106"/>
      <c r="L7397" s="106"/>
      <c r="M7397" s="129"/>
    </row>
    <row r="7398" spans="1:13" s="146" customFormat="1">
      <c r="A7398" s="193" t="s">
        <v>525</v>
      </c>
      <c r="B7398" s="210">
        <v>3</v>
      </c>
      <c r="C7398" s="191" t="str">
        <f>IF('IWP27'!E$394=0,"",'IWP27'!E$394)</f>
        <v/>
      </c>
      <c r="D7398" s="211">
        <f>'IWP27'!G$394</f>
        <v>0</v>
      </c>
      <c r="E7398" s="211">
        <f>'IWP27'!H$394</f>
        <v>0</v>
      </c>
      <c r="F7398" s="211">
        <f>'IWP27'!I$394</f>
        <v>0</v>
      </c>
      <c r="G7398" s="191" t="str">
        <f>IF('IWP27'!J$394=0,"",'IWP27'!J$394)</f>
        <v/>
      </c>
      <c r="H7398" s="211">
        <f>'IWP27'!K$394</f>
        <v>0</v>
      </c>
      <c r="I7398" s="211">
        <f>'IWP27'!L$394</f>
        <v>0</v>
      </c>
      <c r="J7398" s="212">
        <f>'IWP27'!M$394</f>
        <v>0</v>
      </c>
      <c r="K7398" s="106"/>
      <c r="L7398" s="106"/>
      <c r="M7398" s="129"/>
    </row>
    <row r="7399" spans="1:13" s="146" customFormat="1">
      <c r="A7399" s="193" t="s">
        <v>525</v>
      </c>
      <c r="B7399" s="210">
        <v>3</v>
      </c>
      <c r="C7399" s="191" t="str">
        <f>IF('IWP27'!E$395=0,"",'IWP27'!E$395)</f>
        <v/>
      </c>
      <c r="D7399" s="211">
        <f>'IWP27'!G$395</f>
        <v>0</v>
      </c>
      <c r="E7399" s="211">
        <f>'IWP27'!H$395</f>
        <v>0</v>
      </c>
      <c r="F7399" s="211">
        <f>'IWP27'!I$395</f>
        <v>0</v>
      </c>
      <c r="G7399" s="191" t="str">
        <f>IF('IWP27'!J$395=0,"",'IWP27'!J$395)</f>
        <v/>
      </c>
      <c r="H7399" s="211">
        <f>'IWP27'!K$395</f>
        <v>0</v>
      </c>
      <c r="I7399" s="211">
        <f>'IWP27'!L$395</f>
        <v>0</v>
      </c>
      <c r="J7399" s="212">
        <f>'IWP27'!M$395</f>
        <v>0</v>
      </c>
      <c r="K7399" s="106"/>
      <c r="L7399" s="106"/>
      <c r="M7399" s="129"/>
    </row>
    <row r="7400" spans="1:13" s="146" customFormat="1">
      <c r="A7400" s="193" t="s">
        <v>525</v>
      </c>
      <c r="B7400" s="210">
        <v>3</v>
      </c>
      <c r="C7400" s="191" t="str">
        <f>IF('IWP27'!E$396=0,"",'IWP27'!E$396)</f>
        <v/>
      </c>
      <c r="D7400" s="211">
        <f>'IWP27'!G$396</f>
        <v>0</v>
      </c>
      <c r="E7400" s="211">
        <f>'IWP27'!H$396</f>
        <v>0</v>
      </c>
      <c r="F7400" s="211">
        <f>'IWP27'!I$396</f>
        <v>0</v>
      </c>
      <c r="G7400" s="191" t="str">
        <f>IF('IWP27'!J$396=0,"",'IWP27'!J$396)</f>
        <v/>
      </c>
      <c r="H7400" s="211">
        <f>'IWP27'!K$396</f>
        <v>0</v>
      </c>
      <c r="I7400" s="211">
        <f>'IWP27'!L$396</f>
        <v>0</v>
      </c>
      <c r="J7400" s="212">
        <f>'IWP27'!M$396</f>
        <v>0</v>
      </c>
      <c r="K7400" s="106"/>
      <c r="L7400" s="106"/>
      <c r="M7400" s="129"/>
    </row>
    <row r="7401" spans="1:13" s="146" customFormat="1">
      <c r="A7401" s="193" t="s">
        <v>525</v>
      </c>
      <c r="B7401" s="210">
        <v>4</v>
      </c>
      <c r="C7401" s="191" t="str">
        <f>IF('IWP27'!E$403=0,"",'IWP27'!E$403)</f>
        <v>Subtotal column D.</v>
      </c>
      <c r="D7401" s="211">
        <f>'IWP27'!G$403</f>
        <v>0</v>
      </c>
      <c r="E7401" s="211">
        <f>'IWP27'!H$403</f>
        <v>0</v>
      </c>
      <c r="F7401" s="211">
        <f>'IWP27'!I$403</f>
        <v>0</v>
      </c>
      <c r="G7401" s="191" t="str">
        <f>IF('IWP27'!J$403=0,"",'IWP27'!J$403)</f>
        <v/>
      </c>
      <c r="H7401" s="211">
        <f>'IWP27'!K$403</f>
        <v>0</v>
      </c>
      <c r="I7401" s="211">
        <f>'IWP27'!L$403</f>
        <v>0</v>
      </c>
      <c r="J7401" s="212">
        <f>'IWP27'!M$403</f>
        <v>0</v>
      </c>
      <c r="K7401" s="106"/>
      <c r="L7401" s="106"/>
      <c r="M7401" s="129"/>
    </row>
    <row r="7402" spans="1:13" s="146" customFormat="1">
      <c r="A7402" s="193" t="s">
        <v>525</v>
      </c>
      <c r="B7402" s="210">
        <v>4</v>
      </c>
      <c r="C7402" s="191" t="str">
        <f>IF('IWP27'!E$404=0,"",'IWP27'!E$404)</f>
        <v>Unverified/Undocumented (Subtotal D - C)</v>
      </c>
      <c r="D7402" s="211">
        <f>'IWP27'!G$404</f>
        <v>0</v>
      </c>
      <c r="E7402" s="211">
        <f>'IWP27'!H$404</f>
        <v>0</v>
      </c>
      <c r="F7402" s="211">
        <f>'IWP27'!I$404</f>
        <v>0</v>
      </c>
      <c r="G7402" s="191" t="str">
        <f>IF('IWP27'!J$404=0,"",'IWP27'!J$404)</f>
        <v/>
      </c>
      <c r="H7402" s="211">
        <f>'IWP27'!K$404</f>
        <v>0</v>
      </c>
      <c r="I7402" s="211">
        <f>'IWP27'!L$404</f>
        <v>0</v>
      </c>
      <c r="J7402" s="212">
        <f>'IWP27'!M$404</f>
        <v>0</v>
      </c>
      <c r="K7402" s="106"/>
      <c r="L7402" s="106"/>
      <c r="M7402" s="129"/>
    </row>
    <row r="7403" spans="1:13" s="146" customFormat="1">
      <c r="A7403" s="193" t="s">
        <v>525</v>
      </c>
      <c r="B7403" s="210">
        <v>4</v>
      </c>
      <c r="C7403" s="191" t="str">
        <f>IF('IWP27'!E$405=0,"",'IWP27'!E$405)</f>
        <v>J. Billing Period Total</v>
      </c>
      <c r="D7403" s="211">
        <f>'IWP27'!G$405</f>
        <v>0</v>
      </c>
      <c r="E7403" s="211">
        <f>'IWP27'!H$405</f>
        <v>0</v>
      </c>
      <c r="F7403" s="211">
        <f>'IWP27'!I$405</f>
        <v>0</v>
      </c>
      <c r="G7403" s="191" t="str">
        <f>IF('IWP27'!J$405=0,"",'IWP27'!J$405)</f>
        <v/>
      </c>
      <c r="H7403" s="211">
        <f>'IWP27'!K$405</f>
        <v>0</v>
      </c>
      <c r="I7403" s="211">
        <f>'IWP27'!L$405</f>
        <v>0</v>
      </c>
      <c r="J7403" s="212">
        <f>'IWP27'!M$405</f>
        <v>0</v>
      </c>
      <c r="K7403" s="106"/>
      <c r="L7403" s="106"/>
      <c r="M7403" s="129"/>
    </row>
    <row r="7404" spans="1:13" s="146" customFormat="1">
      <c r="A7404" s="193" t="s">
        <v>525</v>
      </c>
      <c r="B7404" s="210">
        <v>4</v>
      </c>
      <c r="C7404" s="191" t="str">
        <f>IF('IWP27'!E$406=0,"",'IWP27'!E$406)</f>
        <v>D.</v>
      </c>
      <c r="D7404" s="211">
        <f>'IWP27'!G$406</f>
        <v>0</v>
      </c>
      <c r="E7404" s="211" t="str">
        <f>'IWP27'!H$406</f>
        <v>E.</v>
      </c>
      <c r="F7404" s="211" t="str">
        <f>'IWP27'!I$406</f>
        <v>F.</v>
      </c>
      <c r="G7404" s="191" t="str">
        <f>IF('IWP27'!J$406=0,"",'IWP27'!J$406)</f>
        <v>G.</v>
      </c>
      <c r="H7404" s="211">
        <f>'IWP27'!K$406</f>
        <v>0</v>
      </c>
      <c r="I7404" s="211" t="str">
        <f>'IWP27'!L$406</f>
        <v>H.</v>
      </c>
      <c r="J7404" s="212" t="str">
        <f>'IWP27'!M$406</f>
        <v>I.</v>
      </c>
      <c r="K7404" s="106"/>
      <c r="L7404" s="106"/>
      <c r="M7404" s="129"/>
    </row>
    <row r="7405" spans="1:13" s="146" customFormat="1">
      <c r="A7405" s="193" t="s">
        <v>525</v>
      </c>
      <c r="B7405" s="210">
        <v>4</v>
      </c>
      <c r="C7405" s="191" t="str">
        <f>IF('IWP27'!E$407=0,"",'IWP27'!E$407)</f>
        <v xml:space="preserve">Items/Services Related to Billing Period </v>
      </c>
      <c r="D7405" s="211">
        <f>'IWP27'!G$407</f>
        <v>0</v>
      </c>
      <c r="E7405" s="211" t="str">
        <f>'IWP27'!H$407</f>
        <v xml:space="preserve">Item/
Service Verified Amounts
</v>
      </c>
      <c r="F7405" s="211" t="str">
        <f>'IWP27'!I$407</f>
        <v>Amount Due to DADS (E. - D.)</v>
      </c>
      <c r="G7405" s="191" t="str">
        <f>IF('IWP27'!J$407=0,"",'IWP27'!J$407)</f>
        <v>Amount Reimbursed to 
Employee(s)/Employer</v>
      </c>
      <c r="H7405" s="211">
        <f>'IWP27'!K$407</f>
        <v>0</v>
      </c>
      <c r="I7405" s="211" t="str">
        <f>'IWP27'!L$407</f>
        <v>Amount Due to Employee(s) (G. - E.)</v>
      </c>
      <c r="J7405" s="212" t="str">
        <f>'IWP27'!M$407</f>
        <v>Amount Due to Employer (G. - E.)</v>
      </c>
      <c r="K7405" s="106"/>
      <c r="L7405" s="106"/>
      <c r="M7405" s="129"/>
    </row>
    <row r="7406" spans="1:13" s="146" customFormat="1">
      <c r="A7406" s="193" t="s">
        <v>525</v>
      </c>
      <c r="B7406" s="210">
        <v>4</v>
      </c>
      <c r="C7406" s="191" t="str">
        <f>IF('IWP27'!E$408=0,"",'IWP27'!E$408)</f>
        <v>Item/Service</v>
      </c>
      <c r="D7406" s="211" t="str">
        <f>'IWP27'!G$408</f>
        <v>Itemized Amount Paid by DADS</v>
      </c>
      <c r="E7406" s="211">
        <f>'IWP27'!H$408</f>
        <v>0</v>
      </c>
      <c r="F7406" s="211">
        <f>'IWP27'!I$408</f>
        <v>0</v>
      </c>
      <c r="G7406" s="191" t="str">
        <f>IF('IWP27'!J$408=0,"",'IWP27'!J$408)</f>
        <v/>
      </c>
      <c r="H7406" s="211">
        <f>'IWP27'!K$408</f>
        <v>0</v>
      </c>
      <c r="I7406" s="211">
        <f>'IWP27'!L$408</f>
        <v>0</v>
      </c>
      <c r="J7406" s="212">
        <f>'IWP27'!M$408</f>
        <v>0</v>
      </c>
      <c r="K7406" s="106"/>
      <c r="L7406" s="106"/>
      <c r="M7406" s="129"/>
    </row>
    <row r="7407" spans="1:13" s="146" customFormat="1">
      <c r="A7407" s="193" t="s">
        <v>525</v>
      </c>
      <c r="B7407" s="210">
        <v>4</v>
      </c>
      <c r="C7407" s="191" t="str">
        <f>IF('IWP27'!E$409=0,"",'IWP27'!E$409)</f>
        <v/>
      </c>
      <c r="D7407" s="211">
        <f>'IWP27'!G$409</f>
        <v>0</v>
      </c>
      <c r="E7407" s="211">
        <f>'IWP27'!H$409</f>
        <v>0</v>
      </c>
      <c r="F7407" s="211">
        <f>'IWP27'!I$409</f>
        <v>0</v>
      </c>
      <c r="G7407" s="191" t="str">
        <f>IF('IWP27'!J$409=0,"",'IWP27'!J$409)</f>
        <v/>
      </c>
      <c r="H7407" s="211">
        <f>'IWP27'!K$409</f>
        <v>0</v>
      </c>
      <c r="I7407" s="211">
        <f>'IWP27'!L$409</f>
        <v>0</v>
      </c>
      <c r="J7407" s="212">
        <f>'IWP27'!M$409</f>
        <v>0</v>
      </c>
      <c r="K7407" s="106"/>
      <c r="L7407" s="106"/>
      <c r="M7407" s="129"/>
    </row>
    <row r="7408" spans="1:13" s="146" customFormat="1">
      <c r="A7408" s="193" t="s">
        <v>525</v>
      </c>
      <c r="B7408" s="210">
        <v>4</v>
      </c>
      <c r="C7408" s="191" t="str">
        <f>IF('IWP27'!E$410=0,"",'IWP27'!E$410)</f>
        <v/>
      </c>
      <c r="D7408" s="211">
        <f>'IWP27'!G$410</f>
        <v>0</v>
      </c>
      <c r="E7408" s="211">
        <f>'IWP27'!H$410</f>
        <v>0</v>
      </c>
      <c r="F7408" s="211">
        <f>'IWP27'!I$410</f>
        <v>0</v>
      </c>
      <c r="G7408" s="191" t="str">
        <f>IF('IWP27'!J$410=0,"",'IWP27'!J$410)</f>
        <v/>
      </c>
      <c r="H7408" s="211">
        <f>'IWP27'!K$410</f>
        <v>0</v>
      </c>
      <c r="I7408" s="211">
        <f>'IWP27'!L$410</f>
        <v>0</v>
      </c>
      <c r="J7408" s="212">
        <f>'IWP27'!M$410</f>
        <v>0</v>
      </c>
      <c r="K7408" s="106"/>
      <c r="L7408" s="106"/>
      <c r="M7408" s="129"/>
    </row>
    <row r="7409" spans="1:13" s="146" customFormat="1">
      <c r="A7409" s="193" t="s">
        <v>525</v>
      </c>
      <c r="B7409" s="210">
        <v>4</v>
      </c>
      <c r="C7409" s="191" t="str">
        <f>IF('IWP27'!E$411=0,"",'IWP27'!E$411)</f>
        <v/>
      </c>
      <c r="D7409" s="211">
        <f>'IWP27'!G$411</f>
        <v>0</v>
      </c>
      <c r="E7409" s="211">
        <f>'IWP27'!H$411</f>
        <v>0</v>
      </c>
      <c r="F7409" s="211">
        <f>'IWP27'!I$411</f>
        <v>0</v>
      </c>
      <c r="G7409" s="191" t="str">
        <f>IF('IWP27'!J$411=0,"",'IWP27'!J$411)</f>
        <v/>
      </c>
      <c r="H7409" s="211">
        <f>'IWP27'!K$411</f>
        <v>0</v>
      </c>
      <c r="I7409" s="211">
        <f>'IWP27'!L$411</f>
        <v>0</v>
      </c>
      <c r="J7409" s="212">
        <f>'IWP27'!M$411</f>
        <v>0</v>
      </c>
      <c r="K7409" s="106"/>
      <c r="L7409" s="106"/>
      <c r="M7409" s="129"/>
    </row>
    <row r="7410" spans="1:13" s="146" customFormat="1">
      <c r="A7410" s="193" t="s">
        <v>525</v>
      </c>
      <c r="B7410" s="210">
        <v>4</v>
      </c>
      <c r="C7410" s="191" t="str">
        <f>IF('IWP27'!E$412=0,"",'IWP27'!E$412)</f>
        <v/>
      </c>
      <c r="D7410" s="211">
        <f>'IWP27'!G$412</f>
        <v>0</v>
      </c>
      <c r="E7410" s="211">
        <f>'IWP27'!H$412</f>
        <v>0</v>
      </c>
      <c r="F7410" s="211">
        <f>'IWP27'!I$412</f>
        <v>0</v>
      </c>
      <c r="G7410" s="191" t="str">
        <f>IF('IWP27'!J$412=0,"",'IWP27'!J$412)</f>
        <v/>
      </c>
      <c r="H7410" s="211">
        <f>'IWP27'!K$412</f>
        <v>0</v>
      </c>
      <c r="I7410" s="211">
        <f>'IWP27'!L$412</f>
        <v>0</v>
      </c>
      <c r="J7410" s="212">
        <f>'IWP27'!M$412</f>
        <v>0</v>
      </c>
      <c r="K7410" s="106"/>
      <c r="L7410" s="106"/>
      <c r="M7410" s="129"/>
    </row>
    <row r="7411" spans="1:13" s="146" customFormat="1">
      <c r="A7411" s="193" t="s">
        <v>525</v>
      </c>
      <c r="B7411" s="210">
        <v>5</v>
      </c>
      <c r="C7411" s="191" t="str">
        <f>IF('IWP27'!E$419=0,"",'IWP27'!E$419)</f>
        <v>Subtotal column D.</v>
      </c>
      <c r="D7411" s="211">
        <f>'IWP27'!G$419</f>
        <v>0</v>
      </c>
      <c r="E7411" s="211">
        <f>'IWP27'!H$419</f>
        <v>0</v>
      </c>
      <c r="F7411" s="211">
        <f>'IWP27'!I$419</f>
        <v>0</v>
      </c>
      <c r="G7411" s="191" t="str">
        <f>IF('IWP27'!J$419=0,"",'IWP27'!J$419)</f>
        <v/>
      </c>
      <c r="H7411" s="211">
        <f>'IWP27'!K$419</f>
        <v>0</v>
      </c>
      <c r="I7411" s="211">
        <f>'IWP27'!L$419</f>
        <v>0</v>
      </c>
      <c r="J7411" s="212">
        <f>'IWP27'!M$419</f>
        <v>0</v>
      </c>
      <c r="K7411" s="106"/>
      <c r="L7411" s="106"/>
      <c r="M7411" s="129"/>
    </row>
    <row r="7412" spans="1:13" s="146" customFormat="1">
      <c r="A7412" s="193" t="s">
        <v>525</v>
      </c>
      <c r="B7412" s="210">
        <v>5</v>
      </c>
      <c r="C7412" s="191" t="str">
        <f>IF('IWP27'!E$420=0,"",'IWP27'!E$420)</f>
        <v>Unverified/Undocumented (Subtotal D - C)</v>
      </c>
      <c r="D7412" s="211">
        <f>'IWP27'!G$420</f>
        <v>0</v>
      </c>
      <c r="E7412" s="211">
        <f>'IWP27'!H$420</f>
        <v>0</v>
      </c>
      <c r="F7412" s="211">
        <f>'IWP27'!I$420</f>
        <v>0</v>
      </c>
      <c r="G7412" s="191" t="str">
        <f>IF('IWP27'!J$420=0,"",'IWP27'!J$420)</f>
        <v/>
      </c>
      <c r="H7412" s="211">
        <f>'IWP27'!K$420</f>
        <v>0</v>
      </c>
      <c r="I7412" s="211">
        <f>'IWP27'!L$420</f>
        <v>0</v>
      </c>
      <c r="J7412" s="212">
        <f>'IWP27'!M$420</f>
        <v>0</v>
      </c>
      <c r="K7412" s="106"/>
      <c r="L7412" s="106"/>
      <c r="M7412" s="129"/>
    </row>
    <row r="7413" spans="1:13" s="146" customFormat="1">
      <c r="A7413" s="193" t="s">
        <v>525</v>
      </c>
      <c r="B7413" s="210">
        <v>5</v>
      </c>
      <c r="C7413" s="191" t="str">
        <f>IF('IWP27'!E$421=0,"",'IWP27'!E$421)</f>
        <v>J. Billing Period Total</v>
      </c>
      <c r="D7413" s="211">
        <f>'IWP27'!G$421</f>
        <v>0</v>
      </c>
      <c r="E7413" s="211">
        <f>'IWP27'!H$421</f>
        <v>0</v>
      </c>
      <c r="F7413" s="211">
        <f>'IWP27'!I$421</f>
        <v>0</v>
      </c>
      <c r="G7413" s="191" t="str">
        <f>IF('IWP27'!J$421=0,"",'IWP27'!J$421)</f>
        <v/>
      </c>
      <c r="H7413" s="211">
        <f>'IWP27'!K$421</f>
        <v>0</v>
      </c>
      <c r="I7413" s="211">
        <f>'IWP27'!L$421</f>
        <v>0</v>
      </c>
      <c r="J7413" s="212">
        <f>'IWP27'!M$421</f>
        <v>0</v>
      </c>
      <c r="K7413" s="106"/>
      <c r="L7413" s="106"/>
      <c r="M7413" s="129"/>
    </row>
    <row r="7414" spans="1:13" s="146" customFormat="1">
      <c r="A7414" s="193" t="s">
        <v>525</v>
      </c>
      <c r="B7414" s="210">
        <v>5</v>
      </c>
      <c r="C7414" s="191" t="str">
        <f>IF('IWP27'!E$422=0,"",'IWP27'!E$422)</f>
        <v>D.</v>
      </c>
      <c r="D7414" s="211">
        <f>'IWP27'!G$422</f>
        <v>0</v>
      </c>
      <c r="E7414" s="211" t="str">
        <f>'IWP27'!H$422</f>
        <v>E.</v>
      </c>
      <c r="F7414" s="211" t="str">
        <f>'IWP27'!I$422</f>
        <v>F.</v>
      </c>
      <c r="G7414" s="191" t="str">
        <f>IF('IWP27'!J$422=0,"",'IWP27'!J$422)</f>
        <v>G.</v>
      </c>
      <c r="H7414" s="211">
        <f>'IWP27'!K$422</f>
        <v>0</v>
      </c>
      <c r="I7414" s="211" t="str">
        <f>'IWP27'!L$422</f>
        <v>H.</v>
      </c>
      <c r="J7414" s="212" t="str">
        <f>'IWP27'!M$422</f>
        <v>I.</v>
      </c>
      <c r="K7414" s="106"/>
      <c r="L7414" s="106"/>
      <c r="M7414" s="129"/>
    </row>
    <row r="7415" spans="1:13" s="146" customFormat="1">
      <c r="A7415" s="193" t="s">
        <v>525</v>
      </c>
      <c r="B7415" s="210">
        <v>5</v>
      </c>
      <c r="C7415" s="191" t="str">
        <f>IF('IWP27'!E$423=0,"",'IWP27'!E$423)</f>
        <v xml:space="preserve">Items/Services Related to Billing Period </v>
      </c>
      <c r="D7415" s="211">
        <f>'IWP27'!G$423</f>
        <v>0</v>
      </c>
      <c r="E7415" s="211" t="str">
        <f>'IWP27'!H$423</f>
        <v xml:space="preserve">Item/
Service Verified Amounts
</v>
      </c>
      <c r="F7415" s="211" t="str">
        <f>'IWP27'!I$423</f>
        <v>Amount Due to DADS (E. - D.)</v>
      </c>
      <c r="G7415" s="191" t="str">
        <f>IF('IWP27'!J$423=0,"",'IWP27'!J$423)</f>
        <v>Amount Reimbursed to 
Employee(s)/Employer</v>
      </c>
      <c r="H7415" s="211">
        <f>'IWP27'!K$423</f>
        <v>0</v>
      </c>
      <c r="I7415" s="211" t="str">
        <f>'IWP27'!L$423</f>
        <v>Amount Due to Employee(s) (G. - E.)</v>
      </c>
      <c r="J7415" s="212" t="str">
        <f>'IWP27'!M$423</f>
        <v>Amount Due to Employer (G. - E.)</v>
      </c>
      <c r="K7415" s="106"/>
      <c r="L7415" s="106"/>
      <c r="M7415" s="129"/>
    </row>
    <row r="7416" spans="1:13" s="146" customFormat="1">
      <c r="A7416" s="193" t="s">
        <v>525</v>
      </c>
      <c r="B7416" s="210">
        <v>5</v>
      </c>
      <c r="C7416" s="191" t="str">
        <f>IF('IWP27'!E$424=0,"",'IWP27'!E$424)</f>
        <v>Item/Service</v>
      </c>
      <c r="D7416" s="211" t="str">
        <f>'IWP27'!G$424</f>
        <v>Itemized Amount Paid by DADS</v>
      </c>
      <c r="E7416" s="211">
        <f>'IWP27'!H$424</f>
        <v>0</v>
      </c>
      <c r="F7416" s="211">
        <f>'IWP27'!I$424</f>
        <v>0</v>
      </c>
      <c r="G7416" s="191" t="str">
        <f>IF('IWP27'!J$424=0,"",'IWP27'!J$424)</f>
        <v/>
      </c>
      <c r="H7416" s="211">
        <f>'IWP27'!K$424</f>
        <v>0</v>
      </c>
      <c r="I7416" s="211">
        <f>'IWP27'!L$424</f>
        <v>0</v>
      </c>
      <c r="J7416" s="212">
        <f>'IWP27'!M$424</f>
        <v>0</v>
      </c>
      <c r="K7416" s="106"/>
      <c r="L7416" s="106"/>
      <c r="M7416" s="129"/>
    </row>
    <row r="7417" spans="1:13" s="146" customFormat="1">
      <c r="A7417" s="193" t="s">
        <v>525</v>
      </c>
      <c r="B7417" s="210">
        <v>5</v>
      </c>
      <c r="C7417" s="191" t="str">
        <f>IF('IWP27'!E$425=0,"",'IWP27'!E$425)</f>
        <v/>
      </c>
      <c r="D7417" s="211">
        <f>'IWP27'!G$425</f>
        <v>0</v>
      </c>
      <c r="E7417" s="211">
        <f>'IWP27'!H$425</f>
        <v>0</v>
      </c>
      <c r="F7417" s="211">
        <f>'IWP27'!I$425</f>
        <v>0</v>
      </c>
      <c r="G7417" s="191" t="str">
        <f>IF('IWP27'!J$425=0,"",'IWP27'!J$425)</f>
        <v/>
      </c>
      <c r="H7417" s="211">
        <f>'IWP27'!K$425</f>
        <v>0</v>
      </c>
      <c r="I7417" s="211">
        <f>'IWP27'!L$425</f>
        <v>0</v>
      </c>
      <c r="J7417" s="212">
        <f>'IWP27'!M$425</f>
        <v>0</v>
      </c>
      <c r="K7417" s="106"/>
      <c r="L7417" s="106"/>
      <c r="M7417" s="129"/>
    </row>
    <row r="7418" spans="1:13" s="146" customFormat="1">
      <c r="A7418" s="193" t="s">
        <v>525</v>
      </c>
      <c r="B7418" s="210">
        <v>5</v>
      </c>
      <c r="C7418" s="191" t="str">
        <f>IF('IWP27'!E$426=0,"",'IWP27'!E$426)</f>
        <v/>
      </c>
      <c r="D7418" s="211">
        <f>'IWP27'!G$426</f>
        <v>0</v>
      </c>
      <c r="E7418" s="211">
        <f>'IWP27'!H$426</f>
        <v>0</v>
      </c>
      <c r="F7418" s="211">
        <f>'IWP27'!I$426</f>
        <v>0</v>
      </c>
      <c r="G7418" s="191" t="str">
        <f>IF('IWP27'!J$426=0,"",'IWP27'!J$426)</f>
        <v/>
      </c>
      <c r="H7418" s="211">
        <f>'IWP27'!K$426</f>
        <v>0</v>
      </c>
      <c r="I7418" s="211">
        <f>'IWP27'!L$426</f>
        <v>0</v>
      </c>
      <c r="J7418" s="212">
        <f>'IWP27'!M$426</f>
        <v>0</v>
      </c>
      <c r="K7418" s="106"/>
      <c r="L7418" s="106"/>
      <c r="M7418" s="129"/>
    </row>
    <row r="7419" spans="1:13" s="146" customFormat="1">
      <c r="A7419" s="193" t="s">
        <v>525</v>
      </c>
      <c r="B7419" s="210">
        <v>5</v>
      </c>
      <c r="C7419" s="191" t="str">
        <f>IF('IWP27'!E$427=0,"",'IWP27'!E$427)</f>
        <v/>
      </c>
      <c r="D7419" s="211">
        <f>'IWP27'!G$427</f>
        <v>0</v>
      </c>
      <c r="E7419" s="211">
        <f>'IWP27'!H$427</f>
        <v>0</v>
      </c>
      <c r="F7419" s="211">
        <f>'IWP27'!I$427</f>
        <v>0</v>
      </c>
      <c r="G7419" s="191" t="str">
        <f>IF('IWP27'!J$427=0,"",'IWP27'!J$427)</f>
        <v/>
      </c>
      <c r="H7419" s="211">
        <f>'IWP27'!K$427</f>
        <v>0</v>
      </c>
      <c r="I7419" s="211">
        <f>'IWP27'!L$427</f>
        <v>0</v>
      </c>
      <c r="J7419" s="212">
        <f>'IWP27'!M$427</f>
        <v>0</v>
      </c>
      <c r="K7419" s="106"/>
      <c r="L7419" s="106"/>
      <c r="M7419" s="129"/>
    </row>
    <row r="7420" spans="1:13" s="146" customFormat="1">
      <c r="A7420" s="193" t="s">
        <v>525</v>
      </c>
      <c r="B7420" s="210">
        <v>5</v>
      </c>
      <c r="C7420" s="191" t="str">
        <f>IF('IWP27'!E$428=0,"",'IWP27'!E$428)</f>
        <v/>
      </c>
      <c r="D7420" s="211">
        <f>'IWP27'!G$428</f>
        <v>0</v>
      </c>
      <c r="E7420" s="211">
        <f>'IWP27'!H$428</f>
        <v>0</v>
      </c>
      <c r="F7420" s="211">
        <f>'IWP27'!I$428</f>
        <v>0</v>
      </c>
      <c r="G7420" s="191" t="str">
        <f>IF('IWP27'!J$428=0,"",'IWP27'!J$428)</f>
        <v/>
      </c>
      <c r="H7420" s="211">
        <f>'IWP27'!K$428</f>
        <v>0</v>
      </c>
      <c r="I7420" s="211">
        <f>'IWP27'!L$428</f>
        <v>0</v>
      </c>
      <c r="J7420" s="212">
        <f>'IWP27'!M$428</f>
        <v>0</v>
      </c>
      <c r="K7420" s="106"/>
      <c r="L7420" s="106"/>
      <c r="M7420" s="129"/>
    </row>
    <row r="7421" spans="1:13" s="146" customFormat="1">
      <c r="A7421" s="193" t="s">
        <v>525</v>
      </c>
      <c r="B7421" s="210">
        <v>6</v>
      </c>
      <c r="C7421" s="191" t="str">
        <f>IF('IWP27'!E$435=0,"",'IWP27'!E$435)</f>
        <v>Subtotal column D.</v>
      </c>
      <c r="D7421" s="211">
        <f>'IWP27'!G$435</f>
        <v>0</v>
      </c>
      <c r="E7421" s="211">
        <f>'IWP27'!H$435</f>
        <v>0</v>
      </c>
      <c r="F7421" s="211">
        <f>'IWP27'!I$435</f>
        <v>0</v>
      </c>
      <c r="G7421" s="191" t="str">
        <f>IF('IWP27'!J$435=0,"",'IWP27'!J$435)</f>
        <v/>
      </c>
      <c r="H7421" s="211">
        <f>'IWP27'!K$435</f>
        <v>0</v>
      </c>
      <c r="I7421" s="211">
        <f>'IWP27'!L$435</f>
        <v>0</v>
      </c>
      <c r="J7421" s="212">
        <f>'IWP27'!M$435</f>
        <v>0</v>
      </c>
      <c r="K7421" s="106"/>
      <c r="L7421" s="106"/>
      <c r="M7421" s="129"/>
    </row>
    <row r="7422" spans="1:13" s="146" customFormat="1">
      <c r="A7422" s="193" t="s">
        <v>525</v>
      </c>
      <c r="B7422" s="210">
        <v>6</v>
      </c>
      <c r="C7422" s="191" t="str">
        <f>IF('IWP27'!E$436=0,"",'IWP27'!E$436)</f>
        <v>Unverified/Undocumented (Subtotal D - C)</v>
      </c>
      <c r="D7422" s="211">
        <f>'IWP27'!G$436</f>
        <v>0</v>
      </c>
      <c r="E7422" s="211">
        <f>'IWP27'!H$436</f>
        <v>0</v>
      </c>
      <c r="F7422" s="211">
        <f>'IWP27'!I$436</f>
        <v>0</v>
      </c>
      <c r="G7422" s="191" t="str">
        <f>IF('IWP27'!J$436=0,"",'IWP27'!J$436)</f>
        <v/>
      </c>
      <c r="H7422" s="211">
        <f>'IWP27'!K$436</f>
        <v>0</v>
      </c>
      <c r="I7422" s="211">
        <f>'IWP27'!L$436</f>
        <v>0</v>
      </c>
      <c r="J7422" s="212">
        <f>'IWP27'!M$436</f>
        <v>0</v>
      </c>
      <c r="K7422" s="106"/>
      <c r="L7422" s="106"/>
      <c r="M7422" s="129"/>
    </row>
    <row r="7423" spans="1:13" s="146" customFormat="1">
      <c r="A7423" s="193" t="s">
        <v>525</v>
      </c>
      <c r="B7423" s="210">
        <v>6</v>
      </c>
      <c r="C7423" s="191" t="str">
        <f>IF('IWP27'!E$437=0,"",'IWP27'!E$437)</f>
        <v>J. Billing Period Total</v>
      </c>
      <c r="D7423" s="211">
        <f>'IWP27'!G$437</f>
        <v>0</v>
      </c>
      <c r="E7423" s="211">
        <f>'IWP27'!H$437</f>
        <v>0</v>
      </c>
      <c r="F7423" s="211">
        <f>'IWP27'!I$437</f>
        <v>0</v>
      </c>
      <c r="G7423" s="191" t="str">
        <f>IF('IWP27'!J$437=0,"",'IWP27'!J$437)</f>
        <v/>
      </c>
      <c r="H7423" s="211">
        <f>'IWP27'!K$437</f>
        <v>0</v>
      </c>
      <c r="I7423" s="211">
        <f>'IWP27'!L$437</f>
        <v>0</v>
      </c>
      <c r="J7423" s="212">
        <f>'IWP27'!M$437</f>
        <v>0</v>
      </c>
      <c r="K7423" s="106"/>
      <c r="L7423" s="106"/>
      <c r="M7423" s="129"/>
    </row>
    <row r="7424" spans="1:13" s="146" customFormat="1">
      <c r="A7424" s="193" t="s">
        <v>525</v>
      </c>
      <c r="B7424" s="210">
        <v>6</v>
      </c>
      <c r="C7424" s="191" t="str">
        <f>IF('IWP27'!E$438=0,"",'IWP27'!E$438)</f>
        <v>D.</v>
      </c>
      <c r="D7424" s="211">
        <f>'IWP27'!G$438</f>
        <v>0</v>
      </c>
      <c r="E7424" s="211" t="str">
        <f>'IWP27'!H$438</f>
        <v>E.</v>
      </c>
      <c r="F7424" s="211" t="str">
        <f>'IWP27'!I$438</f>
        <v>F.</v>
      </c>
      <c r="G7424" s="191" t="str">
        <f>IF('IWP27'!J$438=0,"",'IWP27'!J$438)</f>
        <v>G.</v>
      </c>
      <c r="H7424" s="211">
        <f>'IWP27'!K$438</f>
        <v>0</v>
      </c>
      <c r="I7424" s="211" t="str">
        <f>'IWP27'!L$438</f>
        <v>H.</v>
      </c>
      <c r="J7424" s="212" t="str">
        <f>'IWP27'!M$438</f>
        <v>I.</v>
      </c>
      <c r="K7424" s="106"/>
      <c r="L7424" s="106"/>
      <c r="M7424" s="129"/>
    </row>
    <row r="7425" spans="1:13" s="146" customFormat="1">
      <c r="A7425" s="193" t="s">
        <v>525</v>
      </c>
      <c r="B7425" s="210">
        <v>6</v>
      </c>
      <c r="C7425" s="191" t="str">
        <f>IF('IWP27'!E$439=0,"",'IWP27'!E$439)</f>
        <v xml:space="preserve">Items/Services Related to Billing Period </v>
      </c>
      <c r="D7425" s="211">
        <f>'IWP27'!G$439</f>
        <v>0</v>
      </c>
      <c r="E7425" s="211" t="str">
        <f>'IWP27'!H$439</f>
        <v xml:space="preserve">Item/
Service Verified Amounts
</v>
      </c>
      <c r="F7425" s="211" t="str">
        <f>'IWP27'!I$439</f>
        <v>Amount Due to DADS (E. - D.)</v>
      </c>
      <c r="G7425" s="191" t="str">
        <f>IF('IWP27'!J$439=0,"",'IWP27'!J$439)</f>
        <v>Amount Reimbursed to 
Employee(s)/Employer</v>
      </c>
      <c r="H7425" s="211">
        <f>'IWP27'!K$439</f>
        <v>0</v>
      </c>
      <c r="I7425" s="211" t="str">
        <f>'IWP27'!L$439</f>
        <v>Amount Due to Employee(s) (G. - E.)</v>
      </c>
      <c r="J7425" s="212" t="str">
        <f>'IWP27'!M$439</f>
        <v>Amount Due to Employer (G. - E.)</v>
      </c>
      <c r="K7425" s="106"/>
      <c r="L7425" s="106"/>
      <c r="M7425" s="129"/>
    </row>
    <row r="7426" spans="1:13" s="146" customFormat="1">
      <c r="A7426" s="193" t="s">
        <v>525</v>
      </c>
      <c r="B7426" s="210">
        <v>6</v>
      </c>
      <c r="C7426" s="191" t="str">
        <f>IF('IWP27'!E$440=0,"",'IWP27'!E$440)</f>
        <v>Item/Service</v>
      </c>
      <c r="D7426" s="211" t="str">
        <f>'IWP27'!G$440</f>
        <v>Itemized Amount Paid by DADS</v>
      </c>
      <c r="E7426" s="211">
        <f>'IWP27'!H$440</f>
        <v>0</v>
      </c>
      <c r="F7426" s="211">
        <f>'IWP27'!I$440</f>
        <v>0</v>
      </c>
      <c r="G7426" s="191" t="str">
        <f>IF('IWP27'!J$440=0,"",'IWP27'!J$440)</f>
        <v/>
      </c>
      <c r="H7426" s="211">
        <f>'IWP27'!K$440</f>
        <v>0</v>
      </c>
      <c r="I7426" s="211">
        <f>'IWP27'!L$440</f>
        <v>0</v>
      </c>
      <c r="J7426" s="212">
        <f>'IWP27'!M$440</f>
        <v>0</v>
      </c>
      <c r="K7426" s="106"/>
      <c r="L7426" s="106"/>
      <c r="M7426" s="129"/>
    </row>
    <row r="7427" spans="1:13" s="146" customFormat="1">
      <c r="A7427" s="193" t="s">
        <v>525</v>
      </c>
      <c r="B7427" s="210">
        <v>6</v>
      </c>
      <c r="C7427" s="191" t="str">
        <f>IF('IWP27'!E$441=0,"",'IWP27'!E$441)</f>
        <v/>
      </c>
      <c r="D7427" s="211">
        <f>'IWP27'!G$441</f>
        <v>0</v>
      </c>
      <c r="E7427" s="211">
        <f>'IWP27'!H$441</f>
        <v>0</v>
      </c>
      <c r="F7427" s="211">
        <f>'IWP27'!I$441</f>
        <v>0</v>
      </c>
      <c r="G7427" s="191" t="str">
        <f>IF('IWP27'!J$441=0,"",'IWP27'!J$441)</f>
        <v/>
      </c>
      <c r="H7427" s="211">
        <f>'IWP27'!K$441</f>
        <v>0</v>
      </c>
      <c r="I7427" s="211">
        <f>'IWP27'!L$441</f>
        <v>0</v>
      </c>
      <c r="J7427" s="212">
        <f>'IWP27'!M$441</f>
        <v>0</v>
      </c>
      <c r="K7427" s="106"/>
      <c r="L7427" s="106"/>
      <c r="M7427" s="129"/>
    </row>
    <row r="7428" spans="1:13" s="146" customFormat="1">
      <c r="A7428" s="193" t="s">
        <v>525</v>
      </c>
      <c r="B7428" s="210">
        <v>6</v>
      </c>
      <c r="C7428" s="191" t="str">
        <f>IF('IWP27'!E$442=0,"",'IWP27'!E$442)</f>
        <v/>
      </c>
      <c r="D7428" s="211">
        <f>'IWP27'!G$442</f>
        <v>0</v>
      </c>
      <c r="E7428" s="211">
        <f>'IWP27'!H$442</f>
        <v>0</v>
      </c>
      <c r="F7428" s="211">
        <f>'IWP27'!I$442</f>
        <v>0</v>
      </c>
      <c r="G7428" s="191" t="str">
        <f>IF('IWP27'!J$442=0,"",'IWP27'!J$442)</f>
        <v/>
      </c>
      <c r="H7428" s="211">
        <f>'IWP27'!K$442</f>
        <v>0</v>
      </c>
      <c r="I7428" s="211">
        <f>'IWP27'!L$442</f>
        <v>0</v>
      </c>
      <c r="J7428" s="212">
        <f>'IWP27'!M$442</f>
        <v>0</v>
      </c>
      <c r="K7428" s="106"/>
      <c r="L7428" s="106"/>
      <c r="M7428" s="129"/>
    </row>
    <row r="7429" spans="1:13" s="146" customFormat="1">
      <c r="A7429" s="193" t="s">
        <v>525</v>
      </c>
      <c r="B7429" s="210">
        <v>6</v>
      </c>
      <c r="C7429" s="191" t="str">
        <f>IF('IWP27'!E$443=0,"",'IWP27'!E$443)</f>
        <v/>
      </c>
      <c r="D7429" s="211">
        <f>'IWP27'!G$443</f>
        <v>0</v>
      </c>
      <c r="E7429" s="211">
        <f>'IWP27'!H$443</f>
        <v>0</v>
      </c>
      <c r="F7429" s="211">
        <f>'IWP27'!I$443</f>
        <v>0</v>
      </c>
      <c r="G7429" s="191" t="str">
        <f>IF('IWP27'!J$443=0,"",'IWP27'!J$443)</f>
        <v/>
      </c>
      <c r="H7429" s="211">
        <f>'IWP27'!K$443</f>
        <v>0</v>
      </c>
      <c r="I7429" s="211">
        <f>'IWP27'!L$443</f>
        <v>0</v>
      </c>
      <c r="J7429" s="212">
        <f>'IWP27'!M$443</f>
        <v>0</v>
      </c>
      <c r="K7429" s="106"/>
      <c r="L7429" s="106"/>
      <c r="M7429" s="129"/>
    </row>
    <row r="7430" spans="1:13" s="146" customFormat="1">
      <c r="A7430" s="193" t="s">
        <v>525</v>
      </c>
      <c r="B7430" s="210">
        <v>6</v>
      </c>
      <c r="C7430" s="191" t="str">
        <f>IF('IWP27'!E$444=0,"",'IWP27'!E$444)</f>
        <v/>
      </c>
      <c r="D7430" s="211">
        <f>'IWP27'!G$444</f>
        <v>0</v>
      </c>
      <c r="E7430" s="211">
        <f>'IWP27'!H$444</f>
        <v>0</v>
      </c>
      <c r="F7430" s="211">
        <f>'IWP27'!I$444</f>
        <v>0</v>
      </c>
      <c r="G7430" s="191" t="str">
        <f>IF('IWP27'!J$444=0,"",'IWP27'!J$444)</f>
        <v/>
      </c>
      <c r="H7430" s="211">
        <f>'IWP27'!K$444</f>
        <v>0</v>
      </c>
      <c r="I7430" s="211">
        <f>'IWP27'!L$444</f>
        <v>0</v>
      </c>
      <c r="J7430" s="212">
        <f>'IWP27'!M$444</f>
        <v>0</v>
      </c>
      <c r="K7430" s="106"/>
      <c r="L7430" s="106"/>
      <c r="M7430" s="129"/>
    </row>
    <row r="7431" spans="1:13" s="146" customFormat="1">
      <c r="A7431" s="193" t="s">
        <v>525</v>
      </c>
      <c r="B7431" s="210">
        <v>7</v>
      </c>
      <c r="C7431" s="191" t="str">
        <f>IF('IWP27'!E$451=0,"",'IWP27'!E$451)</f>
        <v>Subtotal column D.</v>
      </c>
      <c r="D7431" s="211">
        <f>'IWP27'!G$451</f>
        <v>0</v>
      </c>
      <c r="E7431" s="211">
        <f>'IWP27'!H$451</f>
        <v>0</v>
      </c>
      <c r="F7431" s="211">
        <f>'IWP27'!I$451</f>
        <v>0</v>
      </c>
      <c r="G7431" s="191" t="str">
        <f>IF('IWP27'!J$451=0,"",'IWP27'!J$451)</f>
        <v/>
      </c>
      <c r="H7431" s="211">
        <f>'IWP27'!K$451</f>
        <v>0</v>
      </c>
      <c r="I7431" s="211">
        <f>'IWP27'!L$451</f>
        <v>0</v>
      </c>
      <c r="J7431" s="212">
        <f>'IWP27'!M$451</f>
        <v>0</v>
      </c>
      <c r="K7431" s="106"/>
      <c r="L7431" s="106"/>
      <c r="M7431" s="129"/>
    </row>
    <row r="7432" spans="1:13" s="146" customFormat="1">
      <c r="A7432" s="193" t="s">
        <v>525</v>
      </c>
      <c r="B7432" s="210">
        <v>7</v>
      </c>
      <c r="C7432" s="191" t="str">
        <f>IF('IWP27'!E$452=0,"",'IWP27'!E$452)</f>
        <v>Unverified/Undocumented (Subtotal D - C)</v>
      </c>
      <c r="D7432" s="211">
        <f>'IWP27'!G$452</f>
        <v>0</v>
      </c>
      <c r="E7432" s="211">
        <f>'IWP27'!H$452</f>
        <v>0</v>
      </c>
      <c r="F7432" s="211">
        <f>'IWP27'!I$452</f>
        <v>0</v>
      </c>
      <c r="G7432" s="191" t="str">
        <f>IF('IWP27'!J$452=0,"",'IWP27'!J$452)</f>
        <v/>
      </c>
      <c r="H7432" s="211">
        <f>'IWP27'!K$452</f>
        <v>0</v>
      </c>
      <c r="I7432" s="211">
        <f>'IWP27'!L$452</f>
        <v>0</v>
      </c>
      <c r="J7432" s="212">
        <f>'IWP27'!M$452</f>
        <v>0</v>
      </c>
      <c r="K7432" s="106"/>
      <c r="L7432" s="106"/>
      <c r="M7432" s="129"/>
    </row>
    <row r="7433" spans="1:13" s="146" customFormat="1">
      <c r="A7433" s="193" t="s">
        <v>525</v>
      </c>
      <c r="B7433" s="210">
        <v>7</v>
      </c>
      <c r="C7433" s="191" t="str">
        <f>IF('IWP27'!E$453=0,"",'IWP27'!E$453)</f>
        <v>J. Billing Period Total</v>
      </c>
      <c r="D7433" s="211">
        <f>'IWP27'!G$453</f>
        <v>0</v>
      </c>
      <c r="E7433" s="211">
        <f>'IWP27'!H$453</f>
        <v>0</v>
      </c>
      <c r="F7433" s="211">
        <f>'IWP27'!I$453</f>
        <v>0</v>
      </c>
      <c r="G7433" s="191" t="str">
        <f>IF('IWP27'!J$453=0,"",'IWP27'!J$453)</f>
        <v/>
      </c>
      <c r="H7433" s="211">
        <f>'IWP27'!K$453</f>
        <v>0</v>
      </c>
      <c r="I7433" s="211">
        <f>'IWP27'!L$453</f>
        <v>0</v>
      </c>
      <c r="J7433" s="212">
        <f>'IWP27'!M$453</f>
        <v>0</v>
      </c>
      <c r="K7433" s="106"/>
      <c r="L7433" s="106"/>
      <c r="M7433" s="129"/>
    </row>
    <row r="7434" spans="1:13" s="146" customFormat="1">
      <c r="A7434" s="193" t="s">
        <v>525</v>
      </c>
      <c r="B7434" s="210">
        <v>7</v>
      </c>
      <c r="C7434" s="191" t="str">
        <f>IF('IWP27'!E$454=0,"",'IWP27'!E$454)</f>
        <v>D.</v>
      </c>
      <c r="D7434" s="211">
        <f>'IWP27'!G$454</f>
        <v>0</v>
      </c>
      <c r="E7434" s="211" t="str">
        <f>'IWP27'!H$454</f>
        <v>E.</v>
      </c>
      <c r="F7434" s="211" t="str">
        <f>'IWP27'!I$454</f>
        <v>F.</v>
      </c>
      <c r="G7434" s="191" t="str">
        <f>IF('IWP27'!J$454=0,"",'IWP27'!J$454)</f>
        <v>G.</v>
      </c>
      <c r="H7434" s="211">
        <f>'IWP27'!K$454</f>
        <v>0</v>
      </c>
      <c r="I7434" s="211" t="str">
        <f>'IWP27'!L$454</f>
        <v>H.</v>
      </c>
      <c r="J7434" s="212" t="str">
        <f>'IWP27'!M$454</f>
        <v>I.</v>
      </c>
      <c r="K7434" s="106"/>
      <c r="L7434" s="106"/>
      <c r="M7434" s="129"/>
    </row>
    <row r="7435" spans="1:13" s="146" customFormat="1">
      <c r="A7435" s="193" t="s">
        <v>525</v>
      </c>
      <c r="B7435" s="210">
        <v>7</v>
      </c>
      <c r="C7435" s="191" t="str">
        <f>IF('IWP27'!E$455=0,"",'IWP27'!E$455)</f>
        <v xml:space="preserve">Items/Services Related to Billing Period </v>
      </c>
      <c r="D7435" s="211">
        <f>'IWP27'!G$455</f>
        <v>0</v>
      </c>
      <c r="E7435" s="211" t="str">
        <f>'IWP27'!H$455</f>
        <v xml:space="preserve">Item/
Service Verified Amounts
</v>
      </c>
      <c r="F7435" s="211" t="str">
        <f>'IWP27'!I$455</f>
        <v>Amount Due to DADS (E. - D.)</v>
      </c>
      <c r="G7435" s="191" t="str">
        <f>IF('IWP27'!J$455=0,"",'IWP27'!J$455)</f>
        <v>Amount Reimbursed to 
Employee(s)/Employer</v>
      </c>
      <c r="H7435" s="211">
        <f>'IWP27'!K$455</f>
        <v>0</v>
      </c>
      <c r="I7435" s="211" t="str">
        <f>'IWP27'!L$455</f>
        <v>Amount Due to Employee(s) (G. - E.)</v>
      </c>
      <c r="J7435" s="212" t="str">
        <f>'IWP27'!M$455</f>
        <v>Amount Due to Employer (G. - E.)</v>
      </c>
      <c r="K7435" s="106"/>
      <c r="L7435" s="106"/>
      <c r="M7435" s="129"/>
    </row>
    <row r="7436" spans="1:13" s="146" customFormat="1">
      <c r="A7436" s="193" t="s">
        <v>525</v>
      </c>
      <c r="B7436" s="210">
        <v>7</v>
      </c>
      <c r="C7436" s="191" t="str">
        <f>IF('IWP27'!E$456=0,"",'IWP27'!E$456)</f>
        <v>Item/Service</v>
      </c>
      <c r="D7436" s="211" t="str">
        <f>'IWP27'!G$456</f>
        <v>Itemized Amount Paid by DADS</v>
      </c>
      <c r="E7436" s="211">
        <f>'IWP27'!H$456</f>
        <v>0</v>
      </c>
      <c r="F7436" s="211">
        <f>'IWP27'!I$456</f>
        <v>0</v>
      </c>
      <c r="G7436" s="191" t="str">
        <f>IF('IWP27'!J$456=0,"",'IWP27'!J$456)</f>
        <v/>
      </c>
      <c r="H7436" s="211">
        <f>'IWP27'!K$456</f>
        <v>0</v>
      </c>
      <c r="I7436" s="211">
        <f>'IWP27'!L$456</f>
        <v>0</v>
      </c>
      <c r="J7436" s="212">
        <f>'IWP27'!M$456</f>
        <v>0</v>
      </c>
      <c r="K7436" s="106"/>
      <c r="L7436" s="106"/>
      <c r="M7436" s="129"/>
    </row>
    <row r="7437" spans="1:13" s="146" customFormat="1">
      <c r="A7437" s="193" t="s">
        <v>525</v>
      </c>
      <c r="B7437" s="210">
        <v>7</v>
      </c>
      <c r="C7437" s="191" t="str">
        <f>IF('IWP27'!E$457=0,"",'IWP27'!E$457)</f>
        <v/>
      </c>
      <c r="D7437" s="211">
        <f>'IWP27'!G$457</f>
        <v>0</v>
      </c>
      <c r="E7437" s="211">
        <f>'IWP27'!H$457</f>
        <v>0</v>
      </c>
      <c r="F7437" s="211">
        <f>'IWP27'!I$457</f>
        <v>0</v>
      </c>
      <c r="G7437" s="191" t="str">
        <f>IF('IWP27'!J$457=0,"",'IWP27'!J$457)</f>
        <v/>
      </c>
      <c r="H7437" s="211">
        <f>'IWP27'!K$457</f>
        <v>0</v>
      </c>
      <c r="I7437" s="211">
        <f>'IWP27'!L$457</f>
        <v>0</v>
      </c>
      <c r="J7437" s="212">
        <f>'IWP27'!M$457</f>
        <v>0</v>
      </c>
      <c r="K7437" s="106"/>
      <c r="L7437" s="106"/>
      <c r="M7437" s="129"/>
    </row>
    <row r="7438" spans="1:13" s="146" customFormat="1">
      <c r="A7438" s="193" t="s">
        <v>525</v>
      </c>
      <c r="B7438" s="210">
        <v>7</v>
      </c>
      <c r="C7438" s="191" t="str">
        <f>IF('IWP27'!E$458=0,"",'IWP27'!E$458)</f>
        <v/>
      </c>
      <c r="D7438" s="211">
        <f>'IWP27'!G$458</f>
        <v>0</v>
      </c>
      <c r="E7438" s="211">
        <f>'IWP27'!H$458</f>
        <v>0</v>
      </c>
      <c r="F7438" s="211">
        <f>'IWP27'!I$458</f>
        <v>0</v>
      </c>
      <c r="G7438" s="191" t="str">
        <f>IF('IWP27'!J$458=0,"",'IWP27'!J$458)</f>
        <v/>
      </c>
      <c r="H7438" s="211">
        <f>'IWP27'!K$458</f>
        <v>0</v>
      </c>
      <c r="I7438" s="211">
        <f>'IWP27'!L$458</f>
        <v>0</v>
      </c>
      <c r="J7438" s="212">
        <f>'IWP27'!M$458</f>
        <v>0</v>
      </c>
      <c r="K7438" s="106"/>
      <c r="L7438" s="106"/>
      <c r="M7438" s="129"/>
    </row>
    <row r="7439" spans="1:13" s="146" customFormat="1">
      <c r="A7439" s="193" t="s">
        <v>525</v>
      </c>
      <c r="B7439" s="210">
        <v>7</v>
      </c>
      <c r="C7439" s="191" t="str">
        <f>IF('IWP27'!E$459=0,"",'IWP27'!E$459)</f>
        <v/>
      </c>
      <c r="D7439" s="211">
        <f>'IWP27'!G$459</f>
        <v>0</v>
      </c>
      <c r="E7439" s="211">
        <f>'IWP27'!H$459</f>
        <v>0</v>
      </c>
      <c r="F7439" s="211">
        <f>'IWP27'!I$459</f>
        <v>0</v>
      </c>
      <c r="G7439" s="191" t="str">
        <f>IF('IWP27'!J$459=0,"",'IWP27'!J$459)</f>
        <v/>
      </c>
      <c r="H7439" s="211">
        <f>'IWP27'!K$459</f>
        <v>0</v>
      </c>
      <c r="I7439" s="211">
        <f>'IWP27'!L$459</f>
        <v>0</v>
      </c>
      <c r="J7439" s="212">
        <f>'IWP27'!M$459</f>
        <v>0</v>
      </c>
      <c r="K7439" s="106"/>
      <c r="L7439" s="106"/>
      <c r="M7439" s="129"/>
    </row>
    <row r="7440" spans="1:13" s="146" customFormat="1">
      <c r="A7440" s="193" t="s">
        <v>525</v>
      </c>
      <c r="B7440" s="210">
        <v>7</v>
      </c>
      <c r="C7440" s="191" t="str">
        <f>IF('IWP27'!E$460=0,"",'IWP27'!E$460)</f>
        <v/>
      </c>
      <c r="D7440" s="211">
        <f>'IWP27'!G$460</f>
        <v>0</v>
      </c>
      <c r="E7440" s="211">
        <f>'IWP27'!H$460</f>
        <v>0</v>
      </c>
      <c r="F7440" s="211">
        <f>'IWP27'!I$460</f>
        <v>0</v>
      </c>
      <c r="G7440" s="191" t="str">
        <f>IF('IWP27'!J$460=0,"",'IWP27'!J$460)</f>
        <v/>
      </c>
      <c r="H7440" s="211">
        <f>'IWP27'!K$460</f>
        <v>0</v>
      </c>
      <c r="I7440" s="211">
        <f>'IWP27'!L$460</f>
        <v>0</v>
      </c>
      <c r="J7440" s="212">
        <f>'IWP27'!M$460</f>
        <v>0</v>
      </c>
      <c r="K7440" s="106"/>
      <c r="L7440" s="106"/>
      <c r="M7440" s="129"/>
    </row>
    <row r="7441" spans="1:13" s="146" customFormat="1">
      <c r="A7441" s="193" t="s">
        <v>525</v>
      </c>
      <c r="B7441" s="210">
        <v>8</v>
      </c>
      <c r="C7441" s="191" t="str">
        <f>IF('IWP27'!E$467=0,"",'IWP27'!E$467)</f>
        <v>Subtotal column D.</v>
      </c>
      <c r="D7441" s="211">
        <f>'IWP27'!G$467</f>
        <v>0</v>
      </c>
      <c r="E7441" s="211">
        <f>'IWP27'!H$467</f>
        <v>0</v>
      </c>
      <c r="F7441" s="211">
        <f>'IWP27'!I$467</f>
        <v>0</v>
      </c>
      <c r="G7441" s="191" t="str">
        <f>IF('IWP27'!J$467=0,"",'IWP27'!J$467)</f>
        <v/>
      </c>
      <c r="H7441" s="211">
        <f>'IWP27'!K$467</f>
        <v>0</v>
      </c>
      <c r="I7441" s="211">
        <f>'IWP27'!L$467</f>
        <v>0</v>
      </c>
      <c r="J7441" s="212">
        <f>'IWP27'!M$467</f>
        <v>0</v>
      </c>
      <c r="K7441" s="106"/>
      <c r="L7441" s="106"/>
      <c r="M7441" s="129"/>
    </row>
    <row r="7442" spans="1:13" s="146" customFormat="1">
      <c r="A7442" s="193" t="s">
        <v>525</v>
      </c>
      <c r="B7442" s="210">
        <v>8</v>
      </c>
      <c r="C7442" s="191" t="str">
        <f>IF('IWP27'!E$468=0,"",'IWP27'!E$468)</f>
        <v>Unverified/Undocumented (Subtotal D - C)</v>
      </c>
      <c r="D7442" s="211">
        <f>'IWP27'!G$468</f>
        <v>0</v>
      </c>
      <c r="E7442" s="211">
        <f>'IWP27'!H$468</f>
        <v>0</v>
      </c>
      <c r="F7442" s="211">
        <f>'IWP27'!I$468</f>
        <v>0</v>
      </c>
      <c r="G7442" s="191" t="str">
        <f>IF('IWP27'!J$468=0,"",'IWP27'!J$468)</f>
        <v/>
      </c>
      <c r="H7442" s="211">
        <f>'IWP27'!K$468</f>
        <v>0</v>
      </c>
      <c r="I7442" s="211">
        <f>'IWP27'!L$468</f>
        <v>0</v>
      </c>
      <c r="J7442" s="212">
        <f>'IWP27'!M$468</f>
        <v>0</v>
      </c>
      <c r="K7442" s="106"/>
      <c r="L7442" s="106"/>
      <c r="M7442" s="129"/>
    </row>
    <row r="7443" spans="1:13" s="146" customFormat="1">
      <c r="A7443" s="193" t="s">
        <v>525</v>
      </c>
      <c r="B7443" s="210">
        <v>8</v>
      </c>
      <c r="C7443" s="191" t="str">
        <f>IF('IWP27'!E$469=0,"",'IWP27'!E$469)</f>
        <v>J. Billing Period Total</v>
      </c>
      <c r="D7443" s="211">
        <f>'IWP27'!G$469</f>
        <v>0</v>
      </c>
      <c r="E7443" s="211">
        <f>'IWP27'!H$469</f>
        <v>0</v>
      </c>
      <c r="F7443" s="211">
        <f>'IWP27'!I$469</f>
        <v>0</v>
      </c>
      <c r="G7443" s="191" t="str">
        <f>IF('IWP27'!J$469=0,"",'IWP27'!J$469)</f>
        <v/>
      </c>
      <c r="H7443" s="211">
        <f>'IWP27'!K$469</f>
        <v>0</v>
      </c>
      <c r="I7443" s="211">
        <f>'IWP27'!L$469</f>
        <v>0</v>
      </c>
      <c r="J7443" s="212">
        <f>'IWP27'!M$469</f>
        <v>0</v>
      </c>
      <c r="K7443" s="106"/>
      <c r="L7443" s="106"/>
      <c r="M7443" s="129"/>
    </row>
    <row r="7444" spans="1:13" s="146" customFormat="1">
      <c r="A7444" s="193" t="s">
        <v>525</v>
      </c>
      <c r="B7444" s="210">
        <v>8</v>
      </c>
      <c r="C7444" s="191" t="str">
        <f>IF('IWP27'!E$470=0,"",'IWP27'!E$470)</f>
        <v>D.</v>
      </c>
      <c r="D7444" s="211">
        <f>'IWP27'!G$470</f>
        <v>0</v>
      </c>
      <c r="E7444" s="211" t="str">
        <f>'IWP27'!H$470</f>
        <v>E.</v>
      </c>
      <c r="F7444" s="211" t="str">
        <f>'IWP27'!I$470</f>
        <v>F.</v>
      </c>
      <c r="G7444" s="191" t="str">
        <f>IF('IWP27'!J$470=0,"",'IWP27'!J$470)</f>
        <v>G.</v>
      </c>
      <c r="H7444" s="211">
        <f>'IWP27'!K$470</f>
        <v>0</v>
      </c>
      <c r="I7444" s="211" t="str">
        <f>'IWP27'!L$470</f>
        <v>H.</v>
      </c>
      <c r="J7444" s="212" t="str">
        <f>'IWP27'!M$470</f>
        <v>I.</v>
      </c>
      <c r="K7444" s="106"/>
      <c r="L7444" s="106"/>
      <c r="M7444" s="129"/>
    </row>
    <row r="7445" spans="1:13" s="146" customFormat="1">
      <c r="A7445" s="193" t="s">
        <v>525</v>
      </c>
      <c r="B7445" s="210">
        <v>8</v>
      </c>
      <c r="C7445" s="191" t="str">
        <f>IF('IWP27'!E$471=0,"",'IWP27'!E$471)</f>
        <v xml:space="preserve">Items/Services Related to Billing Period </v>
      </c>
      <c r="D7445" s="211">
        <f>'IWP27'!G$471</f>
        <v>0</v>
      </c>
      <c r="E7445" s="211" t="str">
        <f>'IWP27'!H$471</f>
        <v xml:space="preserve">Item/
Service Verified Amounts
</v>
      </c>
      <c r="F7445" s="211" t="str">
        <f>'IWP27'!I$471</f>
        <v>Amount Due to DADS (E. - D.)</v>
      </c>
      <c r="G7445" s="191" t="str">
        <f>IF('IWP27'!J$471=0,"",'IWP27'!J$471)</f>
        <v>Amount Reimbursed to 
Employee(s)/Employer</v>
      </c>
      <c r="H7445" s="211">
        <f>'IWP27'!K$471</f>
        <v>0</v>
      </c>
      <c r="I7445" s="211" t="str">
        <f>'IWP27'!L$471</f>
        <v>Amount Due to Employee(s) (G. - E.)</v>
      </c>
      <c r="J7445" s="212" t="str">
        <f>'IWP27'!M$471</f>
        <v>Amount Due to Employer (G. - E.)</v>
      </c>
      <c r="K7445" s="106"/>
      <c r="L7445" s="106"/>
      <c r="M7445" s="129"/>
    </row>
    <row r="7446" spans="1:13" s="146" customFormat="1">
      <c r="A7446" s="193" t="s">
        <v>525</v>
      </c>
      <c r="B7446" s="210">
        <v>8</v>
      </c>
      <c r="C7446" s="191" t="str">
        <f>IF('IWP27'!E$472=0,"",'IWP27'!E$472)</f>
        <v>Item/Service</v>
      </c>
      <c r="D7446" s="211" t="str">
        <f>'IWP27'!G$472</f>
        <v>Itemized Amount Paid by DADS</v>
      </c>
      <c r="E7446" s="211">
        <f>'IWP27'!H$472</f>
        <v>0</v>
      </c>
      <c r="F7446" s="211">
        <f>'IWP27'!I$472</f>
        <v>0</v>
      </c>
      <c r="G7446" s="191" t="str">
        <f>IF('IWP27'!J$472=0,"",'IWP27'!J$472)</f>
        <v/>
      </c>
      <c r="H7446" s="211">
        <f>'IWP27'!K$472</f>
        <v>0</v>
      </c>
      <c r="I7446" s="211">
        <f>'IWP27'!L$472</f>
        <v>0</v>
      </c>
      <c r="J7446" s="212">
        <f>'IWP27'!M$472</f>
        <v>0</v>
      </c>
      <c r="K7446" s="106"/>
      <c r="L7446" s="106"/>
      <c r="M7446" s="129"/>
    </row>
    <row r="7447" spans="1:13" s="146" customFormat="1">
      <c r="A7447" s="193" t="s">
        <v>525</v>
      </c>
      <c r="B7447" s="210">
        <v>8</v>
      </c>
      <c r="C7447" s="191" t="str">
        <f>IF('IWP27'!E$473=0,"",'IWP27'!E$473)</f>
        <v/>
      </c>
      <c r="D7447" s="211">
        <f>'IWP27'!G$473</f>
        <v>0</v>
      </c>
      <c r="E7447" s="211">
        <f>'IWP27'!H$473</f>
        <v>0</v>
      </c>
      <c r="F7447" s="211">
        <f>'IWP27'!I$473</f>
        <v>0</v>
      </c>
      <c r="G7447" s="191" t="str">
        <f>IF('IWP27'!J$473=0,"",'IWP27'!J$473)</f>
        <v/>
      </c>
      <c r="H7447" s="211">
        <f>'IWP27'!K$473</f>
        <v>0</v>
      </c>
      <c r="I7447" s="211">
        <f>'IWP27'!L$473</f>
        <v>0</v>
      </c>
      <c r="J7447" s="212">
        <f>'IWP27'!M$473</f>
        <v>0</v>
      </c>
      <c r="K7447" s="106"/>
      <c r="L7447" s="106"/>
      <c r="M7447" s="129"/>
    </row>
    <row r="7448" spans="1:13" s="146" customFormat="1">
      <c r="A7448" s="193" t="s">
        <v>525</v>
      </c>
      <c r="B7448" s="210">
        <v>8</v>
      </c>
      <c r="C7448" s="191" t="str">
        <f>IF('IWP27'!E$474=0,"",'IWP27'!E$474)</f>
        <v/>
      </c>
      <c r="D7448" s="211">
        <f>'IWP27'!G$474</f>
        <v>0</v>
      </c>
      <c r="E7448" s="211">
        <f>'IWP27'!H$474</f>
        <v>0</v>
      </c>
      <c r="F7448" s="211">
        <f>'IWP27'!I$474</f>
        <v>0</v>
      </c>
      <c r="G7448" s="191" t="str">
        <f>IF('IWP27'!J$474=0,"",'IWP27'!J$474)</f>
        <v/>
      </c>
      <c r="H7448" s="211">
        <f>'IWP27'!K$474</f>
        <v>0</v>
      </c>
      <c r="I7448" s="211">
        <f>'IWP27'!L$474</f>
        <v>0</v>
      </c>
      <c r="J7448" s="212">
        <f>'IWP27'!M$474</f>
        <v>0</v>
      </c>
      <c r="K7448" s="106"/>
      <c r="L7448" s="106"/>
      <c r="M7448" s="129"/>
    </row>
    <row r="7449" spans="1:13" s="146" customFormat="1">
      <c r="A7449" s="193" t="s">
        <v>525</v>
      </c>
      <c r="B7449" s="210">
        <v>8</v>
      </c>
      <c r="C7449" s="191" t="str">
        <f>IF('IWP27'!E$475=0,"",'IWP27'!E$475)</f>
        <v/>
      </c>
      <c r="D7449" s="211">
        <f>'IWP27'!G$475</f>
        <v>0</v>
      </c>
      <c r="E7449" s="211">
        <f>'IWP27'!H$475</f>
        <v>0</v>
      </c>
      <c r="F7449" s="211">
        <f>'IWP27'!I$475</f>
        <v>0</v>
      </c>
      <c r="G7449" s="191" t="str">
        <f>IF('IWP27'!J$475=0,"",'IWP27'!J$475)</f>
        <v/>
      </c>
      <c r="H7449" s="211">
        <f>'IWP27'!K$475</f>
        <v>0</v>
      </c>
      <c r="I7449" s="211">
        <f>'IWP27'!L$475</f>
        <v>0</v>
      </c>
      <c r="J7449" s="212">
        <f>'IWP27'!M$475</f>
        <v>0</v>
      </c>
      <c r="K7449" s="106"/>
      <c r="L7449" s="106"/>
      <c r="M7449" s="129"/>
    </row>
    <row r="7450" spans="1:13" s="146" customFormat="1">
      <c r="A7450" s="193" t="s">
        <v>525</v>
      </c>
      <c r="B7450" s="210">
        <v>8</v>
      </c>
      <c r="C7450" s="191" t="str">
        <f>IF('IWP27'!E$476=0,"",'IWP27'!E$476)</f>
        <v/>
      </c>
      <c r="D7450" s="211">
        <f>'IWP27'!G$476</f>
        <v>0</v>
      </c>
      <c r="E7450" s="211">
        <f>'IWP27'!H$476</f>
        <v>0</v>
      </c>
      <c r="F7450" s="211">
        <f>'IWP27'!I$476</f>
        <v>0</v>
      </c>
      <c r="G7450" s="191" t="str">
        <f>IF('IWP27'!J$476=0,"",'IWP27'!J$476)</f>
        <v/>
      </c>
      <c r="H7450" s="211">
        <f>'IWP27'!K$476</f>
        <v>0</v>
      </c>
      <c r="I7450" s="211">
        <f>'IWP27'!L$476</f>
        <v>0</v>
      </c>
      <c r="J7450" s="212">
        <f>'IWP27'!M$476</f>
        <v>0</v>
      </c>
      <c r="K7450" s="106"/>
      <c r="L7450" s="106"/>
      <c r="M7450" s="129"/>
    </row>
    <row r="7451" spans="1:13" s="146" customFormat="1">
      <c r="A7451" s="193" t="s">
        <v>525</v>
      </c>
      <c r="B7451" s="210">
        <v>9</v>
      </c>
      <c r="C7451" s="191" t="str">
        <f>IF('IWP27'!E$483=0,"",'IWP27'!E$483)</f>
        <v>Subtotal column D.</v>
      </c>
      <c r="D7451" s="211">
        <f>'IWP27'!G$483</f>
        <v>0</v>
      </c>
      <c r="E7451" s="211">
        <f>'IWP27'!H$483</f>
        <v>0</v>
      </c>
      <c r="F7451" s="211">
        <f>'IWP27'!I$483</f>
        <v>0</v>
      </c>
      <c r="G7451" s="191" t="str">
        <f>IF('IWP27'!J$483=0,"",'IWP27'!J$483)</f>
        <v/>
      </c>
      <c r="H7451" s="211">
        <f>'IWP27'!K$483</f>
        <v>0</v>
      </c>
      <c r="I7451" s="211">
        <f>'IWP27'!L$483</f>
        <v>0</v>
      </c>
      <c r="J7451" s="212">
        <f>'IWP27'!M$483</f>
        <v>0</v>
      </c>
      <c r="K7451" s="106"/>
      <c r="L7451" s="106"/>
      <c r="M7451" s="129"/>
    </row>
    <row r="7452" spans="1:13" s="146" customFormat="1">
      <c r="A7452" s="193" t="s">
        <v>525</v>
      </c>
      <c r="B7452" s="210">
        <v>9</v>
      </c>
      <c r="C7452" s="191" t="str">
        <f>IF('IWP27'!E$484=0,"",'IWP27'!E$484)</f>
        <v>Unverified/Undocumented (Subtotal D - C)</v>
      </c>
      <c r="D7452" s="211">
        <f>'IWP27'!G$484</f>
        <v>0</v>
      </c>
      <c r="E7452" s="211">
        <f>'IWP27'!H$484</f>
        <v>0</v>
      </c>
      <c r="F7452" s="211">
        <f>'IWP27'!I$484</f>
        <v>0</v>
      </c>
      <c r="G7452" s="191" t="str">
        <f>IF('IWP27'!J$484=0,"",'IWP27'!J$484)</f>
        <v/>
      </c>
      <c r="H7452" s="211">
        <f>'IWP27'!K$484</f>
        <v>0</v>
      </c>
      <c r="I7452" s="211">
        <f>'IWP27'!L$484</f>
        <v>0</v>
      </c>
      <c r="J7452" s="212">
        <f>'IWP27'!M$484</f>
        <v>0</v>
      </c>
      <c r="K7452" s="106"/>
      <c r="L7452" s="106"/>
      <c r="M7452" s="129"/>
    </row>
    <row r="7453" spans="1:13" s="146" customFormat="1">
      <c r="A7453" s="193" t="s">
        <v>525</v>
      </c>
      <c r="B7453" s="210">
        <v>9</v>
      </c>
      <c r="C7453" s="191" t="str">
        <f>IF('IWP27'!E$485=0,"",'IWP27'!E$485)</f>
        <v>J. Billing Period Total</v>
      </c>
      <c r="D7453" s="211">
        <f>'IWP27'!G$485</f>
        <v>0</v>
      </c>
      <c r="E7453" s="211">
        <f>'IWP27'!H$485</f>
        <v>0</v>
      </c>
      <c r="F7453" s="211">
        <f>'IWP27'!I$485</f>
        <v>0</v>
      </c>
      <c r="G7453" s="191" t="str">
        <f>IF('IWP27'!J$485=0,"",'IWP27'!J$485)</f>
        <v/>
      </c>
      <c r="H7453" s="211">
        <f>'IWP27'!K$485</f>
        <v>0</v>
      </c>
      <c r="I7453" s="211">
        <f>'IWP27'!L$485</f>
        <v>0</v>
      </c>
      <c r="J7453" s="212">
        <f>'IWP27'!M$485</f>
        <v>0</v>
      </c>
      <c r="K7453" s="106"/>
      <c r="L7453" s="106"/>
      <c r="M7453" s="129"/>
    </row>
    <row r="7454" spans="1:13" s="146" customFormat="1">
      <c r="A7454" s="193" t="s">
        <v>525</v>
      </c>
      <c r="B7454" s="210">
        <v>9</v>
      </c>
      <c r="C7454" s="191" t="str">
        <f>IF('IWP27'!E$486=0,"",'IWP27'!E$486)</f>
        <v>D.</v>
      </c>
      <c r="D7454" s="211">
        <f>'IWP27'!G$486</f>
        <v>0</v>
      </c>
      <c r="E7454" s="211" t="str">
        <f>'IWP27'!H$486</f>
        <v>E.</v>
      </c>
      <c r="F7454" s="211" t="str">
        <f>'IWP27'!I$486</f>
        <v>F.</v>
      </c>
      <c r="G7454" s="191" t="str">
        <f>IF('IWP27'!J$486=0,"",'IWP27'!J$486)</f>
        <v>G.</v>
      </c>
      <c r="H7454" s="211">
        <f>'IWP27'!K$486</f>
        <v>0</v>
      </c>
      <c r="I7454" s="211" t="str">
        <f>'IWP27'!L$486</f>
        <v>H.</v>
      </c>
      <c r="J7454" s="212" t="str">
        <f>'IWP27'!M$486</f>
        <v>I.</v>
      </c>
      <c r="K7454" s="106"/>
      <c r="L7454" s="106"/>
      <c r="M7454" s="129"/>
    </row>
    <row r="7455" spans="1:13" s="146" customFormat="1">
      <c r="A7455" s="193" t="s">
        <v>525</v>
      </c>
      <c r="B7455" s="210">
        <v>9</v>
      </c>
      <c r="C7455" s="191" t="str">
        <f>IF('IWP27'!E$487=0,"",'IWP27'!E$487)</f>
        <v xml:space="preserve">Items/Services Related to Billing Period </v>
      </c>
      <c r="D7455" s="211">
        <f>'IWP27'!G$487</f>
        <v>0</v>
      </c>
      <c r="E7455" s="211" t="str">
        <f>'IWP27'!H$487</f>
        <v xml:space="preserve">Item/
Service Verified Amounts
</v>
      </c>
      <c r="F7455" s="211" t="str">
        <f>'IWP27'!I$487</f>
        <v>Amount Due to DADS (E. - D.)</v>
      </c>
      <c r="G7455" s="191" t="str">
        <f>IF('IWP27'!J$487=0,"",'IWP27'!J$487)</f>
        <v>Amount Reimbursed to 
Employee(s)/Employer</v>
      </c>
      <c r="H7455" s="211">
        <f>'IWP27'!K$487</f>
        <v>0</v>
      </c>
      <c r="I7455" s="211" t="str">
        <f>'IWP27'!L$487</f>
        <v>Amount Due to Employee(s) (G. - E.)</v>
      </c>
      <c r="J7455" s="212" t="str">
        <f>'IWP27'!M$487</f>
        <v>Amount Due to Employer (G. - E.)</v>
      </c>
      <c r="K7455" s="106"/>
      <c r="L7455" s="106"/>
      <c r="M7455" s="129"/>
    </row>
    <row r="7456" spans="1:13" s="146" customFormat="1">
      <c r="A7456" s="193" t="s">
        <v>525</v>
      </c>
      <c r="B7456" s="210">
        <v>9</v>
      </c>
      <c r="C7456" s="191" t="str">
        <f>IF('IWP27'!E$488=0,"",'IWP27'!E$488)</f>
        <v>Item/Service</v>
      </c>
      <c r="D7456" s="211" t="str">
        <f>'IWP27'!G$488</f>
        <v>Itemized Amount Paid by DADS</v>
      </c>
      <c r="E7456" s="211">
        <f>'IWP27'!H$488</f>
        <v>0</v>
      </c>
      <c r="F7456" s="211">
        <f>'IWP27'!I$488</f>
        <v>0</v>
      </c>
      <c r="G7456" s="191" t="str">
        <f>IF('IWP27'!J$488=0,"",'IWP27'!J$488)</f>
        <v/>
      </c>
      <c r="H7456" s="211">
        <f>'IWP27'!K$488</f>
        <v>0</v>
      </c>
      <c r="I7456" s="211">
        <f>'IWP27'!L$488</f>
        <v>0</v>
      </c>
      <c r="J7456" s="212">
        <f>'IWP27'!M$488</f>
        <v>0</v>
      </c>
      <c r="K7456" s="106"/>
      <c r="L7456" s="106"/>
      <c r="M7456" s="129"/>
    </row>
    <row r="7457" spans="1:13" s="146" customFormat="1">
      <c r="A7457" s="193" t="s">
        <v>525</v>
      </c>
      <c r="B7457" s="210">
        <v>9</v>
      </c>
      <c r="C7457" s="191" t="str">
        <f>IF('IWP27'!E$489=0,"",'IWP27'!E$489)</f>
        <v/>
      </c>
      <c r="D7457" s="211">
        <f>'IWP27'!G$489</f>
        <v>0</v>
      </c>
      <c r="E7457" s="211">
        <f>'IWP27'!H$489</f>
        <v>0</v>
      </c>
      <c r="F7457" s="211">
        <f>'IWP27'!I$489</f>
        <v>0</v>
      </c>
      <c r="G7457" s="191" t="str">
        <f>IF('IWP27'!J$489=0,"",'IWP27'!J$489)</f>
        <v/>
      </c>
      <c r="H7457" s="211">
        <f>'IWP27'!K$489</f>
        <v>0</v>
      </c>
      <c r="I7457" s="211">
        <f>'IWP27'!L$489</f>
        <v>0</v>
      </c>
      <c r="J7457" s="212">
        <f>'IWP27'!M$489</f>
        <v>0</v>
      </c>
      <c r="K7457" s="106"/>
      <c r="L7457" s="106"/>
      <c r="M7457" s="129"/>
    </row>
    <row r="7458" spans="1:13" s="146" customFormat="1">
      <c r="A7458" s="193" t="s">
        <v>525</v>
      </c>
      <c r="B7458" s="210">
        <v>9</v>
      </c>
      <c r="C7458" s="191" t="str">
        <f>IF('IWP27'!E$490=0,"",'IWP27'!E$490)</f>
        <v/>
      </c>
      <c r="D7458" s="211">
        <f>'IWP27'!G$490</f>
        <v>0</v>
      </c>
      <c r="E7458" s="211">
        <f>'IWP27'!H$490</f>
        <v>0</v>
      </c>
      <c r="F7458" s="211">
        <f>'IWP27'!I$490</f>
        <v>0</v>
      </c>
      <c r="G7458" s="191" t="str">
        <f>IF('IWP27'!J$490=0,"",'IWP27'!J$490)</f>
        <v/>
      </c>
      <c r="H7458" s="211">
        <f>'IWP27'!K$490</f>
        <v>0</v>
      </c>
      <c r="I7458" s="211">
        <f>'IWP27'!L$490</f>
        <v>0</v>
      </c>
      <c r="J7458" s="212">
        <f>'IWP27'!M$490</f>
        <v>0</v>
      </c>
      <c r="K7458" s="106"/>
      <c r="L7458" s="106"/>
      <c r="M7458" s="129"/>
    </row>
    <row r="7459" spans="1:13" s="146" customFormat="1">
      <c r="A7459" s="193" t="s">
        <v>525</v>
      </c>
      <c r="B7459" s="210">
        <v>9</v>
      </c>
      <c r="C7459" s="191" t="str">
        <f>IF('IWP27'!E$491=0,"",'IWP27'!E$491)</f>
        <v/>
      </c>
      <c r="D7459" s="211">
        <f>'IWP27'!G$491</f>
        <v>0</v>
      </c>
      <c r="E7459" s="211">
        <f>'IWP27'!H$491</f>
        <v>0</v>
      </c>
      <c r="F7459" s="211">
        <f>'IWP27'!I$491</f>
        <v>0</v>
      </c>
      <c r="G7459" s="191" t="str">
        <f>IF('IWP27'!J$491=0,"",'IWP27'!J$491)</f>
        <v/>
      </c>
      <c r="H7459" s="211">
        <f>'IWP27'!K$491</f>
        <v>0</v>
      </c>
      <c r="I7459" s="211">
        <f>'IWP27'!L$491</f>
        <v>0</v>
      </c>
      <c r="J7459" s="212">
        <f>'IWP27'!M$491</f>
        <v>0</v>
      </c>
      <c r="K7459" s="106"/>
      <c r="L7459" s="106"/>
      <c r="M7459" s="129"/>
    </row>
    <row r="7460" spans="1:13" s="146" customFormat="1">
      <c r="A7460" s="193" t="s">
        <v>525</v>
      </c>
      <c r="B7460" s="210">
        <v>9</v>
      </c>
      <c r="C7460" s="191" t="str">
        <f>IF('IWP27'!E$492=0,"",'IWP27'!E$492)</f>
        <v/>
      </c>
      <c r="D7460" s="211">
        <f>'IWP27'!G$492</f>
        <v>0</v>
      </c>
      <c r="E7460" s="211">
        <f>'IWP27'!H$492</f>
        <v>0</v>
      </c>
      <c r="F7460" s="211">
        <f>'IWP27'!I$492</f>
        <v>0</v>
      </c>
      <c r="G7460" s="191" t="str">
        <f>IF('IWP27'!J$492=0,"",'IWP27'!J$492)</f>
        <v/>
      </c>
      <c r="H7460" s="211">
        <f>'IWP27'!K$492</f>
        <v>0</v>
      </c>
      <c r="I7460" s="211">
        <f>'IWP27'!L$492</f>
        <v>0</v>
      </c>
      <c r="J7460" s="212">
        <f>'IWP27'!M$492</f>
        <v>0</v>
      </c>
      <c r="K7460" s="106"/>
      <c r="L7460" s="106"/>
      <c r="M7460" s="129"/>
    </row>
    <row r="7461" spans="1:13" s="146" customFormat="1">
      <c r="A7461" s="193" t="s">
        <v>525</v>
      </c>
      <c r="B7461" s="210">
        <v>10</v>
      </c>
      <c r="C7461" s="191" t="str">
        <f>IF('IWP27'!E$499=0,"",'IWP27'!E$499)</f>
        <v>Subtotal column D.</v>
      </c>
      <c r="D7461" s="211">
        <f>'IWP27'!G$499</f>
        <v>0</v>
      </c>
      <c r="E7461" s="211">
        <f>'IWP27'!H$499</f>
        <v>0</v>
      </c>
      <c r="F7461" s="211">
        <f>'IWP27'!I$499</f>
        <v>0</v>
      </c>
      <c r="G7461" s="191" t="str">
        <f>IF('IWP27'!J$499=0,"",'IWP27'!J$499)</f>
        <v/>
      </c>
      <c r="H7461" s="211">
        <f>'IWP27'!K$499</f>
        <v>0</v>
      </c>
      <c r="I7461" s="211">
        <f>'IWP27'!L$499</f>
        <v>0</v>
      </c>
      <c r="J7461" s="212">
        <f>'IWP27'!M$499</f>
        <v>0</v>
      </c>
      <c r="K7461" s="106"/>
      <c r="L7461" s="106"/>
      <c r="M7461" s="129"/>
    </row>
    <row r="7462" spans="1:13" s="146" customFormat="1">
      <c r="A7462" s="193" t="s">
        <v>525</v>
      </c>
      <c r="B7462" s="210">
        <v>10</v>
      </c>
      <c r="C7462" s="191" t="str">
        <f>IF('IWP27'!E$500=0,"",'IWP27'!E$500)</f>
        <v>Unverified/Undocumented (Subtotal D - C)</v>
      </c>
      <c r="D7462" s="211">
        <f>'IWP27'!G$500</f>
        <v>0</v>
      </c>
      <c r="E7462" s="211">
        <f>'IWP27'!H$500</f>
        <v>0</v>
      </c>
      <c r="F7462" s="211">
        <f>'IWP27'!I$500</f>
        <v>0</v>
      </c>
      <c r="G7462" s="191" t="str">
        <f>IF('IWP27'!J$500=0,"",'IWP27'!J$500)</f>
        <v/>
      </c>
      <c r="H7462" s="211">
        <f>'IWP27'!K$500</f>
        <v>0</v>
      </c>
      <c r="I7462" s="211">
        <f>'IWP27'!L$500</f>
        <v>0</v>
      </c>
      <c r="J7462" s="212">
        <f>'IWP27'!M$500</f>
        <v>0</v>
      </c>
      <c r="K7462" s="106"/>
      <c r="L7462" s="106"/>
      <c r="M7462" s="129"/>
    </row>
    <row r="7463" spans="1:13" s="146" customFormat="1">
      <c r="A7463" s="193" t="s">
        <v>525</v>
      </c>
      <c r="B7463" s="210">
        <v>10</v>
      </c>
      <c r="C7463" s="191" t="str">
        <f>IF('IWP27'!E$501=0,"",'IWP27'!E$501)</f>
        <v>J. Billing Period Total</v>
      </c>
      <c r="D7463" s="211">
        <f>'IWP27'!G$501</f>
        <v>0</v>
      </c>
      <c r="E7463" s="211">
        <f>'IWP27'!H$501</f>
        <v>0</v>
      </c>
      <c r="F7463" s="211">
        <f>'IWP27'!I$501</f>
        <v>0</v>
      </c>
      <c r="G7463" s="191" t="str">
        <f>IF('IWP27'!J$501=0,"",'IWP27'!J$501)</f>
        <v/>
      </c>
      <c r="H7463" s="211">
        <f>'IWP27'!K$501</f>
        <v>0</v>
      </c>
      <c r="I7463" s="211">
        <f>'IWP27'!L$501</f>
        <v>0</v>
      </c>
      <c r="J7463" s="212">
        <f>'IWP27'!M$501</f>
        <v>0</v>
      </c>
      <c r="K7463" s="106"/>
      <c r="L7463" s="106"/>
      <c r="M7463" s="129"/>
    </row>
    <row r="7464" spans="1:13" s="146" customFormat="1">
      <c r="A7464" s="193" t="s">
        <v>525</v>
      </c>
      <c r="B7464" s="210">
        <v>10</v>
      </c>
      <c r="C7464" s="191" t="str">
        <f>IF('IWP27'!E$502=0,"",'IWP27'!E$502)</f>
        <v>D.</v>
      </c>
      <c r="D7464" s="211">
        <f>'IWP27'!G$502</f>
        <v>0</v>
      </c>
      <c r="E7464" s="211" t="str">
        <f>'IWP27'!H$502</f>
        <v>E.</v>
      </c>
      <c r="F7464" s="211" t="str">
        <f>'IWP27'!I$502</f>
        <v>F.</v>
      </c>
      <c r="G7464" s="191" t="str">
        <f>IF('IWP27'!J$502=0,"",'IWP27'!J$502)</f>
        <v>G.</v>
      </c>
      <c r="H7464" s="211">
        <f>'IWP27'!K$502</f>
        <v>0</v>
      </c>
      <c r="I7464" s="211" t="str">
        <f>'IWP27'!L$502</f>
        <v>H.</v>
      </c>
      <c r="J7464" s="212" t="str">
        <f>'IWP27'!M$502</f>
        <v>I.</v>
      </c>
      <c r="K7464" s="106"/>
      <c r="L7464" s="106"/>
      <c r="M7464" s="129"/>
    </row>
    <row r="7465" spans="1:13" s="146" customFormat="1">
      <c r="A7465" s="193" t="s">
        <v>525</v>
      </c>
      <c r="B7465" s="210">
        <v>10</v>
      </c>
      <c r="C7465" s="191" t="str">
        <f>IF('IWP27'!E$503=0,"",'IWP27'!E$503)</f>
        <v xml:space="preserve">Items/Services Related to Billing Period </v>
      </c>
      <c r="D7465" s="211">
        <f>'IWP27'!G$503</f>
        <v>0</v>
      </c>
      <c r="E7465" s="211" t="str">
        <f>'IWP27'!H$503</f>
        <v xml:space="preserve">Item/
Service Verified Amounts
</v>
      </c>
      <c r="F7465" s="211" t="str">
        <f>'IWP27'!I$503</f>
        <v>Amount Due to DADS (E. - D.)</v>
      </c>
      <c r="G7465" s="191" t="str">
        <f>IF('IWP27'!J$503=0,"",'IWP27'!J$503)</f>
        <v>Amount Reimbursed to 
Employee(s)/Employer</v>
      </c>
      <c r="H7465" s="211">
        <f>'IWP27'!K$503</f>
        <v>0</v>
      </c>
      <c r="I7465" s="211" t="str">
        <f>'IWP27'!L$503</f>
        <v>Amount Due to Employee(s) (G. - E.)</v>
      </c>
      <c r="J7465" s="212" t="str">
        <f>'IWP27'!M$503</f>
        <v>Amount Due to Employer (G. - E.)</v>
      </c>
      <c r="K7465" s="106"/>
      <c r="L7465" s="106"/>
      <c r="M7465" s="129"/>
    </row>
    <row r="7466" spans="1:13" s="146" customFormat="1">
      <c r="A7466" s="193" t="s">
        <v>525</v>
      </c>
      <c r="B7466" s="210">
        <v>10</v>
      </c>
      <c r="C7466" s="191" t="str">
        <f>IF('IWP27'!E$504=0,"",'IWP27'!E$504)</f>
        <v>Item/Service</v>
      </c>
      <c r="D7466" s="211" t="str">
        <f>'IWP27'!G$504</f>
        <v>Itemized Amount Paid by DADS</v>
      </c>
      <c r="E7466" s="211">
        <f>'IWP27'!H$504</f>
        <v>0</v>
      </c>
      <c r="F7466" s="211">
        <f>'IWP27'!I$504</f>
        <v>0</v>
      </c>
      <c r="G7466" s="191" t="str">
        <f>IF('IWP27'!J$504=0,"",'IWP27'!J$504)</f>
        <v/>
      </c>
      <c r="H7466" s="211">
        <f>'IWP27'!K$504</f>
        <v>0</v>
      </c>
      <c r="I7466" s="211">
        <f>'IWP27'!L$504</f>
        <v>0</v>
      </c>
      <c r="J7466" s="212">
        <f>'IWP27'!M$504</f>
        <v>0</v>
      </c>
      <c r="K7466" s="106"/>
      <c r="L7466" s="106"/>
      <c r="M7466" s="129"/>
    </row>
    <row r="7467" spans="1:13" s="146" customFormat="1">
      <c r="A7467" s="193" t="s">
        <v>525</v>
      </c>
      <c r="B7467" s="210">
        <v>10</v>
      </c>
      <c r="C7467" s="191" t="str">
        <f>IF('IWP27'!E$505=0,"",'IWP27'!E$505)</f>
        <v/>
      </c>
      <c r="D7467" s="211">
        <f>'IWP27'!G$505</f>
        <v>0</v>
      </c>
      <c r="E7467" s="211">
        <f>'IWP27'!H$505</f>
        <v>0</v>
      </c>
      <c r="F7467" s="211">
        <f>'IWP27'!I$505</f>
        <v>0</v>
      </c>
      <c r="G7467" s="191" t="str">
        <f>IF('IWP27'!J$505=0,"",'IWP27'!J$505)</f>
        <v/>
      </c>
      <c r="H7467" s="211">
        <f>'IWP27'!K$505</f>
        <v>0</v>
      </c>
      <c r="I7467" s="211">
        <f>'IWP27'!L$505</f>
        <v>0</v>
      </c>
      <c r="J7467" s="212">
        <f>'IWP27'!M$505</f>
        <v>0</v>
      </c>
      <c r="K7467" s="106"/>
      <c r="L7467" s="106"/>
      <c r="M7467" s="129"/>
    </row>
    <row r="7468" spans="1:13" s="146" customFormat="1">
      <c r="A7468" s="193" t="s">
        <v>525</v>
      </c>
      <c r="B7468" s="210">
        <v>10</v>
      </c>
      <c r="C7468" s="191" t="str">
        <f>IF('IWP27'!E$506=0,"",'IWP27'!E$506)</f>
        <v/>
      </c>
      <c r="D7468" s="211">
        <f>'IWP27'!G$506</f>
        <v>0</v>
      </c>
      <c r="E7468" s="211">
        <f>'IWP27'!H$506</f>
        <v>0</v>
      </c>
      <c r="F7468" s="211">
        <f>'IWP27'!I$506</f>
        <v>0</v>
      </c>
      <c r="G7468" s="191" t="str">
        <f>IF('IWP27'!J$506=0,"",'IWP27'!J$506)</f>
        <v/>
      </c>
      <c r="H7468" s="211">
        <f>'IWP27'!K$506</f>
        <v>0</v>
      </c>
      <c r="I7468" s="211">
        <f>'IWP27'!L$506</f>
        <v>0</v>
      </c>
      <c r="J7468" s="212">
        <f>'IWP27'!M$506</f>
        <v>0</v>
      </c>
      <c r="K7468" s="106"/>
      <c r="L7468" s="106"/>
      <c r="M7468" s="129"/>
    </row>
    <row r="7469" spans="1:13" s="146" customFormat="1">
      <c r="A7469" s="193" t="s">
        <v>525</v>
      </c>
      <c r="B7469" s="210">
        <v>10</v>
      </c>
      <c r="C7469" s="191" t="str">
        <f>IF('IWP27'!E$507=0,"",'IWP27'!E$507)</f>
        <v/>
      </c>
      <c r="D7469" s="211">
        <f>'IWP27'!G$507</f>
        <v>0</v>
      </c>
      <c r="E7469" s="211">
        <f>'IWP27'!H$507</f>
        <v>0</v>
      </c>
      <c r="F7469" s="211">
        <f>'IWP27'!I$507</f>
        <v>0</v>
      </c>
      <c r="G7469" s="191" t="str">
        <f>IF('IWP27'!J$507=0,"",'IWP27'!J$507)</f>
        <v/>
      </c>
      <c r="H7469" s="211">
        <f>'IWP27'!K$507</f>
        <v>0</v>
      </c>
      <c r="I7469" s="211">
        <f>'IWP27'!L$507</f>
        <v>0</v>
      </c>
      <c r="J7469" s="212">
        <f>'IWP27'!M$507</f>
        <v>0</v>
      </c>
      <c r="K7469" s="106"/>
      <c r="L7469" s="106"/>
      <c r="M7469" s="129"/>
    </row>
    <row r="7470" spans="1:13" s="146" customFormat="1">
      <c r="A7470" s="193" t="s">
        <v>525</v>
      </c>
      <c r="B7470" s="210">
        <v>10</v>
      </c>
      <c r="C7470" s="191" t="str">
        <f>IF('IWP27'!E$508=0,"",'IWP27'!E$508)</f>
        <v/>
      </c>
      <c r="D7470" s="211">
        <f>'IWP27'!G$508</f>
        <v>0</v>
      </c>
      <c r="E7470" s="211">
        <f>'IWP27'!H$508</f>
        <v>0</v>
      </c>
      <c r="F7470" s="211">
        <f>'IWP27'!I$508</f>
        <v>0</v>
      </c>
      <c r="G7470" s="191" t="str">
        <f>IF('IWP27'!J$508=0,"",'IWP27'!J$508)</f>
        <v/>
      </c>
      <c r="H7470" s="211">
        <f>'IWP27'!K$508</f>
        <v>0</v>
      </c>
      <c r="I7470" s="211">
        <f>'IWP27'!L$508</f>
        <v>0</v>
      </c>
      <c r="J7470" s="212">
        <f>'IWP27'!M$508</f>
        <v>0</v>
      </c>
      <c r="K7470" s="106"/>
      <c r="L7470" s="106"/>
      <c r="M7470" s="129"/>
    </row>
    <row r="7471" spans="1:13" s="146" customFormat="1">
      <c r="A7471" s="193" t="s">
        <v>525</v>
      </c>
      <c r="B7471" s="210">
        <v>11</v>
      </c>
      <c r="C7471" s="191" t="str">
        <f>IF('IWP27'!E$515=0,"",'IWP27'!E$515)</f>
        <v>Subtotal column D.</v>
      </c>
      <c r="D7471" s="211">
        <f>'IWP27'!G$515</f>
        <v>0</v>
      </c>
      <c r="E7471" s="211">
        <f>'IWP27'!H$515</f>
        <v>0</v>
      </c>
      <c r="F7471" s="211">
        <f>'IWP27'!I$515</f>
        <v>0</v>
      </c>
      <c r="G7471" s="191" t="str">
        <f>IF('IWP27'!J$515=0,"",'IWP27'!J$515)</f>
        <v/>
      </c>
      <c r="H7471" s="211">
        <f>'IWP27'!K$515</f>
        <v>0</v>
      </c>
      <c r="I7471" s="211">
        <f>'IWP27'!L$515</f>
        <v>0</v>
      </c>
      <c r="J7471" s="212">
        <f>'IWP27'!M$515</f>
        <v>0</v>
      </c>
      <c r="K7471" s="106"/>
      <c r="L7471" s="106"/>
      <c r="M7471" s="129"/>
    </row>
    <row r="7472" spans="1:13" s="146" customFormat="1">
      <c r="A7472" s="193" t="s">
        <v>525</v>
      </c>
      <c r="B7472" s="210">
        <v>11</v>
      </c>
      <c r="C7472" s="191" t="str">
        <f>IF('IWP27'!E$516=0,"",'IWP27'!E$516)</f>
        <v>Unverified/Undocumented (Subtotal D - C)</v>
      </c>
      <c r="D7472" s="211">
        <f>'IWP27'!G$516</f>
        <v>0</v>
      </c>
      <c r="E7472" s="211">
        <f>'IWP27'!H$516</f>
        <v>0</v>
      </c>
      <c r="F7472" s="211">
        <f>'IWP27'!I$516</f>
        <v>0</v>
      </c>
      <c r="G7472" s="191" t="str">
        <f>IF('IWP27'!J$516=0,"",'IWP27'!J$516)</f>
        <v/>
      </c>
      <c r="H7472" s="211">
        <f>'IWP27'!K$516</f>
        <v>0</v>
      </c>
      <c r="I7472" s="211">
        <f>'IWP27'!L$516</f>
        <v>0</v>
      </c>
      <c r="J7472" s="212">
        <f>'IWP27'!M$516</f>
        <v>0</v>
      </c>
      <c r="K7472" s="106"/>
      <c r="L7472" s="106"/>
      <c r="M7472" s="129"/>
    </row>
    <row r="7473" spans="1:13" s="146" customFormat="1">
      <c r="A7473" s="193" t="s">
        <v>525</v>
      </c>
      <c r="B7473" s="210">
        <v>11</v>
      </c>
      <c r="C7473" s="191" t="str">
        <f>IF('IWP27'!E$517=0,"",'IWP27'!E$517)</f>
        <v>J. Billing Period Total</v>
      </c>
      <c r="D7473" s="211">
        <f>'IWP27'!G$517</f>
        <v>0</v>
      </c>
      <c r="E7473" s="211">
        <f>'IWP27'!H$517</f>
        <v>0</v>
      </c>
      <c r="F7473" s="211">
        <f>'IWP27'!I$517</f>
        <v>0</v>
      </c>
      <c r="G7473" s="191" t="str">
        <f>IF('IWP27'!J$517=0,"",'IWP27'!J$517)</f>
        <v/>
      </c>
      <c r="H7473" s="211">
        <f>'IWP27'!K$517</f>
        <v>0</v>
      </c>
      <c r="I7473" s="211">
        <f>'IWP27'!L$517</f>
        <v>0</v>
      </c>
      <c r="J7473" s="212">
        <f>'IWP27'!M$517</f>
        <v>0</v>
      </c>
      <c r="K7473" s="106"/>
      <c r="L7473" s="106"/>
      <c r="M7473" s="129"/>
    </row>
    <row r="7474" spans="1:13" s="146" customFormat="1">
      <c r="A7474" s="193" t="s">
        <v>525</v>
      </c>
      <c r="B7474" s="210">
        <v>11</v>
      </c>
      <c r="C7474" s="191" t="str">
        <f>IF('IWP27'!E$518=0,"",'IWP27'!E$518)</f>
        <v>D.</v>
      </c>
      <c r="D7474" s="211">
        <f>'IWP27'!G$518</f>
        <v>0</v>
      </c>
      <c r="E7474" s="211" t="str">
        <f>'IWP27'!H$518</f>
        <v>E.</v>
      </c>
      <c r="F7474" s="211" t="str">
        <f>'IWP27'!I$518</f>
        <v>F.</v>
      </c>
      <c r="G7474" s="191" t="str">
        <f>IF('IWP27'!J$518=0,"",'IWP27'!J$518)</f>
        <v>G.</v>
      </c>
      <c r="H7474" s="211">
        <f>'IWP27'!K$518</f>
        <v>0</v>
      </c>
      <c r="I7474" s="211" t="str">
        <f>'IWP27'!L$518</f>
        <v>H.</v>
      </c>
      <c r="J7474" s="212" t="str">
        <f>'IWP27'!M$518</f>
        <v>I.</v>
      </c>
      <c r="K7474" s="106"/>
      <c r="L7474" s="106"/>
      <c r="M7474" s="129"/>
    </row>
    <row r="7475" spans="1:13" s="146" customFormat="1">
      <c r="A7475" s="193" t="s">
        <v>525</v>
      </c>
      <c r="B7475" s="210">
        <v>11</v>
      </c>
      <c r="C7475" s="191" t="str">
        <f>IF('IWP27'!E$519=0,"",'IWP27'!E$519)</f>
        <v xml:space="preserve">Items/Services Related to Billing Period </v>
      </c>
      <c r="D7475" s="211">
        <f>'IWP27'!G$519</f>
        <v>0</v>
      </c>
      <c r="E7475" s="211" t="str">
        <f>'IWP27'!H$519</f>
        <v xml:space="preserve">Item/
Service Verified Amounts
</v>
      </c>
      <c r="F7475" s="211" t="str">
        <f>'IWP27'!I$519</f>
        <v>Amount Due to DADS (E. - D.)</v>
      </c>
      <c r="G7475" s="191" t="str">
        <f>IF('IWP27'!J$519=0,"",'IWP27'!J$519)</f>
        <v>Amount Reimbursed to 
Employee(s)/Employer</v>
      </c>
      <c r="H7475" s="211">
        <f>'IWP27'!K$519</f>
        <v>0</v>
      </c>
      <c r="I7475" s="211" t="str">
        <f>'IWP27'!L$519</f>
        <v>Amount Due to Employee(s) (G. - E.)</v>
      </c>
      <c r="J7475" s="212" t="str">
        <f>'IWP27'!M$519</f>
        <v>Amount Due to Employer (G. - E.)</v>
      </c>
      <c r="K7475" s="106"/>
      <c r="L7475" s="106"/>
      <c r="M7475" s="129"/>
    </row>
    <row r="7476" spans="1:13" s="146" customFormat="1">
      <c r="A7476" s="193" t="s">
        <v>525</v>
      </c>
      <c r="B7476" s="210">
        <v>11</v>
      </c>
      <c r="C7476" s="191" t="str">
        <f>IF('IWP27'!E$520=0,"",'IWP27'!E$520)</f>
        <v>Item/Service</v>
      </c>
      <c r="D7476" s="211" t="str">
        <f>'IWP27'!G$520</f>
        <v>Itemized Amount Paid by DADS</v>
      </c>
      <c r="E7476" s="211">
        <f>'IWP27'!H$520</f>
        <v>0</v>
      </c>
      <c r="F7476" s="211">
        <f>'IWP27'!I$520</f>
        <v>0</v>
      </c>
      <c r="G7476" s="191" t="str">
        <f>IF('IWP27'!J$520=0,"",'IWP27'!J$520)</f>
        <v/>
      </c>
      <c r="H7476" s="211">
        <f>'IWP27'!K$520</f>
        <v>0</v>
      </c>
      <c r="I7476" s="211">
        <f>'IWP27'!L$520</f>
        <v>0</v>
      </c>
      <c r="J7476" s="212">
        <f>'IWP27'!M$520</f>
        <v>0</v>
      </c>
      <c r="K7476" s="106"/>
      <c r="L7476" s="106"/>
      <c r="M7476" s="129"/>
    </row>
    <row r="7477" spans="1:13" s="146" customFormat="1">
      <c r="A7477" s="193" t="s">
        <v>525</v>
      </c>
      <c r="B7477" s="210">
        <v>11</v>
      </c>
      <c r="C7477" s="191" t="str">
        <f>IF('IWP27'!E$521=0,"",'IWP27'!E$521)</f>
        <v/>
      </c>
      <c r="D7477" s="211">
        <f>'IWP27'!G$521</f>
        <v>0</v>
      </c>
      <c r="E7477" s="211">
        <f>'IWP27'!H$521</f>
        <v>0</v>
      </c>
      <c r="F7477" s="211">
        <f>'IWP27'!I$521</f>
        <v>0</v>
      </c>
      <c r="G7477" s="191" t="str">
        <f>IF('IWP27'!J$521=0,"",'IWP27'!J$521)</f>
        <v/>
      </c>
      <c r="H7477" s="211">
        <f>'IWP27'!K$521</f>
        <v>0</v>
      </c>
      <c r="I7477" s="211">
        <f>'IWP27'!L$521</f>
        <v>0</v>
      </c>
      <c r="J7477" s="212">
        <f>'IWP27'!M$521</f>
        <v>0</v>
      </c>
      <c r="K7477" s="106"/>
      <c r="L7477" s="106"/>
      <c r="M7477" s="129"/>
    </row>
    <row r="7478" spans="1:13" s="146" customFormat="1">
      <c r="A7478" s="193" t="s">
        <v>525</v>
      </c>
      <c r="B7478" s="210">
        <v>11</v>
      </c>
      <c r="C7478" s="191" t="str">
        <f>IF('IWP27'!E$522=0,"",'IWP27'!E$522)</f>
        <v/>
      </c>
      <c r="D7478" s="211">
        <f>'IWP27'!G$522</f>
        <v>0</v>
      </c>
      <c r="E7478" s="211">
        <f>'IWP27'!H$522</f>
        <v>0</v>
      </c>
      <c r="F7478" s="211">
        <f>'IWP27'!I$522</f>
        <v>0</v>
      </c>
      <c r="G7478" s="191" t="str">
        <f>IF('IWP27'!J$522=0,"",'IWP27'!J$522)</f>
        <v/>
      </c>
      <c r="H7478" s="211">
        <f>'IWP27'!K$522</f>
        <v>0</v>
      </c>
      <c r="I7478" s="211">
        <f>'IWP27'!L$522</f>
        <v>0</v>
      </c>
      <c r="J7478" s="212">
        <f>'IWP27'!M$522</f>
        <v>0</v>
      </c>
      <c r="K7478" s="106"/>
      <c r="L7478" s="106"/>
      <c r="M7478" s="129"/>
    </row>
    <row r="7479" spans="1:13" s="146" customFormat="1">
      <c r="A7479" s="193" t="s">
        <v>525</v>
      </c>
      <c r="B7479" s="210">
        <v>11</v>
      </c>
      <c r="C7479" s="191" t="str">
        <f>IF('IWP27'!E$523=0,"",'IWP27'!E$523)</f>
        <v/>
      </c>
      <c r="D7479" s="211">
        <f>'IWP27'!G$523</f>
        <v>0</v>
      </c>
      <c r="E7479" s="211">
        <f>'IWP27'!H$523</f>
        <v>0</v>
      </c>
      <c r="F7479" s="211">
        <f>'IWP27'!I$523</f>
        <v>0</v>
      </c>
      <c r="G7479" s="191" t="str">
        <f>IF('IWP27'!J$523=0,"",'IWP27'!J$523)</f>
        <v/>
      </c>
      <c r="H7479" s="211">
        <f>'IWP27'!K$523</f>
        <v>0</v>
      </c>
      <c r="I7479" s="211">
        <f>'IWP27'!L$523</f>
        <v>0</v>
      </c>
      <c r="J7479" s="212">
        <f>'IWP27'!M$523</f>
        <v>0</v>
      </c>
      <c r="K7479" s="106"/>
      <c r="L7479" s="106"/>
      <c r="M7479" s="129"/>
    </row>
    <row r="7480" spans="1:13" s="146" customFormat="1">
      <c r="A7480" s="193" t="s">
        <v>525</v>
      </c>
      <c r="B7480" s="210">
        <v>11</v>
      </c>
      <c r="C7480" s="191" t="str">
        <f>IF('IWP27'!E$524=0,"",'IWP27'!E$524)</f>
        <v/>
      </c>
      <c r="D7480" s="211">
        <f>'IWP27'!G$524</f>
        <v>0</v>
      </c>
      <c r="E7480" s="211">
        <f>'IWP27'!H$524</f>
        <v>0</v>
      </c>
      <c r="F7480" s="211">
        <f>'IWP27'!I$524</f>
        <v>0</v>
      </c>
      <c r="G7480" s="191" t="str">
        <f>IF('IWP27'!J$524=0,"",'IWP27'!J$524)</f>
        <v/>
      </c>
      <c r="H7480" s="211">
        <f>'IWP27'!K$524</f>
        <v>0</v>
      </c>
      <c r="I7480" s="211">
        <f>'IWP27'!L$524</f>
        <v>0</v>
      </c>
      <c r="J7480" s="212">
        <f>'IWP27'!M$524</f>
        <v>0</v>
      </c>
      <c r="K7480" s="106"/>
      <c r="L7480" s="106"/>
      <c r="M7480" s="129"/>
    </row>
    <row r="7481" spans="1:13" s="146" customFormat="1">
      <c r="A7481" s="193" t="s">
        <v>525</v>
      </c>
      <c r="B7481" s="210">
        <v>12</v>
      </c>
      <c r="C7481" s="191" t="str">
        <f>IF('IWP27'!E$531=0,"",'IWP27'!E$531)</f>
        <v>Subtotal column D.</v>
      </c>
      <c r="D7481" s="211">
        <f>'IWP27'!G$531</f>
        <v>0</v>
      </c>
      <c r="E7481" s="211">
        <f>'IWP27'!H$531</f>
        <v>0</v>
      </c>
      <c r="F7481" s="211">
        <f>'IWP27'!I$531</f>
        <v>0</v>
      </c>
      <c r="G7481" s="191" t="str">
        <f>IF('IWP27'!J$531=0,"",'IWP27'!J$531)</f>
        <v/>
      </c>
      <c r="H7481" s="211">
        <f>'IWP27'!K$531</f>
        <v>0</v>
      </c>
      <c r="I7481" s="211">
        <f>'IWP27'!L$531</f>
        <v>0</v>
      </c>
      <c r="J7481" s="212">
        <f>'IWP27'!M$531</f>
        <v>0</v>
      </c>
      <c r="K7481" s="106"/>
      <c r="L7481" s="106"/>
      <c r="M7481" s="129"/>
    </row>
    <row r="7482" spans="1:13" s="146" customFormat="1">
      <c r="A7482" s="193" t="s">
        <v>525</v>
      </c>
      <c r="B7482" s="210">
        <v>12</v>
      </c>
      <c r="C7482" s="191" t="str">
        <f>IF('IWP27'!E$532=0,"",'IWP27'!E$532)</f>
        <v>Unverified/Undocumented (Subtotal D - C)</v>
      </c>
      <c r="D7482" s="211">
        <f>'IWP27'!G$532</f>
        <v>0</v>
      </c>
      <c r="E7482" s="211">
        <f>'IWP27'!H$532</f>
        <v>0</v>
      </c>
      <c r="F7482" s="211">
        <f>'IWP27'!I$532</f>
        <v>0</v>
      </c>
      <c r="G7482" s="191" t="str">
        <f>IF('IWP27'!J$532=0,"",'IWP27'!J$532)</f>
        <v/>
      </c>
      <c r="H7482" s="211">
        <f>'IWP27'!K$532</f>
        <v>0</v>
      </c>
      <c r="I7482" s="211">
        <f>'IWP27'!L$532</f>
        <v>0</v>
      </c>
      <c r="J7482" s="212">
        <f>'IWP27'!M$532</f>
        <v>0</v>
      </c>
      <c r="K7482" s="106"/>
      <c r="L7482" s="106"/>
      <c r="M7482" s="129"/>
    </row>
    <row r="7483" spans="1:13" s="146" customFormat="1">
      <c r="A7483" s="193" t="s">
        <v>525</v>
      </c>
      <c r="B7483" s="210">
        <v>12</v>
      </c>
      <c r="C7483" s="191" t="str">
        <f>IF('IWP27'!E$533=0,"",'IWP27'!E$533)</f>
        <v>J. Billing Period Total</v>
      </c>
      <c r="D7483" s="211">
        <f>'IWP27'!G$533</f>
        <v>0</v>
      </c>
      <c r="E7483" s="211">
        <f>'IWP27'!H$533</f>
        <v>0</v>
      </c>
      <c r="F7483" s="211">
        <f>'IWP27'!I$533</f>
        <v>0</v>
      </c>
      <c r="G7483" s="191" t="str">
        <f>IF('IWP27'!J$533=0,"",'IWP27'!J$533)</f>
        <v/>
      </c>
      <c r="H7483" s="211">
        <f>'IWP27'!K$533</f>
        <v>0</v>
      </c>
      <c r="I7483" s="211">
        <f>'IWP27'!L$533</f>
        <v>0</v>
      </c>
      <c r="J7483" s="212">
        <f>'IWP27'!M$533</f>
        <v>0</v>
      </c>
      <c r="K7483" s="106"/>
      <c r="L7483" s="106"/>
      <c r="M7483" s="129"/>
    </row>
    <row r="7484" spans="1:13" s="146" customFormat="1">
      <c r="A7484" s="193" t="s">
        <v>525</v>
      </c>
      <c r="B7484" s="210">
        <v>12</v>
      </c>
      <c r="C7484" s="191" t="str">
        <f>IF('IWP27'!E$534=0,"",'IWP27'!E$534)</f>
        <v>D.</v>
      </c>
      <c r="D7484" s="211">
        <f>'IWP27'!G$534</f>
        <v>0</v>
      </c>
      <c r="E7484" s="211" t="str">
        <f>'IWP27'!H$534</f>
        <v>E.</v>
      </c>
      <c r="F7484" s="211" t="str">
        <f>'IWP27'!I$534</f>
        <v>F.</v>
      </c>
      <c r="G7484" s="191" t="str">
        <f>IF('IWP27'!J$534=0,"",'IWP27'!J$534)</f>
        <v>G.</v>
      </c>
      <c r="H7484" s="211">
        <f>'IWP27'!K$534</f>
        <v>0</v>
      </c>
      <c r="I7484" s="211" t="str">
        <f>'IWP27'!L$534</f>
        <v>H.</v>
      </c>
      <c r="J7484" s="212" t="str">
        <f>'IWP27'!M$534</f>
        <v>I.</v>
      </c>
      <c r="K7484" s="106"/>
      <c r="L7484" s="106"/>
      <c r="M7484" s="129"/>
    </row>
    <row r="7485" spans="1:13" s="146" customFormat="1">
      <c r="A7485" s="193" t="s">
        <v>525</v>
      </c>
      <c r="B7485" s="210">
        <v>12</v>
      </c>
      <c r="C7485" s="191" t="str">
        <f>IF('IWP27'!E$535=0,"",'IWP27'!E$535)</f>
        <v xml:space="preserve">Items/Services Related to Billing Period </v>
      </c>
      <c r="D7485" s="211">
        <f>'IWP27'!G$535</f>
        <v>0</v>
      </c>
      <c r="E7485" s="211" t="str">
        <f>'IWP27'!H$535</f>
        <v xml:space="preserve">Item/
Service Verified Amounts
</v>
      </c>
      <c r="F7485" s="211" t="str">
        <f>'IWP27'!I$535</f>
        <v>Amount Due to DADS (E. - D.)</v>
      </c>
      <c r="G7485" s="191" t="str">
        <f>IF('IWP27'!J$535=0,"",'IWP27'!J$535)</f>
        <v>Amount Reimbursed to 
Employee(s)/Employer</v>
      </c>
      <c r="H7485" s="211">
        <f>'IWP27'!K$535</f>
        <v>0</v>
      </c>
      <c r="I7485" s="211" t="str">
        <f>'IWP27'!L$535</f>
        <v>Amount Due to Employee(s) (G. - E.)</v>
      </c>
      <c r="J7485" s="212" t="str">
        <f>'IWP27'!M$535</f>
        <v>Amount Due to Employer (G. - E.)</v>
      </c>
      <c r="K7485" s="106"/>
      <c r="L7485" s="106"/>
      <c r="M7485" s="129"/>
    </row>
    <row r="7486" spans="1:13" s="146" customFormat="1">
      <c r="A7486" s="193" t="s">
        <v>525</v>
      </c>
      <c r="B7486" s="210">
        <v>12</v>
      </c>
      <c r="C7486" s="191" t="str">
        <f>IF('IWP27'!E$536=0,"",'IWP27'!E$536)</f>
        <v>Item/Service</v>
      </c>
      <c r="D7486" s="211" t="str">
        <f>'IWP27'!G$536</f>
        <v>Itemized Amount Paid by DADS</v>
      </c>
      <c r="E7486" s="211">
        <f>'IWP27'!H$536</f>
        <v>0</v>
      </c>
      <c r="F7486" s="211">
        <f>'IWP27'!I$536</f>
        <v>0</v>
      </c>
      <c r="G7486" s="191" t="str">
        <f>IF('IWP27'!J$536=0,"",'IWP27'!J$536)</f>
        <v/>
      </c>
      <c r="H7486" s="211">
        <f>'IWP27'!K$536</f>
        <v>0</v>
      </c>
      <c r="I7486" s="211">
        <f>'IWP27'!L$536</f>
        <v>0</v>
      </c>
      <c r="J7486" s="212">
        <f>'IWP27'!M$536</f>
        <v>0</v>
      </c>
      <c r="K7486" s="106"/>
      <c r="L7486" s="106"/>
      <c r="M7486" s="129"/>
    </row>
    <row r="7487" spans="1:13" s="146" customFormat="1">
      <c r="A7487" s="193" t="s">
        <v>525</v>
      </c>
      <c r="B7487" s="210">
        <v>12</v>
      </c>
      <c r="C7487" s="191" t="str">
        <f>IF('IWP27'!E$537=0,"",'IWP27'!E$537)</f>
        <v/>
      </c>
      <c r="D7487" s="211">
        <f>'IWP27'!G$537</f>
        <v>0</v>
      </c>
      <c r="E7487" s="211">
        <f>'IWP27'!H$537</f>
        <v>0</v>
      </c>
      <c r="F7487" s="211">
        <f>'IWP27'!I$537</f>
        <v>0</v>
      </c>
      <c r="G7487" s="191" t="str">
        <f>IF('IWP27'!J$537=0,"",'IWP27'!J$537)</f>
        <v/>
      </c>
      <c r="H7487" s="211">
        <f>'IWP27'!K$537</f>
        <v>0</v>
      </c>
      <c r="I7487" s="211">
        <f>'IWP27'!L$537</f>
        <v>0</v>
      </c>
      <c r="J7487" s="212">
        <f>'IWP27'!M$537</f>
        <v>0</v>
      </c>
      <c r="K7487" s="106"/>
      <c r="L7487" s="106"/>
      <c r="M7487" s="129"/>
    </row>
    <row r="7488" spans="1:13" s="146" customFormat="1">
      <c r="A7488" s="193" t="s">
        <v>525</v>
      </c>
      <c r="B7488" s="210">
        <v>12</v>
      </c>
      <c r="C7488" s="191" t="str">
        <f>IF('IWP27'!E$538=0,"",'IWP27'!E$538)</f>
        <v/>
      </c>
      <c r="D7488" s="211">
        <f>'IWP27'!G$538</f>
        <v>0</v>
      </c>
      <c r="E7488" s="211">
        <f>'IWP27'!H$538</f>
        <v>0</v>
      </c>
      <c r="F7488" s="211">
        <f>'IWP27'!I$538</f>
        <v>0</v>
      </c>
      <c r="G7488" s="191" t="str">
        <f>IF('IWP27'!J$538=0,"",'IWP27'!J$538)</f>
        <v/>
      </c>
      <c r="H7488" s="211">
        <f>'IWP27'!K$538</f>
        <v>0</v>
      </c>
      <c r="I7488" s="211">
        <f>'IWP27'!L$538</f>
        <v>0</v>
      </c>
      <c r="J7488" s="212">
        <f>'IWP27'!M$538</f>
        <v>0</v>
      </c>
      <c r="K7488" s="106"/>
      <c r="L7488" s="106"/>
      <c r="M7488" s="129"/>
    </row>
    <row r="7489" spans="1:13" s="146" customFormat="1">
      <c r="A7489" s="193" t="s">
        <v>525</v>
      </c>
      <c r="B7489" s="210">
        <v>12</v>
      </c>
      <c r="C7489" s="191" t="str">
        <f>IF('IWP27'!E$539=0,"",'IWP27'!E$539)</f>
        <v/>
      </c>
      <c r="D7489" s="211">
        <f>'IWP27'!G$539</f>
        <v>0</v>
      </c>
      <c r="E7489" s="211">
        <f>'IWP27'!H$539</f>
        <v>0</v>
      </c>
      <c r="F7489" s="211">
        <f>'IWP27'!I$539</f>
        <v>0</v>
      </c>
      <c r="G7489" s="191" t="str">
        <f>IF('IWP27'!J$539=0,"",'IWP27'!J$539)</f>
        <v/>
      </c>
      <c r="H7489" s="211">
        <f>'IWP27'!K$539</f>
        <v>0</v>
      </c>
      <c r="I7489" s="211">
        <f>'IWP27'!L$539</f>
        <v>0</v>
      </c>
      <c r="J7489" s="212">
        <f>'IWP27'!M$539</f>
        <v>0</v>
      </c>
      <c r="K7489" s="106"/>
      <c r="L7489" s="106"/>
      <c r="M7489" s="129"/>
    </row>
    <row r="7490" spans="1:13" s="146" customFormat="1">
      <c r="A7490" s="193" t="s">
        <v>525</v>
      </c>
      <c r="B7490" s="210">
        <v>12</v>
      </c>
      <c r="C7490" s="191" t="str">
        <f>IF('IWP27'!E$540=0,"",'IWP27'!E$540)</f>
        <v/>
      </c>
      <c r="D7490" s="211">
        <f>'IWP27'!G$540</f>
        <v>0</v>
      </c>
      <c r="E7490" s="211">
        <f>'IWP27'!H$540</f>
        <v>0</v>
      </c>
      <c r="F7490" s="211">
        <f>'IWP27'!I$540</f>
        <v>0</v>
      </c>
      <c r="G7490" s="191" t="str">
        <f>IF('IWP27'!J$540=0,"",'IWP27'!J$540)</f>
        <v/>
      </c>
      <c r="H7490" s="211">
        <f>'IWP27'!K$540</f>
        <v>0</v>
      </c>
      <c r="I7490" s="211">
        <f>'IWP27'!L$540</f>
        <v>0</v>
      </c>
      <c r="J7490" s="212">
        <f>'IWP27'!M$540</f>
        <v>0</v>
      </c>
      <c r="K7490" s="106"/>
      <c r="L7490" s="106"/>
      <c r="M7490" s="129"/>
    </row>
    <row r="7491" spans="1:13" s="146" customFormat="1">
      <c r="A7491" s="193" t="s">
        <v>525</v>
      </c>
      <c r="B7491" s="210">
        <v>13</v>
      </c>
      <c r="C7491" s="191" t="str">
        <f>IF('IWP27'!E$547=0,"",'IWP27'!E$547)</f>
        <v>Subtotal column D.</v>
      </c>
      <c r="D7491" s="211">
        <f>'IWP27'!G$547</f>
        <v>0</v>
      </c>
      <c r="E7491" s="211">
        <f>'IWP27'!H$547</f>
        <v>0</v>
      </c>
      <c r="F7491" s="211">
        <f>'IWP27'!I$547</f>
        <v>0</v>
      </c>
      <c r="G7491" s="191" t="str">
        <f>IF('IWP27'!J$547=0,"",'IWP27'!J$547)</f>
        <v/>
      </c>
      <c r="H7491" s="211">
        <f>'IWP27'!K$547</f>
        <v>0</v>
      </c>
      <c r="I7491" s="211">
        <f>'IWP27'!L$547</f>
        <v>0</v>
      </c>
      <c r="J7491" s="212">
        <f>'IWP27'!M$547</f>
        <v>0</v>
      </c>
      <c r="K7491" s="106"/>
      <c r="L7491" s="106"/>
      <c r="M7491" s="129"/>
    </row>
    <row r="7492" spans="1:13" s="146" customFormat="1">
      <c r="A7492" s="193" t="s">
        <v>525</v>
      </c>
      <c r="B7492" s="210">
        <v>13</v>
      </c>
      <c r="C7492" s="191" t="str">
        <f>IF('IWP27'!E$548=0,"",'IWP27'!E$548)</f>
        <v>Unverified/Undocumented (Subtotal D - C)</v>
      </c>
      <c r="D7492" s="211">
        <f>'IWP27'!G$548</f>
        <v>0</v>
      </c>
      <c r="E7492" s="211">
        <f>'IWP27'!H$548</f>
        <v>0</v>
      </c>
      <c r="F7492" s="211">
        <f>'IWP27'!I$548</f>
        <v>0</v>
      </c>
      <c r="G7492" s="191" t="str">
        <f>IF('IWP27'!J$548=0,"",'IWP27'!J$548)</f>
        <v/>
      </c>
      <c r="H7492" s="211">
        <f>'IWP27'!K$548</f>
        <v>0</v>
      </c>
      <c r="I7492" s="211">
        <f>'IWP27'!L$548</f>
        <v>0</v>
      </c>
      <c r="J7492" s="212">
        <f>'IWP27'!M$548</f>
        <v>0</v>
      </c>
      <c r="K7492" s="106"/>
      <c r="L7492" s="106"/>
      <c r="M7492" s="129"/>
    </row>
    <row r="7493" spans="1:13" s="146" customFormat="1">
      <c r="A7493" s="193" t="s">
        <v>525</v>
      </c>
      <c r="B7493" s="210">
        <v>13</v>
      </c>
      <c r="C7493" s="191" t="str">
        <f>IF('IWP27'!E$549=0,"",'IWP27'!E$549)</f>
        <v>J. Billing Period Total</v>
      </c>
      <c r="D7493" s="211">
        <f>'IWP27'!G$549</f>
        <v>0</v>
      </c>
      <c r="E7493" s="211">
        <f>'IWP27'!H$549</f>
        <v>0</v>
      </c>
      <c r="F7493" s="211">
        <f>'IWP27'!I$549</f>
        <v>0</v>
      </c>
      <c r="G7493" s="191" t="str">
        <f>IF('IWP27'!J$549=0,"",'IWP27'!J$549)</f>
        <v/>
      </c>
      <c r="H7493" s="211">
        <f>'IWP27'!K$549</f>
        <v>0</v>
      </c>
      <c r="I7493" s="211">
        <f>'IWP27'!L$549</f>
        <v>0</v>
      </c>
      <c r="J7493" s="212">
        <f>'IWP27'!M$549</f>
        <v>0</v>
      </c>
      <c r="K7493" s="106"/>
      <c r="L7493" s="106"/>
      <c r="M7493" s="129"/>
    </row>
    <row r="7494" spans="1:13" s="146" customFormat="1">
      <c r="A7494" s="193" t="s">
        <v>525</v>
      </c>
      <c r="B7494" s="210">
        <v>13</v>
      </c>
      <c r="C7494" s="191" t="str">
        <f>IF('IWP27'!E$550=0,"",'IWP27'!E$550)</f>
        <v>D.</v>
      </c>
      <c r="D7494" s="211">
        <f>'IWP27'!G$550</f>
        <v>0</v>
      </c>
      <c r="E7494" s="211" t="str">
        <f>'IWP27'!H$550</f>
        <v>E.</v>
      </c>
      <c r="F7494" s="211" t="str">
        <f>'IWP27'!I$550</f>
        <v>F.</v>
      </c>
      <c r="G7494" s="191" t="str">
        <f>IF('IWP27'!J$550=0,"",'IWP27'!J$550)</f>
        <v>G.</v>
      </c>
      <c r="H7494" s="211">
        <f>'IWP27'!K$550</f>
        <v>0</v>
      </c>
      <c r="I7494" s="211" t="str">
        <f>'IWP27'!L$550</f>
        <v>H.</v>
      </c>
      <c r="J7494" s="212" t="str">
        <f>'IWP27'!M$550</f>
        <v>I.</v>
      </c>
      <c r="K7494" s="106"/>
      <c r="L7494" s="106"/>
      <c r="M7494" s="129"/>
    </row>
    <row r="7495" spans="1:13" s="146" customFormat="1">
      <c r="A7495" s="193" t="s">
        <v>525</v>
      </c>
      <c r="B7495" s="210">
        <v>13</v>
      </c>
      <c r="C7495" s="191" t="str">
        <f>IF('IWP27'!E$551=0,"",'IWP27'!E$551)</f>
        <v xml:space="preserve">Items/Services Related to Billing Period </v>
      </c>
      <c r="D7495" s="211">
        <f>'IWP27'!G$551</f>
        <v>0</v>
      </c>
      <c r="E7495" s="211" t="str">
        <f>'IWP27'!H$551</f>
        <v xml:space="preserve">Item/
Service Verified Amounts
</v>
      </c>
      <c r="F7495" s="211" t="str">
        <f>'IWP27'!I$551</f>
        <v>Amount Due to DADS (E. - D.)</v>
      </c>
      <c r="G7495" s="191" t="str">
        <f>IF('IWP27'!J$551=0,"",'IWP27'!J$551)</f>
        <v>Amount Reimbursed to 
Employee(s)/Employer</v>
      </c>
      <c r="H7495" s="211">
        <f>'IWP27'!K$551</f>
        <v>0</v>
      </c>
      <c r="I7495" s="211" t="str">
        <f>'IWP27'!L$551</f>
        <v>Amount Due to Employee(s) (G. - E.)</v>
      </c>
      <c r="J7495" s="212" t="str">
        <f>'IWP27'!M$551</f>
        <v>Amount Due to Employer (G. - E.)</v>
      </c>
      <c r="K7495" s="106"/>
      <c r="L7495" s="106"/>
      <c r="M7495" s="129"/>
    </row>
    <row r="7496" spans="1:13" s="146" customFormat="1">
      <c r="A7496" s="193" t="s">
        <v>525</v>
      </c>
      <c r="B7496" s="210">
        <v>13</v>
      </c>
      <c r="C7496" s="191" t="str">
        <f>IF('IWP27'!E$552=0,"",'IWP27'!E$552)</f>
        <v>Item/Service</v>
      </c>
      <c r="D7496" s="211" t="str">
        <f>'IWP27'!G$552</f>
        <v>Itemized Amount Paid by DADS</v>
      </c>
      <c r="E7496" s="211">
        <f>'IWP27'!H$552</f>
        <v>0</v>
      </c>
      <c r="F7496" s="211">
        <f>'IWP27'!I$552</f>
        <v>0</v>
      </c>
      <c r="G7496" s="191" t="str">
        <f>IF('IWP27'!J$552=0,"",'IWP27'!J$552)</f>
        <v/>
      </c>
      <c r="H7496" s="211">
        <f>'IWP27'!K$552</f>
        <v>0</v>
      </c>
      <c r="I7496" s="211">
        <f>'IWP27'!L$552</f>
        <v>0</v>
      </c>
      <c r="J7496" s="212">
        <f>'IWP27'!M$552</f>
        <v>0</v>
      </c>
      <c r="K7496" s="106"/>
      <c r="L7496" s="106"/>
      <c r="M7496" s="129"/>
    </row>
    <row r="7497" spans="1:13" s="146" customFormat="1">
      <c r="A7497" s="193" t="s">
        <v>525</v>
      </c>
      <c r="B7497" s="210">
        <v>13</v>
      </c>
      <c r="C7497" s="191" t="str">
        <f>IF('IWP27'!E$553=0,"",'IWP27'!E$553)</f>
        <v/>
      </c>
      <c r="D7497" s="211">
        <f>'IWP27'!G$553</f>
        <v>0</v>
      </c>
      <c r="E7497" s="211">
        <f>'IWP27'!H$553</f>
        <v>0</v>
      </c>
      <c r="F7497" s="211">
        <f>'IWP27'!I$553</f>
        <v>0</v>
      </c>
      <c r="G7497" s="191" t="str">
        <f>IF('IWP27'!J$553=0,"",'IWP27'!J$553)</f>
        <v/>
      </c>
      <c r="H7497" s="211">
        <f>'IWP27'!K$553</f>
        <v>0</v>
      </c>
      <c r="I7497" s="211">
        <f>'IWP27'!L$553</f>
        <v>0</v>
      </c>
      <c r="J7497" s="212">
        <f>'IWP27'!M$553</f>
        <v>0</v>
      </c>
      <c r="K7497" s="106"/>
      <c r="L7497" s="106"/>
      <c r="M7497" s="129"/>
    </row>
    <row r="7498" spans="1:13" s="146" customFormat="1">
      <c r="A7498" s="193" t="s">
        <v>525</v>
      </c>
      <c r="B7498" s="210">
        <v>13</v>
      </c>
      <c r="C7498" s="191" t="str">
        <f>IF('IWP27'!E$554=0,"",'IWP27'!E$554)</f>
        <v/>
      </c>
      <c r="D7498" s="211">
        <f>'IWP27'!G$554</f>
        <v>0</v>
      </c>
      <c r="E7498" s="211">
        <f>'IWP27'!H$554</f>
        <v>0</v>
      </c>
      <c r="F7498" s="211">
        <f>'IWP27'!I$554</f>
        <v>0</v>
      </c>
      <c r="G7498" s="191" t="str">
        <f>IF('IWP27'!J$554=0,"",'IWP27'!J$554)</f>
        <v/>
      </c>
      <c r="H7498" s="211">
        <f>'IWP27'!K$554</f>
        <v>0</v>
      </c>
      <c r="I7498" s="211">
        <f>'IWP27'!L$554</f>
        <v>0</v>
      </c>
      <c r="J7498" s="212">
        <f>'IWP27'!M$554</f>
        <v>0</v>
      </c>
      <c r="K7498" s="106"/>
      <c r="L7498" s="106"/>
      <c r="M7498" s="129"/>
    </row>
    <row r="7499" spans="1:13" s="146" customFormat="1">
      <c r="A7499" s="193" t="s">
        <v>525</v>
      </c>
      <c r="B7499" s="210">
        <v>13</v>
      </c>
      <c r="C7499" s="191" t="str">
        <f>IF('IWP27'!E$555=0,"",'IWP27'!E$555)</f>
        <v/>
      </c>
      <c r="D7499" s="211">
        <f>'IWP27'!G$555</f>
        <v>0</v>
      </c>
      <c r="E7499" s="211">
        <f>'IWP27'!H$555</f>
        <v>0</v>
      </c>
      <c r="F7499" s="211">
        <f>'IWP27'!I$555</f>
        <v>0</v>
      </c>
      <c r="G7499" s="191" t="str">
        <f>IF('IWP27'!J$555=0,"",'IWP27'!J$555)</f>
        <v/>
      </c>
      <c r="H7499" s="211">
        <f>'IWP27'!K$555</f>
        <v>0</v>
      </c>
      <c r="I7499" s="211">
        <f>'IWP27'!L$555</f>
        <v>0</v>
      </c>
      <c r="J7499" s="212">
        <f>'IWP27'!M$555</f>
        <v>0</v>
      </c>
      <c r="K7499" s="106"/>
      <c r="L7499" s="106"/>
      <c r="M7499" s="129"/>
    </row>
    <row r="7500" spans="1:13" s="146" customFormat="1">
      <c r="A7500" s="193" t="s">
        <v>525</v>
      </c>
      <c r="B7500" s="210">
        <v>13</v>
      </c>
      <c r="C7500" s="191" t="str">
        <f>IF('IWP27'!E$556=0,"",'IWP27'!E$556)</f>
        <v/>
      </c>
      <c r="D7500" s="211">
        <f>'IWP27'!G$556</f>
        <v>0</v>
      </c>
      <c r="E7500" s="211">
        <f>'IWP27'!H$556</f>
        <v>0</v>
      </c>
      <c r="F7500" s="211">
        <f>'IWP27'!I$556</f>
        <v>0</v>
      </c>
      <c r="G7500" s="191" t="str">
        <f>IF('IWP27'!J$556=0,"",'IWP27'!J$556)</f>
        <v/>
      </c>
      <c r="H7500" s="211">
        <f>'IWP27'!K$556</f>
        <v>0</v>
      </c>
      <c r="I7500" s="211">
        <f>'IWP27'!L$556</f>
        <v>0</v>
      </c>
      <c r="J7500" s="212">
        <f>'IWP27'!M$556</f>
        <v>0</v>
      </c>
      <c r="K7500" s="106"/>
      <c r="L7500" s="106"/>
      <c r="M7500" s="129"/>
    </row>
    <row r="7501" spans="1:13" s="146" customFormat="1">
      <c r="A7501" s="193" t="s">
        <v>525</v>
      </c>
      <c r="B7501" s="210">
        <v>14</v>
      </c>
      <c r="C7501" s="191" t="str">
        <f>IF('IWP27'!E$563=0,"",'IWP27'!E$563)</f>
        <v>Subtotal column D.</v>
      </c>
      <c r="D7501" s="211">
        <f>'IWP27'!G$563</f>
        <v>0</v>
      </c>
      <c r="E7501" s="211">
        <f>'IWP27'!H$563</f>
        <v>0</v>
      </c>
      <c r="F7501" s="211">
        <f>'IWP27'!I$563</f>
        <v>0</v>
      </c>
      <c r="G7501" s="191" t="str">
        <f>IF('IWP27'!J$563=0,"",'IWP27'!J$563)</f>
        <v/>
      </c>
      <c r="H7501" s="211">
        <f>'IWP27'!K$563</f>
        <v>0</v>
      </c>
      <c r="I7501" s="211">
        <f>'IWP27'!L$563</f>
        <v>0</v>
      </c>
      <c r="J7501" s="212">
        <f>'IWP27'!M$563</f>
        <v>0</v>
      </c>
      <c r="K7501" s="106"/>
      <c r="L7501" s="106"/>
      <c r="M7501" s="129"/>
    </row>
    <row r="7502" spans="1:13" s="146" customFormat="1">
      <c r="A7502" s="193" t="s">
        <v>525</v>
      </c>
      <c r="B7502" s="210">
        <v>14</v>
      </c>
      <c r="C7502" s="191" t="str">
        <f>IF('IWP27'!E$564=0,"",'IWP27'!E$564)</f>
        <v>Unverified/Undocumented (Subtotal D - C)</v>
      </c>
      <c r="D7502" s="211">
        <f>'IWP27'!G$564</f>
        <v>0</v>
      </c>
      <c r="E7502" s="211">
        <f>'IWP27'!H$564</f>
        <v>0</v>
      </c>
      <c r="F7502" s="211">
        <f>'IWP27'!I$564</f>
        <v>0</v>
      </c>
      <c r="G7502" s="191" t="str">
        <f>IF('IWP27'!J$564=0,"",'IWP27'!J$564)</f>
        <v/>
      </c>
      <c r="H7502" s="211">
        <f>'IWP27'!K$564</f>
        <v>0</v>
      </c>
      <c r="I7502" s="211">
        <f>'IWP27'!L$564</f>
        <v>0</v>
      </c>
      <c r="J7502" s="212">
        <f>'IWP27'!M$564</f>
        <v>0</v>
      </c>
      <c r="K7502" s="106"/>
      <c r="L7502" s="106"/>
      <c r="M7502" s="129"/>
    </row>
    <row r="7503" spans="1:13" s="146" customFormat="1">
      <c r="A7503" s="193" t="s">
        <v>525</v>
      </c>
      <c r="B7503" s="210">
        <v>14</v>
      </c>
      <c r="C7503" s="191" t="str">
        <f>IF('IWP27'!E$565=0,"",'IWP27'!E$565)</f>
        <v>J. Billing Period Total</v>
      </c>
      <c r="D7503" s="211">
        <f>'IWP27'!G$565</f>
        <v>0</v>
      </c>
      <c r="E7503" s="211">
        <f>'IWP27'!H$565</f>
        <v>0</v>
      </c>
      <c r="F7503" s="211">
        <f>'IWP27'!I$565</f>
        <v>0</v>
      </c>
      <c r="G7503" s="191" t="str">
        <f>IF('IWP27'!J$565=0,"",'IWP27'!J$565)</f>
        <v/>
      </c>
      <c r="H7503" s="211">
        <f>'IWP27'!K$565</f>
        <v>0</v>
      </c>
      <c r="I7503" s="211">
        <f>'IWP27'!L$565</f>
        <v>0</v>
      </c>
      <c r="J7503" s="212">
        <f>'IWP27'!M$565</f>
        <v>0</v>
      </c>
      <c r="K7503" s="106"/>
      <c r="L7503" s="106"/>
      <c r="M7503" s="129"/>
    </row>
    <row r="7504" spans="1:13" s="146" customFormat="1">
      <c r="A7504" s="193" t="s">
        <v>525</v>
      </c>
      <c r="B7504" s="210">
        <v>14</v>
      </c>
      <c r="C7504" s="191" t="str">
        <f>IF('IWP27'!E$566=0,"",'IWP27'!E$566)</f>
        <v>D.</v>
      </c>
      <c r="D7504" s="211">
        <f>'IWP27'!G$566</f>
        <v>0</v>
      </c>
      <c r="E7504" s="211" t="str">
        <f>'IWP27'!H$566</f>
        <v>E.</v>
      </c>
      <c r="F7504" s="211" t="str">
        <f>'IWP27'!I$566</f>
        <v>F.</v>
      </c>
      <c r="G7504" s="191" t="str">
        <f>IF('IWP27'!J$566=0,"",'IWP27'!J$566)</f>
        <v>G.</v>
      </c>
      <c r="H7504" s="211">
        <f>'IWP27'!K$566</f>
        <v>0</v>
      </c>
      <c r="I7504" s="211" t="str">
        <f>'IWP27'!L$566</f>
        <v>H.</v>
      </c>
      <c r="J7504" s="212" t="str">
        <f>'IWP27'!M$566</f>
        <v>I.</v>
      </c>
      <c r="K7504" s="106"/>
      <c r="L7504" s="106"/>
      <c r="M7504" s="129"/>
    </row>
    <row r="7505" spans="1:13" s="146" customFormat="1">
      <c r="A7505" s="193" t="s">
        <v>525</v>
      </c>
      <c r="B7505" s="210">
        <v>14</v>
      </c>
      <c r="C7505" s="191" t="str">
        <f>IF('IWP27'!E$567=0,"",'IWP27'!E$567)</f>
        <v xml:space="preserve">Items/Services Related to Billing Period </v>
      </c>
      <c r="D7505" s="211">
        <f>'IWP27'!G$567</f>
        <v>0</v>
      </c>
      <c r="E7505" s="211" t="str">
        <f>'IWP27'!H$567</f>
        <v xml:space="preserve">Item/
Service Verified Amounts
</v>
      </c>
      <c r="F7505" s="211" t="str">
        <f>'IWP27'!I$567</f>
        <v>Amount Due to DADS (E. - D.)</v>
      </c>
      <c r="G7505" s="191" t="str">
        <f>IF('IWP27'!J$567=0,"",'IWP27'!J$567)</f>
        <v>Amount Reimbursed to 
Employee(s)/Employer</v>
      </c>
      <c r="H7505" s="211">
        <f>'IWP27'!K$567</f>
        <v>0</v>
      </c>
      <c r="I7505" s="211" t="str">
        <f>'IWP27'!L$567</f>
        <v>Amount Due to Employee(s) (G. - E.)</v>
      </c>
      <c r="J7505" s="212" t="str">
        <f>'IWP27'!M$567</f>
        <v>Amount Due to Employer (G. - E.)</v>
      </c>
      <c r="K7505" s="106"/>
      <c r="L7505" s="106"/>
      <c r="M7505" s="129"/>
    </row>
    <row r="7506" spans="1:13" s="146" customFormat="1">
      <c r="A7506" s="193" t="s">
        <v>525</v>
      </c>
      <c r="B7506" s="210">
        <v>14</v>
      </c>
      <c r="C7506" s="191" t="str">
        <f>IF('IWP27'!E$568=0,"",'IWP27'!E$568)</f>
        <v>Item/Service</v>
      </c>
      <c r="D7506" s="211" t="str">
        <f>'IWP27'!G$568</f>
        <v>Itemized Amount Paid by DADS</v>
      </c>
      <c r="E7506" s="211">
        <f>'IWP27'!H$568</f>
        <v>0</v>
      </c>
      <c r="F7506" s="211">
        <f>'IWP27'!I$568</f>
        <v>0</v>
      </c>
      <c r="G7506" s="191" t="str">
        <f>IF('IWP27'!J$568=0,"",'IWP27'!J$568)</f>
        <v/>
      </c>
      <c r="H7506" s="211">
        <f>'IWP27'!K$568</f>
        <v>0</v>
      </c>
      <c r="I7506" s="211">
        <f>'IWP27'!L$568</f>
        <v>0</v>
      </c>
      <c r="J7506" s="212">
        <f>'IWP27'!M$568</f>
        <v>0</v>
      </c>
      <c r="K7506" s="106"/>
      <c r="L7506" s="106"/>
      <c r="M7506" s="129"/>
    </row>
    <row r="7507" spans="1:13" s="146" customFormat="1">
      <c r="A7507" s="193" t="s">
        <v>525</v>
      </c>
      <c r="B7507" s="210">
        <v>14</v>
      </c>
      <c r="C7507" s="191" t="str">
        <f>IF('IWP27'!E$569=0,"",'IWP27'!E$569)</f>
        <v/>
      </c>
      <c r="D7507" s="211">
        <f>'IWP27'!G$569</f>
        <v>0</v>
      </c>
      <c r="E7507" s="211">
        <f>'IWP27'!H$569</f>
        <v>0</v>
      </c>
      <c r="F7507" s="211">
        <f>'IWP27'!I$569</f>
        <v>0</v>
      </c>
      <c r="G7507" s="191" t="str">
        <f>IF('IWP27'!J$569=0,"",'IWP27'!J$569)</f>
        <v/>
      </c>
      <c r="H7507" s="211">
        <f>'IWP27'!K$569</f>
        <v>0</v>
      </c>
      <c r="I7507" s="211">
        <f>'IWP27'!L$569</f>
        <v>0</v>
      </c>
      <c r="J7507" s="212">
        <f>'IWP27'!M$569</f>
        <v>0</v>
      </c>
      <c r="K7507" s="106"/>
      <c r="L7507" s="106"/>
      <c r="M7507" s="129"/>
    </row>
    <row r="7508" spans="1:13" s="146" customFormat="1">
      <c r="A7508" s="193" t="s">
        <v>525</v>
      </c>
      <c r="B7508" s="210">
        <v>14</v>
      </c>
      <c r="C7508" s="191" t="str">
        <f>IF('IWP27'!E$570=0,"",'IWP27'!E$570)</f>
        <v/>
      </c>
      <c r="D7508" s="211">
        <f>'IWP27'!G$570</f>
        <v>0</v>
      </c>
      <c r="E7508" s="211">
        <f>'IWP27'!H$570</f>
        <v>0</v>
      </c>
      <c r="F7508" s="211">
        <f>'IWP27'!I$570</f>
        <v>0</v>
      </c>
      <c r="G7508" s="191" t="str">
        <f>IF('IWP27'!J$570=0,"",'IWP27'!J$570)</f>
        <v/>
      </c>
      <c r="H7508" s="211">
        <f>'IWP27'!K$570</f>
        <v>0</v>
      </c>
      <c r="I7508" s="211">
        <f>'IWP27'!L$570</f>
        <v>0</v>
      </c>
      <c r="J7508" s="212">
        <f>'IWP27'!M$570</f>
        <v>0</v>
      </c>
      <c r="K7508" s="106"/>
      <c r="L7508" s="106"/>
      <c r="M7508" s="129"/>
    </row>
    <row r="7509" spans="1:13" s="146" customFormat="1">
      <c r="A7509" s="193" t="s">
        <v>525</v>
      </c>
      <c r="B7509" s="210">
        <v>14</v>
      </c>
      <c r="C7509" s="191" t="str">
        <f>IF('IWP27'!E$571=0,"",'IWP27'!E$571)</f>
        <v/>
      </c>
      <c r="D7509" s="211">
        <f>'IWP27'!G$571</f>
        <v>0</v>
      </c>
      <c r="E7509" s="211">
        <f>'IWP27'!H$571</f>
        <v>0</v>
      </c>
      <c r="F7509" s="211">
        <f>'IWP27'!I$571</f>
        <v>0</v>
      </c>
      <c r="G7509" s="191" t="str">
        <f>IF('IWP27'!J$571=0,"",'IWP27'!J$571)</f>
        <v/>
      </c>
      <c r="H7509" s="211">
        <f>'IWP27'!K$571</f>
        <v>0</v>
      </c>
      <c r="I7509" s="211">
        <f>'IWP27'!L$571</f>
        <v>0</v>
      </c>
      <c r="J7509" s="212">
        <f>'IWP27'!M$571</f>
        <v>0</v>
      </c>
      <c r="K7509" s="106"/>
      <c r="L7509" s="106"/>
      <c r="M7509" s="129"/>
    </row>
    <row r="7510" spans="1:13" s="146" customFormat="1">
      <c r="A7510" s="193" t="s">
        <v>525</v>
      </c>
      <c r="B7510" s="210">
        <v>14</v>
      </c>
      <c r="C7510" s="191" t="str">
        <f>IF('IWP27'!E$572=0,"",'IWP27'!E$572)</f>
        <v/>
      </c>
      <c r="D7510" s="211">
        <f>'IWP27'!G$572</f>
        <v>0</v>
      </c>
      <c r="E7510" s="211">
        <f>'IWP27'!H$572</f>
        <v>0</v>
      </c>
      <c r="F7510" s="211">
        <f>'IWP27'!I$572</f>
        <v>0</v>
      </c>
      <c r="G7510" s="191" t="str">
        <f>IF('IWP27'!J$572=0,"",'IWP27'!J$572)</f>
        <v/>
      </c>
      <c r="H7510" s="211">
        <f>'IWP27'!K$572</f>
        <v>0</v>
      </c>
      <c r="I7510" s="211">
        <f>'IWP27'!L$572</f>
        <v>0</v>
      </c>
      <c r="J7510" s="212">
        <f>'IWP27'!M$572</f>
        <v>0</v>
      </c>
      <c r="K7510" s="106"/>
      <c r="L7510" s="106"/>
      <c r="M7510" s="129"/>
    </row>
    <row r="7511" spans="1:13" s="146" customFormat="1">
      <c r="A7511" s="193" t="s">
        <v>525</v>
      </c>
      <c r="B7511" s="210">
        <v>15</v>
      </c>
      <c r="C7511" s="191" t="str">
        <f>IF('IWP27'!E$579=0,"",'IWP27'!E$579)</f>
        <v>Subtotal column D.</v>
      </c>
      <c r="D7511" s="211">
        <f>'IWP27'!G$579</f>
        <v>0</v>
      </c>
      <c r="E7511" s="211">
        <f>'IWP27'!H$579</f>
        <v>0</v>
      </c>
      <c r="F7511" s="211">
        <f>'IWP27'!I$579</f>
        <v>0</v>
      </c>
      <c r="G7511" s="191" t="str">
        <f>IF('IWP27'!J$579=0,"",'IWP27'!J$579)</f>
        <v/>
      </c>
      <c r="H7511" s="211">
        <f>'IWP27'!K$579</f>
        <v>0</v>
      </c>
      <c r="I7511" s="211">
        <f>'IWP27'!L$579</f>
        <v>0</v>
      </c>
      <c r="J7511" s="212">
        <f>'IWP27'!M$579</f>
        <v>0</v>
      </c>
      <c r="K7511" s="106"/>
      <c r="L7511" s="106"/>
      <c r="M7511" s="129"/>
    </row>
    <row r="7512" spans="1:13" s="146" customFormat="1">
      <c r="A7512" s="193" t="s">
        <v>525</v>
      </c>
      <c r="B7512" s="210">
        <v>15</v>
      </c>
      <c r="C7512" s="191" t="str">
        <f>IF('IWP27'!E$580=0,"",'IWP27'!E$580)</f>
        <v>Unverified/Undocumented (Subtotal D - C)</v>
      </c>
      <c r="D7512" s="211">
        <f>'IWP27'!G$580</f>
        <v>0</v>
      </c>
      <c r="E7512" s="211">
        <f>'IWP27'!H$580</f>
        <v>0</v>
      </c>
      <c r="F7512" s="211">
        <f>'IWP27'!I$580</f>
        <v>0</v>
      </c>
      <c r="G7512" s="191" t="str">
        <f>IF('IWP27'!J$580=0,"",'IWP27'!J$580)</f>
        <v/>
      </c>
      <c r="H7512" s="211">
        <f>'IWP27'!K$580</f>
        <v>0</v>
      </c>
      <c r="I7512" s="211">
        <f>'IWP27'!L$580</f>
        <v>0</v>
      </c>
      <c r="J7512" s="212">
        <f>'IWP27'!M$580</f>
        <v>0</v>
      </c>
      <c r="K7512" s="106"/>
      <c r="L7512" s="106"/>
      <c r="M7512" s="129"/>
    </row>
    <row r="7513" spans="1:13" s="146" customFormat="1">
      <c r="A7513" s="193" t="s">
        <v>525</v>
      </c>
      <c r="B7513" s="210">
        <v>15</v>
      </c>
      <c r="C7513" s="191" t="str">
        <f>IF('IWP27'!E$581=0,"",'IWP27'!E$581)</f>
        <v>J. Billing Period Total</v>
      </c>
      <c r="D7513" s="211">
        <f>'IWP27'!G$581</f>
        <v>0</v>
      </c>
      <c r="E7513" s="211">
        <f>'IWP27'!H$581</f>
        <v>0</v>
      </c>
      <c r="F7513" s="211">
        <f>'IWP27'!I$581</f>
        <v>0</v>
      </c>
      <c r="G7513" s="191" t="str">
        <f>IF('IWP27'!J$581=0,"",'IWP27'!J$581)</f>
        <v/>
      </c>
      <c r="H7513" s="211">
        <f>'IWP27'!K$581</f>
        <v>0</v>
      </c>
      <c r="I7513" s="211">
        <f>'IWP27'!L$581</f>
        <v>0</v>
      </c>
      <c r="J7513" s="212">
        <f>'IWP27'!M$581</f>
        <v>0</v>
      </c>
      <c r="K7513" s="106"/>
      <c r="L7513" s="106"/>
      <c r="M7513" s="129"/>
    </row>
    <row r="7514" spans="1:13" s="146" customFormat="1">
      <c r="A7514" s="193" t="s">
        <v>525</v>
      </c>
      <c r="B7514" s="210">
        <v>15</v>
      </c>
      <c r="C7514" s="191" t="str">
        <f>IF('IWP27'!E$582=0,"",'IWP27'!E$582)</f>
        <v>D.</v>
      </c>
      <c r="D7514" s="211">
        <f>'IWP27'!G$582</f>
        <v>0</v>
      </c>
      <c r="E7514" s="211" t="str">
        <f>'IWP27'!H$582</f>
        <v>E.</v>
      </c>
      <c r="F7514" s="211" t="str">
        <f>'IWP27'!I$582</f>
        <v>F.</v>
      </c>
      <c r="G7514" s="191" t="str">
        <f>IF('IWP27'!J$582=0,"",'IWP27'!J$582)</f>
        <v>G.</v>
      </c>
      <c r="H7514" s="211">
        <f>'IWP27'!K$582</f>
        <v>0</v>
      </c>
      <c r="I7514" s="211" t="str">
        <f>'IWP27'!L$582</f>
        <v>H.</v>
      </c>
      <c r="J7514" s="212" t="str">
        <f>'IWP27'!M$582</f>
        <v>I.</v>
      </c>
      <c r="K7514" s="106"/>
      <c r="L7514" s="106"/>
      <c r="M7514" s="129"/>
    </row>
    <row r="7515" spans="1:13" s="146" customFormat="1">
      <c r="A7515" s="193" t="s">
        <v>525</v>
      </c>
      <c r="B7515" s="210">
        <v>15</v>
      </c>
      <c r="C7515" s="191" t="str">
        <f>IF('IWP27'!E$583=0,"",'IWP27'!E$583)</f>
        <v xml:space="preserve">Items/Services Related to Billing Period </v>
      </c>
      <c r="D7515" s="211">
        <f>'IWP27'!G$583</f>
        <v>0</v>
      </c>
      <c r="E7515" s="211" t="str">
        <f>'IWP27'!H$583</f>
        <v xml:space="preserve">Item/
Service Verified Amounts
</v>
      </c>
      <c r="F7515" s="211" t="str">
        <f>'IWP27'!I$583</f>
        <v>Amount Due to DADS (E. - D.)</v>
      </c>
      <c r="G7515" s="191" t="str">
        <f>IF('IWP27'!J$583=0,"",'IWP27'!J$583)</f>
        <v>Amount Reimbursed to 
Employee(s)/Employer</v>
      </c>
      <c r="H7515" s="211">
        <f>'IWP27'!K$583</f>
        <v>0</v>
      </c>
      <c r="I7515" s="211" t="str">
        <f>'IWP27'!L$583</f>
        <v>Amount Due to Employee(s) (G. - E.)</v>
      </c>
      <c r="J7515" s="212" t="str">
        <f>'IWP27'!M$583</f>
        <v>Amount Due to Employer (G. - E.)</v>
      </c>
      <c r="K7515" s="106"/>
      <c r="L7515" s="106"/>
      <c r="M7515" s="129"/>
    </row>
    <row r="7516" spans="1:13" s="146" customFormat="1">
      <c r="A7516" s="193" t="s">
        <v>525</v>
      </c>
      <c r="B7516" s="210">
        <v>15</v>
      </c>
      <c r="C7516" s="191" t="str">
        <f>IF('IWP27'!E$584=0,"",'IWP27'!E$584)</f>
        <v>Item/Service</v>
      </c>
      <c r="D7516" s="211" t="str">
        <f>'IWP27'!G$584</f>
        <v>Itemized Amount Paid by DADS</v>
      </c>
      <c r="E7516" s="211">
        <f>'IWP27'!H$584</f>
        <v>0</v>
      </c>
      <c r="F7516" s="211">
        <f>'IWP27'!I$584</f>
        <v>0</v>
      </c>
      <c r="G7516" s="191" t="str">
        <f>IF('IWP27'!J$584=0,"",'IWP27'!J$584)</f>
        <v/>
      </c>
      <c r="H7516" s="211">
        <f>'IWP27'!K$584</f>
        <v>0</v>
      </c>
      <c r="I7516" s="211">
        <f>'IWP27'!L$584</f>
        <v>0</v>
      </c>
      <c r="J7516" s="212">
        <f>'IWP27'!M$584</f>
        <v>0</v>
      </c>
      <c r="K7516" s="106"/>
      <c r="L7516" s="106"/>
      <c r="M7516" s="129"/>
    </row>
    <row r="7517" spans="1:13" s="146" customFormat="1">
      <c r="A7517" s="193" t="s">
        <v>525</v>
      </c>
      <c r="B7517" s="210">
        <v>15</v>
      </c>
      <c r="C7517" s="191" t="str">
        <f>IF('IWP27'!E$585=0,"",'IWP27'!E$585)</f>
        <v/>
      </c>
      <c r="D7517" s="211">
        <f>'IWP27'!G$585</f>
        <v>0</v>
      </c>
      <c r="E7517" s="211">
        <f>'IWP27'!H$585</f>
        <v>0</v>
      </c>
      <c r="F7517" s="211">
        <f>'IWP27'!I$585</f>
        <v>0</v>
      </c>
      <c r="G7517" s="191" t="str">
        <f>IF('IWP27'!J$585=0,"",'IWP27'!J$585)</f>
        <v/>
      </c>
      <c r="H7517" s="211">
        <f>'IWP27'!K$585</f>
        <v>0</v>
      </c>
      <c r="I7517" s="211">
        <f>'IWP27'!L$585</f>
        <v>0</v>
      </c>
      <c r="J7517" s="212">
        <f>'IWP27'!M$585</f>
        <v>0</v>
      </c>
      <c r="K7517" s="106"/>
      <c r="L7517" s="106"/>
      <c r="M7517" s="129"/>
    </row>
    <row r="7518" spans="1:13" s="146" customFormat="1">
      <c r="A7518" s="193" t="s">
        <v>525</v>
      </c>
      <c r="B7518" s="210">
        <v>15</v>
      </c>
      <c r="C7518" s="191" t="str">
        <f>IF('IWP27'!E$586=0,"",'IWP27'!E$586)</f>
        <v/>
      </c>
      <c r="D7518" s="211">
        <f>'IWP27'!G$586</f>
        <v>0</v>
      </c>
      <c r="E7518" s="211">
        <f>'IWP27'!H$586</f>
        <v>0</v>
      </c>
      <c r="F7518" s="211">
        <f>'IWP27'!I$586</f>
        <v>0</v>
      </c>
      <c r="G7518" s="191" t="str">
        <f>IF('IWP27'!J$586=0,"",'IWP27'!J$586)</f>
        <v/>
      </c>
      <c r="H7518" s="211">
        <f>'IWP27'!K$586</f>
        <v>0</v>
      </c>
      <c r="I7518" s="211">
        <f>'IWP27'!L$586</f>
        <v>0</v>
      </c>
      <c r="J7518" s="212">
        <f>'IWP27'!M$586</f>
        <v>0</v>
      </c>
      <c r="K7518" s="106"/>
      <c r="L7518" s="106"/>
      <c r="M7518" s="129"/>
    </row>
    <row r="7519" spans="1:13" s="146" customFormat="1">
      <c r="A7519" s="193" t="s">
        <v>525</v>
      </c>
      <c r="B7519" s="210">
        <v>15</v>
      </c>
      <c r="C7519" s="191" t="str">
        <f>IF('IWP27'!E$587=0,"",'IWP27'!E$587)</f>
        <v/>
      </c>
      <c r="D7519" s="211">
        <f>'IWP27'!G$587</f>
        <v>0</v>
      </c>
      <c r="E7519" s="211">
        <f>'IWP27'!H$587</f>
        <v>0</v>
      </c>
      <c r="F7519" s="211">
        <f>'IWP27'!I$587</f>
        <v>0</v>
      </c>
      <c r="G7519" s="191" t="str">
        <f>IF('IWP27'!J$587=0,"",'IWP27'!J$587)</f>
        <v/>
      </c>
      <c r="H7519" s="211">
        <f>'IWP27'!K$587</f>
        <v>0</v>
      </c>
      <c r="I7519" s="211">
        <f>'IWP27'!L$587</f>
        <v>0</v>
      </c>
      <c r="J7519" s="212">
        <f>'IWP27'!M$587</f>
        <v>0</v>
      </c>
      <c r="K7519" s="106"/>
      <c r="L7519" s="106"/>
      <c r="M7519" s="129"/>
    </row>
    <row r="7520" spans="1:13" s="146" customFormat="1">
      <c r="A7520" s="193" t="s">
        <v>525</v>
      </c>
      <c r="B7520" s="210">
        <v>15</v>
      </c>
      <c r="C7520" s="191" t="str">
        <f>IF('IWP27'!E$588=0,"",'IWP27'!E$588)</f>
        <v/>
      </c>
      <c r="D7520" s="211">
        <f>'IWP27'!G$588</f>
        <v>0</v>
      </c>
      <c r="E7520" s="211">
        <f>'IWP27'!H$588</f>
        <v>0</v>
      </c>
      <c r="F7520" s="211">
        <f>'IWP27'!I$588</f>
        <v>0</v>
      </c>
      <c r="G7520" s="191" t="str">
        <f>IF('IWP27'!J$588=0,"",'IWP27'!J$588)</f>
        <v/>
      </c>
      <c r="H7520" s="211">
        <f>'IWP27'!K$588</f>
        <v>0</v>
      </c>
      <c r="I7520" s="211">
        <f>'IWP27'!L$588</f>
        <v>0</v>
      </c>
      <c r="J7520" s="212">
        <f>'IWP27'!M$588</f>
        <v>0</v>
      </c>
      <c r="K7520" s="106"/>
      <c r="L7520" s="106"/>
      <c r="M7520" s="129"/>
    </row>
    <row r="7521" spans="1:13" s="146" customFormat="1">
      <c r="A7521" s="193" t="s">
        <v>525</v>
      </c>
      <c r="B7521" s="210">
        <v>16</v>
      </c>
      <c r="C7521" s="191" t="str">
        <f>IF('IWP27'!E$595=0,"",'IWP27'!E$595)</f>
        <v>Subtotal column D.</v>
      </c>
      <c r="D7521" s="211">
        <f>'IWP27'!G$595</f>
        <v>0</v>
      </c>
      <c r="E7521" s="211">
        <f>'IWP27'!H$595</f>
        <v>0</v>
      </c>
      <c r="F7521" s="211">
        <f>'IWP27'!I$595</f>
        <v>0</v>
      </c>
      <c r="G7521" s="191" t="str">
        <f>IF('IWP27'!J$595=0,"",'IWP27'!J$595)</f>
        <v/>
      </c>
      <c r="H7521" s="211">
        <f>'IWP27'!K$595</f>
        <v>0</v>
      </c>
      <c r="I7521" s="211">
        <f>'IWP27'!L$595</f>
        <v>0</v>
      </c>
      <c r="J7521" s="212">
        <f>'IWP27'!M$595</f>
        <v>0</v>
      </c>
      <c r="K7521" s="106"/>
      <c r="L7521" s="106"/>
      <c r="M7521" s="129"/>
    </row>
    <row r="7522" spans="1:13" s="146" customFormat="1">
      <c r="A7522" s="193" t="s">
        <v>525</v>
      </c>
      <c r="B7522" s="210">
        <v>16</v>
      </c>
      <c r="C7522" s="191" t="str">
        <f>IF('IWP27'!E$596=0,"",'IWP27'!E$596)</f>
        <v>Unverified/Undocumented (Subtotal D - C)</v>
      </c>
      <c r="D7522" s="211">
        <f>'IWP27'!G$596</f>
        <v>0</v>
      </c>
      <c r="E7522" s="211">
        <f>'IWP27'!H$596</f>
        <v>0</v>
      </c>
      <c r="F7522" s="211">
        <f>'IWP27'!I$596</f>
        <v>0</v>
      </c>
      <c r="G7522" s="191" t="str">
        <f>IF('IWP27'!J$596=0,"",'IWP27'!J$596)</f>
        <v/>
      </c>
      <c r="H7522" s="211">
        <f>'IWP27'!K$596</f>
        <v>0</v>
      </c>
      <c r="I7522" s="211">
        <f>'IWP27'!L$596</f>
        <v>0</v>
      </c>
      <c r="J7522" s="212">
        <f>'IWP27'!M$596</f>
        <v>0</v>
      </c>
      <c r="K7522" s="106"/>
      <c r="L7522" s="106"/>
      <c r="M7522" s="129"/>
    </row>
    <row r="7523" spans="1:13" s="146" customFormat="1">
      <c r="A7523" s="193" t="s">
        <v>525</v>
      </c>
      <c r="B7523" s="210">
        <v>16</v>
      </c>
      <c r="C7523" s="191" t="str">
        <f>IF('IWP27'!E$597=0,"",'IWP27'!E$597)</f>
        <v>J. Billing Period Total</v>
      </c>
      <c r="D7523" s="211">
        <f>'IWP27'!G$597</f>
        <v>0</v>
      </c>
      <c r="E7523" s="211">
        <f>'IWP27'!H$597</f>
        <v>0</v>
      </c>
      <c r="F7523" s="211">
        <f>'IWP27'!I$597</f>
        <v>0</v>
      </c>
      <c r="G7523" s="191" t="str">
        <f>IF('IWP27'!J$597=0,"",'IWP27'!J$597)</f>
        <v/>
      </c>
      <c r="H7523" s="211">
        <f>'IWP27'!K$597</f>
        <v>0</v>
      </c>
      <c r="I7523" s="211">
        <f>'IWP27'!L$597</f>
        <v>0</v>
      </c>
      <c r="J7523" s="212">
        <f>'IWP27'!M$597</f>
        <v>0</v>
      </c>
      <c r="K7523" s="106"/>
      <c r="L7523" s="106"/>
      <c r="M7523" s="129"/>
    </row>
    <row r="7524" spans="1:13" s="146" customFormat="1">
      <c r="A7524" s="193" t="s">
        <v>525</v>
      </c>
      <c r="B7524" s="210">
        <v>16</v>
      </c>
      <c r="C7524" s="191" t="str">
        <f>IF('IWP27'!E$598=0,"",'IWP27'!E$598)</f>
        <v>D.</v>
      </c>
      <c r="D7524" s="211">
        <f>'IWP27'!G$598</f>
        <v>0</v>
      </c>
      <c r="E7524" s="211" t="str">
        <f>'IWP27'!H$598</f>
        <v>E.</v>
      </c>
      <c r="F7524" s="211" t="str">
        <f>'IWP27'!I$598</f>
        <v>F.</v>
      </c>
      <c r="G7524" s="191" t="str">
        <f>IF('IWP27'!J$598=0,"",'IWP27'!J$598)</f>
        <v>G.</v>
      </c>
      <c r="H7524" s="211">
        <f>'IWP27'!K$598</f>
        <v>0</v>
      </c>
      <c r="I7524" s="211" t="str">
        <f>'IWP27'!L$598</f>
        <v>H.</v>
      </c>
      <c r="J7524" s="212" t="str">
        <f>'IWP27'!M$598</f>
        <v>I.</v>
      </c>
      <c r="K7524" s="106"/>
      <c r="L7524" s="106"/>
      <c r="M7524" s="129"/>
    </row>
    <row r="7525" spans="1:13" s="146" customFormat="1">
      <c r="A7525" s="193" t="s">
        <v>525</v>
      </c>
      <c r="B7525" s="210">
        <v>16</v>
      </c>
      <c r="C7525" s="191" t="str">
        <f>IF('IWP27'!E$599=0,"",'IWP27'!E$599)</f>
        <v xml:space="preserve">Items/Services Related to Billing Period </v>
      </c>
      <c r="D7525" s="211">
        <f>'IWP27'!G$599</f>
        <v>0</v>
      </c>
      <c r="E7525" s="211" t="str">
        <f>'IWP27'!H$599</f>
        <v xml:space="preserve">Item/
Service Verified Amounts
</v>
      </c>
      <c r="F7525" s="211" t="str">
        <f>'IWP27'!I$599</f>
        <v>Amount Due to DADS (E. - D.)</v>
      </c>
      <c r="G7525" s="191" t="str">
        <f>IF('IWP27'!J$599=0,"",'IWP27'!J$599)</f>
        <v>Amount Reimbursed to 
Employee(s)/Employer</v>
      </c>
      <c r="H7525" s="211">
        <f>'IWP27'!K$599</f>
        <v>0</v>
      </c>
      <c r="I7525" s="211" t="str">
        <f>'IWP27'!L$599</f>
        <v>Amount Due to Employee(s) (G. - E.)</v>
      </c>
      <c r="J7525" s="212" t="str">
        <f>'IWP27'!M$599</f>
        <v>Amount Due to Employer (G. - E.)</v>
      </c>
      <c r="K7525" s="106"/>
      <c r="L7525" s="106"/>
      <c r="M7525" s="129"/>
    </row>
    <row r="7526" spans="1:13" s="146" customFormat="1">
      <c r="A7526" s="193" t="s">
        <v>525</v>
      </c>
      <c r="B7526" s="210">
        <v>16</v>
      </c>
      <c r="C7526" s="191" t="str">
        <f>IF('IWP27'!E$600=0,"",'IWP27'!E$600)</f>
        <v>Item/Service</v>
      </c>
      <c r="D7526" s="211" t="str">
        <f>'IWP27'!G$600</f>
        <v>Itemized Amount Paid by DADS</v>
      </c>
      <c r="E7526" s="211">
        <f>'IWP27'!H$600</f>
        <v>0</v>
      </c>
      <c r="F7526" s="211">
        <f>'IWP27'!I$600</f>
        <v>0</v>
      </c>
      <c r="G7526" s="191" t="str">
        <f>IF('IWP27'!J$600=0,"",'IWP27'!J$600)</f>
        <v/>
      </c>
      <c r="H7526" s="211">
        <f>'IWP27'!K$600</f>
        <v>0</v>
      </c>
      <c r="I7526" s="211">
        <f>'IWP27'!L$600</f>
        <v>0</v>
      </c>
      <c r="J7526" s="212">
        <f>'IWP27'!M$600</f>
        <v>0</v>
      </c>
      <c r="K7526" s="106"/>
      <c r="L7526" s="106"/>
      <c r="M7526" s="129"/>
    </row>
    <row r="7527" spans="1:13" s="146" customFormat="1">
      <c r="A7527" s="193" t="s">
        <v>525</v>
      </c>
      <c r="B7527" s="210">
        <v>16</v>
      </c>
      <c r="C7527" s="191" t="str">
        <f>IF('IWP27'!E$601=0,"",'IWP27'!E$601)</f>
        <v/>
      </c>
      <c r="D7527" s="211">
        <f>'IWP27'!G$601</f>
        <v>0</v>
      </c>
      <c r="E7527" s="211">
        <f>'IWP27'!H$601</f>
        <v>0</v>
      </c>
      <c r="F7527" s="211">
        <f>'IWP27'!I$601</f>
        <v>0</v>
      </c>
      <c r="G7527" s="191" t="str">
        <f>IF('IWP27'!J$601=0,"",'IWP27'!J$601)</f>
        <v/>
      </c>
      <c r="H7527" s="211">
        <f>'IWP27'!K$601</f>
        <v>0</v>
      </c>
      <c r="I7527" s="211">
        <f>'IWP27'!L$601</f>
        <v>0</v>
      </c>
      <c r="J7527" s="212">
        <f>'IWP27'!M$601</f>
        <v>0</v>
      </c>
      <c r="K7527" s="106"/>
      <c r="L7527" s="106"/>
      <c r="M7527" s="129"/>
    </row>
    <row r="7528" spans="1:13" s="146" customFormat="1">
      <c r="A7528" s="193" t="s">
        <v>525</v>
      </c>
      <c r="B7528" s="210">
        <v>16</v>
      </c>
      <c r="C7528" s="191" t="str">
        <f>IF('IWP27'!E$602=0,"",'IWP27'!E$602)</f>
        <v/>
      </c>
      <c r="D7528" s="211">
        <f>'IWP27'!G$602</f>
        <v>0</v>
      </c>
      <c r="E7528" s="211">
        <f>'IWP27'!H$602</f>
        <v>0</v>
      </c>
      <c r="F7528" s="211">
        <f>'IWP27'!I$602</f>
        <v>0</v>
      </c>
      <c r="G7528" s="191" t="str">
        <f>IF('IWP27'!J$602=0,"",'IWP27'!J$602)</f>
        <v/>
      </c>
      <c r="H7528" s="211">
        <f>'IWP27'!K$602</f>
        <v>0</v>
      </c>
      <c r="I7528" s="211">
        <f>'IWP27'!L$602</f>
        <v>0</v>
      </c>
      <c r="J7528" s="212">
        <f>'IWP27'!M$602</f>
        <v>0</v>
      </c>
      <c r="K7528" s="106"/>
      <c r="L7528" s="106"/>
      <c r="M7528" s="129"/>
    </row>
    <row r="7529" spans="1:13" s="146" customFormat="1">
      <c r="A7529" s="193" t="s">
        <v>525</v>
      </c>
      <c r="B7529" s="210">
        <v>16</v>
      </c>
      <c r="C7529" s="191" t="str">
        <f>IF('IWP27'!E$603=0,"",'IWP27'!E$603)</f>
        <v/>
      </c>
      <c r="D7529" s="211">
        <f>'IWP27'!G$603</f>
        <v>0</v>
      </c>
      <c r="E7529" s="211">
        <f>'IWP27'!H$603</f>
        <v>0</v>
      </c>
      <c r="F7529" s="211">
        <f>'IWP27'!I$603</f>
        <v>0</v>
      </c>
      <c r="G7529" s="191" t="str">
        <f>IF('IWP27'!J$603=0,"",'IWP27'!J$603)</f>
        <v/>
      </c>
      <c r="H7529" s="211">
        <f>'IWP27'!K$603</f>
        <v>0</v>
      </c>
      <c r="I7529" s="211">
        <f>'IWP27'!L$603</f>
        <v>0</v>
      </c>
      <c r="J7529" s="212">
        <f>'IWP27'!M$603</f>
        <v>0</v>
      </c>
      <c r="K7529" s="106"/>
      <c r="L7529" s="106"/>
      <c r="M7529" s="129"/>
    </row>
    <row r="7530" spans="1:13" s="146" customFormat="1">
      <c r="A7530" s="193" t="s">
        <v>525</v>
      </c>
      <c r="B7530" s="210">
        <v>16</v>
      </c>
      <c r="C7530" s="191" t="str">
        <f>IF('IWP27'!E$604=0,"",'IWP27'!E$604)</f>
        <v/>
      </c>
      <c r="D7530" s="211">
        <f>'IWP27'!G$604</f>
        <v>0</v>
      </c>
      <c r="E7530" s="211">
        <f>'IWP27'!H$604</f>
        <v>0</v>
      </c>
      <c r="F7530" s="211">
        <f>'IWP27'!I$604</f>
        <v>0</v>
      </c>
      <c r="G7530" s="191" t="str">
        <f>IF('IWP27'!J$604=0,"",'IWP27'!J$604)</f>
        <v/>
      </c>
      <c r="H7530" s="211">
        <f>'IWP27'!K$604</f>
        <v>0</v>
      </c>
      <c r="I7530" s="211">
        <f>'IWP27'!L$604</f>
        <v>0</v>
      </c>
      <c r="J7530" s="212">
        <f>'IWP27'!M$604</f>
        <v>0</v>
      </c>
      <c r="K7530" s="106"/>
      <c r="L7530" s="106"/>
      <c r="M7530" s="129"/>
    </row>
    <row r="7531" spans="1:13" s="146" customFormat="1">
      <c r="A7531" s="193" t="s">
        <v>525</v>
      </c>
      <c r="B7531" s="210">
        <v>17</v>
      </c>
      <c r="C7531" s="191" t="str">
        <f>IF('IWP27'!E$611=0,"",'IWP27'!E$611)</f>
        <v>Subtotal column D.</v>
      </c>
      <c r="D7531" s="211">
        <f>'IWP27'!G$611</f>
        <v>0</v>
      </c>
      <c r="E7531" s="211">
        <f>'IWP27'!H$611</f>
        <v>0</v>
      </c>
      <c r="F7531" s="211">
        <f>'IWP27'!I$611</f>
        <v>0</v>
      </c>
      <c r="G7531" s="191" t="str">
        <f>IF('IWP27'!J$611=0,"",'IWP27'!J$611)</f>
        <v/>
      </c>
      <c r="H7531" s="211">
        <f>'IWP27'!K$611</f>
        <v>0</v>
      </c>
      <c r="I7531" s="211">
        <f>'IWP27'!L$611</f>
        <v>0</v>
      </c>
      <c r="J7531" s="212">
        <f>'IWP27'!M$611</f>
        <v>0</v>
      </c>
      <c r="K7531" s="106"/>
      <c r="L7531" s="106"/>
      <c r="M7531" s="129"/>
    </row>
    <row r="7532" spans="1:13" s="146" customFormat="1">
      <c r="A7532" s="193" t="s">
        <v>525</v>
      </c>
      <c r="B7532" s="210">
        <v>17</v>
      </c>
      <c r="C7532" s="191" t="str">
        <f>IF('IWP27'!E$612=0,"",'IWP27'!E$612)</f>
        <v>Unverified/Undocumented (Subtotal D - C)</v>
      </c>
      <c r="D7532" s="211">
        <f>'IWP27'!G$612</f>
        <v>0</v>
      </c>
      <c r="E7532" s="211">
        <f>'IWP27'!H$612</f>
        <v>0</v>
      </c>
      <c r="F7532" s="211">
        <f>'IWP27'!I$612</f>
        <v>0</v>
      </c>
      <c r="G7532" s="191" t="str">
        <f>IF('IWP27'!J$612=0,"",'IWP27'!J$612)</f>
        <v/>
      </c>
      <c r="H7532" s="211">
        <f>'IWP27'!K$612</f>
        <v>0</v>
      </c>
      <c r="I7532" s="211">
        <f>'IWP27'!L$612</f>
        <v>0</v>
      </c>
      <c r="J7532" s="212">
        <f>'IWP27'!M$612</f>
        <v>0</v>
      </c>
      <c r="K7532" s="106"/>
      <c r="L7532" s="106"/>
      <c r="M7532" s="129"/>
    </row>
    <row r="7533" spans="1:13" s="146" customFormat="1">
      <c r="A7533" s="193" t="s">
        <v>525</v>
      </c>
      <c r="B7533" s="210">
        <v>17</v>
      </c>
      <c r="C7533" s="191" t="str">
        <f>IF('IWP27'!E$613=0,"",'IWP27'!E$613)</f>
        <v>J. Billing Period Total</v>
      </c>
      <c r="D7533" s="211">
        <f>'IWP27'!G$613</f>
        <v>0</v>
      </c>
      <c r="E7533" s="211">
        <f>'IWP27'!H$613</f>
        <v>0</v>
      </c>
      <c r="F7533" s="211">
        <f>'IWP27'!I$613</f>
        <v>0</v>
      </c>
      <c r="G7533" s="191" t="str">
        <f>IF('IWP27'!J$613=0,"",'IWP27'!J$613)</f>
        <v/>
      </c>
      <c r="H7533" s="211">
        <f>'IWP27'!K$613</f>
        <v>0</v>
      </c>
      <c r="I7533" s="211">
        <f>'IWP27'!L$613</f>
        <v>0</v>
      </c>
      <c r="J7533" s="212">
        <f>'IWP27'!M$613</f>
        <v>0</v>
      </c>
      <c r="K7533" s="106"/>
      <c r="L7533" s="106"/>
      <c r="M7533" s="129"/>
    </row>
    <row r="7534" spans="1:13" s="146" customFormat="1">
      <c r="A7534" s="193" t="s">
        <v>525</v>
      </c>
      <c r="B7534" s="210">
        <v>17</v>
      </c>
      <c r="C7534" s="191" t="str">
        <f>IF('IWP27'!E$614=0,"",'IWP27'!E$614)</f>
        <v/>
      </c>
      <c r="D7534" s="211">
        <f>'IWP27'!G$614</f>
        <v>0</v>
      </c>
      <c r="E7534" s="211">
        <f>'IWP27'!H$614</f>
        <v>0</v>
      </c>
      <c r="F7534" s="211">
        <f>'IWP27'!I$614</f>
        <v>0</v>
      </c>
      <c r="G7534" s="191" t="str">
        <f>IF('IWP27'!J$614=0,"",'IWP27'!J$614)</f>
        <v/>
      </c>
      <c r="H7534" s="211">
        <f>'IWP27'!K$614</f>
        <v>0</v>
      </c>
      <c r="I7534" s="211">
        <f>'IWP27'!L$614</f>
        <v>0</v>
      </c>
      <c r="J7534" s="212">
        <f>'IWP27'!M$614</f>
        <v>0</v>
      </c>
      <c r="K7534" s="106"/>
      <c r="L7534" s="106"/>
      <c r="M7534" s="129"/>
    </row>
    <row r="7535" spans="1:13" s="146" customFormat="1">
      <c r="A7535" s="193" t="s">
        <v>525</v>
      </c>
      <c r="B7535" s="210">
        <v>17</v>
      </c>
      <c r="C7535" s="191" t="str">
        <f>IF('IWP27'!E$615=0,"",'IWP27'!E$615)</f>
        <v/>
      </c>
      <c r="D7535" s="211">
        <f>'IWP27'!G$615</f>
        <v>0</v>
      </c>
      <c r="E7535" s="211">
        <f>'IWP27'!H$615</f>
        <v>0</v>
      </c>
      <c r="F7535" s="211">
        <f>'IWP27'!I$615</f>
        <v>0</v>
      </c>
      <c r="G7535" s="191" t="str">
        <f>IF('IWP27'!J$615=0,"",'IWP27'!J$615)</f>
        <v/>
      </c>
      <c r="H7535" s="211">
        <f>'IWP27'!K$615</f>
        <v>0</v>
      </c>
      <c r="I7535" s="211">
        <f>'IWP27'!L$615</f>
        <v>0</v>
      </c>
      <c r="J7535" s="212">
        <f>'IWP27'!M$615</f>
        <v>0</v>
      </c>
      <c r="K7535" s="106"/>
      <c r="L7535" s="106"/>
      <c r="M7535" s="129"/>
    </row>
    <row r="7536" spans="1:13" s="146" customFormat="1">
      <c r="A7536" s="193" t="s">
        <v>525</v>
      </c>
      <c r="B7536" s="210">
        <v>17</v>
      </c>
      <c r="C7536" s="191" t="str">
        <f>IF('IWP27'!E$616=0,"",'IWP27'!E$616)</f>
        <v/>
      </c>
      <c r="D7536" s="211">
        <f>'IWP27'!G$616</f>
        <v>0</v>
      </c>
      <c r="E7536" s="211">
        <f>'IWP27'!H$616</f>
        <v>0</v>
      </c>
      <c r="F7536" s="211">
        <f>'IWP27'!I$616</f>
        <v>0</v>
      </c>
      <c r="G7536" s="191" t="str">
        <f>IF('IWP27'!J$616=0,"",'IWP27'!J$616)</f>
        <v/>
      </c>
      <c r="H7536" s="211">
        <f>'IWP27'!K$616</f>
        <v>0</v>
      </c>
      <c r="I7536" s="211">
        <f>'IWP27'!L$616</f>
        <v>0</v>
      </c>
      <c r="J7536" s="212">
        <f>'IWP27'!M$616</f>
        <v>0</v>
      </c>
      <c r="K7536" s="106"/>
      <c r="L7536" s="106"/>
      <c r="M7536" s="129"/>
    </row>
    <row r="7537" spans="1:13" s="146" customFormat="1">
      <c r="A7537" s="193" t="s">
        <v>525</v>
      </c>
      <c r="B7537" s="210">
        <v>17</v>
      </c>
      <c r="C7537" s="191" t="str">
        <f>IF('IWP27'!E$617=0,"",'IWP27'!E$617)</f>
        <v/>
      </c>
      <c r="D7537" s="211">
        <f>'IWP27'!G$617</f>
        <v>0</v>
      </c>
      <c r="E7537" s="211">
        <f>'IWP27'!H$617</f>
        <v>0</v>
      </c>
      <c r="F7537" s="211">
        <f>'IWP27'!I$617</f>
        <v>0</v>
      </c>
      <c r="G7537" s="191" t="str">
        <f>IF('IWP27'!J$617=0,"",'IWP27'!J$617)</f>
        <v/>
      </c>
      <c r="H7537" s="211">
        <f>'IWP27'!K$617</f>
        <v>0</v>
      </c>
      <c r="I7537" s="211">
        <f>'IWP27'!L$617</f>
        <v>0</v>
      </c>
      <c r="J7537" s="212">
        <f>'IWP27'!M$617</f>
        <v>0</v>
      </c>
      <c r="K7537" s="106"/>
      <c r="L7537" s="106"/>
      <c r="M7537" s="129"/>
    </row>
    <row r="7538" spans="1:13" s="146" customFormat="1">
      <c r="A7538" s="193" t="s">
        <v>525</v>
      </c>
      <c r="B7538" s="210">
        <v>17</v>
      </c>
      <c r="C7538" s="191" t="str">
        <f>IF('IWP27'!E$618=0,"",'IWP27'!E$618)</f>
        <v/>
      </c>
      <c r="D7538" s="211">
        <f>'IWP27'!G$618</f>
        <v>0</v>
      </c>
      <c r="E7538" s="211">
        <f>'IWP27'!H$618</f>
        <v>0</v>
      </c>
      <c r="F7538" s="211">
        <f>'IWP27'!I$618</f>
        <v>0</v>
      </c>
      <c r="G7538" s="191" t="str">
        <f>IF('IWP27'!J$618=0,"",'IWP27'!J$618)</f>
        <v/>
      </c>
      <c r="H7538" s="211">
        <f>'IWP27'!K$618</f>
        <v>0</v>
      </c>
      <c r="I7538" s="211">
        <f>'IWP27'!L$618</f>
        <v>0</v>
      </c>
      <c r="J7538" s="212">
        <f>'IWP27'!M$618</f>
        <v>0</v>
      </c>
      <c r="K7538" s="106"/>
      <c r="L7538" s="106"/>
      <c r="M7538" s="129"/>
    </row>
    <row r="7539" spans="1:13" s="146" customFormat="1">
      <c r="A7539" s="193" t="s">
        <v>525</v>
      </c>
      <c r="B7539" s="210">
        <v>17</v>
      </c>
      <c r="C7539" s="191" t="str">
        <f>IF('IWP27'!E$619=0,"",'IWP27'!E$619)</f>
        <v/>
      </c>
      <c r="D7539" s="211">
        <f>'IWP27'!G$619</f>
        <v>0</v>
      </c>
      <c r="E7539" s="211">
        <f>'IWP27'!H$619</f>
        <v>0</v>
      </c>
      <c r="F7539" s="211">
        <f>'IWP27'!I$619</f>
        <v>0</v>
      </c>
      <c r="G7539" s="191" t="str">
        <f>IF('IWP27'!J$619=0,"",'IWP27'!J$619)</f>
        <v/>
      </c>
      <c r="H7539" s="211">
        <f>'IWP27'!K$619</f>
        <v>0</v>
      </c>
      <c r="I7539" s="211">
        <f>'IWP27'!L$619</f>
        <v>0</v>
      </c>
      <c r="J7539" s="212">
        <f>'IWP27'!M$619</f>
        <v>0</v>
      </c>
      <c r="K7539" s="106"/>
      <c r="L7539" s="106"/>
      <c r="M7539" s="129"/>
    </row>
    <row r="7540" spans="1:13" s="146" customFormat="1">
      <c r="A7540" s="193" t="s">
        <v>525</v>
      </c>
      <c r="B7540" s="210">
        <v>17</v>
      </c>
      <c r="C7540" s="191" t="str">
        <f>IF('IWP27'!E$620=0,"",'IWP27'!E$620)</f>
        <v/>
      </c>
      <c r="D7540" s="211">
        <f>'IWP27'!G$620</f>
        <v>0</v>
      </c>
      <c r="E7540" s="211">
        <f>'IWP27'!H$620</f>
        <v>0</v>
      </c>
      <c r="F7540" s="211">
        <f>'IWP27'!I$620</f>
        <v>0</v>
      </c>
      <c r="G7540" s="191" t="str">
        <f>IF('IWP27'!J$620=0,"",'IWP27'!J$620)</f>
        <v/>
      </c>
      <c r="H7540" s="211">
        <f>'IWP27'!K$620</f>
        <v>0</v>
      </c>
      <c r="I7540" s="211">
        <f>'IWP27'!L$620</f>
        <v>0</v>
      </c>
      <c r="J7540" s="212">
        <f>'IWP27'!M$620</f>
        <v>0</v>
      </c>
      <c r="K7540" s="106"/>
      <c r="L7540" s="106"/>
      <c r="M7540" s="129"/>
    </row>
    <row r="7541" spans="1:13" s="146" customFormat="1">
      <c r="A7541" s="193" t="s">
        <v>525</v>
      </c>
      <c r="B7541" s="210">
        <v>18</v>
      </c>
      <c r="C7541" s="191" t="str">
        <f>IF('IWP27'!E$627=0,"",'IWP27'!E$627)</f>
        <v/>
      </c>
      <c r="D7541" s="211">
        <f>'IWP27'!G$627</f>
        <v>0</v>
      </c>
      <c r="E7541" s="211">
        <f>'IWP27'!H$627</f>
        <v>0</v>
      </c>
      <c r="F7541" s="211">
        <f>'IWP27'!I$627</f>
        <v>0</v>
      </c>
      <c r="G7541" s="191" t="str">
        <f>IF('IWP27'!J$627=0,"",'IWP27'!J$627)</f>
        <v/>
      </c>
      <c r="H7541" s="211">
        <f>'IWP27'!K$627</f>
        <v>0</v>
      </c>
      <c r="I7541" s="211">
        <f>'IWP27'!L$627</f>
        <v>0</v>
      </c>
      <c r="J7541" s="212">
        <f>'IWP27'!M$627</f>
        <v>0</v>
      </c>
      <c r="K7541" s="106"/>
      <c r="L7541" s="106"/>
      <c r="M7541" s="129"/>
    </row>
    <row r="7542" spans="1:13" s="146" customFormat="1">
      <c r="A7542" s="193" t="s">
        <v>525</v>
      </c>
      <c r="B7542" s="210">
        <v>18</v>
      </c>
      <c r="C7542" s="191" t="str">
        <f>IF('IWP27'!E$628=0,"",'IWP27'!E$628)</f>
        <v/>
      </c>
      <c r="D7542" s="211">
        <f>'IWP27'!G$628</f>
        <v>0</v>
      </c>
      <c r="E7542" s="211">
        <f>'IWP27'!H$628</f>
        <v>0</v>
      </c>
      <c r="F7542" s="211">
        <f>'IWP27'!I$628</f>
        <v>0</v>
      </c>
      <c r="G7542" s="191" t="str">
        <f>IF('IWP27'!J$628=0,"",'IWP27'!J$628)</f>
        <v/>
      </c>
      <c r="H7542" s="211">
        <f>'IWP27'!K$628</f>
        <v>0</v>
      </c>
      <c r="I7542" s="211">
        <f>'IWP27'!L$628</f>
        <v>0</v>
      </c>
      <c r="J7542" s="212">
        <f>'IWP27'!M$628</f>
        <v>0</v>
      </c>
      <c r="K7542" s="106"/>
      <c r="L7542" s="106"/>
      <c r="M7542" s="129"/>
    </row>
    <row r="7543" spans="1:13" s="146" customFormat="1">
      <c r="A7543" s="193" t="s">
        <v>525</v>
      </c>
      <c r="B7543" s="210">
        <v>18</v>
      </c>
      <c r="C7543" s="191" t="str">
        <f>IF('IWP27'!E$629=0,"",'IWP27'!E$629)</f>
        <v/>
      </c>
      <c r="D7543" s="211">
        <f>'IWP27'!G$629</f>
        <v>0</v>
      </c>
      <c r="E7543" s="211">
        <f>'IWP27'!H$629</f>
        <v>0</v>
      </c>
      <c r="F7543" s="211">
        <f>'IWP27'!I$629</f>
        <v>0</v>
      </c>
      <c r="G7543" s="191" t="str">
        <f>IF('IWP27'!J$629=0,"",'IWP27'!J$629)</f>
        <v/>
      </c>
      <c r="H7543" s="211">
        <f>'IWP27'!K$629</f>
        <v>0</v>
      </c>
      <c r="I7543" s="211">
        <f>'IWP27'!L$629</f>
        <v>0</v>
      </c>
      <c r="J7543" s="212">
        <f>'IWP27'!M$629</f>
        <v>0</v>
      </c>
      <c r="K7543" s="106"/>
      <c r="L7543" s="106"/>
      <c r="M7543" s="129"/>
    </row>
    <row r="7544" spans="1:13" s="146" customFormat="1">
      <c r="A7544" s="193" t="s">
        <v>525</v>
      </c>
      <c r="B7544" s="210">
        <v>18</v>
      </c>
      <c r="C7544" s="191" t="str">
        <f>IF('IWP27'!E$630=0,"",'IWP27'!E$630)</f>
        <v/>
      </c>
      <c r="D7544" s="211">
        <f>'IWP27'!G$630</f>
        <v>0</v>
      </c>
      <c r="E7544" s="211">
        <f>'IWP27'!H$630</f>
        <v>0</v>
      </c>
      <c r="F7544" s="211">
        <f>'IWP27'!I$630</f>
        <v>0</v>
      </c>
      <c r="G7544" s="191" t="str">
        <f>IF('IWP27'!J$630=0,"",'IWP27'!J$630)</f>
        <v/>
      </c>
      <c r="H7544" s="211">
        <f>'IWP27'!K$630</f>
        <v>0</v>
      </c>
      <c r="I7544" s="211">
        <f>'IWP27'!L$630</f>
        <v>0</v>
      </c>
      <c r="J7544" s="212">
        <f>'IWP27'!M$630</f>
        <v>0</v>
      </c>
      <c r="K7544" s="106"/>
      <c r="L7544" s="106"/>
      <c r="M7544" s="129"/>
    </row>
    <row r="7545" spans="1:13" s="146" customFormat="1">
      <c r="A7545" s="193" t="s">
        <v>525</v>
      </c>
      <c r="B7545" s="210">
        <v>18</v>
      </c>
      <c r="C7545" s="191" t="str">
        <f>IF('IWP27'!E$631=0,"",'IWP27'!E$631)</f>
        <v/>
      </c>
      <c r="D7545" s="211">
        <f>'IWP27'!G$631</f>
        <v>0</v>
      </c>
      <c r="E7545" s="211">
        <f>'IWP27'!H$631</f>
        <v>0</v>
      </c>
      <c r="F7545" s="211">
        <f>'IWP27'!I$631</f>
        <v>0</v>
      </c>
      <c r="G7545" s="191" t="str">
        <f>IF('IWP27'!J$631=0,"",'IWP27'!J$631)</f>
        <v/>
      </c>
      <c r="H7545" s="211">
        <f>'IWP27'!K$631</f>
        <v>0</v>
      </c>
      <c r="I7545" s="211">
        <f>'IWP27'!L$631</f>
        <v>0</v>
      </c>
      <c r="J7545" s="212">
        <f>'IWP27'!M$631</f>
        <v>0</v>
      </c>
      <c r="K7545" s="106"/>
      <c r="L7545" s="106"/>
      <c r="M7545" s="129"/>
    </row>
    <row r="7546" spans="1:13" s="146" customFormat="1">
      <c r="A7546" s="193" t="s">
        <v>525</v>
      </c>
      <c r="B7546" s="210">
        <v>18</v>
      </c>
      <c r="C7546" s="191" t="str">
        <f>IF('IWP27'!E$632=0,"",'IWP27'!E$632)</f>
        <v/>
      </c>
      <c r="D7546" s="211">
        <f>'IWP27'!G$632</f>
        <v>0</v>
      </c>
      <c r="E7546" s="211">
        <f>'IWP27'!H$632</f>
        <v>0</v>
      </c>
      <c r="F7546" s="211">
        <f>'IWP27'!I$632</f>
        <v>0</v>
      </c>
      <c r="G7546" s="191" t="str">
        <f>IF('IWP27'!J$632=0,"",'IWP27'!J$632)</f>
        <v/>
      </c>
      <c r="H7546" s="211">
        <f>'IWP27'!K$632</f>
        <v>0</v>
      </c>
      <c r="I7546" s="211">
        <f>'IWP27'!L$632</f>
        <v>0</v>
      </c>
      <c r="J7546" s="212">
        <f>'IWP27'!M$632</f>
        <v>0</v>
      </c>
      <c r="K7546" s="106"/>
      <c r="L7546" s="106"/>
      <c r="M7546" s="129"/>
    </row>
    <row r="7547" spans="1:13" s="146" customFormat="1">
      <c r="A7547" s="193" t="s">
        <v>525</v>
      </c>
      <c r="B7547" s="210">
        <v>18</v>
      </c>
      <c r="C7547" s="191" t="str">
        <f>IF('IWP27'!E$633=0,"",'IWP27'!E$633)</f>
        <v/>
      </c>
      <c r="D7547" s="211">
        <f>'IWP27'!G$633</f>
        <v>0</v>
      </c>
      <c r="E7547" s="211">
        <f>'IWP27'!H$633</f>
        <v>0</v>
      </c>
      <c r="F7547" s="211">
        <f>'IWP27'!I$633</f>
        <v>0</v>
      </c>
      <c r="G7547" s="191" t="str">
        <f>IF('IWP27'!J$633=0,"",'IWP27'!J$633)</f>
        <v/>
      </c>
      <c r="H7547" s="211">
        <f>'IWP27'!K$633</f>
        <v>0</v>
      </c>
      <c r="I7547" s="211">
        <f>'IWP27'!L$633</f>
        <v>0</v>
      </c>
      <c r="J7547" s="212">
        <f>'IWP27'!M$633</f>
        <v>0</v>
      </c>
      <c r="K7547" s="106"/>
      <c r="L7547" s="106"/>
      <c r="M7547" s="129"/>
    </row>
    <row r="7548" spans="1:13" s="146" customFormat="1">
      <c r="A7548" s="193" t="s">
        <v>525</v>
      </c>
      <c r="B7548" s="210">
        <v>18</v>
      </c>
      <c r="C7548" s="191" t="str">
        <f>IF('IWP27'!E$634=0,"",'IWP27'!E$634)</f>
        <v/>
      </c>
      <c r="D7548" s="211">
        <f>'IWP27'!G$634</f>
        <v>0</v>
      </c>
      <c r="E7548" s="211">
        <f>'IWP27'!H$634</f>
        <v>0</v>
      </c>
      <c r="F7548" s="211">
        <f>'IWP27'!I$634</f>
        <v>0</v>
      </c>
      <c r="G7548" s="191" t="str">
        <f>IF('IWP27'!J$634=0,"",'IWP27'!J$634)</f>
        <v/>
      </c>
      <c r="H7548" s="211">
        <f>'IWP27'!K$634</f>
        <v>0</v>
      </c>
      <c r="I7548" s="211">
        <f>'IWP27'!L$634</f>
        <v>0</v>
      </c>
      <c r="J7548" s="212">
        <f>'IWP27'!M$634</f>
        <v>0</v>
      </c>
      <c r="K7548" s="106"/>
      <c r="L7548" s="106"/>
      <c r="M7548" s="129"/>
    </row>
    <row r="7549" spans="1:13" s="146" customFormat="1">
      <c r="A7549" s="193" t="s">
        <v>525</v>
      </c>
      <c r="B7549" s="210">
        <v>18</v>
      </c>
      <c r="C7549" s="191" t="str">
        <f>IF('IWP27'!E$635=0,"",'IWP27'!E$635)</f>
        <v/>
      </c>
      <c r="D7549" s="211">
        <f>'IWP27'!G$635</f>
        <v>0</v>
      </c>
      <c r="E7549" s="211">
        <f>'IWP27'!H$635</f>
        <v>0</v>
      </c>
      <c r="F7549" s="211">
        <f>'IWP27'!I$635</f>
        <v>0</v>
      </c>
      <c r="G7549" s="191" t="str">
        <f>IF('IWP27'!J$635=0,"",'IWP27'!J$635)</f>
        <v/>
      </c>
      <c r="H7549" s="211">
        <f>'IWP27'!K$635</f>
        <v>0</v>
      </c>
      <c r="I7549" s="211">
        <f>'IWP27'!L$635</f>
        <v>0</v>
      </c>
      <c r="J7549" s="212">
        <f>'IWP27'!M$635</f>
        <v>0</v>
      </c>
      <c r="K7549" s="106"/>
      <c r="L7549" s="106"/>
      <c r="M7549" s="129"/>
    </row>
    <row r="7550" spans="1:13" s="146" customFormat="1">
      <c r="A7550" s="193" t="s">
        <v>525</v>
      </c>
      <c r="B7550" s="210">
        <v>18</v>
      </c>
      <c r="C7550" s="191" t="str">
        <f>IF('IWP27'!E$636=0,"",'IWP27'!E$636)</f>
        <v/>
      </c>
      <c r="D7550" s="211">
        <f>'IWP27'!G$636</f>
        <v>0</v>
      </c>
      <c r="E7550" s="211">
        <f>'IWP27'!H$636</f>
        <v>0</v>
      </c>
      <c r="F7550" s="211">
        <f>'IWP27'!I$636</f>
        <v>0</v>
      </c>
      <c r="G7550" s="191" t="str">
        <f>IF('IWP27'!J$636=0,"",'IWP27'!J$636)</f>
        <v/>
      </c>
      <c r="H7550" s="211">
        <f>'IWP27'!K$636</f>
        <v>0</v>
      </c>
      <c r="I7550" s="211">
        <f>'IWP27'!L$636</f>
        <v>0</v>
      </c>
      <c r="J7550" s="212">
        <f>'IWP27'!M$636</f>
        <v>0</v>
      </c>
      <c r="K7550" s="106"/>
      <c r="L7550" s="106"/>
      <c r="M7550" s="129"/>
    </row>
    <row r="7551" spans="1:13" s="146" customFormat="1">
      <c r="A7551" s="193" t="s">
        <v>526</v>
      </c>
      <c r="B7551" s="210">
        <v>1</v>
      </c>
      <c r="C7551" s="191" t="str">
        <f>IF('IWP28'!E$355=0,"",'IWP28'!E$355)</f>
        <v>Subtotal column D.</v>
      </c>
      <c r="D7551" s="211">
        <f>'IWP28'!G$355</f>
        <v>0</v>
      </c>
      <c r="E7551" s="211">
        <f>'IWP28'!H$355</f>
        <v>0</v>
      </c>
      <c r="F7551" s="211">
        <f>'IWP28'!I$355</f>
        <v>0</v>
      </c>
      <c r="G7551" s="191" t="str">
        <f>IF('IWP28'!J$355=0,"",'IWP28'!J$355)</f>
        <v/>
      </c>
      <c r="H7551" s="211">
        <f>'IWP28'!K$355</f>
        <v>0</v>
      </c>
      <c r="I7551" s="211">
        <f>'IWP28'!L$355</f>
        <v>0</v>
      </c>
      <c r="J7551" s="212">
        <f>'IWP28'!M$355</f>
        <v>0</v>
      </c>
      <c r="K7551" s="106"/>
      <c r="L7551" s="106"/>
      <c r="M7551" s="129"/>
    </row>
    <row r="7552" spans="1:13" s="146" customFormat="1">
      <c r="A7552" s="193" t="s">
        <v>526</v>
      </c>
      <c r="B7552" s="210">
        <v>1</v>
      </c>
      <c r="C7552" s="191" t="str">
        <f>IF('IWP28'!E$356=0,"",'IWP28'!E$356)</f>
        <v>Unverified/Undocumented (Subtotall D - C)</v>
      </c>
      <c r="D7552" s="211">
        <f>'IWP28'!G$356</f>
        <v>0</v>
      </c>
      <c r="E7552" s="211">
        <f>'IWP28'!H$356</f>
        <v>0</v>
      </c>
      <c r="F7552" s="211">
        <f>'IWP28'!I$356</f>
        <v>0</v>
      </c>
      <c r="G7552" s="191" t="str">
        <f>IF('IWP28'!J$356=0,"",'IWP28'!J$356)</f>
        <v/>
      </c>
      <c r="H7552" s="211">
        <f>'IWP28'!K$356</f>
        <v>0</v>
      </c>
      <c r="I7552" s="211">
        <f>'IWP28'!L$356</f>
        <v>0</v>
      </c>
      <c r="J7552" s="212">
        <f>'IWP28'!M$356</f>
        <v>0</v>
      </c>
      <c r="K7552" s="106"/>
      <c r="L7552" s="106"/>
      <c r="M7552" s="129"/>
    </row>
    <row r="7553" spans="1:13" s="146" customFormat="1">
      <c r="A7553" s="193" t="s">
        <v>526</v>
      </c>
      <c r="B7553" s="210">
        <v>1</v>
      </c>
      <c r="C7553" s="191" t="str">
        <f>IF('IWP28'!E$357=0,"",'IWP28'!E$357)</f>
        <v>J. Billing Period Total</v>
      </c>
      <c r="D7553" s="211">
        <f>'IWP28'!G$357</f>
        <v>0</v>
      </c>
      <c r="E7553" s="211">
        <f>'IWP28'!H$357</f>
        <v>0</v>
      </c>
      <c r="F7553" s="211">
        <f>'IWP28'!I$357</f>
        <v>0</v>
      </c>
      <c r="G7553" s="191" t="str">
        <f>IF('IWP28'!J$357=0,"",'IWP28'!J$357)</f>
        <v/>
      </c>
      <c r="H7553" s="211">
        <f>'IWP28'!K$357</f>
        <v>0</v>
      </c>
      <c r="I7553" s="211">
        <f>'IWP28'!L$357</f>
        <v>0</v>
      </c>
      <c r="J7553" s="212">
        <f>'IWP28'!M$357</f>
        <v>0</v>
      </c>
      <c r="K7553" s="106"/>
      <c r="L7553" s="106"/>
      <c r="M7553" s="129"/>
    </row>
    <row r="7554" spans="1:13" s="146" customFormat="1">
      <c r="A7554" s="193" t="s">
        <v>526</v>
      </c>
      <c r="B7554" s="210">
        <v>1</v>
      </c>
      <c r="C7554" s="191" t="str">
        <f>IF('IWP28'!E$358=0,"",'IWP28'!E$358)</f>
        <v>D.</v>
      </c>
      <c r="D7554" s="211">
        <f>'IWP28'!G$358</f>
        <v>0</v>
      </c>
      <c r="E7554" s="211" t="str">
        <f>'IWP28'!H$358</f>
        <v>E.</v>
      </c>
      <c r="F7554" s="211" t="str">
        <f>'IWP28'!I$358</f>
        <v>F.</v>
      </c>
      <c r="G7554" s="191" t="str">
        <f>IF('IWP28'!J$358=0,"",'IWP28'!J$358)</f>
        <v>G.</v>
      </c>
      <c r="H7554" s="211">
        <f>'IWP28'!K$358</f>
        <v>0</v>
      </c>
      <c r="I7554" s="211" t="str">
        <f>'IWP28'!L$358</f>
        <v>H.</v>
      </c>
      <c r="J7554" s="212" t="str">
        <f>'IWP28'!M$358</f>
        <v>I.</v>
      </c>
      <c r="K7554" s="106"/>
      <c r="L7554" s="106"/>
      <c r="M7554" s="129"/>
    </row>
    <row r="7555" spans="1:13" s="146" customFormat="1">
      <c r="A7555" s="193" t="s">
        <v>526</v>
      </c>
      <c r="B7555" s="210">
        <v>1</v>
      </c>
      <c r="C7555" s="191" t="str">
        <f>IF('IWP28'!E$359=0,"",'IWP28'!E$359)</f>
        <v xml:space="preserve">Items/Services Related to Billing Period </v>
      </c>
      <c r="D7555" s="211">
        <f>'IWP28'!G$359</f>
        <v>0</v>
      </c>
      <c r="E7555" s="211" t="str">
        <f>'IWP28'!H$359</f>
        <v xml:space="preserve">Item/
Service Verified Amounts
</v>
      </c>
      <c r="F7555" s="211" t="str">
        <f>'IWP28'!I$359</f>
        <v>Amount Due to DADS (E. - D.)</v>
      </c>
      <c r="G7555" s="191" t="str">
        <f>IF('IWP28'!J$359=0,"",'IWP28'!J$359)</f>
        <v>Amount Reimbursed to 
Employee(s)/Employer</v>
      </c>
      <c r="H7555" s="211">
        <f>'IWP28'!K$359</f>
        <v>0</v>
      </c>
      <c r="I7555" s="211" t="str">
        <f>'IWP28'!L$359</f>
        <v>Amount Due to Employee(s) (G. - E.)</v>
      </c>
      <c r="J7555" s="212" t="str">
        <f>'IWP28'!M$359</f>
        <v>Amount Due to Employer (G. - E.)</v>
      </c>
      <c r="K7555" s="106"/>
      <c r="L7555" s="106"/>
      <c r="M7555" s="129"/>
    </row>
    <row r="7556" spans="1:13" s="146" customFormat="1">
      <c r="A7556" s="193" t="s">
        <v>526</v>
      </c>
      <c r="B7556" s="210">
        <v>1</v>
      </c>
      <c r="C7556" s="191" t="str">
        <f>IF('IWP28'!E$360=0,"",'IWP28'!E$360)</f>
        <v>Item/Service</v>
      </c>
      <c r="D7556" s="211" t="str">
        <f>'IWP28'!G$360</f>
        <v>Itemized Amount Paid by DADS</v>
      </c>
      <c r="E7556" s="211">
        <f>'IWP28'!H$360</f>
        <v>0</v>
      </c>
      <c r="F7556" s="211">
        <f>'IWP28'!I$360</f>
        <v>0</v>
      </c>
      <c r="G7556" s="191" t="str">
        <f>IF('IWP28'!J$360=0,"",'IWP28'!J$360)</f>
        <v/>
      </c>
      <c r="H7556" s="211">
        <f>'IWP28'!K$360</f>
        <v>0</v>
      </c>
      <c r="I7556" s="211">
        <f>'IWP28'!L$360</f>
        <v>0</v>
      </c>
      <c r="J7556" s="212">
        <f>'IWP28'!M$360</f>
        <v>0</v>
      </c>
      <c r="K7556" s="106"/>
      <c r="L7556" s="106"/>
      <c r="M7556" s="129"/>
    </row>
    <row r="7557" spans="1:13" s="146" customFormat="1">
      <c r="A7557" s="193" t="s">
        <v>526</v>
      </c>
      <c r="B7557" s="210">
        <v>1</v>
      </c>
      <c r="C7557" s="191" t="str">
        <f>IF('IWP28'!E$361=0,"",'IWP28'!E$361)</f>
        <v/>
      </c>
      <c r="D7557" s="211">
        <f>'IWP28'!G$361</f>
        <v>0</v>
      </c>
      <c r="E7557" s="211">
        <f>'IWP28'!H$361</f>
        <v>0</v>
      </c>
      <c r="F7557" s="211">
        <f>'IWP28'!I$361</f>
        <v>0</v>
      </c>
      <c r="G7557" s="191" t="str">
        <f>IF('IWP28'!J$361=0,"",'IWP28'!J$361)</f>
        <v/>
      </c>
      <c r="H7557" s="211">
        <f>'IWP28'!K$361</f>
        <v>0</v>
      </c>
      <c r="I7557" s="211">
        <f>'IWP28'!L$361</f>
        <v>0</v>
      </c>
      <c r="J7557" s="212">
        <f>'IWP28'!M$361</f>
        <v>0</v>
      </c>
      <c r="K7557" s="106"/>
      <c r="L7557" s="106"/>
      <c r="M7557" s="129"/>
    </row>
    <row r="7558" spans="1:13" s="146" customFormat="1">
      <c r="A7558" s="193" t="s">
        <v>526</v>
      </c>
      <c r="B7558" s="210">
        <v>1</v>
      </c>
      <c r="C7558" s="191" t="str">
        <f>IF('IWP28'!E$362=0,"",'IWP28'!E$362)</f>
        <v/>
      </c>
      <c r="D7558" s="211">
        <f>'IWP28'!G$362</f>
        <v>0</v>
      </c>
      <c r="E7558" s="211">
        <f>'IWP28'!H$362</f>
        <v>0</v>
      </c>
      <c r="F7558" s="211">
        <f>'IWP28'!I$362</f>
        <v>0</v>
      </c>
      <c r="G7558" s="191" t="str">
        <f>IF('IWP28'!J$362=0,"",'IWP28'!J$362)</f>
        <v/>
      </c>
      <c r="H7558" s="211">
        <f>'IWP28'!K$362</f>
        <v>0</v>
      </c>
      <c r="I7558" s="211">
        <f>'IWP28'!L$362</f>
        <v>0</v>
      </c>
      <c r="J7558" s="212">
        <f>'IWP28'!M$362</f>
        <v>0</v>
      </c>
      <c r="K7558" s="106"/>
      <c r="L7558" s="106"/>
      <c r="M7558" s="129"/>
    </row>
    <row r="7559" spans="1:13" s="146" customFormat="1">
      <c r="A7559" s="193" t="s">
        <v>526</v>
      </c>
      <c r="B7559" s="210">
        <v>1</v>
      </c>
      <c r="C7559" s="191" t="str">
        <f>IF('IWP28'!E$363=0,"",'IWP28'!E$363)</f>
        <v/>
      </c>
      <c r="D7559" s="211">
        <f>'IWP28'!G$363</f>
        <v>0</v>
      </c>
      <c r="E7559" s="211">
        <f>'IWP28'!H$363</f>
        <v>0</v>
      </c>
      <c r="F7559" s="211">
        <f>'IWP28'!I$363</f>
        <v>0</v>
      </c>
      <c r="G7559" s="191" t="str">
        <f>IF('IWP28'!J$363=0,"",'IWP28'!J$363)</f>
        <v/>
      </c>
      <c r="H7559" s="211">
        <f>'IWP28'!K$363</f>
        <v>0</v>
      </c>
      <c r="I7559" s="211">
        <f>'IWP28'!L$363</f>
        <v>0</v>
      </c>
      <c r="J7559" s="212">
        <f>'IWP28'!M$363</f>
        <v>0</v>
      </c>
      <c r="K7559" s="106"/>
      <c r="L7559" s="106"/>
      <c r="M7559" s="129"/>
    </row>
    <row r="7560" spans="1:13" s="146" customFormat="1">
      <c r="A7560" s="193" t="s">
        <v>526</v>
      </c>
      <c r="B7560" s="210">
        <v>1</v>
      </c>
      <c r="C7560" s="191" t="str">
        <f>IF('IWP28'!E$364=0,"",'IWP28'!E$364)</f>
        <v/>
      </c>
      <c r="D7560" s="211">
        <f>'IWP28'!G$364</f>
        <v>0</v>
      </c>
      <c r="E7560" s="211">
        <f>'IWP28'!H$364</f>
        <v>0</v>
      </c>
      <c r="F7560" s="211">
        <f>'IWP28'!I$364</f>
        <v>0</v>
      </c>
      <c r="G7560" s="191" t="str">
        <f>IF('IWP28'!J$364=0,"",'IWP28'!J$364)</f>
        <v/>
      </c>
      <c r="H7560" s="211">
        <f>'IWP28'!K$364</f>
        <v>0</v>
      </c>
      <c r="I7560" s="211">
        <f>'IWP28'!L$364</f>
        <v>0</v>
      </c>
      <c r="J7560" s="212">
        <f>'IWP28'!M$364</f>
        <v>0</v>
      </c>
      <c r="K7560" s="106"/>
      <c r="L7560" s="106"/>
      <c r="M7560" s="129"/>
    </row>
    <row r="7561" spans="1:13" s="146" customFormat="1">
      <c r="A7561" s="193" t="s">
        <v>526</v>
      </c>
      <c r="B7561" s="210">
        <v>2</v>
      </c>
      <c r="C7561" s="191" t="str">
        <f>IF('IWP28'!E$371=0,"",'IWP28'!E$371)</f>
        <v>Subtotal column D.</v>
      </c>
      <c r="D7561" s="211">
        <f>'IWP28'!G$371</f>
        <v>0</v>
      </c>
      <c r="E7561" s="211">
        <f>'IWP28'!H$371</f>
        <v>0</v>
      </c>
      <c r="F7561" s="211">
        <f>'IWP28'!I$371</f>
        <v>0</v>
      </c>
      <c r="G7561" s="191" t="str">
        <f>IF('IWP28'!J$371=0,"",'IWP28'!J$371)</f>
        <v/>
      </c>
      <c r="H7561" s="211">
        <f>'IWP28'!K$371</f>
        <v>0</v>
      </c>
      <c r="I7561" s="211">
        <f>'IWP28'!L$371</f>
        <v>0</v>
      </c>
      <c r="J7561" s="212">
        <f>'IWP28'!M$371</f>
        <v>0</v>
      </c>
      <c r="K7561" s="106"/>
      <c r="L7561" s="106"/>
      <c r="M7561" s="129"/>
    </row>
    <row r="7562" spans="1:13" s="146" customFormat="1">
      <c r="A7562" s="193" t="s">
        <v>526</v>
      </c>
      <c r="B7562" s="210">
        <v>2</v>
      </c>
      <c r="C7562" s="191" t="str">
        <f>IF('IWP28'!E$372=0,"",'IWP28'!E$372)</f>
        <v>Unverified/Undocumented (Subtotal D - C)</v>
      </c>
      <c r="D7562" s="211">
        <f>'IWP28'!G$372</f>
        <v>0</v>
      </c>
      <c r="E7562" s="211">
        <f>'IWP28'!H$372</f>
        <v>0</v>
      </c>
      <c r="F7562" s="211">
        <f>'IWP28'!I$372</f>
        <v>0</v>
      </c>
      <c r="G7562" s="191" t="str">
        <f>IF('IWP28'!J$372=0,"",'IWP28'!J$372)</f>
        <v/>
      </c>
      <c r="H7562" s="211">
        <f>'IWP28'!K$372</f>
        <v>0</v>
      </c>
      <c r="I7562" s="211">
        <f>'IWP28'!L$372</f>
        <v>0</v>
      </c>
      <c r="J7562" s="212">
        <f>'IWP28'!M$372</f>
        <v>0</v>
      </c>
      <c r="K7562" s="106"/>
      <c r="L7562" s="106"/>
      <c r="M7562" s="129"/>
    </row>
    <row r="7563" spans="1:13" s="146" customFormat="1">
      <c r="A7563" s="193" t="s">
        <v>526</v>
      </c>
      <c r="B7563" s="210">
        <v>2</v>
      </c>
      <c r="C7563" s="191" t="str">
        <f>IF('IWP28'!E$373=0,"",'IWP28'!E$373)</f>
        <v>J. Billing Period Total</v>
      </c>
      <c r="D7563" s="211">
        <f>'IWP28'!G$373</f>
        <v>0</v>
      </c>
      <c r="E7563" s="211">
        <f>'IWP28'!H$373</f>
        <v>0</v>
      </c>
      <c r="F7563" s="211">
        <f>'IWP28'!I$373</f>
        <v>0</v>
      </c>
      <c r="G7563" s="191" t="str">
        <f>IF('IWP28'!J$373=0,"",'IWP28'!J$373)</f>
        <v/>
      </c>
      <c r="H7563" s="211">
        <f>'IWP28'!K$373</f>
        <v>0</v>
      </c>
      <c r="I7563" s="211">
        <f>'IWP28'!L$373</f>
        <v>0</v>
      </c>
      <c r="J7563" s="212">
        <f>'IWP28'!M$373</f>
        <v>0</v>
      </c>
      <c r="K7563" s="106"/>
      <c r="L7563" s="106"/>
      <c r="M7563" s="129"/>
    </row>
    <row r="7564" spans="1:13" s="146" customFormat="1">
      <c r="A7564" s="193" t="s">
        <v>526</v>
      </c>
      <c r="B7564" s="210">
        <v>2</v>
      </c>
      <c r="C7564" s="191" t="str">
        <f>IF('IWP28'!E$374=0,"",'IWP28'!E$374)</f>
        <v>D.</v>
      </c>
      <c r="D7564" s="211">
        <f>'IWP28'!G$374</f>
        <v>0</v>
      </c>
      <c r="E7564" s="211" t="str">
        <f>'IWP28'!H$374</f>
        <v>E.</v>
      </c>
      <c r="F7564" s="211" t="str">
        <f>'IWP28'!I$374</f>
        <v>F.</v>
      </c>
      <c r="G7564" s="191" t="str">
        <f>IF('IWP28'!J$374=0,"",'IWP28'!J$374)</f>
        <v>G.</v>
      </c>
      <c r="H7564" s="211">
        <f>'IWP28'!K$374</f>
        <v>0</v>
      </c>
      <c r="I7564" s="211" t="str">
        <f>'IWP28'!L$374</f>
        <v>H.</v>
      </c>
      <c r="J7564" s="212" t="str">
        <f>'IWP28'!M$374</f>
        <v>I.</v>
      </c>
      <c r="K7564" s="106"/>
      <c r="L7564" s="106"/>
      <c r="M7564" s="129"/>
    </row>
    <row r="7565" spans="1:13" s="146" customFormat="1">
      <c r="A7565" s="193" t="s">
        <v>526</v>
      </c>
      <c r="B7565" s="210">
        <v>2</v>
      </c>
      <c r="C7565" s="191" t="str">
        <f>IF('IWP28'!E$375=0,"",'IWP28'!E$375)</f>
        <v xml:space="preserve">Items/Services Related to Billing Period </v>
      </c>
      <c r="D7565" s="211">
        <f>'IWP28'!G$375</f>
        <v>0</v>
      </c>
      <c r="E7565" s="211" t="str">
        <f>'IWP28'!H$375</f>
        <v xml:space="preserve">Item/
Service Verified Amounts
</v>
      </c>
      <c r="F7565" s="211" t="str">
        <f>'IWP28'!I$375</f>
        <v>Amount Due to DADS (E. - D.)</v>
      </c>
      <c r="G7565" s="191" t="str">
        <f>IF('IWP28'!J$375=0,"",'IWP28'!J$375)</f>
        <v>Amount Reimbursed to 
Employee(s)/Employer</v>
      </c>
      <c r="H7565" s="211">
        <f>'IWP28'!K$375</f>
        <v>0</v>
      </c>
      <c r="I7565" s="211" t="str">
        <f>'IWP28'!L$375</f>
        <v>Amount Due to Employee(s) (G. - E.)</v>
      </c>
      <c r="J7565" s="212" t="str">
        <f>'IWP28'!M$375</f>
        <v>Amount Due to Employer (G. - E.)</v>
      </c>
      <c r="K7565" s="106"/>
      <c r="L7565" s="106"/>
      <c r="M7565" s="129"/>
    </row>
    <row r="7566" spans="1:13" s="146" customFormat="1">
      <c r="A7566" s="193" t="s">
        <v>526</v>
      </c>
      <c r="B7566" s="210">
        <v>2</v>
      </c>
      <c r="C7566" s="191" t="str">
        <f>IF('IWP28'!E$376=0,"",'IWP28'!E$376)</f>
        <v>Item/Service</v>
      </c>
      <c r="D7566" s="211" t="str">
        <f>'IWP28'!G$376</f>
        <v>Itemized Amount Paid by DADS</v>
      </c>
      <c r="E7566" s="211">
        <f>'IWP28'!H$376</f>
        <v>0</v>
      </c>
      <c r="F7566" s="211">
        <f>'IWP28'!I$376</f>
        <v>0</v>
      </c>
      <c r="G7566" s="191" t="str">
        <f>IF('IWP28'!J$376=0,"",'IWP28'!J$376)</f>
        <v/>
      </c>
      <c r="H7566" s="211">
        <f>'IWP28'!K$376</f>
        <v>0</v>
      </c>
      <c r="I7566" s="211">
        <f>'IWP28'!L$376</f>
        <v>0</v>
      </c>
      <c r="J7566" s="212">
        <f>'IWP28'!M$376</f>
        <v>0</v>
      </c>
      <c r="K7566" s="106"/>
      <c r="L7566" s="106"/>
      <c r="M7566" s="129"/>
    </row>
    <row r="7567" spans="1:13" s="146" customFormat="1">
      <c r="A7567" s="193" t="s">
        <v>526</v>
      </c>
      <c r="B7567" s="210">
        <v>2</v>
      </c>
      <c r="C7567" s="191" t="str">
        <f>IF('IWP28'!E$377=0,"",'IWP28'!E$377)</f>
        <v/>
      </c>
      <c r="D7567" s="211">
        <f>'IWP28'!G$377</f>
        <v>0</v>
      </c>
      <c r="E7567" s="211">
        <f>'IWP28'!H$377</f>
        <v>0</v>
      </c>
      <c r="F7567" s="211">
        <f>'IWP28'!I$377</f>
        <v>0</v>
      </c>
      <c r="G7567" s="191" t="str">
        <f>IF('IWP28'!J$377=0,"",'IWP28'!J$377)</f>
        <v/>
      </c>
      <c r="H7567" s="211">
        <f>'IWP28'!K$377</f>
        <v>0</v>
      </c>
      <c r="I7567" s="211">
        <f>'IWP28'!L$377</f>
        <v>0</v>
      </c>
      <c r="J7567" s="212">
        <f>'IWP28'!M$377</f>
        <v>0</v>
      </c>
      <c r="K7567" s="106"/>
      <c r="L7567" s="106"/>
      <c r="M7567" s="129"/>
    </row>
    <row r="7568" spans="1:13" s="146" customFormat="1">
      <c r="A7568" s="193" t="s">
        <v>526</v>
      </c>
      <c r="B7568" s="210">
        <v>2</v>
      </c>
      <c r="C7568" s="191" t="str">
        <f>IF('IWP28'!E$378=0,"",'IWP28'!E$378)</f>
        <v/>
      </c>
      <c r="D7568" s="211">
        <f>'IWP28'!G$378</f>
        <v>0</v>
      </c>
      <c r="E7568" s="211">
        <f>'IWP28'!H$378</f>
        <v>0</v>
      </c>
      <c r="F7568" s="211">
        <f>'IWP28'!I$378</f>
        <v>0</v>
      </c>
      <c r="G7568" s="191" t="str">
        <f>IF('IWP28'!J$378=0,"",'IWP28'!J$378)</f>
        <v/>
      </c>
      <c r="H7568" s="211">
        <f>'IWP28'!K$378</f>
        <v>0</v>
      </c>
      <c r="I7568" s="211">
        <f>'IWP28'!L$378</f>
        <v>0</v>
      </c>
      <c r="J7568" s="212">
        <f>'IWP28'!M$378</f>
        <v>0</v>
      </c>
      <c r="K7568" s="106"/>
      <c r="L7568" s="106"/>
      <c r="M7568" s="129"/>
    </row>
    <row r="7569" spans="1:13" s="146" customFormat="1">
      <c r="A7569" s="193" t="s">
        <v>526</v>
      </c>
      <c r="B7569" s="210">
        <v>2</v>
      </c>
      <c r="C7569" s="191" t="str">
        <f>IF('IWP28'!E$379=0,"",'IWP28'!E$379)</f>
        <v/>
      </c>
      <c r="D7569" s="211">
        <f>'IWP28'!G$379</f>
        <v>0</v>
      </c>
      <c r="E7569" s="211">
        <f>'IWP28'!H$379</f>
        <v>0</v>
      </c>
      <c r="F7569" s="211">
        <f>'IWP28'!I$379</f>
        <v>0</v>
      </c>
      <c r="G7569" s="191" t="str">
        <f>IF('IWP28'!J$379=0,"",'IWP28'!J$379)</f>
        <v/>
      </c>
      <c r="H7569" s="211">
        <f>'IWP28'!K$379</f>
        <v>0</v>
      </c>
      <c r="I7569" s="211">
        <f>'IWP28'!L$379</f>
        <v>0</v>
      </c>
      <c r="J7569" s="212">
        <f>'IWP28'!M$379</f>
        <v>0</v>
      </c>
      <c r="K7569" s="106"/>
      <c r="L7569" s="106"/>
      <c r="M7569" s="129"/>
    </row>
    <row r="7570" spans="1:13" s="146" customFormat="1">
      <c r="A7570" s="193" t="s">
        <v>526</v>
      </c>
      <c r="B7570" s="210">
        <v>2</v>
      </c>
      <c r="C7570" s="191" t="str">
        <f>IF('IWP28'!E$380=0,"",'IWP28'!E$380)</f>
        <v/>
      </c>
      <c r="D7570" s="211">
        <f>'IWP28'!G$380</f>
        <v>0</v>
      </c>
      <c r="E7570" s="211">
        <f>'IWP28'!H$380</f>
        <v>0</v>
      </c>
      <c r="F7570" s="211">
        <f>'IWP28'!I$380</f>
        <v>0</v>
      </c>
      <c r="G7570" s="191" t="str">
        <f>IF('IWP28'!J$380=0,"",'IWP28'!J$380)</f>
        <v/>
      </c>
      <c r="H7570" s="211">
        <f>'IWP28'!K$380</f>
        <v>0</v>
      </c>
      <c r="I7570" s="211">
        <f>'IWP28'!L$380</f>
        <v>0</v>
      </c>
      <c r="J7570" s="212">
        <f>'IWP28'!M$380</f>
        <v>0</v>
      </c>
      <c r="K7570" s="106"/>
      <c r="L7570" s="106"/>
      <c r="M7570" s="129"/>
    </row>
    <row r="7571" spans="1:13" s="146" customFormat="1">
      <c r="A7571" s="193" t="s">
        <v>526</v>
      </c>
      <c r="B7571" s="210">
        <v>3</v>
      </c>
      <c r="C7571" s="191" t="str">
        <f>IF('IWP28'!E$387=0,"",'IWP28'!E$387)</f>
        <v>Subtotal column D.</v>
      </c>
      <c r="D7571" s="211">
        <f>'IWP28'!G$387</f>
        <v>0</v>
      </c>
      <c r="E7571" s="211">
        <f>'IWP28'!H$387</f>
        <v>0</v>
      </c>
      <c r="F7571" s="211">
        <f>'IWP28'!I$387</f>
        <v>0</v>
      </c>
      <c r="G7571" s="191" t="str">
        <f>IF('IWP28'!J$387=0,"",'IWP28'!J$387)</f>
        <v/>
      </c>
      <c r="H7571" s="211">
        <f>'IWP28'!K$387</f>
        <v>0</v>
      </c>
      <c r="I7571" s="211">
        <f>'IWP28'!L$387</f>
        <v>0</v>
      </c>
      <c r="J7571" s="212">
        <f>'IWP28'!M$387</f>
        <v>0</v>
      </c>
      <c r="K7571" s="106"/>
      <c r="L7571" s="106"/>
      <c r="M7571" s="129"/>
    </row>
    <row r="7572" spans="1:13" s="146" customFormat="1">
      <c r="A7572" s="193" t="s">
        <v>526</v>
      </c>
      <c r="B7572" s="210">
        <v>3</v>
      </c>
      <c r="C7572" s="191" t="str">
        <f>IF('IWP28'!E$388=0,"",'IWP28'!E$388)</f>
        <v>Unverified/Undocumented (Subtotal D - C)</v>
      </c>
      <c r="D7572" s="211">
        <f>'IWP28'!G$388</f>
        <v>0</v>
      </c>
      <c r="E7572" s="211">
        <f>'IWP28'!H$388</f>
        <v>0</v>
      </c>
      <c r="F7572" s="211">
        <f>'IWP28'!I$388</f>
        <v>0</v>
      </c>
      <c r="G7572" s="191" t="str">
        <f>IF('IWP28'!J$388=0,"",'IWP28'!J$388)</f>
        <v/>
      </c>
      <c r="H7572" s="211">
        <f>'IWP28'!K$388</f>
        <v>0</v>
      </c>
      <c r="I7572" s="211">
        <f>'IWP28'!L$388</f>
        <v>0</v>
      </c>
      <c r="J7572" s="212">
        <f>'IWP28'!M$388</f>
        <v>0</v>
      </c>
      <c r="K7572" s="106"/>
      <c r="L7572" s="106"/>
      <c r="M7572" s="129"/>
    </row>
    <row r="7573" spans="1:13" s="146" customFormat="1">
      <c r="A7573" s="193" t="s">
        <v>526</v>
      </c>
      <c r="B7573" s="210">
        <v>3</v>
      </c>
      <c r="C7573" s="191" t="str">
        <f>IF('IWP28'!E$389=0,"",'IWP28'!E$389)</f>
        <v>J. Billing Period Total</v>
      </c>
      <c r="D7573" s="211">
        <f>'IWP28'!G$389</f>
        <v>0</v>
      </c>
      <c r="E7573" s="211">
        <f>'IWP28'!H$389</f>
        <v>0</v>
      </c>
      <c r="F7573" s="211">
        <f>'IWP28'!I$389</f>
        <v>0</v>
      </c>
      <c r="G7573" s="191" t="str">
        <f>IF('IWP28'!J$389=0,"",'IWP28'!J$389)</f>
        <v/>
      </c>
      <c r="H7573" s="211">
        <f>'IWP28'!K$389</f>
        <v>0</v>
      </c>
      <c r="I7573" s="211">
        <f>'IWP28'!L$389</f>
        <v>0</v>
      </c>
      <c r="J7573" s="212">
        <f>'IWP28'!M$389</f>
        <v>0</v>
      </c>
      <c r="K7573" s="106"/>
      <c r="L7573" s="106"/>
      <c r="M7573" s="129"/>
    </row>
    <row r="7574" spans="1:13" s="146" customFormat="1">
      <c r="A7574" s="193" t="s">
        <v>526</v>
      </c>
      <c r="B7574" s="210">
        <v>3</v>
      </c>
      <c r="C7574" s="191" t="str">
        <f>IF('IWP28'!E$390=0,"",'IWP28'!E$390)</f>
        <v>D.</v>
      </c>
      <c r="D7574" s="211">
        <f>'IWP28'!G$390</f>
        <v>0</v>
      </c>
      <c r="E7574" s="211" t="str">
        <f>'IWP28'!H$390</f>
        <v>E.</v>
      </c>
      <c r="F7574" s="211" t="str">
        <f>'IWP28'!I$390</f>
        <v>F.</v>
      </c>
      <c r="G7574" s="191" t="str">
        <f>IF('IWP28'!J$390=0,"",'IWP28'!J$390)</f>
        <v>G.</v>
      </c>
      <c r="H7574" s="211">
        <f>'IWP28'!K$390</f>
        <v>0</v>
      </c>
      <c r="I7574" s="211" t="str">
        <f>'IWP28'!L$390</f>
        <v>H.</v>
      </c>
      <c r="J7574" s="212" t="str">
        <f>'IWP28'!M$390</f>
        <v>I.</v>
      </c>
      <c r="K7574" s="106"/>
      <c r="L7574" s="106"/>
      <c r="M7574" s="129"/>
    </row>
    <row r="7575" spans="1:13" s="146" customFormat="1">
      <c r="A7575" s="193" t="s">
        <v>526</v>
      </c>
      <c r="B7575" s="210">
        <v>3</v>
      </c>
      <c r="C7575" s="191" t="str">
        <f>IF('IWP28'!E$391=0,"",'IWP28'!E$391)</f>
        <v xml:space="preserve">Items/Services Related to Billing Period </v>
      </c>
      <c r="D7575" s="211">
        <f>'IWP28'!G$391</f>
        <v>0</v>
      </c>
      <c r="E7575" s="211" t="str">
        <f>'IWP28'!H$391</f>
        <v xml:space="preserve">Item/
Service Verified Amounts
</v>
      </c>
      <c r="F7575" s="211" t="str">
        <f>'IWP28'!I$391</f>
        <v>Amount Due to DADS (E. - D.)</v>
      </c>
      <c r="G7575" s="191" t="str">
        <f>IF('IWP28'!J$391=0,"",'IWP28'!J$391)</f>
        <v>Amount Reimbursed to 
Employee(s)/Employer</v>
      </c>
      <c r="H7575" s="211">
        <f>'IWP28'!K$391</f>
        <v>0</v>
      </c>
      <c r="I7575" s="211" t="str">
        <f>'IWP28'!L$391</f>
        <v>Amount Due to Employee(s) (G. - E.)</v>
      </c>
      <c r="J7575" s="212" t="str">
        <f>'IWP28'!M$391</f>
        <v>Amount Due to Employer (G. - E.)</v>
      </c>
      <c r="K7575" s="106"/>
      <c r="L7575" s="106"/>
      <c r="M7575" s="129"/>
    </row>
    <row r="7576" spans="1:13" s="146" customFormat="1">
      <c r="A7576" s="193" t="s">
        <v>526</v>
      </c>
      <c r="B7576" s="210">
        <v>3</v>
      </c>
      <c r="C7576" s="191" t="str">
        <f>IF('IWP28'!E$392=0,"",'IWP28'!E$392)</f>
        <v>Item/Service</v>
      </c>
      <c r="D7576" s="211" t="str">
        <f>'IWP28'!G$392</f>
        <v>Itemized Amount Paid by DADS</v>
      </c>
      <c r="E7576" s="211">
        <f>'IWP28'!H$392</f>
        <v>0</v>
      </c>
      <c r="F7576" s="211">
        <f>'IWP28'!I$392</f>
        <v>0</v>
      </c>
      <c r="G7576" s="191" t="str">
        <f>IF('IWP28'!J$392=0,"",'IWP28'!J$392)</f>
        <v/>
      </c>
      <c r="H7576" s="211">
        <f>'IWP28'!K$392</f>
        <v>0</v>
      </c>
      <c r="I7576" s="211">
        <f>'IWP28'!L$392</f>
        <v>0</v>
      </c>
      <c r="J7576" s="212">
        <f>'IWP28'!M$392</f>
        <v>0</v>
      </c>
      <c r="K7576" s="106"/>
      <c r="L7576" s="106"/>
      <c r="M7576" s="129"/>
    </row>
    <row r="7577" spans="1:13" s="146" customFormat="1">
      <c r="A7577" s="193" t="s">
        <v>526</v>
      </c>
      <c r="B7577" s="210">
        <v>3</v>
      </c>
      <c r="C7577" s="191" t="str">
        <f>IF('IWP28'!E$393=0,"",'IWP28'!E$393)</f>
        <v/>
      </c>
      <c r="D7577" s="211">
        <f>'IWP28'!G$393</f>
        <v>0</v>
      </c>
      <c r="E7577" s="211">
        <f>'IWP28'!H$393</f>
        <v>0</v>
      </c>
      <c r="F7577" s="211">
        <f>'IWP28'!I$393</f>
        <v>0</v>
      </c>
      <c r="G7577" s="191" t="str">
        <f>IF('IWP28'!J$393=0,"",'IWP28'!J$393)</f>
        <v/>
      </c>
      <c r="H7577" s="211">
        <f>'IWP28'!K$393</f>
        <v>0</v>
      </c>
      <c r="I7577" s="211">
        <f>'IWP28'!L$393</f>
        <v>0</v>
      </c>
      <c r="J7577" s="212">
        <f>'IWP28'!M$393</f>
        <v>0</v>
      </c>
      <c r="K7577" s="106"/>
      <c r="L7577" s="106"/>
      <c r="M7577" s="129"/>
    </row>
    <row r="7578" spans="1:13" s="146" customFormat="1">
      <c r="A7578" s="193" t="s">
        <v>526</v>
      </c>
      <c r="B7578" s="210">
        <v>3</v>
      </c>
      <c r="C7578" s="191" t="str">
        <f>IF('IWP28'!E$394=0,"",'IWP28'!E$394)</f>
        <v/>
      </c>
      <c r="D7578" s="211">
        <f>'IWP28'!G$394</f>
        <v>0</v>
      </c>
      <c r="E7578" s="211">
        <f>'IWP28'!H$394</f>
        <v>0</v>
      </c>
      <c r="F7578" s="211">
        <f>'IWP28'!I$394</f>
        <v>0</v>
      </c>
      <c r="G7578" s="191" t="str">
        <f>IF('IWP28'!J$394=0,"",'IWP28'!J$394)</f>
        <v/>
      </c>
      <c r="H7578" s="211">
        <f>'IWP28'!K$394</f>
        <v>0</v>
      </c>
      <c r="I7578" s="211">
        <f>'IWP28'!L$394</f>
        <v>0</v>
      </c>
      <c r="J7578" s="212">
        <f>'IWP28'!M$394</f>
        <v>0</v>
      </c>
      <c r="K7578" s="106"/>
      <c r="L7578" s="106"/>
      <c r="M7578" s="129"/>
    </row>
    <row r="7579" spans="1:13" s="146" customFormat="1">
      <c r="A7579" s="193" t="s">
        <v>526</v>
      </c>
      <c r="B7579" s="210">
        <v>3</v>
      </c>
      <c r="C7579" s="191" t="str">
        <f>IF('IWP28'!E$395=0,"",'IWP28'!E$395)</f>
        <v/>
      </c>
      <c r="D7579" s="211">
        <f>'IWP28'!G$395</f>
        <v>0</v>
      </c>
      <c r="E7579" s="211">
        <f>'IWP28'!H$395</f>
        <v>0</v>
      </c>
      <c r="F7579" s="211">
        <f>'IWP28'!I$395</f>
        <v>0</v>
      </c>
      <c r="G7579" s="191" t="str">
        <f>IF('IWP28'!J$395=0,"",'IWP28'!J$395)</f>
        <v/>
      </c>
      <c r="H7579" s="211">
        <f>'IWP28'!K$395</f>
        <v>0</v>
      </c>
      <c r="I7579" s="211">
        <f>'IWP28'!L$395</f>
        <v>0</v>
      </c>
      <c r="J7579" s="212">
        <f>'IWP28'!M$395</f>
        <v>0</v>
      </c>
      <c r="K7579" s="106"/>
      <c r="L7579" s="106"/>
      <c r="M7579" s="129"/>
    </row>
    <row r="7580" spans="1:13" s="146" customFormat="1">
      <c r="A7580" s="193" t="s">
        <v>526</v>
      </c>
      <c r="B7580" s="210">
        <v>3</v>
      </c>
      <c r="C7580" s="191" t="str">
        <f>IF('IWP28'!E$396=0,"",'IWP28'!E$396)</f>
        <v/>
      </c>
      <c r="D7580" s="211">
        <f>'IWP28'!G$396</f>
        <v>0</v>
      </c>
      <c r="E7580" s="211">
        <f>'IWP28'!H$396</f>
        <v>0</v>
      </c>
      <c r="F7580" s="211">
        <f>'IWP28'!I$396</f>
        <v>0</v>
      </c>
      <c r="G7580" s="191" t="str">
        <f>IF('IWP28'!J$396=0,"",'IWP28'!J$396)</f>
        <v/>
      </c>
      <c r="H7580" s="211">
        <f>'IWP28'!K$396</f>
        <v>0</v>
      </c>
      <c r="I7580" s="211">
        <f>'IWP28'!L$396</f>
        <v>0</v>
      </c>
      <c r="J7580" s="212">
        <f>'IWP28'!M$396</f>
        <v>0</v>
      </c>
      <c r="K7580" s="106"/>
      <c r="L7580" s="106"/>
      <c r="M7580" s="129"/>
    </row>
    <row r="7581" spans="1:13" s="146" customFormat="1">
      <c r="A7581" s="193" t="s">
        <v>526</v>
      </c>
      <c r="B7581" s="210">
        <v>4</v>
      </c>
      <c r="C7581" s="191" t="str">
        <f>IF('IWP28'!E$403=0,"",'IWP28'!E$403)</f>
        <v>Subtotal column D.</v>
      </c>
      <c r="D7581" s="211">
        <f>'IWP28'!G$403</f>
        <v>0</v>
      </c>
      <c r="E7581" s="211">
        <f>'IWP28'!H$403</f>
        <v>0</v>
      </c>
      <c r="F7581" s="211">
        <f>'IWP28'!I$403</f>
        <v>0</v>
      </c>
      <c r="G7581" s="191" t="str">
        <f>IF('IWP28'!J$403=0,"",'IWP28'!J$403)</f>
        <v/>
      </c>
      <c r="H7581" s="211">
        <f>'IWP28'!K$403</f>
        <v>0</v>
      </c>
      <c r="I7581" s="211">
        <f>'IWP28'!L$403</f>
        <v>0</v>
      </c>
      <c r="J7581" s="212">
        <f>'IWP28'!M$403</f>
        <v>0</v>
      </c>
      <c r="K7581" s="106"/>
      <c r="L7581" s="106"/>
      <c r="M7581" s="129"/>
    </row>
    <row r="7582" spans="1:13" s="146" customFormat="1">
      <c r="A7582" s="193" t="s">
        <v>526</v>
      </c>
      <c r="B7582" s="210">
        <v>4</v>
      </c>
      <c r="C7582" s="191" t="str">
        <f>IF('IWP28'!E$404=0,"",'IWP28'!E$404)</f>
        <v>Unverified/Undocumented (Subtotal D - C)</v>
      </c>
      <c r="D7582" s="211">
        <f>'IWP28'!G$404</f>
        <v>0</v>
      </c>
      <c r="E7582" s="211">
        <f>'IWP28'!H$404</f>
        <v>0</v>
      </c>
      <c r="F7582" s="211">
        <f>'IWP28'!I$404</f>
        <v>0</v>
      </c>
      <c r="G7582" s="191" t="str">
        <f>IF('IWP28'!J$404=0,"",'IWP28'!J$404)</f>
        <v/>
      </c>
      <c r="H7582" s="211">
        <f>'IWP28'!K$404</f>
        <v>0</v>
      </c>
      <c r="I7582" s="211">
        <f>'IWP28'!L$404</f>
        <v>0</v>
      </c>
      <c r="J7582" s="212">
        <f>'IWP28'!M$404</f>
        <v>0</v>
      </c>
      <c r="K7582" s="106"/>
      <c r="L7582" s="106"/>
      <c r="M7582" s="129"/>
    </row>
    <row r="7583" spans="1:13" s="146" customFormat="1">
      <c r="A7583" s="193" t="s">
        <v>526</v>
      </c>
      <c r="B7583" s="210">
        <v>4</v>
      </c>
      <c r="C7583" s="191" t="str">
        <f>IF('IWP28'!E$405=0,"",'IWP28'!E$405)</f>
        <v>J. Billing Period Total</v>
      </c>
      <c r="D7583" s="211">
        <f>'IWP28'!G$405</f>
        <v>0</v>
      </c>
      <c r="E7583" s="211">
        <f>'IWP28'!H$405</f>
        <v>0</v>
      </c>
      <c r="F7583" s="211">
        <f>'IWP28'!I$405</f>
        <v>0</v>
      </c>
      <c r="G7583" s="191" t="str">
        <f>IF('IWP28'!J$405=0,"",'IWP28'!J$405)</f>
        <v/>
      </c>
      <c r="H7583" s="211">
        <f>'IWP28'!K$405</f>
        <v>0</v>
      </c>
      <c r="I7583" s="211">
        <f>'IWP28'!L$405</f>
        <v>0</v>
      </c>
      <c r="J7583" s="212">
        <f>'IWP28'!M$405</f>
        <v>0</v>
      </c>
      <c r="K7583" s="106"/>
      <c r="L7583" s="106"/>
      <c r="M7583" s="129"/>
    </row>
    <row r="7584" spans="1:13" s="146" customFormat="1">
      <c r="A7584" s="193" t="s">
        <v>526</v>
      </c>
      <c r="B7584" s="210">
        <v>4</v>
      </c>
      <c r="C7584" s="191" t="str">
        <f>IF('IWP28'!E$406=0,"",'IWP28'!E$406)</f>
        <v>D.</v>
      </c>
      <c r="D7584" s="211">
        <f>'IWP28'!G$406</f>
        <v>0</v>
      </c>
      <c r="E7584" s="211" t="str">
        <f>'IWP28'!H$406</f>
        <v>E.</v>
      </c>
      <c r="F7584" s="211" t="str">
        <f>'IWP28'!I$406</f>
        <v>F.</v>
      </c>
      <c r="G7584" s="191" t="str">
        <f>IF('IWP28'!J$406=0,"",'IWP28'!J$406)</f>
        <v>G.</v>
      </c>
      <c r="H7584" s="211">
        <f>'IWP28'!K$406</f>
        <v>0</v>
      </c>
      <c r="I7584" s="211" t="str">
        <f>'IWP28'!L$406</f>
        <v>H.</v>
      </c>
      <c r="J7584" s="212" t="str">
        <f>'IWP28'!M$406</f>
        <v>I.</v>
      </c>
      <c r="K7584" s="106"/>
      <c r="L7584" s="106"/>
      <c r="M7584" s="129"/>
    </row>
    <row r="7585" spans="1:13" s="146" customFormat="1">
      <c r="A7585" s="193" t="s">
        <v>526</v>
      </c>
      <c r="B7585" s="210">
        <v>4</v>
      </c>
      <c r="C7585" s="191" t="str">
        <f>IF('IWP28'!E$407=0,"",'IWP28'!E$407)</f>
        <v xml:space="preserve">Items/Services Related to Billing Period </v>
      </c>
      <c r="D7585" s="211">
        <f>'IWP28'!G$407</f>
        <v>0</v>
      </c>
      <c r="E7585" s="211" t="str">
        <f>'IWP28'!H$407</f>
        <v xml:space="preserve">Item/
Service Verified Amounts
</v>
      </c>
      <c r="F7585" s="211" t="str">
        <f>'IWP28'!I$407</f>
        <v>Amount Due to DADS (E. - D.)</v>
      </c>
      <c r="G7585" s="191" t="str">
        <f>IF('IWP28'!J$407=0,"",'IWP28'!J$407)</f>
        <v>Amount Reimbursed to 
Employee(s)/Employer</v>
      </c>
      <c r="H7585" s="211">
        <f>'IWP28'!K$407</f>
        <v>0</v>
      </c>
      <c r="I7585" s="211" t="str">
        <f>'IWP28'!L$407</f>
        <v>Amount Due to Employee(s) (G. - E.)</v>
      </c>
      <c r="J7585" s="212" t="str">
        <f>'IWP28'!M$407</f>
        <v>Amount Due to Employer (G. - E.)</v>
      </c>
      <c r="K7585" s="106"/>
      <c r="L7585" s="106"/>
      <c r="M7585" s="129"/>
    </row>
    <row r="7586" spans="1:13" s="146" customFormat="1">
      <c r="A7586" s="193" t="s">
        <v>526</v>
      </c>
      <c r="B7586" s="210">
        <v>4</v>
      </c>
      <c r="C7586" s="191" t="str">
        <f>IF('IWP28'!E$408=0,"",'IWP28'!E$408)</f>
        <v>Item/Service</v>
      </c>
      <c r="D7586" s="211" t="str">
        <f>'IWP28'!G$408</f>
        <v>Itemized Amount Paid by DADS</v>
      </c>
      <c r="E7586" s="211">
        <f>'IWP28'!H$408</f>
        <v>0</v>
      </c>
      <c r="F7586" s="211">
        <f>'IWP28'!I$408</f>
        <v>0</v>
      </c>
      <c r="G7586" s="191" t="str">
        <f>IF('IWP28'!J$408=0,"",'IWP28'!J$408)</f>
        <v/>
      </c>
      <c r="H7586" s="211">
        <f>'IWP28'!K$408</f>
        <v>0</v>
      </c>
      <c r="I7586" s="211">
        <f>'IWP28'!L$408</f>
        <v>0</v>
      </c>
      <c r="J7586" s="212">
        <f>'IWP28'!M$408</f>
        <v>0</v>
      </c>
      <c r="K7586" s="106"/>
      <c r="L7586" s="106"/>
      <c r="M7586" s="129"/>
    </row>
    <row r="7587" spans="1:13" s="146" customFormat="1">
      <c r="A7587" s="193" t="s">
        <v>526</v>
      </c>
      <c r="B7587" s="210">
        <v>4</v>
      </c>
      <c r="C7587" s="191" t="str">
        <f>IF('IWP28'!E$409=0,"",'IWP28'!E$409)</f>
        <v/>
      </c>
      <c r="D7587" s="211">
        <f>'IWP28'!G$409</f>
        <v>0</v>
      </c>
      <c r="E7587" s="211">
        <f>'IWP28'!H$409</f>
        <v>0</v>
      </c>
      <c r="F7587" s="211">
        <f>'IWP28'!I$409</f>
        <v>0</v>
      </c>
      <c r="G7587" s="191" t="str">
        <f>IF('IWP28'!J$409=0,"",'IWP28'!J$409)</f>
        <v/>
      </c>
      <c r="H7587" s="211">
        <f>'IWP28'!K$409</f>
        <v>0</v>
      </c>
      <c r="I7587" s="211">
        <f>'IWP28'!L$409</f>
        <v>0</v>
      </c>
      <c r="J7587" s="212">
        <f>'IWP28'!M$409</f>
        <v>0</v>
      </c>
      <c r="K7587" s="106"/>
      <c r="L7587" s="106"/>
      <c r="M7587" s="129"/>
    </row>
    <row r="7588" spans="1:13" s="146" customFormat="1">
      <c r="A7588" s="193" t="s">
        <v>526</v>
      </c>
      <c r="B7588" s="210">
        <v>4</v>
      </c>
      <c r="C7588" s="191" t="str">
        <f>IF('IWP28'!E$410=0,"",'IWP28'!E$410)</f>
        <v/>
      </c>
      <c r="D7588" s="211">
        <f>'IWP28'!G$410</f>
        <v>0</v>
      </c>
      <c r="E7588" s="211">
        <f>'IWP28'!H$410</f>
        <v>0</v>
      </c>
      <c r="F7588" s="211">
        <f>'IWP28'!I$410</f>
        <v>0</v>
      </c>
      <c r="G7588" s="191" t="str">
        <f>IF('IWP28'!J$410=0,"",'IWP28'!J$410)</f>
        <v/>
      </c>
      <c r="H7588" s="211">
        <f>'IWP28'!K$410</f>
        <v>0</v>
      </c>
      <c r="I7588" s="211">
        <f>'IWP28'!L$410</f>
        <v>0</v>
      </c>
      <c r="J7588" s="212">
        <f>'IWP28'!M$410</f>
        <v>0</v>
      </c>
      <c r="K7588" s="106"/>
      <c r="L7588" s="106"/>
      <c r="M7588" s="129"/>
    </row>
    <row r="7589" spans="1:13" s="146" customFormat="1">
      <c r="A7589" s="193" t="s">
        <v>526</v>
      </c>
      <c r="B7589" s="210">
        <v>4</v>
      </c>
      <c r="C7589" s="191" t="str">
        <f>IF('IWP28'!E$411=0,"",'IWP28'!E$411)</f>
        <v/>
      </c>
      <c r="D7589" s="211">
        <f>'IWP28'!G$411</f>
        <v>0</v>
      </c>
      <c r="E7589" s="211">
        <f>'IWP28'!H$411</f>
        <v>0</v>
      </c>
      <c r="F7589" s="211">
        <f>'IWP28'!I$411</f>
        <v>0</v>
      </c>
      <c r="G7589" s="191" t="str">
        <f>IF('IWP28'!J$411=0,"",'IWP28'!J$411)</f>
        <v/>
      </c>
      <c r="H7589" s="211">
        <f>'IWP28'!K$411</f>
        <v>0</v>
      </c>
      <c r="I7589" s="211">
        <f>'IWP28'!L$411</f>
        <v>0</v>
      </c>
      <c r="J7589" s="212">
        <f>'IWP28'!M$411</f>
        <v>0</v>
      </c>
      <c r="K7589" s="106"/>
      <c r="L7589" s="106"/>
      <c r="M7589" s="129"/>
    </row>
    <row r="7590" spans="1:13" s="146" customFormat="1">
      <c r="A7590" s="193" t="s">
        <v>526</v>
      </c>
      <c r="B7590" s="210">
        <v>4</v>
      </c>
      <c r="C7590" s="191" t="str">
        <f>IF('IWP28'!E$412=0,"",'IWP28'!E$412)</f>
        <v/>
      </c>
      <c r="D7590" s="211">
        <f>'IWP28'!G$412</f>
        <v>0</v>
      </c>
      <c r="E7590" s="211">
        <f>'IWP28'!H$412</f>
        <v>0</v>
      </c>
      <c r="F7590" s="211">
        <f>'IWP28'!I$412</f>
        <v>0</v>
      </c>
      <c r="G7590" s="191" t="str">
        <f>IF('IWP28'!J$412=0,"",'IWP28'!J$412)</f>
        <v/>
      </c>
      <c r="H7590" s="211">
        <f>'IWP28'!K$412</f>
        <v>0</v>
      </c>
      <c r="I7590" s="211">
        <f>'IWP28'!L$412</f>
        <v>0</v>
      </c>
      <c r="J7590" s="212">
        <f>'IWP28'!M$412</f>
        <v>0</v>
      </c>
      <c r="K7590" s="106"/>
      <c r="L7590" s="106"/>
      <c r="M7590" s="129"/>
    </row>
    <row r="7591" spans="1:13" s="146" customFormat="1">
      <c r="A7591" s="193" t="s">
        <v>526</v>
      </c>
      <c r="B7591" s="210">
        <v>5</v>
      </c>
      <c r="C7591" s="191" t="str">
        <f>IF('IWP28'!E$419=0,"",'IWP28'!E$419)</f>
        <v>Subtotal column D.</v>
      </c>
      <c r="D7591" s="211">
        <f>'IWP28'!G$419</f>
        <v>0</v>
      </c>
      <c r="E7591" s="211">
        <f>'IWP28'!H$419</f>
        <v>0</v>
      </c>
      <c r="F7591" s="211">
        <f>'IWP28'!I$419</f>
        <v>0</v>
      </c>
      <c r="G7591" s="191" t="str">
        <f>IF('IWP28'!J$419=0,"",'IWP28'!J$419)</f>
        <v/>
      </c>
      <c r="H7591" s="211">
        <f>'IWP28'!K$419</f>
        <v>0</v>
      </c>
      <c r="I7591" s="211">
        <f>'IWP28'!L$419</f>
        <v>0</v>
      </c>
      <c r="J7591" s="212">
        <f>'IWP28'!M$419</f>
        <v>0</v>
      </c>
      <c r="K7591" s="106"/>
      <c r="L7591" s="106"/>
      <c r="M7591" s="129"/>
    </row>
    <row r="7592" spans="1:13" s="146" customFormat="1">
      <c r="A7592" s="193" t="s">
        <v>526</v>
      </c>
      <c r="B7592" s="210">
        <v>5</v>
      </c>
      <c r="C7592" s="191" t="str">
        <f>IF('IWP28'!E$420=0,"",'IWP28'!E$420)</f>
        <v>Unverified/Undocumented (Subtotal D - C)</v>
      </c>
      <c r="D7592" s="211">
        <f>'IWP28'!G$420</f>
        <v>0</v>
      </c>
      <c r="E7592" s="211">
        <f>'IWP28'!H$420</f>
        <v>0</v>
      </c>
      <c r="F7592" s="211">
        <f>'IWP28'!I$420</f>
        <v>0</v>
      </c>
      <c r="G7592" s="191" t="str">
        <f>IF('IWP28'!J$420=0,"",'IWP28'!J$420)</f>
        <v/>
      </c>
      <c r="H7592" s="211">
        <f>'IWP28'!K$420</f>
        <v>0</v>
      </c>
      <c r="I7592" s="211">
        <f>'IWP28'!L$420</f>
        <v>0</v>
      </c>
      <c r="J7592" s="212">
        <f>'IWP28'!M$420</f>
        <v>0</v>
      </c>
      <c r="K7592" s="106"/>
      <c r="L7592" s="106"/>
      <c r="M7592" s="129"/>
    </row>
    <row r="7593" spans="1:13" s="146" customFormat="1">
      <c r="A7593" s="193" t="s">
        <v>526</v>
      </c>
      <c r="B7593" s="210">
        <v>5</v>
      </c>
      <c r="C7593" s="191" t="str">
        <f>IF('IWP28'!E$421=0,"",'IWP28'!E$421)</f>
        <v>J. Billing Period Total</v>
      </c>
      <c r="D7593" s="211">
        <f>'IWP28'!G$421</f>
        <v>0</v>
      </c>
      <c r="E7593" s="211">
        <f>'IWP28'!H$421</f>
        <v>0</v>
      </c>
      <c r="F7593" s="211">
        <f>'IWP28'!I$421</f>
        <v>0</v>
      </c>
      <c r="G7593" s="191" t="str">
        <f>IF('IWP28'!J$421=0,"",'IWP28'!J$421)</f>
        <v/>
      </c>
      <c r="H7593" s="211">
        <f>'IWP28'!K$421</f>
        <v>0</v>
      </c>
      <c r="I7593" s="211">
        <f>'IWP28'!L$421</f>
        <v>0</v>
      </c>
      <c r="J7593" s="212">
        <f>'IWP28'!M$421</f>
        <v>0</v>
      </c>
      <c r="K7593" s="106"/>
      <c r="L7593" s="106"/>
      <c r="M7593" s="129"/>
    </row>
    <row r="7594" spans="1:13" s="146" customFormat="1">
      <c r="A7594" s="193" t="s">
        <v>526</v>
      </c>
      <c r="B7594" s="210">
        <v>5</v>
      </c>
      <c r="C7594" s="191" t="str">
        <f>IF('IWP28'!E$422=0,"",'IWP28'!E$422)</f>
        <v>D.</v>
      </c>
      <c r="D7594" s="211">
        <f>'IWP28'!G$422</f>
        <v>0</v>
      </c>
      <c r="E7594" s="211" t="str">
        <f>'IWP28'!H$422</f>
        <v>E.</v>
      </c>
      <c r="F7594" s="211" t="str">
        <f>'IWP28'!I$422</f>
        <v>F.</v>
      </c>
      <c r="G7594" s="191" t="str">
        <f>IF('IWP28'!J$422=0,"",'IWP28'!J$422)</f>
        <v>G.</v>
      </c>
      <c r="H7594" s="211">
        <f>'IWP28'!K$422</f>
        <v>0</v>
      </c>
      <c r="I7594" s="211" t="str">
        <f>'IWP28'!L$422</f>
        <v>H.</v>
      </c>
      <c r="J7594" s="212" t="str">
        <f>'IWP28'!M$422</f>
        <v>I.</v>
      </c>
      <c r="K7594" s="106"/>
      <c r="L7594" s="106"/>
      <c r="M7594" s="129"/>
    </row>
    <row r="7595" spans="1:13" s="146" customFormat="1">
      <c r="A7595" s="193" t="s">
        <v>526</v>
      </c>
      <c r="B7595" s="210">
        <v>5</v>
      </c>
      <c r="C7595" s="191" t="str">
        <f>IF('IWP28'!E$423=0,"",'IWP28'!E$423)</f>
        <v xml:space="preserve">Items/Services Related to Billing Period </v>
      </c>
      <c r="D7595" s="211">
        <f>'IWP28'!G$423</f>
        <v>0</v>
      </c>
      <c r="E7595" s="211" t="str">
        <f>'IWP28'!H$423</f>
        <v xml:space="preserve">Item/
Service Verified Amounts
</v>
      </c>
      <c r="F7595" s="211" t="str">
        <f>'IWP28'!I$423</f>
        <v>Amount Due to DADS (E. - D.)</v>
      </c>
      <c r="G7595" s="191" t="str">
        <f>IF('IWP28'!J$423=0,"",'IWP28'!J$423)</f>
        <v>Amount Reimbursed to 
Employee(s)/Employer</v>
      </c>
      <c r="H7595" s="211">
        <f>'IWP28'!K$423</f>
        <v>0</v>
      </c>
      <c r="I7595" s="211" t="str">
        <f>'IWP28'!L$423</f>
        <v>Amount Due to Employee(s) (G. - E.)</v>
      </c>
      <c r="J7595" s="212" t="str">
        <f>'IWP28'!M$423</f>
        <v>Amount Due to Employer (G. - E.)</v>
      </c>
      <c r="K7595" s="106"/>
      <c r="L7595" s="106"/>
      <c r="M7595" s="129"/>
    </row>
    <row r="7596" spans="1:13" s="146" customFormat="1">
      <c r="A7596" s="193" t="s">
        <v>526</v>
      </c>
      <c r="B7596" s="210">
        <v>5</v>
      </c>
      <c r="C7596" s="191" t="str">
        <f>IF('IWP28'!E$424=0,"",'IWP28'!E$424)</f>
        <v>Item/Service</v>
      </c>
      <c r="D7596" s="211" t="str">
        <f>'IWP28'!G$424</f>
        <v>Itemized Amount Paid by DADS</v>
      </c>
      <c r="E7596" s="211">
        <f>'IWP28'!H$424</f>
        <v>0</v>
      </c>
      <c r="F7596" s="211">
        <f>'IWP28'!I$424</f>
        <v>0</v>
      </c>
      <c r="G7596" s="191" t="str">
        <f>IF('IWP28'!J$424=0,"",'IWP28'!J$424)</f>
        <v/>
      </c>
      <c r="H7596" s="211">
        <f>'IWP28'!K$424</f>
        <v>0</v>
      </c>
      <c r="I7596" s="211">
        <f>'IWP28'!L$424</f>
        <v>0</v>
      </c>
      <c r="J7596" s="212">
        <f>'IWP28'!M$424</f>
        <v>0</v>
      </c>
      <c r="K7596" s="106"/>
      <c r="L7596" s="106"/>
      <c r="M7596" s="129"/>
    </row>
    <row r="7597" spans="1:13" s="146" customFormat="1">
      <c r="A7597" s="193" t="s">
        <v>526</v>
      </c>
      <c r="B7597" s="210">
        <v>5</v>
      </c>
      <c r="C7597" s="191" t="str">
        <f>IF('IWP28'!E$425=0,"",'IWP28'!E$425)</f>
        <v/>
      </c>
      <c r="D7597" s="211">
        <f>'IWP28'!G$425</f>
        <v>0</v>
      </c>
      <c r="E7597" s="211">
        <f>'IWP28'!H$425</f>
        <v>0</v>
      </c>
      <c r="F7597" s="211">
        <f>'IWP28'!I$425</f>
        <v>0</v>
      </c>
      <c r="G7597" s="191" t="str">
        <f>IF('IWP28'!J$425=0,"",'IWP28'!J$425)</f>
        <v/>
      </c>
      <c r="H7597" s="211">
        <f>'IWP28'!K$425</f>
        <v>0</v>
      </c>
      <c r="I7597" s="211">
        <f>'IWP28'!L$425</f>
        <v>0</v>
      </c>
      <c r="J7597" s="212">
        <f>'IWP28'!M$425</f>
        <v>0</v>
      </c>
      <c r="K7597" s="106"/>
      <c r="L7597" s="106"/>
      <c r="M7597" s="129"/>
    </row>
    <row r="7598" spans="1:13" s="146" customFormat="1">
      <c r="A7598" s="193" t="s">
        <v>526</v>
      </c>
      <c r="B7598" s="210">
        <v>5</v>
      </c>
      <c r="C7598" s="191" t="str">
        <f>IF('IWP28'!E$426=0,"",'IWP28'!E$426)</f>
        <v/>
      </c>
      <c r="D7598" s="211">
        <f>'IWP28'!G$426</f>
        <v>0</v>
      </c>
      <c r="E7598" s="211">
        <f>'IWP28'!H$426</f>
        <v>0</v>
      </c>
      <c r="F7598" s="211">
        <f>'IWP28'!I$426</f>
        <v>0</v>
      </c>
      <c r="G7598" s="191" t="str">
        <f>IF('IWP28'!J$426=0,"",'IWP28'!J$426)</f>
        <v/>
      </c>
      <c r="H7598" s="211">
        <f>'IWP28'!K$426</f>
        <v>0</v>
      </c>
      <c r="I7598" s="211">
        <f>'IWP28'!L$426</f>
        <v>0</v>
      </c>
      <c r="J7598" s="212">
        <f>'IWP28'!M$426</f>
        <v>0</v>
      </c>
      <c r="K7598" s="106"/>
      <c r="L7598" s="106"/>
      <c r="M7598" s="129"/>
    </row>
    <row r="7599" spans="1:13" s="146" customFormat="1">
      <c r="A7599" s="193" t="s">
        <v>526</v>
      </c>
      <c r="B7599" s="210">
        <v>5</v>
      </c>
      <c r="C7599" s="191" t="str">
        <f>IF('IWP28'!E$427=0,"",'IWP28'!E$427)</f>
        <v/>
      </c>
      <c r="D7599" s="211">
        <f>'IWP28'!G$427</f>
        <v>0</v>
      </c>
      <c r="E7599" s="211">
        <f>'IWP28'!H$427</f>
        <v>0</v>
      </c>
      <c r="F7599" s="211">
        <f>'IWP28'!I$427</f>
        <v>0</v>
      </c>
      <c r="G7599" s="191" t="str">
        <f>IF('IWP28'!J$427=0,"",'IWP28'!J$427)</f>
        <v/>
      </c>
      <c r="H7599" s="211">
        <f>'IWP28'!K$427</f>
        <v>0</v>
      </c>
      <c r="I7599" s="211">
        <f>'IWP28'!L$427</f>
        <v>0</v>
      </c>
      <c r="J7599" s="212">
        <f>'IWP28'!M$427</f>
        <v>0</v>
      </c>
      <c r="K7599" s="106"/>
      <c r="L7599" s="106"/>
      <c r="M7599" s="129"/>
    </row>
    <row r="7600" spans="1:13" s="146" customFormat="1">
      <c r="A7600" s="193" t="s">
        <v>526</v>
      </c>
      <c r="B7600" s="210">
        <v>5</v>
      </c>
      <c r="C7600" s="191" t="str">
        <f>IF('IWP28'!E$428=0,"",'IWP28'!E$428)</f>
        <v/>
      </c>
      <c r="D7600" s="211">
        <f>'IWP28'!G$428</f>
        <v>0</v>
      </c>
      <c r="E7600" s="211">
        <f>'IWP28'!H$428</f>
        <v>0</v>
      </c>
      <c r="F7600" s="211">
        <f>'IWP28'!I$428</f>
        <v>0</v>
      </c>
      <c r="G7600" s="191" t="str">
        <f>IF('IWP28'!J$428=0,"",'IWP28'!J$428)</f>
        <v/>
      </c>
      <c r="H7600" s="211">
        <f>'IWP28'!K$428</f>
        <v>0</v>
      </c>
      <c r="I7600" s="211">
        <f>'IWP28'!L$428</f>
        <v>0</v>
      </c>
      <c r="J7600" s="212">
        <f>'IWP28'!M$428</f>
        <v>0</v>
      </c>
      <c r="K7600" s="106"/>
      <c r="L7600" s="106"/>
      <c r="M7600" s="129"/>
    </row>
    <row r="7601" spans="1:13" s="146" customFormat="1">
      <c r="A7601" s="193" t="s">
        <v>526</v>
      </c>
      <c r="B7601" s="210">
        <v>6</v>
      </c>
      <c r="C7601" s="191" t="str">
        <f>IF('IWP28'!E$435=0,"",'IWP28'!E$435)</f>
        <v>Subtotal column D.</v>
      </c>
      <c r="D7601" s="211">
        <f>'IWP28'!G$435</f>
        <v>0</v>
      </c>
      <c r="E7601" s="211">
        <f>'IWP28'!H$435</f>
        <v>0</v>
      </c>
      <c r="F7601" s="211">
        <f>'IWP28'!I$435</f>
        <v>0</v>
      </c>
      <c r="G7601" s="191" t="str">
        <f>IF('IWP28'!J$435=0,"",'IWP28'!J$435)</f>
        <v/>
      </c>
      <c r="H7601" s="211">
        <f>'IWP28'!K$435</f>
        <v>0</v>
      </c>
      <c r="I7601" s="211">
        <f>'IWP28'!L$435</f>
        <v>0</v>
      </c>
      <c r="J7601" s="212">
        <f>'IWP28'!M$435</f>
        <v>0</v>
      </c>
      <c r="K7601" s="106"/>
      <c r="L7601" s="106"/>
      <c r="M7601" s="129"/>
    </row>
    <row r="7602" spans="1:13" s="146" customFormat="1">
      <c r="A7602" s="193" t="s">
        <v>526</v>
      </c>
      <c r="B7602" s="210">
        <v>6</v>
      </c>
      <c r="C7602" s="191" t="str">
        <f>IF('IWP28'!E$436=0,"",'IWP28'!E$436)</f>
        <v>Unverified/Undocumented (Subtotal D - C)</v>
      </c>
      <c r="D7602" s="211">
        <f>'IWP28'!G$436</f>
        <v>0</v>
      </c>
      <c r="E7602" s="211">
        <f>'IWP28'!H$436</f>
        <v>0</v>
      </c>
      <c r="F7602" s="211">
        <f>'IWP28'!I$436</f>
        <v>0</v>
      </c>
      <c r="G7602" s="191" t="str">
        <f>IF('IWP28'!J$436=0,"",'IWP28'!J$436)</f>
        <v/>
      </c>
      <c r="H7602" s="211">
        <f>'IWP28'!K$436</f>
        <v>0</v>
      </c>
      <c r="I7602" s="211">
        <f>'IWP28'!L$436</f>
        <v>0</v>
      </c>
      <c r="J7602" s="212">
        <f>'IWP28'!M$436</f>
        <v>0</v>
      </c>
      <c r="K7602" s="106"/>
      <c r="L7602" s="106"/>
      <c r="M7602" s="129"/>
    </row>
    <row r="7603" spans="1:13" s="146" customFormat="1">
      <c r="A7603" s="193" t="s">
        <v>526</v>
      </c>
      <c r="B7603" s="210">
        <v>6</v>
      </c>
      <c r="C7603" s="191" t="str">
        <f>IF('IWP28'!E$437=0,"",'IWP28'!E$437)</f>
        <v>J. Billing Period Total</v>
      </c>
      <c r="D7603" s="211">
        <f>'IWP28'!G$437</f>
        <v>0</v>
      </c>
      <c r="E7603" s="211">
        <f>'IWP28'!H$437</f>
        <v>0</v>
      </c>
      <c r="F7603" s="211">
        <f>'IWP28'!I$437</f>
        <v>0</v>
      </c>
      <c r="G7603" s="191" t="str">
        <f>IF('IWP28'!J$437=0,"",'IWP28'!J$437)</f>
        <v/>
      </c>
      <c r="H7603" s="211">
        <f>'IWP28'!K$437</f>
        <v>0</v>
      </c>
      <c r="I7603" s="211">
        <f>'IWP28'!L$437</f>
        <v>0</v>
      </c>
      <c r="J7603" s="212">
        <f>'IWP28'!M$437</f>
        <v>0</v>
      </c>
      <c r="K7603" s="106"/>
      <c r="L7603" s="106"/>
      <c r="M7603" s="129"/>
    </row>
    <row r="7604" spans="1:13" s="146" customFormat="1">
      <c r="A7604" s="193" t="s">
        <v>526</v>
      </c>
      <c r="B7604" s="210">
        <v>6</v>
      </c>
      <c r="C7604" s="191" t="str">
        <f>IF('IWP28'!E$438=0,"",'IWP28'!E$438)</f>
        <v>D.</v>
      </c>
      <c r="D7604" s="211">
        <f>'IWP28'!G$438</f>
        <v>0</v>
      </c>
      <c r="E7604" s="211" t="str">
        <f>'IWP28'!H$438</f>
        <v>E.</v>
      </c>
      <c r="F7604" s="211" t="str">
        <f>'IWP28'!I$438</f>
        <v>F.</v>
      </c>
      <c r="G7604" s="191" t="str">
        <f>IF('IWP28'!J$438=0,"",'IWP28'!J$438)</f>
        <v>G.</v>
      </c>
      <c r="H7604" s="211">
        <f>'IWP28'!K$438</f>
        <v>0</v>
      </c>
      <c r="I7604" s="211" t="str">
        <f>'IWP28'!L$438</f>
        <v>H.</v>
      </c>
      <c r="J7604" s="212" t="str">
        <f>'IWP28'!M$438</f>
        <v>I.</v>
      </c>
      <c r="K7604" s="106"/>
      <c r="L7604" s="106"/>
      <c r="M7604" s="129"/>
    </row>
    <row r="7605" spans="1:13" s="146" customFormat="1">
      <c r="A7605" s="193" t="s">
        <v>526</v>
      </c>
      <c r="B7605" s="210">
        <v>6</v>
      </c>
      <c r="C7605" s="191" t="str">
        <f>IF('IWP28'!E$439=0,"",'IWP28'!E$439)</f>
        <v xml:space="preserve">Items/Services Related to Billing Period </v>
      </c>
      <c r="D7605" s="211">
        <f>'IWP28'!G$439</f>
        <v>0</v>
      </c>
      <c r="E7605" s="211" t="str">
        <f>'IWP28'!H$439</f>
        <v xml:space="preserve">Item/
Service Verified Amounts
</v>
      </c>
      <c r="F7605" s="211" t="str">
        <f>'IWP28'!I$439</f>
        <v>Amount Due to DADS (E. - D.)</v>
      </c>
      <c r="G7605" s="191" t="str">
        <f>IF('IWP28'!J$439=0,"",'IWP28'!J$439)</f>
        <v>Amount Reimbursed to 
Employee(s)/Employer</v>
      </c>
      <c r="H7605" s="211">
        <f>'IWP28'!K$439</f>
        <v>0</v>
      </c>
      <c r="I7605" s="211" t="str">
        <f>'IWP28'!L$439</f>
        <v>Amount Due to Employee(s) (G. - E.)</v>
      </c>
      <c r="J7605" s="212" t="str">
        <f>'IWP28'!M$439</f>
        <v>Amount Due to Employer (G. - E.)</v>
      </c>
      <c r="K7605" s="106"/>
      <c r="L7605" s="106"/>
      <c r="M7605" s="129"/>
    </row>
    <row r="7606" spans="1:13" s="146" customFormat="1">
      <c r="A7606" s="193" t="s">
        <v>526</v>
      </c>
      <c r="B7606" s="210">
        <v>6</v>
      </c>
      <c r="C7606" s="191" t="str">
        <f>IF('IWP28'!E$440=0,"",'IWP28'!E$440)</f>
        <v>Item/Service</v>
      </c>
      <c r="D7606" s="211" t="str">
        <f>'IWP28'!G$440</f>
        <v>Itemized Amount Paid by DADS</v>
      </c>
      <c r="E7606" s="211">
        <f>'IWP28'!H$440</f>
        <v>0</v>
      </c>
      <c r="F7606" s="211">
        <f>'IWP28'!I$440</f>
        <v>0</v>
      </c>
      <c r="G7606" s="191" t="str">
        <f>IF('IWP28'!J$440=0,"",'IWP28'!J$440)</f>
        <v/>
      </c>
      <c r="H7606" s="211">
        <f>'IWP28'!K$440</f>
        <v>0</v>
      </c>
      <c r="I7606" s="211">
        <f>'IWP28'!L$440</f>
        <v>0</v>
      </c>
      <c r="J7606" s="212">
        <f>'IWP28'!M$440</f>
        <v>0</v>
      </c>
      <c r="K7606" s="106"/>
      <c r="L7606" s="106"/>
      <c r="M7606" s="129"/>
    </row>
    <row r="7607" spans="1:13" s="146" customFormat="1">
      <c r="A7607" s="193" t="s">
        <v>526</v>
      </c>
      <c r="B7607" s="210">
        <v>6</v>
      </c>
      <c r="C7607" s="191" t="str">
        <f>IF('IWP28'!E$441=0,"",'IWP28'!E$441)</f>
        <v/>
      </c>
      <c r="D7607" s="211">
        <f>'IWP28'!G$441</f>
        <v>0</v>
      </c>
      <c r="E7607" s="211">
        <f>'IWP28'!H$441</f>
        <v>0</v>
      </c>
      <c r="F7607" s="211">
        <f>'IWP28'!I$441</f>
        <v>0</v>
      </c>
      <c r="G7607" s="191" t="str">
        <f>IF('IWP28'!J$441=0,"",'IWP28'!J$441)</f>
        <v/>
      </c>
      <c r="H7607" s="211">
        <f>'IWP28'!K$441</f>
        <v>0</v>
      </c>
      <c r="I7607" s="211">
        <f>'IWP28'!L$441</f>
        <v>0</v>
      </c>
      <c r="J7607" s="212">
        <f>'IWP28'!M$441</f>
        <v>0</v>
      </c>
      <c r="K7607" s="106"/>
      <c r="L7607" s="106"/>
      <c r="M7607" s="129"/>
    </row>
    <row r="7608" spans="1:13" s="146" customFormat="1">
      <c r="A7608" s="193" t="s">
        <v>526</v>
      </c>
      <c r="B7608" s="210">
        <v>6</v>
      </c>
      <c r="C7608" s="191" t="str">
        <f>IF('IWP28'!E$442=0,"",'IWP28'!E$442)</f>
        <v/>
      </c>
      <c r="D7608" s="211">
        <f>'IWP28'!G$442</f>
        <v>0</v>
      </c>
      <c r="E7608" s="211">
        <f>'IWP28'!H$442</f>
        <v>0</v>
      </c>
      <c r="F7608" s="211">
        <f>'IWP28'!I$442</f>
        <v>0</v>
      </c>
      <c r="G7608" s="191" t="str">
        <f>IF('IWP28'!J$442=0,"",'IWP28'!J$442)</f>
        <v/>
      </c>
      <c r="H7608" s="211">
        <f>'IWP28'!K$442</f>
        <v>0</v>
      </c>
      <c r="I7608" s="211">
        <f>'IWP28'!L$442</f>
        <v>0</v>
      </c>
      <c r="J7608" s="212">
        <f>'IWP28'!M$442</f>
        <v>0</v>
      </c>
      <c r="K7608" s="106"/>
      <c r="L7608" s="106"/>
      <c r="M7608" s="129"/>
    </row>
    <row r="7609" spans="1:13" s="146" customFormat="1">
      <c r="A7609" s="193" t="s">
        <v>526</v>
      </c>
      <c r="B7609" s="210">
        <v>6</v>
      </c>
      <c r="C7609" s="191" t="str">
        <f>IF('IWP28'!E$443=0,"",'IWP28'!E$443)</f>
        <v/>
      </c>
      <c r="D7609" s="211">
        <f>'IWP28'!G$443</f>
        <v>0</v>
      </c>
      <c r="E7609" s="211">
        <f>'IWP28'!H$443</f>
        <v>0</v>
      </c>
      <c r="F7609" s="211">
        <f>'IWP28'!I$443</f>
        <v>0</v>
      </c>
      <c r="G7609" s="191" t="str">
        <f>IF('IWP28'!J$443=0,"",'IWP28'!J$443)</f>
        <v/>
      </c>
      <c r="H7609" s="211">
        <f>'IWP28'!K$443</f>
        <v>0</v>
      </c>
      <c r="I7609" s="211">
        <f>'IWP28'!L$443</f>
        <v>0</v>
      </c>
      <c r="J7609" s="212">
        <f>'IWP28'!M$443</f>
        <v>0</v>
      </c>
      <c r="K7609" s="106"/>
      <c r="L7609" s="106"/>
      <c r="M7609" s="129"/>
    </row>
    <row r="7610" spans="1:13" s="146" customFormat="1">
      <c r="A7610" s="193" t="s">
        <v>526</v>
      </c>
      <c r="B7610" s="210">
        <v>6</v>
      </c>
      <c r="C7610" s="191" t="str">
        <f>IF('IWP28'!E$444=0,"",'IWP28'!E$444)</f>
        <v/>
      </c>
      <c r="D7610" s="211">
        <f>'IWP28'!G$444</f>
        <v>0</v>
      </c>
      <c r="E7610" s="211">
        <f>'IWP28'!H$444</f>
        <v>0</v>
      </c>
      <c r="F7610" s="211">
        <f>'IWP28'!I$444</f>
        <v>0</v>
      </c>
      <c r="G7610" s="191" t="str">
        <f>IF('IWP28'!J$444=0,"",'IWP28'!J$444)</f>
        <v/>
      </c>
      <c r="H7610" s="211">
        <f>'IWP28'!K$444</f>
        <v>0</v>
      </c>
      <c r="I7610" s="211">
        <f>'IWP28'!L$444</f>
        <v>0</v>
      </c>
      <c r="J7610" s="212">
        <f>'IWP28'!M$444</f>
        <v>0</v>
      </c>
      <c r="K7610" s="106"/>
      <c r="L7610" s="106"/>
      <c r="M7610" s="129"/>
    </row>
    <row r="7611" spans="1:13" s="146" customFormat="1">
      <c r="A7611" s="193" t="s">
        <v>526</v>
      </c>
      <c r="B7611" s="210">
        <v>7</v>
      </c>
      <c r="C7611" s="191" t="str">
        <f>IF('IWP28'!E$451=0,"",'IWP28'!E$451)</f>
        <v>Subtotal column D.</v>
      </c>
      <c r="D7611" s="211">
        <f>'IWP28'!G$451</f>
        <v>0</v>
      </c>
      <c r="E7611" s="211">
        <f>'IWP28'!H$451</f>
        <v>0</v>
      </c>
      <c r="F7611" s="211">
        <f>'IWP28'!I$451</f>
        <v>0</v>
      </c>
      <c r="G7611" s="191" t="str">
        <f>IF('IWP28'!J$451=0,"",'IWP28'!J$451)</f>
        <v/>
      </c>
      <c r="H7611" s="211">
        <f>'IWP28'!K$451</f>
        <v>0</v>
      </c>
      <c r="I7611" s="211">
        <f>'IWP28'!L$451</f>
        <v>0</v>
      </c>
      <c r="J7611" s="212">
        <f>'IWP28'!M$451</f>
        <v>0</v>
      </c>
      <c r="K7611" s="106"/>
      <c r="L7611" s="106"/>
      <c r="M7611" s="129"/>
    </row>
    <row r="7612" spans="1:13" s="146" customFormat="1">
      <c r="A7612" s="193" t="s">
        <v>526</v>
      </c>
      <c r="B7612" s="210">
        <v>7</v>
      </c>
      <c r="C7612" s="191" t="str">
        <f>IF('IWP28'!E$452=0,"",'IWP28'!E$452)</f>
        <v>Unverified/Undocumented (Subtotal D - C)</v>
      </c>
      <c r="D7612" s="211">
        <f>'IWP28'!G$452</f>
        <v>0</v>
      </c>
      <c r="E7612" s="211">
        <f>'IWP28'!H$452</f>
        <v>0</v>
      </c>
      <c r="F7612" s="211">
        <f>'IWP28'!I$452</f>
        <v>0</v>
      </c>
      <c r="G7612" s="191" t="str">
        <f>IF('IWP28'!J$452=0,"",'IWP28'!J$452)</f>
        <v/>
      </c>
      <c r="H7612" s="211">
        <f>'IWP28'!K$452</f>
        <v>0</v>
      </c>
      <c r="I7612" s="211">
        <f>'IWP28'!L$452</f>
        <v>0</v>
      </c>
      <c r="J7612" s="212">
        <f>'IWP28'!M$452</f>
        <v>0</v>
      </c>
      <c r="K7612" s="106"/>
      <c r="L7612" s="106"/>
      <c r="M7612" s="129"/>
    </row>
    <row r="7613" spans="1:13" s="146" customFormat="1">
      <c r="A7613" s="193" t="s">
        <v>526</v>
      </c>
      <c r="B7613" s="210">
        <v>7</v>
      </c>
      <c r="C7613" s="191" t="str">
        <f>IF('IWP28'!E$453=0,"",'IWP28'!E$453)</f>
        <v>J. Billing Period Total</v>
      </c>
      <c r="D7613" s="211">
        <f>'IWP28'!G$453</f>
        <v>0</v>
      </c>
      <c r="E7613" s="211">
        <f>'IWP28'!H$453</f>
        <v>0</v>
      </c>
      <c r="F7613" s="211">
        <f>'IWP28'!I$453</f>
        <v>0</v>
      </c>
      <c r="G7613" s="191" t="str">
        <f>IF('IWP28'!J$453=0,"",'IWP28'!J$453)</f>
        <v/>
      </c>
      <c r="H7613" s="211">
        <f>'IWP28'!K$453</f>
        <v>0</v>
      </c>
      <c r="I7613" s="211">
        <f>'IWP28'!L$453</f>
        <v>0</v>
      </c>
      <c r="J7613" s="212">
        <f>'IWP28'!M$453</f>
        <v>0</v>
      </c>
      <c r="K7613" s="106"/>
      <c r="L7613" s="106"/>
      <c r="M7613" s="129"/>
    </row>
    <row r="7614" spans="1:13" s="146" customFormat="1">
      <c r="A7614" s="193" t="s">
        <v>526</v>
      </c>
      <c r="B7614" s="210">
        <v>7</v>
      </c>
      <c r="C7614" s="191" t="str">
        <f>IF('IWP28'!E$454=0,"",'IWP28'!E$454)</f>
        <v>D.</v>
      </c>
      <c r="D7614" s="211">
        <f>'IWP28'!G$454</f>
        <v>0</v>
      </c>
      <c r="E7614" s="211" t="str">
        <f>'IWP28'!H$454</f>
        <v>E.</v>
      </c>
      <c r="F7614" s="211" t="str">
        <f>'IWP28'!I$454</f>
        <v>F.</v>
      </c>
      <c r="G7614" s="191" t="str">
        <f>IF('IWP28'!J$454=0,"",'IWP28'!J$454)</f>
        <v>G.</v>
      </c>
      <c r="H7614" s="211">
        <f>'IWP28'!K$454</f>
        <v>0</v>
      </c>
      <c r="I7614" s="211" t="str">
        <f>'IWP28'!L$454</f>
        <v>H.</v>
      </c>
      <c r="J7614" s="212" t="str">
        <f>'IWP28'!M$454</f>
        <v>I.</v>
      </c>
      <c r="K7614" s="106"/>
      <c r="L7614" s="106"/>
      <c r="M7614" s="129"/>
    </row>
    <row r="7615" spans="1:13" s="146" customFormat="1">
      <c r="A7615" s="193" t="s">
        <v>526</v>
      </c>
      <c r="B7615" s="210">
        <v>7</v>
      </c>
      <c r="C7615" s="191" t="str">
        <f>IF('IWP28'!E$455=0,"",'IWP28'!E$455)</f>
        <v xml:space="preserve">Items/Services Related to Billing Period </v>
      </c>
      <c r="D7615" s="211">
        <f>'IWP28'!G$455</f>
        <v>0</v>
      </c>
      <c r="E7615" s="211" t="str">
        <f>'IWP28'!H$455</f>
        <v xml:space="preserve">Item/
Service Verified Amounts
</v>
      </c>
      <c r="F7615" s="211" t="str">
        <f>'IWP28'!I$455</f>
        <v>Amount Due to DADS (E. - D.)</v>
      </c>
      <c r="G7615" s="191" t="str">
        <f>IF('IWP28'!J$455=0,"",'IWP28'!J$455)</f>
        <v>Amount Reimbursed to 
Employee(s)/Employer</v>
      </c>
      <c r="H7615" s="211">
        <f>'IWP28'!K$455</f>
        <v>0</v>
      </c>
      <c r="I7615" s="211" t="str">
        <f>'IWP28'!L$455</f>
        <v>Amount Due to Employee(s) (G. - E.)</v>
      </c>
      <c r="J7615" s="212" t="str">
        <f>'IWP28'!M$455</f>
        <v>Amount Due to Employer (G. - E.)</v>
      </c>
      <c r="K7615" s="106"/>
      <c r="L7615" s="106"/>
      <c r="M7615" s="129"/>
    </row>
    <row r="7616" spans="1:13" s="146" customFormat="1">
      <c r="A7616" s="193" t="s">
        <v>526</v>
      </c>
      <c r="B7616" s="210">
        <v>7</v>
      </c>
      <c r="C7616" s="191" t="str">
        <f>IF('IWP28'!E$456=0,"",'IWP28'!E$456)</f>
        <v>Item/Service</v>
      </c>
      <c r="D7616" s="211" t="str">
        <f>'IWP28'!G$456</f>
        <v>Itemized Amount Paid by DADS</v>
      </c>
      <c r="E7616" s="211">
        <f>'IWP28'!H$456</f>
        <v>0</v>
      </c>
      <c r="F7616" s="211">
        <f>'IWP28'!I$456</f>
        <v>0</v>
      </c>
      <c r="G7616" s="191" t="str">
        <f>IF('IWP28'!J$456=0,"",'IWP28'!J$456)</f>
        <v/>
      </c>
      <c r="H7616" s="211">
        <f>'IWP28'!K$456</f>
        <v>0</v>
      </c>
      <c r="I7616" s="211">
        <f>'IWP28'!L$456</f>
        <v>0</v>
      </c>
      <c r="J7616" s="212">
        <f>'IWP28'!M$456</f>
        <v>0</v>
      </c>
      <c r="K7616" s="106"/>
      <c r="L7616" s="106"/>
      <c r="M7616" s="129"/>
    </row>
    <row r="7617" spans="1:13" s="146" customFormat="1">
      <c r="A7617" s="193" t="s">
        <v>526</v>
      </c>
      <c r="B7617" s="210">
        <v>7</v>
      </c>
      <c r="C7617" s="191" t="str">
        <f>IF('IWP28'!E$457=0,"",'IWP28'!E$457)</f>
        <v/>
      </c>
      <c r="D7617" s="211">
        <f>'IWP28'!G$457</f>
        <v>0</v>
      </c>
      <c r="E7617" s="211">
        <f>'IWP28'!H$457</f>
        <v>0</v>
      </c>
      <c r="F7617" s="211">
        <f>'IWP28'!I$457</f>
        <v>0</v>
      </c>
      <c r="G7617" s="191" t="str">
        <f>IF('IWP28'!J$457=0,"",'IWP28'!J$457)</f>
        <v/>
      </c>
      <c r="H7617" s="211">
        <f>'IWP28'!K$457</f>
        <v>0</v>
      </c>
      <c r="I7617" s="211">
        <f>'IWP28'!L$457</f>
        <v>0</v>
      </c>
      <c r="J7617" s="212">
        <f>'IWP28'!M$457</f>
        <v>0</v>
      </c>
      <c r="K7617" s="106"/>
      <c r="L7617" s="106"/>
      <c r="M7617" s="129"/>
    </row>
    <row r="7618" spans="1:13" s="146" customFormat="1">
      <c r="A7618" s="193" t="s">
        <v>526</v>
      </c>
      <c r="B7618" s="210">
        <v>7</v>
      </c>
      <c r="C7618" s="191" t="str">
        <f>IF('IWP28'!E$458=0,"",'IWP28'!E$458)</f>
        <v/>
      </c>
      <c r="D7618" s="211">
        <f>'IWP28'!G$458</f>
        <v>0</v>
      </c>
      <c r="E7618" s="211">
        <f>'IWP28'!H$458</f>
        <v>0</v>
      </c>
      <c r="F7618" s="211">
        <f>'IWP28'!I$458</f>
        <v>0</v>
      </c>
      <c r="G7618" s="191" t="str">
        <f>IF('IWP28'!J$458=0,"",'IWP28'!J$458)</f>
        <v/>
      </c>
      <c r="H7618" s="211">
        <f>'IWP28'!K$458</f>
        <v>0</v>
      </c>
      <c r="I7618" s="211">
        <f>'IWP28'!L$458</f>
        <v>0</v>
      </c>
      <c r="J7618" s="212">
        <f>'IWP28'!M$458</f>
        <v>0</v>
      </c>
      <c r="K7618" s="106"/>
      <c r="L7618" s="106"/>
      <c r="M7618" s="129"/>
    </row>
    <row r="7619" spans="1:13" s="146" customFormat="1">
      <c r="A7619" s="193" t="s">
        <v>526</v>
      </c>
      <c r="B7619" s="210">
        <v>7</v>
      </c>
      <c r="C7619" s="191" t="str">
        <f>IF('IWP28'!E$459=0,"",'IWP28'!E$459)</f>
        <v/>
      </c>
      <c r="D7619" s="211">
        <f>'IWP28'!G$459</f>
        <v>0</v>
      </c>
      <c r="E7619" s="211">
        <f>'IWP28'!H$459</f>
        <v>0</v>
      </c>
      <c r="F7619" s="211">
        <f>'IWP28'!I$459</f>
        <v>0</v>
      </c>
      <c r="G7619" s="191" t="str">
        <f>IF('IWP28'!J$459=0,"",'IWP28'!J$459)</f>
        <v/>
      </c>
      <c r="H7619" s="211">
        <f>'IWP28'!K$459</f>
        <v>0</v>
      </c>
      <c r="I7619" s="211">
        <f>'IWP28'!L$459</f>
        <v>0</v>
      </c>
      <c r="J7619" s="212">
        <f>'IWP28'!M$459</f>
        <v>0</v>
      </c>
      <c r="K7619" s="106"/>
      <c r="L7619" s="106"/>
      <c r="M7619" s="129"/>
    </row>
    <row r="7620" spans="1:13" s="146" customFormat="1">
      <c r="A7620" s="193" t="s">
        <v>526</v>
      </c>
      <c r="B7620" s="210">
        <v>7</v>
      </c>
      <c r="C7620" s="191" t="str">
        <f>IF('IWP28'!E$460=0,"",'IWP28'!E$460)</f>
        <v/>
      </c>
      <c r="D7620" s="211">
        <f>'IWP28'!G$460</f>
        <v>0</v>
      </c>
      <c r="E7620" s="211">
        <f>'IWP28'!H$460</f>
        <v>0</v>
      </c>
      <c r="F7620" s="211">
        <f>'IWP28'!I$460</f>
        <v>0</v>
      </c>
      <c r="G7620" s="191" t="str">
        <f>IF('IWP28'!J$460=0,"",'IWP28'!J$460)</f>
        <v/>
      </c>
      <c r="H7620" s="211">
        <f>'IWP28'!K$460</f>
        <v>0</v>
      </c>
      <c r="I7620" s="211">
        <f>'IWP28'!L$460</f>
        <v>0</v>
      </c>
      <c r="J7620" s="212">
        <f>'IWP28'!M$460</f>
        <v>0</v>
      </c>
      <c r="K7620" s="106"/>
      <c r="L7620" s="106"/>
      <c r="M7620" s="129"/>
    </row>
    <row r="7621" spans="1:13" s="146" customFormat="1">
      <c r="A7621" s="193" t="s">
        <v>526</v>
      </c>
      <c r="B7621" s="210">
        <v>8</v>
      </c>
      <c r="C7621" s="191" t="str">
        <f>IF('IWP28'!E$467=0,"",'IWP28'!E$467)</f>
        <v>Subtotal column D.</v>
      </c>
      <c r="D7621" s="211">
        <f>'IWP28'!G$467</f>
        <v>0</v>
      </c>
      <c r="E7621" s="211">
        <f>'IWP28'!H$467</f>
        <v>0</v>
      </c>
      <c r="F7621" s="211">
        <f>'IWP28'!I$467</f>
        <v>0</v>
      </c>
      <c r="G7621" s="191" t="str">
        <f>IF('IWP28'!J$467=0,"",'IWP28'!J$467)</f>
        <v/>
      </c>
      <c r="H7621" s="211">
        <f>'IWP28'!K$467</f>
        <v>0</v>
      </c>
      <c r="I7621" s="211">
        <f>'IWP28'!L$467</f>
        <v>0</v>
      </c>
      <c r="J7621" s="212">
        <f>'IWP28'!M$467</f>
        <v>0</v>
      </c>
      <c r="K7621" s="106"/>
      <c r="L7621" s="106"/>
      <c r="M7621" s="129"/>
    </row>
    <row r="7622" spans="1:13" s="146" customFormat="1">
      <c r="A7622" s="193" t="s">
        <v>526</v>
      </c>
      <c r="B7622" s="210">
        <v>8</v>
      </c>
      <c r="C7622" s="191" t="str">
        <f>IF('IWP28'!E$468=0,"",'IWP28'!E$468)</f>
        <v>Unverified/Undocumented (Subtotal D - C)</v>
      </c>
      <c r="D7622" s="211">
        <f>'IWP28'!G$468</f>
        <v>0</v>
      </c>
      <c r="E7622" s="211">
        <f>'IWP28'!H$468</f>
        <v>0</v>
      </c>
      <c r="F7622" s="211">
        <f>'IWP28'!I$468</f>
        <v>0</v>
      </c>
      <c r="G7622" s="191" t="str">
        <f>IF('IWP28'!J$468=0,"",'IWP28'!J$468)</f>
        <v/>
      </c>
      <c r="H7622" s="211">
        <f>'IWP28'!K$468</f>
        <v>0</v>
      </c>
      <c r="I7622" s="211">
        <f>'IWP28'!L$468</f>
        <v>0</v>
      </c>
      <c r="J7622" s="212">
        <f>'IWP28'!M$468</f>
        <v>0</v>
      </c>
      <c r="K7622" s="106"/>
      <c r="L7622" s="106"/>
      <c r="M7622" s="129"/>
    </row>
    <row r="7623" spans="1:13" s="146" customFormat="1">
      <c r="A7623" s="193" t="s">
        <v>526</v>
      </c>
      <c r="B7623" s="210">
        <v>8</v>
      </c>
      <c r="C7623" s="191" t="str">
        <f>IF('IWP28'!E$469=0,"",'IWP28'!E$469)</f>
        <v>J. Billing Period Total</v>
      </c>
      <c r="D7623" s="211">
        <f>'IWP28'!G$469</f>
        <v>0</v>
      </c>
      <c r="E7623" s="211">
        <f>'IWP28'!H$469</f>
        <v>0</v>
      </c>
      <c r="F7623" s="211">
        <f>'IWP28'!I$469</f>
        <v>0</v>
      </c>
      <c r="G7623" s="191" t="str">
        <f>IF('IWP28'!J$469=0,"",'IWP28'!J$469)</f>
        <v/>
      </c>
      <c r="H7623" s="211">
        <f>'IWP28'!K$469</f>
        <v>0</v>
      </c>
      <c r="I7623" s="211">
        <f>'IWP28'!L$469</f>
        <v>0</v>
      </c>
      <c r="J7623" s="212">
        <f>'IWP28'!M$469</f>
        <v>0</v>
      </c>
      <c r="K7623" s="106"/>
      <c r="L7623" s="106"/>
      <c r="M7623" s="129"/>
    </row>
    <row r="7624" spans="1:13" s="146" customFormat="1">
      <c r="A7624" s="193" t="s">
        <v>526</v>
      </c>
      <c r="B7624" s="210">
        <v>8</v>
      </c>
      <c r="C7624" s="191" t="str">
        <f>IF('IWP28'!E$470=0,"",'IWP28'!E$470)</f>
        <v>D.</v>
      </c>
      <c r="D7624" s="211">
        <f>'IWP28'!G$470</f>
        <v>0</v>
      </c>
      <c r="E7624" s="211" t="str">
        <f>'IWP28'!H$470</f>
        <v>E.</v>
      </c>
      <c r="F7624" s="211" t="str">
        <f>'IWP28'!I$470</f>
        <v>F.</v>
      </c>
      <c r="G7624" s="191" t="str">
        <f>IF('IWP28'!J$470=0,"",'IWP28'!J$470)</f>
        <v>G.</v>
      </c>
      <c r="H7624" s="211">
        <f>'IWP28'!K$470</f>
        <v>0</v>
      </c>
      <c r="I7624" s="211" t="str">
        <f>'IWP28'!L$470</f>
        <v>H.</v>
      </c>
      <c r="J7624" s="212" t="str">
        <f>'IWP28'!M$470</f>
        <v>I.</v>
      </c>
      <c r="K7624" s="106"/>
      <c r="L7624" s="106"/>
      <c r="M7624" s="129"/>
    </row>
    <row r="7625" spans="1:13" s="146" customFormat="1">
      <c r="A7625" s="193" t="s">
        <v>526</v>
      </c>
      <c r="B7625" s="210">
        <v>8</v>
      </c>
      <c r="C7625" s="191" t="str">
        <f>IF('IWP28'!E$471=0,"",'IWP28'!E$471)</f>
        <v xml:space="preserve">Items/Services Related to Billing Period </v>
      </c>
      <c r="D7625" s="211">
        <f>'IWP28'!G$471</f>
        <v>0</v>
      </c>
      <c r="E7625" s="211" t="str">
        <f>'IWP28'!H$471</f>
        <v xml:space="preserve">Item/
Service Verified Amounts
</v>
      </c>
      <c r="F7625" s="211" t="str">
        <f>'IWP28'!I$471</f>
        <v>Amount Due to DADS (E. - D.)</v>
      </c>
      <c r="G7625" s="191" t="str">
        <f>IF('IWP28'!J$471=0,"",'IWP28'!J$471)</f>
        <v>Amount Reimbursed to 
Employee(s)/Employer</v>
      </c>
      <c r="H7625" s="211">
        <f>'IWP28'!K$471</f>
        <v>0</v>
      </c>
      <c r="I7625" s="211" t="str">
        <f>'IWP28'!L$471</f>
        <v>Amount Due to Employee(s) (G. - E.)</v>
      </c>
      <c r="J7625" s="212" t="str">
        <f>'IWP28'!M$471</f>
        <v>Amount Due to Employer (G. - E.)</v>
      </c>
      <c r="K7625" s="106"/>
      <c r="L7625" s="106"/>
      <c r="M7625" s="129"/>
    </row>
    <row r="7626" spans="1:13" s="146" customFormat="1">
      <c r="A7626" s="193" t="s">
        <v>526</v>
      </c>
      <c r="B7626" s="210">
        <v>8</v>
      </c>
      <c r="C7626" s="191" t="str">
        <f>IF('IWP28'!E$472=0,"",'IWP28'!E$472)</f>
        <v>Item/Service</v>
      </c>
      <c r="D7626" s="211" t="str">
        <f>'IWP28'!G$472</f>
        <v>Itemized Amount Paid by DADS</v>
      </c>
      <c r="E7626" s="211">
        <f>'IWP28'!H$472</f>
        <v>0</v>
      </c>
      <c r="F7626" s="211">
        <f>'IWP28'!I$472</f>
        <v>0</v>
      </c>
      <c r="G7626" s="191" t="str">
        <f>IF('IWP28'!J$472=0,"",'IWP28'!J$472)</f>
        <v/>
      </c>
      <c r="H7626" s="211">
        <f>'IWP28'!K$472</f>
        <v>0</v>
      </c>
      <c r="I7626" s="211">
        <f>'IWP28'!L$472</f>
        <v>0</v>
      </c>
      <c r="J7626" s="212">
        <f>'IWP28'!M$472</f>
        <v>0</v>
      </c>
      <c r="K7626" s="106"/>
      <c r="L7626" s="106"/>
      <c r="M7626" s="129"/>
    </row>
    <row r="7627" spans="1:13" s="146" customFormat="1">
      <c r="A7627" s="193" t="s">
        <v>526</v>
      </c>
      <c r="B7627" s="210">
        <v>8</v>
      </c>
      <c r="C7627" s="191" t="str">
        <f>IF('IWP28'!E$473=0,"",'IWP28'!E$473)</f>
        <v/>
      </c>
      <c r="D7627" s="211">
        <f>'IWP28'!G$473</f>
        <v>0</v>
      </c>
      <c r="E7627" s="211">
        <f>'IWP28'!H$473</f>
        <v>0</v>
      </c>
      <c r="F7627" s="211">
        <f>'IWP28'!I$473</f>
        <v>0</v>
      </c>
      <c r="G7627" s="191" t="str">
        <f>IF('IWP28'!J$473=0,"",'IWP28'!J$473)</f>
        <v/>
      </c>
      <c r="H7627" s="211">
        <f>'IWP28'!K$473</f>
        <v>0</v>
      </c>
      <c r="I7627" s="211">
        <f>'IWP28'!L$473</f>
        <v>0</v>
      </c>
      <c r="J7627" s="212">
        <f>'IWP28'!M$473</f>
        <v>0</v>
      </c>
      <c r="K7627" s="106"/>
      <c r="L7627" s="106"/>
      <c r="M7627" s="129"/>
    </row>
    <row r="7628" spans="1:13" s="146" customFormat="1">
      <c r="A7628" s="193" t="s">
        <v>526</v>
      </c>
      <c r="B7628" s="210">
        <v>8</v>
      </c>
      <c r="C7628" s="191" t="str">
        <f>IF('IWP28'!E$474=0,"",'IWP28'!E$474)</f>
        <v/>
      </c>
      <c r="D7628" s="211">
        <f>'IWP28'!G$474</f>
        <v>0</v>
      </c>
      <c r="E7628" s="211">
        <f>'IWP28'!H$474</f>
        <v>0</v>
      </c>
      <c r="F7628" s="211">
        <f>'IWP28'!I$474</f>
        <v>0</v>
      </c>
      <c r="G7628" s="191" t="str">
        <f>IF('IWP28'!J$474=0,"",'IWP28'!J$474)</f>
        <v/>
      </c>
      <c r="H7628" s="211">
        <f>'IWP28'!K$474</f>
        <v>0</v>
      </c>
      <c r="I7628" s="211">
        <f>'IWP28'!L$474</f>
        <v>0</v>
      </c>
      <c r="J7628" s="212">
        <f>'IWP28'!M$474</f>
        <v>0</v>
      </c>
      <c r="K7628" s="106"/>
      <c r="L7628" s="106"/>
      <c r="M7628" s="129"/>
    </row>
    <row r="7629" spans="1:13" s="146" customFormat="1">
      <c r="A7629" s="193" t="s">
        <v>526</v>
      </c>
      <c r="B7629" s="210">
        <v>8</v>
      </c>
      <c r="C7629" s="191" t="str">
        <f>IF('IWP28'!E$475=0,"",'IWP28'!E$475)</f>
        <v/>
      </c>
      <c r="D7629" s="211">
        <f>'IWP28'!G$475</f>
        <v>0</v>
      </c>
      <c r="E7629" s="211">
        <f>'IWP28'!H$475</f>
        <v>0</v>
      </c>
      <c r="F7629" s="211">
        <f>'IWP28'!I$475</f>
        <v>0</v>
      </c>
      <c r="G7629" s="191" t="str">
        <f>IF('IWP28'!J$475=0,"",'IWP28'!J$475)</f>
        <v/>
      </c>
      <c r="H7629" s="211">
        <f>'IWP28'!K$475</f>
        <v>0</v>
      </c>
      <c r="I7629" s="211">
        <f>'IWP28'!L$475</f>
        <v>0</v>
      </c>
      <c r="J7629" s="212">
        <f>'IWP28'!M$475</f>
        <v>0</v>
      </c>
      <c r="K7629" s="106"/>
      <c r="L7629" s="106"/>
      <c r="M7629" s="129"/>
    </row>
    <row r="7630" spans="1:13" s="146" customFormat="1">
      <c r="A7630" s="193" t="s">
        <v>526</v>
      </c>
      <c r="B7630" s="210">
        <v>8</v>
      </c>
      <c r="C7630" s="191" t="str">
        <f>IF('IWP28'!E$476=0,"",'IWP28'!E$476)</f>
        <v/>
      </c>
      <c r="D7630" s="211">
        <f>'IWP28'!G$476</f>
        <v>0</v>
      </c>
      <c r="E7630" s="211">
        <f>'IWP28'!H$476</f>
        <v>0</v>
      </c>
      <c r="F7630" s="211">
        <f>'IWP28'!I$476</f>
        <v>0</v>
      </c>
      <c r="G7630" s="191" t="str">
        <f>IF('IWP28'!J$476=0,"",'IWP28'!J$476)</f>
        <v/>
      </c>
      <c r="H7630" s="211">
        <f>'IWP28'!K$476</f>
        <v>0</v>
      </c>
      <c r="I7630" s="211">
        <f>'IWP28'!L$476</f>
        <v>0</v>
      </c>
      <c r="J7630" s="212">
        <f>'IWP28'!M$476</f>
        <v>0</v>
      </c>
      <c r="K7630" s="106"/>
      <c r="L7630" s="106"/>
      <c r="M7630" s="129"/>
    </row>
    <row r="7631" spans="1:13" s="146" customFormat="1">
      <c r="A7631" s="193" t="s">
        <v>526</v>
      </c>
      <c r="B7631" s="210">
        <v>9</v>
      </c>
      <c r="C7631" s="191" t="str">
        <f>IF('IWP28'!E$483=0,"",'IWP28'!E$483)</f>
        <v>Subtotal column D.</v>
      </c>
      <c r="D7631" s="211">
        <f>'IWP28'!G$483</f>
        <v>0</v>
      </c>
      <c r="E7631" s="211">
        <f>'IWP28'!H$483</f>
        <v>0</v>
      </c>
      <c r="F7631" s="211">
        <f>'IWP28'!I$483</f>
        <v>0</v>
      </c>
      <c r="G7631" s="191" t="str">
        <f>IF('IWP28'!J$483=0,"",'IWP28'!J$483)</f>
        <v/>
      </c>
      <c r="H7631" s="211">
        <f>'IWP28'!K$483</f>
        <v>0</v>
      </c>
      <c r="I7631" s="211">
        <f>'IWP28'!L$483</f>
        <v>0</v>
      </c>
      <c r="J7631" s="212">
        <f>'IWP28'!M$483</f>
        <v>0</v>
      </c>
      <c r="K7631" s="106"/>
      <c r="L7631" s="106"/>
      <c r="M7631" s="129"/>
    </row>
    <row r="7632" spans="1:13" s="146" customFormat="1">
      <c r="A7632" s="193" t="s">
        <v>526</v>
      </c>
      <c r="B7632" s="210">
        <v>9</v>
      </c>
      <c r="C7632" s="191" t="str">
        <f>IF('IWP28'!E$484=0,"",'IWP28'!E$484)</f>
        <v>Unverified/Undocumented (Subtotal D - C)</v>
      </c>
      <c r="D7632" s="211">
        <f>'IWP28'!G$484</f>
        <v>0</v>
      </c>
      <c r="E7632" s="211">
        <f>'IWP28'!H$484</f>
        <v>0</v>
      </c>
      <c r="F7632" s="211">
        <f>'IWP28'!I$484</f>
        <v>0</v>
      </c>
      <c r="G7632" s="191" t="str">
        <f>IF('IWP28'!J$484=0,"",'IWP28'!J$484)</f>
        <v/>
      </c>
      <c r="H7632" s="211">
        <f>'IWP28'!K$484</f>
        <v>0</v>
      </c>
      <c r="I7632" s="211">
        <f>'IWP28'!L$484</f>
        <v>0</v>
      </c>
      <c r="J7632" s="212">
        <f>'IWP28'!M$484</f>
        <v>0</v>
      </c>
      <c r="K7632" s="106"/>
      <c r="L7632" s="106"/>
      <c r="M7632" s="129"/>
    </row>
    <row r="7633" spans="1:13" s="146" customFormat="1">
      <c r="A7633" s="193" t="s">
        <v>526</v>
      </c>
      <c r="B7633" s="210">
        <v>9</v>
      </c>
      <c r="C7633" s="191" t="str">
        <f>IF('IWP28'!E$485=0,"",'IWP28'!E$485)</f>
        <v>J. Billing Period Total</v>
      </c>
      <c r="D7633" s="211">
        <f>'IWP28'!G$485</f>
        <v>0</v>
      </c>
      <c r="E7633" s="211">
        <f>'IWP28'!H$485</f>
        <v>0</v>
      </c>
      <c r="F7633" s="211">
        <f>'IWP28'!I$485</f>
        <v>0</v>
      </c>
      <c r="G7633" s="191" t="str">
        <f>IF('IWP28'!J$485=0,"",'IWP28'!J$485)</f>
        <v/>
      </c>
      <c r="H7633" s="211">
        <f>'IWP28'!K$485</f>
        <v>0</v>
      </c>
      <c r="I7633" s="211">
        <f>'IWP28'!L$485</f>
        <v>0</v>
      </c>
      <c r="J7633" s="212">
        <f>'IWP28'!M$485</f>
        <v>0</v>
      </c>
      <c r="K7633" s="106"/>
      <c r="L7633" s="106"/>
      <c r="M7633" s="129"/>
    </row>
    <row r="7634" spans="1:13" s="146" customFormat="1">
      <c r="A7634" s="193" t="s">
        <v>526</v>
      </c>
      <c r="B7634" s="210">
        <v>9</v>
      </c>
      <c r="C7634" s="191" t="str">
        <f>IF('IWP28'!E$486=0,"",'IWP28'!E$486)</f>
        <v>D.</v>
      </c>
      <c r="D7634" s="211">
        <f>'IWP28'!G$486</f>
        <v>0</v>
      </c>
      <c r="E7634" s="211" t="str">
        <f>'IWP28'!H$486</f>
        <v>E.</v>
      </c>
      <c r="F7634" s="211" t="str">
        <f>'IWP28'!I$486</f>
        <v>F.</v>
      </c>
      <c r="G7634" s="191" t="str">
        <f>IF('IWP28'!J$486=0,"",'IWP28'!J$486)</f>
        <v>G.</v>
      </c>
      <c r="H7634" s="211">
        <f>'IWP28'!K$486</f>
        <v>0</v>
      </c>
      <c r="I7634" s="211" t="str">
        <f>'IWP28'!L$486</f>
        <v>H.</v>
      </c>
      <c r="J7634" s="212" t="str">
        <f>'IWP28'!M$486</f>
        <v>I.</v>
      </c>
      <c r="K7634" s="106"/>
      <c r="L7634" s="106"/>
      <c r="M7634" s="129"/>
    </row>
    <row r="7635" spans="1:13" s="146" customFormat="1">
      <c r="A7635" s="193" t="s">
        <v>526</v>
      </c>
      <c r="B7635" s="210">
        <v>9</v>
      </c>
      <c r="C7635" s="191" t="str">
        <f>IF('IWP28'!E$487=0,"",'IWP28'!E$487)</f>
        <v xml:space="preserve">Items/Services Related to Billing Period </v>
      </c>
      <c r="D7635" s="211">
        <f>'IWP28'!G$487</f>
        <v>0</v>
      </c>
      <c r="E7635" s="211" t="str">
        <f>'IWP28'!H$487</f>
        <v xml:space="preserve">Item/
Service Verified Amounts
</v>
      </c>
      <c r="F7635" s="211" t="str">
        <f>'IWP28'!I$487</f>
        <v>Amount Due to DADS (E. - D.)</v>
      </c>
      <c r="G7635" s="191" t="str">
        <f>IF('IWP28'!J$487=0,"",'IWP28'!J$487)</f>
        <v>Amount Reimbursed to 
Employee(s)/Employer</v>
      </c>
      <c r="H7635" s="211">
        <f>'IWP28'!K$487</f>
        <v>0</v>
      </c>
      <c r="I7635" s="211" t="str">
        <f>'IWP28'!L$487</f>
        <v>Amount Due to Employee(s) (G. - E.)</v>
      </c>
      <c r="J7635" s="212" t="str">
        <f>'IWP28'!M$487</f>
        <v>Amount Due to Employer (G. - E.)</v>
      </c>
      <c r="K7635" s="106"/>
      <c r="L7635" s="106"/>
      <c r="M7635" s="129"/>
    </row>
    <row r="7636" spans="1:13" s="146" customFormat="1">
      <c r="A7636" s="193" t="s">
        <v>526</v>
      </c>
      <c r="B7636" s="210">
        <v>9</v>
      </c>
      <c r="C7636" s="191" t="str">
        <f>IF('IWP28'!E$488=0,"",'IWP28'!E$488)</f>
        <v>Item/Service</v>
      </c>
      <c r="D7636" s="211" t="str">
        <f>'IWP28'!G$488</f>
        <v>Itemized Amount Paid by DADS</v>
      </c>
      <c r="E7636" s="211">
        <f>'IWP28'!H$488</f>
        <v>0</v>
      </c>
      <c r="F7636" s="211">
        <f>'IWP28'!I$488</f>
        <v>0</v>
      </c>
      <c r="G7636" s="191" t="str">
        <f>IF('IWP28'!J$488=0,"",'IWP28'!J$488)</f>
        <v/>
      </c>
      <c r="H7636" s="211">
        <f>'IWP28'!K$488</f>
        <v>0</v>
      </c>
      <c r="I7636" s="211">
        <f>'IWP28'!L$488</f>
        <v>0</v>
      </c>
      <c r="J7636" s="212">
        <f>'IWP28'!M$488</f>
        <v>0</v>
      </c>
      <c r="K7636" s="106"/>
      <c r="L7636" s="106"/>
      <c r="M7636" s="129"/>
    </row>
    <row r="7637" spans="1:13" s="146" customFormat="1">
      <c r="A7637" s="193" t="s">
        <v>526</v>
      </c>
      <c r="B7637" s="210">
        <v>9</v>
      </c>
      <c r="C7637" s="191" t="str">
        <f>IF('IWP28'!E$489=0,"",'IWP28'!E$489)</f>
        <v/>
      </c>
      <c r="D7637" s="211">
        <f>'IWP28'!G$489</f>
        <v>0</v>
      </c>
      <c r="E7637" s="211">
        <f>'IWP28'!H$489</f>
        <v>0</v>
      </c>
      <c r="F7637" s="211">
        <f>'IWP28'!I$489</f>
        <v>0</v>
      </c>
      <c r="G7637" s="191" t="str">
        <f>IF('IWP28'!J$489=0,"",'IWP28'!J$489)</f>
        <v/>
      </c>
      <c r="H7637" s="211">
        <f>'IWP28'!K$489</f>
        <v>0</v>
      </c>
      <c r="I7637" s="211">
        <f>'IWP28'!L$489</f>
        <v>0</v>
      </c>
      <c r="J7637" s="212">
        <f>'IWP28'!M$489</f>
        <v>0</v>
      </c>
      <c r="K7637" s="106"/>
      <c r="L7637" s="106"/>
      <c r="M7637" s="129"/>
    </row>
    <row r="7638" spans="1:13" s="146" customFormat="1">
      <c r="A7638" s="193" t="s">
        <v>526</v>
      </c>
      <c r="B7638" s="210">
        <v>9</v>
      </c>
      <c r="C7638" s="191" t="str">
        <f>IF('IWP28'!E$490=0,"",'IWP28'!E$490)</f>
        <v/>
      </c>
      <c r="D7638" s="211">
        <f>'IWP28'!G$490</f>
        <v>0</v>
      </c>
      <c r="E7638" s="211">
        <f>'IWP28'!H$490</f>
        <v>0</v>
      </c>
      <c r="F7638" s="211">
        <f>'IWP28'!I$490</f>
        <v>0</v>
      </c>
      <c r="G7638" s="191" t="str">
        <f>IF('IWP28'!J$490=0,"",'IWP28'!J$490)</f>
        <v/>
      </c>
      <c r="H7638" s="211">
        <f>'IWP28'!K$490</f>
        <v>0</v>
      </c>
      <c r="I7638" s="211">
        <f>'IWP28'!L$490</f>
        <v>0</v>
      </c>
      <c r="J7638" s="212">
        <f>'IWP28'!M$490</f>
        <v>0</v>
      </c>
      <c r="K7638" s="106"/>
      <c r="L7638" s="106"/>
      <c r="M7638" s="129"/>
    </row>
    <row r="7639" spans="1:13" s="146" customFormat="1">
      <c r="A7639" s="193" t="s">
        <v>526</v>
      </c>
      <c r="B7639" s="210">
        <v>9</v>
      </c>
      <c r="C7639" s="191" t="str">
        <f>IF('IWP28'!E$491=0,"",'IWP28'!E$491)</f>
        <v/>
      </c>
      <c r="D7639" s="211">
        <f>'IWP28'!G$491</f>
        <v>0</v>
      </c>
      <c r="E7639" s="211">
        <f>'IWP28'!H$491</f>
        <v>0</v>
      </c>
      <c r="F7639" s="211">
        <f>'IWP28'!I$491</f>
        <v>0</v>
      </c>
      <c r="G7639" s="191" t="str">
        <f>IF('IWP28'!J$491=0,"",'IWP28'!J$491)</f>
        <v/>
      </c>
      <c r="H7639" s="211">
        <f>'IWP28'!K$491</f>
        <v>0</v>
      </c>
      <c r="I7639" s="211">
        <f>'IWP28'!L$491</f>
        <v>0</v>
      </c>
      <c r="J7639" s="212">
        <f>'IWP28'!M$491</f>
        <v>0</v>
      </c>
      <c r="K7639" s="106"/>
      <c r="L7639" s="106"/>
      <c r="M7639" s="129"/>
    </row>
    <row r="7640" spans="1:13" s="146" customFormat="1">
      <c r="A7640" s="193" t="s">
        <v>526</v>
      </c>
      <c r="B7640" s="210">
        <v>9</v>
      </c>
      <c r="C7640" s="191" t="str">
        <f>IF('IWP28'!E$492=0,"",'IWP28'!E$492)</f>
        <v/>
      </c>
      <c r="D7640" s="211">
        <f>'IWP28'!G$492</f>
        <v>0</v>
      </c>
      <c r="E7640" s="211">
        <f>'IWP28'!H$492</f>
        <v>0</v>
      </c>
      <c r="F7640" s="211">
        <f>'IWP28'!I$492</f>
        <v>0</v>
      </c>
      <c r="G7640" s="191" t="str">
        <f>IF('IWP28'!J$492=0,"",'IWP28'!J$492)</f>
        <v/>
      </c>
      <c r="H7640" s="211">
        <f>'IWP28'!K$492</f>
        <v>0</v>
      </c>
      <c r="I7640" s="211">
        <f>'IWP28'!L$492</f>
        <v>0</v>
      </c>
      <c r="J7640" s="212">
        <f>'IWP28'!M$492</f>
        <v>0</v>
      </c>
      <c r="K7640" s="106"/>
      <c r="L7640" s="106"/>
      <c r="M7640" s="129"/>
    </row>
    <row r="7641" spans="1:13" s="146" customFormat="1">
      <c r="A7641" s="193" t="s">
        <v>526</v>
      </c>
      <c r="B7641" s="210">
        <v>10</v>
      </c>
      <c r="C7641" s="191" t="str">
        <f>IF('IWP28'!E$499=0,"",'IWP28'!E$499)</f>
        <v>Subtotal column D.</v>
      </c>
      <c r="D7641" s="211">
        <f>'IWP28'!G$499</f>
        <v>0</v>
      </c>
      <c r="E7641" s="211">
        <f>'IWP28'!H$499</f>
        <v>0</v>
      </c>
      <c r="F7641" s="211">
        <f>'IWP28'!I$499</f>
        <v>0</v>
      </c>
      <c r="G7641" s="191" t="str">
        <f>IF('IWP28'!J$499=0,"",'IWP28'!J$499)</f>
        <v/>
      </c>
      <c r="H7641" s="211">
        <f>'IWP28'!K$499</f>
        <v>0</v>
      </c>
      <c r="I7641" s="211">
        <f>'IWP28'!L$499</f>
        <v>0</v>
      </c>
      <c r="J7641" s="212">
        <f>'IWP28'!M$499</f>
        <v>0</v>
      </c>
      <c r="K7641" s="106"/>
      <c r="L7641" s="106"/>
      <c r="M7641" s="129"/>
    </row>
    <row r="7642" spans="1:13" s="146" customFormat="1">
      <c r="A7642" s="193" t="s">
        <v>526</v>
      </c>
      <c r="B7642" s="210">
        <v>10</v>
      </c>
      <c r="C7642" s="191" t="str">
        <f>IF('IWP28'!E$500=0,"",'IWP28'!E$500)</f>
        <v>Unverified/Undocumented (Subtotal D - C)</v>
      </c>
      <c r="D7642" s="211">
        <f>'IWP28'!G$500</f>
        <v>0</v>
      </c>
      <c r="E7642" s="211">
        <f>'IWP28'!H$500</f>
        <v>0</v>
      </c>
      <c r="F7642" s="211">
        <f>'IWP28'!I$500</f>
        <v>0</v>
      </c>
      <c r="G7642" s="191" t="str">
        <f>IF('IWP28'!J$500=0,"",'IWP28'!J$500)</f>
        <v/>
      </c>
      <c r="H7642" s="211">
        <f>'IWP28'!K$500</f>
        <v>0</v>
      </c>
      <c r="I7642" s="211">
        <f>'IWP28'!L$500</f>
        <v>0</v>
      </c>
      <c r="J7642" s="212">
        <f>'IWP28'!M$500</f>
        <v>0</v>
      </c>
      <c r="K7642" s="106"/>
      <c r="L7642" s="106"/>
      <c r="M7642" s="129"/>
    </row>
    <row r="7643" spans="1:13" s="146" customFormat="1">
      <c r="A7643" s="193" t="s">
        <v>526</v>
      </c>
      <c r="B7643" s="210">
        <v>10</v>
      </c>
      <c r="C7643" s="191" t="str">
        <f>IF('IWP28'!E$501=0,"",'IWP28'!E$501)</f>
        <v>J. Billing Period Total</v>
      </c>
      <c r="D7643" s="211">
        <f>'IWP28'!G$501</f>
        <v>0</v>
      </c>
      <c r="E7643" s="211">
        <f>'IWP28'!H$501</f>
        <v>0</v>
      </c>
      <c r="F7643" s="211">
        <f>'IWP28'!I$501</f>
        <v>0</v>
      </c>
      <c r="G7643" s="191" t="str">
        <f>IF('IWP28'!J$501=0,"",'IWP28'!J$501)</f>
        <v/>
      </c>
      <c r="H7643" s="211">
        <f>'IWP28'!K$501</f>
        <v>0</v>
      </c>
      <c r="I7643" s="211">
        <f>'IWP28'!L$501</f>
        <v>0</v>
      </c>
      <c r="J7643" s="212">
        <f>'IWP28'!M$501</f>
        <v>0</v>
      </c>
      <c r="K7643" s="106"/>
      <c r="L7643" s="106"/>
      <c r="M7643" s="129"/>
    </row>
    <row r="7644" spans="1:13" s="146" customFormat="1">
      <c r="A7644" s="193" t="s">
        <v>526</v>
      </c>
      <c r="B7644" s="210">
        <v>10</v>
      </c>
      <c r="C7644" s="191" t="str">
        <f>IF('IWP28'!E$502=0,"",'IWP28'!E$502)</f>
        <v>D.</v>
      </c>
      <c r="D7644" s="211">
        <f>'IWP28'!G$502</f>
        <v>0</v>
      </c>
      <c r="E7644" s="211" t="str">
        <f>'IWP28'!H$502</f>
        <v>E.</v>
      </c>
      <c r="F7644" s="211" t="str">
        <f>'IWP28'!I$502</f>
        <v>F.</v>
      </c>
      <c r="G7644" s="191" t="str">
        <f>IF('IWP28'!J$502=0,"",'IWP28'!J$502)</f>
        <v>G.</v>
      </c>
      <c r="H7644" s="211">
        <f>'IWP28'!K$502</f>
        <v>0</v>
      </c>
      <c r="I7644" s="211" t="str">
        <f>'IWP28'!L$502</f>
        <v>H.</v>
      </c>
      <c r="J7644" s="212" t="str">
        <f>'IWP28'!M$502</f>
        <v>I.</v>
      </c>
      <c r="K7644" s="106"/>
      <c r="L7644" s="106"/>
      <c r="M7644" s="129"/>
    </row>
    <row r="7645" spans="1:13" s="146" customFormat="1">
      <c r="A7645" s="193" t="s">
        <v>526</v>
      </c>
      <c r="B7645" s="210">
        <v>10</v>
      </c>
      <c r="C7645" s="191" t="str">
        <f>IF('IWP28'!E$503=0,"",'IWP28'!E$503)</f>
        <v xml:space="preserve">Items/Services Related to Billing Period </v>
      </c>
      <c r="D7645" s="211">
        <f>'IWP28'!G$503</f>
        <v>0</v>
      </c>
      <c r="E7645" s="211" t="str">
        <f>'IWP28'!H$503</f>
        <v xml:space="preserve">Item/
Service Verified Amounts
</v>
      </c>
      <c r="F7645" s="211" t="str">
        <f>'IWP28'!I$503</f>
        <v>Amount Due to DADS (E. - D.)</v>
      </c>
      <c r="G7645" s="191" t="str">
        <f>IF('IWP28'!J$503=0,"",'IWP28'!J$503)</f>
        <v>Amount Reimbursed to 
Employee(s)/Employer</v>
      </c>
      <c r="H7645" s="211">
        <f>'IWP28'!K$503</f>
        <v>0</v>
      </c>
      <c r="I7645" s="211" t="str">
        <f>'IWP28'!L$503</f>
        <v>Amount Due to Employee(s) (G. - E.)</v>
      </c>
      <c r="J7645" s="212" t="str">
        <f>'IWP28'!M$503</f>
        <v>Amount Due to Employer (G. - E.)</v>
      </c>
      <c r="K7645" s="106"/>
      <c r="L7645" s="106"/>
      <c r="M7645" s="129"/>
    </row>
    <row r="7646" spans="1:13" s="146" customFormat="1">
      <c r="A7646" s="193" t="s">
        <v>526</v>
      </c>
      <c r="B7646" s="210">
        <v>10</v>
      </c>
      <c r="C7646" s="191" t="str">
        <f>IF('IWP28'!E$504=0,"",'IWP28'!E$504)</f>
        <v>Item/Service</v>
      </c>
      <c r="D7646" s="211" t="str">
        <f>'IWP28'!G$504</f>
        <v>Itemized Amount Paid by DADS</v>
      </c>
      <c r="E7646" s="211">
        <f>'IWP28'!H$504</f>
        <v>0</v>
      </c>
      <c r="F7646" s="211">
        <f>'IWP28'!I$504</f>
        <v>0</v>
      </c>
      <c r="G7646" s="191" t="str">
        <f>IF('IWP28'!J$504=0,"",'IWP28'!J$504)</f>
        <v/>
      </c>
      <c r="H7646" s="211">
        <f>'IWP28'!K$504</f>
        <v>0</v>
      </c>
      <c r="I7646" s="211">
        <f>'IWP28'!L$504</f>
        <v>0</v>
      </c>
      <c r="J7646" s="212">
        <f>'IWP28'!M$504</f>
        <v>0</v>
      </c>
      <c r="K7646" s="106"/>
      <c r="L7646" s="106"/>
      <c r="M7646" s="129"/>
    </row>
    <row r="7647" spans="1:13" s="146" customFormat="1">
      <c r="A7647" s="193" t="s">
        <v>526</v>
      </c>
      <c r="B7647" s="210">
        <v>10</v>
      </c>
      <c r="C7647" s="191" t="str">
        <f>IF('IWP28'!E$505=0,"",'IWP28'!E$505)</f>
        <v/>
      </c>
      <c r="D7647" s="211">
        <f>'IWP28'!G$505</f>
        <v>0</v>
      </c>
      <c r="E7647" s="211">
        <f>'IWP28'!H$505</f>
        <v>0</v>
      </c>
      <c r="F7647" s="211">
        <f>'IWP28'!I$505</f>
        <v>0</v>
      </c>
      <c r="G7647" s="191" t="str">
        <f>IF('IWP28'!J$505=0,"",'IWP28'!J$505)</f>
        <v/>
      </c>
      <c r="H7647" s="211">
        <f>'IWP28'!K$505</f>
        <v>0</v>
      </c>
      <c r="I7647" s="211">
        <f>'IWP28'!L$505</f>
        <v>0</v>
      </c>
      <c r="J7647" s="212">
        <f>'IWP28'!M$505</f>
        <v>0</v>
      </c>
      <c r="K7647" s="106"/>
      <c r="L7647" s="106"/>
      <c r="M7647" s="129"/>
    </row>
    <row r="7648" spans="1:13" s="146" customFormat="1">
      <c r="A7648" s="193" t="s">
        <v>526</v>
      </c>
      <c r="B7648" s="210">
        <v>10</v>
      </c>
      <c r="C7648" s="191" t="str">
        <f>IF('IWP28'!E$506=0,"",'IWP28'!E$506)</f>
        <v/>
      </c>
      <c r="D7648" s="211">
        <f>'IWP28'!G$506</f>
        <v>0</v>
      </c>
      <c r="E7648" s="211">
        <f>'IWP28'!H$506</f>
        <v>0</v>
      </c>
      <c r="F7648" s="211">
        <f>'IWP28'!I$506</f>
        <v>0</v>
      </c>
      <c r="G7648" s="191" t="str">
        <f>IF('IWP28'!J$506=0,"",'IWP28'!J$506)</f>
        <v/>
      </c>
      <c r="H7648" s="211">
        <f>'IWP28'!K$506</f>
        <v>0</v>
      </c>
      <c r="I7648" s="211">
        <f>'IWP28'!L$506</f>
        <v>0</v>
      </c>
      <c r="J7648" s="212">
        <f>'IWP28'!M$506</f>
        <v>0</v>
      </c>
      <c r="K7648" s="106"/>
      <c r="L7648" s="106"/>
      <c r="M7648" s="129"/>
    </row>
    <row r="7649" spans="1:13" s="146" customFormat="1">
      <c r="A7649" s="193" t="s">
        <v>526</v>
      </c>
      <c r="B7649" s="210">
        <v>10</v>
      </c>
      <c r="C7649" s="191" t="str">
        <f>IF('IWP28'!E$507=0,"",'IWP28'!E$507)</f>
        <v/>
      </c>
      <c r="D7649" s="211">
        <f>'IWP28'!G$507</f>
        <v>0</v>
      </c>
      <c r="E7649" s="211">
        <f>'IWP28'!H$507</f>
        <v>0</v>
      </c>
      <c r="F7649" s="211">
        <f>'IWP28'!I$507</f>
        <v>0</v>
      </c>
      <c r="G7649" s="191" t="str">
        <f>IF('IWP28'!J$507=0,"",'IWP28'!J$507)</f>
        <v/>
      </c>
      <c r="H7649" s="211">
        <f>'IWP28'!K$507</f>
        <v>0</v>
      </c>
      <c r="I7649" s="211">
        <f>'IWP28'!L$507</f>
        <v>0</v>
      </c>
      <c r="J7649" s="212">
        <f>'IWP28'!M$507</f>
        <v>0</v>
      </c>
      <c r="K7649" s="106"/>
      <c r="L7649" s="106"/>
      <c r="M7649" s="129"/>
    </row>
    <row r="7650" spans="1:13" s="146" customFormat="1">
      <c r="A7650" s="193" t="s">
        <v>526</v>
      </c>
      <c r="B7650" s="210">
        <v>10</v>
      </c>
      <c r="C7650" s="191" t="str">
        <f>IF('IWP28'!E$508=0,"",'IWP28'!E$508)</f>
        <v/>
      </c>
      <c r="D7650" s="211">
        <f>'IWP28'!G$508</f>
        <v>0</v>
      </c>
      <c r="E7650" s="211">
        <f>'IWP28'!H$508</f>
        <v>0</v>
      </c>
      <c r="F7650" s="211">
        <f>'IWP28'!I$508</f>
        <v>0</v>
      </c>
      <c r="G7650" s="191" t="str">
        <f>IF('IWP28'!J$508=0,"",'IWP28'!J$508)</f>
        <v/>
      </c>
      <c r="H7650" s="211">
        <f>'IWP28'!K$508</f>
        <v>0</v>
      </c>
      <c r="I7650" s="211">
        <f>'IWP28'!L$508</f>
        <v>0</v>
      </c>
      <c r="J7650" s="212">
        <f>'IWP28'!M$508</f>
        <v>0</v>
      </c>
      <c r="K7650" s="106"/>
      <c r="L7650" s="106"/>
      <c r="M7650" s="129"/>
    </row>
    <row r="7651" spans="1:13" s="146" customFormat="1">
      <c r="A7651" s="193" t="s">
        <v>526</v>
      </c>
      <c r="B7651" s="210">
        <v>11</v>
      </c>
      <c r="C7651" s="191" t="str">
        <f>IF('IWP28'!E$515=0,"",'IWP28'!E$515)</f>
        <v>Subtotal column D.</v>
      </c>
      <c r="D7651" s="211">
        <f>'IWP28'!G$515</f>
        <v>0</v>
      </c>
      <c r="E7651" s="211">
        <f>'IWP28'!H$515</f>
        <v>0</v>
      </c>
      <c r="F7651" s="211">
        <f>'IWP28'!I$515</f>
        <v>0</v>
      </c>
      <c r="G7651" s="191" t="str">
        <f>IF('IWP28'!J$515=0,"",'IWP28'!J$515)</f>
        <v/>
      </c>
      <c r="H7651" s="211">
        <f>'IWP28'!K$515</f>
        <v>0</v>
      </c>
      <c r="I7651" s="211">
        <f>'IWP28'!L$515</f>
        <v>0</v>
      </c>
      <c r="J7651" s="212">
        <f>'IWP28'!M$515</f>
        <v>0</v>
      </c>
      <c r="K7651" s="106"/>
      <c r="L7651" s="106"/>
      <c r="M7651" s="129"/>
    </row>
    <row r="7652" spans="1:13" s="146" customFormat="1">
      <c r="A7652" s="193" t="s">
        <v>526</v>
      </c>
      <c r="B7652" s="210">
        <v>11</v>
      </c>
      <c r="C7652" s="191" t="str">
        <f>IF('IWP28'!E$516=0,"",'IWP28'!E$516)</f>
        <v>Unverified/Undocumented (Subtotal D - C)</v>
      </c>
      <c r="D7652" s="211">
        <f>'IWP28'!G$516</f>
        <v>0</v>
      </c>
      <c r="E7652" s="211">
        <f>'IWP28'!H$516</f>
        <v>0</v>
      </c>
      <c r="F7652" s="211">
        <f>'IWP28'!I$516</f>
        <v>0</v>
      </c>
      <c r="G7652" s="191" t="str">
        <f>IF('IWP28'!J$516=0,"",'IWP28'!J$516)</f>
        <v/>
      </c>
      <c r="H7652" s="211">
        <f>'IWP28'!K$516</f>
        <v>0</v>
      </c>
      <c r="I7652" s="211">
        <f>'IWP28'!L$516</f>
        <v>0</v>
      </c>
      <c r="J7652" s="212">
        <f>'IWP28'!M$516</f>
        <v>0</v>
      </c>
      <c r="K7652" s="106"/>
      <c r="L7652" s="106"/>
      <c r="M7652" s="129"/>
    </row>
    <row r="7653" spans="1:13" s="146" customFormat="1">
      <c r="A7653" s="193" t="s">
        <v>526</v>
      </c>
      <c r="B7653" s="210">
        <v>11</v>
      </c>
      <c r="C7653" s="191" t="str">
        <f>IF('IWP28'!E$517=0,"",'IWP28'!E$517)</f>
        <v>J. Billing Period Total</v>
      </c>
      <c r="D7653" s="211">
        <f>'IWP28'!G$517</f>
        <v>0</v>
      </c>
      <c r="E7653" s="211">
        <f>'IWP28'!H$517</f>
        <v>0</v>
      </c>
      <c r="F7653" s="211">
        <f>'IWP28'!I$517</f>
        <v>0</v>
      </c>
      <c r="G7653" s="191" t="str">
        <f>IF('IWP28'!J$517=0,"",'IWP28'!J$517)</f>
        <v/>
      </c>
      <c r="H7653" s="211">
        <f>'IWP28'!K$517</f>
        <v>0</v>
      </c>
      <c r="I7653" s="211">
        <f>'IWP28'!L$517</f>
        <v>0</v>
      </c>
      <c r="J7653" s="212">
        <f>'IWP28'!M$517</f>
        <v>0</v>
      </c>
      <c r="K7653" s="106"/>
      <c r="L7653" s="106"/>
      <c r="M7653" s="129"/>
    </row>
    <row r="7654" spans="1:13" s="146" customFormat="1">
      <c r="A7654" s="193" t="s">
        <v>526</v>
      </c>
      <c r="B7654" s="210">
        <v>11</v>
      </c>
      <c r="C7654" s="191" t="str">
        <f>IF('IWP28'!E$518=0,"",'IWP28'!E$518)</f>
        <v>D.</v>
      </c>
      <c r="D7654" s="211">
        <f>'IWP28'!G$518</f>
        <v>0</v>
      </c>
      <c r="E7654" s="211" t="str">
        <f>'IWP28'!H$518</f>
        <v>E.</v>
      </c>
      <c r="F7654" s="211" t="str">
        <f>'IWP28'!I$518</f>
        <v>F.</v>
      </c>
      <c r="G7654" s="191" t="str">
        <f>IF('IWP28'!J$518=0,"",'IWP28'!J$518)</f>
        <v>G.</v>
      </c>
      <c r="H7654" s="211">
        <f>'IWP28'!K$518</f>
        <v>0</v>
      </c>
      <c r="I7654" s="211" t="str">
        <f>'IWP28'!L$518</f>
        <v>H.</v>
      </c>
      <c r="J7654" s="212" t="str">
        <f>'IWP28'!M$518</f>
        <v>I.</v>
      </c>
      <c r="K7654" s="106"/>
      <c r="L7654" s="106"/>
      <c r="M7654" s="129"/>
    </row>
    <row r="7655" spans="1:13" s="146" customFormat="1">
      <c r="A7655" s="193" t="s">
        <v>526</v>
      </c>
      <c r="B7655" s="210">
        <v>11</v>
      </c>
      <c r="C7655" s="191" t="str">
        <f>IF('IWP28'!E$519=0,"",'IWP28'!E$519)</f>
        <v xml:space="preserve">Items/Services Related to Billing Period </v>
      </c>
      <c r="D7655" s="211">
        <f>'IWP28'!G$519</f>
        <v>0</v>
      </c>
      <c r="E7655" s="211" t="str">
        <f>'IWP28'!H$519</f>
        <v xml:space="preserve">Item/
Service Verified Amounts
</v>
      </c>
      <c r="F7655" s="211" t="str">
        <f>'IWP28'!I$519</f>
        <v>Amount Due to DADS (E. - D.)</v>
      </c>
      <c r="G7655" s="191" t="str">
        <f>IF('IWP28'!J$519=0,"",'IWP28'!J$519)</f>
        <v>Amount Reimbursed to 
Employee(s)/Employer</v>
      </c>
      <c r="H7655" s="211">
        <f>'IWP28'!K$519</f>
        <v>0</v>
      </c>
      <c r="I7655" s="211" t="str">
        <f>'IWP28'!L$519</f>
        <v>Amount Due to Employee(s) (G. - E.)</v>
      </c>
      <c r="J7655" s="212" t="str">
        <f>'IWP28'!M$519</f>
        <v>Amount Due to Employer (G. - E.)</v>
      </c>
      <c r="K7655" s="106"/>
      <c r="L7655" s="106"/>
      <c r="M7655" s="129"/>
    </row>
    <row r="7656" spans="1:13" s="146" customFormat="1">
      <c r="A7656" s="193" t="s">
        <v>526</v>
      </c>
      <c r="B7656" s="210">
        <v>11</v>
      </c>
      <c r="C7656" s="191" t="str">
        <f>IF('IWP28'!E$520=0,"",'IWP28'!E$520)</f>
        <v>Item/Service</v>
      </c>
      <c r="D7656" s="211" t="str">
        <f>'IWP28'!G$520</f>
        <v>Itemized Amount Paid by DADS</v>
      </c>
      <c r="E7656" s="211">
        <f>'IWP28'!H$520</f>
        <v>0</v>
      </c>
      <c r="F7656" s="211">
        <f>'IWP28'!I$520</f>
        <v>0</v>
      </c>
      <c r="G7656" s="191" t="str">
        <f>IF('IWP28'!J$520=0,"",'IWP28'!J$520)</f>
        <v/>
      </c>
      <c r="H7656" s="211">
        <f>'IWP28'!K$520</f>
        <v>0</v>
      </c>
      <c r="I7656" s="211">
        <f>'IWP28'!L$520</f>
        <v>0</v>
      </c>
      <c r="J7656" s="212">
        <f>'IWP28'!M$520</f>
        <v>0</v>
      </c>
      <c r="K7656" s="106"/>
      <c r="L7656" s="106"/>
      <c r="M7656" s="129"/>
    </row>
    <row r="7657" spans="1:13" s="146" customFormat="1">
      <c r="A7657" s="193" t="s">
        <v>526</v>
      </c>
      <c r="B7657" s="210">
        <v>11</v>
      </c>
      <c r="C7657" s="191" t="str">
        <f>IF('IWP28'!E$521=0,"",'IWP28'!E$521)</f>
        <v/>
      </c>
      <c r="D7657" s="211">
        <f>'IWP28'!G$521</f>
        <v>0</v>
      </c>
      <c r="E7657" s="211">
        <f>'IWP28'!H$521</f>
        <v>0</v>
      </c>
      <c r="F7657" s="211">
        <f>'IWP28'!I$521</f>
        <v>0</v>
      </c>
      <c r="G7657" s="191" t="str">
        <f>IF('IWP28'!J$521=0,"",'IWP28'!J$521)</f>
        <v/>
      </c>
      <c r="H7657" s="211">
        <f>'IWP28'!K$521</f>
        <v>0</v>
      </c>
      <c r="I7657" s="211">
        <f>'IWP28'!L$521</f>
        <v>0</v>
      </c>
      <c r="J7657" s="212">
        <f>'IWP28'!M$521</f>
        <v>0</v>
      </c>
      <c r="K7657" s="106"/>
      <c r="L7657" s="106"/>
      <c r="M7657" s="129"/>
    </row>
    <row r="7658" spans="1:13" s="146" customFormat="1">
      <c r="A7658" s="193" t="s">
        <v>526</v>
      </c>
      <c r="B7658" s="210">
        <v>11</v>
      </c>
      <c r="C7658" s="191" t="str">
        <f>IF('IWP28'!E$522=0,"",'IWP28'!E$522)</f>
        <v/>
      </c>
      <c r="D7658" s="211">
        <f>'IWP28'!G$522</f>
        <v>0</v>
      </c>
      <c r="E7658" s="211">
        <f>'IWP28'!H$522</f>
        <v>0</v>
      </c>
      <c r="F7658" s="211">
        <f>'IWP28'!I$522</f>
        <v>0</v>
      </c>
      <c r="G7658" s="191" t="str">
        <f>IF('IWP28'!J$522=0,"",'IWP28'!J$522)</f>
        <v/>
      </c>
      <c r="H7658" s="211">
        <f>'IWP28'!K$522</f>
        <v>0</v>
      </c>
      <c r="I7658" s="211">
        <f>'IWP28'!L$522</f>
        <v>0</v>
      </c>
      <c r="J7658" s="212">
        <f>'IWP28'!M$522</f>
        <v>0</v>
      </c>
      <c r="K7658" s="106"/>
      <c r="L7658" s="106"/>
      <c r="M7658" s="129"/>
    </row>
    <row r="7659" spans="1:13" s="146" customFormat="1">
      <c r="A7659" s="193" t="s">
        <v>526</v>
      </c>
      <c r="B7659" s="210">
        <v>11</v>
      </c>
      <c r="C7659" s="191" t="str">
        <f>IF('IWP28'!E$523=0,"",'IWP28'!E$523)</f>
        <v/>
      </c>
      <c r="D7659" s="211">
        <f>'IWP28'!G$523</f>
        <v>0</v>
      </c>
      <c r="E7659" s="211">
        <f>'IWP28'!H$523</f>
        <v>0</v>
      </c>
      <c r="F7659" s="211">
        <f>'IWP28'!I$523</f>
        <v>0</v>
      </c>
      <c r="G7659" s="191" t="str">
        <f>IF('IWP28'!J$523=0,"",'IWP28'!J$523)</f>
        <v/>
      </c>
      <c r="H7659" s="211">
        <f>'IWP28'!K$523</f>
        <v>0</v>
      </c>
      <c r="I7659" s="211">
        <f>'IWP28'!L$523</f>
        <v>0</v>
      </c>
      <c r="J7659" s="212">
        <f>'IWP28'!M$523</f>
        <v>0</v>
      </c>
      <c r="K7659" s="106"/>
      <c r="L7659" s="106"/>
      <c r="M7659" s="129"/>
    </row>
    <row r="7660" spans="1:13" s="146" customFormat="1">
      <c r="A7660" s="193" t="s">
        <v>526</v>
      </c>
      <c r="B7660" s="210">
        <v>11</v>
      </c>
      <c r="C7660" s="191" t="str">
        <f>IF('IWP28'!E$524=0,"",'IWP28'!E$524)</f>
        <v/>
      </c>
      <c r="D7660" s="211">
        <f>'IWP28'!G$524</f>
        <v>0</v>
      </c>
      <c r="E7660" s="211">
        <f>'IWP28'!H$524</f>
        <v>0</v>
      </c>
      <c r="F7660" s="211">
        <f>'IWP28'!I$524</f>
        <v>0</v>
      </c>
      <c r="G7660" s="191" t="str">
        <f>IF('IWP28'!J$524=0,"",'IWP28'!J$524)</f>
        <v/>
      </c>
      <c r="H7660" s="211">
        <f>'IWP28'!K$524</f>
        <v>0</v>
      </c>
      <c r="I7660" s="211">
        <f>'IWP28'!L$524</f>
        <v>0</v>
      </c>
      <c r="J7660" s="212">
        <f>'IWP28'!M$524</f>
        <v>0</v>
      </c>
      <c r="K7660" s="106"/>
      <c r="L7660" s="106"/>
      <c r="M7660" s="129"/>
    </row>
    <row r="7661" spans="1:13" s="146" customFormat="1">
      <c r="A7661" s="193" t="s">
        <v>526</v>
      </c>
      <c r="B7661" s="210">
        <v>12</v>
      </c>
      <c r="C7661" s="191" t="str">
        <f>IF('IWP28'!E$531=0,"",'IWP28'!E$531)</f>
        <v>Subtotal column D.</v>
      </c>
      <c r="D7661" s="211">
        <f>'IWP28'!G$531</f>
        <v>0</v>
      </c>
      <c r="E7661" s="211">
        <f>'IWP28'!H$531</f>
        <v>0</v>
      </c>
      <c r="F7661" s="211">
        <f>'IWP28'!I$531</f>
        <v>0</v>
      </c>
      <c r="G7661" s="191" t="str">
        <f>IF('IWP28'!J$531=0,"",'IWP28'!J$531)</f>
        <v/>
      </c>
      <c r="H7661" s="211">
        <f>'IWP28'!K$531</f>
        <v>0</v>
      </c>
      <c r="I7661" s="211">
        <f>'IWP28'!L$531</f>
        <v>0</v>
      </c>
      <c r="J7661" s="212">
        <f>'IWP28'!M$531</f>
        <v>0</v>
      </c>
      <c r="K7661" s="106"/>
      <c r="L7661" s="106"/>
      <c r="M7661" s="129"/>
    </row>
    <row r="7662" spans="1:13" s="146" customFormat="1">
      <c r="A7662" s="193" t="s">
        <v>526</v>
      </c>
      <c r="B7662" s="210">
        <v>12</v>
      </c>
      <c r="C7662" s="191" t="str">
        <f>IF('IWP28'!E$532=0,"",'IWP28'!E$532)</f>
        <v>Unverified/Undocumented (Subtotal D - C)</v>
      </c>
      <c r="D7662" s="211">
        <f>'IWP28'!G$532</f>
        <v>0</v>
      </c>
      <c r="E7662" s="211">
        <f>'IWP28'!H$532</f>
        <v>0</v>
      </c>
      <c r="F7662" s="211">
        <f>'IWP28'!I$532</f>
        <v>0</v>
      </c>
      <c r="G7662" s="191" t="str">
        <f>IF('IWP28'!J$532=0,"",'IWP28'!J$532)</f>
        <v/>
      </c>
      <c r="H7662" s="211">
        <f>'IWP28'!K$532</f>
        <v>0</v>
      </c>
      <c r="I7662" s="211">
        <f>'IWP28'!L$532</f>
        <v>0</v>
      </c>
      <c r="J7662" s="212">
        <f>'IWP28'!M$532</f>
        <v>0</v>
      </c>
      <c r="K7662" s="106"/>
      <c r="L7662" s="106"/>
      <c r="M7662" s="129"/>
    </row>
    <row r="7663" spans="1:13" s="146" customFormat="1">
      <c r="A7663" s="193" t="s">
        <v>526</v>
      </c>
      <c r="B7663" s="210">
        <v>12</v>
      </c>
      <c r="C7663" s="191" t="str">
        <f>IF('IWP28'!E$533=0,"",'IWP28'!E$533)</f>
        <v>J. Billing Period Total</v>
      </c>
      <c r="D7663" s="211">
        <f>'IWP28'!G$533</f>
        <v>0</v>
      </c>
      <c r="E7663" s="211">
        <f>'IWP28'!H$533</f>
        <v>0</v>
      </c>
      <c r="F7663" s="211">
        <f>'IWP28'!I$533</f>
        <v>0</v>
      </c>
      <c r="G7663" s="191" t="str">
        <f>IF('IWP28'!J$533=0,"",'IWP28'!J$533)</f>
        <v/>
      </c>
      <c r="H7663" s="211">
        <f>'IWP28'!K$533</f>
        <v>0</v>
      </c>
      <c r="I7663" s="211">
        <f>'IWP28'!L$533</f>
        <v>0</v>
      </c>
      <c r="J7663" s="212">
        <f>'IWP28'!M$533</f>
        <v>0</v>
      </c>
      <c r="K7663" s="106"/>
      <c r="L7663" s="106"/>
      <c r="M7663" s="129"/>
    </row>
    <row r="7664" spans="1:13" s="146" customFormat="1">
      <c r="A7664" s="193" t="s">
        <v>526</v>
      </c>
      <c r="B7664" s="210">
        <v>12</v>
      </c>
      <c r="C7664" s="191" t="str">
        <f>IF('IWP28'!E$534=0,"",'IWP28'!E$534)</f>
        <v>D.</v>
      </c>
      <c r="D7664" s="211">
        <f>'IWP28'!G$534</f>
        <v>0</v>
      </c>
      <c r="E7664" s="211" t="str">
        <f>'IWP28'!H$534</f>
        <v>E.</v>
      </c>
      <c r="F7664" s="211" t="str">
        <f>'IWP28'!I$534</f>
        <v>F.</v>
      </c>
      <c r="G7664" s="191" t="str">
        <f>IF('IWP28'!J$534=0,"",'IWP28'!J$534)</f>
        <v>G.</v>
      </c>
      <c r="H7664" s="211">
        <f>'IWP28'!K$534</f>
        <v>0</v>
      </c>
      <c r="I7664" s="211" t="str">
        <f>'IWP28'!L$534</f>
        <v>H.</v>
      </c>
      <c r="J7664" s="212" t="str">
        <f>'IWP28'!M$534</f>
        <v>I.</v>
      </c>
      <c r="K7664" s="106"/>
      <c r="L7664" s="106"/>
      <c r="M7664" s="129"/>
    </row>
    <row r="7665" spans="1:13" s="146" customFormat="1">
      <c r="A7665" s="193" t="s">
        <v>526</v>
      </c>
      <c r="B7665" s="210">
        <v>12</v>
      </c>
      <c r="C7665" s="191" t="str">
        <f>IF('IWP28'!E$535=0,"",'IWP28'!E$535)</f>
        <v xml:space="preserve">Items/Services Related to Billing Period </v>
      </c>
      <c r="D7665" s="211">
        <f>'IWP28'!G$535</f>
        <v>0</v>
      </c>
      <c r="E7665" s="211" t="str">
        <f>'IWP28'!H$535</f>
        <v xml:space="preserve">Item/
Service Verified Amounts
</v>
      </c>
      <c r="F7665" s="211" t="str">
        <f>'IWP28'!I$535</f>
        <v>Amount Due to DADS (E. - D.)</v>
      </c>
      <c r="G7665" s="191" t="str">
        <f>IF('IWP28'!J$535=0,"",'IWP28'!J$535)</f>
        <v>Amount Reimbursed to 
Employee(s)/Employer</v>
      </c>
      <c r="H7665" s="211">
        <f>'IWP28'!K$535</f>
        <v>0</v>
      </c>
      <c r="I7665" s="211" t="str">
        <f>'IWP28'!L$535</f>
        <v>Amount Due to Employee(s) (G. - E.)</v>
      </c>
      <c r="J7665" s="212" t="str">
        <f>'IWP28'!M$535</f>
        <v>Amount Due to Employer (G. - E.)</v>
      </c>
      <c r="K7665" s="106"/>
      <c r="L7665" s="106"/>
      <c r="M7665" s="129"/>
    </row>
    <row r="7666" spans="1:13" s="146" customFormat="1">
      <c r="A7666" s="193" t="s">
        <v>526</v>
      </c>
      <c r="B7666" s="210">
        <v>12</v>
      </c>
      <c r="C7666" s="191" t="str">
        <f>IF('IWP28'!E$536=0,"",'IWP28'!E$536)</f>
        <v>Item/Service</v>
      </c>
      <c r="D7666" s="211" t="str">
        <f>'IWP28'!G$536</f>
        <v>Itemized Amount Paid by DADS</v>
      </c>
      <c r="E7666" s="211">
        <f>'IWP28'!H$536</f>
        <v>0</v>
      </c>
      <c r="F7666" s="211">
        <f>'IWP28'!I$536</f>
        <v>0</v>
      </c>
      <c r="G7666" s="191" t="str">
        <f>IF('IWP28'!J$536=0,"",'IWP28'!J$536)</f>
        <v/>
      </c>
      <c r="H7666" s="211">
        <f>'IWP28'!K$536</f>
        <v>0</v>
      </c>
      <c r="I7666" s="211">
        <f>'IWP28'!L$536</f>
        <v>0</v>
      </c>
      <c r="J7666" s="212">
        <f>'IWP28'!M$536</f>
        <v>0</v>
      </c>
      <c r="K7666" s="106"/>
      <c r="L7666" s="106"/>
      <c r="M7666" s="129"/>
    </row>
    <row r="7667" spans="1:13" s="146" customFormat="1">
      <c r="A7667" s="193" t="s">
        <v>526</v>
      </c>
      <c r="B7667" s="210">
        <v>12</v>
      </c>
      <c r="C7667" s="191" t="str">
        <f>IF('IWP28'!E$537=0,"",'IWP28'!E$537)</f>
        <v/>
      </c>
      <c r="D7667" s="211">
        <f>'IWP28'!G$537</f>
        <v>0</v>
      </c>
      <c r="E7667" s="211">
        <f>'IWP28'!H$537</f>
        <v>0</v>
      </c>
      <c r="F7667" s="211">
        <f>'IWP28'!I$537</f>
        <v>0</v>
      </c>
      <c r="G7667" s="191" t="str">
        <f>IF('IWP28'!J$537=0,"",'IWP28'!J$537)</f>
        <v/>
      </c>
      <c r="H7667" s="211">
        <f>'IWP28'!K$537</f>
        <v>0</v>
      </c>
      <c r="I7667" s="211">
        <f>'IWP28'!L$537</f>
        <v>0</v>
      </c>
      <c r="J7667" s="212">
        <f>'IWP28'!M$537</f>
        <v>0</v>
      </c>
      <c r="K7667" s="106"/>
      <c r="L7667" s="106"/>
      <c r="M7667" s="129"/>
    </row>
    <row r="7668" spans="1:13" s="146" customFormat="1">
      <c r="A7668" s="193" t="s">
        <v>526</v>
      </c>
      <c r="B7668" s="210">
        <v>12</v>
      </c>
      <c r="C7668" s="191" t="str">
        <f>IF('IWP28'!E$538=0,"",'IWP28'!E$538)</f>
        <v/>
      </c>
      <c r="D7668" s="211">
        <f>'IWP28'!G$538</f>
        <v>0</v>
      </c>
      <c r="E7668" s="211">
        <f>'IWP28'!H$538</f>
        <v>0</v>
      </c>
      <c r="F7668" s="211">
        <f>'IWP28'!I$538</f>
        <v>0</v>
      </c>
      <c r="G7668" s="191" t="str">
        <f>IF('IWP28'!J$538=0,"",'IWP28'!J$538)</f>
        <v/>
      </c>
      <c r="H7668" s="211">
        <f>'IWP28'!K$538</f>
        <v>0</v>
      </c>
      <c r="I7668" s="211">
        <f>'IWP28'!L$538</f>
        <v>0</v>
      </c>
      <c r="J7668" s="212">
        <f>'IWP28'!M$538</f>
        <v>0</v>
      </c>
      <c r="K7668" s="106"/>
      <c r="L7668" s="106"/>
      <c r="M7668" s="129"/>
    </row>
    <row r="7669" spans="1:13" s="146" customFormat="1">
      <c r="A7669" s="193" t="s">
        <v>526</v>
      </c>
      <c r="B7669" s="210">
        <v>12</v>
      </c>
      <c r="C7669" s="191" t="str">
        <f>IF('IWP28'!E$539=0,"",'IWP28'!E$539)</f>
        <v/>
      </c>
      <c r="D7669" s="211">
        <f>'IWP28'!G$539</f>
        <v>0</v>
      </c>
      <c r="E7669" s="211">
        <f>'IWP28'!H$539</f>
        <v>0</v>
      </c>
      <c r="F7669" s="211">
        <f>'IWP28'!I$539</f>
        <v>0</v>
      </c>
      <c r="G7669" s="191" t="str">
        <f>IF('IWP28'!J$539=0,"",'IWP28'!J$539)</f>
        <v/>
      </c>
      <c r="H7669" s="211">
        <f>'IWP28'!K$539</f>
        <v>0</v>
      </c>
      <c r="I7669" s="211">
        <f>'IWP28'!L$539</f>
        <v>0</v>
      </c>
      <c r="J7669" s="212">
        <f>'IWP28'!M$539</f>
        <v>0</v>
      </c>
      <c r="K7669" s="106"/>
      <c r="L7669" s="106"/>
      <c r="M7669" s="129"/>
    </row>
    <row r="7670" spans="1:13" s="146" customFormat="1">
      <c r="A7670" s="193" t="s">
        <v>526</v>
      </c>
      <c r="B7670" s="210">
        <v>12</v>
      </c>
      <c r="C7670" s="191" t="str">
        <f>IF('IWP28'!E$540=0,"",'IWP28'!E$540)</f>
        <v/>
      </c>
      <c r="D7670" s="211">
        <f>'IWP28'!G$540</f>
        <v>0</v>
      </c>
      <c r="E7670" s="211">
        <f>'IWP28'!H$540</f>
        <v>0</v>
      </c>
      <c r="F7670" s="211">
        <f>'IWP28'!I$540</f>
        <v>0</v>
      </c>
      <c r="G7670" s="191" t="str">
        <f>IF('IWP28'!J$540=0,"",'IWP28'!J$540)</f>
        <v/>
      </c>
      <c r="H7670" s="211">
        <f>'IWP28'!K$540</f>
        <v>0</v>
      </c>
      <c r="I7670" s="211">
        <f>'IWP28'!L$540</f>
        <v>0</v>
      </c>
      <c r="J7670" s="212">
        <f>'IWP28'!M$540</f>
        <v>0</v>
      </c>
      <c r="K7670" s="106"/>
      <c r="L7670" s="106"/>
      <c r="M7670" s="129"/>
    </row>
    <row r="7671" spans="1:13" s="146" customFormat="1">
      <c r="A7671" s="193" t="s">
        <v>526</v>
      </c>
      <c r="B7671" s="210">
        <v>13</v>
      </c>
      <c r="C7671" s="191" t="str">
        <f>IF('IWP28'!E$547=0,"",'IWP28'!E$547)</f>
        <v>Subtotal column D.</v>
      </c>
      <c r="D7671" s="211">
        <f>'IWP28'!G$547</f>
        <v>0</v>
      </c>
      <c r="E7671" s="211">
        <f>'IWP28'!H$547</f>
        <v>0</v>
      </c>
      <c r="F7671" s="211">
        <f>'IWP28'!I$547</f>
        <v>0</v>
      </c>
      <c r="G7671" s="191" t="str">
        <f>IF('IWP28'!J$547=0,"",'IWP28'!J$547)</f>
        <v/>
      </c>
      <c r="H7671" s="211">
        <f>'IWP28'!K$547</f>
        <v>0</v>
      </c>
      <c r="I7671" s="211">
        <f>'IWP28'!L$547</f>
        <v>0</v>
      </c>
      <c r="J7671" s="212">
        <f>'IWP28'!M$547</f>
        <v>0</v>
      </c>
      <c r="K7671" s="106"/>
      <c r="L7671" s="106"/>
      <c r="M7671" s="129"/>
    </row>
    <row r="7672" spans="1:13" s="146" customFormat="1">
      <c r="A7672" s="193" t="s">
        <v>526</v>
      </c>
      <c r="B7672" s="210">
        <v>13</v>
      </c>
      <c r="C7672" s="191" t="str">
        <f>IF('IWP28'!E$548=0,"",'IWP28'!E$548)</f>
        <v>Unverified/Undocumented (Subtotal D - C)</v>
      </c>
      <c r="D7672" s="211">
        <f>'IWP28'!G$548</f>
        <v>0</v>
      </c>
      <c r="E7672" s="211">
        <f>'IWP28'!H$548</f>
        <v>0</v>
      </c>
      <c r="F7672" s="211">
        <f>'IWP28'!I$548</f>
        <v>0</v>
      </c>
      <c r="G7672" s="191" t="str">
        <f>IF('IWP28'!J$548=0,"",'IWP28'!J$548)</f>
        <v/>
      </c>
      <c r="H7672" s="211">
        <f>'IWP28'!K$548</f>
        <v>0</v>
      </c>
      <c r="I7672" s="211">
        <f>'IWP28'!L$548</f>
        <v>0</v>
      </c>
      <c r="J7672" s="212">
        <f>'IWP28'!M$548</f>
        <v>0</v>
      </c>
      <c r="K7672" s="106"/>
      <c r="L7672" s="106"/>
      <c r="M7672" s="129"/>
    </row>
    <row r="7673" spans="1:13" s="146" customFormat="1">
      <c r="A7673" s="193" t="s">
        <v>526</v>
      </c>
      <c r="B7673" s="210">
        <v>13</v>
      </c>
      <c r="C7673" s="191" t="str">
        <f>IF('IWP28'!E$549=0,"",'IWP28'!E$549)</f>
        <v>J. Billing Period Total</v>
      </c>
      <c r="D7673" s="211">
        <f>'IWP28'!G$549</f>
        <v>0</v>
      </c>
      <c r="E7673" s="211">
        <f>'IWP28'!H$549</f>
        <v>0</v>
      </c>
      <c r="F7673" s="211">
        <f>'IWP28'!I$549</f>
        <v>0</v>
      </c>
      <c r="G7673" s="191" t="str">
        <f>IF('IWP28'!J$549=0,"",'IWP28'!J$549)</f>
        <v/>
      </c>
      <c r="H7673" s="211">
        <f>'IWP28'!K$549</f>
        <v>0</v>
      </c>
      <c r="I7673" s="211">
        <f>'IWP28'!L$549</f>
        <v>0</v>
      </c>
      <c r="J7673" s="212">
        <f>'IWP28'!M$549</f>
        <v>0</v>
      </c>
      <c r="K7673" s="106"/>
      <c r="L7673" s="106"/>
      <c r="M7673" s="129"/>
    </row>
    <row r="7674" spans="1:13" s="146" customFormat="1">
      <c r="A7674" s="193" t="s">
        <v>526</v>
      </c>
      <c r="B7674" s="210">
        <v>13</v>
      </c>
      <c r="C7674" s="191" t="str">
        <f>IF('IWP28'!E$550=0,"",'IWP28'!E$550)</f>
        <v>D.</v>
      </c>
      <c r="D7674" s="211">
        <f>'IWP28'!G$550</f>
        <v>0</v>
      </c>
      <c r="E7674" s="211" t="str">
        <f>'IWP28'!H$550</f>
        <v>E.</v>
      </c>
      <c r="F7674" s="211" t="str">
        <f>'IWP28'!I$550</f>
        <v>F.</v>
      </c>
      <c r="G7674" s="191" t="str">
        <f>IF('IWP28'!J$550=0,"",'IWP28'!J$550)</f>
        <v>G.</v>
      </c>
      <c r="H7674" s="211">
        <f>'IWP28'!K$550</f>
        <v>0</v>
      </c>
      <c r="I7674" s="211" t="str">
        <f>'IWP28'!L$550</f>
        <v>H.</v>
      </c>
      <c r="J7674" s="212" t="str">
        <f>'IWP28'!M$550</f>
        <v>I.</v>
      </c>
      <c r="K7674" s="106"/>
      <c r="L7674" s="106"/>
      <c r="M7674" s="129"/>
    </row>
    <row r="7675" spans="1:13" s="146" customFormat="1">
      <c r="A7675" s="193" t="s">
        <v>526</v>
      </c>
      <c r="B7675" s="210">
        <v>13</v>
      </c>
      <c r="C7675" s="191" t="str">
        <f>IF('IWP28'!E$551=0,"",'IWP28'!E$551)</f>
        <v xml:space="preserve">Items/Services Related to Billing Period </v>
      </c>
      <c r="D7675" s="211">
        <f>'IWP28'!G$551</f>
        <v>0</v>
      </c>
      <c r="E7675" s="211" t="str">
        <f>'IWP28'!H$551</f>
        <v xml:space="preserve">Item/
Service Verified Amounts
</v>
      </c>
      <c r="F7675" s="211" t="str">
        <f>'IWP28'!I$551</f>
        <v>Amount Due to DADS (E. - D.)</v>
      </c>
      <c r="G7675" s="191" t="str">
        <f>IF('IWP28'!J$551=0,"",'IWP28'!J$551)</f>
        <v>Amount Reimbursed to 
Employee(s)/Employer</v>
      </c>
      <c r="H7675" s="211">
        <f>'IWP28'!K$551</f>
        <v>0</v>
      </c>
      <c r="I7675" s="211" t="str">
        <f>'IWP28'!L$551</f>
        <v>Amount Due to Employee(s) (G. - E.)</v>
      </c>
      <c r="J7675" s="212" t="str">
        <f>'IWP28'!M$551</f>
        <v>Amount Due to Employer (G. - E.)</v>
      </c>
      <c r="K7675" s="106"/>
      <c r="L7675" s="106"/>
      <c r="M7675" s="129"/>
    </row>
    <row r="7676" spans="1:13" s="146" customFormat="1">
      <c r="A7676" s="193" t="s">
        <v>526</v>
      </c>
      <c r="B7676" s="210">
        <v>13</v>
      </c>
      <c r="C7676" s="191" t="str">
        <f>IF('IWP28'!E$552=0,"",'IWP28'!E$552)</f>
        <v>Item/Service</v>
      </c>
      <c r="D7676" s="211" t="str">
        <f>'IWP28'!G$552</f>
        <v>Itemized Amount Paid by DADS</v>
      </c>
      <c r="E7676" s="211">
        <f>'IWP28'!H$552</f>
        <v>0</v>
      </c>
      <c r="F7676" s="211">
        <f>'IWP28'!I$552</f>
        <v>0</v>
      </c>
      <c r="G7676" s="191" t="str">
        <f>IF('IWP28'!J$552=0,"",'IWP28'!J$552)</f>
        <v/>
      </c>
      <c r="H7676" s="211">
        <f>'IWP28'!K$552</f>
        <v>0</v>
      </c>
      <c r="I7676" s="211">
        <f>'IWP28'!L$552</f>
        <v>0</v>
      </c>
      <c r="J7676" s="212">
        <f>'IWP28'!M$552</f>
        <v>0</v>
      </c>
      <c r="K7676" s="106"/>
      <c r="L7676" s="106"/>
      <c r="M7676" s="129"/>
    </row>
    <row r="7677" spans="1:13" s="146" customFormat="1">
      <c r="A7677" s="193" t="s">
        <v>526</v>
      </c>
      <c r="B7677" s="210">
        <v>13</v>
      </c>
      <c r="C7677" s="191" t="str">
        <f>IF('IWP28'!E$553=0,"",'IWP28'!E$553)</f>
        <v/>
      </c>
      <c r="D7677" s="211">
        <f>'IWP28'!G$553</f>
        <v>0</v>
      </c>
      <c r="E7677" s="211">
        <f>'IWP28'!H$553</f>
        <v>0</v>
      </c>
      <c r="F7677" s="211">
        <f>'IWP28'!I$553</f>
        <v>0</v>
      </c>
      <c r="G7677" s="191" t="str">
        <f>IF('IWP28'!J$553=0,"",'IWP28'!J$553)</f>
        <v/>
      </c>
      <c r="H7677" s="211">
        <f>'IWP28'!K$553</f>
        <v>0</v>
      </c>
      <c r="I7677" s="211">
        <f>'IWP28'!L$553</f>
        <v>0</v>
      </c>
      <c r="J7677" s="212">
        <f>'IWP28'!M$553</f>
        <v>0</v>
      </c>
      <c r="K7677" s="106"/>
      <c r="L7677" s="106"/>
      <c r="M7677" s="129"/>
    </row>
    <row r="7678" spans="1:13" s="146" customFormat="1">
      <c r="A7678" s="193" t="s">
        <v>526</v>
      </c>
      <c r="B7678" s="210">
        <v>13</v>
      </c>
      <c r="C7678" s="191" t="str">
        <f>IF('IWP28'!E$554=0,"",'IWP28'!E$554)</f>
        <v/>
      </c>
      <c r="D7678" s="211">
        <f>'IWP28'!G$554</f>
        <v>0</v>
      </c>
      <c r="E7678" s="211">
        <f>'IWP28'!H$554</f>
        <v>0</v>
      </c>
      <c r="F7678" s="211">
        <f>'IWP28'!I$554</f>
        <v>0</v>
      </c>
      <c r="G7678" s="191" t="str">
        <f>IF('IWP28'!J$554=0,"",'IWP28'!J$554)</f>
        <v/>
      </c>
      <c r="H7678" s="211">
        <f>'IWP28'!K$554</f>
        <v>0</v>
      </c>
      <c r="I7678" s="211">
        <f>'IWP28'!L$554</f>
        <v>0</v>
      </c>
      <c r="J7678" s="212">
        <f>'IWP28'!M$554</f>
        <v>0</v>
      </c>
      <c r="K7678" s="106"/>
      <c r="L7678" s="106"/>
      <c r="M7678" s="129"/>
    </row>
    <row r="7679" spans="1:13" s="146" customFormat="1">
      <c r="A7679" s="193" t="s">
        <v>526</v>
      </c>
      <c r="B7679" s="210">
        <v>13</v>
      </c>
      <c r="C7679" s="191" t="str">
        <f>IF('IWP28'!E$555=0,"",'IWP28'!E$555)</f>
        <v/>
      </c>
      <c r="D7679" s="211">
        <f>'IWP28'!G$555</f>
        <v>0</v>
      </c>
      <c r="E7679" s="211">
        <f>'IWP28'!H$555</f>
        <v>0</v>
      </c>
      <c r="F7679" s="211">
        <f>'IWP28'!I$555</f>
        <v>0</v>
      </c>
      <c r="G7679" s="191" t="str">
        <f>IF('IWP28'!J$555=0,"",'IWP28'!J$555)</f>
        <v/>
      </c>
      <c r="H7679" s="211">
        <f>'IWP28'!K$555</f>
        <v>0</v>
      </c>
      <c r="I7679" s="211">
        <f>'IWP28'!L$555</f>
        <v>0</v>
      </c>
      <c r="J7679" s="212">
        <f>'IWP28'!M$555</f>
        <v>0</v>
      </c>
      <c r="K7679" s="106"/>
      <c r="L7679" s="106"/>
      <c r="M7679" s="129"/>
    </row>
    <row r="7680" spans="1:13" s="146" customFormat="1">
      <c r="A7680" s="193" t="s">
        <v>526</v>
      </c>
      <c r="B7680" s="210">
        <v>13</v>
      </c>
      <c r="C7680" s="191" t="str">
        <f>IF('IWP28'!E$556=0,"",'IWP28'!E$556)</f>
        <v/>
      </c>
      <c r="D7680" s="211">
        <f>'IWP28'!G$556</f>
        <v>0</v>
      </c>
      <c r="E7680" s="211">
        <f>'IWP28'!H$556</f>
        <v>0</v>
      </c>
      <c r="F7680" s="211">
        <f>'IWP28'!I$556</f>
        <v>0</v>
      </c>
      <c r="G7680" s="191" t="str">
        <f>IF('IWP28'!J$556=0,"",'IWP28'!J$556)</f>
        <v/>
      </c>
      <c r="H7680" s="211">
        <f>'IWP28'!K$556</f>
        <v>0</v>
      </c>
      <c r="I7680" s="211">
        <f>'IWP28'!L$556</f>
        <v>0</v>
      </c>
      <c r="J7680" s="212">
        <f>'IWP28'!M$556</f>
        <v>0</v>
      </c>
      <c r="K7680" s="106"/>
      <c r="L7680" s="106"/>
      <c r="M7680" s="129"/>
    </row>
    <row r="7681" spans="1:13" s="146" customFormat="1">
      <c r="A7681" s="193" t="s">
        <v>526</v>
      </c>
      <c r="B7681" s="210">
        <v>14</v>
      </c>
      <c r="C7681" s="191" t="str">
        <f>IF('IWP28'!E$563=0,"",'IWP28'!E$563)</f>
        <v>Subtotal column D.</v>
      </c>
      <c r="D7681" s="211">
        <f>'IWP28'!G$563</f>
        <v>0</v>
      </c>
      <c r="E7681" s="211">
        <f>'IWP28'!H$563</f>
        <v>0</v>
      </c>
      <c r="F7681" s="211">
        <f>'IWP28'!I$563</f>
        <v>0</v>
      </c>
      <c r="G7681" s="191" t="str">
        <f>IF('IWP28'!J$563=0,"",'IWP28'!J$563)</f>
        <v/>
      </c>
      <c r="H7681" s="211">
        <f>'IWP28'!K$563</f>
        <v>0</v>
      </c>
      <c r="I7681" s="211">
        <f>'IWP28'!L$563</f>
        <v>0</v>
      </c>
      <c r="J7681" s="212">
        <f>'IWP28'!M$563</f>
        <v>0</v>
      </c>
      <c r="K7681" s="106"/>
      <c r="L7681" s="106"/>
      <c r="M7681" s="129"/>
    </row>
    <row r="7682" spans="1:13" s="146" customFormat="1">
      <c r="A7682" s="193" t="s">
        <v>526</v>
      </c>
      <c r="B7682" s="210">
        <v>14</v>
      </c>
      <c r="C7682" s="191" t="str">
        <f>IF('IWP28'!E$564=0,"",'IWP28'!E$564)</f>
        <v>Unverified/Undocumented (Subtotal D - C)</v>
      </c>
      <c r="D7682" s="211">
        <f>'IWP28'!G$564</f>
        <v>0</v>
      </c>
      <c r="E7682" s="211">
        <f>'IWP28'!H$564</f>
        <v>0</v>
      </c>
      <c r="F7682" s="211">
        <f>'IWP28'!I$564</f>
        <v>0</v>
      </c>
      <c r="G7682" s="191" t="str">
        <f>IF('IWP28'!J$564=0,"",'IWP28'!J$564)</f>
        <v/>
      </c>
      <c r="H7682" s="211">
        <f>'IWP28'!K$564</f>
        <v>0</v>
      </c>
      <c r="I7682" s="211">
        <f>'IWP28'!L$564</f>
        <v>0</v>
      </c>
      <c r="J7682" s="212">
        <f>'IWP28'!M$564</f>
        <v>0</v>
      </c>
      <c r="K7682" s="106"/>
      <c r="L7682" s="106"/>
      <c r="M7682" s="129"/>
    </row>
    <row r="7683" spans="1:13" s="146" customFormat="1">
      <c r="A7683" s="193" t="s">
        <v>526</v>
      </c>
      <c r="B7683" s="210">
        <v>14</v>
      </c>
      <c r="C7683" s="191" t="str">
        <f>IF('IWP28'!E$565=0,"",'IWP28'!E$565)</f>
        <v>J. Billing Period Total</v>
      </c>
      <c r="D7683" s="211">
        <f>'IWP28'!G$565</f>
        <v>0</v>
      </c>
      <c r="E7683" s="211">
        <f>'IWP28'!H$565</f>
        <v>0</v>
      </c>
      <c r="F7683" s="211">
        <f>'IWP28'!I$565</f>
        <v>0</v>
      </c>
      <c r="G7683" s="191" t="str">
        <f>IF('IWP28'!J$565=0,"",'IWP28'!J$565)</f>
        <v/>
      </c>
      <c r="H7683" s="211">
        <f>'IWP28'!K$565</f>
        <v>0</v>
      </c>
      <c r="I7683" s="211">
        <f>'IWP28'!L$565</f>
        <v>0</v>
      </c>
      <c r="J7683" s="212">
        <f>'IWP28'!M$565</f>
        <v>0</v>
      </c>
      <c r="K7683" s="106"/>
      <c r="L7683" s="106"/>
      <c r="M7683" s="129"/>
    </row>
    <row r="7684" spans="1:13" s="146" customFormat="1">
      <c r="A7684" s="193" t="s">
        <v>526</v>
      </c>
      <c r="B7684" s="210">
        <v>14</v>
      </c>
      <c r="C7684" s="191" t="str">
        <f>IF('IWP28'!E$566=0,"",'IWP28'!E$566)</f>
        <v>D.</v>
      </c>
      <c r="D7684" s="211">
        <f>'IWP28'!G$566</f>
        <v>0</v>
      </c>
      <c r="E7684" s="211" t="str">
        <f>'IWP28'!H$566</f>
        <v>E.</v>
      </c>
      <c r="F7684" s="211" t="str">
        <f>'IWP28'!I$566</f>
        <v>F.</v>
      </c>
      <c r="G7684" s="191" t="str">
        <f>IF('IWP28'!J$566=0,"",'IWP28'!J$566)</f>
        <v>G.</v>
      </c>
      <c r="H7684" s="211">
        <f>'IWP28'!K$566</f>
        <v>0</v>
      </c>
      <c r="I7684" s="211" t="str">
        <f>'IWP28'!L$566</f>
        <v>H.</v>
      </c>
      <c r="J7684" s="212" t="str">
        <f>'IWP28'!M$566</f>
        <v>I.</v>
      </c>
      <c r="K7684" s="106"/>
      <c r="L7684" s="106"/>
      <c r="M7684" s="129"/>
    </row>
    <row r="7685" spans="1:13" s="146" customFormat="1">
      <c r="A7685" s="193" t="s">
        <v>526</v>
      </c>
      <c r="B7685" s="210">
        <v>14</v>
      </c>
      <c r="C7685" s="191" t="str">
        <f>IF('IWP28'!E$567=0,"",'IWP28'!E$567)</f>
        <v xml:space="preserve">Items/Services Related to Billing Period </v>
      </c>
      <c r="D7685" s="211">
        <f>'IWP28'!G$567</f>
        <v>0</v>
      </c>
      <c r="E7685" s="211" t="str">
        <f>'IWP28'!H$567</f>
        <v xml:space="preserve">Item/
Service Verified Amounts
</v>
      </c>
      <c r="F7685" s="211" t="str">
        <f>'IWP28'!I$567</f>
        <v>Amount Due to DADS (E. - D.)</v>
      </c>
      <c r="G7685" s="191" t="str">
        <f>IF('IWP28'!J$567=0,"",'IWP28'!J$567)</f>
        <v>Amount Reimbursed to 
Employee(s)/Employer</v>
      </c>
      <c r="H7685" s="211">
        <f>'IWP28'!K$567</f>
        <v>0</v>
      </c>
      <c r="I7685" s="211" t="str">
        <f>'IWP28'!L$567</f>
        <v>Amount Due to Employee(s) (G. - E.)</v>
      </c>
      <c r="J7685" s="212" t="str">
        <f>'IWP28'!M$567</f>
        <v>Amount Due to Employer (G. - E.)</v>
      </c>
      <c r="K7685" s="106"/>
      <c r="L7685" s="106"/>
      <c r="M7685" s="129"/>
    </row>
    <row r="7686" spans="1:13" s="146" customFormat="1">
      <c r="A7686" s="193" t="s">
        <v>526</v>
      </c>
      <c r="B7686" s="210">
        <v>14</v>
      </c>
      <c r="C7686" s="191" t="str">
        <f>IF('IWP28'!E$568=0,"",'IWP28'!E$568)</f>
        <v>Item/Service</v>
      </c>
      <c r="D7686" s="211" t="str">
        <f>'IWP28'!G$568</f>
        <v>Itemized Amount Paid by DADS</v>
      </c>
      <c r="E7686" s="211">
        <f>'IWP28'!H$568</f>
        <v>0</v>
      </c>
      <c r="F7686" s="211">
        <f>'IWP28'!I$568</f>
        <v>0</v>
      </c>
      <c r="G7686" s="191" t="str">
        <f>IF('IWP28'!J$568=0,"",'IWP28'!J$568)</f>
        <v/>
      </c>
      <c r="H7686" s="211">
        <f>'IWP28'!K$568</f>
        <v>0</v>
      </c>
      <c r="I7686" s="211">
        <f>'IWP28'!L$568</f>
        <v>0</v>
      </c>
      <c r="J7686" s="212">
        <f>'IWP28'!M$568</f>
        <v>0</v>
      </c>
      <c r="K7686" s="106"/>
      <c r="L7686" s="106"/>
      <c r="M7686" s="129"/>
    </row>
    <row r="7687" spans="1:13" s="146" customFormat="1">
      <c r="A7687" s="193" t="s">
        <v>526</v>
      </c>
      <c r="B7687" s="210">
        <v>14</v>
      </c>
      <c r="C7687" s="191" t="str">
        <f>IF('IWP28'!E$569=0,"",'IWP28'!E$569)</f>
        <v/>
      </c>
      <c r="D7687" s="211">
        <f>'IWP28'!G$569</f>
        <v>0</v>
      </c>
      <c r="E7687" s="211">
        <f>'IWP28'!H$569</f>
        <v>0</v>
      </c>
      <c r="F7687" s="211">
        <f>'IWP28'!I$569</f>
        <v>0</v>
      </c>
      <c r="G7687" s="191" t="str">
        <f>IF('IWP28'!J$569=0,"",'IWP28'!J$569)</f>
        <v/>
      </c>
      <c r="H7687" s="211">
        <f>'IWP28'!K$569</f>
        <v>0</v>
      </c>
      <c r="I7687" s="211">
        <f>'IWP28'!L$569</f>
        <v>0</v>
      </c>
      <c r="J7687" s="212">
        <f>'IWP28'!M$569</f>
        <v>0</v>
      </c>
      <c r="K7687" s="106"/>
      <c r="L7687" s="106"/>
      <c r="M7687" s="129"/>
    </row>
    <row r="7688" spans="1:13" s="146" customFormat="1">
      <c r="A7688" s="193" t="s">
        <v>526</v>
      </c>
      <c r="B7688" s="210">
        <v>14</v>
      </c>
      <c r="C7688" s="191" t="str">
        <f>IF('IWP28'!E$570=0,"",'IWP28'!E$570)</f>
        <v/>
      </c>
      <c r="D7688" s="211">
        <f>'IWP28'!G$570</f>
        <v>0</v>
      </c>
      <c r="E7688" s="211">
        <f>'IWP28'!H$570</f>
        <v>0</v>
      </c>
      <c r="F7688" s="211">
        <f>'IWP28'!I$570</f>
        <v>0</v>
      </c>
      <c r="G7688" s="191" t="str">
        <f>IF('IWP28'!J$570=0,"",'IWP28'!J$570)</f>
        <v/>
      </c>
      <c r="H7688" s="211">
        <f>'IWP28'!K$570</f>
        <v>0</v>
      </c>
      <c r="I7688" s="211">
        <f>'IWP28'!L$570</f>
        <v>0</v>
      </c>
      <c r="J7688" s="212">
        <f>'IWP28'!M$570</f>
        <v>0</v>
      </c>
      <c r="K7688" s="106"/>
      <c r="L7688" s="106"/>
      <c r="M7688" s="129"/>
    </row>
    <row r="7689" spans="1:13" s="146" customFormat="1">
      <c r="A7689" s="193" t="s">
        <v>526</v>
      </c>
      <c r="B7689" s="210">
        <v>14</v>
      </c>
      <c r="C7689" s="191" t="str">
        <f>IF('IWP28'!E$571=0,"",'IWP28'!E$571)</f>
        <v/>
      </c>
      <c r="D7689" s="211">
        <f>'IWP28'!G$571</f>
        <v>0</v>
      </c>
      <c r="E7689" s="211">
        <f>'IWP28'!H$571</f>
        <v>0</v>
      </c>
      <c r="F7689" s="211">
        <f>'IWP28'!I$571</f>
        <v>0</v>
      </c>
      <c r="G7689" s="191" t="str">
        <f>IF('IWP28'!J$571=0,"",'IWP28'!J$571)</f>
        <v/>
      </c>
      <c r="H7689" s="211">
        <f>'IWP28'!K$571</f>
        <v>0</v>
      </c>
      <c r="I7689" s="211">
        <f>'IWP28'!L$571</f>
        <v>0</v>
      </c>
      <c r="J7689" s="212">
        <f>'IWP28'!M$571</f>
        <v>0</v>
      </c>
      <c r="K7689" s="106"/>
      <c r="L7689" s="106"/>
      <c r="M7689" s="129"/>
    </row>
    <row r="7690" spans="1:13" s="146" customFormat="1">
      <c r="A7690" s="193" t="s">
        <v>526</v>
      </c>
      <c r="B7690" s="210">
        <v>14</v>
      </c>
      <c r="C7690" s="191" t="str">
        <f>IF('IWP28'!E$572=0,"",'IWP28'!E$572)</f>
        <v/>
      </c>
      <c r="D7690" s="211">
        <f>'IWP28'!G$572</f>
        <v>0</v>
      </c>
      <c r="E7690" s="211">
        <f>'IWP28'!H$572</f>
        <v>0</v>
      </c>
      <c r="F7690" s="211">
        <f>'IWP28'!I$572</f>
        <v>0</v>
      </c>
      <c r="G7690" s="191" t="str">
        <f>IF('IWP28'!J$572=0,"",'IWP28'!J$572)</f>
        <v/>
      </c>
      <c r="H7690" s="211">
        <f>'IWP28'!K$572</f>
        <v>0</v>
      </c>
      <c r="I7690" s="211">
        <f>'IWP28'!L$572</f>
        <v>0</v>
      </c>
      <c r="J7690" s="212">
        <f>'IWP28'!M$572</f>
        <v>0</v>
      </c>
      <c r="K7690" s="106"/>
      <c r="L7690" s="106"/>
      <c r="M7690" s="129"/>
    </row>
    <row r="7691" spans="1:13" s="146" customFormat="1">
      <c r="A7691" s="193" t="s">
        <v>526</v>
      </c>
      <c r="B7691" s="210">
        <v>15</v>
      </c>
      <c r="C7691" s="191" t="str">
        <f>IF('IWP28'!E$579=0,"",'IWP28'!E$579)</f>
        <v>Subtotal column D.</v>
      </c>
      <c r="D7691" s="211">
        <f>'IWP28'!G$579</f>
        <v>0</v>
      </c>
      <c r="E7691" s="211">
        <f>'IWP28'!H$579</f>
        <v>0</v>
      </c>
      <c r="F7691" s="211">
        <f>'IWP28'!I$579</f>
        <v>0</v>
      </c>
      <c r="G7691" s="191" t="str">
        <f>IF('IWP28'!J$579=0,"",'IWP28'!J$579)</f>
        <v/>
      </c>
      <c r="H7691" s="211">
        <f>'IWP28'!K$579</f>
        <v>0</v>
      </c>
      <c r="I7691" s="211">
        <f>'IWP28'!L$579</f>
        <v>0</v>
      </c>
      <c r="J7691" s="212">
        <f>'IWP28'!M$579</f>
        <v>0</v>
      </c>
      <c r="K7691" s="106"/>
      <c r="L7691" s="106"/>
      <c r="M7691" s="129"/>
    </row>
    <row r="7692" spans="1:13" s="146" customFormat="1">
      <c r="A7692" s="193" t="s">
        <v>526</v>
      </c>
      <c r="B7692" s="210">
        <v>15</v>
      </c>
      <c r="C7692" s="191" t="str">
        <f>IF('IWP28'!E$580=0,"",'IWP28'!E$580)</f>
        <v>Unverified/Undocumented (Subtotal D - C)</v>
      </c>
      <c r="D7692" s="211">
        <f>'IWP28'!G$580</f>
        <v>0</v>
      </c>
      <c r="E7692" s="211">
        <f>'IWP28'!H$580</f>
        <v>0</v>
      </c>
      <c r="F7692" s="211">
        <f>'IWP28'!I$580</f>
        <v>0</v>
      </c>
      <c r="G7692" s="191" t="str">
        <f>IF('IWP28'!J$580=0,"",'IWP28'!J$580)</f>
        <v/>
      </c>
      <c r="H7692" s="211">
        <f>'IWP28'!K$580</f>
        <v>0</v>
      </c>
      <c r="I7692" s="211">
        <f>'IWP28'!L$580</f>
        <v>0</v>
      </c>
      <c r="J7692" s="212">
        <f>'IWP28'!M$580</f>
        <v>0</v>
      </c>
      <c r="K7692" s="106"/>
      <c r="L7692" s="106"/>
      <c r="M7692" s="129"/>
    </row>
    <row r="7693" spans="1:13" s="146" customFormat="1">
      <c r="A7693" s="193" t="s">
        <v>526</v>
      </c>
      <c r="B7693" s="210">
        <v>15</v>
      </c>
      <c r="C7693" s="191" t="str">
        <f>IF('IWP28'!E$581=0,"",'IWP28'!E$581)</f>
        <v>J. Billing Period Total</v>
      </c>
      <c r="D7693" s="211">
        <f>'IWP28'!G$581</f>
        <v>0</v>
      </c>
      <c r="E7693" s="211">
        <f>'IWP28'!H$581</f>
        <v>0</v>
      </c>
      <c r="F7693" s="211">
        <f>'IWP28'!I$581</f>
        <v>0</v>
      </c>
      <c r="G7693" s="191" t="str">
        <f>IF('IWP28'!J$581=0,"",'IWP28'!J$581)</f>
        <v/>
      </c>
      <c r="H7693" s="211">
        <f>'IWP28'!K$581</f>
        <v>0</v>
      </c>
      <c r="I7693" s="211">
        <f>'IWP28'!L$581</f>
        <v>0</v>
      </c>
      <c r="J7693" s="212">
        <f>'IWP28'!M$581</f>
        <v>0</v>
      </c>
      <c r="K7693" s="106"/>
      <c r="L7693" s="106"/>
      <c r="M7693" s="129"/>
    </row>
    <row r="7694" spans="1:13" s="146" customFormat="1">
      <c r="A7694" s="193" t="s">
        <v>526</v>
      </c>
      <c r="B7694" s="210">
        <v>15</v>
      </c>
      <c r="C7694" s="191" t="str">
        <f>IF('IWP28'!E$582=0,"",'IWP28'!E$582)</f>
        <v>D.</v>
      </c>
      <c r="D7694" s="211">
        <f>'IWP28'!G$582</f>
        <v>0</v>
      </c>
      <c r="E7694" s="211" t="str">
        <f>'IWP28'!H$582</f>
        <v>E.</v>
      </c>
      <c r="F7694" s="211" t="str">
        <f>'IWP28'!I$582</f>
        <v>F.</v>
      </c>
      <c r="G7694" s="191" t="str">
        <f>IF('IWP28'!J$582=0,"",'IWP28'!J$582)</f>
        <v>G.</v>
      </c>
      <c r="H7694" s="211">
        <f>'IWP28'!K$582</f>
        <v>0</v>
      </c>
      <c r="I7694" s="211" t="str">
        <f>'IWP28'!L$582</f>
        <v>H.</v>
      </c>
      <c r="J7694" s="212" t="str">
        <f>'IWP28'!M$582</f>
        <v>I.</v>
      </c>
      <c r="K7694" s="106"/>
      <c r="L7694" s="106"/>
      <c r="M7694" s="129"/>
    </row>
    <row r="7695" spans="1:13" s="146" customFormat="1">
      <c r="A7695" s="193" t="s">
        <v>526</v>
      </c>
      <c r="B7695" s="210">
        <v>15</v>
      </c>
      <c r="C7695" s="191" t="str">
        <f>IF('IWP28'!E$583=0,"",'IWP28'!E$583)</f>
        <v xml:space="preserve">Items/Services Related to Billing Period </v>
      </c>
      <c r="D7695" s="211">
        <f>'IWP28'!G$583</f>
        <v>0</v>
      </c>
      <c r="E7695" s="211" t="str">
        <f>'IWP28'!H$583</f>
        <v xml:space="preserve">Item/
Service Verified Amounts
</v>
      </c>
      <c r="F7695" s="211" t="str">
        <f>'IWP28'!I$583</f>
        <v>Amount Due to DADS (E. - D.)</v>
      </c>
      <c r="G7695" s="191" t="str">
        <f>IF('IWP28'!J$583=0,"",'IWP28'!J$583)</f>
        <v>Amount Reimbursed to 
Employee(s)/Employer</v>
      </c>
      <c r="H7695" s="211">
        <f>'IWP28'!K$583</f>
        <v>0</v>
      </c>
      <c r="I7695" s="211" t="str">
        <f>'IWP28'!L$583</f>
        <v>Amount Due to Employee(s) (G. - E.)</v>
      </c>
      <c r="J7695" s="212" t="str">
        <f>'IWP28'!M$583</f>
        <v>Amount Due to Employer (G. - E.)</v>
      </c>
      <c r="K7695" s="106"/>
      <c r="L7695" s="106"/>
      <c r="M7695" s="129"/>
    </row>
    <row r="7696" spans="1:13" s="146" customFormat="1">
      <c r="A7696" s="193" t="s">
        <v>526</v>
      </c>
      <c r="B7696" s="210">
        <v>15</v>
      </c>
      <c r="C7696" s="191" t="str">
        <f>IF('IWP28'!E$584=0,"",'IWP28'!E$584)</f>
        <v>Item/Service</v>
      </c>
      <c r="D7696" s="211" t="str">
        <f>'IWP28'!G$584</f>
        <v>Itemized Amount Paid by DADS</v>
      </c>
      <c r="E7696" s="211">
        <f>'IWP28'!H$584</f>
        <v>0</v>
      </c>
      <c r="F7696" s="211">
        <f>'IWP28'!I$584</f>
        <v>0</v>
      </c>
      <c r="G7696" s="191" t="str">
        <f>IF('IWP28'!J$584=0,"",'IWP28'!J$584)</f>
        <v/>
      </c>
      <c r="H7696" s="211">
        <f>'IWP28'!K$584</f>
        <v>0</v>
      </c>
      <c r="I7696" s="211">
        <f>'IWP28'!L$584</f>
        <v>0</v>
      </c>
      <c r="J7696" s="212">
        <f>'IWP28'!M$584</f>
        <v>0</v>
      </c>
      <c r="K7696" s="106"/>
      <c r="L7696" s="106"/>
      <c r="M7696" s="129"/>
    </row>
    <row r="7697" spans="1:13" s="146" customFormat="1">
      <c r="A7697" s="193" t="s">
        <v>526</v>
      </c>
      <c r="B7697" s="210">
        <v>15</v>
      </c>
      <c r="C7697" s="191" t="str">
        <f>IF('IWP28'!E$585=0,"",'IWP28'!E$585)</f>
        <v/>
      </c>
      <c r="D7697" s="211">
        <f>'IWP28'!G$585</f>
        <v>0</v>
      </c>
      <c r="E7697" s="211">
        <f>'IWP28'!H$585</f>
        <v>0</v>
      </c>
      <c r="F7697" s="211">
        <f>'IWP28'!I$585</f>
        <v>0</v>
      </c>
      <c r="G7697" s="191" t="str">
        <f>IF('IWP28'!J$585=0,"",'IWP28'!J$585)</f>
        <v/>
      </c>
      <c r="H7697" s="211">
        <f>'IWP28'!K$585</f>
        <v>0</v>
      </c>
      <c r="I7697" s="211">
        <f>'IWP28'!L$585</f>
        <v>0</v>
      </c>
      <c r="J7697" s="212">
        <f>'IWP28'!M$585</f>
        <v>0</v>
      </c>
      <c r="K7697" s="106"/>
      <c r="L7697" s="106"/>
      <c r="M7697" s="129"/>
    </row>
    <row r="7698" spans="1:13" s="146" customFormat="1">
      <c r="A7698" s="193" t="s">
        <v>526</v>
      </c>
      <c r="B7698" s="210">
        <v>15</v>
      </c>
      <c r="C7698" s="191" t="str">
        <f>IF('IWP28'!E$586=0,"",'IWP28'!E$586)</f>
        <v/>
      </c>
      <c r="D7698" s="211">
        <f>'IWP28'!G$586</f>
        <v>0</v>
      </c>
      <c r="E7698" s="211">
        <f>'IWP28'!H$586</f>
        <v>0</v>
      </c>
      <c r="F7698" s="211">
        <f>'IWP28'!I$586</f>
        <v>0</v>
      </c>
      <c r="G7698" s="191" t="str">
        <f>IF('IWP28'!J$586=0,"",'IWP28'!J$586)</f>
        <v/>
      </c>
      <c r="H7698" s="211">
        <f>'IWP28'!K$586</f>
        <v>0</v>
      </c>
      <c r="I7698" s="211">
        <f>'IWP28'!L$586</f>
        <v>0</v>
      </c>
      <c r="J7698" s="212">
        <f>'IWP28'!M$586</f>
        <v>0</v>
      </c>
      <c r="K7698" s="106"/>
      <c r="L7698" s="106"/>
      <c r="M7698" s="129"/>
    </row>
    <row r="7699" spans="1:13" s="146" customFormat="1">
      <c r="A7699" s="193" t="s">
        <v>526</v>
      </c>
      <c r="B7699" s="210">
        <v>15</v>
      </c>
      <c r="C7699" s="191" t="str">
        <f>IF('IWP28'!E$587=0,"",'IWP28'!E$587)</f>
        <v/>
      </c>
      <c r="D7699" s="211">
        <f>'IWP28'!G$587</f>
        <v>0</v>
      </c>
      <c r="E7699" s="211">
        <f>'IWP28'!H$587</f>
        <v>0</v>
      </c>
      <c r="F7699" s="211">
        <f>'IWP28'!I$587</f>
        <v>0</v>
      </c>
      <c r="G7699" s="191" t="str">
        <f>IF('IWP28'!J$587=0,"",'IWP28'!J$587)</f>
        <v/>
      </c>
      <c r="H7699" s="211">
        <f>'IWP28'!K$587</f>
        <v>0</v>
      </c>
      <c r="I7699" s="211">
        <f>'IWP28'!L$587</f>
        <v>0</v>
      </c>
      <c r="J7699" s="212">
        <f>'IWP28'!M$587</f>
        <v>0</v>
      </c>
      <c r="K7699" s="106"/>
      <c r="L7699" s="106"/>
      <c r="M7699" s="129"/>
    </row>
    <row r="7700" spans="1:13" s="146" customFormat="1">
      <c r="A7700" s="193" t="s">
        <v>526</v>
      </c>
      <c r="B7700" s="210">
        <v>15</v>
      </c>
      <c r="C7700" s="191" t="str">
        <f>IF('IWP28'!E$588=0,"",'IWP28'!E$588)</f>
        <v/>
      </c>
      <c r="D7700" s="211">
        <f>'IWP28'!G$588</f>
        <v>0</v>
      </c>
      <c r="E7700" s="211">
        <f>'IWP28'!H$588</f>
        <v>0</v>
      </c>
      <c r="F7700" s="211">
        <f>'IWP28'!I$588</f>
        <v>0</v>
      </c>
      <c r="G7700" s="191" t="str">
        <f>IF('IWP28'!J$588=0,"",'IWP28'!J$588)</f>
        <v/>
      </c>
      <c r="H7700" s="211">
        <f>'IWP28'!K$588</f>
        <v>0</v>
      </c>
      <c r="I7700" s="211">
        <f>'IWP28'!L$588</f>
        <v>0</v>
      </c>
      <c r="J7700" s="212">
        <f>'IWP28'!M$588</f>
        <v>0</v>
      </c>
      <c r="K7700" s="106"/>
      <c r="L7700" s="106"/>
      <c r="M7700" s="129"/>
    </row>
    <row r="7701" spans="1:13" s="146" customFormat="1">
      <c r="A7701" s="193" t="s">
        <v>526</v>
      </c>
      <c r="B7701" s="210">
        <v>16</v>
      </c>
      <c r="C7701" s="191" t="str">
        <f>IF('IWP28'!E$595=0,"",'IWP28'!E$595)</f>
        <v>Subtotal column D.</v>
      </c>
      <c r="D7701" s="211">
        <f>'IWP28'!G$595</f>
        <v>0</v>
      </c>
      <c r="E7701" s="211">
        <f>'IWP28'!H$595</f>
        <v>0</v>
      </c>
      <c r="F7701" s="211">
        <f>'IWP28'!I$595</f>
        <v>0</v>
      </c>
      <c r="G7701" s="191" t="str">
        <f>IF('IWP28'!J$595=0,"",'IWP28'!J$595)</f>
        <v/>
      </c>
      <c r="H7701" s="211">
        <f>'IWP28'!K$595</f>
        <v>0</v>
      </c>
      <c r="I7701" s="211">
        <f>'IWP28'!L$595</f>
        <v>0</v>
      </c>
      <c r="J7701" s="212">
        <f>'IWP28'!M$595</f>
        <v>0</v>
      </c>
      <c r="K7701" s="106"/>
      <c r="L7701" s="106"/>
      <c r="M7701" s="129"/>
    </row>
    <row r="7702" spans="1:13" s="146" customFormat="1">
      <c r="A7702" s="193" t="s">
        <v>526</v>
      </c>
      <c r="B7702" s="210">
        <v>16</v>
      </c>
      <c r="C7702" s="191" t="str">
        <f>IF('IWP28'!E$596=0,"",'IWP28'!E$596)</f>
        <v>Unverified/Undocumented (Subtotal D - C)</v>
      </c>
      <c r="D7702" s="211">
        <f>'IWP28'!G$596</f>
        <v>0</v>
      </c>
      <c r="E7702" s="211">
        <f>'IWP28'!H$596</f>
        <v>0</v>
      </c>
      <c r="F7702" s="211">
        <f>'IWP28'!I$596</f>
        <v>0</v>
      </c>
      <c r="G7702" s="191" t="str">
        <f>IF('IWP28'!J$596=0,"",'IWP28'!J$596)</f>
        <v/>
      </c>
      <c r="H7702" s="211">
        <f>'IWP28'!K$596</f>
        <v>0</v>
      </c>
      <c r="I7702" s="211">
        <f>'IWP28'!L$596</f>
        <v>0</v>
      </c>
      <c r="J7702" s="212">
        <f>'IWP28'!M$596</f>
        <v>0</v>
      </c>
      <c r="K7702" s="106"/>
      <c r="L7702" s="106"/>
      <c r="M7702" s="129"/>
    </row>
    <row r="7703" spans="1:13" s="146" customFormat="1">
      <c r="A7703" s="193" t="s">
        <v>526</v>
      </c>
      <c r="B7703" s="210">
        <v>16</v>
      </c>
      <c r="C7703" s="191" t="str">
        <f>IF('IWP28'!E$597=0,"",'IWP28'!E$597)</f>
        <v>J. Billing Period Total</v>
      </c>
      <c r="D7703" s="211">
        <f>'IWP28'!G$597</f>
        <v>0</v>
      </c>
      <c r="E7703" s="211">
        <f>'IWP28'!H$597</f>
        <v>0</v>
      </c>
      <c r="F7703" s="211">
        <f>'IWP28'!I$597</f>
        <v>0</v>
      </c>
      <c r="G7703" s="191" t="str">
        <f>IF('IWP28'!J$597=0,"",'IWP28'!J$597)</f>
        <v/>
      </c>
      <c r="H7703" s="211">
        <f>'IWP28'!K$597</f>
        <v>0</v>
      </c>
      <c r="I7703" s="211">
        <f>'IWP28'!L$597</f>
        <v>0</v>
      </c>
      <c r="J7703" s="212">
        <f>'IWP28'!M$597</f>
        <v>0</v>
      </c>
      <c r="K7703" s="106"/>
      <c r="L7703" s="106"/>
      <c r="M7703" s="129"/>
    </row>
    <row r="7704" spans="1:13" s="146" customFormat="1">
      <c r="A7704" s="193" t="s">
        <v>526</v>
      </c>
      <c r="B7704" s="210">
        <v>16</v>
      </c>
      <c r="C7704" s="191" t="str">
        <f>IF('IWP28'!E$598=0,"",'IWP28'!E$598)</f>
        <v>D.</v>
      </c>
      <c r="D7704" s="211">
        <f>'IWP28'!G$598</f>
        <v>0</v>
      </c>
      <c r="E7704" s="211" t="str">
        <f>'IWP28'!H$598</f>
        <v>E.</v>
      </c>
      <c r="F7704" s="211" t="str">
        <f>'IWP28'!I$598</f>
        <v>F.</v>
      </c>
      <c r="G7704" s="191" t="str">
        <f>IF('IWP28'!J$598=0,"",'IWP28'!J$598)</f>
        <v>G.</v>
      </c>
      <c r="H7704" s="211">
        <f>'IWP28'!K$598</f>
        <v>0</v>
      </c>
      <c r="I7704" s="211" t="str">
        <f>'IWP28'!L$598</f>
        <v>H.</v>
      </c>
      <c r="J7704" s="212" t="str">
        <f>'IWP28'!M$598</f>
        <v>I.</v>
      </c>
      <c r="K7704" s="106"/>
      <c r="L7704" s="106"/>
      <c r="M7704" s="129"/>
    </row>
    <row r="7705" spans="1:13" s="146" customFormat="1">
      <c r="A7705" s="193" t="s">
        <v>526</v>
      </c>
      <c r="B7705" s="210">
        <v>16</v>
      </c>
      <c r="C7705" s="191" t="str">
        <f>IF('IWP28'!E$599=0,"",'IWP28'!E$599)</f>
        <v xml:space="preserve">Items/Services Related to Billing Period </v>
      </c>
      <c r="D7705" s="211">
        <f>'IWP28'!G$599</f>
        <v>0</v>
      </c>
      <c r="E7705" s="211" t="str">
        <f>'IWP28'!H$599</f>
        <v xml:space="preserve">Item/
Service Verified Amounts
</v>
      </c>
      <c r="F7705" s="211" t="str">
        <f>'IWP28'!I$599</f>
        <v>Amount Due to DADS (E. - D.)</v>
      </c>
      <c r="G7705" s="191" t="str">
        <f>IF('IWP28'!J$599=0,"",'IWP28'!J$599)</f>
        <v>Amount Reimbursed to 
Employee(s)/Employer</v>
      </c>
      <c r="H7705" s="211">
        <f>'IWP28'!K$599</f>
        <v>0</v>
      </c>
      <c r="I7705" s="211" t="str">
        <f>'IWP28'!L$599</f>
        <v>Amount Due to Employee(s) (G. - E.)</v>
      </c>
      <c r="J7705" s="212" t="str">
        <f>'IWP28'!M$599</f>
        <v>Amount Due to Employer (G. - E.)</v>
      </c>
      <c r="K7705" s="106"/>
      <c r="L7705" s="106"/>
      <c r="M7705" s="129"/>
    </row>
    <row r="7706" spans="1:13" s="146" customFormat="1">
      <c r="A7706" s="193" t="s">
        <v>526</v>
      </c>
      <c r="B7706" s="210">
        <v>16</v>
      </c>
      <c r="C7706" s="191" t="str">
        <f>IF('IWP28'!E$600=0,"",'IWP28'!E$600)</f>
        <v>Item/Service</v>
      </c>
      <c r="D7706" s="211" t="str">
        <f>'IWP28'!G$600</f>
        <v>Itemized Amount Paid by DADS</v>
      </c>
      <c r="E7706" s="211">
        <f>'IWP28'!H$600</f>
        <v>0</v>
      </c>
      <c r="F7706" s="211">
        <f>'IWP28'!I$600</f>
        <v>0</v>
      </c>
      <c r="G7706" s="191" t="str">
        <f>IF('IWP28'!J$600=0,"",'IWP28'!J$600)</f>
        <v/>
      </c>
      <c r="H7706" s="211">
        <f>'IWP28'!K$600</f>
        <v>0</v>
      </c>
      <c r="I7706" s="211">
        <f>'IWP28'!L$600</f>
        <v>0</v>
      </c>
      <c r="J7706" s="212">
        <f>'IWP28'!M$600</f>
        <v>0</v>
      </c>
      <c r="K7706" s="106"/>
      <c r="L7706" s="106"/>
      <c r="M7706" s="129"/>
    </row>
    <row r="7707" spans="1:13" s="146" customFormat="1">
      <c r="A7707" s="193" t="s">
        <v>526</v>
      </c>
      <c r="B7707" s="210">
        <v>16</v>
      </c>
      <c r="C7707" s="191" t="str">
        <f>IF('IWP28'!E$601=0,"",'IWP28'!E$601)</f>
        <v/>
      </c>
      <c r="D7707" s="211">
        <f>'IWP28'!G$601</f>
        <v>0</v>
      </c>
      <c r="E7707" s="211">
        <f>'IWP28'!H$601</f>
        <v>0</v>
      </c>
      <c r="F7707" s="211">
        <f>'IWP28'!I$601</f>
        <v>0</v>
      </c>
      <c r="G7707" s="191" t="str">
        <f>IF('IWP28'!J$601=0,"",'IWP28'!J$601)</f>
        <v/>
      </c>
      <c r="H7707" s="211">
        <f>'IWP28'!K$601</f>
        <v>0</v>
      </c>
      <c r="I7707" s="211">
        <f>'IWP28'!L$601</f>
        <v>0</v>
      </c>
      <c r="J7707" s="212">
        <f>'IWP28'!M$601</f>
        <v>0</v>
      </c>
      <c r="K7707" s="106"/>
      <c r="L7707" s="106"/>
      <c r="M7707" s="129"/>
    </row>
    <row r="7708" spans="1:13" s="146" customFormat="1">
      <c r="A7708" s="193" t="s">
        <v>526</v>
      </c>
      <c r="B7708" s="210">
        <v>16</v>
      </c>
      <c r="C7708" s="191" t="str">
        <f>IF('IWP28'!E$602=0,"",'IWP28'!E$602)</f>
        <v/>
      </c>
      <c r="D7708" s="211">
        <f>'IWP28'!G$602</f>
        <v>0</v>
      </c>
      <c r="E7708" s="211">
        <f>'IWP28'!H$602</f>
        <v>0</v>
      </c>
      <c r="F7708" s="211">
        <f>'IWP28'!I$602</f>
        <v>0</v>
      </c>
      <c r="G7708" s="191" t="str">
        <f>IF('IWP28'!J$602=0,"",'IWP28'!J$602)</f>
        <v/>
      </c>
      <c r="H7708" s="211">
        <f>'IWP28'!K$602</f>
        <v>0</v>
      </c>
      <c r="I7708" s="211">
        <f>'IWP28'!L$602</f>
        <v>0</v>
      </c>
      <c r="J7708" s="212">
        <f>'IWP28'!M$602</f>
        <v>0</v>
      </c>
      <c r="K7708" s="106"/>
      <c r="L7708" s="106"/>
      <c r="M7708" s="129"/>
    </row>
    <row r="7709" spans="1:13" s="146" customFormat="1">
      <c r="A7709" s="193" t="s">
        <v>526</v>
      </c>
      <c r="B7709" s="210">
        <v>16</v>
      </c>
      <c r="C7709" s="191" t="str">
        <f>IF('IWP28'!E$603=0,"",'IWP28'!E$603)</f>
        <v/>
      </c>
      <c r="D7709" s="211">
        <f>'IWP28'!G$603</f>
        <v>0</v>
      </c>
      <c r="E7709" s="211">
        <f>'IWP28'!H$603</f>
        <v>0</v>
      </c>
      <c r="F7709" s="211">
        <f>'IWP28'!I$603</f>
        <v>0</v>
      </c>
      <c r="G7709" s="191" t="str">
        <f>IF('IWP28'!J$603=0,"",'IWP28'!J$603)</f>
        <v/>
      </c>
      <c r="H7709" s="211">
        <f>'IWP28'!K$603</f>
        <v>0</v>
      </c>
      <c r="I7709" s="211">
        <f>'IWP28'!L$603</f>
        <v>0</v>
      </c>
      <c r="J7709" s="212">
        <f>'IWP28'!M$603</f>
        <v>0</v>
      </c>
      <c r="K7709" s="106"/>
      <c r="L7709" s="106"/>
      <c r="M7709" s="129"/>
    </row>
    <row r="7710" spans="1:13" s="146" customFormat="1">
      <c r="A7710" s="193" t="s">
        <v>526</v>
      </c>
      <c r="B7710" s="210">
        <v>16</v>
      </c>
      <c r="C7710" s="191" t="str">
        <f>IF('IWP28'!E$604=0,"",'IWP28'!E$604)</f>
        <v/>
      </c>
      <c r="D7710" s="211">
        <f>'IWP28'!G$604</f>
        <v>0</v>
      </c>
      <c r="E7710" s="211">
        <f>'IWP28'!H$604</f>
        <v>0</v>
      </c>
      <c r="F7710" s="211">
        <f>'IWP28'!I$604</f>
        <v>0</v>
      </c>
      <c r="G7710" s="191" t="str">
        <f>IF('IWP28'!J$604=0,"",'IWP28'!J$604)</f>
        <v/>
      </c>
      <c r="H7710" s="211">
        <f>'IWP28'!K$604</f>
        <v>0</v>
      </c>
      <c r="I7710" s="211">
        <f>'IWP28'!L$604</f>
        <v>0</v>
      </c>
      <c r="J7710" s="212">
        <f>'IWP28'!M$604</f>
        <v>0</v>
      </c>
      <c r="K7710" s="106"/>
      <c r="L7710" s="106"/>
      <c r="M7710" s="129"/>
    </row>
    <row r="7711" spans="1:13" s="146" customFormat="1">
      <c r="A7711" s="193" t="s">
        <v>526</v>
      </c>
      <c r="B7711" s="210">
        <v>17</v>
      </c>
      <c r="C7711" s="191" t="str">
        <f>IF('IWP28'!E$611=0,"",'IWP28'!E$611)</f>
        <v>Subtotal column D.</v>
      </c>
      <c r="D7711" s="211">
        <f>'IWP28'!G$611</f>
        <v>0</v>
      </c>
      <c r="E7711" s="211">
        <f>'IWP28'!H$611</f>
        <v>0</v>
      </c>
      <c r="F7711" s="211">
        <f>'IWP28'!I$611</f>
        <v>0</v>
      </c>
      <c r="G7711" s="191" t="str">
        <f>IF('IWP28'!J$611=0,"",'IWP28'!J$611)</f>
        <v/>
      </c>
      <c r="H7711" s="211">
        <f>'IWP28'!K$611</f>
        <v>0</v>
      </c>
      <c r="I7711" s="211">
        <f>'IWP28'!L$611</f>
        <v>0</v>
      </c>
      <c r="J7711" s="212">
        <f>'IWP28'!M$611</f>
        <v>0</v>
      </c>
      <c r="K7711" s="106"/>
      <c r="L7711" s="106"/>
      <c r="M7711" s="129"/>
    </row>
    <row r="7712" spans="1:13" s="146" customFormat="1">
      <c r="A7712" s="193" t="s">
        <v>526</v>
      </c>
      <c r="B7712" s="210">
        <v>17</v>
      </c>
      <c r="C7712" s="191" t="str">
        <f>IF('IWP28'!E$612=0,"",'IWP28'!E$612)</f>
        <v>Unverified/Undocumented (Subtotal D - C)</v>
      </c>
      <c r="D7712" s="211">
        <f>'IWP28'!G$612</f>
        <v>0</v>
      </c>
      <c r="E7712" s="211">
        <f>'IWP28'!H$612</f>
        <v>0</v>
      </c>
      <c r="F7712" s="211">
        <f>'IWP28'!I$612</f>
        <v>0</v>
      </c>
      <c r="G7712" s="191" t="str">
        <f>IF('IWP28'!J$612=0,"",'IWP28'!J$612)</f>
        <v/>
      </c>
      <c r="H7712" s="211">
        <f>'IWP28'!K$612</f>
        <v>0</v>
      </c>
      <c r="I7712" s="211">
        <f>'IWP28'!L$612</f>
        <v>0</v>
      </c>
      <c r="J7712" s="212">
        <f>'IWP28'!M$612</f>
        <v>0</v>
      </c>
      <c r="K7712" s="106"/>
      <c r="L7712" s="106"/>
      <c r="M7712" s="129"/>
    </row>
    <row r="7713" spans="1:13" s="146" customFormat="1">
      <c r="A7713" s="193" t="s">
        <v>526</v>
      </c>
      <c r="B7713" s="210">
        <v>17</v>
      </c>
      <c r="C7713" s="191" t="str">
        <f>IF('IWP28'!E$613=0,"",'IWP28'!E$613)</f>
        <v>J. Billing Period Total</v>
      </c>
      <c r="D7713" s="211">
        <f>'IWP28'!G$613</f>
        <v>0</v>
      </c>
      <c r="E7713" s="211">
        <f>'IWP28'!H$613</f>
        <v>0</v>
      </c>
      <c r="F7713" s="211">
        <f>'IWP28'!I$613</f>
        <v>0</v>
      </c>
      <c r="G7713" s="191" t="str">
        <f>IF('IWP28'!J$613=0,"",'IWP28'!J$613)</f>
        <v/>
      </c>
      <c r="H7713" s="211">
        <f>'IWP28'!K$613</f>
        <v>0</v>
      </c>
      <c r="I7713" s="211">
        <f>'IWP28'!L$613</f>
        <v>0</v>
      </c>
      <c r="J7713" s="212">
        <f>'IWP28'!M$613</f>
        <v>0</v>
      </c>
      <c r="K7713" s="106"/>
      <c r="L7713" s="106"/>
      <c r="M7713" s="129"/>
    </row>
    <row r="7714" spans="1:13" s="146" customFormat="1">
      <c r="A7714" s="193" t="s">
        <v>526</v>
      </c>
      <c r="B7714" s="210">
        <v>17</v>
      </c>
      <c r="C7714" s="191" t="str">
        <f>IF('IWP28'!E$614=0,"",'IWP28'!E$614)</f>
        <v/>
      </c>
      <c r="D7714" s="211">
        <f>'IWP28'!G$614</f>
        <v>0</v>
      </c>
      <c r="E7714" s="211">
        <f>'IWP28'!H$614</f>
        <v>0</v>
      </c>
      <c r="F7714" s="211">
        <f>'IWP28'!I$614</f>
        <v>0</v>
      </c>
      <c r="G7714" s="191" t="str">
        <f>IF('IWP28'!J$614=0,"",'IWP28'!J$614)</f>
        <v/>
      </c>
      <c r="H7714" s="211">
        <f>'IWP28'!K$614</f>
        <v>0</v>
      </c>
      <c r="I7714" s="211">
        <f>'IWP28'!L$614</f>
        <v>0</v>
      </c>
      <c r="J7714" s="212">
        <f>'IWP28'!M$614</f>
        <v>0</v>
      </c>
      <c r="K7714" s="106"/>
      <c r="L7714" s="106"/>
      <c r="M7714" s="129"/>
    </row>
    <row r="7715" spans="1:13" s="146" customFormat="1">
      <c r="A7715" s="193" t="s">
        <v>526</v>
      </c>
      <c r="B7715" s="210">
        <v>17</v>
      </c>
      <c r="C7715" s="191" t="str">
        <f>IF('IWP28'!E$615=0,"",'IWP28'!E$615)</f>
        <v/>
      </c>
      <c r="D7715" s="211">
        <f>'IWP28'!G$615</f>
        <v>0</v>
      </c>
      <c r="E7715" s="211">
        <f>'IWP28'!H$615</f>
        <v>0</v>
      </c>
      <c r="F7715" s="211">
        <f>'IWP28'!I$615</f>
        <v>0</v>
      </c>
      <c r="G7715" s="191" t="str">
        <f>IF('IWP28'!J$615=0,"",'IWP28'!J$615)</f>
        <v/>
      </c>
      <c r="H7715" s="211">
        <f>'IWP28'!K$615</f>
        <v>0</v>
      </c>
      <c r="I7715" s="211">
        <f>'IWP28'!L$615</f>
        <v>0</v>
      </c>
      <c r="J7715" s="212">
        <f>'IWP28'!M$615</f>
        <v>0</v>
      </c>
      <c r="K7715" s="106"/>
      <c r="L7715" s="106"/>
      <c r="M7715" s="129"/>
    </row>
    <row r="7716" spans="1:13" s="146" customFormat="1">
      <c r="A7716" s="193" t="s">
        <v>526</v>
      </c>
      <c r="B7716" s="210">
        <v>17</v>
      </c>
      <c r="C7716" s="191" t="str">
        <f>IF('IWP28'!E$616=0,"",'IWP28'!E$616)</f>
        <v/>
      </c>
      <c r="D7716" s="211">
        <f>'IWP28'!G$616</f>
        <v>0</v>
      </c>
      <c r="E7716" s="211">
        <f>'IWP28'!H$616</f>
        <v>0</v>
      </c>
      <c r="F7716" s="211">
        <f>'IWP28'!I$616</f>
        <v>0</v>
      </c>
      <c r="G7716" s="191" t="str">
        <f>IF('IWP28'!J$616=0,"",'IWP28'!J$616)</f>
        <v/>
      </c>
      <c r="H7716" s="211">
        <f>'IWP28'!K$616</f>
        <v>0</v>
      </c>
      <c r="I7716" s="211">
        <f>'IWP28'!L$616</f>
        <v>0</v>
      </c>
      <c r="J7716" s="212">
        <f>'IWP28'!M$616</f>
        <v>0</v>
      </c>
      <c r="K7716" s="106"/>
      <c r="L7716" s="106"/>
      <c r="M7716" s="129"/>
    </row>
    <row r="7717" spans="1:13" s="146" customFormat="1">
      <c r="A7717" s="193" t="s">
        <v>526</v>
      </c>
      <c r="B7717" s="210">
        <v>17</v>
      </c>
      <c r="C7717" s="191" t="str">
        <f>IF('IWP28'!E$617=0,"",'IWP28'!E$617)</f>
        <v/>
      </c>
      <c r="D7717" s="211">
        <f>'IWP28'!G$617</f>
        <v>0</v>
      </c>
      <c r="E7717" s="211">
        <f>'IWP28'!H$617</f>
        <v>0</v>
      </c>
      <c r="F7717" s="211">
        <f>'IWP28'!I$617</f>
        <v>0</v>
      </c>
      <c r="G7717" s="191" t="str">
        <f>IF('IWP28'!J$617=0,"",'IWP28'!J$617)</f>
        <v/>
      </c>
      <c r="H7717" s="211">
        <f>'IWP28'!K$617</f>
        <v>0</v>
      </c>
      <c r="I7717" s="211">
        <f>'IWP28'!L$617</f>
        <v>0</v>
      </c>
      <c r="J7717" s="212">
        <f>'IWP28'!M$617</f>
        <v>0</v>
      </c>
      <c r="K7717" s="106"/>
      <c r="L7717" s="106"/>
      <c r="M7717" s="129"/>
    </row>
    <row r="7718" spans="1:13" s="146" customFormat="1">
      <c r="A7718" s="193" t="s">
        <v>526</v>
      </c>
      <c r="B7718" s="210">
        <v>17</v>
      </c>
      <c r="C7718" s="191" t="str">
        <f>IF('IWP28'!E$618=0,"",'IWP28'!E$618)</f>
        <v/>
      </c>
      <c r="D7718" s="211">
        <f>'IWP28'!G$618</f>
        <v>0</v>
      </c>
      <c r="E7718" s="211">
        <f>'IWP28'!H$618</f>
        <v>0</v>
      </c>
      <c r="F7718" s="211">
        <f>'IWP28'!I$618</f>
        <v>0</v>
      </c>
      <c r="G7718" s="191" t="str">
        <f>IF('IWP28'!J$618=0,"",'IWP28'!J$618)</f>
        <v/>
      </c>
      <c r="H7718" s="211">
        <f>'IWP28'!K$618</f>
        <v>0</v>
      </c>
      <c r="I7718" s="211">
        <f>'IWP28'!L$618</f>
        <v>0</v>
      </c>
      <c r="J7718" s="212">
        <f>'IWP28'!M$618</f>
        <v>0</v>
      </c>
      <c r="K7718" s="106"/>
      <c r="L7718" s="106"/>
      <c r="M7718" s="129"/>
    </row>
    <row r="7719" spans="1:13" s="146" customFormat="1">
      <c r="A7719" s="193" t="s">
        <v>526</v>
      </c>
      <c r="B7719" s="210">
        <v>17</v>
      </c>
      <c r="C7719" s="191" t="str">
        <f>IF('IWP28'!E$619=0,"",'IWP28'!E$619)</f>
        <v/>
      </c>
      <c r="D7719" s="211">
        <f>'IWP28'!G$619</f>
        <v>0</v>
      </c>
      <c r="E7719" s="211">
        <f>'IWP28'!H$619</f>
        <v>0</v>
      </c>
      <c r="F7719" s="211">
        <f>'IWP28'!I$619</f>
        <v>0</v>
      </c>
      <c r="G7719" s="191" t="str">
        <f>IF('IWP28'!J$619=0,"",'IWP28'!J$619)</f>
        <v/>
      </c>
      <c r="H7719" s="211">
        <f>'IWP28'!K$619</f>
        <v>0</v>
      </c>
      <c r="I7719" s="211">
        <f>'IWP28'!L$619</f>
        <v>0</v>
      </c>
      <c r="J7719" s="212">
        <f>'IWP28'!M$619</f>
        <v>0</v>
      </c>
      <c r="K7719" s="106"/>
      <c r="L7719" s="106"/>
      <c r="M7719" s="129"/>
    </row>
    <row r="7720" spans="1:13" s="146" customFormat="1">
      <c r="A7720" s="193" t="s">
        <v>526</v>
      </c>
      <c r="B7720" s="210">
        <v>17</v>
      </c>
      <c r="C7720" s="191" t="str">
        <f>IF('IWP28'!E$620=0,"",'IWP28'!E$620)</f>
        <v/>
      </c>
      <c r="D7720" s="211">
        <f>'IWP28'!G$620</f>
        <v>0</v>
      </c>
      <c r="E7720" s="211">
        <f>'IWP28'!H$620</f>
        <v>0</v>
      </c>
      <c r="F7720" s="211">
        <f>'IWP28'!I$620</f>
        <v>0</v>
      </c>
      <c r="G7720" s="191" t="str">
        <f>IF('IWP28'!J$620=0,"",'IWP28'!J$620)</f>
        <v/>
      </c>
      <c r="H7720" s="211">
        <f>'IWP28'!K$620</f>
        <v>0</v>
      </c>
      <c r="I7720" s="211">
        <f>'IWP28'!L$620</f>
        <v>0</v>
      </c>
      <c r="J7720" s="212">
        <f>'IWP28'!M$620</f>
        <v>0</v>
      </c>
      <c r="K7720" s="106"/>
      <c r="L7720" s="106"/>
      <c r="M7720" s="129"/>
    </row>
    <row r="7721" spans="1:13" s="146" customFormat="1">
      <c r="A7721" s="193" t="s">
        <v>526</v>
      </c>
      <c r="B7721" s="210">
        <v>18</v>
      </c>
      <c r="C7721" s="191" t="str">
        <f>IF('IWP28'!E$627=0,"",'IWP28'!E$627)</f>
        <v/>
      </c>
      <c r="D7721" s="211">
        <f>'IWP28'!G$627</f>
        <v>0</v>
      </c>
      <c r="E7721" s="211">
        <f>'IWP28'!H$627</f>
        <v>0</v>
      </c>
      <c r="F7721" s="211">
        <f>'IWP28'!I$627</f>
        <v>0</v>
      </c>
      <c r="G7721" s="191" t="str">
        <f>IF('IWP28'!J$627=0,"",'IWP28'!J$627)</f>
        <v/>
      </c>
      <c r="H7721" s="211">
        <f>'IWP28'!K$627</f>
        <v>0</v>
      </c>
      <c r="I7721" s="211">
        <f>'IWP28'!L$627</f>
        <v>0</v>
      </c>
      <c r="J7721" s="212">
        <f>'IWP28'!M$627</f>
        <v>0</v>
      </c>
      <c r="K7721" s="106"/>
      <c r="L7721" s="106"/>
      <c r="M7721" s="129"/>
    </row>
    <row r="7722" spans="1:13" s="146" customFormat="1">
      <c r="A7722" s="193" t="s">
        <v>526</v>
      </c>
      <c r="B7722" s="210">
        <v>18</v>
      </c>
      <c r="C7722" s="191" t="str">
        <f>IF('IWP28'!E$628=0,"",'IWP28'!E$628)</f>
        <v/>
      </c>
      <c r="D7722" s="211">
        <f>'IWP28'!G$628</f>
        <v>0</v>
      </c>
      <c r="E7722" s="211">
        <f>'IWP28'!H$628</f>
        <v>0</v>
      </c>
      <c r="F7722" s="211">
        <f>'IWP28'!I$628</f>
        <v>0</v>
      </c>
      <c r="G7722" s="191" t="str">
        <f>IF('IWP28'!J$628=0,"",'IWP28'!J$628)</f>
        <v/>
      </c>
      <c r="H7722" s="211">
        <f>'IWP28'!K$628</f>
        <v>0</v>
      </c>
      <c r="I7722" s="211">
        <f>'IWP28'!L$628</f>
        <v>0</v>
      </c>
      <c r="J7722" s="212">
        <f>'IWP28'!M$628</f>
        <v>0</v>
      </c>
      <c r="K7722" s="106"/>
      <c r="L7722" s="106"/>
      <c r="M7722" s="129"/>
    </row>
    <row r="7723" spans="1:13" s="146" customFormat="1">
      <c r="A7723" s="193" t="s">
        <v>526</v>
      </c>
      <c r="B7723" s="210">
        <v>18</v>
      </c>
      <c r="C7723" s="191" t="str">
        <f>IF('IWP28'!E$629=0,"",'IWP28'!E$629)</f>
        <v/>
      </c>
      <c r="D7723" s="211">
        <f>'IWP28'!G$629</f>
        <v>0</v>
      </c>
      <c r="E7723" s="211">
        <f>'IWP28'!H$629</f>
        <v>0</v>
      </c>
      <c r="F7723" s="211">
        <f>'IWP28'!I$629</f>
        <v>0</v>
      </c>
      <c r="G7723" s="191" t="str">
        <f>IF('IWP28'!J$629=0,"",'IWP28'!J$629)</f>
        <v/>
      </c>
      <c r="H7723" s="211">
        <f>'IWP28'!K$629</f>
        <v>0</v>
      </c>
      <c r="I7723" s="211">
        <f>'IWP28'!L$629</f>
        <v>0</v>
      </c>
      <c r="J7723" s="212">
        <f>'IWP28'!M$629</f>
        <v>0</v>
      </c>
      <c r="K7723" s="106"/>
      <c r="L7723" s="106"/>
      <c r="M7723" s="129"/>
    </row>
    <row r="7724" spans="1:13" s="146" customFormat="1">
      <c r="A7724" s="193" t="s">
        <v>526</v>
      </c>
      <c r="B7724" s="210">
        <v>18</v>
      </c>
      <c r="C7724" s="191" t="str">
        <f>IF('IWP28'!E$630=0,"",'IWP28'!E$630)</f>
        <v/>
      </c>
      <c r="D7724" s="211">
        <f>'IWP28'!G$630</f>
        <v>0</v>
      </c>
      <c r="E7724" s="211">
        <f>'IWP28'!H$630</f>
        <v>0</v>
      </c>
      <c r="F7724" s="211">
        <f>'IWP28'!I$630</f>
        <v>0</v>
      </c>
      <c r="G7724" s="191" t="str">
        <f>IF('IWP28'!J$630=0,"",'IWP28'!J$630)</f>
        <v/>
      </c>
      <c r="H7724" s="211">
        <f>'IWP28'!K$630</f>
        <v>0</v>
      </c>
      <c r="I7724" s="211">
        <f>'IWP28'!L$630</f>
        <v>0</v>
      </c>
      <c r="J7724" s="212">
        <f>'IWP28'!M$630</f>
        <v>0</v>
      </c>
      <c r="K7724" s="106"/>
      <c r="L7724" s="106"/>
      <c r="M7724" s="129"/>
    </row>
    <row r="7725" spans="1:13" s="146" customFormat="1">
      <c r="A7725" s="193" t="s">
        <v>526</v>
      </c>
      <c r="B7725" s="210">
        <v>18</v>
      </c>
      <c r="C7725" s="191" t="str">
        <f>IF('IWP28'!E$631=0,"",'IWP28'!E$631)</f>
        <v/>
      </c>
      <c r="D7725" s="211">
        <f>'IWP28'!G$631</f>
        <v>0</v>
      </c>
      <c r="E7725" s="211">
        <f>'IWP28'!H$631</f>
        <v>0</v>
      </c>
      <c r="F7725" s="211">
        <f>'IWP28'!I$631</f>
        <v>0</v>
      </c>
      <c r="G7725" s="191" t="str">
        <f>IF('IWP28'!J$631=0,"",'IWP28'!J$631)</f>
        <v/>
      </c>
      <c r="H7725" s="211">
        <f>'IWP28'!K$631</f>
        <v>0</v>
      </c>
      <c r="I7725" s="211">
        <f>'IWP28'!L$631</f>
        <v>0</v>
      </c>
      <c r="J7725" s="212">
        <f>'IWP28'!M$631</f>
        <v>0</v>
      </c>
      <c r="K7725" s="106"/>
      <c r="L7725" s="106"/>
      <c r="M7725" s="129"/>
    </row>
    <row r="7726" spans="1:13" s="146" customFormat="1">
      <c r="A7726" s="193" t="s">
        <v>526</v>
      </c>
      <c r="B7726" s="210">
        <v>18</v>
      </c>
      <c r="C7726" s="191" t="str">
        <f>IF('IWP28'!E$632=0,"",'IWP28'!E$632)</f>
        <v/>
      </c>
      <c r="D7726" s="211">
        <f>'IWP28'!G$632</f>
        <v>0</v>
      </c>
      <c r="E7726" s="211">
        <f>'IWP28'!H$632</f>
        <v>0</v>
      </c>
      <c r="F7726" s="211">
        <f>'IWP28'!I$632</f>
        <v>0</v>
      </c>
      <c r="G7726" s="191" t="str">
        <f>IF('IWP28'!J$632=0,"",'IWP28'!J$632)</f>
        <v/>
      </c>
      <c r="H7726" s="211">
        <f>'IWP28'!K$632</f>
        <v>0</v>
      </c>
      <c r="I7726" s="211">
        <f>'IWP28'!L$632</f>
        <v>0</v>
      </c>
      <c r="J7726" s="212">
        <f>'IWP28'!M$632</f>
        <v>0</v>
      </c>
      <c r="K7726" s="106"/>
      <c r="L7726" s="106"/>
      <c r="M7726" s="129"/>
    </row>
    <row r="7727" spans="1:13" s="146" customFormat="1">
      <c r="A7727" s="193" t="s">
        <v>526</v>
      </c>
      <c r="B7727" s="210">
        <v>18</v>
      </c>
      <c r="C7727" s="191" t="str">
        <f>IF('IWP28'!E$633=0,"",'IWP28'!E$633)</f>
        <v/>
      </c>
      <c r="D7727" s="211">
        <f>'IWP28'!G$633</f>
        <v>0</v>
      </c>
      <c r="E7727" s="211">
        <f>'IWP28'!H$633</f>
        <v>0</v>
      </c>
      <c r="F7727" s="211">
        <f>'IWP28'!I$633</f>
        <v>0</v>
      </c>
      <c r="G7727" s="191" t="str">
        <f>IF('IWP28'!J$633=0,"",'IWP28'!J$633)</f>
        <v/>
      </c>
      <c r="H7727" s="211">
        <f>'IWP28'!K$633</f>
        <v>0</v>
      </c>
      <c r="I7727" s="211">
        <f>'IWP28'!L$633</f>
        <v>0</v>
      </c>
      <c r="J7727" s="212">
        <f>'IWP28'!M$633</f>
        <v>0</v>
      </c>
      <c r="K7727" s="106"/>
      <c r="L7727" s="106"/>
      <c r="M7727" s="129"/>
    </row>
    <row r="7728" spans="1:13" s="146" customFormat="1">
      <c r="A7728" s="193" t="s">
        <v>526</v>
      </c>
      <c r="B7728" s="210">
        <v>18</v>
      </c>
      <c r="C7728" s="191" t="str">
        <f>IF('IWP28'!E$634=0,"",'IWP28'!E$634)</f>
        <v/>
      </c>
      <c r="D7728" s="211">
        <f>'IWP28'!G$634</f>
        <v>0</v>
      </c>
      <c r="E7728" s="211">
        <f>'IWP28'!H$634</f>
        <v>0</v>
      </c>
      <c r="F7728" s="211">
        <f>'IWP28'!I$634</f>
        <v>0</v>
      </c>
      <c r="G7728" s="191" t="str">
        <f>IF('IWP28'!J$634=0,"",'IWP28'!J$634)</f>
        <v/>
      </c>
      <c r="H7728" s="211">
        <f>'IWP28'!K$634</f>
        <v>0</v>
      </c>
      <c r="I7728" s="211">
        <f>'IWP28'!L$634</f>
        <v>0</v>
      </c>
      <c r="J7728" s="212">
        <f>'IWP28'!M$634</f>
        <v>0</v>
      </c>
      <c r="K7728" s="106"/>
      <c r="L7728" s="106"/>
      <c r="M7728" s="129"/>
    </row>
    <row r="7729" spans="1:13" s="146" customFormat="1">
      <c r="A7729" s="193" t="s">
        <v>526</v>
      </c>
      <c r="B7729" s="210">
        <v>18</v>
      </c>
      <c r="C7729" s="191" t="str">
        <f>IF('IWP28'!E$635=0,"",'IWP28'!E$635)</f>
        <v/>
      </c>
      <c r="D7729" s="211">
        <f>'IWP28'!G$635</f>
        <v>0</v>
      </c>
      <c r="E7729" s="211">
        <f>'IWP28'!H$635</f>
        <v>0</v>
      </c>
      <c r="F7729" s="211">
        <f>'IWP28'!I$635</f>
        <v>0</v>
      </c>
      <c r="G7729" s="191" t="str">
        <f>IF('IWP28'!J$635=0,"",'IWP28'!J$635)</f>
        <v/>
      </c>
      <c r="H7729" s="211">
        <f>'IWP28'!K$635</f>
        <v>0</v>
      </c>
      <c r="I7729" s="211">
        <f>'IWP28'!L$635</f>
        <v>0</v>
      </c>
      <c r="J7729" s="212">
        <f>'IWP28'!M$635</f>
        <v>0</v>
      </c>
      <c r="K7729" s="106"/>
      <c r="L7729" s="106"/>
      <c r="M7729" s="129"/>
    </row>
    <row r="7730" spans="1:13" s="146" customFormat="1">
      <c r="A7730" s="193" t="s">
        <v>526</v>
      </c>
      <c r="B7730" s="210">
        <v>18</v>
      </c>
      <c r="C7730" s="191" t="str">
        <f>IF('IWP28'!E$636=0,"",'IWP28'!E$636)</f>
        <v/>
      </c>
      <c r="D7730" s="211">
        <f>'IWP28'!G$636</f>
        <v>0</v>
      </c>
      <c r="E7730" s="211">
        <f>'IWP28'!H$636</f>
        <v>0</v>
      </c>
      <c r="F7730" s="211">
        <f>'IWP28'!I$636</f>
        <v>0</v>
      </c>
      <c r="G7730" s="191" t="str">
        <f>IF('IWP28'!J$636=0,"",'IWP28'!J$636)</f>
        <v/>
      </c>
      <c r="H7730" s="211">
        <f>'IWP28'!K$636</f>
        <v>0</v>
      </c>
      <c r="I7730" s="211">
        <f>'IWP28'!L$636</f>
        <v>0</v>
      </c>
      <c r="J7730" s="212">
        <f>'IWP28'!M$636</f>
        <v>0</v>
      </c>
      <c r="K7730" s="106"/>
      <c r="L7730" s="106"/>
      <c r="M7730" s="129"/>
    </row>
    <row r="7731" spans="1:13" s="146" customFormat="1">
      <c r="A7731" s="193" t="s">
        <v>527</v>
      </c>
      <c r="B7731" s="210">
        <v>1</v>
      </c>
      <c r="C7731" s="191" t="str">
        <f>IF('IWP29'!E$355=0,"",'IWP29'!E$355)</f>
        <v>Subtotal column D.</v>
      </c>
      <c r="D7731" s="211">
        <f>'IWP29'!G$355</f>
        <v>0</v>
      </c>
      <c r="E7731" s="211">
        <f>'IWP29'!H$355</f>
        <v>0</v>
      </c>
      <c r="F7731" s="211">
        <f>'IWP29'!I$355</f>
        <v>0</v>
      </c>
      <c r="G7731" s="191" t="str">
        <f>IF('IWP29'!J$355=0,"",'IWP29'!J$355)</f>
        <v/>
      </c>
      <c r="H7731" s="211">
        <f>'IWP29'!K$355</f>
        <v>0</v>
      </c>
      <c r="I7731" s="211">
        <f>'IWP29'!L$355</f>
        <v>0</v>
      </c>
      <c r="J7731" s="212">
        <f>'IWP29'!M$355</f>
        <v>0</v>
      </c>
      <c r="K7731" s="106"/>
      <c r="L7731" s="106"/>
      <c r="M7731" s="129"/>
    </row>
    <row r="7732" spans="1:13" s="146" customFormat="1">
      <c r="A7732" s="193" t="s">
        <v>527</v>
      </c>
      <c r="B7732" s="210">
        <v>1</v>
      </c>
      <c r="C7732" s="191" t="str">
        <f>IF('IWP29'!E$356=0,"",'IWP29'!E$356)</f>
        <v>Unverified/Undocumented (Subtotall D - C)</v>
      </c>
      <c r="D7732" s="211">
        <f>'IWP29'!G$356</f>
        <v>0</v>
      </c>
      <c r="E7732" s="211">
        <f>'IWP29'!H$356</f>
        <v>0</v>
      </c>
      <c r="F7732" s="211">
        <f>'IWP29'!I$356</f>
        <v>0</v>
      </c>
      <c r="G7732" s="191" t="str">
        <f>IF('IWP29'!J$356=0,"",'IWP29'!J$356)</f>
        <v/>
      </c>
      <c r="H7732" s="211">
        <f>'IWP29'!K$356</f>
        <v>0</v>
      </c>
      <c r="I7732" s="211">
        <f>'IWP29'!L$356</f>
        <v>0</v>
      </c>
      <c r="J7732" s="212">
        <f>'IWP29'!M$356</f>
        <v>0</v>
      </c>
      <c r="K7732" s="106"/>
      <c r="L7732" s="106"/>
      <c r="M7732" s="129"/>
    </row>
    <row r="7733" spans="1:13" s="146" customFormat="1">
      <c r="A7733" s="193" t="s">
        <v>527</v>
      </c>
      <c r="B7733" s="210">
        <v>1</v>
      </c>
      <c r="C7733" s="191" t="str">
        <f>IF('IWP29'!E$357=0,"",'IWP29'!E$357)</f>
        <v>J. Billing Period Total</v>
      </c>
      <c r="D7733" s="211">
        <f>'IWP29'!G$357</f>
        <v>0</v>
      </c>
      <c r="E7733" s="211">
        <f>'IWP29'!H$357</f>
        <v>0</v>
      </c>
      <c r="F7733" s="211">
        <f>'IWP29'!I$357</f>
        <v>0</v>
      </c>
      <c r="G7733" s="191" t="str">
        <f>IF('IWP29'!J$357=0,"",'IWP29'!J$357)</f>
        <v/>
      </c>
      <c r="H7733" s="211">
        <f>'IWP29'!K$357</f>
        <v>0</v>
      </c>
      <c r="I7733" s="211">
        <f>'IWP29'!L$357</f>
        <v>0</v>
      </c>
      <c r="J7733" s="212">
        <f>'IWP29'!M$357</f>
        <v>0</v>
      </c>
      <c r="K7733" s="106"/>
      <c r="L7733" s="106"/>
      <c r="M7733" s="129"/>
    </row>
    <row r="7734" spans="1:13" s="146" customFormat="1">
      <c r="A7734" s="193" t="s">
        <v>527</v>
      </c>
      <c r="B7734" s="210">
        <v>1</v>
      </c>
      <c r="C7734" s="191" t="str">
        <f>IF('IWP29'!E$358=0,"",'IWP29'!E$358)</f>
        <v>D.</v>
      </c>
      <c r="D7734" s="211">
        <f>'IWP29'!G$358</f>
        <v>0</v>
      </c>
      <c r="E7734" s="211" t="str">
        <f>'IWP29'!H$358</f>
        <v>E.</v>
      </c>
      <c r="F7734" s="211" t="str">
        <f>'IWP29'!I$358</f>
        <v>F.</v>
      </c>
      <c r="G7734" s="191" t="str">
        <f>IF('IWP29'!J$358=0,"",'IWP29'!J$358)</f>
        <v>G.</v>
      </c>
      <c r="H7734" s="211">
        <f>'IWP29'!K$358</f>
        <v>0</v>
      </c>
      <c r="I7734" s="211" t="str">
        <f>'IWP29'!L$358</f>
        <v>H.</v>
      </c>
      <c r="J7734" s="212" t="str">
        <f>'IWP29'!M$358</f>
        <v>I.</v>
      </c>
      <c r="K7734" s="106"/>
      <c r="L7734" s="106"/>
      <c r="M7734" s="129"/>
    </row>
    <row r="7735" spans="1:13" s="146" customFormat="1">
      <c r="A7735" s="193" t="s">
        <v>527</v>
      </c>
      <c r="B7735" s="210">
        <v>1</v>
      </c>
      <c r="C7735" s="191" t="str">
        <f>IF('IWP29'!E$359=0,"",'IWP29'!E$359)</f>
        <v xml:space="preserve">Items/Services Related to Billing Period </v>
      </c>
      <c r="D7735" s="211">
        <f>'IWP29'!G$359</f>
        <v>0</v>
      </c>
      <c r="E7735" s="211" t="str">
        <f>'IWP29'!H$359</f>
        <v xml:space="preserve">Item/
Service Verified Amounts
</v>
      </c>
      <c r="F7735" s="211" t="str">
        <f>'IWP29'!I$359</f>
        <v>Amount Due to DADS (E. - D.)</v>
      </c>
      <c r="G7735" s="191" t="str">
        <f>IF('IWP29'!J$359=0,"",'IWP29'!J$359)</f>
        <v>Amount Reimbursed to 
Employee(s)/Employer</v>
      </c>
      <c r="H7735" s="211">
        <f>'IWP29'!K$359</f>
        <v>0</v>
      </c>
      <c r="I7735" s="211" t="str">
        <f>'IWP29'!L$359</f>
        <v>Amount Due to Employee(s) (G. - E.)</v>
      </c>
      <c r="J7735" s="212" t="str">
        <f>'IWP29'!M$359</f>
        <v>Amount Due to Employer (G. - E.)</v>
      </c>
      <c r="K7735" s="106"/>
      <c r="L7735" s="106"/>
      <c r="M7735" s="129"/>
    </row>
    <row r="7736" spans="1:13" s="146" customFormat="1">
      <c r="A7736" s="193" t="s">
        <v>527</v>
      </c>
      <c r="B7736" s="210">
        <v>1</v>
      </c>
      <c r="C7736" s="191" t="str">
        <f>IF('IWP29'!E$360=0,"",'IWP29'!E$360)</f>
        <v>Item/Service</v>
      </c>
      <c r="D7736" s="211" t="str">
        <f>'IWP29'!G$360</f>
        <v>Itemized Amount Paid by DADS</v>
      </c>
      <c r="E7736" s="211">
        <f>'IWP29'!H$360</f>
        <v>0</v>
      </c>
      <c r="F7736" s="211">
        <f>'IWP29'!I$360</f>
        <v>0</v>
      </c>
      <c r="G7736" s="191" t="str">
        <f>IF('IWP29'!J$360=0,"",'IWP29'!J$360)</f>
        <v/>
      </c>
      <c r="H7736" s="211">
        <f>'IWP29'!K$360</f>
        <v>0</v>
      </c>
      <c r="I7736" s="211">
        <f>'IWP29'!L$360</f>
        <v>0</v>
      </c>
      <c r="J7736" s="212">
        <f>'IWP29'!M$360</f>
        <v>0</v>
      </c>
      <c r="K7736" s="106"/>
      <c r="L7736" s="106"/>
      <c r="M7736" s="129"/>
    </row>
    <row r="7737" spans="1:13" s="146" customFormat="1">
      <c r="A7737" s="193" t="s">
        <v>527</v>
      </c>
      <c r="B7737" s="210">
        <v>1</v>
      </c>
      <c r="C7737" s="191" t="str">
        <f>IF('IWP29'!E$361=0,"",'IWP29'!E$361)</f>
        <v/>
      </c>
      <c r="D7737" s="211">
        <f>'IWP29'!G$361</f>
        <v>0</v>
      </c>
      <c r="E7737" s="211">
        <f>'IWP29'!H$361</f>
        <v>0</v>
      </c>
      <c r="F7737" s="211">
        <f>'IWP29'!I$361</f>
        <v>0</v>
      </c>
      <c r="G7737" s="191" t="str">
        <f>IF('IWP29'!J$361=0,"",'IWP29'!J$361)</f>
        <v/>
      </c>
      <c r="H7737" s="211">
        <f>'IWP29'!K$361</f>
        <v>0</v>
      </c>
      <c r="I7737" s="211">
        <f>'IWP29'!L$361</f>
        <v>0</v>
      </c>
      <c r="J7737" s="212">
        <f>'IWP29'!M$361</f>
        <v>0</v>
      </c>
      <c r="K7737" s="106"/>
      <c r="L7737" s="106"/>
      <c r="M7737" s="129"/>
    </row>
    <row r="7738" spans="1:13" s="146" customFormat="1">
      <c r="A7738" s="193" t="s">
        <v>527</v>
      </c>
      <c r="B7738" s="210">
        <v>1</v>
      </c>
      <c r="C7738" s="191" t="str">
        <f>IF('IWP29'!E$362=0,"",'IWP29'!E$362)</f>
        <v/>
      </c>
      <c r="D7738" s="211">
        <f>'IWP29'!G$362</f>
        <v>0</v>
      </c>
      <c r="E7738" s="211">
        <f>'IWP29'!H$362</f>
        <v>0</v>
      </c>
      <c r="F7738" s="211">
        <f>'IWP29'!I$362</f>
        <v>0</v>
      </c>
      <c r="G7738" s="191" t="str">
        <f>IF('IWP29'!J$362=0,"",'IWP29'!J$362)</f>
        <v/>
      </c>
      <c r="H7738" s="211">
        <f>'IWP29'!K$362</f>
        <v>0</v>
      </c>
      <c r="I7738" s="211">
        <f>'IWP29'!L$362</f>
        <v>0</v>
      </c>
      <c r="J7738" s="212">
        <f>'IWP29'!M$362</f>
        <v>0</v>
      </c>
      <c r="K7738" s="106"/>
      <c r="L7738" s="106"/>
      <c r="M7738" s="129"/>
    </row>
    <row r="7739" spans="1:13" s="146" customFormat="1">
      <c r="A7739" s="193" t="s">
        <v>527</v>
      </c>
      <c r="B7739" s="210">
        <v>1</v>
      </c>
      <c r="C7739" s="191" t="str">
        <f>IF('IWP29'!E$363=0,"",'IWP29'!E$363)</f>
        <v/>
      </c>
      <c r="D7739" s="211">
        <f>'IWP29'!G$363</f>
        <v>0</v>
      </c>
      <c r="E7739" s="211">
        <f>'IWP29'!H$363</f>
        <v>0</v>
      </c>
      <c r="F7739" s="211">
        <f>'IWP29'!I$363</f>
        <v>0</v>
      </c>
      <c r="G7739" s="191" t="str">
        <f>IF('IWP29'!J$363=0,"",'IWP29'!J$363)</f>
        <v/>
      </c>
      <c r="H7739" s="211">
        <f>'IWP29'!K$363</f>
        <v>0</v>
      </c>
      <c r="I7739" s="211">
        <f>'IWP29'!L$363</f>
        <v>0</v>
      </c>
      <c r="J7739" s="212">
        <f>'IWP29'!M$363</f>
        <v>0</v>
      </c>
      <c r="K7739" s="106"/>
      <c r="L7739" s="106"/>
      <c r="M7739" s="129"/>
    </row>
    <row r="7740" spans="1:13" s="146" customFormat="1">
      <c r="A7740" s="193" t="s">
        <v>527</v>
      </c>
      <c r="B7740" s="210">
        <v>1</v>
      </c>
      <c r="C7740" s="191" t="str">
        <f>IF('IWP29'!E$364=0,"",'IWP29'!E$364)</f>
        <v/>
      </c>
      <c r="D7740" s="211">
        <f>'IWP29'!G$364</f>
        <v>0</v>
      </c>
      <c r="E7740" s="211">
        <f>'IWP29'!H$364</f>
        <v>0</v>
      </c>
      <c r="F7740" s="211">
        <f>'IWP29'!I$364</f>
        <v>0</v>
      </c>
      <c r="G7740" s="191" t="str">
        <f>IF('IWP29'!J$364=0,"",'IWP29'!J$364)</f>
        <v/>
      </c>
      <c r="H7740" s="211">
        <f>'IWP29'!K$364</f>
        <v>0</v>
      </c>
      <c r="I7740" s="211">
        <f>'IWP29'!L$364</f>
        <v>0</v>
      </c>
      <c r="J7740" s="212">
        <f>'IWP29'!M$364</f>
        <v>0</v>
      </c>
      <c r="K7740" s="106"/>
      <c r="L7740" s="106"/>
      <c r="M7740" s="129"/>
    </row>
    <row r="7741" spans="1:13" s="146" customFormat="1">
      <c r="A7741" s="193" t="s">
        <v>527</v>
      </c>
      <c r="B7741" s="210">
        <v>2</v>
      </c>
      <c r="C7741" s="191" t="str">
        <f>IF('IWP29'!E$371=0,"",'IWP29'!E$371)</f>
        <v>Subtotal column D.</v>
      </c>
      <c r="D7741" s="211">
        <f>'IWP29'!G$371</f>
        <v>0</v>
      </c>
      <c r="E7741" s="211">
        <f>'IWP29'!H$371</f>
        <v>0</v>
      </c>
      <c r="F7741" s="211">
        <f>'IWP29'!I$371</f>
        <v>0</v>
      </c>
      <c r="G7741" s="191" t="str">
        <f>IF('IWP29'!J$371=0,"",'IWP29'!J$371)</f>
        <v/>
      </c>
      <c r="H7741" s="211">
        <f>'IWP29'!K$371</f>
        <v>0</v>
      </c>
      <c r="I7741" s="211">
        <f>'IWP29'!L$371</f>
        <v>0</v>
      </c>
      <c r="J7741" s="212">
        <f>'IWP29'!M$371</f>
        <v>0</v>
      </c>
      <c r="K7741" s="106"/>
      <c r="L7741" s="106"/>
      <c r="M7741" s="129"/>
    </row>
    <row r="7742" spans="1:13" s="146" customFormat="1">
      <c r="A7742" s="193" t="s">
        <v>527</v>
      </c>
      <c r="B7742" s="210">
        <v>2</v>
      </c>
      <c r="C7742" s="191" t="str">
        <f>IF('IWP29'!E$372=0,"",'IWP29'!E$372)</f>
        <v>Unverified/Undocumented (Subtotal D - C)</v>
      </c>
      <c r="D7742" s="211">
        <f>'IWP29'!G$372</f>
        <v>0</v>
      </c>
      <c r="E7742" s="211">
        <f>'IWP29'!H$372</f>
        <v>0</v>
      </c>
      <c r="F7742" s="211">
        <f>'IWP29'!I$372</f>
        <v>0</v>
      </c>
      <c r="G7742" s="191" t="str">
        <f>IF('IWP29'!J$372=0,"",'IWP29'!J$372)</f>
        <v/>
      </c>
      <c r="H7742" s="211">
        <f>'IWP29'!K$372</f>
        <v>0</v>
      </c>
      <c r="I7742" s="211">
        <f>'IWP29'!L$372</f>
        <v>0</v>
      </c>
      <c r="J7742" s="212">
        <f>'IWP29'!M$372</f>
        <v>0</v>
      </c>
      <c r="K7742" s="106"/>
      <c r="L7742" s="106"/>
      <c r="M7742" s="129"/>
    </row>
    <row r="7743" spans="1:13" s="146" customFormat="1">
      <c r="A7743" s="193" t="s">
        <v>527</v>
      </c>
      <c r="B7743" s="210">
        <v>2</v>
      </c>
      <c r="C7743" s="191" t="str">
        <f>IF('IWP29'!E$373=0,"",'IWP29'!E$373)</f>
        <v>J. Billing Period Total</v>
      </c>
      <c r="D7743" s="211">
        <f>'IWP29'!G$373</f>
        <v>0</v>
      </c>
      <c r="E7743" s="211">
        <f>'IWP29'!H$373</f>
        <v>0</v>
      </c>
      <c r="F7743" s="211">
        <f>'IWP29'!I$373</f>
        <v>0</v>
      </c>
      <c r="G7743" s="191" t="str">
        <f>IF('IWP29'!J$373=0,"",'IWP29'!J$373)</f>
        <v/>
      </c>
      <c r="H7743" s="211">
        <f>'IWP29'!K$373</f>
        <v>0</v>
      </c>
      <c r="I7743" s="211">
        <f>'IWP29'!L$373</f>
        <v>0</v>
      </c>
      <c r="J7743" s="212">
        <f>'IWP29'!M$373</f>
        <v>0</v>
      </c>
      <c r="K7743" s="106"/>
      <c r="L7743" s="106"/>
      <c r="M7743" s="129"/>
    </row>
    <row r="7744" spans="1:13" s="146" customFormat="1">
      <c r="A7744" s="193" t="s">
        <v>527</v>
      </c>
      <c r="B7744" s="210">
        <v>2</v>
      </c>
      <c r="C7744" s="191" t="str">
        <f>IF('IWP29'!E$374=0,"",'IWP29'!E$374)</f>
        <v>D.</v>
      </c>
      <c r="D7744" s="211">
        <f>'IWP29'!G$374</f>
        <v>0</v>
      </c>
      <c r="E7744" s="211" t="str">
        <f>'IWP29'!H$374</f>
        <v>E.</v>
      </c>
      <c r="F7744" s="211" t="str">
        <f>'IWP29'!I$374</f>
        <v>F.</v>
      </c>
      <c r="G7744" s="191" t="str">
        <f>IF('IWP29'!J$374=0,"",'IWP29'!J$374)</f>
        <v>G.</v>
      </c>
      <c r="H7744" s="211">
        <f>'IWP29'!K$374</f>
        <v>0</v>
      </c>
      <c r="I7744" s="211" t="str">
        <f>'IWP29'!L$374</f>
        <v>H.</v>
      </c>
      <c r="J7744" s="212" t="str">
        <f>'IWP29'!M$374</f>
        <v>I.</v>
      </c>
      <c r="K7744" s="106"/>
      <c r="L7744" s="106"/>
      <c r="M7744" s="129"/>
    </row>
    <row r="7745" spans="1:13" s="146" customFormat="1">
      <c r="A7745" s="193" t="s">
        <v>527</v>
      </c>
      <c r="B7745" s="210">
        <v>2</v>
      </c>
      <c r="C7745" s="191" t="str">
        <f>IF('IWP29'!E$375=0,"",'IWP29'!E$375)</f>
        <v xml:space="preserve">Items/Services Related to Billing Period </v>
      </c>
      <c r="D7745" s="211">
        <f>'IWP29'!G$375</f>
        <v>0</v>
      </c>
      <c r="E7745" s="211" t="str">
        <f>'IWP29'!H$375</f>
        <v xml:space="preserve">Item/
Service Verified Amounts
</v>
      </c>
      <c r="F7745" s="211" t="str">
        <f>'IWP29'!I$375</f>
        <v>Amount Due to DADS (E. - D.)</v>
      </c>
      <c r="G7745" s="191" t="str">
        <f>IF('IWP29'!J$375=0,"",'IWP29'!J$375)</f>
        <v>Amount Reimbursed to 
Employee(s)/Employer</v>
      </c>
      <c r="H7745" s="211">
        <f>'IWP29'!K$375</f>
        <v>0</v>
      </c>
      <c r="I7745" s="211" t="str">
        <f>'IWP29'!L$375</f>
        <v>Amount Due to Employee(s) (G. - E.)</v>
      </c>
      <c r="J7745" s="212" t="str">
        <f>'IWP29'!M$375</f>
        <v>Amount Due to Employer (G. - E.)</v>
      </c>
      <c r="K7745" s="106"/>
      <c r="L7745" s="106"/>
      <c r="M7745" s="129"/>
    </row>
    <row r="7746" spans="1:13" s="146" customFormat="1">
      <c r="A7746" s="193" t="s">
        <v>527</v>
      </c>
      <c r="B7746" s="210">
        <v>2</v>
      </c>
      <c r="C7746" s="191" t="str">
        <f>IF('IWP29'!E$376=0,"",'IWP29'!E$376)</f>
        <v>Item/Service</v>
      </c>
      <c r="D7746" s="211" t="str">
        <f>'IWP29'!G$376</f>
        <v>Itemized Amount Paid by DADS</v>
      </c>
      <c r="E7746" s="211">
        <f>'IWP29'!H$376</f>
        <v>0</v>
      </c>
      <c r="F7746" s="211">
        <f>'IWP29'!I$376</f>
        <v>0</v>
      </c>
      <c r="G7746" s="191" t="str">
        <f>IF('IWP29'!J$376=0,"",'IWP29'!J$376)</f>
        <v/>
      </c>
      <c r="H7746" s="211">
        <f>'IWP29'!K$376</f>
        <v>0</v>
      </c>
      <c r="I7746" s="211">
        <f>'IWP29'!L$376</f>
        <v>0</v>
      </c>
      <c r="J7746" s="212">
        <f>'IWP29'!M$376</f>
        <v>0</v>
      </c>
      <c r="K7746" s="106"/>
      <c r="L7746" s="106"/>
      <c r="M7746" s="129"/>
    </row>
    <row r="7747" spans="1:13" s="146" customFormat="1">
      <c r="A7747" s="193" t="s">
        <v>527</v>
      </c>
      <c r="B7747" s="210">
        <v>2</v>
      </c>
      <c r="C7747" s="191" t="str">
        <f>IF('IWP29'!E$377=0,"",'IWP29'!E$377)</f>
        <v/>
      </c>
      <c r="D7747" s="211">
        <f>'IWP29'!G$377</f>
        <v>0</v>
      </c>
      <c r="E7747" s="211">
        <f>'IWP29'!H$377</f>
        <v>0</v>
      </c>
      <c r="F7747" s="211">
        <f>'IWP29'!I$377</f>
        <v>0</v>
      </c>
      <c r="G7747" s="191" t="str">
        <f>IF('IWP29'!J$377=0,"",'IWP29'!J$377)</f>
        <v/>
      </c>
      <c r="H7747" s="211">
        <f>'IWP29'!K$377</f>
        <v>0</v>
      </c>
      <c r="I7747" s="211">
        <f>'IWP29'!L$377</f>
        <v>0</v>
      </c>
      <c r="J7747" s="212">
        <f>'IWP29'!M$377</f>
        <v>0</v>
      </c>
      <c r="K7747" s="106"/>
      <c r="L7747" s="106"/>
      <c r="M7747" s="129"/>
    </row>
    <row r="7748" spans="1:13" s="146" customFormat="1">
      <c r="A7748" s="193" t="s">
        <v>527</v>
      </c>
      <c r="B7748" s="210">
        <v>2</v>
      </c>
      <c r="C7748" s="191" t="str">
        <f>IF('IWP29'!E$378=0,"",'IWP29'!E$378)</f>
        <v/>
      </c>
      <c r="D7748" s="211">
        <f>'IWP29'!G$378</f>
        <v>0</v>
      </c>
      <c r="E7748" s="211">
        <f>'IWP29'!H$378</f>
        <v>0</v>
      </c>
      <c r="F7748" s="211">
        <f>'IWP29'!I$378</f>
        <v>0</v>
      </c>
      <c r="G7748" s="191" t="str">
        <f>IF('IWP29'!J$378=0,"",'IWP29'!J$378)</f>
        <v/>
      </c>
      <c r="H7748" s="211">
        <f>'IWP29'!K$378</f>
        <v>0</v>
      </c>
      <c r="I7748" s="211">
        <f>'IWP29'!L$378</f>
        <v>0</v>
      </c>
      <c r="J7748" s="212">
        <f>'IWP29'!M$378</f>
        <v>0</v>
      </c>
      <c r="K7748" s="106"/>
      <c r="L7748" s="106"/>
      <c r="M7748" s="129"/>
    </row>
    <row r="7749" spans="1:13" s="146" customFormat="1">
      <c r="A7749" s="193" t="s">
        <v>527</v>
      </c>
      <c r="B7749" s="210">
        <v>2</v>
      </c>
      <c r="C7749" s="191" t="str">
        <f>IF('IWP29'!E$379=0,"",'IWP29'!E$379)</f>
        <v/>
      </c>
      <c r="D7749" s="211">
        <f>'IWP29'!G$379</f>
        <v>0</v>
      </c>
      <c r="E7749" s="211">
        <f>'IWP29'!H$379</f>
        <v>0</v>
      </c>
      <c r="F7749" s="211">
        <f>'IWP29'!I$379</f>
        <v>0</v>
      </c>
      <c r="G7749" s="191" t="str">
        <f>IF('IWP29'!J$379=0,"",'IWP29'!J$379)</f>
        <v/>
      </c>
      <c r="H7749" s="211">
        <f>'IWP29'!K$379</f>
        <v>0</v>
      </c>
      <c r="I7749" s="211">
        <f>'IWP29'!L$379</f>
        <v>0</v>
      </c>
      <c r="J7749" s="212">
        <f>'IWP29'!M$379</f>
        <v>0</v>
      </c>
      <c r="K7749" s="106"/>
      <c r="L7749" s="106"/>
      <c r="M7749" s="129"/>
    </row>
    <row r="7750" spans="1:13" s="146" customFormat="1">
      <c r="A7750" s="193" t="s">
        <v>527</v>
      </c>
      <c r="B7750" s="210">
        <v>2</v>
      </c>
      <c r="C7750" s="191" t="str">
        <f>IF('IWP29'!E$380=0,"",'IWP29'!E$380)</f>
        <v/>
      </c>
      <c r="D7750" s="211">
        <f>'IWP29'!G$380</f>
        <v>0</v>
      </c>
      <c r="E7750" s="211">
        <f>'IWP29'!H$380</f>
        <v>0</v>
      </c>
      <c r="F7750" s="211">
        <f>'IWP29'!I$380</f>
        <v>0</v>
      </c>
      <c r="G7750" s="191" t="str">
        <f>IF('IWP29'!J$380=0,"",'IWP29'!J$380)</f>
        <v/>
      </c>
      <c r="H7750" s="211">
        <f>'IWP29'!K$380</f>
        <v>0</v>
      </c>
      <c r="I7750" s="211">
        <f>'IWP29'!L$380</f>
        <v>0</v>
      </c>
      <c r="J7750" s="212">
        <f>'IWP29'!M$380</f>
        <v>0</v>
      </c>
      <c r="K7750" s="106"/>
      <c r="L7750" s="106"/>
      <c r="M7750" s="129"/>
    </row>
    <row r="7751" spans="1:13" s="146" customFormat="1">
      <c r="A7751" s="193" t="s">
        <v>527</v>
      </c>
      <c r="B7751" s="210">
        <v>3</v>
      </c>
      <c r="C7751" s="191" t="str">
        <f>IF('IWP29'!E$387=0,"",'IWP29'!E$387)</f>
        <v>Subtotal column D.</v>
      </c>
      <c r="D7751" s="211">
        <f>'IWP29'!G$387</f>
        <v>0</v>
      </c>
      <c r="E7751" s="211">
        <f>'IWP29'!H$387</f>
        <v>0</v>
      </c>
      <c r="F7751" s="211">
        <f>'IWP29'!I$387</f>
        <v>0</v>
      </c>
      <c r="G7751" s="191" t="str">
        <f>IF('IWP29'!J$387=0,"",'IWP29'!J$387)</f>
        <v/>
      </c>
      <c r="H7751" s="211">
        <f>'IWP29'!K$387</f>
        <v>0</v>
      </c>
      <c r="I7751" s="211">
        <f>'IWP29'!L$387</f>
        <v>0</v>
      </c>
      <c r="J7751" s="212">
        <f>'IWP29'!M$387</f>
        <v>0</v>
      </c>
      <c r="K7751" s="106"/>
      <c r="L7751" s="106"/>
      <c r="M7751" s="129"/>
    </row>
    <row r="7752" spans="1:13" s="146" customFormat="1">
      <c r="A7752" s="193" t="s">
        <v>527</v>
      </c>
      <c r="B7752" s="210">
        <v>3</v>
      </c>
      <c r="C7752" s="191" t="str">
        <f>IF('IWP29'!E$388=0,"",'IWP29'!E$388)</f>
        <v>Unverified/Undocumented (Subtotal D - C)</v>
      </c>
      <c r="D7752" s="211">
        <f>'IWP29'!G$388</f>
        <v>0</v>
      </c>
      <c r="E7752" s="211">
        <f>'IWP29'!H$388</f>
        <v>0</v>
      </c>
      <c r="F7752" s="211">
        <f>'IWP29'!I$388</f>
        <v>0</v>
      </c>
      <c r="G7752" s="191" t="str">
        <f>IF('IWP29'!J$388=0,"",'IWP29'!J$388)</f>
        <v/>
      </c>
      <c r="H7752" s="211">
        <f>'IWP29'!K$388</f>
        <v>0</v>
      </c>
      <c r="I7752" s="211">
        <f>'IWP29'!L$388</f>
        <v>0</v>
      </c>
      <c r="J7752" s="212">
        <f>'IWP29'!M$388</f>
        <v>0</v>
      </c>
      <c r="K7752" s="106"/>
      <c r="L7752" s="106"/>
      <c r="M7752" s="129"/>
    </row>
    <row r="7753" spans="1:13" s="146" customFormat="1">
      <c r="A7753" s="193" t="s">
        <v>527</v>
      </c>
      <c r="B7753" s="210">
        <v>3</v>
      </c>
      <c r="C7753" s="191" t="str">
        <f>IF('IWP29'!E$389=0,"",'IWP29'!E$389)</f>
        <v>J. Billing Period Total</v>
      </c>
      <c r="D7753" s="211">
        <f>'IWP29'!G$389</f>
        <v>0</v>
      </c>
      <c r="E7753" s="211">
        <f>'IWP29'!H$389</f>
        <v>0</v>
      </c>
      <c r="F7753" s="211">
        <f>'IWP29'!I$389</f>
        <v>0</v>
      </c>
      <c r="G7753" s="191" t="str">
        <f>IF('IWP29'!J$389=0,"",'IWP29'!J$389)</f>
        <v/>
      </c>
      <c r="H7753" s="211">
        <f>'IWP29'!K$389</f>
        <v>0</v>
      </c>
      <c r="I7753" s="211">
        <f>'IWP29'!L$389</f>
        <v>0</v>
      </c>
      <c r="J7753" s="212">
        <f>'IWP29'!M$389</f>
        <v>0</v>
      </c>
      <c r="K7753" s="106"/>
      <c r="L7753" s="106"/>
      <c r="M7753" s="129"/>
    </row>
    <row r="7754" spans="1:13" s="146" customFormat="1">
      <c r="A7754" s="193" t="s">
        <v>527</v>
      </c>
      <c r="B7754" s="210">
        <v>3</v>
      </c>
      <c r="C7754" s="191" t="str">
        <f>IF('IWP29'!E$390=0,"",'IWP29'!E$390)</f>
        <v>D.</v>
      </c>
      <c r="D7754" s="211">
        <f>'IWP29'!G$390</f>
        <v>0</v>
      </c>
      <c r="E7754" s="211" t="str">
        <f>'IWP29'!H$390</f>
        <v>E.</v>
      </c>
      <c r="F7754" s="211" t="str">
        <f>'IWP29'!I$390</f>
        <v>F.</v>
      </c>
      <c r="G7754" s="191" t="str">
        <f>IF('IWP29'!J$390=0,"",'IWP29'!J$390)</f>
        <v>G.</v>
      </c>
      <c r="H7754" s="211">
        <f>'IWP29'!K$390</f>
        <v>0</v>
      </c>
      <c r="I7754" s="211" t="str">
        <f>'IWP29'!L$390</f>
        <v>H.</v>
      </c>
      <c r="J7754" s="212" t="str">
        <f>'IWP29'!M$390</f>
        <v>I.</v>
      </c>
      <c r="K7754" s="106"/>
      <c r="L7754" s="106"/>
      <c r="M7754" s="129"/>
    </row>
    <row r="7755" spans="1:13" s="146" customFormat="1">
      <c r="A7755" s="193" t="s">
        <v>527</v>
      </c>
      <c r="B7755" s="210">
        <v>3</v>
      </c>
      <c r="C7755" s="191" t="str">
        <f>IF('IWP29'!E$391=0,"",'IWP29'!E$391)</f>
        <v xml:space="preserve">Items/Services Related to Billing Period </v>
      </c>
      <c r="D7755" s="211">
        <f>'IWP29'!G$391</f>
        <v>0</v>
      </c>
      <c r="E7755" s="211" t="str">
        <f>'IWP29'!H$391</f>
        <v xml:space="preserve">Item/
Service Verified Amounts
</v>
      </c>
      <c r="F7755" s="211" t="str">
        <f>'IWP29'!I$391</f>
        <v>Amount Due to DADS (E. - D.)</v>
      </c>
      <c r="G7755" s="191" t="str">
        <f>IF('IWP29'!J$391=0,"",'IWP29'!J$391)</f>
        <v>Amount Reimbursed to 
Employee(s)/Employer</v>
      </c>
      <c r="H7755" s="211">
        <f>'IWP29'!K$391</f>
        <v>0</v>
      </c>
      <c r="I7755" s="211" t="str">
        <f>'IWP29'!L$391</f>
        <v>Amount Due to Employee(s) (G. - E.)</v>
      </c>
      <c r="J7755" s="212" t="str">
        <f>'IWP29'!M$391</f>
        <v>Amount Due to Employer (G. - E.)</v>
      </c>
      <c r="K7755" s="106"/>
      <c r="L7755" s="106"/>
      <c r="M7755" s="129"/>
    </row>
    <row r="7756" spans="1:13" s="146" customFormat="1">
      <c r="A7756" s="193" t="s">
        <v>527</v>
      </c>
      <c r="B7756" s="210">
        <v>3</v>
      </c>
      <c r="C7756" s="191" t="str">
        <f>IF('IWP29'!E$392=0,"",'IWP29'!E$392)</f>
        <v>Item/Service</v>
      </c>
      <c r="D7756" s="211" t="str">
        <f>'IWP29'!G$392</f>
        <v>Itemized Amount Paid by DADS</v>
      </c>
      <c r="E7756" s="211">
        <f>'IWP29'!H$392</f>
        <v>0</v>
      </c>
      <c r="F7756" s="211">
        <f>'IWP29'!I$392</f>
        <v>0</v>
      </c>
      <c r="G7756" s="191" t="str">
        <f>IF('IWP29'!J$392=0,"",'IWP29'!J$392)</f>
        <v/>
      </c>
      <c r="H7756" s="211">
        <f>'IWP29'!K$392</f>
        <v>0</v>
      </c>
      <c r="I7756" s="211">
        <f>'IWP29'!L$392</f>
        <v>0</v>
      </c>
      <c r="J7756" s="212">
        <f>'IWP29'!M$392</f>
        <v>0</v>
      </c>
      <c r="K7756" s="106"/>
      <c r="L7756" s="106"/>
      <c r="M7756" s="129"/>
    </row>
    <row r="7757" spans="1:13" s="146" customFormat="1">
      <c r="A7757" s="193" t="s">
        <v>527</v>
      </c>
      <c r="B7757" s="210">
        <v>3</v>
      </c>
      <c r="C7757" s="191" t="str">
        <f>IF('IWP29'!E$393=0,"",'IWP29'!E$393)</f>
        <v/>
      </c>
      <c r="D7757" s="211">
        <f>'IWP29'!G$393</f>
        <v>0</v>
      </c>
      <c r="E7757" s="211">
        <f>'IWP29'!H$393</f>
        <v>0</v>
      </c>
      <c r="F7757" s="211">
        <f>'IWP29'!I$393</f>
        <v>0</v>
      </c>
      <c r="G7757" s="191" t="str">
        <f>IF('IWP29'!J$393=0,"",'IWP29'!J$393)</f>
        <v/>
      </c>
      <c r="H7757" s="211">
        <f>'IWP29'!K$393</f>
        <v>0</v>
      </c>
      <c r="I7757" s="211">
        <f>'IWP29'!L$393</f>
        <v>0</v>
      </c>
      <c r="J7757" s="212">
        <f>'IWP29'!M$393</f>
        <v>0</v>
      </c>
      <c r="K7757" s="106"/>
      <c r="L7757" s="106"/>
      <c r="M7757" s="129"/>
    </row>
    <row r="7758" spans="1:13" s="146" customFormat="1">
      <c r="A7758" s="193" t="s">
        <v>527</v>
      </c>
      <c r="B7758" s="210">
        <v>3</v>
      </c>
      <c r="C7758" s="191" t="str">
        <f>IF('IWP29'!E$394=0,"",'IWP29'!E$394)</f>
        <v/>
      </c>
      <c r="D7758" s="211">
        <f>'IWP29'!G$394</f>
        <v>0</v>
      </c>
      <c r="E7758" s="211">
        <f>'IWP29'!H$394</f>
        <v>0</v>
      </c>
      <c r="F7758" s="211">
        <f>'IWP29'!I$394</f>
        <v>0</v>
      </c>
      <c r="G7758" s="191" t="str">
        <f>IF('IWP29'!J$394=0,"",'IWP29'!J$394)</f>
        <v/>
      </c>
      <c r="H7758" s="211">
        <f>'IWP29'!K$394</f>
        <v>0</v>
      </c>
      <c r="I7758" s="211">
        <f>'IWP29'!L$394</f>
        <v>0</v>
      </c>
      <c r="J7758" s="212">
        <f>'IWP29'!M$394</f>
        <v>0</v>
      </c>
      <c r="K7758" s="106"/>
      <c r="L7758" s="106"/>
      <c r="M7758" s="129"/>
    </row>
    <row r="7759" spans="1:13" s="146" customFormat="1">
      <c r="A7759" s="193" t="s">
        <v>527</v>
      </c>
      <c r="B7759" s="210">
        <v>3</v>
      </c>
      <c r="C7759" s="191" t="str">
        <f>IF('IWP29'!E$395=0,"",'IWP29'!E$395)</f>
        <v/>
      </c>
      <c r="D7759" s="211">
        <f>'IWP29'!G$395</f>
        <v>0</v>
      </c>
      <c r="E7759" s="211">
        <f>'IWP29'!H$395</f>
        <v>0</v>
      </c>
      <c r="F7759" s="211">
        <f>'IWP29'!I$395</f>
        <v>0</v>
      </c>
      <c r="G7759" s="191" t="str">
        <f>IF('IWP29'!J$395=0,"",'IWP29'!J$395)</f>
        <v/>
      </c>
      <c r="H7759" s="211">
        <f>'IWP29'!K$395</f>
        <v>0</v>
      </c>
      <c r="I7759" s="211">
        <f>'IWP29'!L$395</f>
        <v>0</v>
      </c>
      <c r="J7759" s="212">
        <f>'IWP29'!M$395</f>
        <v>0</v>
      </c>
      <c r="K7759" s="106"/>
      <c r="L7759" s="106"/>
      <c r="M7759" s="129"/>
    </row>
    <row r="7760" spans="1:13" s="146" customFormat="1">
      <c r="A7760" s="193" t="s">
        <v>527</v>
      </c>
      <c r="B7760" s="210">
        <v>3</v>
      </c>
      <c r="C7760" s="191" t="str">
        <f>IF('IWP29'!E$396=0,"",'IWP29'!E$396)</f>
        <v/>
      </c>
      <c r="D7760" s="211">
        <f>'IWP29'!G$396</f>
        <v>0</v>
      </c>
      <c r="E7760" s="211">
        <f>'IWP29'!H$396</f>
        <v>0</v>
      </c>
      <c r="F7760" s="211">
        <f>'IWP29'!I$396</f>
        <v>0</v>
      </c>
      <c r="G7760" s="191" t="str">
        <f>IF('IWP29'!J$396=0,"",'IWP29'!J$396)</f>
        <v/>
      </c>
      <c r="H7760" s="211">
        <f>'IWP29'!K$396</f>
        <v>0</v>
      </c>
      <c r="I7760" s="211">
        <f>'IWP29'!L$396</f>
        <v>0</v>
      </c>
      <c r="J7760" s="212">
        <f>'IWP29'!M$396</f>
        <v>0</v>
      </c>
      <c r="K7760" s="106"/>
      <c r="L7760" s="106"/>
      <c r="M7760" s="129"/>
    </row>
    <row r="7761" spans="1:13" s="146" customFormat="1">
      <c r="A7761" s="193" t="s">
        <v>527</v>
      </c>
      <c r="B7761" s="210">
        <v>4</v>
      </c>
      <c r="C7761" s="191" t="str">
        <f>IF('IWP29'!E$403=0,"",'IWP29'!E$403)</f>
        <v>Subtotal column D.</v>
      </c>
      <c r="D7761" s="211">
        <f>'IWP29'!G$403</f>
        <v>0</v>
      </c>
      <c r="E7761" s="211">
        <f>'IWP29'!H$403</f>
        <v>0</v>
      </c>
      <c r="F7761" s="211">
        <f>'IWP29'!I$403</f>
        <v>0</v>
      </c>
      <c r="G7761" s="191" t="str">
        <f>IF('IWP29'!J$403=0,"",'IWP29'!J$403)</f>
        <v/>
      </c>
      <c r="H7761" s="211">
        <f>'IWP29'!K$403</f>
        <v>0</v>
      </c>
      <c r="I7761" s="211">
        <f>'IWP29'!L$403</f>
        <v>0</v>
      </c>
      <c r="J7761" s="212">
        <f>'IWP29'!M$403</f>
        <v>0</v>
      </c>
      <c r="K7761" s="106"/>
      <c r="L7761" s="106"/>
      <c r="M7761" s="129"/>
    </row>
    <row r="7762" spans="1:13" s="146" customFormat="1">
      <c r="A7762" s="193" t="s">
        <v>527</v>
      </c>
      <c r="B7762" s="210">
        <v>4</v>
      </c>
      <c r="C7762" s="191" t="str">
        <f>IF('IWP29'!E$404=0,"",'IWP29'!E$404)</f>
        <v>Unverified/Undocumented (Subtotal D - C)</v>
      </c>
      <c r="D7762" s="211">
        <f>'IWP29'!G$404</f>
        <v>0</v>
      </c>
      <c r="E7762" s="211">
        <f>'IWP29'!H$404</f>
        <v>0</v>
      </c>
      <c r="F7762" s="211">
        <f>'IWP29'!I$404</f>
        <v>0</v>
      </c>
      <c r="G7762" s="191" t="str">
        <f>IF('IWP29'!J$404=0,"",'IWP29'!J$404)</f>
        <v/>
      </c>
      <c r="H7762" s="211">
        <f>'IWP29'!K$404</f>
        <v>0</v>
      </c>
      <c r="I7762" s="211">
        <f>'IWP29'!L$404</f>
        <v>0</v>
      </c>
      <c r="J7762" s="212">
        <f>'IWP29'!M$404</f>
        <v>0</v>
      </c>
      <c r="K7762" s="106"/>
      <c r="L7762" s="106"/>
      <c r="M7762" s="129"/>
    </row>
    <row r="7763" spans="1:13" s="146" customFormat="1">
      <c r="A7763" s="193" t="s">
        <v>527</v>
      </c>
      <c r="B7763" s="210">
        <v>4</v>
      </c>
      <c r="C7763" s="191" t="str">
        <f>IF('IWP29'!E$405=0,"",'IWP29'!E$405)</f>
        <v>J. Billing Period Total</v>
      </c>
      <c r="D7763" s="211">
        <f>'IWP29'!G$405</f>
        <v>0</v>
      </c>
      <c r="E7763" s="211">
        <f>'IWP29'!H$405</f>
        <v>0</v>
      </c>
      <c r="F7763" s="211">
        <f>'IWP29'!I$405</f>
        <v>0</v>
      </c>
      <c r="G7763" s="191" t="str">
        <f>IF('IWP29'!J$405=0,"",'IWP29'!J$405)</f>
        <v/>
      </c>
      <c r="H7763" s="211">
        <f>'IWP29'!K$405</f>
        <v>0</v>
      </c>
      <c r="I7763" s="211">
        <f>'IWP29'!L$405</f>
        <v>0</v>
      </c>
      <c r="J7763" s="212">
        <f>'IWP29'!M$405</f>
        <v>0</v>
      </c>
      <c r="K7763" s="106"/>
      <c r="L7763" s="106"/>
      <c r="M7763" s="129"/>
    </row>
    <row r="7764" spans="1:13" s="146" customFormat="1">
      <c r="A7764" s="193" t="s">
        <v>527</v>
      </c>
      <c r="B7764" s="210">
        <v>4</v>
      </c>
      <c r="C7764" s="191" t="str">
        <f>IF('IWP29'!E$406=0,"",'IWP29'!E$406)</f>
        <v>D.</v>
      </c>
      <c r="D7764" s="211">
        <f>'IWP29'!G$406</f>
        <v>0</v>
      </c>
      <c r="E7764" s="211" t="str">
        <f>'IWP29'!H$406</f>
        <v>E.</v>
      </c>
      <c r="F7764" s="211" t="str">
        <f>'IWP29'!I$406</f>
        <v>F.</v>
      </c>
      <c r="G7764" s="191" t="str">
        <f>IF('IWP29'!J$406=0,"",'IWP29'!J$406)</f>
        <v>G.</v>
      </c>
      <c r="H7764" s="211">
        <f>'IWP29'!K$406</f>
        <v>0</v>
      </c>
      <c r="I7764" s="211" t="str">
        <f>'IWP29'!L$406</f>
        <v>H.</v>
      </c>
      <c r="J7764" s="212" t="str">
        <f>'IWP29'!M$406</f>
        <v>I.</v>
      </c>
      <c r="K7764" s="106"/>
      <c r="L7764" s="106"/>
      <c r="M7764" s="129"/>
    </row>
    <row r="7765" spans="1:13" s="146" customFormat="1">
      <c r="A7765" s="193" t="s">
        <v>527</v>
      </c>
      <c r="B7765" s="210">
        <v>4</v>
      </c>
      <c r="C7765" s="191" t="str">
        <f>IF('IWP29'!E$407=0,"",'IWP29'!E$407)</f>
        <v xml:space="preserve">Items/Services Related to Billing Period </v>
      </c>
      <c r="D7765" s="211">
        <f>'IWP29'!G$407</f>
        <v>0</v>
      </c>
      <c r="E7765" s="211" t="str">
        <f>'IWP29'!H$407</f>
        <v xml:space="preserve">Item/
Service Verified Amounts
</v>
      </c>
      <c r="F7765" s="211" t="str">
        <f>'IWP29'!I$407</f>
        <v>Amount Due to DADS (E. - D.)</v>
      </c>
      <c r="G7765" s="191" t="str">
        <f>IF('IWP29'!J$407=0,"",'IWP29'!J$407)</f>
        <v>Amount Reimbursed to 
Employee(s)/Employer</v>
      </c>
      <c r="H7765" s="211">
        <f>'IWP29'!K$407</f>
        <v>0</v>
      </c>
      <c r="I7765" s="211" t="str">
        <f>'IWP29'!L$407</f>
        <v>Amount Due to Employee(s) (G. - E.)</v>
      </c>
      <c r="J7765" s="212" t="str">
        <f>'IWP29'!M$407</f>
        <v>Amount Due to Employer (G. - E.)</v>
      </c>
      <c r="K7765" s="106"/>
      <c r="L7765" s="106"/>
      <c r="M7765" s="129"/>
    </row>
    <row r="7766" spans="1:13" s="146" customFormat="1">
      <c r="A7766" s="193" t="s">
        <v>527</v>
      </c>
      <c r="B7766" s="210">
        <v>4</v>
      </c>
      <c r="C7766" s="191" t="str">
        <f>IF('IWP29'!E$408=0,"",'IWP29'!E$408)</f>
        <v>Item/Service</v>
      </c>
      <c r="D7766" s="211" t="str">
        <f>'IWP29'!G$408</f>
        <v>Itemized Amount Paid by DADS</v>
      </c>
      <c r="E7766" s="211">
        <f>'IWP29'!H$408</f>
        <v>0</v>
      </c>
      <c r="F7766" s="211">
        <f>'IWP29'!I$408</f>
        <v>0</v>
      </c>
      <c r="G7766" s="191" t="str">
        <f>IF('IWP29'!J$408=0,"",'IWP29'!J$408)</f>
        <v/>
      </c>
      <c r="H7766" s="211">
        <f>'IWP29'!K$408</f>
        <v>0</v>
      </c>
      <c r="I7766" s="211">
        <f>'IWP29'!L$408</f>
        <v>0</v>
      </c>
      <c r="J7766" s="212">
        <f>'IWP29'!M$408</f>
        <v>0</v>
      </c>
      <c r="K7766" s="106"/>
      <c r="L7766" s="106"/>
      <c r="M7766" s="129"/>
    </row>
    <row r="7767" spans="1:13" s="146" customFormat="1">
      <c r="A7767" s="193" t="s">
        <v>527</v>
      </c>
      <c r="B7767" s="210">
        <v>4</v>
      </c>
      <c r="C7767" s="191" t="str">
        <f>IF('IWP29'!E$409=0,"",'IWP29'!E$409)</f>
        <v/>
      </c>
      <c r="D7767" s="211">
        <f>'IWP29'!G$409</f>
        <v>0</v>
      </c>
      <c r="E7767" s="211">
        <f>'IWP29'!H$409</f>
        <v>0</v>
      </c>
      <c r="F7767" s="211">
        <f>'IWP29'!I$409</f>
        <v>0</v>
      </c>
      <c r="G7767" s="191" t="str">
        <f>IF('IWP29'!J$409=0,"",'IWP29'!J$409)</f>
        <v/>
      </c>
      <c r="H7767" s="211">
        <f>'IWP29'!K$409</f>
        <v>0</v>
      </c>
      <c r="I7767" s="211">
        <f>'IWP29'!L$409</f>
        <v>0</v>
      </c>
      <c r="J7767" s="212">
        <f>'IWP29'!M$409</f>
        <v>0</v>
      </c>
      <c r="K7767" s="106"/>
      <c r="L7767" s="106"/>
      <c r="M7767" s="129"/>
    </row>
    <row r="7768" spans="1:13" s="146" customFormat="1">
      <c r="A7768" s="193" t="s">
        <v>527</v>
      </c>
      <c r="B7768" s="210">
        <v>4</v>
      </c>
      <c r="C7768" s="191" t="str">
        <f>IF('IWP29'!E$410=0,"",'IWP29'!E$410)</f>
        <v/>
      </c>
      <c r="D7768" s="211">
        <f>'IWP29'!G$410</f>
        <v>0</v>
      </c>
      <c r="E7768" s="211">
        <f>'IWP29'!H$410</f>
        <v>0</v>
      </c>
      <c r="F7768" s="211">
        <f>'IWP29'!I$410</f>
        <v>0</v>
      </c>
      <c r="G7768" s="191" t="str">
        <f>IF('IWP29'!J$410=0,"",'IWP29'!J$410)</f>
        <v/>
      </c>
      <c r="H7768" s="211">
        <f>'IWP29'!K$410</f>
        <v>0</v>
      </c>
      <c r="I7768" s="211">
        <f>'IWP29'!L$410</f>
        <v>0</v>
      </c>
      <c r="J7768" s="212">
        <f>'IWP29'!M$410</f>
        <v>0</v>
      </c>
      <c r="K7768" s="106"/>
      <c r="L7768" s="106"/>
      <c r="M7768" s="129"/>
    </row>
    <row r="7769" spans="1:13" s="146" customFormat="1">
      <c r="A7769" s="193" t="s">
        <v>527</v>
      </c>
      <c r="B7769" s="210">
        <v>4</v>
      </c>
      <c r="C7769" s="191" t="str">
        <f>IF('IWP29'!E$411=0,"",'IWP29'!E$411)</f>
        <v/>
      </c>
      <c r="D7769" s="211">
        <f>'IWP29'!G$411</f>
        <v>0</v>
      </c>
      <c r="E7769" s="211">
        <f>'IWP29'!H$411</f>
        <v>0</v>
      </c>
      <c r="F7769" s="211">
        <f>'IWP29'!I$411</f>
        <v>0</v>
      </c>
      <c r="G7769" s="191" t="str">
        <f>IF('IWP29'!J$411=0,"",'IWP29'!J$411)</f>
        <v/>
      </c>
      <c r="H7769" s="211">
        <f>'IWP29'!K$411</f>
        <v>0</v>
      </c>
      <c r="I7769" s="211">
        <f>'IWP29'!L$411</f>
        <v>0</v>
      </c>
      <c r="J7769" s="212">
        <f>'IWP29'!M$411</f>
        <v>0</v>
      </c>
      <c r="K7769" s="106"/>
      <c r="L7769" s="106"/>
      <c r="M7769" s="129"/>
    </row>
    <row r="7770" spans="1:13" s="146" customFormat="1">
      <c r="A7770" s="193" t="s">
        <v>527</v>
      </c>
      <c r="B7770" s="210">
        <v>4</v>
      </c>
      <c r="C7770" s="191" t="str">
        <f>IF('IWP29'!E$412=0,"",'IWP29'!E$412)</f>
        <v/>
      </c>
      <c r="D7770" s="211">
        <f>'IWP29'!G$412</f>
        <v>0</v>
      </c>
      <c r="E7770" s="211">
        <f>'IWP29'!H$412</f>
        <v>0</v>
      </c>
      <c r="F7770" s="211">
        <f>'IWP29'!I$412</f>
        <v>0</v>
      </c>
      <c r="G7770" s="191" t="str">
        <f>IF('IWP29'!J$412=0,"",'IWP29'!J$412)</f>
        <v/>
      </c>
      <c r="H7770" s="211">
        <f>'IWP29'!K$412</f>
        <v>0</v>
      </c>
      <c r="I7770" s="211">
        <f>'IWP29'!L$412</f>
        <v>0</v>
      </c>
      <c r="J7770" s="212">
        <f>'IWP29'!M$412</f>
        <v>0</v>
      </c>
      <c r="K7770" s="106"/>
      <c r="L7770" s="106"/>
      <c r="M7770" s="129"/>
    </row>
    <row r="7771" spans="1:13" s="146" customFormat="1">
      <c r="A7771" s="193" t="s">
        <v>527</v>
      </c>
      <c r="B7771" s="210">
        <v>5</v>
      </c>
      <c r="C7771" s="191" t="str">
        <f>IF('IWP29'!E$419=0,"",'IWP29'!E$419)</f>
        <v>Subtotal column D.</v>
      </c>
      <c r="D7771" s="211">
        <f>'IWP29'!G$419</f>
        <v>0</v>
      </c>
      <c r="E7771" s="211">
        <f>'IWP29'!H$419</f>
        <v>0</v>
      </c>
      <c r="F7771" s="211">
        <f>'IWP29'!I$419</f>
        <v>0</v>
      </c>
      <c r="G7771" s="191" t="str">
        <f>IF('IWP29'!J$419=0,"",'IWP29'!J$419)</f>
        <v/>
      </c>
      <c r="H7771" s="211">
        <f>'IWP29'!K$419</f>
        <v>0</v>
      </c>
      <c r="I7771" s="211">
        <f>'IWP29'!L$419</f>
        <v>0</v>
      </c>
      <c r="J7771" s="212">
        <f>'IWP29'!M$419</f>
        <v>0</v>
      </c>
      <c r="K7771" s="106"/>
      <c r="L7771" s="106"/>
      <c r="M7771" s="129"/>
    </row>
    <row r="7772" spans="1:13" s="146" customFormat="1">
      <c r="A7772" s="193" t="s">
        <v>527</v>
      </c>
      <c r="B7772" s="210">
        <v>5</v>
      </c>
      <c r="C7772" s="191" t="str">
        <f>IF('IWP29'!E$420=0,"",'IWP29'!E$420)</f>
        <v>Unverified/Undocumented (Subtotal D - C)</v>
      </c>
      <c r="D7772" s="211">
        <f>'IWP29'!G$420</f>
        <v>0</v>
      </c>
      <c r="E7772" s="211">
        <f>'IWP29'!H$420</f>
        <v>0</v>
      </c>
      <c r="F7772" s="211">
        <f>'IWP29'!I$420</f>
        <v>0</v>
      </c>
      <c r="G7772" s="191" t="str">
        <f>IF('IWP29'!J$420=0,"",'IWP29'!J$420)</f>
        <v/>
      </c>
      <c r="H7772" s="211">
        <f>'IWP29'!K$420</f>
        <v>0</v>
      </c>
      <c r="I7772" s="211">
        <f>'IWP29'!L$420</f>
        <v>0</v>
      </c>
      <c r="J7772" s="212">
        <f>'IWP29'!M$420</f>
        <v>0</v>
      </c>
      <c r="K7772" s="106"/>
      <c r="L7772" s="106"/>
      <c r="M7772" s="129"/>
    </row>
    <row r="7773" spans="1:13" s="146" customFormat="1">
      <c r="A7773" s="193" t="s">
        <v>527</v>
      </c>
      <c r="B7773" s="210">
        <v>5</v>
      </c>
      <c r="C7773" s="191" t="str">
        <f>IF('IWP29'!E$421=0,"",'IWP29'!E$421)</f>
        <v>J. Billing Period Total</v>
      </c>
      <c r="D7773" s="211">
        <f>'IWP29'!G$421</f>
        <v>0</v>
      </c>
      <c r="E7773" s="211">
        <f>'IWP29'!H$421</f>
        <v>0</v>
      </c>
      <c r="F7773" s="211">
        <f>'IWP29'!I$421</f>
        <v>0</v>
      </c>
      <c r="G7773" s="191" t="str">
        <f>IF('IWP29'!J$421=0,"",'IWP29'!J$421)</f>
        <v/>
      </c>
      <c r="H7773" s="211">
        <f>'IWP29'!K$421</f>
        <v>0</v>
      </c>
      <c r="I7773" s="211">
        <f>'IWP29'!L$421</f>
        <v>0</v>
      </c>
      <c r="J7773" s="212">
        <f>'IWP29'!M$421</f>
        <v>0</v>
      </c>
      <c r="K7773" s="106"/>
      <c r="L7773" s="106"/>
      <c r="M7773" s="129"/>
    </row>
    <row r="7774" spans="1:13" s="146" customFormat="1">
      <c r="A7774" s="193" t="s">
        <v>527</v>
      </c>
      <c r="B7774" s="210">
        <v>5</v>
      </c>
      <c r="C7774" s="191" t="str">
        <f>IF('IWP29'!E$422=0,"",'IWP29'!E$422)</f>
        <v>D.</v>
      </c>
      <c r="D7774" s="211">
        <f>'IWP29'!G$422</f>
        <v>0</v>
      </c>
      <c r="E7774" s="211" t="str">
        <f>'IWP29'!H$422</f>
        <v>E.</v>
      </c>
      <c r="F7774" s="211" t="str">
        <f>'IWP29'!I$422</f>
        <v>F.</v>
      </c>
      <c r="G7774" s="191" t="str">
        <f>IF('IWP29'!J$422=0,"",'IWP29'!J$422)</f>
        <v>G.</v>
      </c>
      <c r="H7774" s="211">
        <f>'IWP29'!K$422</f>
        <v>0</v>
      </c>
      <c r="I7774" s="211" t="str">
        <f>'IWP29'!L$422</f>
        <v>H.</v>
      </c>
      <c r="J7774" s="212" t="str">
        <f>'IWP29'!M$422</f>
        <v>I.</v>
      </c>
      <c r="K7774" s="106"/>
      <c r="L7774" s="106"/>
      <c r="M7774" s="129"/>
    </row>
    <row r="7775" spans="1:13" s="146" customFormat="1">
      <c r="A7775" s="193" t="s">
        <v>527</v>
      </c>
      <c r="B7775" s="210">
        <v>5</v>
      </c>
      <c r="C7775" s="191" t="str">
        <f>IF('IWP29'!E$423=0,"",'IWP29'!E$423)</f>
        <v xml:space="preserve">Items/Services Related to Billing Period </v>
      </c>
      <c r="D7775" s="211">
        <f>'IWP29'!G$423</f>
        <v>0</v>
      </c>
      <c r="E7775" s="211" t="str">
        <f>'IWP29'!H$423</f>
        <v xml:space="preserve">Item/
Service Verified Amounts
</v>
      </c>
      <c r="F7775" s="211" t="str">
        <f>'IWP29'!I$423</f>
        <v>Amount Due to DADS (E. - D.)</v>
      </c>
      <c r="G7775" s="191" t="str">
        <f>IF('IWP29'!J$423=0,"",'IWP29'!J$423)</f>
        <v>Amount Reimbursed to 
Employee(s)/Employer</v>
      </c>
      <c r="H7775" s="211">
        <f>'IWP29'!K$423</f>
        <v>0</v>
      </c>
      <c r="I7775" s="211" t="str">
        <f>'IWP29'!L$423</f>
        <v>Amount Due to Employee(s) (G. - E.)</v>
      </c>
      <c r="J7775" s="212" t="str">
        <f>'IWP29'!M$423</f>
        <v>Amount Due to Employer (G. - E.)</v>
      </c>
      <c r="K7775" s="106"/>
      <c r="L7775" s="106"/>
      <c r="M7775" s="129"/>
    </row>
    <row r="7776" spans="1:13" s="146" customFormat="1">
      <c r="A7776" s="193" t="s">
        <v>527</v>
      </c>
      <c r="B7776" s="210">
        <v>5</v>
      </c>
      <c r="C7776" s="191" t="str">
        <f>IF('IWP29'!E$424=0,"",'IWP29'!E$424)</f>
        <v>Item/Service</v>
      </c>
      <c r="D7776" s="211" t="str">
        <f>'IWP29'!G$424</f>
        <v>Itemized Amount Paid by DADS</v>
      </c>
      <c r="E7776" s="211">
        <f>'IWP29'!H$424</f>
        <v>0</v>
      </c>
      <c r="F7776" s="211">
        <f>'IWP29'!I$424</f>
        <v>0</v>
      </c>
      <c r="G7776" s="191" t="str">
        <f>IF('IWP29'!J$424=0,"",'IWP29'!J$424)</f>
        <v/>
      </c>
      <c r="H7776" s="211">
        <f>'IWP29'!K$424</f>
        <v>0</v>
      </c>
      <c r="I7776" s="211">
        <f>'IWP29'!L$424</f>
        <v>0</v>
      </c>
      <c r="J7776" s="212">
        <f>'IWP29'!M$424</f>
        <v>0</v>
      </c>
      <c r="K7776" s="106"/>
      <c r="L7776" s="106"/>
      <c r="M7776" s="129"/>
    </row>
    <row r="7777" spans="1:13" s="146" customFormat="1">
      <c r="A7777" s="193" t="s">
        <v>527</v>
      </c>
      <c r="B7777" s="210">
        <v>5</v>
      </c>
      <c r="C7777" s="191" t="str">
        <f>IF('IWP29'!E$425=0,"",'IWP29'!E$425)</f>
        <v/>
      </c>
      <c r="D7777" s="211">
        <f>'IWP29'!G$425</f>
        <v>0</v>
      </c>
      <c r="E7777" s="211">
        <f>'IWP29'!H$425</f>
        <v>0</v>
      </c>
      <c r="F7777" s="211">
        <f>'IWP29'!I$425</f>
        <v>0</v>
      </c>
      <c r="G7777" s="191" t="str">
        <f>IF('IWP29'!J$425=0,"",'IWP29'!J$425)</f>
        <v/>
      </c>
      <c r="H7777" s="211">
        <f>'IWP29'!K$425</f>
        <v>0</v>
      </c>
      <c r="I7777" s="211">
        <f>'IWP29'!L$425</f>
        <v>0</v>
      </c>
      <c r="J7777" s="212">
        <f>'IWP29'!M$425</f>
        <v>0</v>
      </c>
      <c r="K7777" s="106"/>
      <c r="L7777" s="106"/>
      <c r="M7777" s="129"/>
    </row>
    <row r="7778" spans="1:13" s="146" customFormat="1">
      <c r="A7778" s="193" t="s">
        <v>527</v>
      </c>
      <c r="B7778" s="210">
        <v>5</v>
      </c>
      <c r="C7778" s="191" t="str">
        <f>IF('IWP29'!E$426=0,"",'IWP29'!E$426)</f>
        <v/>
      </c>
      <c r="D7778" s="211">
        <f>'IWP29'!G$426</f>
        <v>0</v>
      </c>
      <c r="E7778" s="211">
        <f>'IWP29'!H$426</f>
        <v>0</v>
      </c>
      <c r="F7778" s="211">
        <f>'IWP29'!I$426</f>
        <v>0</v>
      </c>
      <c r="G7778" s="191" t="str">
        <f>IF('IWP29'!J$426=0,"",'IWP29'!J$426)</f>
        <v/>
      </c>
      <c r="H7778" s="211">
        <f>'IWP29'!K$426</f>
        <v>0</v>
      </c>
      <c r="I7778" s="211">
        <f>'IWP29'!L$426</f>
        <v>0</v>
      </c>
      <c r="J7778" s="212">
        <f>'IWP29'!M$426</f>
        <v>0</v>
      </c>
      <c r="K7778" s="106"/>
      <c r="L7778" s="106"/>
      <c r="M7778" s="129"/>
    </row>
    <row r="7779" spans="1:13" s="146" customFormat="1">
      <c r="A7779" s="193" t="s">
        <v>527</v>
      </c>
      <c r="B7779" s="210">
        <v>5</v>
      </c>
      <c r="C7779" s="191" t="str">
        <f>IF('IWP29'!E$427=0,"",'IWP29'!E$427)</f>
        <v/>
      </c>
      <c r="D7779" s="211">
        <f>'IWP29'!G$427</f>
        <v>0</v>
      </c>
      <c r="E7779" s="211">
        <f>'IWP29'!H$427</f>
        <v>0</v>
      </c>
      <c r="F7779" s="211">
        <f>'IWP29'!I$427</f>
        <v>0</v>
      </c>
      <c r="G7779" s="191" t="str">
        <f>IF('IWP29'!J$427=0,"",'IWP29'!J$427)</f>
        <v/>
      </c>
      <c r="H7779" s="211">
        <f>'IWP29'!K$427</f>
        <v>0</v>
      </c>
      <c r="I7779" s="211">
        <f>'IWP29'!L$427</f>
        <v>0</v>
      </c>
      <c r="J7779" s="212">
        <f>'IWP29'!M$427</f>
        <v>0</v>
      </c>
      <c r="K7779" s="106"/>
      <c r="L7779" s="106"/>
      <c r="M7779" s="129"/>
    </row>
    <row r="7780" spans="1:13" s="146" customFormat="1">
      <c r="A7780" s="193" t="s">
        <v>527</v>
      </c>
      <c r="B7780" s="210">
        <v>5</v>
      </c>
      <c r="C7780" s="191" t="str">
        <f>IF('IWP29'!E$428=0,"",'IWP29'!E$428)</f>
        <v/>
      </c>
      <c r="D7780" s="211">
        <f>'IWP29'!G$428</f>
        <v>0</v>
      </c>
      <c r="E7780" s="211">
        <f>'IWP29'!H$428</f>
        <v>0</v>
      </c>
      <c r="F7780" s="211">
        <f>'IWP29'!I$428</f>
        <v>0</v>
      </c>
      <c r="G7780" s="191" t="str">
        <f>IF('IWP29'!J$428=0,"",'IWP29'!J$428)</f>
        <v/>
      </c>
      <c r="H7780" s="211">
        <f>'IWP29'!K$428</f>
        <v>0</v>
      </c>
      <c r="I7780" s="211">
        <f>'IWP29'!L$428</f>
        <v>0</v>
      </c>
      <c r="J7780" s="212">
        <f>'IWP29'!M$428</f>
        <v>0</v>
      </c>
      <c r="K7780" s="106"/>
      <c r="L7780" s="106"/>
      <c r="M7780" s="129"/>
    </row>
    <row r="7781" spans="1:13" s="146" customFormat="1">
      <c r="A7781" s="193" t="s">
        <v>527</v>
      </c>
      <c r="B7781" s="210">
        <v>6</v>
      </c>
      <c r="C7781" s="191" t="str">
        <f>IF('IWP29'!E$435=0,"",'IWP29'!E$435)</f>
        <v>Subtotal column D.</v>
      </c>
      <c r="D7781" s="211">
        <f>'IWP29'!G$435</f>
        <v>0</v>
      </c>
      <c r="E7781" s="211">
        <f>'IWP29'!H$435</f>
        <v>0</v>
      </c>
      <c r="F7781" s="211">
        <f>'IWP29'!I$435</f>
        <v>0</v>
      </c>
      <c r="G7781" s="191" t="str">
        <f>IF('IWP29'!J$435=0,"",'IWP29'!J$435)</f>
        <v/>
      </c>
      <c r="H7781" s="211">
        <f>'IWP29'!K$435</f>
        <v>0</v>
      </c>
      <c r="I7781" s="211">
        <f>'IWP29'!L$435</f>
        <v>0</v>
      </c>
      <c r="J7781" s="212">
        <f>'IWP29'!M$435</f>
        <v>0</v>
      </c>
      <c r="K7781" s="106"/>
      <c r="L7781" s="106"/>
      <c r="M7781" s="129"/>
    </row>
    <row r="7782" spans="1:13" s="146" customFormat="1">
      <c r="A7782" s="193" t="s">
        <v>527</v>
      </c>
      <c r="B7782" s="210">
        <v>6</v>
      </c>
      <c r="C7782" s="191" t="str">
        <f>IF('IWP29'!E$436=0,"",'IWP29'!E$436)</f>
        <v>Unverified/Undocumented (Subtotal D - C)</v>
      </c>
      <c r="D7782" s="211">
        <f>'IWP29'!G$436</f>
        <v>0</v>
      </c>
      <c r="E7782" s="211">
        <f>'IWP29'!H$436</f>
        <v>0</v>
      </c>
      <c r="F7782" s="211">
        <f>'IWP29'!I$436</f>
        <v>0</v>
      </c>
      <c r="G7782" s="191" t="str">
        <f>IF('IWP29'!J$436=0,"",'IWP29'!J$436)</f>
        <v/>
      </c>
      <c r="H7782" s="211">
        <f>'IWP29'!K$436</f>
        <v>0</v>
      </c>
      <c r="I7782" s="211">
        <f>'IWP29'!L$436</f>
        <v>0</v>
      </c>
      <c r="J7782" s="212">
        <f>'IWP29'!M$436</f>
        <v>0</v>
      </c>
      <c r="K7782" s="106"/>
      <c r="L7782" s="106"/>
      <c r="M7782" s="129"/>
    </row>
    <row r="7783" spans="1:13" s="146" customFormat="1">
      <c r="A7783" s="193" t="s">
        <v>527</v>
      </c>
      <c r="B7783" s="210">
        <v>6</v>
      </c>
      <c r="C7783" s="191" t="str">
        <f>IF('IWP29'!E$437=0,"",'IWP29'!E$437)</f>
        <v>J. Billing Period Total</v>
      </c>
      <c r="D7783" s="211">
        <f>'IWP29'!G$437</f>
        <v>0</v>
      </c>
      <c r="E7783" s="211">
        <f>'IWP29'!H$437</f>
        <v>0</v>
      </c>
      <c r="F7783" s="211">
        <f>'IWP29'!I$437</f>
        <v>0</v>
      </c>
      <c r="G7783" s="191" t="str">
        <f>IF('IWP29'!J$437=0,"",'IWP29'!J$437)</f>
        <v/>
      </c>
      <c r="H7783" s="211">
        <f>'IWP29'!K$437</f>
        <v>0</v>
      </c>
      <c r="I7783" s="211">
        <f>'IWP29'!L$437</f>
        <v>0</v>
      </c>
      <c r="J7783" s="212">
        <f>'IWP29'!M$437</f>
        <v>0</v>
      </c>
      <c r="K7783" s="106"/>
      <c r="L7783" s="106"/>
      <c r="M7783" s="129"/>
    </row>
    <row r="7784" spans="1:13" s="146" customFormat="1">
      <c r="A7784" s="193" t="s">
        <v>527</v>
      </c>
      <c r="B7784" s="210">
        <v>6</v>
      </c>
      <c r="C7784" s="191" t="str">
        <f>IF('IWP29'!E$438=0,"",'IWP29'!E$438)</f>
        <v>D.</v>
      </c>
      <c r="D7784" s="211">
        <f>'IWP29'!G$438</f>
        <v>0</v>
      </c>
      <c r="E7784" s="211" t="str">
        <f>'IWP29'!H$438</f>
        <v>E.</v>
      </c>
      <c r="F7784" s="211" t="str">
        <f>'IWP29'!I$438</f>
        <v>F.</v>
      </c>
      <c r="G7784" s="191" t="str">
        <f>IF('IWP29'!J$438=0,"",'IWP29'!J$438)</f>
        <v>G.</v>
      </c>
      <c r="H7784" s="211">
        <f>'IWP29'!K$438</f>
        <v>0</v>
      </c>
      <c r="I7784" s="211" t="str">
        <f>'IWP29'!L$438</f>
        <v>H.</v>
      </c>
      <c r="J7784" s="212" t="str">
        <f>'IWP29'!M$438</f>
        <v>I.</v>
      </c>
      <c r="K7784" s="106"/>
      <c r="L7784" s="106"/>
      <c r="M7784" s="129"/>
    </row>
    <row r="7785" spans="1:13" s="146" customFormat="1">
      <c r="A7785" s="193" t="s">
        <v>527</v>
      </c>
      <c r="B7785" s="210">
        <v>6</v>
      </c>
      <c r="C7785" s="191" t="str">
        <f>IF('IWP29'!E$439=0,"",'IWP29'!E$439)</f>
        <v xml:space="preserve">Items/Services Related to Billing Period </v>
      </c>
      <c r="D7785" s="211">
        <f>'IWP29'!G$439</f>
        <v>0</v>
      </c>
      <c r="E7785" s="211" t="str">
        <f>'IWP29'!H$439</f>
        <v xml:space="preserve">Item/
Service Verified Amounts
</v>
      </c>
      <c r="F7785" s="211" t="str">
        <f>'IWP29'!I$439</f>
        <v>Amount Due to DADS (E. - D.)</v>
      </c>
      <c r="G7785" s="191" t="str">
        <f>IF('IWP29'!J$439=0,"",'IWP29'!J$439)</f>
        <v>Amount Reimbursed to 
Employee(s)/Employer</v>
      </c>
      <c r="H7785" s="211">
        <f>'IWP29'!K$439</f>
        <v>0</v>
      </c>
      <c r="I7785" s="211" t="str">
        <f>'IWP29'!L$439</f>
        <v>Amount Due to Employee(s) (G. - E.)</v>
      </c>
      <c r="J7785" s="212" t="str">
        <f>'IWP29'!M$439</f>
        <v>Amount Due to Employer (G. - E.)</v>
      </c>
      <c r="K7785" s="106"/>
      <c r="L7785" s="106"/>
      <c r="M7785" s="129"/>
    </row>
    <row r="7786" spans="1:13" s="146" customFormat="1">
      <c r="A7786" s="193" t="s">
        <v>527</v>
      </c>
      <c r="B7786" s="210">
        <v>6</v>
      </c>
      <c r="C7786" s="191" t="str">
        <f>IF('IWP29'!E$440=0,"",'IWP29'!E$440)</f>
        <v>Item/Service</v>
      </c>
      <c r="D7786" s="211" t="str">
        <f>'IWP29'!G$440</f>
        <v>Itemized Amount Paid by DADS</v>
      </c>
      <c r="E7786" s="211">
        <f>'IWP29'!H$440</f>
        <v>0</v>
      </c>
      <c r="F7786" s="211">
        <f>'IWP29'!I$440</f>
        <v>0</v>
      </c>
      <c r="G7786" s="191" t="str">
        <f>IF('IWP29'!J$440=0,"",'IWP29'!J$440)</f>
        <v/>
      </c>
      <c r="H7786" s="211">
        <f>'IWP29'!K$440</f>
        <v>0</v>
      </c>
      <c r="I7786" s="211">
        <f>'IWP29'!L$440</f>
        <v>0</v>
      </c>
      <c r="J7786" s="212">
        <f>'IWP29'!M$440</f>
        <v>0</v>
      </c>
      <c r="K7786" s="106"/>
      <c r="L7786" s="106"/>
      <c r="M7786" s="129"/>
    </row>
    <row r="7787" spans="1:13" s="146" customFormat="1">
      <c r="A7787" s="193" t="s">
        <v>527</v>
      </c>
      <c r="B7787" s="210">
        <v>6</v>
      </c>
      <c r="C7787" s="191" t="str">
        <f>IF('IWP29'!E$441=0,"",'IWP29'!E$441)</f>
        <v/>
      </c>
      <c r="D7787" s="211">
        <f>'IWP29'!G$441</f>
        <v>0</v>
      </c>
      <c r="E7787" s="211">
        <f>'IWP29'!H$441</f>
        <v>0</v>
      </c>
      <c r="F7787" s="211">
        <f>'IWP29'!I$441</f>
        <v>0</v>
      </c>
      <c r="G7787" s="191" t="str">
        <f>IF('IWP29'!J$441=0,"",'IWP29'!J$441)</f>
        <v/>
      </c>
      <c r="H7787" s="211">
        <f>'IWP29'!K$441</f>
        <v>0</v>
      </c>
      <c r="I7787" s="211">
        <f>'IWP29'!L$441</f>
        <v>0</v>
      </c>
      <c r="J7787" s="212">
        <f>'IWP29'!M$441</f>
        <v>0</v>
      </c>
      <c r="K7787" s="106"/>
      <c r="L7787" s="106"/>
      <c r="M7787" s="129"/>
    </row>
    <row r="7788" spans="1:13" s="146" customFormat="1">
      <c r="A7788" s="193" t="s">
        <v>527</v>
      </c>
      <c r="B7788" s="210">
        <v>6</v>
      </c>
      <c r="C7788" s="191" t="str">
        <f>IF('IWP29'!E$442=0,"",'IWP29'!E$442)</f>
        <v/>
      </c>
      <c r="D7788" s="211">
        <f>'IWP29'!G$442</f>
        <v>0</v>
      </c>
      <c r="E7788" s="211">
        <f>'IWP29'!H$442</f>
        <v>0</v>
      </c>
      <c r="F7788" s="211">
        <f>'IWP29'!I$442</f>
        <v>0</v>
      </c>
      <c r="G7788" s="191" t="str">
        <f>IF('IWP29'!J$442=0,"",'IWP29'!J$442)</f>
        <v/>
      </c>
      <c r="H7788" s="211">
        <f>'IWP29'!K$442</f>
        <v>0</v>
      </c>
      <c r="I7788" s="211">
        <f>'IWP29'!L$442</f>
        <v>0</v>
      </c>
      <c r="J7788" s="212">
        <f>'IWP29'!M$442</f>
        <v>0</v>
      </c>
      <c r="K7788" s="106"/>
      <c r="L7788" s="106"/>
      <c r="M7788" s="129"/>
    </row>
    <row r="7789" spans="1:13" s="146" customFormat="1">
      <c r="A7789" s="193" t="s">
        <v>527</v>
      </c>
      <c r="B7789" s="210">
        <v>6</v>
      </c>
      <c r="C7789" s="191" t="str">
        <f>IF('IWP29'!E$443=0,"",'IWP29'!E$443)</f>
        <v/>
      </c>
      <c r="D7789" s="211">
        <f>'IWP29'!G$443</f>
        <v>0</v>
      </c>
      <c r="E7789" s="211">
        <f>'IWP29'!H$443</f>
        <v>0</v>
      </c>
      <c r="F7789" s="211">
        <f>'IWP29'!I$443</f>
        <v>0</v>
      </c>
      <c r="G7789" s="191" t="str">
        <f>IF('IWP29'!J$443=0,"",'IWP29'!J$443)</f>
        <v/>
      </c>
      <c r="H7789" s="211">
        <f>'IWP29'!K$443</f>
        <v>0</v>
      </c>
      <c r="I7789" s="211">
        <f>'IWP29'!L$443</f>
        <v>0</v>
      </c>
      <c r="J7789" s="212">
        <f>'IWP29'!M$443</f>
        <v>0</v>
      </c>
      <c r="K7789" s="106"/>
      <c r="L7789" s="106"/>
      <c r="M7789" s="129"/>
    </row>
    <row r="7790" spans="1:13" s="146" customFormat="1">
      <c r="A7790" s="193" t="s">
        <v>527</v>
      </c>
      <c r="B7790" s="210">
        <v>6</v>
      </c>
      <c r="C7790" s="191" t="str">
        <f>IF('IWP29'!E$444=0,"",'IWP29'!E$444)</f>
        <v/>
      </c>
      <c r="D7790" s="211">
        <f>'IWP29'!G$444</f>
        <v>0</v>
      </c>
      <c r="E7790" s="211">
        <f>'IWP29'!H$444</f>
        <v>0</v>
      </c>
      <c r="F7790" s="211">
        <f>'IWP29'!I$444</f>
        <v>0</v>
      </c>
      <c r="G7790" s="191" t="str">
        <f>IF('IWP29'!J$444=0,"",'IWP29'!J$444)</f>
        <v/>
      </c>
      <c r="H7790" s="211">
        <f>'IWP29'!K$444</f>
        <v>0</v>
      </c>
      <c r="I7790" s="211">
        <f>'IWP29'!L$444</f>
        <v>0</v>
      </c>
      <c r="J7790" s="212">
        <f>'IWP29'!M$444</f>
        <v>0</v>
      </c>
      <c r="K7790" s="106"/>
      <c r="L7790" s="106"/>
      <c r="M7790" s="129"/>
    </row>
    <row r="7791" spans="1:13" s="146" customFormat="1">
      <c r="A7791" s="193" t="s">
        <v>527</v>
      </c>
      <c r="B7791" s="210">
        <v>7</v>
      </c>
      <c r="C7791" s="191" t="str">
        <f>IF('IWP29'!E$451=0,"",'IWP29'!E$451)</f>
        <v>Subtotal column D.</v>
      </c>
      <c r="D7791" s="211">
        <f>'IWP29'!G$451</f>
        <v>0</v>
      </c>
      <c r="E7791" s="211">
        <f>'IWP29'!H$451</f>
        <v>0</v>
      </c>
      <c r="F7791" s="211">
        <f>'IWP29'!I$451</f>
        <v>0</v>
      </c>
      <c r="G7791" s="191" t="str">
        <f>IF('IWP29'!J$451=0,"",'IWP29'!J$451)</f>
        <v/>
      </c>
      <c r="H7791" s="211">
        <f>'IWP29'!K$451</f>
        <v>0</v>
      </c>
      <c r="I7791" s="211">
        <f>'IWP29'!L$451</f>
        <v>0</v>
      </c>
      <c r="J7791" s="212">
        <f>'IWP29'!M$451</f>
        <v>0</v>
      </c>
      <c r="K7791" s="106"/>
      <c r="L7791" s="106"/>
      <c r="M7791" s="129"/>
    </row>
    <row r="7792" spans="1:13" s="146" customFormat="1">
      <c r="A7792" s="193" t="s">
        <v>527</v>
      </c>
      <c r="B7792" s="210">
        <v>7</v>
      </c>
      <c r="C7792" s="191" t="str">
        <f>IF('IWP29'!E$452=0,"",'IWP29'!E$452)</f>
        <v>Unverified/Undocumented (Subtotal D - C)</v>
      </c>
      <c r="D7792" s="211">
        <f>'IWP29'!G$452</f>
        <v>0</v>
      </c>
      <c r="E7792" s="211">
        <f>'IWP29'!H$452</f>
        <v>0</v>
      </c>
      <c r="F7792" s="211">
        <f>'IWP29'!I$452</f>
        <v>0</v>
      </c>
      <c r="G7792" s="191" t="str">
        <f>IF('IWP29'!J$452=0,"",'IWP29'!J$452)</f>
        <v/>
      </c>
      <c r="H7792" s="211">
        <f>'IWP29'!K$452</f>
        <v>0</v>
      </c>
      <c r="I7792" s="211">
        <f>'IWP29'!L$452</f>
        <v>0</v>
      </c>
      <c r="J7792" s="212">
        <f>'IWP29'!M$452</f>
        <v>0</v>
      </c>
      <c r="K7792" s="106"/>
      <c r="L7792" s="106"/>
      <c r="M7792" s="129"/>
    </row>
    <row r="7793" spans="1:13" s="146" customFormat="1">
      <c r="A7793" s="193" t="s">
        <v>527</v>
      </c>
      <c r="B7793" s="210">
        <v>7</v>
      </c>
      <c r="C7793" s="191" t="str">
        <f>IF('IWP29'!E$453=0,"",'IWP29'!E$453)</f>
        <v>J. Billing Period Total</v>
      </c>
      <c r="D7793" s="211">
        <f>'IWP29'!G$453</f>
        <v>0</v>
      </c>
      <c r="E7793" s="211">
        <f>'IWP29'!H$453</f>
        <v>0</v>
      </c>
      <c r="F7793" s="211">
        <f>'IWP29'!I$453</f>
        <v>0</v>
      </c>
      <c r="G7793" s="191" t="str">
        <f>IF('IWP29'!J$453=0,"",'IWP29'!J$453)</f>
        <v/>
      </c>
      <c r="H7793" s="211">
        <f>'IWP29'!K$453</f>
        <v>0</v>
      </c>
      <c r="I7793" s="211">
        <f>'IWP29'!L$453</f>
        <v>0</v>
      </c>
      <c r="J7793" s="212">
        <f>'IWP29'!M$453</f>
        <v>0</v>
      </c>
      <c r="K7793" s="106"/>
      <c r="L7793" s="106"/>
      <c r="M7793" s="129"/>
    </row>
    <row r="7794" spans="1:13" s="146" customFormat="1">
      <c r="A7794" s="193" t="s">
        <v>527</v>
      </c>
      <c r="B7794" s="210">
        <v>7</v>
      </c>
      <c r="C7794" s="191" t="str">
        <f>IF('IWP29'!E$454=0,"",'IWP29'!E$454)</f>
        <v>D.</v>
      </c>
      <c r="D7794" s="211">
        <f>'IWP29'!G$454</f>
        <v>0</v>
      </c>
      <c r="E7794" s="211" t="str">
        <f>'IWP29'!H$454</f>
        <v>E.</v>
      </c>
      <c r="F7794" s="211" t="str">
        <f>'IWP29'!I$454</f>
        <v>F.</v>
      </c>
      <c r="G7794" s="191" t="str">
        <f>IF('IWP29'!J$454=0,"",'IWP29'!J$454)</f>
        <v>G.</v>
      </c>
      <c r="H7794" s="211">
        <f>'IWP29'!K$454</f>
        <v>0</v>
      </c>
      <c r="I7794" s="211" t="str">
        <f>'IWP29'!L$454</f>
        <v>H.</v>
      </c>
      <c r="J7794" s="212" t="str">
        <f>'IWP29'!M$454</f>
        <v>I.</v>
      </c>
      <c r="K7794" s="106"/>
      <c r="L7794" s="106"/>
      <c r="M7794" s="129"/>
    </row>
    <row r="7795" spans="1:13" s="146" customFormat="1">
      <c r="A7795" s="193" t="s">
        <v>527</v>
      </c>
      <c r="B7795" s="210">
        <v>7</v>
      </c>
      <c r="C7795" s="191" t="str">
        <f>IF('IWP29'!E$455=0,"",'IWP29'!E$455)</f>
        <v xml:space="preserve">Items/Services Related to Billing Period </v>
      </c>
      <c r="D7795" s="211">
        <f>'IWP29'!G$455</f>
        <v>0</v>
      </c>
      <c r="E7795" s="211" t="str">
        <f>'IWP29'!H$455</f>
        <v xml:space="preserve">Item/
Service Verified Amounts
</v>
      </c>
      <c r="F7795" s="211" t="str">
        <f>'IWP29'!I$455</f>
        <v>Amount Due to DADS (E. - D.)</v>
      </c>
      <c r="G7795" s="191" t="str">
        <f>IF('IWP29'!J$455=0,"",'IWP29'!J$455)</f>
        <v>Amount Reimbursed to 
Employee(s)/Employer</v>
      </c>
      <c r="H7795" s="211">
        <f>'IWP29'!K$455</f>
        <v>0</v>
      </c>
      <c r="I7795" s="211" t="str">
        <f>'IWP29'!L$455</f>
        <v>Amount Due to Employee(s) (G. - E.)</v>
      </c>
      <c r="J7795" s="212" t="str">
        <f>'IWP29'!M$455</f>
        <v>Amount Due to Employer (G. - E.)</v>
      </c>
      <c r="K7795" s="106"/>
      <c r="L7795" s="106"/>
      <c r="M7795" s="129"/>
    </row>
    <row r="7796" spans="1:13" s="146" customFormat="1">
      <c r="A7796" s="193" t="s">
        <v>527</v>
      </c>
      <c r="B7796" s="210">
        <v>7</v>
      </c>
      <c r="C7796" s="191" t="str">
        <f>IF('IWP29'!E$456=0,"",'IWP29'!E$456)</f>
        <v>Item/Service</v>
      </c>
      <c r="D7796" s="211" t="str">
        <f>'IWP29'!G$456</f>
        <v>Itemized Amount Paid by DADS</v>
      </c>
      <c r="E7796" s="211">
        <f>'IWP29'!H$456</f>
        <v>0</v>
      </c>
      <c r="F7796" s="211">
        <f>'IWP29'!I$456</f>
        <v>0</v>
      </c>
      <c r="G7796" s="191" t="str">
        <f>IF('IWP29'!J$456=0,"",'IWP29'!J$456)</f>
        <v/>
      </c>
      <c r="H7796" s="211">
        <f>'IWP29'!K$456</f>
        <v>0</v>
      </c>
      <c r="I7796" s="211">
        <f>'IWP29'!L$456</f>
        <v>0</v>
      </c>
      <c r="J7796" s="212">
        <f>'IWP29'!M$456</f>
        <v>0</v>
      </c>
      <c r="K7796" s="106"/>
      <c r="L7796" s="106"/>
      <c r="M7796" s="129"/>
    </row>
    <row r="7797" spans="1:13" s="146" customFormat="1">
      <c r="A7797" s="193" t="s">
        <v>527</v>
      </c>
      <c r="B7797" s="210">
        <v>7</v>
      </c>
      <c r="C7797" s="191" t="str">
        <f>IF('IWP29'!E$457=0,"",'IWP29'!E$457)</f>
        <v/>
      </c>
      <c r="D7797" s="211">
        <f>'IWP29'!G$457</f>
        <v>0</v>
      </c>
      <c r="E7797" s="211">
        <f>'IWP29'!H$457</f>
        <v>0</v>
      </c>
      <c r="F7797" s="211">
        <f>'IWP29'!I$457</f>
        <v>0</v>
      </c>
      <c r="G7797" s="191" t="str">
        <f>IF('IWP29'!J$457=0,"",'IWP29'!J$457)</f>
        <v/>
      </c>
      <c r="H7797" s="211">
        <f>'IWP29'!K$457</f>
        <v>0</v>
      </c>
      <c r="I7797" s="211">
        <f>'IWP29'!L$457</f>
        <v>0</v>
      </c>
      <c r="J7797" s="212">
        <f>'IWP29'!M$457</f>
        <v>0</v>
      </c>
      <c r="K7797" s="106"/>
      <c r="L7797" s="106"/>
      <c r="M7797" s="129"/>
    </row>
    <row r="7798" spans="1:13" s="146" customFormat="1">
      <c r="A7798" s="193" t="s">
        <v>527</v>
      </c>
      <c r="B7798" s="210">
        <v>7</v>
      </c>
      <c r="C7798" s="191" t="str">
        <f>IF('IWP29'!E$458=0,"",'IWP29'!E$458)</f>
        <v/>
      </c>
      <c r="D7798" s="211">
        <f>'IWP29'!G$458</f>
        <v>0</v>
      </c>
      <c r="E7798" s="211">
        <f>'IWP29'!H$458</f>
        <v>0</v>
      </c>
      <c r="F7798" s="211">
        <f>'IWP29'!I$458</f>
        <v>0</v>
      </c>
      <c r="G7798" s="191" t="str">
        <f>IF('IWP29'!J$458=0,"",'IWP29'!J$458)</f>
        <v/>
      </c>
      <c r="H7798" s="211">
        <f>'IWP29'!K$458</f>
        <v>0</v>
      </c>
      <c r="I7798" s="211">
        <f>'IWP29'!L$458</f>
        <v>0</v>
      </c>
      <c r="J7798" s="212">
        <f>'IWP29'!M$458</f>
        <v>0</v>
      </c>
      <c r="K7798" s="106"/>
      <c r="L7798" s="106"/>
      <c r="M7798" s="129"/>
    </row>
    <row r="7799" spans="1:13" s="146" customFormat="1">
      <c r="A7799" s="193" t="s">
        <v>527</v>
      </c>
      <c r="B7799" s="210">
        <v>7</v>
      </c>
      <c r="C7799" s="191" t="str">
        <f>IF('IWP29'!E$459=0,"",'IWP29'!E$459)</f>
        <v/>
      </c>
      <c r="D7799" s="211">
        <f>'IWP29'!G$459</f>
        <v>0</v>
      </c>
      <c r="E7799" s="211">
        <f>'IWP29'!H$459</f>
        <v>0</v>
      </c>
      <c r="F7799" s="211">
        <f>'IWP29'!I$459</f>
        <v>0</v>
      </c>
      <c r="G7799" s="191" t="str">
        <f>IF('IWP29'!J$459=0,"",'IWP29'!J$459)</f>
        <v/>
      </c>
      <c r="H7799" s="211">
        <f>'IWP29'!K$459</f>
        <v>0</v>
      </c>
      <c r="I7799" s="211">
        <f>'IWP29'!L$459</f>
        <v>0</v>
      </c>
      <c r="J7799" s="212">
        <f>'IWP29'!M$459</f>
        <v>0</v>
      </c>
      <c r="K7799" s="106"/>
      <c r="L7799" s="106"/>
      <c r="M7799" s="129"/>
    </row>
    <row r="7800" spans="1:13" s="146" customFormat="1">
      <c r="A7800" s="193" t="s">
        <v>527</v>
      </c>
      <c r="B7800" s="210">
        <v>7</v>
      </c>
      <c r="C7800" s="191" t="str">
        <f>IF('IWP29'!E$460=0,"",'IWP29'!E$460)</f>
        <v/>
      </c>
      <c r="D7800" s="211">
        <f>'IWP29'!G$460</f>
        <v>0</v>
      </c>
      <c r="E7800" s="211">
        <f>'IWP29'!H$460</f>
        <v>0</v>
      </c>
      <c r="F7800" s="211">
        <f>'IWP29'!I$460</f>
        <v>0</v>
      </c>
      <c r="G7800" s="191" t="str">
        <f>IF('IWP29'!J$460=0,"",'IWP29'!J$460)</f>
        <v/>
      </c>
      <c r="H7800" s="211">
        <f>'IWP29'!K$460</f>
        <v>0</v>
      </c>
      <c r="I7800" s="211">
        <f>'IWP29'!L$460</f>
        <v>0</v>
      </c>
      <c r="J7800" s="212">
        <f>'IWP29'!M$460</f>
        <v>0</v>
      </c>
      <c r="K7800" s="106"/>
      <c r="L7800" s="106"/>
      <c r="M7800" s="129"/>
    </row>
    <row r="7801" spans="1:13" s="146" customFormat="1">
      <c r="A7801" s="193" t="s">
        <v>527</v>
      </c>
      <c r="B7801" s="210">
        <v>8</v>
      </c>
      <c r="C7801" s="191" t="str">
        <f>IF('IWP29'!E$467=0,"",'IWP29'!E$467)</f>
        <v>Subtotal column D.</v>
      </c>
      <c r="D7801" s="211">
        <f>'IWP29'!G$467</f>
        <v>0</v>
      </c>
      <c r="E7801" s="211">
        <f>'IWP29'!H$467</f>
        <v>0</v>
      </c>
      <c r="F7801" s="211">
        <f>'IWP29'!I$467</f>
        <v>0</v>
      </c>
      <c r="G7801" s="191" t="str">
        <f>IF('IWP29'!J$467=0,"",'IWP29'!J$467)</f>
        <v/>
      </c>
      <c r="H7801" s="211">
        <f>'IWP29'!K$467</f>
        <v>0</v>
      </c>
      <c r="I7801" s="211">
        <f>'IWP29'!L$467</f>
        <v>0</v>
      </c>
      <c r="J7801" s="212">
        <f>'IWP29'!M$467</f>
        <v>0</v>
      </c>
      <c r="K7801" s="106"/>
      <c r="L7801" s="106"/>
      <c r="M7801" s="129"/>
    </row>
    <row r="7802" spans="1:13" s="146" customFormat="1">
      <c r="A7802" s="193" t="s">
        <v>527</v>
      </c>
      <c r="B7802" s="210">
        <v>8</v>
      </c>
      <c r="C7802" s="191" t="str">
        <f>IF('IWP29'!E$468=0,"",'IWP29'!E$468)</f>
        <v>Unverified/Undocumented (Subtotal D - C)</v>
      </c>
      <c r="D7802" s="211">
        <f>'IWP29'!G$468</f>
        <v>0</v>
      </c>
      <c r="E7802" s="211">
        <f>'IWP29'!H$468</f>
        <v>0</v>
      </c>
      <c r="F7802" s="211">
        <f>'IWP29'!I$468</f>
        <v>0</v>
      </c>
      <c r="G7802" s="191" t="str">
        <f>IF('IWP29'!J$468=0,"",'IWP29'!J$468)</f>
        <v/>
      </c>
      <c r="H7802" s="211">
        <f>'IWP29'!K$468</f>
        <v>0</v>
      </c>
      <c r="I7802" s="211">
        <f>'IWP29'!L$468</f>
        <v>0</v>
      </c>
      <c r="J7802" s="212">
        <f>'IWP29'!M$468</f>
        <v>0</v>
      </c>
      <c r="K7802" s="106"/>
      <c r="L7802" s="106"/>
      <c r="M7802" s="129"/>
    </row>
    <row r="7803" spans="1:13" s="146" customFormat="1">
      <c r="A7803" s="193" t="s">
        <v>527</v>
      </c>
      <c r="B7803" s="210">
        <v>8</v>
      </c>
      <c r="C7803" s="191" t="str">
        <f>IF('IWP29'!E$469=0,"",'IWP29'!E$469)</f>
        <v>J. Billing Period Total</v>
      </c>
      <c r="D7803" s="211">
        <f>'IWP29'!G$469</f>
        <v>0</v>
      </c>
      <c r="E7803" s="211">
        <f>'IWP29'!H$469</f>
        <v>0</v>
      </c>
      <c r="F7803" s="211">
        <f>'IWP29'!I$469</f>
        <v>0</v>
      </c>
      <c r="G7803" s="191" t="str">
        <f>IF('IWP29'!J$469=0,"",'IWP29'!J$469)</f>
        <v/>
      </c>
      <c r="H7803" s="211">
        <f>'IWP29'!K$469</f>
        <v>0</v>
      </c>
      <c r="I7803" s="211">
        <f>'IWP29'!L$469</f>
        <v>0</v>
      </c>
      <c r="J7803" s="212">
        <f>'IWP29'!M$469</f>
        <v>0</v>
      </c>
      <c r="K7803" s="106"/>
      <c r="L7803" s="106"/>
      <c r="M7803" s="129"/>
    </row>
    <row r="7804" spans="1:13" s="146" customFormat="1">
      <c r="A7804" s="193" t="s">
        <v>527</v>
      </c>
      <c r="B7804" s="210">
        <v>8</v>
      </c>
      <c r="C7804" s="191" t="str">
        <f>IF('IWP29'!E$470=0,"",'IWP29'!E$470)</f>
        <v>D.</v>
      </c>
      <c r="D7804" s="211">
        <f>'IWP29'!G$470</f>
        <v>0</v>
      </c>
      <c r="E7804" s="211" t="str">
        <f>'IWP29'!H$470</f>
        <v>E.</v>
      </c>
      <c r="F7804" s="211" t="str">
        <f>'IWP29'!I$470</f>
        <v>F.</v>
      </c>
      <c r="G7804" s="191" t="str">
        <f>IF('IWP29'!J$470=0,"",'IWP29'!J$470)</f>
        <v>G.</v>
      </c>
      <c r="H7804" s="211">
        <f>'IWP29'!K$470</f>
        <v>0</v>
      </c>
      <c r="I7804" s="211" t="str">
        <f>'IWP29'!L$470</f>
        <v>H.</v>
      </c>
      <c r="J7804" s="212" t="str">
        <f>'IWP29'!M$470</f>
        <v>I.</v>
      </c>
      <c r="K7804" s="106"/>
      <c r="L7804" s="106"/>
      <c r="M7804" s="129"/>
    </row>
    <row r="7805" spans="1:13" s="146" customFormat="1">
      <c r="A7805" s="193" t="s">
        <v>527</v>
      </c>
      <c r="B7805" s="210">
        <v>8</v>
      </c>
      <c r="C7805" s="191" t="str">
        <f>IF('IWP29'!E$471=0,"",'IWP29'!E$471)</f>
        <v xml:space="preserve">Items/Services Related to Billing Period </v>
      </c>
      <c r="D7805" s="211">
        <f>'IWP29'!G$471</f>
        <v>0</v>
      </c>
      <c r="E7805" s="211" t="str">
        <f>'IWP29'!H$471</f>
        <v xml:space="preserve">Item/
Service Verified Amounts
</v>
      </c>
      <c r="F7805" s="211" t="str">
        <f>'IWP29'!I$471</f>
        <v>Amount Due to DADS (E. - D.)</v>
      </c>
      <c r="G7805" s="191" t="str">
        <f>IF('IWP29'!J$471=0,"",'IWP29'!J$471)</f>
        <v>Amount Reimbursed to 
Employee(s)/Employer</v>
      </c>
      <c r="H7805" s="211">
        <f>'IWP29'!K$471</f>
        <v>0</v>
      </c>
      <c r="I7805" s="211" t="str">
        <f>'IWP29'!L$471</f>
        <v>Amount Due to Employee(s) (G. - E.)</v>
      </c>
      <c r="J7805" s="212" t="str">
        <f>'IWP29'!M$471</f>
        <v>Amount Due to Employer (G. - E.)</v>
      </c>
      <c r="K7805" s="106"/>
      <c r="L7805" s="106"/>
      <c r="M7805" s="129"/>
    </row>
    <row r="7806" spans="1:13" s="146" customFormat="1">
      <c r="A7806" s="193" t="s">
        <v>527</v>
      </c>
      <c r="B7806" s="210">
        <v>8</v>
      </c>
      <c r="C7806" s="191" t="str">
        <f>IF('IWP29'!E$472=0,"",'IWP29'!E$472)</f>
        <v>Item/Service</v>
      </c>
      <c r="D7806" s="211" t="str">
        <f>'IWP29'!G$472</f>
        <v>Itemized Amount Paid by DADS</v>
      </c>
      <c r="E7806" s="211">
        <f>'IWP29'!H$472</f>
        <v>0</v>
      </c>
      <c r="F7806" s="211">
        <f>'IWP29'!I$472</f>
        <v>0</v>
      </c>
      <c r="G7806" s="191" t="str">
        <f>IF('IWP29'!J$472=0,"",'IWP29'!J$472)</f>
        <v/>
      </c>
      <c r="H7806" s="211">
        <f>'IWP29'!K$472</f>
        <v>0</v>
      </c>
      <c r="I7806" s="211">
        <f>'IWP29'!L$472</f>
        <v>0</v>
      </c>
      <c r="J7806" s="212">
        <f>'IWP29'!M$472</f>
        <v>0</v>
      </c>
      <c r="K7806" s="106"/>
      <c r="L7806" s="106"/>
      <c r="M7806" s="129"/>
    </row>
    <row r="7807" spans="1:13" s="146" customFormat="1">
      <c r="A7807" s="193" t="s">
        <v>527</v>
      </c>
      <c r="B7807" s="210">
        <v>8</v>
      </c>
      <c r="C7807" s="191" t="str">
        <f>IF('IWP29'!E$473=0,"",'IWP29'!E$473)</f>
        <v/>
      </c>
      <c r="D7807" s="211">
        <f>'IWP29'!G$473</f>
        <v>0</v>
      </c>
      <c r="E7807" s="211">
        <f>'IWP29'!H$473</f>
        <v>0</v>
      </c>
      <c r="F7807" s="211">
        <f>'IWP29'!I$473</f>
        <v>0</v>
      </c>
      <c r="G7807" s="191" t="str">
        <f>IF('IWP29'!J$473=0,"",'IWP29'!J$473)</f>
        <v/>
      </c>
      <c r="H7807" s="211">
        <f>'IWP29'!K$473</f>
        <v>0</v>
      </c>
      <c r="I7807" s="211">
        <f>'IWP29'!L$473</f>
        <v>0</v>
      </c>
      <c r="J7807" s="212">
        <f>'IWP29'!M$473</f>
        <v>0</v>
      </c>
      <c r="K7807" s="106"/>
      <c r="L7807" s="106"/>
      <c r="M7807" s="129"/>
    </row>
    <row r="7808" spans="1:13" s="146" customFormat="1">
      <c r="A7808" s="193" t="s">
        <v>527</v>
      </c>
      <c r="B7808" s="210">
        <v>8</v>
      </c>
      <c r="C7808" s="191" t="str">
        <f>IF('IWP29'!E$474=0,"",'IWP29'!E$474)</f>
        <v/>
      </c>
      <c r="D7808" s="211">
        <f>'IWP29'!G$474</f>
        <v>0</v>
      </c>
      <c r="E7808" s="211">
        <f>'IWP29'!H$474</f>
        <v>0</v>
      </c>
      <c r="F7808" s="211">
        <f>'IWP29'!I$474</f>
        <v>0</v>
      </c>
      <c r="G7808" s="191" t="str">
        <f>IF('IWP29'!J$474=0,"",'IWP29'!J$474)</f>
        <v/>
      </c>
      <c r="H7808" s="211">
        <f>'IWP29'!K$474</f>
        <v>0</v>
      </c>
      <c r="I7808" s="211">
        <f>'IWP29'!L$474</f>
        <v>0</v>
      </c>
      <c r="J7808" s="212">
        <f>'IWP29'!M$474</f>
        <v>0</v>
      </c>
      <c r="K7808" s="106"/>
      <c r="L7808" s="106"/>
      <c r="M7808" s="129"/>
    </row>
    <row r="7809" spans="1:13" s="146" customFormat="1">
      <c r="A7809" s="193" t="s">
        <v>527</v>
      </c>
      <c r="B7809" s="210">
        <v>8</v>
      </c>
      <c r="C7809" s="191" t="str">
        <f>IF('IWP29'!E$475=0,"",'IWP29'!E$475)</f>
        <v/>
      </c>
      <c r="D7809" s="211">
        <f>'IWP29'!G$475</f>
        <v>0</v>
      </c>
      <c r="E7809" s="211">
        <f>'IWP29'!H$475</f>
        <v>0</v>
      </c>
      <c r="F7809" s="211">
        <f>'IWP29'!I$475</f>
        <v>0</v>
      </c>
      <c r="G7809" s="191" t="str">
        <f>IF('IWP29'!J$475=0,"",'IWP29'!J$475)</f>
        <v/>
      </c>
      <c r="H7809" s="211">
        <f>'IWP29'!K$475</f>
        <v>0</v>
      </c>
      <c r="I7809" s="211">
        <f>'IWP29'!L$475</f>
        <v>0</v>
      </c>
      <c r="J7809" s="212">
        <f>'IWP29'!M$475</f>
        <v>0</v>
      </c>
      <c r="K7809" s="106"/>
      <c r="L7809" s="106"/>
      <c r="M7809" s="129"/>
    </row>
    <row r="7810" spans="1:13" s="146" customFormat="1">
      <c r="A7810" s="193" t="s">
        <v>527</v>
      </c>
      <c r="B7810" s="210">
        <v>8</v>
      </c>
      <c r="C7810" s="191" t="str">
        <f>IF('IWP29'!E$476=0,"",'IWP29'!E$476)</f>
        <v/>
      </c>
      <c r="D7810" s="211">
        <f>'IWP29'!G$476</f>
        <v>0</v>
      </c>
      <c r="E7810" s="211">
        <f>'IWP29'!H$476</f>
        <v>0</v>
      </c>
      <c r="F7810" s="211">
        <f>'IWP29'!I$476</f>
        <v>0</v>
      </c>
      <c r="G7810" s="191" t="str">
        <f>IF('IWP29'!J$476=0,"",'IWP29'!J$476)</f>
        <v/>
      </c>
      <c r="H7810" s="211">
        <f>'IWP29'!K$476</f>
        <v>0</v>
      </c>
      <c r="I7810" s="211">
        <f>'IWP29'!L$476</f>
        <v>0</v>
      </c>
      <c r="J7810" s="212">
        <f>'IWP29'!M$476</f>
        <v>0</v>
      </c>
      <c r="K7810" s="106"/>
      <c r="L7810" s="106"/>
      <c r="M7810" s="129"/>
    </row>
    <row r="7811" spans="1:13" s="146" customFormat="1">
      <c r="A7811" s="193" t="s">
        <v>527</v>
      </c>
      <c r="B7811" s="210">
        <v>9</v>
      </c>
      <c r="C7811" s="191" t="str">
        <f>IF('IWP29'!E$483=0,"",'IWP29'!E$483)</f>
        <v>Subtotal column D.</v>
      </c>
      <c r="D7811" s="211">
        <f>'IWP29'!G$483</f>
        <v>0</v>
      </c>
      <c r="E7811" s="211">
        <f>'IWP29'!H$483</f>
        <v>0</v>
      </c>
      <c r="F7811" s="211">
        <f>'IWP29'!I$483</f>
        <v>0</v>
      </c>
      <c r="G7811" s="191" t="str">
        <f>IF('IWP29'!J$483=0,"",'IWP29'!J$483)</f>
        <v/>
      </c>
      <c r="H7811" s="211">
        <f>'IWP29'!K$483</f>
        <v>0</v>
      </c>
      <c r="I7811" s="211">
        <f>'IWP29'!L$483</f>
        <v>0</v>
      </c>
      <c r="J7811" s="212">
        <f>'IWP29'!M$483</f>
        <v>0</v>
      </c>
      <c r="K7811" s="106"/>
      <c r="L7811" s="106"/>
      <c r="M7811" s="129"/>
    </row>
    <row r="7812" spans="1:13" s="146" customFormat="1">
      <c r="A7812" s="193" t="s">
        <v>527</v>
      </c>
      <c r="B7812" s="210">
        <v>9</v>
      </c>
      <c r="C7812" s="191" t="str">
        <f>IF('IWP29'!E$484=0,"",'IWP29'!E$484)</f>
        <v>Unverified/Undocumented (Subtotal D - C)</v>
      </c>
      <c r="D7812" s="211">
        <f>'IWP29'!G$484</f>
        <v>0</v>
      </c>
      <c r="E7812" s="211">
        <f>'IWP29'!H$484</f>
        <v>0</v>
      </c>
      <c r="F7812" s="211">
        <f>'IWP29'!I$484</f>
        <v>0</v>
      </c>
      <c r="G7812" s="191" t="str">
        <f>IF('IWP29'!J$484=0,"",'IWP29'!J$484)</f>
        <v/>
      </c>
      <c r="H7812" s="211">
        <f>'IWP29'!K$484</f>
        <v>0</v>
      </c>
      <c r="I7812" s="211">
        <f>'IWP29'!L$484</f>
        <v>0</v>
      </c>
      <c r="J7812" s="212">
        <f>'IWP29'!M$484</f>
        <v>0</v>
      </c>
      <c r="K7812" s="106"/>
      <c r="L7812" s="106"/>
      <c r="M7812" s="129"/>
    </row>
    <row r="7813" spans="1:13" s="146" customFormat="1">
      <c r="A7813" s="193" t="s">
        <v>527</v>
      </c>
      <c r="B7813" s="210">
        <v>9</v>
      </c>
      <c r="C7813" s="191" t="str">
        <f>IF('IWP29'!E$485=0,"",'IWP29'!E$485)</f>
        <v>J. Billing Period Total</v>
      </c>
      <c r="D7813" s="211">
        <f>'IWP29'!G$485</f>
        <v>0</v>
      </c>
      <c r="E7813" s="211">
        <f>'IWP29'!H$485</f>
        <v>0</v>
      </c>
      <c r="F7813" s="211">
        <f>'IWP29'!I$485</f>
        <v>0</v>
      </c>
      <c r="G7813" s="191" t="str">
        <f>IF('IWP29'!J$485=0,"",'IWP29'!J$485)</f>
        <v/>
      </c>
      <c r="H7813" s="211">
        <f>'IWP29'!K$485</f>
        <v>0</v>
      </c>
      <c r="I7813" s="211">
        <f>'IWP29'!L$485</f>
        <v>0</v>
      </c>
      <c r="J7813" s="212">
        <f>'IWP29'!M$485</f>
        <v>0</v>
      </c>
      <c r="K7813" s="106"/>
      <c r="L7813" s="106"/>
      <c r="M7813" s="129"/>
    </row>
    <row r="7814" spans="1:13" s="146" customFormat="1">
      <c r="A7814" s="193" t="s">
        <v>527</v>
      </c>
      <c r="B7814" s="210">
        <v>9</v>
      </c>
      <c r="C7814" s="191" t="str">
        <f>IF('IWP29'!E$486=0,"",'IWP29'!E$486)</f>
        <v>D.</v>
      </c>
      <c r="D7814" s="211">
        <f>'IWP29'!G$486</f>
        <v>0</v>
      </c>
      <c r="E7814" s="211" t="str">
        <f>'IWP29'!H$486</f>
        <v>E.</v>
      </c>
      <c r="F7814" s="211" t="str">
        <f>'IWP29'!I$486</f>
        <v>F.</v>
      </c>
      <c r="G7814" s="191" t="str">
        <f>IF('IWP29'!J$486=0,"",'IWP29'!J$486)</f>
        <v>G.</v>
      </c>
      <c r="H7814" s="211">
        <f>'IWP29'!K$486</f>
        <v>0</v>
      </c>
      <c r="I7814" s="211" t="str">
        <f>'IWP29'!L$486</f>
        <v>H.</v>
      </c>
      <c r="J7814" s="212" t="str">
        <f>'IWP29'!M$486</f>
        <v>I.</v>
      </c>
      <c r="K7814" s="106"/>
      <c r="L7814" s="106"/>
      <c r="M7814" s="129"/>
    </row>
    <row r="7815" spans="1:13" s="146" customFormat="1">
      <c r="A7815" s="193" t="s">
        <v>527</v>
      </c>
      <c r="B7815" s="210">
        <v>9</v>
      </c>
      <c r="C7815" s="191" t="str">
        <f>IF('IWP29'!E$487=0,"",'IWP29'!E$487)</f>
        <v xml:space="preserve">Items/Services Related to Billing Period </v>
      </c>
      <c r="D7815" s="211">
        <f>'IWP29'!G$487</f>
        <v>0</v>
      </c>
      <c r="E7815" s="211" t="str">
        <f>'IWP29'!H$487</f>
        <v xml:space="preserve">Item/
Service Verified Amounts
</v>
      </c>
      <c r="F7815" s="211" t="str">
        <f>'IWP29'!I$487</f>
        <v>Amount Due to DADS (E. - D.)</v>
      </c>
      <c r="G7815" s="191" t="str">
        <f>IF('IWP29'!J$487=0,"",'IWP29'!J$487)</f>
        <v>Amount Reimbursed to 
Employee(s)/Employer</v>
      </c>
      <c r="H7815" s="211">
        <f>'IWP29'!K$487</f>
        <v>0</v>
      </c>
      <c r="I7815" s="211" t="str">
        <f>'IWP29'!L$487</f>
        <v>Amount Due to Employee(s) (G. - E.)</v>
      </c>
      <c r="J7815" s="212" t="str">
        <f>'IWP29'!M$487</f>
        <v>Amount Due to Employer (G. - E.)</v>
      </c>
      <c r="K7815" s="106"/>
      <c r="L7815" s="106"/>
      <c r="M7815" s="129"/>
    </row>
    <row r="7816" spans="1:13" s="146" customFormat="1">
      <c r="A7816" s="193" t="s">
        <v>527</v>
      </c>
      <c r="B7816" s="210">
        <v>9</v>
      </c>
      <c r="C7816" s="191" t="str">
        <f>IF('IWP29'!E$488=0,"",'IWP29'!E$488)</f>
        <v>Item/Service</v>
      </c>
      <c r="D7816" s="211" t="str">
        <f>'IWP29'!G$488</f>
        <v>Itemized Amount Paid by DADS</v>
      </c>
      <c r="E7816" s="211">
        <f>'IWP29'!H$488</f>
        <v>0</v>
      </c>
      <c r="F7816" s="211">
        <f>'IWP29'!I$488</f>
        <v>0</v>
      </c>
      <c r="G7816" s="191" t="str">
        <f>IF('IWP29'!J$488=0,"",'IWP29'!J$488)</f>
        <v/>
      </c>
      <c r="H7816" s="211">
        <f>'IWP29'!K$488</f>
        <v>0</v>
      </c>
      <c r="I7816" s="211">
        <f>'IWP29'!L$488</f>
        <v>0</v>
      </c>
      <c r="J7816" s="212">
        <f>'IWP29'!M$488</f>
        <v>0</v>
      </c>
      <c r="K7816" s="106"/>
      <c r="L7816" s="106"/>
      <c r="M7816" s="129"/>
    </row>
    <row r="7817" spans="1:13" s="146" customFormat="1">
      <c r="A7817" s="193" t="s">
        <v>527</v>
      </c>
      <c r="B7817" s="210">
        <v>9</v>
      </c>
      <c r="C7817" s="191" t="str">
        <f>IF('IWP29'!E$489=0,"",'IWP29'!E$489)</f>
        <v/>
      </c>
      <c r="D7817" s="211">
        <f>'IWP29'!G$489</f>
        <v>0</v>
      </c>
      <c r="E7817" s="211">
        <f>'IWP29'!H$489</f>
        <v>0</v>
      </c>
      <c r="F7817" s="211">
        <f>'IWP29'!I$489</f>
        <v>0</v>
      </c>
      <c r="G7817" s="191" t="str">
        <f>IF('IWP29'!J$489=0,"",'IWP29'!J$489)</f>
        <v/>
      </c>
      <c r="H7817" s="211">
        <f>'IWP29'!K$489</f>
        <v>0</v>
      </c>
      <c r="I7817" s="211">
        <f>'IWP29'!L$489</f>
        <v>0</v>
      </c>
      <c r="J7817" s="212">
        <f>'IWP29'!M$489</f>
        <v>0</v>
      </c>
      <c r="K7817" s="106"/>
      <c r="L7817" s="106"/>
      <c r="M7817" s="129"/>
    </row>
    <row r="7818" spans="1:13" s="146" customFormat="1">
      <c r="A7818" s="193" t="s">
        <v>527</v>
      </c>
      <c r="B7818" s="210">
        <v>9</v>
      </c>
      <c r="C7818" s="191" t="str">
        <f>IF('IWP29'!E$490=0,"",'IWP29'!E$490)</f>
        <v/>
      </c>
      <c r="D7818" s="211">
        <f>'IWP29'!G$490</f>
        <v>0</v>
      </c>
      <c r="E7818" s="211">
        <f>'IWP29'!H$490</f>
        <v>0</v>
      </c>
      <c r="F7818" s="211">
        <f>'IWP29'!I$490</f>
        <v>0</v>
      </c>
      <c r="G7818" s="191" t="str">
        <f>IF('IWP29'!J$490=0,"",'IWP29'!J$490)</f>
        <v/>
      </c>
      <c r="H7818" s="211">
        <f>'IWP29'!K$490</f>
        <v>0</v>
      </c>
      <c r="I7818" s="211">
        <f>'IWP29'!L$490</f>
        <v>0</v>
      </c>
      <c r="J7818" s="212">
        <f>'IWP29'!M$490</f>
        <v>0</v>
      </c>
      <c r="K7818" s="106"/>
      <c r="L7818" s="106"/>
      <c r="M7818" s="129"/>
    </row>
    <row r="7819" spans="1:13" s="146" customFormat="1">
      <c r="A7819" s="193" t="s">
        <v>527</v>
      </c>
      <c r="B7819" s="210">
        <v>9</v>
      </c>
      <c r="C7819" s="191" t="str">
        <f>IF('IWP29'!E$491=0,"",'IWP29'!E$491)</f>
        <v/>
      </c>
      <c r="D7819" s="211">
        <f>'IWP29'!G$491</f>
        <v>0</v>
      </c>
      <c r="E7819" s="211">
        <f>'IWP29'!H$491</f>
        <v>0</v>
      </c>
      <c r="F7819" s="211">
        <f>'IWP29'!I$491</f>
        <v>0</v>
      </c>
      <c r="G7819" s="191" t="str">
        <f>IF('IWP29'!J$491=0,"",'IWP29'!J$491)</f>
        <v/>
      </c>
      <c r="H7819" s="211">
        <f>'IWP29'!K$491</f>
        <v>0</v>
      </c>
      <c r="I7819" s="211">
        <f>'IWP29'!L$491</f>
        <v>0</v>
      </c>
      <c r="J7819" s="212">
        <f>'IWP29'!M$491</f>
        <v>0</v>
      </c>
      <c r="K7819" s="106"/>
      <c r="L7819" s="106"/>
      <c r="M7819" s="129"/>
    </row>
    <row r="7820" spans="1:13" s="146" customFormat="1">
      <c r="A7820" s="193" t="s">
        <v>527</v>
      </c>
      <c r="B7820" s="210">
        <v>9</v>
      </c>
      <c r="C7820" s="191" t="str">
        <f>IF('IWP29'!E$492=0,"",'IWP29'!E$492)</f>
        <v/>
      </c>
      <c r="D7820" s="211">
        <f>'IWP29'!G$492</f>
        <v>0</v>
      </c>
      <c r="E7820" s="211">
        <f>'IWP29'!H$492</f>
        <v>0</v>
      </c>
      <c r="F7820" s="211">
        <f>'IWP29'!I$492</f>
        <v>0</v>
      </c>
      <c r="G7820" s="191" t="str">
        <f>IF('IWP29'!J$492=0,"",'IWP29'!J$492)</f>
        <v/>
      </c>
      <c r="H7820" s="211">
        <f>'IWP29'!K$492</f>
        <v>0</v>
      </c>
      <c r="I7820" s="211">
        <f>'IWP29'!L$492</f>
        <v>0</v>
      </c>
      <c r="J7820" s="212">
        <f>'IWP29'!M$492</f>
        <v>0</v>
      </c>
      <c r="K7820" s="106"/>
      <c r="L7820" s="106"/>
      <c r="M7820" s="129"/>
    </row>
    <row r="7821" spans="1:13" s="146" customFormat="1">
      <c r="A7821" s="193" t="s">
        <v>527</v>
      </c>
      <c r="B7821" s="210">
        <v>10</v>
      </c>
      <c r="C7821" s="191" t="str">
        <f>IF('IWP29'!E$499=0,"",'IWP29'!E$499)</f>
        <v>Subtotal column D.</v>
      </c>
      <c r="D7821" s="211">
        <f>'IWP29'!G$499</f>
        <v>0</v>
      </c>
      <c r="E7821" s="211">
        <f>'IWP29'!H$499</f>
        <v>0</v>
      </c>
      <c r="F7821" s="211">
        <f>'IWP29'!I$499</f>
        <v>0</v>
      </c>
      <c r="G7821" s="191" t="str">
        <f>IF('IWP29'!J$499=0,"",'IWP29'!J$499)</f>
        <v/>
      </c>
      <c r="H7821" s="211">
        <f>'IWP29'!K$499</f>
        <v>0</v>
      </c>
      <c r="I7821" s="211">
        <f>'IWP29'!L$499</f>
        <v>0</v>
      </c>
      <c r="J7821" s="212">
        <f>'IWP29'!M$499</f>
        <v>0</v>
      </c>
      <c r="K7821" s="106"/>
      <c r="L7821" s="106"/>
      <c r="M7821" s="129"/>
    </row>
    <row r="7822" spans="1:13" s="146" customFormat="1">
      <c r="A7822" s="193" t="s">
        <v>527</v>
      </c>
      <c r="B7822" s="210">
        <v>10</v>
      </c>
      <c r="C7822" s="191" t="str">
        <f>IF('IWP29'!E$500=0,"",'IWP29'!E$500)</f>
        <v>Unverified/Undocumented (Subtotal D - C)</v>
      </c>
      <c r="D7822" s="211">
        <f>'IWP29'!G$500</f>
        <v>0</v>
      </c>
      <c r="E7822" s="211">
        <f>'IWP29'!H$500</f>
        <v>0</v>
      </c>
      <c r="F7822" s="211">
        <f>'IWP29'!I$500</f>
        <v>0</v>
      </c>
      <c r="G7822" s="191" t="str">
        <f>IF('IWP29'!J$500=0,"",'IWP29'!J$500)</f>
        <v/>
      </c>
      <c r="H7822" s="211">
        <f>'IWP29'!K$500</f>
        <v>0</v>
      </c>
      <c r="I7822" s="211">
        <f>'IWP29'!L$500</f>
        <v>0</v>
      </c>
      <c r="J7822" s="212">
        <f>'IWP29'!M$500</f>
        <v>0</v>
      </c>
      <c r="K7822" s="106"/>
      <c r="L7822" s="106"/>
      <c r="M7822" s="129"/>
    </row>
    <row r="7823" spans="1:13" s="146" customFormat="1">
      <c r="A7823" s="193" t="s">
        <v>527</v>
      </c>
      <c r="B7823" s="210">
        <v>10</v>
      </c>
      <c r="C7823" s="191" t="str">
        <f>IF('IWP29'!E$501=0,"",'IWP29'!E$501)</f>
        <v>J. Billing Period Total</v>
      </c>
      <c r="D7823" s="211">
        <f>'IWP29'!G$501</f>
        <v>0</v>
      </c>
      <c r="E7823" s="211">
        <f>'IWP29'!H$501</f>
        <v>0</v>
      </c>
      <c r="F7823" s="211">
        <f>'IWP29'!I$501</f>
        <v>0</v>
      </c>
      <c r="G7823" s="191" t="str">
        <f>IF('IWP29'!J$501=0,"",'IWP29'!J$501)</f>
        <v/>
      </c>
      <c r="H7823" s="211">
        <f>'IWP29'!K$501</f>
        <v>0</v>
      </c>
      <c r="I7823" s="211">
        <f>'IWP29'!L$501</f>
        <v>0</v>
      </c>
      <c r="J7823" s="212">
        <f>'IWP29'!M$501</f>
        <v>0</v>
      </c>
      <c r="K7823" s="106"/>
      <c r="L7823" s="106"/>
      <c r="M7823" s="129"/>
    </row>
    <row r="7824" spans="1:13" s="146" customFormat="1">
      <c r="A7824" s="193" t="s">
        <v>527</v>
      </c>
      <c r="B7824" s="210">
        <v>10</v>
      </c>
      <c r="C7824" s="191" t="str">
        <f>IF('IWP29'!E$502=0,"",'IWP29'!E$502)</f>
        <v>D.</v>
      </c>
      <c r="D7824" s="211">
        <f>'IWP29'!G$502</f>
        <v>0</v>
      </c>
      <c r="E7824" s="211" t="str">
        <f>'IWP29'!H$502</f>
        <v>E.</v>
      </c>
      <c r="F7824" s="211" t="str">
        <f>'IWP29'!I$502</f>
        <v>F.</v>
      </c>
      <c r="G7824" s="191" t="str">
        <f>IF('IWP29'!J$502=0,"",'IWP29'!J$502)</f>
        <v>G.</v>
      </c>
      <c r="H7824" s="211">
        <f>'IWP29'!K$502</f>
        <v>0</v>
      </c>
      <c r="I7824" s="211" t="str">
        <f>'IWP29'!L$502</f>
        <v>H.</v>
      </c>
      <c r="J7824" s="212" t="str">
        <f>'IWP29'!M$502</f>
        <v>I.</v>
      </c>
      <c r="K7824" s="106"/>
      <c r="L7824" s="106"/>
      <c r="M7824" s="129"/>
    </row>
    <row r="7825" spans="1:13" s="146" customFormat="1">
      <c r="A7825" s="193" t="s">
        <v>527</v>
      </c>
      <c r="B7825" s="210">
        <v>10</v>
      </c>
      <c r="C7825" s="191" t="str">
        <f>IF('IWP29'!E$503=0,"",'IWP29'!E$503)</f>
        <v xml:space="preserve">Items/Services Related to Billing Period </v>
      </c>
      <c r="D7825" s="211">
        <f>'IWP29'!G$503</f>
        <v>0</v>
      </c>
      <c r="E7825" s="211" t="str">
        <f>'IWP29'!H$503</f>
        <v xml:space="preserve">Item/
Service Verified Amounts
</v>
      </c>
      <c r="F7825" s="211" t="str">
        <f>'IWP29'!I$503</f>
        <v>Amount Due to DADS (E. - D.)</v>
      </c>
      <c r="G7825" s="191" t="str">
        <f>IF('IWP29'!J$503=0,"",'IWP29'!J$503)</f>
        <v>Amount Reimbursed to 
Employee(s)/Employer</v>
      </c>
      <c r="H7825" s="211">
        <f>'IWP29'!K$503</f>
        <v>0</v>
      </c>
      <c r="I7825" s="211" t="str">
        <f>'IWP29'!L$503</f>
        <v>Amount Due to Employee(s) (G. - E.)</v>
      </c>
      <c r="J7825" s="212" t="str">
        <f>'IWP29'!M$503</f>
        <v>Amount Due to Employer (G. - E.)</v>
      </c>
      <c r="K7825" s="106"/>
      <c r="L7825" s="106"/>
      <c r="M7825" s="129"/>
    </row>
    <row r="7826" spans="1:13" s="146" customFormat="1">
      <c r="A7826" s="193" t="s">
        <v>527</v>
      </c>
      <c r="B7826" s="210">
        <v>10</v>
      </c>
      <c r="C7826" s="191" t="str">
        <f>IF('IWP29'!E$504=0,"",'IWP29'!E$504)</f>
        <v>Item/Service</v>
      </c>
      <c r="D7826" s="211" t="str">
        <f>'IWP29'!G$504</f>
        <v>Itemized Amount Paid by DADS</v>
      </c>
      <c r="E7826" s="211">
        <f>'IWP29'!H$504</f>
        <v>0</v>
      </c>
      <c r="F7826" s="211">
        <f>'IWP29'!I$504</f>
        <v>0</v>
      </c>
      <c r="G7826" s="191" t="str">
        <f>IF('IWP29'!J$504=0,"",'IWP29'!J$504)</f>
        <v/>
      </c>
      <c r="H7826" s="211">
        <f>'IWP29'!K$504</f>
        <v>0</v>
      </c>
      <c r="I7826" s="211">
        <f>'IWP29'!L$504</f>
        <v>0</v>
      </c>
      <c r="J7826" s="212">
        <f>'IWP29'!M$504</f>
        <v>0</v>
      </c>
      <c r="K7826" s="106"/>
      <c r="L7826" s="106"/>
      <c r="M7826" s="129"/>
    </row>
    <row r="7827" spans="1:13" s="146" customFormat="1">
      <c r="A7827" s="193" t="s">
        <v>527</v>
      </c>
      <c r="B7827" s="210">
        <v>10</v>
      </c>
      <c r="C7827" s="191" t="str">
        <f>IF('IWP29'!E$505=0,"",'IWP29'!E$505)</f>
        <v/>
      </c>
      <c r="D7827" s="211">
        <f>'IWP29'!G$505</f>
        <v>0</v>
      </c>
      <c r="E7827" s="211">
        <f>'IWP29'!H$505</f>
        <v>0</v>
      </c>
      <c r="F7827" s="211">
        <f>'IWP29'!I$505</f>
        <v>0</v>
      </c>
      <c r="G7827" s="191" t="str">
        <f>IF('IWP29'!J$505=0,"",'IWP29'!J$505)</f>
        <v/>
      </c>
      <c r="H7827" s="211">
        <f>'IWP29'!K$505</f>
        <v>0</v>
      </c>
      <c r="I7827" s="211">
        <f>'IWP29'!L$505</f>
        <v>0</v>
      </c>
      <c r="J7827" s="212">
        <f>'IWP29'!M$505</f>
        <v>0</v>
      </c>
      <c r="K7827" s="106"/>
      <c r="L7827" s="106"/>
      <c r="M7827" s="129"/>
    </row>
    <row r="7828" spans="1:13" s="146" customFormat="1">
      <c r="A7828" s="193" t="s">
        <v>527</v>
      </c>
      <c r="B7828" s="210">
        <v>10</v>
      </c>
      <c r="C7828" s="191" t="str">
        <f>IF('IWP29'!E$506=0,"",'IWP29'!E$506)</f>
        <v/>
      </c>
      <c r="D7828" s="211">
        <f>'IWP29'!G$506</f>
        <v>0</v>
      </c>
      <c r="E7828" s="211">
        <f>'IWP29'!H$506</f>
        <v>0</v>
      </c>
      <c r="F7828" s="211">
        <f>'IWP29'!I$506</f>
        <v>0</v>
      </c>
      <c r="G7828" s="191" t="str">
        <f>IF('IWP29'!J$506=0,"",'IWP29'!J$506)</f>
        <v/>
      </c>
      <c r="H7828" s="211">
        <f>'IWP29'!K$506</f>
        <v>0</v>
      </c>
      <c r="I7828" s="211">
        <f>'IWP29'!L$506</f>
        <v>0</v>
      </c>
      <c r="J7828" s="212">
        <f>'IWP29'!M$506</f>
        <v>0</v>
      </c>
      <c r="K7828" s="106"/>
      <c r="L7828" s="106"/>
      <c r="M7828" s="129"/>
    </row>
    <row r="7829" spans="1:13" s="146" customFormat="1">
      <c r="A7829" s="193" t="s">
        <v>527</v>
      </c>
      <c r="B7829" s="210">
        <v>10</v>
      </c>
      <c r="C7829" s="191" t="str">
        <f>IF('IWP29'!E$507=0,"",'IWP29'!E$507)</f>
        <v/>
      </c>
      <c r="D7829" s="211">
        <f>'IWP29'!G$507</f>
        <v>0</v>
      </c>
      <c r="E7829" s="211">
        <f>'IWP29'!H$507</f>
        <v>0</v>
      </c>
      <c r="F7829" s="211">
        <f>'IWP29'!I$507</f>
        <v>0</v>
      </c>
      <c r="G7829" s="191" t="str">
        <f>IF('IWP29'!J$507=0,"",'IWP29'!J$507)</f>
        <v/>
      </c>
      <c r="H7829" s="211">
        <f>'IWP29'!K$507</f>
        <v>0</v>
      </c>
      <c r="I7829" s="211">
        <f>'IWP29'!L$507</f>
        <v>0</v>
      </c>
      <c r="J7829" s="212">
        <f>'IWP29'!M$507</f>
        <v>0</v>
      </c>
      <c r="K7829" s="106"/>
      <c r="L7829" s="106"/>
      <c r="M7829" s="129"/>
    </row>
    <row r="7830" spans="1:13" s="146" customFormat="1">
      <c r="A7830" s="193" t="s">
        <v>527</v>
      </c>
      <c r="B7830" s="210">
        <v>10</v>
      </c>
      <c r="C7830" s="191" t="str">
        <f>IF('IWP29'!E$508=0,"",'IWP29'!E$508)</f>
        <v/>
      </c>
      <c r="D7830" s="211">
        <f>'IWP29'!G$508</f>
        <v>0</v>
      </c>
      <c r="E7830" s="211">
        <f>'IWP29'!H$508</f>
        <v>0</v>
      </c>
      <c r="F7830" s="211">
        <f>'IWP29'!I$508</f>
        <v>0</v>
      </c>
      <c r="G7830" s="191" t="str">
        <f>IF('IWP29'!J$508=0,"",'IWP29'!J$508)</f>
        <v/>
      </c>
      <c r="H7830" s="211">
        <f>'IWP29'!K$508</f>
        <v>0</v>
      </c>
      <c r="I7830" s="211">
        <f>'IWP29'!L$508</f>
        <v>0</v>
      </c>
      <c r="J7830" s="212">
        <f>'IWP29'!M$508</f>
        <v>0</v>
      </c>
      <c r="K7830" s="106"/>
      <c r="L7830" s="106"/>
      <c r="M7830" s="129"/>
    </row>
    <row r="7831" spans="1:13" s="146" customFormat="1">
      <c r="A7831" s="193" t="s">
        <v>527</v>
      </c>
      <c r="B7831" s="210">
        <v>11</v>
      </c>
      <c r="C7831" s="191" t="str">
        <f>IF('IWP29'!E$515=0,"",'IWP29'!E$515)</f>
        <v>Subtotal column D.</v>
      </c>
      <c r="D7831" s="211">
        <f>'IWP29'!G$515</f>
        <v>0</v>
      </c>
      <c r="E7831" s="211">
        <f>'IWP29'!H$515</f>
        <v>0</v>
      </c>
      <c r="F7831" s="211">
        <f>'IWP29'!I$515</f>
        <v>0</v>
      </c>
      <c r="G7831" s="191" t="str">
        <f>IF('IWP29'!J$515=0,"",'IWP29'!J$515)</f>
        <v/>
      </c>
      <c r="H7831" s="211">
        <f>'IWP29'!K$515</f>
        <v>0</v>
      </c>
      <c r="I7831" s="211">
        <f>'IWP29'!L$515</f>
        <v>0</v>
      </c>
      <c r="J7831" s="212">
        <f>'IWP29'!M$515</f>
        <v>0</v>
      </c>
      <c r="K7831" s="106"/>
      <c r="L7831" s="106"/>
      <c r="M7831" s="129"/>
    </row>
    <row r="7832" spans="1:13" s="146" customFormat="1">
      <c r="A7832" s="193" t="s">
        <v>527</v>
      </c>
      <c r="B7832" s="210">
        <v>11</v>
      </c>
      <c r="C7832" s="191" t="str">
        <f>IF('IWP29'!E$516=0,"",'IWP29'!E$516)</f>
        <v>Unverified/Undocumented (Subtotal D - C)</v>
      </c>
      <c r="D7832" s="211">
        <f>'IWP29'!G$516</f>
        <v>0</v>
      </c>
      <c r="E7832" s="211">
        <f>'IWP29'!H$516</f>
        <v>0</v>
      </c>
      <c r="F7832" s="211">
        <f>'IWP29'!I$516</f>
        <v>0</v>
      </c>
      <c r="G7832" s="191" t="str">
        <f>IF('IWP29'!J$516=0,"",'IWP29'!J$516)</f>
        <v/>
      </c>
      <c r="H7832" s="211">
        <f>'IWP29'!K$516</f>
        <v>0</v>
      </c>
      <c r="I7832" s="211">
        <f>'IWP29'!L$516</f>
        <v>0</v>
      </c>
      <c r="J7832" s="212">
        <f>'IWP29'!M$516</f>
        <v>0</v>
      </c>
      <c r="K7832" s="106"/>
      <c r="L7832" s="106"/>
      <c r="M7832" s="129"/>
    </row>
    <row r="7833" spans="1:13" s="146" customFormat="1">
      <c r="A7833" s="193" t="s">
        <v>527</v>
      </c>
      <c r="B7833" s="210">
        <v>11</v>
      </c>
      <c r="C7833" s="191" t="str">
        <f>IF('IWP29'!E$517=0,"",'IWP29'!E$517)</f>
        <v>J. Billing Period Total</v>
      </c>
      <c r="D7833" s="211">
        <f>'IWP29'!G$517</f>
        <v>0</v>
      </c>
      <c r="E7833" s="211">
        <f>'IWP29'!H$517</f>
        <v>0</v>
      </c>
      <c r="F7833" s="211">
        <f>'IWP29'!I$517</f>
        <v>0</v>
      </c>
      <c r="G7833" s="191" t="str">
        <f>IF('IWP29'!J$517=0,"",'IWP29'!J$517)</f>
        <v/>
      </c>
      <c r="H7833" s="211">
        <f>'IWP29'!K$517</f>
        <v>0</v>
      </c>
      <c r="I7833" s="211">
        <f>'IWP29'!L$517</f>
        <v>0</v>
      </c>
      <c r="J7833" s="212">
        <f>'IWP29'!M$517</f>
        <v>0</v>
      </c>
      <c r="K7833" s="106"/>
      <c r="L7833" s="106"/>
      <c r="M7833" s="129"/>
    </row>
    <row r="7834" spans="1:13" s="146" customFormat="1">
      <c r="A7834" s="193" t="s">
        <v>527</v>
      </c>
      <c r="B7834" s="210">
        <v>11</v>
      </c>
      <c r="C7834" s="191" t="str">
        <f>IF('IWP29'!E$518=0,"",'IWP29'!E$518)</f>
        <v>D.</v>
      </c>
      <c r="D7834" s="211">
        <f>'IWP29'!G$518</f>
        <v>0</v>
      </c>
      <c r="E7834" s="211" t="str">
        <f>'IWP29'!H$518</f>
        <v>E.</v>
      </c>
      <c r="F7834" s="211" t="str">
        <f>'IWP29'!I$518</f>
        <v>F.</v>
      </c>
      <c r="G7834" s="191" t="str">
        <f>IF('IWP29'!J$518=0,"",'IWP29'!J$518)</f>
        <v>G.</v>
      </c>
      <c r="H7834" s="211">
        <f>'IWP29'!K$518</f>
        <v>0</v>
      </c>
      <c r="I7834" s="211" t="str">
        <f>'IWP29'!L$518</f>
        <v>H.</v>
      </c>
      <c r="J7834" s="212" t="str">
        <f>'IWP29'!M$518</f>
        <v>I.</v>
      </c>
      <c r="K7834" s="106"/>
      <c r="L7834" s="106"/>
      <c r="M7834" s="129"/>
    </row>
    <row r="7835" spans="1:13" s="146" customFormat="1">
      <c r="A7835" s="193" t="s">
        <v>527</v>
      </c>
      <c r="B7835" s="210">
        <v>11</v>
      </c>
      <c r="C7835" s="191" t="str">
        <f>IF('IWP29'!E$519=0,"",'IWP29'!E$519)</f>
        <v xml:space="preserve">Items/Services Related to Billing Period </v>
      </c>
      <c r="D7835" s="211">
        <f>'IWP29'!G$519</f>
        <v>0</v>
      </c>
      <c r="E7835" s="211" t="str">
        <f>'IWP29'!H$519</f>
        <v xml:space="preserve">Item/
Service Verified Amounts
</v>
      </c>
      <c r="F7835" s="211" t="str">
        <f>'IWP29'!I$519</f>
        <v>Amount Due to DADS (E. - D.)</v>
      </c>
      <c r="G7835" s="191" t="str">
        <f>IF('IWP29'!J$519=0,"",'IWP29'!J$519)</f>
        <v>Amount Reimbursed to 
Employee(s)/Employer</v>
      </c>
      <c r="H7835" s="211">
        <f>'IWP29'!K$519</f>
        <v>0</v>
      </c>
      <c r="I7835" s="211" t="str">
        <f>'IWP29'!L$519</f>
        <v>Amount Due to Employee(s) (G. - E.)</v>
      </c>
      <c r="J7835" s="212" t="str">
        <f>'IWP29'!M$519</f>
        <v>Amount Due to Employer (G. - E.)</v>
      </c>
      <c r="K7835" s="106"/>
      <c r="L7835" s="106"/>
      <c r="M7835" s="129"/>
    </row>
    <row r="7836" spans="1:13" s="146" customFormat="1">
      <c r="A7836" s="193" t="s">
        <v>527</v>
      </c>
      <c r="B7836" s="210">
        <v>11</v>
      </c>
      <c r="C7836" s="191" t="str">
        <f>IF('IWP29'!E$520=0,"",'IWP29'!E$520)</f>
        <v>Item/Service</v>
      </c>
      <c r="D7836" s="211" t="str">
        <f>'IWP29'!G$520</f>
        <v>Itemized Amount Paid by DADS</v>
      </c>
      <c r="E7836" s="211">
        <f>'IWP29'!H$520</f>
        <v>0</v>
      </c>
      <c r="F7836" s="211">
        <f>'IWP29'!I$520</f>
        <v>0</v>
      </c>
      <c r="G7836" s="191" t="str">
        <f>IF('IWP29'!J$520=0,"",'IWP29'!J$520)</f>
        <v/>
      </c>
      <c r="H7836" s="211">
        <f>'IWP29'!K$520</f>
        <v>0</v>
      </c>
      <c r="I7836" s="211">
        <f>'IWP29'!L$520</f>
        <v>0</v>
      </c>
      <c r="J7836" s="212">
        <f>'IWP29'!M$520</f>
        <v>0</v>
      </c>
      <c r="K7836" s="106"/>
      <c r="L7836" s="106"/>
      <c r="M7836" s="129"/>
    </row>
    <row r="7837" spans="1:13" s="146" customFormat="1">
      <c r="A7837" s="193" t="s">
        <v>527</v>
      </c>
      <c r="B7837" s="210">
        <v>11</v>
      </c>
      <c r="C7837" s="191" t="str">
        <f>IF('IWP29'!E$521=0,"",'IWP29'!E$521)</f>
        <v/>
      </c>
      <c r="D7837" s="211">
        <f>'IWP29'!G$521</f>
        <v>0</v>
      </c>
      <c r="E7837" s="211">
        <f>'IWP29'!H$521</f>
        <v>0</v>
      </c>
      <c r="F7837" s="211">
        <f>'IWP29'!I$521</f>
        <v>0</v>
      </c>
      <c r="G7837" s="191" t="str">
        <f>IF('IWP29'!J$521=0,"",'IWP29'!J$521)</f>
        <v/>
      </c>
      <c r="H7837" s="211">
        <f>'IWP29'!K$521</f>
        <v>0</v>
      </c>
      <c r="I7837" s="211">
        <f>'IWP29'!L$521</f>
        <v>0</v>
      </c>
      <c r="J7837" s="212">
        <f>'IWP29'!M$521</f>
        <v>0</v>
      </c>
      <c r="K7837" s="106"/>
      <c r="L7837" s="106"/>
      <c r="M7837" s="129"/>
    </row>
    <row r="7838" spans="1:13" s="146" customFormat="1">
      <c r="A7838" s="193" t="s">
        <v>527</v>
      </c>
      <c r="B7838" s="210">
        <v>11</v>
      </c>
      <c r="C7838" s="191" t="str">
        <f>IF('IWP29'!E$522=0,"",'IWP29'!E$522)</f>
        <v/>
      </c>
      <c r="D7838" s="211">
        <f>'IWP29'!G$522</f>
        <v>0</v>
      </c>
      <c r="E7838" s="211">
        <f>'IWP29'!H$522</f>
        <v>0</v>
      </c>
      <c r="F7838" s="211">
        <f>'IWP29'!I$522</f>
        <v>0</v>
      </c>
      <c r="G7838" s="191" t="str">
        <f>IF('IWP29'!J$522=0,"",'IWP29'!J$522)</f>
        <v/>
      </c>
      <c r="H7838" s="211">
        <f>'IWP29'!K$522</f>
        <v>0</v>
      </c>
      <c r="I7838" s="211">
        <f>'IWP29'!L$522</f>
        <v>0</v>
      </c>
      <c r="J7838" s="212">
        <f>'IWP29'!M$522</f>
        <v>0</v>
      </c>
      <c r="K7838" s="106"/>
      <c r="L7838" s="106"/>
      <c r="M7838" s="129"/>
    </row>
    <row r="7839" spans="1:13" s="146" customFormat="1">
      <c r="A7839" s="193" t="s">
        <v>527</v>
      </c>
      <c r="B7839" s="210">
        <v>11</v>
      </c>
      <c r="C7839" s="191" t="str">
        <f>IF('IWP29'!E$523=0,"",'IWP29'!E$523)</f>
        <v/>
      </c>
      <c r="D7839" s="211">
        <f>'IWP29'!G$523</f>
        <v>0</v>
      </c>
      <c r="E7839" s="211">
        <f>'IWP29'!H$523</f>
        <v>0</v>
      </c>
      <c r="F7839" s="211">
        <f>'IWP29'!I$523</f>
        <v>0</v>
      </c>
      <c r="G7839" s="191" t="str">
        <f>IF('IWP29'!J$523=0,"",'IWP29'!J$523)</f>
        <v/>
      </c>
      <c r="H7839" s="211">
        <f>'IWP29'!K$523</f>
        <v>0</v>
      </c>
      <c r="I7839" s="211">
        <f>'IWP29'!L$523</f>
        <v>0</v>
      </c>
      <c r="J7839" s="212">
        <f>'IWP29'!M$523</f>
        <v>0</v>
      </c>
      <c r="K7839" s="106"/>
      <c r="L7839" s="106"/>
      <c r="M7839" s="129"/>
    </row>
    <row r="7840" spans="1:13" s="146" customFormat="1">
      <c r="A7840" s="193" t="s">
        <v>527</v>
      </c>
      <c r="B7840" s="210">
        <v>11</v>
      </c>
      <c r="C7840" s="191" t="str">
        <f>IF('IWP29'!E$524=0,"",'IWP29'!E$524)</f>
        <v/>
      </c>
      <c r="D7840" s="211">
        <f>'IWP29'!G$524</f>
        <v>0</v>
      </c>
      <c r="E7840" s="211">
        <f>'IWP29'!H$524</f>
        <v>0</v>
      </c>
      <c r="F7840" s="211">
        <f>'IWP29'!I$524</f>
        <v>0</v>
      </c>
      <c r="G7840" s="191" t="str">
        <f>IF('IWP29'!J$524=0,"",'IWP29'!J$524)</f>
        <v/>
      </c>
      <c r="H7840" s="211">
        <f>'IWP29'!K$524</f>
        <v>0</v>
      </c>
      <c r="I7840" s="211">
        <f>'IWP29'!L$524</f>
        <v>0</v>
      </c>
      <c r="J7840" s="212">
        <f>'IWP29'!M$524</f>
        <v>0</v>
      </c>
      <c r="K7840" s="106"/>
      <c r="L7840" s="106"/>
      <c r="M7840" s="129"/>
    </row>
    <row r="7841" spans="1:13" s="146" customFormat="1">
      <c r="A7841" s="193" t="s">
        <v>527</v>
      </c>
      <c r="B7841" s="210">
        <v>12</v>
      </c>
      <c r="C7841" s="191" t="str">
        <f>IF('IWP29'!E$531=0,"",'IWP29'!E$531)</f>
        <v>Subtotal column D.</v>
      </c>
      <c r="D7841" s="211">
        <f>'IWP29'!G$531</f>
        <v>0</v>
      </c>
      <c r="E7841" s="211">
        <f>'IWP29'!H$531</f>
        <v>0</v>
      </c>
      <c r="F7841" s="211">
        <f>'IWP29'!I$531</f>
        <v>0</v>
      </c>
      <c r="G7841" s="191" t="str">
        <f>IF('IWP29'!J$531=0,"",'IWP29'!J$531)</f>
        <v/>
      </c>
      <c r="H7841" s="211">
        <f>'IWP29'!K$531</f>
        <v>0</v>
      </c>
      <c r="I7841" s="211">
        <f>'IWP29'!L$531</f>
        <v>0</v>
      </c>
      <c r="J7841" s="212">
        <f>'IWP29'!M$531</f>
        <v>0</v>
      </c>
      <c r="K7841" s="106"/>
      <c r="L7841" s="106"/>
      <c r="M7841" s="129"/>
    </row>
    <row r="7842" spans="1:13" s="146" customFormat="1">
      <c r="A7842" s="193" t="s">
        <v>527</v>
      </c>
      <c r="B7842" s="210">
        <v>12</v>
      </c>
      <c r="C7842" s="191" t="str">
        <f>IF('IWP29'!E$532=0,"",'IWP29'!E$532)</f>
        <v>Unverified/Undocumented (Subtotal D - C)</v>
      </c>
      <c r="D7842" s="211">
        <f>'IWP29'!G$532</f>
        <v>0</v>
      </c>
      <c r="E7842" s="211">
        <f>'IWP29'!H$532</f>
        <v>0</v>
      </c>
      <c r="F7842" s="211">
        <f>'IWP29'!I$532</f>
        <v>0</v>
      </c>
      <c r="G7842" s="191" t="str">
        <f>IF('IWP29'!J$532=0,"",'IWP29'!J$532)</f>
        <v/>
      </c>
      <c r="H7842" s="211">
        <f>'IWP29'!K$532</f>
        <v>0</v>
      </c>
      <c r="I7842" s="211">
        <f>'IWP29'!L$532</f>
        <v>0</v>
      </c>
      <c r="J7842" s="212">
        <f>'IWP29'!M$532</f>
        <v>0</v>
      </c>
      <c r="K7842" s="106"/>
      <c r="L7842" s="106"/>
      <c r="M7842" s="129"/>
    </row>
    <row r="7843" spans="1:13" s="146" customFormat="1">
      <c r="A7843" s="193" t="s">
        <v>527</v>
      </c>
      <c r="B7843" s="210">
        <v>12</v>
      </c>
      <c r="C7843" s="191" t="str">
        <f>IF('IWP29'!E$533=0,"",'IWP29'!E$533)</f>
        <v>J. Billing Period Total</v>
      </c>
      <c r="D7843" s="211">
        <f>'IWP29'!G$533</f>
        <v>0</v>
      </c>
      <c r="E7843" s="211">
        <f>'IWP29'!H$533</f>
        <v>0</v>
      </c>
      <c r="F7843" s="211">
        <f>'IWP29'!I$533</f>
        <v>0</v>
      </c>
      <c r="G7843" s="191" t="str">
        <f>IF('IWP29'!J$533=0,"",'IWP29'!J$533)</f>
        <v/>
      </c>
      <c r="H7843" s="211">
        <f>'IWP29'!K$533</f>
        <v>0</v>
      </c>
      <c r="I7843" s="211">
        <f>'IWP29'!L$533</f>
        <v>0</v>
      </c>
      <c r="J7843" s="212">
        <f>'IWP29'!M$533</f>
        <v>0</v>
      </c>
      <c r="K7843" s="106"/>
      <c r="L7843" s="106"/>
      <c r="M7843" s="129"/>
    </row>
    <row r="7844" spans="1:13" s="146" customFormat="1">
      <c r="A7844" s="193" t="s">
        <v>527</v>
      </c>
      <c r="B7844" s="210">
        <v>12</v>
      </c>
      <c r="C7844" s="191" t="str">
        <f>IF('IWP29'!E$534=0,"",'IWP29'!E$534)</f>
        <v>D.</v>
      </c>
      <c r="D7844" s="211">
        <f>'IWP29'!G$534</f>
        <v>0</v>
      </c>
      <c r="E7844" s="211" t="str">
        <f>'IWP29'!H$534</f>
        <v>E.</v>
      </c>
      <c r="F7844" s="211" t="str">
        <f>'IWP29'!I$534</f>
        <v>F.</v>
      </c>
      <c r="G7844" s="191" t="str">
        <f>IF('IWP29'!J$534=0,"",'IWP29'!J$534)</f>
        <v>G.</v>
      </c>
      <c r="H7844" s="211">
        <f>'IWP29'!K$534</f>
        <v>0</v>
      </c>
      <c r="I7844" s="211" t="str">
        <f>'IWP29'!L$534</f>
        <v>H.</v>
      </c>
      <c r="J7844" s="212" t="str">
        <f>'IWP29'!M$534</f>
        <v>I.</v>
      </c>
      <c r="K7844" s="106"/>
      <c r="L7844" s="106"/>
      <c r="M7844" s="129"/>
    </row>
    <row r="7845" spans="1:13" s="146" customFormat="1">
      <c r="A7845" s="193" t="s">
        <v>527</v>
      </c>
      <c r="B7845" s="210">
        <v>12</v>
      </c>
      <c r="C7845" s="191" t="str">
        <f>IF('IWP29'!E$535=0,"",'IWP29'!E$535)</f>
        <v xml:space="preserve">Items/Services Related to Billing Period </v>
      </c>
      <c r="D7845" s="211">
        <f>'IWP29'!G$535</f>
        <v>0</v>
      </c>
      <c r="E7845" s="211" t="str">
        <f>'IWP29'!H$535</f>
        <v xml:space="preserve">Item/
Service Verified Amounts
</v>
      </c>
      <c r="F7845" s="211" t="str">
        <f>'IWP29'!I$535</f>
        <v>Amount Due to DADS (E. - D.)</v>
      </c>
      <c r="G7845" s="191" t="str">
        <f>IF('IWP29'!J$535=0,"",'IWP29'!J$535)</f>
        <v>Amount Reimbursed to 
Employee(s)/Employer</v>
      </c>
      <c r="H7845" s="211">
        <f>'IWP29'!K$535</f>
        <v>0</v>
      </c>
      <c r="I7845" s="211" t="str">
        <f>'IWP29'!L$535</f>
        <v>Amount Due to Employee(s) (G. - E.)</v>
      </c>
      <c r="J7845" s="212" t="str">
        <f>'IWP29'!M$535</f>
        <v>Amount Due to Employer (G. - E.)</v>
      </c>
      <c r="K7845" s="106"/>
      <c r="L7845" s="106"/>
      <c r="M7845" s="129"/>
    </row>
    <row r="7846" spans="1:13" s="146" customFormat="1">
      <c r="A7846" s="193" t="s">
        <v>527</v>
      </c>
      <c r="B7846" s="210">
        <v>12</v>
      </c>
      <c r="C7846" s="191" t="str">
        <f>IF('IWP29'!E$536=0,"",'IWP29'!E$536)</f>
        <v>Item/Service</v>
      </c>
      <c r="D7846" s="211" t="str">
        <f>'IWP29'!G$536</f>
        <v>Itemized Amount Paid by DADS</v>
      </c>
      <c r="E7846" s="211">
        <f>'IWP29'!H$536</f>
        <v>0</v>
      </c>
      <c r="F7846" s="211">
        <f>'IWP29'!I$536</f>
        <v>0</v>
      </c>
      <c r="G7846" s="191" t="str">
        <f>IF('IWP29'!J$536=0,"",'IWP29'!J$536)</f>
        <v/>
      </c>
      <c r="H7846" s="211">
        <f>'IWP29'!K$536</f>
        <v>0</v>
      </c>
      <c r="I7846" s="211">
        <f>'IWP29'!L$536</f>
        <v>0</v>
      </c>
      <c r="J7846" s="212">
        <f>'IWP29'!M$536</f>
        <v>0</v>
      </c>
      <c r="K7846" s="106"/>
      <c r="L7846" s="106"/>
      <c r="M7846" s="129"/>
    </row>
    <row r="7847" spans="1:13" s="146" customFormat="1">
      <c r="A7847" s="193" t="s">
        <v>527</v>
      </c>
      <c r="B7847" s="210">
        <v>12</v>
      </c>
      <c r="C7847" s="191" t="str">
        <f>IF('IWP29'!E$537=0,"",'IWP29'!E$537)</f>
        <v/>
      </c>
      <c r="D7847" s="211">
        <f>'IWP29'!G$537</f>
        <v>0</v>
      </c>
      <c r="E7847" s="211">
        <f>'IWP29'!H$537</f>
        <v>0</v>
      </c>
      <c r="F7847" s="211">
        <f>'IWP29'!I$537</f>
        <v>0</v>
      </c>
      <c r="G7847" s="191" t="str">
        <f>IF('IWP29'!J$537=0,"",'IWP29'!J$537)</f>
        <v/>
      </c>
      <c r="H7847" s="211">
        <f>'IWP29'!K$537</f>
        <v>0</v>
      </c>
      <c r="I7847" s="211">
        <f>'IWP29'!L$537</f>
        <v>0</v>
      </c>
      <c r="J7847" s="212">
        <f>'IWP29'!M$537</f>
        <v>0</v>
      </c>
      <c r="K7847" s="106"/>
      <c r="L7847" s="106"/>
      <c r="M7847" s="129"/>
    </row>
    <row r="7848" spans="1:13" s="146" customFormat="1">
      <c r="A7848" s="193" t="s">
        <v>527</v>
      </c>
      <c r="B7848" s="210">
        <v>12</v>
      </c>
      <c r="C7848" s="191" t="str">
        <f>IF('IWP29'!E$538=0,"",'IWP29'!E$538)</f>
        <v/>
      </c>
      <c r="D7848" s="211">
        <f>'IWP29'!G$538</f>
        <v>0</v>
      </c>
      <c r="E7848" s="211">
        <f>'IWP29'!H$538</f>
        <v>0</v>
      </c>
      <c r="F7848" s="211">
        <f>'IWP29'!I$538</f>
        <v>0</v>
      </c>
      <c r="G7848" s="191" t="str">
        <f>IF('IWP29'!J$538=0,"",'IWP29'!J$538)</f>
        <v/>
      </c>
      <c r="H7848" s="211">
        <f>'IWP29'!K$538</f>
        <v>0</v>
      </c>
      <c r="I7848" s="211">
        <f>'IWP29'!L$538</f>
        <v>0</v>
      </c>
      <c r="J7848" s="212">
        <f>'IWP29'!M$538</f>
        <v>0</v>
      </c>
      <c r="K7848" s="106"/>
      <c r="L7848" s="106"/>
      <c r="M7848" s="129"/>
    </row>
    <row r="7849" spans="1:13" s="146" customFormat="1">
      <c r="A7849" s="193" t="s">
        <v>527</v>
      </c>
      <c r="B7849" s="210">
        <v>12</v>
      </c>
      <c r="C7849" s="191" t="str">
        <f>IF('IWP29'!E$539=0,"",'IWP29'!E$539)</f>
        <v/>
      </c>
      <c r="D7849" s="211">
        <f>'IWP29'!G$539</f>
        <v>0</v>
      </c>
      <c r="E7849" s="211">
        <f>'IWP29'!H$539</f>
        <v>0</v>
      </c>
      <c r="F7849" s="211">
        <f>'IWP29'!I$539</f>
        <v>0</v>
      </c>
      <c r="G7849" s="191" t="str">
        <f>IF('IWP29'!J$539=0,"",'IWP29'!J$539)</f>
        <v/>
      </c>
      <c r="H7849" s="211">
        <f>'IWP29'!K$539</f>
        <v>0</v>
      </c>
      <c r="I7849" s="211">
        <f>'IWP29'!L$539</f>
        <v>0</v>
      </c>
      <c r="J7849" s="212">
        <f>'IWP29'!M$539</f>
        <v>0</v>
      </c>
      <c r="K7849" s="106"/>
      <c r="L7849" s="106"/>
      <c r="M7849" s="129"/>
    </row>
    <row r="7850" spans="1:13" s="146" customFormat="1">
      <c r="A7850" s="193" t="s">
        <v>527</v>
      </c>
      <c r="B7850" s="210">
        <v>12</v>
      </c>
      <c r="C7850" s="191" t="str">
        <f>IF('IWP29'!E$540=0,"",'IWP29'!E$540)</f>
        <v/>
      </c>
      <c r="D7850" s="211">
        <f>'IWP29'!G$540</f>
        <v>0</v>
      </c>
      <c r="E7850" s="211">
        <f>'IWP29'!H$540</f>
        <v>0</v>
      </c>
      <c r="F7850" s="211">
        <f>'IWP29'!I$540</f>
        <v>0</v>
      </c>
      <c r="G7850" s="191" t="str">
        <f>IF('IWP29'!J$540=0,"",'IWP29'!J$540)</f>
        <v/>
      </c>
      <c r="H7850" s="211">
        <f>'IWP29'!K$540</f>
        <v>0</v>
      </c>
      <c r="I7850" s="211">
        <f>'IWP29'!L$540</f>
        <v>0</v>
      </c>
      <c r="J7850" s="212">
        <f>'IWP29'!M$540</f>
        <v>0</v>
      </c>
      <c r="K7850" s="106"/>
      <c r="L7850" s="106"/>
      <c r="M7850" s="129"/>
    </row>
    <row r="7851" spans="1:13" s="146" customFormat="1">
      <c r="A7851" s="193" t="s">
        <v>527</v>
      </c>
      <c r="B7851" s="210">
        <v>13</v>
      </c>
      <c r="C7851" s="191" t="str">
        <f>IF('IWP29'!E$547=0,"",'IWP29'!E$547)</f>
        <v>Subtotal column D.</v>
      </c>
      <c r="D7851" s="211">
        <f>'IWP29'!G$547</f>
        <v>0</v>
      </c>
      <c r="E7851" s="211">
        <f>'IWP29'!H$547</f>
        <v>0</v>
      </c>
      <c r="F7851" s="211">
        <f>'IWP29'!I$547</f>
        <v>0</v>
      </c>
      <c r="G7851" s="191" t="str">
        <f>IF('IWP29'!J$547=0,"",'IWP29'!J$547)</f>
        <v/>
      </c>
      <c r="H7851" s="211">
        <f>'IWP29'!K$547</f>
        <v>0</v>
      </c>
      <c r="I7851" s="211">
        <f>'IWP29'!L$547</f>
        <v>0</v>
      </c>
      <c r="J7851" s="212">
        <f>'IWP29'!M$547</f>
        <v>0</v>
      </c>
      <c r="K7851" s="106"/>
      <c r="L7851" s="106"/>
      <c r="M7851" s="129"/>
    </row>
    <row r="7852" spans="1:13" s="146" customFormat="1">
      <c r="A7852" s="193" t="s">
        <v>527</v>
      </c>
      <c r="B7852" s="210">
        <v>13</v>
      </c>
      <c r="C7852" s="191" t="str">
        <f>IF('IWP29'!E$548=0,"",'IWP29'!E$548)</f>
        <v>Unverified/Undocumented (Subtotal D - C)</v>
      </c>
      <c r="D7852" s="211">
        <f>'IWP29'!G$548</f>
        <v>0</v>
      </c>
      <c r="E7852" s="211">
        <f>'IWP29'!H$548</f>
        <v>0</v>
      </c>
      <c r="F7852" s="211">
        <f>'IWP29'!I$548</f>
        <v>0</v>
      </c>
      <c r="G7852" s="191" t="str">
        <f>IF('IWP29'!J$548=0,"",'IWP29'!J$548)</f>
        <v/>
      </c>
      <c r="H7852" s="211">
        <f>'IWP29'!K$548</f>
        <v>0</v>
      </c>
      <c r="I7852" s="211">
        <f>'IWP29'!L$548</f>
        <v>0</v>
      </c>
      <c r="J7852" s="212">
        <f>'IWP29'!M$548</f>
        <v>0</v>
      </c>
      <c r="K7852" s="106"/>
      <c r="L7852" s="106"/>
      <c r="M7852" s="129"/>
    </row>
    <row r="7853" spans="1:13" s="146" customFormat="1">
      <c r="A7853" s="193" t="s">
        <v>527</v>
      </c>
      <c r="B7853" s="210">
        <v>13</v>
      </c>
      <c r="C7853" s="191" t="str">
        <f>IF('IWP29'!E$549=0,"",'IWP29'!E$549)</f>
        <v>J. Billing Period Total</v>
      </c>
      <c r="D7853" s="211">
        <f>'IWP29'!G$549</f>
        <v>0</v>
      </c>
      <c r="E7853" s="211">
        <f>'IWP29'!H$549</f>
        <v>0</v>
      </c>
      <c r="F7853" s="211">
        <f>'IWP29'!I$549</f>
        <v>0</v>
      </c>
      <c r="G7853" s="191" t="str">
        <f>IF('IWP29'!J$549=0,"",'IWP29'!J$549)</f>
        <v/>
      </c>
      <c r="H7853" s="211">
        <f>'IWP29'!K$549</f>
        <v>0</v>
      </c>
      <c r="I7853" s="211">
        <f>'IWP29'!L$549</f>
        <v>0</v>
      </c>
      <c r="J7853" s="212">
        <f>'IWP29'!M$549</f>
        <v>0</v>
      </c>
      <c r="K7853" s="106"/>
      <c r="L7853" s="106"/>
      <c r="M7853" s="129"/>
    </row>
    <row r="7854" spans="1:13" s="146" customFormat="1">
      <c r="A7854" s="193" t="s">
        <v>527</v>
      </c>
      <c r="B7854" s="210">
        <v>13</v>
      </c>
      <c r="C7854" s="191" t="str">
        <f>IF('IWP29'!E$550=0,"",'IWP29'!E$550)</f>
        <v>D.</v>
      </c>
      <c r="D7854" s="211">
        <f>'IWP29'!G$550</f>
        <v>0</v>
      </c>
      <c r="E7854" s="211" t="str">
        <f>'IWP29'!H$550</f>
        <v>E.</v>
      </c>
      <c r="F7854" s="211" t="str">
        <f>'IWP29'!I$550</f>
        <v>F.</v>
      </c>
      <c r="G7854" s="191" t="str">
        <f>IF('IWP29'!J$550=0,"",'IWP29'!J$550)</f>
        <v>G.</v>
      </c>
      <c r="H7854" s="211">
        <f>'IWP29'!K$550</f>
        <v>0</v>
      </c>
      <c r="I7854" s="211" t="str">
        <f>'IWP29'!L$550</f>
        <v>H.</v>
      </c>
      <c r="J7854" s="212" t="str">
        <f>'IWP29'!M$550</f>
        <v>I.</v>
      </c>
      <c r="K7854" s="106"/>
      <c r="L7854" s="106"/>
      <c r="M7854" s="129"/>
    </row>
    <row r="7855" spans="1:13" s="146" customFormat="1">
      <c r="A7855" s="193" t="s">
        <v>527</v>
      </c>
      <c r="B7855" s="210">
        <v>13</v>
      </c>
      <c r="C7855" s="191" t="str">
        <f>IF('IWP29'!E$551=0,"",'IWP29'!E$551)</f>
        <v xml:space="preserve">Items/Services Related to Billing Period </v>
      </c>
      <c r="D7855" s="211">
        <f>'IWP29'!G$551</f>
        <v>0</v>
      </c>
      <c r="E7855" s="211" t="str">
        <f>'IWP29'!H$551</f>
        <v xml:space="preserve">Item/
Service Verified Amounts
</v>
      </c>
      <c r="F7855" s="211" t="str">
        <f>'IWP29'!I$551</f>
        <v>Amount Due to DADS (E. - D.)</v>
      </c>
      <c r="G7855" s="191" t="str">
        <f>IF('IWP29'!J$551=0,"",'IWP29'!J$551)</f>
        <v>Amount Reimbursed to 
Employee(s)/Employer</v>
      </c>
      <c r="H7855" s="211">
        <f>'IWP29'!K$551</f>
        <v>0</v>
      </c>
      <c r="I7855" s="211" t="str">
        <f>'IWP29'!L$551</f>
        <v>Amount Due to Employee(s) (G. - E.)</v>
      </c>
      <c r="J7855" s="212" t="str">
        <f>'IWP29'!M$551</f>
        <v>Amount Due to Employer (G. - E.)</v>
      </c>
      <c r="K7855" s="106"/>
      <c r="L7855" s="106"/>
      <c r="M7855" s="129"/>
    </row>
    <row r="7856" spans="1:13" s="146" customFormat="1">
      <c r="A7856" s="193" t="s">
        <v>527</v>
      </c>
      <c r="B7856" s="210">
        <v>13</v>
      </c>
      <c r="C7856" s="191" t="str">
        <f>IF('IWP29'!E$552=0,"",'IWP29'!E$552)</f>
        <v>Item/Service</v>
      </c>
      <c r="D7856" s="211" t="str">
        <f>'IWP29'!G$552</f>
        <v>Itemized Amount Paid by DADS</v>
      </c>
      <c r="E7856" s="211">
        <f>'IWP29'!H$552</f>
        <v>0</v>
      </c>
      <c r="F7856" s="211">
        <f>'IWP29'!I$552</f>
        <v>0</v>
      </c>
      <c r="G7856" s="191" t="str">
        <f>IF('IWP29'!J$552=0,"",'IWP29'!J$552)</f>
        <v/>
      </c>
      <c r="H7856" s="211">
        <f>'IWP29'!K$552</f>
        <v>0</v>
      </c>
      <c r="I7856" s="211">
        <f>'IWP29'!L$552</f>
        <v>0</v>
      </c>
      <c r="J7856" s="212">
        <f>'IWP29'!M$552</f>
        <v>0</v>
      </c>
      <c r="K7856" s="106"/>
      <c r="L7856" s="106"/>
      <c r="M7856" s="129"/>
    </row>
    <row r="7857" spans="1:13" s="146" customFormat="1">
      <c r="A7857" s="193" t="s">
        <v>527</v>
      </c>
      <c r="B7857" s="210">
        <v>13</v>
      </c>
      <c r="C7857" s="191" t="str">
        <f>IF('IWP29'!E$553=0,"",'IWP29'!E$553)</f>
        <v/>
      </c>
      <c r="D7857" s="211">
        <f>'IWP29'!G$553</f>
        <v>0</v>
      </c>
      <c r="E7857" s="211">
        <f>'IWP29'!H$553</f>
        <v>0</v>
      </c>
      <c r="F7857" s="211">
        <f>'IWP29'!I$553</f>
        <v>0</v>
      </c>
      <c r="G7857" s="191" t="str">
        <f>IF('IWP29'!J$553=0,"",'IWP29'!J$553)</f>
        <v/>
      </c>
      <c r="H7857" s="211">
        <f>'IWP29'!K$553</f>
        <v>0</v>
      </c>
      <c r="I7857" s="211">
        <f>'IWP29'!L$553</f>
        <v>0</v>
      </c>
      <c r="J7857" s="212">
        <f>'IWP29'!M$553</f>
        <v>0</v>
      </c>
      <c r="K7857" s="106"/>
      <c r="L7857" s="106"/>
      <c r="M7857" s="129"/>
    </row>
    <row r="7858" spans="1:13" s="146" customFormat="1">
      <c r="A7858" s="193" t="s">
        <v>527</v>
      </c>
      <c r="B7858" s="210">
        <v>13</v>
      </c>
      <c r="C7858" s="191" t="str">
        <f>IF('IWP29'!E$554=0,"",'IWP29'!E$554)</f>
        <v/>
      </c>
      <c r="D7858" s="211">
        <f>'IWP29'!G$554</f>
        <v>0</v>
      </c>
      <c r="E7858" s="211">
        <f>'IWP29'!H$554</f>
        <v>0</v>
      </c>
      <c r="F7858" s="211">
        <f>'IWP29'!I$554</f>
        <v>0</v>
      </c>
      <c r="G7858" s="191" t="str">
        <f>IF('IWP29'!J$554=0,"",'IWP29'!J$554)</f>
        <v/>
      </c>
      <c r="H7858" s="211">
        <f>'IWP29'!K$554</f>
        <v>0</v>
      </c>
      <c r="I7858" s="211">
        <f>'IWP29'!L$554</f>
        <v>0</v>
      </c>
      <c r="J7858" s="212">
        <f>'IWP29'!M$554</f>
        <v>0</v>
      </c>
      <c r="K7858" s="106"/>
      <c r="L7858" s="106"/>
      <c r="M7858" s="129"/>
    </row>
    <row r="7859" spans="1:13" s="146" customFormat="1">
      <c r="A7859" s="193" t="s">
        <v>527</v>
      </c>
      <c r="B7859" s="210">
        <v>13</v>
      </c>
      <c r="C7859" s="191" t="str">
        <f>IF('IWP29'!E$555=0,"",'IWP29'!E$555)</f>
        <v/>
      </c>
      <c r="D7859" s="211">
        <f>'IWP29'!G$555</f>
        <v>0</v>
      </c>
      <c r="E7859" s="211">
        <f>'IWP29'!H$555</f>
        <v>0</v>
      </c>
      <c r="F7859" s="211">
        <f>'IWP29'!I$555</f>
        <v>0</v>
      </c>
      <c r="G7859" s="191" t="str">
        <f>IF('IWP29'!J$555=0,"",'IWP29'!J$555)</f>
        <v/>
      </c>
      <c r="H7859" s="211">
        <f>'IWP29'!K$555</f>
        <v>0</v>
      </c>
      <c r="I7859" s="211">
        <f>'IWP29'!L$555</f>
        <v>0</v>
      </c>
      <c r="J7859" s="212">
        <f>'IWP29'!M$555</f>
        <v>0</v>
      </c>
      <c r="K7859" s="106"/>
      <c r="L7859" s="106"/>
      <c r="M7859" s="129"/>
    </row>
    <row r="7860" spans="1:13" s="146" customFormat="1">
      <c r="A7860" s="193" t="s">
        <v>527</v>
      </c>
      <c r="B7860" s="210">
        <v>13</v>
      </c>
      <c r="C7860" s="191" t="str">
        <f>IF('IWP29'!E$556=0,"",'IWP29'!E$556)</f>
        <v/>
      </c>
      <c r="D7860" s="211">
        <f>'IWP29'!G$556</f>
        <v>0</v>
      </c>
      <c r="E7860" s="211">
        <f>'IWP29'!H$556</f>
        <v>0</v>
      </c>
      <c r="F7860" s="211">
        <f>'IWP29'!I$556</f>
        <v>0</v>
      </c>
      <c r="G7860" s="191" t="str">
        <f>IF('IWP29'!J$556=0,"",'IWP29'!J$556)</f>
        <v/>
      </c>
      <c r="H7860" s="211">
        <f>'IWP29'!K$556</f>
        <v>0</v>
      </c>
      <c r="I7860" s="211">
        <f>'IWP29'!L$556</f>
        <v>0</v>
      </c>
      <c r="J7860" s="212">
        <f>'IWP29'!M$556</f>
        <v>0</v>
      </c>
      <c r="K7860" s="106"/>
      <c r="L7860" s="106"/>
      <c r="M7860" s="129"/>
    </row>
    <row r="7861" spans="1:13" s="146" customFormat="1">
      <c r="A7861" s="193" t="s">
        <v>527</v>
      </c>
      <c r="B7861" s="210">
        <v>14</v>
      </c>
      <c r="C7861" s="191" t="str">
        <f>IF('IWP29'!E$563=0,"",'IWP29'!E$563)</f>
        <v>Subtotal column D.</v>
      </c>
      <c r="D7861" s="211">
        <f>'IWP29'!G$563</f>
        <v>0</v>
      </c>
      <c r="E7861" s="211">
        <f>'IWP29'!H$563</f>
        <v>0</v>
      </c>
      <c r="F7861" s="211">
        <f>'IWP29'!I$563</f>
        <v>0</v>
      </c>
      <c r="G7861" s="191" t="str">
        <f>IF('IWP29'!J$563=0,"",'IWP29'!J$563)</f>
        <v/>
      </c>
      <c r="H7861" s="211">
        <f>'IWP29'!K$563</f>
        <v>0</v>
      </c>
      <c r="I7861" s="211">
        <f>'IWP29'!L$563</f>
        <v>0</v>
      </c>
      <c r="J7861" s="212">
        <f>'IWP29'!M$563</f>
        <v>0</v>
      </c>
      <c r="K7861" s="106"/>
      <c r="L7861" s="106"/>
      <c r="M7861" s="129"/>
    </row>
    <row r="7862" spans="1:13" s="146" customFormat="1">
      <c r="A7862" s="193" t="s">
        <v>527</v>
      </c>
      <c r="B7862" s="210">
        <v>14</v>
      </c>
      <c r="C7862" s="191" t="str">
        <f>IF('IWP29'!E$564=0,"",'IWP29'!E$564)</f>
        <v>Unverified/Undocumented (Subtotal D - C)</v>
      </c>
      <c r="D7862" s="211">
        <f>'IWP29'!G$564</f>
        <v>0</v>
      </c>
      <c r="E7862" s="211">
        <f>'IWP29'!H$564</f>
        <v>0</v>
      </c>
      <c r="F7862" s="211">
        <f>'IWP29'!I$564</f>
        <v>0</v>
      </c>
      <c r="G7862" s="191" t="str">
        <f>IF('IWP29'!J$564=0,"",'IWP29'!J$564)</f>
        <v/>
      </c>
      <c r="H7862" s="211">
        <f>'IWP29'!K$564</f>
        <v>0</v>
      </c>
      <c r="I7862" s="211">
        <f>'IWP29'!L$564</f>
        <v>0</v>
      </c>
      <c r="J7862" s="212">
        <f>'IWP29'!M$564</f>
        <v>0</v>
      </c>
      <c r="K7862" s="106"/>
      <c r="L7862" s="106"/>
      <c r="M7862" s="129"/>
    </row>
    <row r="7863" spans="1:13" s="146" customFormat="1">
      <c r="A7863" s="193" t="s">
        <v>527</v>
      </c>
      <c r="B7863" s="210">
        <v>14</v>
      </c>
      <c r="C7863" s="191" t="str">
        <f>IF('IWP29'!E$565=0,"",'IWP29'!E$565)</f>
        <v>J. Billing Period Total</v>
      </c>
      <c r="D7863" s="211">
        <f>'IWP29'!G$565</f>
        <v>0</v>
      </c>
      <c r="E7863" s="211">
        <f>'IWP29'!H$565</f>
        <v>0</v>
      </c>
      <c r="F7863" s="211">
        <f>'IWP29'!I$565</f>
        <v>0</v>
      </c>
      <c r="G7863" s="191" t="str">
        <f>IF('IWP29'!J$565=0,"",'IWP29'!J$565)</f>
        <v/>
      </c>
      <c r="H7863" s="211">
        <f>'IWP29'!K$565</f>
        <v>0</v>
      </c>
      <c r="I7863" s="211">
        <f>'IWP29'!L$565</f>
        <v>0</v>
      </c>
      <c r="J7863" s="212">
        <f>'IWP29'!M$565</f>
        <v>0</v>
      </c>
      <c r="K7863" s="106"/>
      <c r="L7863" s="106"/>
      <c r="M7863" s="129"/>
    </row>
    <row r="7864" spans="1:13" s="146" customFormat="1">
      <c r="A7864" s="193" t="s">
        <v>527</v>
      </c>
      <c r="B7864" s="210">
        <v>14</v>
      </c>
      <c r="C7864" s="191" t="str">
        <f>IF('IWP29'!E$566=0,"",'IWP29'!E$566)</f>
        <v>D.</v>
      </c>
      <c r="D7864" s="211">
        <f>'IWP29'!G$566</f>
        <v>0</v>
      </c>
      <c r="E7864" s="211" t="str">
        <f>'IWP29'!H$566</f>
        <v>E.</v>
      </c>
      <c r="F7864" s="211" t="str">
        <f>'IWP29'!I$566</f>
        <v>F.</v>
      </c>
      <c r="G7864" s="191" t="str">
        <f>IF('IWP29'!J$566=0,"",'IWP29'!J$566)</f>
        <v>G.</v>
      </c>
      <c r="H7864" s="211">
        <f>'IWP29'!K$566</f>
        <v>0</v>
      </c>
      <c r="I7864" s="211" t="str">
        <f>'IWP29'!L$566</f>
        <v>H.</v>
      </c>
      <c r="J7864" s="212" t="str">
        <f>'IWP29'!M$566</f>
        <v>I.</v>
      </c>
      <c r="K7864" s="106"/>
      <c r="L7864" s="106"/>
      <c r="M7864" s="129"/>
    </row>
    <row r="7865" spans="1:13" s="146" customFormat="1">
      <c r="A7865" s="193" t="s">
        <v>527</v>
      </c>
      <c r="B7865" s="210">
        <v>14</v>
      </c>
      <c r="C7865" s="191" t="str">
        <f>IF('IWP29'!E$567=0,"",'IWP29'!E$567)</f>
        <v xml:space="preserve">Items/Services Related to Billing Period </v>
      </c>
      <c r="D7865" s="211">
        <f>'IWP29'!G$567</f>
        <v>0</v>
      </c>
      <c r="E7865" s="211" t="str">
        <f>'IWP29'!H$567</f>
        <v xml:space="preserve">Item/
Service Verified Amounts
</v>
      </c>
      <c r="F7865" s="211" t="str">
        <f>'IWP29'!I$567</f>
        <v>Amount Due to DADS (E. - D.)</v>
      </c>
      <c r="G7865" s="191" t="str">
        <f>IF('IWP29'!J$567=0,"",'IWP29'!J$567)</f>
        <v>Amount Reimbursed to 
Employee(s)/Employer</v>
      </c>
      <c r="H7865" s="211">
        <f>'IWP29'!K$567</f>
        <v>0</v>
      </c>
      <c r="I7865" s="211" t="str">
        <f>'IWP29'!L$567</f>
        <v>Amount Due to Employee(s) (G. - E.)</v>
      </c>
      <c r="J7865" s="212" t="str">
        <f>'IWP29'!M$567</f>
        <v>Amount Due to Employer (G. - E.)</v>
      </c>
      <c r="K7865" s="106"/>
      <c r="L7865" s="106"/>
      <c r="M7865" s="129"/>
    </row>
    <row r="7866" spans="1:13" s="146" customFormat="1">
      <c r="A7866" s="193" t="s">
        <v>527</v>
      </c>
      <c r="B7866" s="210">
        <v>14</v>
      </c>
      <c r="C7866" s="191" t="str">
        <f>IF('IWP29'!E$568=0,"",'IWP29'!E$568)</f>
        <v>Item/Service</v>
      </c>
      <c r="D7866" s="211" t="str">
        <f>'IWP29'!G$568</f>
        <v>Itemized Amount Paid by DADS</v>
      </c>
      <c r="E7866" s="211">
        <f>'IWP29'!H$568</f>
        <v>0</v>
      </c>
      <c r="F7866" s="211">
        <f>'IWP29'!I$568</f>
        <v>0</v>
      </c>
      <c r="G7866" s="191" t="str">
        <f>IF('IWP29'!J$568=0,"",'IWP29'!J$568)</f>
        <v/>
      </c>
      <c r="H7866" s="211">
        <f>'IWP29'!K$568</f>
        <v>0</v>
      </c>
      <c r="I7866" s="211">
        <f>'IWP29'!L$568</f>
        <v>0</v>
      </c>
      <c r="J7866" s="212">
        <f>'IWP29'!M$568</f>
        <v>0</v>
      </c>
      <c r="K7866" s="106"/>
      <c r="L7866" s="106"/>
      <c r="M7866" s="129"/>
    </row>
    <row r="7867" spans="1:13" s="146" customFormat="1">
      <c r="A7867" s="193" t="s">
        <v>527</v>
      </c>
      <c r="B7867" s="210">
        <v>14</v>
      </c>
      <c r="C7867" s="191" t="str">
        <f>IF('IWP29'!E$569=0,"",'IWP29'!E$569)</f>
        <v/>
      </c>
      <c r="D7867" s="211">
        <f>'IWP29'!G$569</f>
        <v>0</v>
      </c>
      <c r="E7867" s="211">
        <f>'IWP29'!H$569</f>
        <v>0</v>
      </c>
      <c r="F7867" s="211">
        <f>'IWP29'!I$569</f>
        <v>0</v>
      </c>
      <c r="G7867" s="191" t="str">
        <f>IF('IWP29'!J$569=0,"",'IWP29'!J$569)</f>
        <v/>
      </c>
      <c r="H7867" s="211">
        <f>'IWP29'!K$569</f>
        <v>0</v>
      </c>
      <c r="I7867" s="211">
        <f>'IWP29'!L$569</f>
        <v>0</v>
      </c>
      <c r="J7867" s="212">
        <f>'IWP29'!M$569</f>
        <v>0</v>
      </c>
      <c r="K7867" s="106"/>
      <c r="L7867" s="106"/>
      <c r="M7867" s="129"/>
    </row>
    <row r="7868" spans="1:13" s="146" customFormat="1">
      <c r="A7868" s="193" t="s">
        <v>527</v>
      </c>
      <c r="B7868" s="210">
        <v>14</v>
      </c>
      <c r="C7868" s="191" t="str">
        <f>IF('IWP29'!E$570=0,"",'IWP29'!E$570)</f>
        <v/>
      </c>
      <c r="D7868" s="211">
        <f>'IWP29'!G$570</f>
        <v>0</v>
      </c>
      <c r="E7868" s="211">
        <f>'IWP29'!H$570</f>
        <v>0</v>
      </c>
      <c r="F7868" s="211">
        <f>'IWP29'!I$570</f>
        <v>0</v>
      </c>
      <c r="G7868" s="191" t="str">
        <f>IF('IWP29'!J$570=0,"",'IWP29'!J$570)</f>
        <v/>
      </c>
      <c r="H7868" s="211">
        <f>'IWP29'!K$570</f>
        <v>0</v>
      </c>
      <c r="I7868" s="211">
        <f>'IWP29'!L$570</f>
        <v>0</v>
      </c>
      <c r="J7868" s="212">
        <f>'IWP29'!M$570</f>
        <v>0</v>
      </c>
      <c r="K7868" s="106"/>
      <c r="L7868" s="106"/>
      <c r="M7868" s="129"/>
    </row>
    <row r="7869" spans="1:13" s="146" customFormat="1">
      <c r="A7869" s="193" t="s">
        <v>527</v>
      </c>
      <c r="B7869" s="210">
        <v>14</v>
      </c>
      <c r="C7869" s="191" t="str">
        <f>IF('IWP29'!E$571=0,"",'IWP29'!E$571)</f>
        <v/>
      </c>
      <c r="D7869" s="211">
        <f>'IWP29'!G$571</f>
        <v>0</v>
      </c>
      <c r="E7869" s="211">
        <f>'IWP29'!H$571</f>
        <v>0</v>
      </c>
      <c r="F7869" s="211">
        <f>'IWP29'!I$571</f>
        <v>0</v>
      </c>
      <c r="G7869" s="191" t="str">
        <f>IF('IWP29'!J$571=0,"",'IWP29'!J$571)</f>
        <v/>
      </c>
      <c r="H7869" s="211">
        <f>'IWP29'!K$571</f>
        <v>0</v>
      </c>
      <c r="I7869" s="211">
        <f>'IWP29'!L$571</f>
        <v>0</v>
      </c>
      <c r="J7869" s="212">
        <f>'IWP29'!M$571</f>
        <v>0</v>
      </c>
      <c r="K7869" s="106"/>
      <c r="L7869" s="106"/>
      <c r="M7869" s="129"/>
    </row>
    <row r="7870" spans="1:13" s="146" customFormat="1">
      <c r="A7870" s="193" t="s">
        <v>527</v>
      </c>
      <c r="B7870" s="210">
        <v>14</v>
      </c>
      <c r="C7870" s="191" t="str">
        <f>IF('IWP29'!E$572=0,"",'IWP29'!E$572)</f>
        <v/>
      </c>
      <c r="D7870" s="211">
        <f>'IWP29'!G$572</f>
        <v>0</v>
      </c>
      <c r="E7870" s="211">
        <f>'IWP29'!H$572</f>
        <v>0</v>
      </c>
      <c r="F7870" s="211">
        <f>'IWP29'!I$572</f>
        <v>0</v>
      </c>
      <c r="G7870" s="191" t="str">
        <f>IF('IWP29'!J$572=0,"",'IWP29'!J$572)</f>
        <v/>
      </c>
      <c r="H7870" s="211">
        <f>'IWP29'!K$572</f>
        <v>0</v>
      </c>
      <c r="I7870" s="211">
        <f>'IWP29'!L$572</f>
        <v>0</v>
      </c>
      <c r="J7870" s="212">
        <f>'IWP29'!M$572</f>
        <v>0</v>
      </c>
      <c r="K7870" s="106"/>
      <c r="L7870" s="106"/>
      <c r="M7870" s="129"/>
    </row>
    <row r="7871" spans="1:13" s="146" customFormat="1">
      <c r="A7871" s="193" t="s">
        <v>527</v>
      </c>
      <c r="B7871" s="210">
        <v>15</v>
      </c>
      <c r="C7871" s="191" t="str">
        <f>IF('IWP29'!E$579=0,"",'IWP29'!E$579)</f>
        <v>Subtotal column D.</v>
      </c>
      <c r="D7871" s="211">
        <f>'IWP29'!G$579</f>
        <v>0</v>
      </c>
      <c r="E7871" s="211">
        <f>'IWP29'!H$579</f>
        <v>0</v>
      </c>
      <c r="F7871" s="211">
        <f>'IWP29'!I$579</f>
        <v>0</v>
      </c>
      <c r="G7871" s="191" t="str">
        <f>IF('IWP29'!J$579=0,"",'IWP29'!J$579)</f>
        <v/>
      </c>
      <c r="H7871" s="211">
        <f>'IWP29'!K$579</f>
        <v>0</v>
      </c>
      <c r="I7871" s="211">
        <f>'IWP29'!L$579</f>
        <v>0</v>
      </c>
      <c r="J7871" s="212">
        <f>'IWP29'!M$579</f>
        <v>0</v>
      </c>
      <c r="K7871" s="106"/>
      <c r="L7871" s="106"/>
      <c r="M7871" s="129"/>
    </row>
    <row r="7872" spans="1:13" s="146" customFormat="1">
      <c r="A7872" s="193" t="s">
        <v>527</v>
      </c>
      <c r="B7872" s="210">
        <v>15</v>
      </c>
      <c r="C7872" s="191" t="str">
        <f>IF('IWP29'!E$580=0,"",'IWP29'!E$580)</f>
        <v>Unverified/Undocumented (Subtotal D - C)</v>
      </c>
      <c r="D7872" s="211">
        <f>'IWP29'!G$580</f>
        <v>0</v>
      </c>
      <c r="E7872" s="211">
        <f>'IWP29'!H$580</f>
        <v>0</v>
      </c>
      <c r="F7872" s="211">
        <f>'IWP29'!I$580</f>
        <v>0</v>
      </c>
      <c r="G7872" s="191" t="str">
        <f>IF('IWP29'!J$580=0,"",'IWP29'!J$580)</f>
        <v/>
      </c>
      <c r="H7872" s="211">
        <f>'IWP29'!K$580</f>
        <v>0</v>
      </c>
      <c r="I7872" s="211">
        <f>'IWP29'!L$580</f>
        <v>0</v>
      </c>
      <c r="J7872" s="212">
        <f>'IWP29'!M$580</f>
        <v>0</v>
      </c>
      <c r="K7872" s="106"/>
      <c r="L7872" s="106"/>
      <c r="M7872" s="129"/>
    </row>
    <row r="7873" spans="1:13" s="146" customFormat="1">
      <c r="A7873" s="193" t="s">
        <v>527</v>
      </c>
      <c r="B7873" s="210">
        <v>15</v>
      </c>
      <c r="C7873" s="191" t="str">
        <f>IF('IWP29'!E$581=0,"",'IWP29'!E$581)</f>
        <v>J. Billing Period Total</v>
      </c>
      <c r="D7873" s="211">
        <f>'IWP29'!G$581</f>
        <v>0</v>
      </c>
      <c r="E7873" s="211">
        <f>'IWP29'!H$581</f>
        <v>0</v>
      </c>
      <c r="F7873" s="211">
        <f>'IWP29'!I$581</f>
        <v>0</v>
      </c>
      <c r="G7873" s="191" t="str">
        <f>IF('IWP29'!J$581=0,"",'IWP29'!J$581)</f>
        <v/>
      </c>
      <c r="H7873" s="211">
        <f>'IWP29'!K$581</f>
        <v>0</v>
      </c>
      <c r="I7873" s="211">
        <f>'IWP29'!L$581</f>
        <v>0</v>
      </c>
      <c r="J7873" s="212">
        <f>'IWP29'!M$581</f>
        <v>0</v>
      </c>
      <c r="K7873" s="106"/>
      <c r="L7873" s="106"/>
      <c r="M7873" s="129"/>
    </row>
    <row r="7874" spans="1:13" s="146" customFormat="1">
      <c r="A7874" s="193" t="s">
        <v>527</v>
      </c>
      <c r="B7874" s="210">
        <v>15</v>
      </c>
      <c r="C7874" s="191" t="str">
        <f>IF('IWP29'!E$582=0,"",'IWP29'!E$582)</f>
        <v>D.</v>
      </c>
      <c r="D7874" s="211">
        <f>'IWP29'!G$582</f>
        <v>0</v>
      </c>
      <c r="E7874" s="211" t="str">
        <f>'IWP29'!H$582</f>
        <v>E.</v>
      </c>
      <c r="F7874" s="211" t="str">
        <f>'IWP29'!I$582</f>
        <v>F.</v>
      </c>
      <c r="G7874" s="191" t="str">
        <f>IF('IWP29'!J$582=0,"",'IWP29'!J$582)</f>
        <v>G.</v>
      </c>
      <c r="H7874" s="211">
        <f>'IWP29'!K$582</f>
        <v>0</v>
      </c>
      <c r="I7874" s="211" t="str">
        <f>'IWP29'!L$582</f>
        <v>H.</v>
      </c>
      <c r="J7874" s="212" t="str">
        <f>'IWP29'!M$582</f>
        <v>I.</v>
      </c>
      <c r="K7874" s="106"/>
      <c r="L7874" s="106"/>
      <c r="M7874" s="129"/>
    </row>
    <row r="7875" spans="1:13" s="146" customFormat="1">
      <c r="A7875" s="193" t="s">
        <v>527</v>
      </c>
      <c r="B7875" s="210">
        <v>15</v>
      </c>
      <c r="C7875" s="191" t="str">
        <f>IF('IWP29'!E$583=0,"",'IWP29'!E$583)</f>
        <v xml:space="preserve">Items/Services Related to Billing Period </v>
      </c>
      <c r="D7875" s="211">
        <f>'IWP29'!G$583</f>
        <v>0</v>
      </c>
      <c r="E7875" s="211" t="str">
        <f>'IWP29'!H$583</f>
        <v xml:space="preserve">Item/
Service Verified Amounts
</v>
      </c>
      <c r="F7875" s="211" t="str">
        <f>'IWP29'!I$583</f>
        <v>Amount Due to DADS (E. - D.)</v>
      </c>
      <c r="G7875" s="191" t="str">
        <f>IF('IWP29'!J$583=0,"",'IWP29'!J$583)</f>
        <v>Amount Reimbursed to 
Employee(s)/Employer</v>
      </c>
      <c r="H7875" s="211">
        <f>'IWP29'!K$583</f>
        <v>0</v>
      </c>
      <c r="I7875" s="211" t="str">
        <f>'IWP29'!L$583</f>
        <v>Amount Due to Employee(s) (G. - E.)</v>
      </c>
      <c r="J7875" s="212" t="str">
        <f>'IWP29'!M$583</f>
        <v>Amount Due to Employer (G. - E.)</v>
      </c>
      <c r="K7875" s="106"/>
      <c r="L7875" s="106"/>
      <c r="M7875" s="129"/>
    </row>
    <row r="7876" spans="1:13" s="146" customFormat="1">
      <c r="A7876" s="193" t="s">
        <v>527</v>
      </c>
      <c r="B7876" s="210">
        <v>15</v>
      </c>
      <c r="C7876" s="191" t="str">
        <f>IF('IWP29'!E$584=0,"",'IWP29'!E$584)</f>
        <v>Item/Service</v>
      </c>
      <c r="D7876" s="211" t="str">
        <f>'IWP29'!G$584</f>
        <v>Itemized Amount Paid by DADS</v>
      </c>
      <c r="E7876" s="211">
        <f>'IWP29'!H$584</f>
        <v>0</v>
      </c>
      <c r="F7876" s="211">
        <f>'IWP29'!I$584</f>
        <v>0</v>
      </c>
      <c r="G7876" s="191" t="str">
        <f>IF('IWP29'!J$584=0,"",'IWP29'!J$584)</f>
        <v/>
      </c>
      <c r="H7876" s="211">
        <f>'IWP29'!K$584</f>
        <v>0</v>
      </c>
      <c r="I7876" s="211">
        <f>'IWP29'!L$584</f>
        <v>0</v>
      </c>
      <c r="J7876" s="212">
        <f>'IWP29'!M$584</f>
        <v>0</v>
      </c>
      <c r="K7876" s="106"/>
      <c r="L7876" s="106"/>
      <c r="M7876" s="129"/>
    </row>
    <row r="7877" spans="1:13" s="146" customFormat="1">
      <c r="A7877" s="193" t="s">
        <v>527</v>
      </c>
      <c r="B7877" s="210">
        <v>15</v>
      </c>
      <c r="C7877" s="191" t="str">
        <f>IF('IWP29'!E$585=0,"",'IWP29'!E$585)</f>
        <v/>
      </c>
      <c r="D7877" s="211">
        <f>'IWP29'!G$585</f>
        <v>0</v>
      </c>
      <c r="E7877" s="211">
        <f>'IWP29'!H$585</f>
        <v>0</v>
      </c>
      <c r="F7877" s="211">
        <f>'IWP29'!I$585</f>
        <v>0</v>
      </c>
      <c r="G7877" s="191" t="str">
        <f>IF('IWP29'!J$585=0,"",'IWP29'!J$585)</f>
        <v/>
      </c>
      <c r="H7877" s="211">
        <f>'IWP29'!K$585</f>
        <v>0</v>
      </c>
      <c r="I7877" s="211">
        <f>'IWP29'!L$585</f>
        <v>0</v>
      </c>
      <c r="J7877" s="212">
        <f>'IWP29'!M$585</f>
        <v>0</v>
      </c>
      <c r="K7877" s="106"/>
      <c r="L7877" s="106"/>
      <c r="M7877" s="129"/>
    </row>
    <row r="7878" spans="1:13" s="146" customFormat="1">
      <c r="A7878" s="193" t="s">
        <v>527</v>
      </c>
      <c r="B7878" s="210">
        <v>15</v>
      </c>
      <c r="C7878" s="191" t="str">
        <f>IF('IWP29'!E$586=0,"",'IWP29'!E$586)</f>
        <v/>
      </c>
      <c r="D7878" s="211">
        <f>'IWP29'!G$586</f>
        <v>0</v>
      </c>
      <c r="E7878" s="211">
        <f>'IWP29'!H$586</f>
        <v>0</v>
      </c>
      <c r="F7878" s="211">
        <f>'IWP29'!I$586</f>
        <v>0</v>
      </c>
      <c r="G7878" s="191" t="str">
        <f>IF('IWP29'!J$586=0,"",'IWP29'!J$586)</f>
        <v/>
      </c>
      <c r="H7878" s="211">
        <f>'IWP29'!K$586</f>
        <v>0</v>
      </c>
      <c r="I7878" s="211">
        <f>'IWP29'!L$586</f>
        <v>0</v>
      </c>
      <c r="J7878" s="212">
        <f>'IWP29'!M$586</f>
        <v>0</v>
      </c>
      <c r="K7878" s="106"/>
      <c r="L7878" s="106"/>
      <c r="M7878" s="129"/>
    </row>
    <row r="7879" spans="1:13" s="146" customFormat="1">
      <c r="A7879" s="193" t="s">
        <v>527</v>
      </c>
      <c r="B7879" s="210">
        <v>15</v>
      </c>
      <c r="C7879" s="191" t="str">
        <f>IF('IWP29'!E$587=0,"",'IWP29'!E$587)</f>
        <v/>
      </c>
      <c r="D7879" s="211">
        <f>'IWP29'!G$587</f>
        <v>0</v>
      </c>
      <c r="E7879" s="211">
        <f>'IWP29'!H$587</f>
        <v>0</v>
      </c>
      <c r="F7879" s="211">
        <f>'IWP29'!I$587</f>
        <v>0</v>
      </c>
      <c r="G7879" s="191" t="str">
        <f>IF('IWP29'!J$587=0,"",'IWP29'!J$587)</f>
        <v/>
      </c>
      <c r="H7879" s="211">
        <f>'IWP29'!K$587</f>
        <v>0</v>
      </c>
      <c r="I7879" s="211">
        <f>'IWP29'!L$587</f>
        <v>0</v>
      </c>
      <c r="J7879" s="212">
        <f>'IWP29'!M$587</f>
        <v>0</v>
      </c>
      <c r="K7879" s="106"/>
      <c r="L7879" s="106"/>
      <c r="M7879" s="129"/>
    </row>
    <row r="7880" spans="1:13" s="146" customFormat="1">
      <c r="A7880" s="193" t="s">
        <v>527</v>
      </c>
      <c r="B7880" s="210">
        <v>15</v>
      </c>
      <c r="C7880" s="191" t="str">
        <f>IF('IWP29'!E$588=0,"",'IWP29'!E$588)</f>
        <v/>
      </c>
      <c r="D7880" s="211">
        <f>'IWP29'!G$588</f>
        <v>0</v>
      </c>
      <c r="E7880" s="211">
        <f>'IWP29'!H$588</f>
        <v>0</v>
      </c>
      <c r="F7880" s="211">
        <f>'IWP29'!I$588</f>
        <v>0</v>
      </c>
      <c r="G7880" s="191" t="str">
        <f>IF('IWP29'!J$588=0,"",'IWP29'!J$588)</f>
        <v/>
      </c>
      <c r="H7880" s="211">
        <f>'IWP29'!K$588</f>
        <v>0</v>
      </c>
      <c r="I7880" s="211">
        <f>'IWP29'!L$588</f>
        <v>0</v>
      </c>
      <c r="J7880" s="212">
        <f>'IWP29'!M$588</f>
        <v>0</v>
      </c>
      <c r="K7880" s="106"/>
      <c r="L7880" s="106"/>
      <c r="M7880" s="129"/>
    </row>
    <row r="7881" spans="1:13" s="146" customFormat="1">
      <c r="A7881" s="193" t="s">
        <v>527</v>
      </c>
      <c r="B7881" s="210">
        <v>16</v>
      </c>
      <c r="C7881" s="191" t="str">
        <f>IF('IWP29'!E$595=0,"",'IWP29'!E$595)</f>
        <v>Subtotal column D.</v>
      </c>
      <c r="D7881" s="211">
        <f>'IWP29'!G$595</f>
        <v>0</v>
      </c>
      <c r="E7881" s="211">
        <f>'IWP29'!H$595</f>
        <v>0</v>
      </c>
      <c r="F7881" s="211">
        <f>'IWP29'!I$595</f>
        <v>0</v>
      </c>
      <c r="G7881" s="191" t="str">
        <f>IF('IWP29'!J$595=0,"",'IWP29'!J$595)</f>
        <v/>
      </c>
      <c r="H7881" s="211">
        <f>'IWP29'!K$595</f>
        <v>0</v>
      </c>
      <c r="I7881" s="211">
        <f>'IWP29'!L$595</f>
        <v>0</v>
      </c>
      <c r="J7881" s="212">
        <f>'IWP29'!M$595</f>
        <v>0</v>
      </c>
      <c r="K7881" s="106"/>
      <c r="L7881" s="106"/>
      <c r="M7881" s="129"/>
    </row>
    <row r="7882" spans="1:13" s="146" customFormat="1">
      <c r="A7882" s="193" t="s">
        <v>527</v>
      </c>
      <c r="B7882" s="210">
        <v>16</v>
      </c>
      <c r="C7882" s="191" t="str">
        <f>IF('IWP29'!E$596=0,"",'IWP29'!E$596)</f>
        <v>Unverified/Undocumented (Subtotal D - C)</v>
      </c>
      <c r="D7882" s="211">
        <f>'IWP29'!G$596</f>
        <v>0</v>
      </c>
      <c r="E7882" s="211">
        <f>'IWP29'!H$596</f>
        <v>0</v>
      </c>
      <c r="F7882" s="211">
        <f>'IWP29'!I$596</f>
        <v>0</v>
      </c>
      <c r="G7882" s="191" t="str">
        <f>IF('IWP29'!J$596=0,"",'IWP29'!J$596)</f>
        <v/>
      </c>
      <c r="H7882" s="211">
        <f>'IWP29'!K$596</f>
        <v>0</v>
      </c>
      <c r="I7882" s="211">
        <f>'IWP29'!L$596</f>
        <v>0</v>
      </c>
      <c r="J7882" s="212">
        <f>'IWP29'!M$596</f>
        <v>0</v>
      </c>
      <c r="K7882" s="106"/>
      <c r="L7882" s="106"/>
      <c r="M7882" s="129"/>
    </row>
    <row r="7883" spans="1:13" s="146" customFormat="1">
      <c r="A7883" s="193" t="s">
        <v>527</v>
      </c>
      <c r="B7883" s="210">
        <v>16</v>
      </c>
      <c r="C7883" s="191" t="str">
        <f>IF('IWP29'!E$597=0,"",'IWP29'!E$597)</f>
        <v>J. Billing Period Total</v>
      </c>
      <c r="D7883" s="211">
        <f>'IWP29'!G$597</f>
        <v>0</v>
      </c>
      <c r="E7883" s="211">
        <f>'IWP29'!H$597</f>
        <v>0</v>
      </c>
      <c r="F7883" s="211">
        <f>'IWP29'!I$597</f>
        <v>0</v>
      </c>
      <c r="G7883" s="191" t="str">
        <f>IF('IWP29'!J$597=0,"",'IWP29'!J$597)</f>
        <v/>
      </c>
      <c r="H7883" s="211">
        <f>'IWP29'!K$597</f>
        <v>0</v>
      </c>
      <c r="I7883" s="211">
        <f>'IWP29'!L$597</f>
        <v>0</v>
      </c>
      <c r="J7883" s="212">
        <f>'IWP29'!M$597</f>
        <v>0</v>
      </c>
      <c r="K7883" s="106"/>
      <c r="L7883" s="106"/>
      <c r="M7883" s="129"/>
    </row>
    <row r="7884" spans="1:13" s="146" customFormat="1">
      <c r="A7884" s="193" t="s">
        <v>527</v>
      </c>
      <c r="B7884" s="210">
        <v>16</v>
      </c>
      <c r="C7884" s="191" t="str">
        <f>IF('IWP29'!E$598=0,"",'IWP29'!E$598)</f>
        <v>D.</v>
      </c>
      <c r="D7884" s="211">
        <f>'IWP29'!G$598</f>
        <v>0</v>
      </c>
      <c r="E7884" s="211" t="str">
        <f>'IWP29'!H$598</f>
        <v>E.</v>
      </c>
      <c r="F7884" s="211" t="str">
        <f>'IWP29'!I$598</f>
        <v>F.</v>
      </c>
      <c r="G7884" s="191" t="str">
        <f>IF('IWP29'!J$598=0,"",'IWP29'!J$598)</f>
        <v>G.</v>
      </c>
      <c r="H7884" s="211">
        <f>'IWP29'!K$598</f>
        <v>0</v>
      </c>
      <c r="I7884" s="211" t="str">
        <f>'IWP29'!L$598</f>
        <v>H.</v>
      </c>
      <c r="J7884" s="212" t="str">
        <f>'IWP29'!M$598</f>
        <v>I.</v>
      </c>
      <c r="K7884" s="106"/>
      <c r="L7884" s="106"/>
      <c r="M7884" s="129"/>
    </row>
    <row r="7885" spans="1:13" s="146" customFormat="1">
      <c r="A7885" s="193" t="s">
        <v>527</v>
      </c>
      <c r="B7885" s="210">
        <v>16</v>
      </c>
      <c r="C7885" s="191" t="str">
        <f>IF('IWP29'!E$599=0,"",'IWP29'!E$599)</f>
        <v xml:space="preserve">Items/Services Related to Billing Period </v>
      </c>
      <c r="D7885" s="211">
        <f>'IWP29'!G$599</f>
        <v>0</v>
      </c>
      <c r="E7885" s="211" t="str">
        <f>'IWP29'!H$599</f>
        <v xml:space="preserve">Item/
Service Verified Amounts
</v>
      </c>
      <c r="F7885" s="211" t="str">
        <f>'IWP29'!I$599</f>
        <v>Amount Due to DADS (E. - D.)</v>
      </c>
      <c r="G7885" s="191" t="str">
        <f>IF('IWP29'!J$599=0,"",'IWP29'!J$599)</f>
        <v>Amount Reimbursed to 
Employee(s)/Employer</v>
      </c>
      <c r="H7885" s="211">
        <f>'IWP29'!K$599</f>
        <v>0</v>
      </c>
      <c r="I7885" s="211" t="str">
        <f>'IWP29'!L$599</f>
        <v>Amount Due to Employee(s) (G. - E.)</v>
      </c>
      <c r="J7885" s="212" t="str">
        <f>'IWP29'!M$599</f>
        <v>Amount Due to Employer (G. - E.)</v>
      </c>
      <c r="K7885" s="106"/>
      <c r="L7885" s="106"/>
      <c r="M7885" s="129"/>
    </row>
    <row r="7886" spans="1:13" s="146" customFormat="1">
      <c r="A7886" s="193" t="s">
        <v>527</v>
      </c>
      <c r="B7886" s="210">
        <v>16</v>
      </c>
      <c r="C7886" s="191" t="str">
        <f>IF('IWP29'!E$600=0,"",'IWP29'!E$600)</f>
        <v>Item/Service</v>
      </c>
      <c r="D7886" s="211" t="str">
        <f>'IWP29'!G$600</f>
        <v>Itemized Amount Paid by DADS</v>
      </c>
      <c r="E7886" s="211">
        <f>'IWP29'!H$600</f>
        <v>0</v>
      </c>
      <c r="F7886" s="211">
        <f>'IWP29'!I$600</f>
        <v>0</v>
      </c>
      <c r="G7886" s="191" t="str">
        <f>IF('IWP29'!J$600=0,"",'IWP29'!J$600)</f>
        <v/>
      </c>
      <c r="H7886" s="211">
        <f>'IWP29'!K$600</f>
        <v>0</v>
      </c>
      <c r="I7886" s="211">
        <f>'IWP29'!L$600</f>
        <v>0</v>
      </c>
      <c r="J7886" s="212">
        <f>'IWP29'!M$600</f>
        <v>0</v>
      </c>
      <c r="K7886" s="106"/>
      <c r="L7886" s="106"/>
      <c r="M7886" s="129"/>
    </row>
    <row r="7887" spans="1:13" s="146" customFormat="1">
      <c r="A7887" s="193" t="s">
        <v>527</v>
      </c>
      <c r="B7887" s="210">
        <v>16</v>
      </c>
      <c r="C7887" s="191" t="str">
        <f>IF('IWP29'!E$601=0,"",'IWP29'!E$601)</f>
        <v/>
      </c>
      <c r="D7887" s="211">
        <f>'IWP29'!G$601</f>
        <v>0</v>
      </c>
      <c r="E7887" s="211">
        <f>'IWP29'!H$601</f>
        <v>0</v>
      </c>
      <c r="F7887" s="211">
        <f>'IWP29'!I$601</f>
        <v>0</v>
      </c>
      <c r="G7887" s="191" t="str">
        <f>IF('IWP29'!J$601=0,"",'IWP29'!J$601)</f>
        <v/>
      </c>
      <c r="H7887" s="211">
        <f>'IWP29'!K$601</f>
        <v>0</v>
      </c>
      <c r="I7887" s="211">
        <f>'IWP29'!L$601</f>
        <v>0</v>
      </c>
      <c r="J7887" s="212">
        <f>'IWP29'!M$601</f>
        <v>0</v>
      </c>
      <c r="K7887" s="106"/>
      <c r="L7887" s="106"/>
      <c r="M7887" s="129"/>
    </row>
    <row r="7888" spans="1:13" s="146" customFormat="1">
      <c r="A7888" s="193" t="s">
        <v>527</v>
      </c>
      <c r="B7888" s="210">
        <v>16</v>
      </c>
      <c r="C7888" s="191" t="str">
        <f>IF('IWP29'!E$602=0,"",'IWP29'!E$602)</f>
        <v/>
      </c>
      <c r="D7888" s="211">
        <f>'IWP29'!G$602</f>
        <v>0</v>
      </c>
      <c r="E7888" s="211">
        <f>'IWP29'!H$602</f>
        <v>0</v>
      </c>
      <c r="F7888" s="211">
        <f>'IWP29'!I$602</f>
        <v>0</v>
      </c>
      <c r="G7888" s="191" t="str">
        <f>IF('IWP29'!J$602=0,"",'IWP29'!J$602)</f>
        <v/>
      </c>
      <c r="H7888" s="211">
        <f>'IWP29'!K$602</f>
        <v>0</v>
      </c>
      <c r="I7888" s="211">
        <f>'IWP29'!L$602</f>
        <v>0</v>
      </c>
      <c r="J7888" s="212">
        <f>'IWP29'!M$602</f>
        <v>0</v>
      </c>
      <c r="K7888" s="106"/>
      <c r="L7888" s="106"/>
      <c r="M7888" s="129"/>
    </row>
    <row r="7889" spans="1:13" s="146" customFormat="1">
      <c r="A7889" s="193" t="s">
        <v>527</v>
      </c>
      <c r="B7889" s="210">
        <v>16</v>
      </c>
      <c r="C7889" s="191" t="str">
        <f>IF('IWP29'!E$603=0,"",'IWP29'!E$603)</f>
        <v/>
      </c>
      <c r="D7889" s="211">
        <f>'IWP29'!G$603</f>
        <v>0</v>
      </c>
      <c r="E7889" s="211">
        <f>'IWP29'!H$603</f>
        <v>0</v>
      </c>
      <c r="F7889" s="211">
        <f>'IWP29'!I$603</f>
        <v>0</v>
      </c>
      <c r="G7889" s="191" t="str">
        <f>IF('IWP29'!J$603=0,"",'IWP29'!J$603)</f>
        <v/>
      </c>
      <c r="H7889" s="211">
        <f>'IWP29'!K$603</f>
        <v>0</v>
      </c>
      <c r="I7889" s="211">
        <f>'IWP29'!L$603</f>
        <v>0</v>
      </c>
      <c r="J7889" s="212">
        <f>'IWP29'!M$603</f>
        <v>0</v>
      </c>
      <c r="K7889" s="106"/>
      <c r="L7889" s="106"/>
      <c r="M7889" s="129"/>
    </row>
    <row r="7890" spans="1:13" s="146" customFormat="1">
      <c r="A7890" s="193" t="s">
        <v>527</v>
      </c>
      <c r="B7890" s="210">
        <v>16</v>
      </c>
      <c r="C7890" s="191" t="str">
        <f>IF('IWP29'!E$604=0,"",'IWP29'!E$604)</f>
        <v/>
      </c>
      <c r="D7890" s="211">
        <f>'IWP29'!G$604</f>
        <v>0</v>
      </c>
      <c r="E7890" s="211">
        <f>'IWP29'!H$604</f>
        <v>0</v>
      </c>
      <c r="F7890" s="211">
        <f>'IWP29'!I$604</f>
        <v>0</v>
      </c>
      <c r="G7890" s="191" t="str">
        <f>IF('IWP29'!J$604=0,"",'IWP29'!J$604)</f>
        <v/>
      </c>
      <c r="H7890" s="211">
        <f>'IWP29'!K$604</f>
        <v>0</v>
      </c>
      <c r="I7890" s="211">
        <f>'IWP29'!L$604</f>
        <v>0</v>
      </c>
      <c r="J7890" s="212">
        <f>'IWP29'!M$604</f>
        <v>0</v>
      </c>
      <c r="K7890" s="106"/>
      <c r="L7890" s="106"/>
      <c r="M7890" s="129"/>
    </row>
    <row r="7891" spans="1:13" s="146" customFormat="1">
      <c r="A7891" s="193" t="s">
        <v>527</v>
      </c>
      <c r="B7891" s="210">
        <v>17</v>
      </c>
      <c r="C7891" s="191" t="str">
        <f>IF('IWP29'!E$611=0,"",'IWP29'!E$611)</f>
        <v>Subtotal column D.</v>
      </c>
      <c r="D7891" s="211">
        <f>'IWP29'!G$611</f>
        <v>0</v>
      </c>
      <c r="E7891" s="211">
        <f>'IWP29'!H$611</f>
        <v>0</v>
      </c>
      <c r="F7891" s="211">
        <f>'IWP29'!I$611</f>
        <v>0</v>
      </c>
      <c r="G7891" s="191" t="str">
        <f>IF('IWP29'!J$611=0,"",'IWP29'!J$611)</f>
        <v/>
      </c>
      <c r="H7891" s="211">
        <f>'IWP29'!K$611</f>
        <v>0</v>
      </c>
      <c r="I7891" s="211">
        <f>'IWP29'!L$611</f>
        <v>0</v>
      </c>
      <c r="J7891" s="212">
        <f>'IWP29'!M$611</f>
        <v>0</v>
      </c>
      <c r="K7891" s="106"/>
      <c r="L7891" s="106"/>
      <c r="M7891" s="129"/>
    </row>
    <row r="7892" spans="1:13" s="146" customFormat="1">
      <c r="A7892" s="193" t="s">
        <v>527</v>
      </c>
      <c r="B7892" s="210">
        <v>17</v>
      </c>
      <c r="C7892" s="191" t="str">
        <f>IF('IWP29'!E$612=0,"",'IWP29'!E$612)</f>
        <v>Unverified/Undocumented (Subtotal D - C)</v>
      </c>
      <c r="D7892" s="211">
        <f>'IWP29'!G$612</f>
        <v>0</v>
      </c>
      <c r="E7892" s="211">
        <f>'IWP29'!H$612</f>
        <v>0</v>
      </c>
      <c r="F7892" s="211">
        <f>'IWP29'!I$612</f>
        <v>0</v>
      </c>
      <c r="G7892" s="191" t="str">
        <f>IF('IWP29'!J$612=0,"",'IWP29'!J$612)</f>
        <v/>
      </c>
      <c r="H7892" s="211">
        <f>'IWP29'!K$612</f>
        <v>0</v>
      </c>
      <c r="I7892" s="211">
        <f>'IWP29'!L$612</f>
        <v>0</v>
      </c>
      <c r="J7892" s="212">
        <f>'IWP29'!M$612</f>
        <v>0</v>
      </c>
      <c r="K7892" s="106"/>
      <c r="L7892" s="106"/>
      <c r="M7892" s="129"/>
    </row>
    <row r="7893" spans="1:13" s="146" customFormat="1">
      <c r="A7893" s="193" t="s">
        <v>527</v>
      </c>
      <c r="B7893" s="210">
        <v>17</v>
      </c>
      <c r="C7893" s="191" t="str">
        <f>IF('IWP29'!E$613=0,"",'IWP29'!E$613)</f>
        <v>J. Billing Period Total</v>
      </c>
      <c r="D7893" s="211">
        <f>'IWP29'!G$613</f>
        <v>0</v>
      </c>
      <c r="E7893" s="211">
        <f>'IWP29'!H$613</f>
        <v>0</v>
      </c>
      <c r="F7893" s="211">
        <f>'IWP29'!I$613</f>
        <v>0</v>
      </c>
      <c r="G7893" s="191" t="str">
        <f>IF('IWP29'!J$613=0,"",'IWP29'!J$613)</f>
        <v/>
      </c>
      <c r="H7893" s="211">
        <f>'IWP29'!K$613</f>
        <v>0</v>
      </c>
      <c r="I7893" s="211">
        <f>'IWP29'!L$613</f>
        <v>0</v>
      </c>
      <c r="J7893" s="212">
        <f>'IWP29'!M$613</f>
        <v>0</v>
      </c>
      <c r="K7893" s="106"/>
      <c r="L7893" s="106"/>
      <c r="M7893" s="129"/>
    </row>
    <row r="7894" spans="1:13" s="146" customFormat="1">
      <c r="A7894" s="193" t="s">
        <v>527</v>
      </c>
      <c r="B7894" s="210">
        <v>17</v>
      </c>
      <c r="C7894" s="191" t="str">
        <f>IF('IWP29'!E$614=0,"",'IWP29'!E$614)</f>
        <v/>
      </c>
      <c r="D7894" s="211">
        <f>'IWP29'!G$614</f>
        <v>0</v>
      </c>
      <c r="E7894" s="211">
        <f>'IWP29'!H$614</f>
        <v>0</v>
      </c>
      <c r="F7894" s="211">
        <f>'IWP29'!I$614</f>
        <v>0</v>
      </c>
      <c r="G7894" s="191" t="str">
        <f>IF('IWP29'!J$614=0,"",'IWP29'!J$614)</f>
        <v/>
      </c>
      <c r="H7894" s="211">
        <f>'IWP29'!K$614</f>
        <v>0</v>
      </c>
      <c r="I7894" s="211">
        <f>'IWP29'!L$614</f>
        <v>0</v>
      </c>
      <c r="J7894" s="212">
        <f>'IWP29'!M$614</f>
        <v>0</v>
      </c>
      <c r="K7894" s="106"/>
      <c r="L7894" s="106"/>
      <c r="M7894" s="129"/>
    </row>
    <row r="7895" spans="1:13" s="146" customFormat="1">
      <c r="A7895" s="193" t="s">
        <v>527</v>
      </c>
      <c r="B7895" s="210">
        <v>17</v>
      </c>
      <c r="C7895" s="191" t="str">
        <f>IF('IWP29'!E$615=0,"",'IWP29'!E$615)</f>
        <v/>
      </c>
      <c r="D7895" s="211">
        <f>'IWP29'!G$615</f>
        <v>0</v>
      </c>
      <c r="E7895" s="211">
        <f>'IWP29'!H$615</f>
        <v>0</v>
      </c>
      <c r="F7895" s="211">
        <f>'IWP29'!I$615</f>
        <v>0</v>
      </c>
      <c r="G7895" s="191" t="str">
        <f>IF('IWP29'!J$615=0,"",'IWP29'!J$615)</f>
        <v/>
      </c>
      <c r="H7895" s="211">
        <f>'IWP29'!K$615</f>
        <v>0</v>
      </c>
      <c r="I7895" s="211">
        <f>'IWP29'!L$615</f>
        <v>0</v>
      </c>
      <c r="J7895" s="212">
        <f>'IWP29'!M$615</f>
        <v>0</v>
      </c>
      <c r="K7895" s="106"/>
      <c r="L7895" s="106"/>
      <c r="M7895" s="129"/>
    </row>
    <row r="7896" spans="1:13" s="146" customFormat="1">
      <c r="A7896" s="193" t="s">
        <v>527</v>
      </c>
      <c r="B7896" s="210">
        <v>17</v>
      </c>
      <c r="C7896" s="191" t="str">
        <f>IF('IWP29'!E$616=0,"",'IWP29'!E$616)</f>
        <v/>
      </c>
      <c r="D7896" s="211">
        <f>'IWP29'!G$616</f>
        <v>0</v>
      </c>
      <c r="E7896" s="211">
        <f>'IWP29'!H$616</f>
        <v>0</v>
      </c>
      <c r="F7896" s="211">
        <f>'IWP29'!I$616</f>
        <v>0</v>
      </c>
      <c r="G7896" s="191" t="str">
        <f>IF('IWP29'!J$616=0,"",'IWP29'!J$616)</f>
        <v/>
      </c>
      <c r="H7896" s="211">
        <f>'IWP29'!K$616</f>
        <v>0</v>
      </c>
      <c r="I7896" s="211">
        <f>'IWP29'!L$616</f>
        <v>0</v>
      </c>
      <c r="J7896" s="212">
        <f>'IWP29'!M$616</f>
        <v>0</v>
      </c>
      <c r="K7896" s="106"/>
      <c r="L7896" s="106"/>
      <c r="M7896" s="129"/>
    </row>
    <row r="7897" spans="1:13" s="146" customFormat="1">
      <c r="A7897" s="193" t="s">
        <v>527</v>
      </c>
      <c r="B7897" s="210">
        <v>17</v>
      </c>
      <c r="C7897" s="191" t="str">
        <f>IF('IWP29'!E$617=0,"",'IWP29'!E$617)</f>
        <v/>
      </c>
      <c r="D7897" s="211">
        <f>'IWP29'!G$617</f>
        <v>0</v>
      </c>
      <c r="E7897" s="211">
        <f>'IWP29'!H$617</f>
        <v>0</v>
      </c>
      <c r="F7897" s="211">
        <f>'IWP29'!I$617</f>
        <v>0</v>
      </c>
      <c r="G7897" s="191" t="str">
        <f>IF('IWP29'!J$617=0,"",'IWP29'!J$617)</f>
        <v/>
      </c>
      <c r="H7897" s="211">
        <f>'IWP29'!K$617</f>
        <v>0</v>
      </c>
      <c r="I7897" s="211">
        <f>'IWP29'!L$617</f>
        <v>0</v>
      </c>
      <c r="J7897" s="212">
        <f>'IWP29'!M$617</f>
        <v>0</v>
      </c>
      <c r="K7897" s="106"/>
      <c r="L7897" s="106"/>
      <c r="M7897" s="129"/>
    </row>
    <row r="7898" spans="1:13" s="146" customFormat="1">
      <c r="A7898" s="193" t="s">
        <v>527</v>
      </c>
      <c r="B7898" s="210">
        <v>17</v>
      </c>
      <c r="C7898" s="191" t="str">
        <f>IF('IWP29'!E$618=0,"",'IWP29'!E$618)</f>
        <v/>
      </c>
      <c r="D7898" s="211">
        <f>'IWP29'!G$618</f>
        <v>0</v>
      </c>
      <c r="E7898" s="211">
        <f>'IWP29'!H$618</f>
        <v>0</v>
      </c>
      <c r="F7898" s="211">
        <f>'IWP29'!I$618</f>
        <v>0</v>
      </c>
      <c r="G7898" s="191" t="str">
        <f>IF('IWP29'!J$618=0,"",'IWP29'!J$618)</f>
        <v/>
      </c>
      <c r="H7898" s="211">
        <f>'IWP29'!K$618</f>
        <v>0</v>
      </c>
      <c r="I7898" s="211">
        <f>'IWP29'!L$618</f>
        <v>0</v>
      </c>
      <c r="J7898" s="212">
        <f>'IWP29'!M$618</f>
        <v>0</v>
      </c>
      <c r="K7898" s="106"/>
      <c r="L7898" s="106"/>
      <c r="M7898" s="129"/>
    </row>
    <row r="7899" spans="1:13" s="146" customFormat="1">
      <c r="A7899" s="193" t="s">
        <v>527</v>
      </c>
      <c r="B7899" s="210">
        <v>17</v>
      </c>
      <c r="C7899" s="191" t="str">
        <f>IF('IWP29'!E$619=0,"",'IWP29'!E$619)</f>
        <v/>
      </c>
      <c r="D7899" s="211">
        <f>'IWP29'!G$619</f>
        <v>0</v>
      </c>
      <c r="E7899" s="211">
        <f>'IWP29'!H$619</f>
        <v>0</v>
      </c>
      <c r="F7899" s="211">
        <f>'IWP29'!I$619</f>
        <v>0</v>
      </c>
      <c r="G7899" s="191" t="str">
        <f>IF('IWP29'!J$619=0,"",'IWP29'!J$619)</f>
        <v/>
      </c>
      <c r="H7899" s="211">
        <f>'IWP29'!K$619</f>
        <v>0</v>
      </c>
      <c r="I7899" s="211">
        <f>'IWP29'!L$619</f>
        <v>0</v>
      </c>
      <c r="J7899" s="212">
        <f>'IWP29'!M$619</f>
        <v>0</v>
      </c>
      <c r="K7899" s="106"/>
      <c r="L7899" s="106"/>
      <c r="M7899" s="129"/>
    </row>
    <row r="7900" spans="1:13" s="146" customFormat="1">
      <c r="A7900" s="193" t="s">
        <v>527</v>
      </c>
      <c r="B7900" s="210">
        <v>17</v>
      </c>
      <c r="C7900" s="191" t="str">
        <f>IF('IWP29'!E$620=0,"",'IWP29'!E$620)</f>
        <v/>
      </c>
      <c r="D7900" s="211">
        <f>'IWP29'!G$620</f>
        <v>0</v>
      </c>
      <c r="E7900" s="211">
        <f>'IWP29'!H$620</f>
        <v>0</v>
      </c>
      <c r="F7900" s="211">
        <f>'IWP29'!I$620</f>
        <v>0</v>
      </c>
      <c r="G7900" s="191" t="str">
        <f>IF('IWP29'!J$620=0,"",'IWP29'!J$620)</f>
        <v/>
      </c>
      <c r="H7900" s="211">
        <f>'IWP29'!K$620</f>
        <v>0</v>
      </c>
      <c r="I7900" s="211">
        <f>'IWP29'!L$620</f>
        <v>0</v>
      </c>
      <c r="J7900" s="212">
        <f>'IWP29'!M$620</f>
        <v>0</v>
      </c>
      <c r="K7900" s="106"/>
      <c r="L7900" s="106"/>
      <c r="M7900" s="129"/>
    </row>
    <row r="7901" spans="1:13" s="146" customFormat="1">
      <c r="A7901" s="193" t="s">
        <v>527</v>
      </c>
      <c r="B7901" s="210">
        <v>18</v>
      </c>
      <c r="C7901" s="191" t="str">
        <f>IF('IWP29'!E$627=0,"",'IWP29'!E$627)</f>
        <v/>
      </c>
      <c r="D7901" s="211">
        <f>'IWP29'!G$627</f>
        <v>0</v>
      </c>
      <c r="E7901" s="211">
        <f>'IWP29'!H$627</f>
        <v>0</v>
      </c>
      <c r="F7901" s="211">
        <f>'IWP29'!I$627</f>
        <v>0</v>
      </c>
      <c r="G7901" s="191" t="str">
        <f>IF('IWP29'!J$627=0,"",'IWP29'!J$627)</f>
        <v/>
      </c>
      <c r="H7901" s="211">
        <f>'IWP29'!K$627</f>
        <v>0</v>
      </c>
      <c r="I7901" s="211">
        <f>'IWP29'!L$627</f>
        <v>0</v>
      </c>
      <c r="J7901" s="212">
        <f>'IWP29'!M$627</f>
        <v>0</v>
      </c>
      <c r="K7901" s="106"/>
      <c r="L7901" s="106"/>
      <c r="M7901" s="129"/>
    </row>
    <row r="7902" spans="1:13" s="146" customFormat="1">
      <c r="A7902" s="193" t="s">
        <v>527</v>
      </c>
      <c r="B7902" s="210">
        <v>18</v>
      </c>
      <c r="C7902" s="191" t="str">
        <f>IF('IWP29'!E$628=0,"",'IWP29'!E$628)</f>
        <v/>
      </c>
      <c r="D7902" s="211">
        <f>'IWP29'!G$628</f>
        <v>0</v>
      </c>
      <c r="E7902" s="211">
        <f>'IWP29'!H$628</f>
        <v>0</v>
      </c>
      <c r="F7902" s="211">
        <f>'IWP29'!I$628</f>
        <v>0</v>
      </c>
      <c r="G7902" s="191" t="str">
        <f>IF('IWP29'!J$628=0,"",'IWP29'!J$628)</f>
        <v/>
      </c>
      <c r="H7902" s="211">
        <f>'IWP29'!K$628</f>
        <v>0</v>
      </c>
      <c r="I7902" s="211">
        <f>'IWP29'!L$628</f>
        <v>0</v>
      </c>
      <c r="J7902" s="212">
        <f>'IWP29'!M$628</f>
        <v>0</v>
      </c>
      <c r="K7902" s="106"/>
      <c r="L7902" s="106"/>
      <c r="M7902" s="129"/>
    </row>
    <row r="7903" spans="1:13" s="146" customFormat="1">
      <c r="A7903" s="193" t="s">
        <v>527</v>
      </c>
      <c r="B7903" s="210">
        <v>18</v>
      </c>
      <c r="C7903" s="191" t="str">
        <f>IF('IWP29'!E$629=0,"",'IWP29'!E$629)</f>
        <v/>
      </c>
      <c r="D7903" s="211">
        <f>'IWP29'!G$629</f>
        <v>0</v>
      </c>
      <c r="E7903" s="211">
        <f>'IWP29'!H$629</f>
        <v>0</v>
      </c>
      <c r="F7903" s="211">
        <f>'IWP29'!I$629</f>
        <v>0</v>
      </c>
      <c r="G7903" s="191" t="str">
        <f>IF('IWP29'!J$629=0,"",'IWP29'!J$629)</f>
        <v/>
      </c>
      <c r="H7903" s="211">
        <f>'IWP29'!K$629</f>
        <v>0</v>
      </c>
      <c r="I7903" s="211">
        <f>'IWP29'!L$629</f>
        <v>0</v>
      </c>
      <c r="J7903" s="212">
        <f>'IWP29'!M$629</f>
        <v>0</v>
      </c>
      <c r="K7903" s="106"/>
      <c r="L7903" s="106"/>
      <c r="M7903" s="129"/>
    </row>
    <row r="7904" spans="1:13" s="146" customFormat="1">
      <c r="A7904" s="193" t="s">
        <v>527</v>
      </c>
      <c r="B7904" s="210">
        <v>18</v>
      </c>
      <c r="C7904" s="191" t="str">
        <f>IF('IWP29'!E$630=0,"",'IWP29'!E$630)</f>
        <v/>
      </c>
      <c r="D7904" s="211">
        <f>'IWP29'!G$630</f>
        <v>0</v>
      </c>
      <c r="E7904" s="211">
        <f>'IWP29'!H$630</f>
        <v>0</v>
      </c>
      <c r="F7904" s="211">
        <f>'IWP29'!I$630</f>
        <v>0</v>
      </c>
      <c r="G7904" s="191" t="str">
        <f>IF('IWP29'!J$630=0,"",'IWP29'!J$630)</f>
        <v/>
      </c>
      <c r="H7904" s="211">
        <f>'IWP29'!K$630</f>
        <v>0</v>
      </c>
      <c r="I7904" s="211">
        <f>'IWP29'!L$630</f>
        <v>0</v>
      </c>
      <c r="J7904" s="212">
        <f>'IWP29'!M$630</f>
        <v>0</v>
      </c>
      <c r="K7904" s="106"/>
      <c r="L7904" s="106"/>
      <c r="M7904" s="129"/>
    </row>
    <row r="7905" spans="1:13" s="146" customFormat="1">
      <c r="A7905" s="193" t="s">
        <v>527</v>
      </c>
      <c r="B7905" s="210">
        <v>18</v>
      </c>
      <c r="C7905" s="191" t="str">
        <f>IF('IWP29'!E$631=0,"",'IWP29'!E$631)</f>
        <v/>
      </c>
      <c r="D7905" s="211">
        <f>'IWP29'!G$631</f>
        <v>0</v>
      </c>
      <c r="E7905" s="211">
        <f>'IWP29'!H$631</f>
        <v>0</v>
      </c>
      <c r="F7905" s="211">
        <f>'IWP29'!I$631</f>
        <v>0</v>
      </c>
      <c r="G7905" s="191" t="str">
        <f>IF('IWP29'!J$631=0,"",'IWP29'!J$631)</f>
        <v/>
      </c>
      <c r="H7905" s="211">
        <f>'IWP29'!K$631</f>
        <v>0</v>
      </c>
      <c r="I7905" s="211">
        <f>'IWP29'!L$631</f>
        <v>0</v>
      </c>
      <c r="J7905" s="212">
        <f>'IWP29'!M$631</f>
        <v>0</v>
      </c>
      <c r="K7905" s="106"/>
      <c r="L7905" s="106"/>
      <c r="M7905" s="129"/>
    </row>
    <row r="7906" spans="1:13" s="146" customFormat="1">
      <c r="A7906" s="193" t="s">
        <v>527</v>
      </c>
      <c r="B7906" s="210">
        <v>18</v>
      </c>
      <c r="C7906" s="191" t="str">
        <f>IF('IWP29'!E$632=0,"",'IWP29'!E$632)</f>
        <v/>
      </c>
      <c r="D7906" s="211">
        <f>'IWP29'!G$632</f>
        <v>0</v>
      </c>
      <c r="E7906" s="211">
        <f>'IWP29'!H$632</f>
        <v>0</v>
      </c>
      <c r="F7906" s="211">
        <f>'IWP29'!I$632</f>
        <v>0</v>
      </c>
      <c r="G7906" s="191" t="str">
        <f>IF('IWP29'!J$632=0,"",'IWP29'!J$632)</f>
        <v/>
      </c>
      <c r="H7906" s="211">
        <f>'IWP29'!K$632</f>
        <v>0</v>
      </c>
      <c r="I7906" s="211">
        <f>'IWP29'!L$632</f>
        <v>0</v>
      </c>
      <c r="J7906" s="212">
        <f>'IWP29'!M$632</f>
        <v>0</v>
      </c>
      <c r="K7906" s="106"/>
      <c r="L7906" s="106"/>
      <c r="M7906" s="129"/>
    </row>
    <row r="7907" spans="1:13" s="146" customFormat="1">
      <c r="A7907" s="193" t="s">
        <v>527</v>
      </c>
      <c r="B7907" s="210">
        <v>18</v>
      </c>
      <c r="C7907" s="191" t="str">
        <f>IF('IWP29'!E$633=0,"",'IWP29'!E$633)</f>
        <v/>
      </c>
      <c r="D7907" s="211">
        <f>'IWP29'!G$633</f>
        <v>0</v>
      </c>
      <c r="E7907" s="211">
        <f>'IWP29'!H$633</f>
        <v>0</v>
      </c>
      <c r="F7907" s="211">
        <f>'IWP29'!I$633</f>
        <v>0</v>
      </c>
      <c r="G7907" s="191" t="str">
        <f>IF('IWP29'!J$633=0,"",'IWP29'!J$633)</f>
        <v/>
      </c>
      <c r="H7907" s="211">
        <f>'IWP29'!K$633</f>
        <v>0</v>
      </c>
      <c r="I7907" s="211">
        <f>'IWP29'!L$633</f>
        <v>0</v>
      </c>
      <c r="J7907" s="212">
        <f>'IWP29'!M$633</f>
        <v>0</v>
      </c>
      <c r="K7907" s="106"/>
      <c r="L7907" s="106"/>
      <c r="M7907" s="129"/>
    </row>
    <row r="7908" spans="1:13" s="146" customFormat="1">
      <c r="A7908" s="193" t="s">
        <v>527</v>
      </c>
      <c r="B7908" s="210">
        <v>18</v>
      </c>
      <c r="C7908" s="191" t="str">
        <f>IF('IWP29'!E$634=0,"",'IWP29'!E$634)</f>
        <v/>
      </c>
      <c r="D7908" s="211">
        <f>'IWP29'!G$634</f>
        <v>0</v>
      </c>
      <c r="E7908" s="211">
        <f>'IWP29'!H$634</f>
        <v>0</v>
      </c>
      <c r="F7908" s="211">
        <f>'IWP29'!I$634</f>
        <v>0</v>
      </c>
      <c r="G7908" s="191" t="str">
        <f>IF('IWP29'!J$634=0,"",'IWP29'!J$634)</f>
        <v/>
      </c>
      <c r="H7908" s="211">
        <f>'IWP29'!K$634</f>
        <v>0</v>
      </c>
      <c r="I7908" s="211">
        <f>'IWP29'!L$634</f>
        <v>0</v>
      </c>
      <c r="J7908" s="212">
        <f>'IWP29'!M$634</f>
        <v>0</v>
      </c>
      <c r="K7908" s="106"/>
      <c r="L7908" s="106"/>
      <c r="M7908" s="129"/>
    </row>
    <row r="7909" spans="1:13" s="146" customFormat="1">
      <c r="A7909" s="193" t="s">
        <v>527</v>
      </c>
      <c r="B7909" s="210">
        <v>18</v>
      </c>
      <c r="C7909" s="191" t="str">
        <f>IF('IWP29'!E$635=0,"",'IWP29'!E$635)</f>
        <v/>
      </c>
      <c r="D7909" s="211">
        <f>'IWP29'!G$635</f>
        <v>0</v>
      </c>
      <c r="E7909" s="211">
        <f>'IWP29'!H$635</f>
        <v>0</v>
      </c>
      <c r="F7909" s="211">
        <f>'IWP29'!I$635</f>
        <v>0</v>
      </c>
      <c r="G7909" s="191" t="str">
        <f>IF('IWP29'!J$635=0,"",'IWP29'!J$635)</f>
        <v/>
      </c>
      <c r="H7909" s="211">
        <f>'IWP29'!K$635</f>
        <v>0</v>
      </c>
      <c r="I7909" s="211">
        <f>'IWP29'!L$635</f>
        <v>0</v>
      </c>
      <c r="J7909" s="212">
        <f>'IWP29'!M$635</f>
        <v>0</v>
      </c>
      <c r="K7909" s="106"/>
      <c r="L7909" s="106"/>
      <c r="M7909" s="129"/>
    </row>
    <row r="7910" spans="1:13" s="146" customFormat="1">
      <c r="A7910" s="193" t="s">
        <v>527</v>
      </c>
      <c r="B7910" s="210">
        <v>18</v>
      </c>
      <c r="C7910" s="191" t="str">
        <f>IF('IWP29'!E$636=0,"",'IWP29'!E$636)</f>
        <v/>
      </c>
      <c r="D7910" s="211">
        <f>'IWP29'!G$636</f>
        <v>0</v>
      </c>
      <c r="E7910" s="211">
        <f>'IWP29'!H$636</f>
        <v>0</v>
      </c>
      <c r="F7910" s="211">
        <f>'IWP29'!I$636</f>
        <v>0</v>
      </c>
      <c r="G7910" s="191" t="str">
        <f>IF('IWP29'!J$636=0,"",'IWP29'!J$636)</f>
        <v/>
      </c>
      <c r="H7910" s="211">
        <f>'IWP29'!K$636</f>
        <v>0</v>
      </c>
      <c r="I7910" s="211">
        <f>'IWP29'!L$636</f>
        <v>0</v>
      </c>
      <c r="J7910" s="212">
        <f>'IWP29'!M$636</f>
        <v>0</v>
      </c>
      <c r="K7910" s="106"/>
      <c r="L7910" s="106"/>
      <c r="M7910" s="129"/>
    </row>
    <row r="7911" spans="1:13" s="146" customFormat="1">
      <c r="A7911" s="193" t="s">
        <v>528</v>
      </c>
      <c r="B7911" s="210">
        <v>1</v>
      </c>
      <c r="C7911" s="191" t="str">
        <f>IF('IWP30'!E$355=0,"",'IWP30'!E$355)</f>
        <v>Subtotal column D.</v>
      </c>
      <c r="D7911" s="211">
        <f>'IWP30'!G$355</f>
        <v>0</v>
      </c>
      <c r="E7911" s="211">
        <f>'IWP30'!H$355</f>
        <v>0</v>
      </c>
      <c r="F7911" s="211">
        <f>'IWP30'!I$355</f>
        <v>0</v>
      </c>
      <c r="G7911" s="191" t="str">
        <f>IF('IWP30'!J$355=0,"",'IWP30'!J$355)</f>
        <v/>
      </c>
      <c r="H7911" s="211">
        <f>'IWP30'!K$355</f>
        <v>0</v>
      </c>
      <c r="I7911" s="211">
        <f>'IWP30'!L$355</f>
        <v>0</v>
      </c>
      <c r="J7911" s="212">
        <f>'IWP30'!M$355</f>
        <v>0</v>
      </c>
      <c r="K7911" s="106"/>
      <c r="L7911" s="106"/>
      <c r="M7911" s="129"/>
    </row>
    <row r="7912" spans="1:13" s="146" customFormat="1">
      <c r="A7912" s="193" t="s">
        <v>528</v>
      </c>
      <c r="B7912" s="210">
        <v>1</v>
      </c>
      <c r="C7912" s="191" t="str">
        <f>IF('IWP30'!E$356=0,"",'IWP30'!E$356)</f>
        <v>Unverified/Undocumented (Subtotall D - C)</v>
      </c>
      <c r="D7912" s="211">
        <f>'IWP30'!G$356</f>
        <v>0</v>
      </c>
      <c r="E7912" s="211">
        <f>'IWP30'!H$356</f>
        <v>0</v>
      </c>
      <c r="F7912" s="211">
        <f>'IWP30'!I$356</f>
        <v>0</v>
      </c>
      <c r="G7912" s="191" t="str">
        <f>IF('IWP30'!J$356=0,"",'IWP30'!J$356)</f>
        <v/>
      </c>
      <c r="H7912" s="211">
        <f>'IWP30'!K$356</f>
        <v>0</v>
      </c>
      <c r="I7912" s="211">
        <f>'IWP30'!L$356</f>
        <v>0</v>
      </c>
      <c r="J7912" s="212">
        <f>'IWP30'!M$356</f>
        <v>0</v>
      </c>
      <c r="K7912" s="106"/>
      <c r="L7912" s="106"/>
      <c r="M7912" s="129"/>
    </row>
    <row r="7913" spans="1:13" s="146" customFormat="1">
      <c r="A7913" s="193" t="s">
        <v>528</v>
      </c>
      <c r="B7913" s="210">
        <v>1</v>
      </c>
      <c r="C7913" s="191" t="str">
        <f>IF('IWP30'!E$357=0,"",'IWP30'!E$357)</f>
        <v>J. Billing Period Total</v>
      </c>
      <c r="D7913" s="211">
        <f>'IWP30'!G$357</f>
        <v>0</v>
      </c>
      <c r="E7913" s="211">
        <f>'IWP30'!H$357</f>
        <v>0</v>
      </c>
      <c r="F7913" s="211">
        <f>'IWP30'!I$357</f>
        <v>0</v>
      </c>
      <c r="G7913" s="191" t="str">
        <f>IF('IWP30'!J$357=0,"",'IWP30'!J$357)</f>
        <v/>
      </c>
      <c r="H7913" s="211">
        <f>'IWP30'!K$357</f>
        <v>0</v>
      </c>
      <c r="I7913" s="211">
        <f>'IWP30'!L$357</f>
        <v>0</v>
      </c>
      <c r="J7913" s="212">
        <f>'IWP30'!M$357</f>
        <v>0</v>
      </c>
      <c r="K7913" s="106"/>
      <c r="L7913" s="106"/>
      <c r="M7913" s="129"/>
    </row>
    <row r="7914" spans="1:13" s="146" customFormat="1">
      <c r="A7914" s="193" t="s">
        <v>528</v>
      </c>
      <c r="B7914" s="210">
        <v>1</v>
      </c>
      <c r="C7914" s="191" t="str">
        <f>IF('IWP30'!E$358=0,"",'IWP30'!E$358)</f>
        <v>D.</v>
      </c>
      <c r="D7914" s="211">
        <f>'IWP30'!G$358</f>
        <v>0</v>
      </c>
      <c r="E7914" s="211" t="str">
        <f>'IWP30'!H$358</f>
        <v>E.</v>
      </c>
      <c r="F7914" s="211" t="str">
        <f>'IWP30'!I$358</f>
        <v>F.</v>
      </c>
      <c r="G7914" s="191" t="str">
        <f>IF('IWP30'!J$358=0,"",'IWP30'!J$358)</f>
        <v>G.</v>
      </c>
      <c r="H7914" s="211">
        <f>'IWP30'!K$358</f>
        <v>0</v>
      </c>
      <c r="I7914" s="211" t="str">
        <f>'IWP30'!L$358</f>
        <v>H.</v>
      </c>
      <c r="J7914" s="212" t="str">
        <f>'IWP30'!M$358</f>
        <v>I.</v>
      </c>
      <c r="K7914" s="106"/>
      <c r="L7914" s="106"/>
      <c r="M7914" s="129"/>
    </row>
    <row r="7915" spans="1:13" s="146" customFormat="1">
      <c r="A7915" s="193" t="s">
        <v>528</v>
      </c>
      <c r="B7915" s="210">
        <v>1</v>
      </c>
      <c r="C7915" s="191" t="str">
        <f>IF('IWP30'!E$359=0,"",'IWP30'!E$359)</f>
        <v xml:space="preserve">Items/Services Related to Billing Period </v>
      </c>
      <c r="D7915" s="211">
        <f>'IWP30'!G$359</f>
        <v>0</v>
      </c>
      <c r="E7915" s="211" t="str">
        <f>'IWP30'!H$359</f>
        <v xml:space="preserve">Item/
Service Verified Amounts
</v>
      </c>
      <c r="F7915" s="211" t="str">
        <f>'IWP30'!I$359</f>
        <v>Amount Due to DADS (E. - D.)</v>
      </c>
      <c r="G7915" s="191" t="str">
        <f>IF('IWP30'!J$359=0,"",'IWP30'!J$359)</f>
        <v>Amount Reimbursed to 
Employee(s)/Employer</v>
      </c>
      <c r="H7915" s="211">
        <f>'IWP30'!K$359</f>
        <v>0</v>
      </c>
      <c r="I7915" s="211" t="str">
        <f>'IWP30'!L$359</f>
        <v>Amount Due to Employee(s) (G. - E.)</v>
      </c>
      <c r="J7915" s="212" t="str">
        <f>'IWP30'!M$359</f>
        <v>Amount Due to Employer (G. - E.)</v>
      </c>
      <c r="K7915" s="106"/>
      <c r="L7915" s="106"/>
      <c r="M7915" s="129"/>
    </row>
    <row r="7916" spans="1:13" s="146" customFormat="1">
      <c r="A7916" s="193" t="s">
        <v>528</v>
      </c>
      <c r="B7916" s="210">
        <v>1</v>
      </c>
      <c r="C7916" s="191" t="str">
        <f>IF('IWP30'!E$360=0,"",'IWP30'!E$360)</f>
        <v>Item/Service</v>
      </c>
      <c r="D7916" s="211" t="str">
        <f>'IWP30'!G$360</f>
        <v>Itemized Amount Paid by DADS</v>
      </c>
      <c r="E7916" s="211">
        <f>'IWP30'!H$360</f>
        <v>0</v>
      </c>
      <c r="F7916" s="211">
        <f>'IWP30'!I$360</f>
        <v>0</v>
      </c>
      <c r="G7916" s="191" t="str">
        <f>IF('IWP30'!J$360=0,"",'IWP30'!J$360)</f>
        <v/>
      </c>
      <c r="H7916" s="211">
        <f>'IWP30'!K$360</f>
        <v>0</v>
      </c>
      <c r="I7916" s="211">
        <f>'IWP30'!L$360</f>
        <v>0</v>
      </c>
      <c r="J7916" s="212">
        <f>'IWP30'!M$360</f>
        <v>0</v>
      </c>
      <c r="K7916" s="106"/>
      <c r="L7916" s="106"/>
      <c r="M7916" s="129"/>
    </row>
    <row r="7917" spans="1:13" s="146" customFormat="1">
      <c r="A7917" s="193" t="s">
        <v>528</v>
      </c>
      <c r="B7917" s="210">
        <v>1</v>
      </c>
      <c r="C7917" s="191" t="str">
        <f>IF('IWP30'!E$361=0,"",'IWP30'!E$361)</f>
        <v/>
      </c>
      <c r="D7917" s="211">
        <f>'IWP30'!G$361</f>
        <v>0</v>
      </c>
      <c r="E7917" s="211">
        <f>'IWP30'!H$361</f>
        <v>0</v>
      </c>
      <c r="F7917" s="211">
        <f>'IWP30'!I$361</f>
        <v>0</v>
      </c>
      <c r="G7917" s="191" t="str">
        <f>IF('IWP30'!J$361=0,"",'IWP30'!J$361)</f>
        <v/>
      </c>
      <c r="H7917" s="211">
        <f>'IWP30'!K$361</f>
        <v>0</v>
      </c>
      <c r="I7917" s="211">
        <f>'IWP30'!L$361</f>
        <v>0</v>
      </c>
      <c r="J7917" s="212">
        <f>'IWP30'!M$361</f>
        <v>0</v>
      </c>
      <c r="K7917" s="106"/>
      <c r="L7917" s="106"/>
      <c r="M7917" s="129"/>
    </row>
    <row r="7918" spans="1:13" s="146" customFormat="1">
      <c r="A7918" s="193" t="s">
        <v>528</v>
      </c>
      <c r="B7918" s="210">
        <v>1</v>
      </c>
      <c r="C7918" s="191" t="str">
        <f>IF('IWP30'!E$362=0,"",'IWP30'!E$362)</f>
        <v/>
      </c>
      <c r="D7918" s="211">
        <f>'IWP30'!G$362</f>
        <v>0</v>
      </c>
      <c r="E7918" s="211">
        <f>'IWP30'!H$362</f>
        <v>0</v>
      </c>
      <c r="F7918" s="211">
        <f>'IWP30'!I$362</f>
        <v>0</v>
      </c>
      <c r="G7918" s="191" t="str">
        <f>IF('IWP30'!J$362=0,"",'IWP30'!J$362)</f>
        <v/>
      </c>
      <c r="H7918" s="211">
        <f>'IWP30'!K$362</f>
        <v>0</v>
      </c>
      <c r="I7918" s="211">
        <f>'IWP30'!L$362</f>
        <v>0</v>
      </c>
      <c r="J7918" s="212">
        <f>'IWP30'!M$362</f>
        <v>0</v>
      </c>
      <c r="K7918" s="106"/>
      <c r="L7918" s="106"/>
      <c r="M7918" s="129"/>
    </row>
    <row r="7919" spans="1:13" s="146" customFormat="1">
      <c r="A7919" s="193" t="s">
        <v>528</v>
      </c>
      <c r="B7919" s="210">
        <v>1</v>
      </c>
      <c r="C7919" s="191" t="str">
        <f>IF('IWP30'!E$363=0,"",'IWP30'!E$363)</f>
        <v/>
      </c>
      <c r="D7919" s="211">
        <f>'IWP30'!G$363</f>
        <v>0</v>
      </c>
      <c r="E7919" s="211">
        <f>'IWP30'!H$363</f>
        <v>0</v>
      </c>
      <c r="F7919" s="211">
        <f>'IWP30'!I$363</f>
        <v>0</v>
      </c>
      <c r="G7919" s="191" t="str">
        <f>IF('IWP30'!J$363=0,"",'IWP30'!J$363)</f>
        <v/>
      </c>
      <c r="H7919" s="211">
        <f>'IWP30'!K$363</f>
        <v>0</v>
      </c>
      <c r="I7919" s="211">
        <f>'IWP30'!L$363</f>
        <v>0</v>
      </c>
      <c r="J7919" s="212">
        <f>'IWP30'!M$363</f>
        <v>0</v>
      </c>
      <c r="K7919" s="106"/>
      <c r="L7919" s="106"/>
      <c r="M7919" s="129"/>
    </row>
    <row r="7920" spans="1:13" s="146" customFormat="1">
      <c r="A7920" s="193" t="s">
        <v>528</v>
      </c>
      <c r="B7920" s="210">
        <v>1</v>
      </c>
      <c r="C7920" s="191" t="str">
        <f>IF('IWP30'!E$364=0,"",'IWP30'!E$364)</f>
        <v/>
      </c>
      <c r="D7920" s="211">
        <f>'IWP30'!G$364</f>
        <v>0</v>
      </c>
      <c r="E7920" s="211">
        <f>'IWP30'!H$364</f>
        <v>0</v>
      </c>
      <c r="F7920" s="211">
        <f>'IWP30'!I$364</f>
        <v>0</v>
      </c>
      <c r="G7920" s="191" t="str">
        <f>IF('IWP30'!J$364=0,"",'IWP30'!J$364)</f>
        <v/>
      </c>
      <c r="H7920" s="211">
        <f>'IWP30'!K$364</f>
        <v>0</v>
      </c>
      <c r="I7920" s="211">
        <f>'IWP30'!L$364</f>
        <v>0</v>
      </c>
      <c r="J7920" s="212">
        <f>'IWP30'!M$364</f>
        <v>0</v>
      </c>
      <c r="K7920" s="106"/>
      <c r="L7920" s="106"/>
      <c r="M7920" s="129"/>
    </row>
    <row r="7921" spans="1:13" s="146" customFormat="1">
      <c r="A7921" s="193" t="s">
        <v>528</v>
      </c>
      <c r="B7921" s="210">
        <v>2</v>
      </c>
      <c r="C7921" s="191" t="str">
        <f>IF('IWP30'!E$371=0,"",'IWP30'!E$371)</f>
        <v>Subtotal column D.</v>
      </c>
      <c r="D7921" s="211">
        <f>'IWP30'!G$371</f>
        <v>0</v>
      </c>
      <c r="E7921" s="211">
        <f>'IWP30'!H$371</f>
        <v>0</v>
      </c>
      <c r="F7921" s="211">
        <f>'IWP30'!I$371</f>
        <v>0</v>
      </c>
      <c r="G7921" s="191" t="str">
        <f>IF('IWP30'!J$371=0,"",'IWP30'!J$371)</f>
        <v/>
      </c>
      <c r="H7921" s="211">
        <f>'IWP30'!K$371</f>
        <v>0</v>
      </c>
      <c r="I7921" s="211">
        <f>'IWP30'!L$371</f>
        <v>0</v>
      </c>
      <c r="J7921" s="212">
        <f>'IWP30'!M$371</f>
        <v>0</v>
      </c>
      <c r="K7921" s="106"/>
      <c r="L7921" s="106"/>
      <c r="M7921" s="129"/>
    </row>
    <row r="7922" spans="1:13" s="146" customFormat="1">
      <c r="A7922" s="193" t="s">
        <v>528</v>
      </c>
      <c r="B7922" s="210">
        <v>2</v>
      </c>
      <c r="C7922" s="191" t="str">
        <f>IF('IWP30'!E$372=0,"",'IWP30'!E$372)</f>
        <v>Unverified/Undocumented (Subtotal D - C)</v>
      </c>
      <c r="D7922" s="211">
        <f>'IWP30'!G$372</f>
        <v>0</v>
      </c>
      <c r="E7922" s="211">
        <f>'IWP30'!H$372</f>
        <v>0</v>
      </c>
      <c r="F7922" s="211">
        <f>'IWP30'!I$372</f>
        <v>0</v>
      </c>
      <c r="G7922" s="191" t="str">
        <f>IF('IWP30'!J$372=0,"",'IWP30'!J$372)</f>
        <v/>
      </c>
      <c r="H7922" s="211">
        <f>'IWP30'!K$372</f>
        <v>0</v>
      </c>
      <c r="I7922" s="211">
        <f>'IWP30'!L$372</f>
        <v>0</v>
      </c>
      <c r="J7922" s="212">
        <f>'IWP30'!M$372</f>
        <v>0</v>
      </c>
      <c r="K7922" s="106"/>
      <c r="L7922" s="106"/>
      <c r="M7922" s="129"/>
    </row>
    <row r="7923" spans="1:13" s="146" customFormat="1">
      <c r="A7923" s="193" t="s">
        <v>528</v>
      </c>
      <c r="B7923" s="210">
        <v>2</v>
      </c>
      <c r="C7923" s="191" t="str">
        <f>IF('IWP30'!E$373=0,"",'IWP30'!E$373)</f>
        <v>J. Billing Period Total</v>
      </c>
      <c r="D7923" s="211">
        <f>'IWP30'!G$373</f>
        <v>0</v>
      </c>
      <c r="E7923" s="211">
        <f>'IWP30'!H$373</f>
        <v>0</v>
      </c>
      <c r="F7923" s="211">
        <f>'IWP30'!I$373</f>
        <v>0</v>
      </c>
      <c r="G7923" s="191" t="str">
        <f>IF('IWP30'!J$373=0,"",'IWP30'!J$373)</f>
        <v/>
      </c>
      <c r="H7923" s="211">
        <f>'IWP30'!K$373</f>
        <v>0</v>
      </c>
      <c r="I7923" s="211">
        <f>'IWP30'!L$373</f>
        <v>0</v>
      </c>
      <c r="J7923" s="212">
        <f>'IWP30'!M$373</f>
        <v>0</v>
      </c>
      <c r="K7923" s="106"/>
      <c r="L7923" s="106"/>
      <c r="M7923" s="129"/>
    </row>
    <row r="7924" spans="1:13" s="146" customFormat="1">
      <c r="A7924" s="193" t="s">
        <v>528</v>
      </c>
      <c r="B7924" s="210">
        <v>2</v>
      </c>
      <c r="C7924" s="191" t="str">
        <f>IF('IWP30'!E$374=0,"",'IWP30'!E$374)</f>
        <v>D.</v>
      </c>
      <c r="D7924" s="211">
        <f>'IWP30'!G$374</f>
        <v>0</v>
      </c>
      <c r="E7924" s="211" t="str">
        <f>'IWP30'!H$374</f>
        <v>E.</v>
      </c>
      <c r="F7924" s="211" t="str">
        <f>'IWP30'!I$374</f>
        <v>F.</v>
      </c>
      <c r="G7924" s="191" t="str">
        <f>IF('IWP30'!J$374=0,"",'IWP30'!J$374)</f>
        <v>G.</v>
      </c>
      <c r="H7924" s="211">
        <f>'IWP30'!K$374</f>
        <v>0</v>
      </c>
      <c r="I7924" s="211" t="str">
        <f>'IWP30'!L$374</f>
        <v>H.</v>
      </c>
      <c r="J7924" s="212" t="str">
        <f>'IWP30'!M$374</f>
        <v>I.</v>
      </c>
      <c r="K7924" s="106"/>
      <c r="L7924" s="106"/>
      <c r="M7924" s="129"/>
    </row>
    <row r="7925" spans="1:13" s="146" customFormat="1">
      <c r="A7925" s="193" t="s">
        <v>528</v>
      </c>
      <c r="B7925" s="210">
        <v>2</v>
      </c>
      <c r="C7925" s="191" t="str">
        <f>IF('IWP30'!E$375=0,"",'IWP30'!E$375)</f>
        <v xml:space="preserve">Items/Services Related to Billing Period </v>
      </c>
      <c r="D7925" s="211">
        <f>'IWP30'!G$375</f>
        <v>0</v>
      </c>
      <c r="E7925" s="211" t="str">
        <f>'IWP30'!H$375</f>
        <v xml:space="preserve">Item/
Service Verified Amounts
</v>
      </c>
      <c r="F7925" s="211" t="str">
        <f>'IWP30'!I$375</f>
        <v>Amount Due to DADS (E. - D.)</v>
      </c>
      <c r="G7925" s="191" t="str">
        <f>IF('IWP30'!J$375=0,"",'IWP30'!J$375)</f>
        <v>Amount Reimbursed to 
Employee(s)/Employer</v>
      </c>
      <c r="H7925" s="211">
        <f>'IWP30'!K$375</f>
        <v>0</v>
      </c>
      <c r="I7925" s="211" t="str">
        <f>'IWP30'!L$375</f>
        <v>Amount Due to Employee(s) (G. - E.)</v>
      </c>
      <c r="J7925" s="212" t="str">
        <f>'IWP30'!M$375</f>
        <v>Amount Due to Employer (G. - E.)</v>
      </c>
      <c r="K7925" s="106"/>
      <c r="L7925" s="106"/>
      <c r="M7925" s="129"/>
    </row>
    <row r="7926" spans="1:13" s="146" customFormat="1">
      <c r="A7926" s="193" t="s">
        <v>528</v>
      </c>
      <c r="B7926" s="210">
        <v>2</v>
      </c>
      <c r="C7926" s="191" t="str">
        <f>IF('IWP30'!E$376=0,"",'IWP30'!E$376)</f>
        <v>Item/Service</v>
      </c>
      <c r="D7926" s="211" t="str">
        <f>'IWP30'!G$376</f>
        <v>Itemized Amount Paid by DADS</v>
      </c>
      <c r="E7926" s="211">
        <f>'IWP30'!H$376</f>
        <v>0</v>
      </c>
      <c r="F7926" s="211">
        <f>'IWP30'!I$376</f>
        <v>0</v>
      </c>
      <c r="G7926" s="191" t="str">
        <f>IF('IWP30'!J$376=0,"",'IWP30'!J$376)</f>
        <v/>
      </c>
      <c r="H7926" s="211">
        <f>'IWP30'!K$376</f>
        <v>0</v>
      </c>
      <c r="I7926" s="211">
        <f>'IWP30'!L$376</f>
        <v>0</v>
      </c>
      <c r="J7926" s="212">
        <f>'IWP30'!M$376</f>
        <v>0</v>
      </c>
      <c r="K7926" s="106"/>
      <c r="L7926" s="106"/>
      <c r="M7926" s="129"/>
    </row>
    <row r="7927" spans="1:13" s="146" customFormat="1">
      <c r="A7927" s="193" t="s">
        <v>528</v>
      </c>
      <c r="B7927" s="210">
        <v>2</v>
      </c>
      <c r="C7927" s="191" t="str">
        <f>IF('IWP30'!E$377=0,"",'IWP30'!E$377)</f>
        <v/>
      </c>
      <c r="D7927" s="211">
        <f>'IWP30'!G$377</f>
        <v>0</v>
      </c>
      <c r="E7927" s="211">
        <f>'IWP30'!H$377</f>
        <v>0</v>
      </c>
      <c r="F7927" s="211">
        <f>'IWP30'!I$377</f>
        <v>0</v>
      </c>
      <c r="G7927" s="191" t="str">
        <f>IF('IWP30'!J$377=0,"",'IWP30'!J$377)</f>
        <v/>
      </c>
      <c r="H7927" s="211">
        <f>'IWP30'!K$377</f>
        <v>0</v>
      </c>
      <c r="I7927" s="211">
        <f>'IWP30'!L$377</f>
        <v>0</v>
      </c>
      <c r="J7927" s="212">
        <f>'IWP30'!M$377</f>
        <v>0</v>
      </c>
      <c r="K7927" s="106"/>
      <c r="L7927" s="106"/>
      <c r="M7927" s="129"/>
    </row>
    <row r="7928" spans="1:13" s="146" customFormat="1">
      <c r="A7928" s="193" t="s">
        <v>528</v>
      </c>
      <c r="B7928" s="210">
        <v>2</v>
      </c>
      <c r="C7928" s="191" t="str">
        <f>IF('IWP30'!E$378=0,"",'IWP30'!E$378)</f>
        <v/>
      </c>
      <c r="D7928" s="211">
        <f>'IWP30'!G$378</f>
        <v>0</v>
      </c>
      <c r="E7928" s="211">
        <f>'IWP30'!H$378</f>
        <v>0</v>
      </c>
      <c r="F7928" s="211">
        <f>'IWP30'!I$378</f>
        <v>0</v>
      </c>
      <c r="G7928" s="191" t="str">
        <f>IF('IWP30'!J$378=0,"",'IWP30'!J$378)</f>
        <v/>
      </c>
      <c r="H7928" s="211">
        <f>'IWP30'!K$378</f>
        <v>0</v>
      </c>
      <c r="I7928" s="211">
        <f>'IWP30'!L$378</f>
        <v>0</v>
      </c>
      <c r="J7928" s="212">
        <f>'IWP30'!M$378</f>
        <v>0</v>
      </c>
      <c r="K7928" s="106"/>
      <c r="L7928" s="106"/>
      <c r="M7928" s="129"/>
    </row>
    <row r="7929" spans="1:13" s="146" customFormat="1">
      <c r="A7929" s="193" t="s">
        <v>528</v>
      </c>
      <c r="B7929" s="210">
        <v>2</v>
      </c>
      <c r="C7929" s="191" t="str">
        <f>IF('IWP30'!E$379=0,"",'IWP30'!E$379)</f>
        <v/>
      </c>
      <c r="D7929" s="211">
        <f>'IWP30'!G$379</f>
        <v>0</v>
      </c>
      <c r="E7929" s="211">
        <f>'IWP30'!H$379</f>
        <v>0</v>
      </c>
      <c r="F7929" s="211">
        <f>'IWP30'!I$379</f>
        <v>0</v>
      </c>
      <c r="G7929" s="191" t="str">
        <f>IF('IWP30'!J$379=0,"",'IWP30'!J$379)</f>
        <v/>
      </c>
      <c r="H7929" s="211">
        <f>'IWP30'!K$379</f>
        <v>0</v>
      </c>
      <c r="I7929" s="211">
        <f>'IWP30'!L$379</f>
        <v>0</v>
      </c>
      <c r="J7929" s="212">
        <f>'IWP30'!M$379</f>
        <v>0</v>
      </c>
      <c r="K7929" s="106"/>
      <c r="L7929" s="106"/>
      <c r="M7929" s="129"/>
    </row>
    <row r="7930" spans="1:13" s="146" customFormat="1">
      <c r="A7930" s="193" t="s">
        <v>528</v>
      </c>
      <c r="B7930" s="210">
        <v>2</v>
      </c>
      <c r="C7930" s="191" t="str">
        <f>IF('IWP30'!E$380=0,"",'IWP30'!E$380)</f>
        <v/>
      </c>
      <c r="D7930" s="211">
        <f>'IWP30'!G$380</f>
        <v>0</v>
      </c>
      <c r="E7930" s="211">
        <f>'IWP30'!H$380</f>
        <v>0</v>
      </c>
      <c r="F7930" s="211">
        <f>'IWP30'!I$380</f>
        <v>0</v>
      </c>
      <c r="G7930" s="191" t="str">
        <f>IF('IWP30'!J$380=0,"",'IWP30'!J$380)</f>
        <v/>
      </c>
      <c r="H7930" s="211">
        <f>'IWP30'!K$380</f>
        <v>0</v>
      </c>
      <c r="I7930" s="211">
        <f>'IWP30'!L$380</f>
        <v>0</v>
      </c>
      <c r="J7930" s="212">
        <f>'IWP30'!M$380</f>
        <v>0</v>
      </c>
      <c r="K7930" s="106"/>
      <c r="L7930" s="106"/>
      <c r="M7930" s="129"/>
    </row>
    <row r="7931" spans="1:13" s="146" customFormat="1">
      <c r="A7931" s="193" t="s">
        <v>528</v>
      </c>
      <c r="B7931" s="210">
        <v>3</v>
      </c>
      <c r="C7931" s="191" t="str">
        <f>IF('IWP30'!E$387=0,"",'IWP30'!E$387)</f>
        <v>Subtotal column D.</v>
      </c>
      <c r="D7931" s="211">
        <f>'IWP30'!G$387</f>
        <v>0</v>
      </c>
      <c r="E7931" s="211">
        <f>'IWP30'!H$387</f>
        <v>0</v>
      </c>
      <c r="F7931" s="211">
        <f>'IWP30'!I$387</f>
        <v>0</v>
      </c>
      <c r="G7931" s="191" t="str">
        <f>IF('IWP30'!J$387=0,"",'IWP30'!J$387)</f>
        <v/>
      </c>
      <c r="H7931" s="211">
        <f>'IWP30'!K$387</f>
        <v>0</v>
      </c>
      <c r="I7931" s="211">
        <f>'IWP30'!L$387</f>
        <v>0</v>
      </c>
      <c r="J7931" s="212">
        <f>'IWP30'!M$387</f>
        <v>0</v>
      </c>
      <c r="K7931" s="106"/>
      <c r="L7931" s="106"/>
      <c r="M7931" s="129"/>
    </row>
    <row r="7932" spans="1:13" s="146" customFormat="1">
      <c r="A7932" s="193" t="s">
        <v>528</v>
      </c>
      <c r="B7932" s="210">
        <v>3</v>
      </c>
      <c r="C7932" s="191" t="str">
        <f>IF('IWP30'!E$388=0,"",'IWP30'!E$388)</f>
        <v>Unverified/Undocumented (Subtotal D - C)</v>
      </c>
      <c r="D7932" s="211">
        <f>'IWP30'!G$388</f>
        <v>0</v>
      </c>
      <c r="E7932" s="211">
        <f>'IWP30'!H$388</f>
        <v>0</v>
      </c>
      <c r="F7932" s="211">
        <f>'IWP30'!I$388</f>
        <v>0</v>
      </c>
      <c r="G7932" s="191" t="str">
        <f>IF('IWP30'!J$388=0,"",'IWP30'!J$388)</f>
        <v/>
      </c>
      <c r="H7932" s="211">
        <f>'IWP30'!K$388</f>
        <v>0</v>
      </c>
      <c r="I7932" s="211">
        <f>'IWP30'!L$388</f>
        <v>0</v>
      </c>
      <c r="J7932" s="212">
        <f>'IWP30'!M$388</f>
        <v>0</v>
      </c>
      <c r="K7932" s="106"/>
      <c r="L7932" s="106"/>
      <c r="M7932" s="129"/>
    </row>
    <row r="7933" spans="1:13" s="146" customFormat="1">
      <c r="A7933" s="193" t="s">
        <v>528</v>
      </c>
      <c r="B7933" s="210">
        <v>3</v>
      </c>
      <c r="C7933" s="191" t="str">
        <f>IF('IWP30'!E$389=0,"",'IWP30'!E$389)</f>
        <v>J. Billing Period Total</v>
      </c>
      <c r="D7933" s="211">
        <f>'IWP30'!G$389</f>
        <v>0</v>
      </c>
      <c r="E7933" s="211">
        <f>'IWP30'!H$389</f>
        <v>0</v>
      </c>
      <c r="F7933" s="211">
        <f>'IWP30'!I$389</f>
        <v>0</v>
      </c>
      <c r="G7933" s="191" t="str">
        <f>IF('IWP30'!J$389=0,"",'IWP30'!J$389)</f>
        <v/>
      </c>
      <c r="H7933" s="211">
        <f>'IWP30'!K$389</f>
        <v>0</v>
      </c>
      <c r="I7933" s="211">
        <f>'IWP30'!L$389</f>
        <v>0</v>
      </c>
      <c r="J7933" s="212">
        <f>'IWP30'!M$389</f>
        <v>0</v>
      </c>
      <c r="K7933" s="106"/>
      <c r="L7933" s="106"/>
      <c r="M7933" s="129"/>
    </row>
    <row r="7934" spans="1:13" s="146" customFormat="1">
      <c r="A7934" s="193" t="s">
        <v>528</v>
      </c>
      <c r="B7934" s="210">
        <v>3</v>
      </c>
      <c r="C7934" s="191" t="str">
        <f>IF('IWP30'!E$390=0,"",'IWP30'!E$390)</f>
        <v>D.</v>
      </c>
      <c r="D7934" s="211">
        <f>'IWP30'!G$390</f>
        <v>0</v>
      </c>
      <c r="E7934" s="211" t="str">
        <f>'IWP30'!H$390</f>
        <v>E.</v>
      </c>
      <c r="F7934" s="211" t="str">
        <f>'IWP30'!I$390</f>
        <v>F.</v>
      </c>
      <c r="G7934" s="191" t="str">
        <f>IF('IWP30'!J$390=0,"",'IWP30'!J$390)</f>
        <v>G.</v>
      </c>
      <c r="H7934" s="211">
        <f>'IWP30'!K$390</f>
        <v>0</v>
      </c>
      <c r="I7934" s="211" t="str">
        <f>'IWP30'!L$390</f>
        <v>H.</v>
      </c>
      <c r="J7934" s="212" t="str">
        <f>'IWP30'!M$390</f>
        <v>I.</v>
      </c>
      <c r="K7934" s="106"/>
      <c r="L7934" s="106"/>
      <c r="M7934" s="129"/>
    </row>
    <row r="7935" spans="1:13" s="146" customFormat="1">
      <c r="A7935" s="193" t="s">
        <v>528</v>
      </c>
      <c r="B7935" s="210">
        <v>3</v>
      </c>
      <c r="C7935" s="191" t="str">
        <f>IF('IWP30'!E$391=0,"",'IWP30'!E$391)</f>
        <v xml:space="preserve">Items/Services Related to Billing Period </v>
      </c>
      <c r="D7935" s="211">
        <f>'IWP30'!G$391</f>
        <v>0</v>
      </c>
      <c r="E7935" s="211" t="str">
        <f>'IWP30'!H$391</f>
        <v xml:space="preserve">Item/
Service Verified Amounts
</v>
      </c>
      <c r="F7935" s="211" t="str">
        <f>'IWP30'!I$391</f>
        <v>Amount Due to DADS (E. - D.)</v>
      </c>
      <c r="G7935" s="191" t="str">
        <f>IF('IWP30'!J$391=0,"",'IWP30'!J$391)</f>
        <v>Amount Reimbursed to 
Employee(s)/Employer</v>
      </c>
      <c r="H7935" s="211">
        <f>'IWP30'!K$391</f>
        <v>0</v>
      </c>
      <c r="I7935" s="211" t="str">
        <f>'IWP30'!L$391</f>
        <v>Amount Due to Employee(s) (G. - E.)</v>
      </c>
      <c r="J7935" s="212" t="str">
        <f>'IWP30'!M$391</f>
        <v>Amount Due to Employer (G. - E.)</v>
      </c>
      <c r="K7935" s="106"/>
      <c r="L7935" s="106"/>
      <c r="M7935" s="129"/>
    </row>
    <row r="7936" spans="1:13" s="146" customFormat="1">
      <c r="A7936" s="193" t="s">
        <v>528</v>
      </c>
      <c r="B7936" s="210">
        <v>3</v>
      </c>
      <c r="C7936" s="191" t="str">
        <f>IF('IWP30'!E$392=0,"",'IWP30'!E$392)</f>
        <v>Item/Service</v>
      </c>
      <c r="D7936" s="211" t="str">
        <f>'IWP30'!G$392</f>
        <v>Itemized Amount Paid by DADS</v>
      </c>
      <c r="E7936" s="211">
        <f>'IWP30'!H$392</f>
        <v>0</v>
      </c>
      <c r="F7936" s="211">
        <f>'IWP30'!I$392</f>
        <v>0</v>
      </c>
      <c r="G7936" s="191" t="str">
        <f>IF('IWP30'!J$392=0,"",'IWP30'!J$392)</f>
        <v/>
      </c>
      <c r="H7936" s="211">
        <f>'IWP30'!K$392</f>
        <v>0</v>
      </c>
      <c r="I7936" s="211">
        <f>'IWP30'!L$392</f>
        <v>0</v>
      </c>
      <c r="J7936" s="212">
        <f>'IWP30'!M$392</f>
        <v>0</v>
      </c>
      <c r="K7936" s="106"/>
      <c r="L7936" s="106"/>
      <c r="M7936" s="129"/>
    </row>
    <row r="7937" spans="1:13" s="146" customFormat="1">
      <c r="A7937" s="193" t="s">
        <v>528</v>
      </c>
      <c r="B7937" s="210">
        <v>3</v>
      </c>
      <c r="C7937" s="191" t="str">
        <f>IF('IWP30'!E$393=0,"",'IWP30'!E$393)</f>
        <v/>
      </c>
      <c r="D7937" s="211">
        <f>'IWP30'!G$393</f>
        <v>0</v>
      </c>
      <c r="E7937" s="211">
        <f>'IWP30'!H$393</f>
        <v>0</v>
      </c>
      <c r="F7937" s="211">
        <f>'IWP30'!I$393</f>
        <v>0</v>
      </c>
      <c r="G7937" s="191" t="str">
        <f>IF('IWP30'!J$393=0,"",'IWP30'!J$393)</f>
        <v/>
      </c>
      <c r="H7937" s="211">
        <f>'IWP30'!K$393</f>
        <v>0</v>
      </c>
      <c r="I7937" s="211">
        <f>'IWP30'!L$393</f>
        <v>0</v>
      </c>
      <c r="J7937" s="212">
        <f>'IWP30'!M$393</f>
        <v>0</v>
      </c>
      <c r="K7937" s="106"/>
      <c r="L7937" s="106"/>
      <c r="M7937" s="129"/>
    </row>
    <row r="7938" spans="1:13" s="146" customFormat="1">
      <c r="A7938" s="193" t="s">
        <v>528</v>
      </c>
      <c r="B7938" s="210">
        <v>3</v>
      </c>
      <c r="C7938" s="191" t="str">
        <f>IF('IWP30'!E$394=0,"",'IWP30'!E$394)</f>
        <v/>
      </c>
      <c r="D7938" s="211">
        <f>'IWP30'!G$394</f>
        <v>0</v>
      </c>
      <c r="E7938" s="211">
        <f>'IWP30'!H$394</f>
        <v>0</v>
      </c>
      <c r="F7938" s="211">
        <f>'IWP30'!I$394</f>
        <v>0</v>
      </c>
      <c r="G7938" s="191" t="str">
        <f>IF('IWP30'!J$394=0,"",'IWP30'!J$394)</f>
        <v/>
      </c>
      <c r="H7938" s="211">
        <f>'IWP30'!K$394</f>
        <v>0</v>
      </c>
      <c r="I7938" s="211">
        <f>'IWP30'!L$394</f>
        <v>0</v>
      </c>
      <c r="J7938" s="212">
        <f>'IWP30'!M$394</f>
        <v>0</v>
      </c>
      <c r="K7938" s="106"/>
      <c r="L7938" s="106"/>
      <c r="M7938" s="129"/>
    </row>
    <row r="7939" spans="1:13" s="146" customFormat="1">
      <c r="A7939" s="193" t="s">
        <v>528</v>
      </c>
      <c r="B7939" s="210">
        <v>3</v>
      </c>
      <c r="C7939" s="191" t="str">
        <f>IF('IWP30'!E$395=0,"",'IWP30'!E$395)</f>
        <v/>
      </c>
      <c r="D7939" s="211">
        <f>'IWP30'!G$395</f>
        <v>0</v>
      </c>
      <c r="E7939" s="211">
        <f>'IWP30'!H$395</f>
        <v>0</v>
      </c>
      <c r="F7939" s="211">
        <f>'IWP30'!I$395</f>
        <v>0</v>
      </c>
      <c r="G7939" s="191" t="str">
        <f>IF('IWP30'!J$395=0,"",'IWP30'!J$395)</f>
        <v/>
      </c>
      <c r="H7939" s="211">
        <f>'IWP30'!K$395</f>
        <v>0</v>
      </c>
      <c r="I7939" s="211">
        <f>'IWP30'!L$395</f>
        <v>0</v>
      </c>
      <c r="J7939" s="212">
        <f>'IWP30'!M$395</f>
        <v>0</v>
      </c>
      <c r="K7939" s="106"/>
      <c r="L7939" s="106"/>
      <c r="M7939" s="129"/>
    </row>
    <row r="7940" spans="1:13" s="146" customFormat="1">
      <c r="A7940" s="193" t="s">
        <v>528</v>
      </c>
      <c r="B7940" s="210">
        <v>3</v>
      </c>
      <c r="C7940" s="191" t="str">
        <f>IF('IWP30'!E$396=0,"",'IWP30'!E$396)</f>
        <v/>
      </c>
      <c r="D7940" s="211">
        <f>'IWP30'!G$396</f>
        <v>0</v>
      </c>
      <c r="E7940" s="211">
        <f>'IWP30'!H$396</f>
        <v>0</v>
      </c>
      <c r="F7940" s="211">
        <f>'IWP30'!I$396</f>
        <v>0</v>
      </c>
      <c r="G7940" s="191" t="str">
        <f>IF('IWP30'!J$396=0,"",'IWP30'!J$396)</f>
        <v/>
      </c>
      <c r="H7940" s="211">
        <f>'IWP30'!K$396</f>
        <v>0</v>
      </c>
      <c r="I7940" s="211">
        <f>'IWP30'!L$396</f>
        <v>0</v>
      </c>
      <c r="J7940" s="212">
        <f>'IWP30'!M$396</f>
        <v>0</v>
      </c>
      <c r="K7940" s="106"/>
      <c r="L7940" s="106"/>
      <c r="M7940" s="129"/>
    </row>
    <row r="7941" spans="1:13" s="146" customFormat="1">
      <c r="A7941" s="193" t="s">
        <v>528</v>
      </c>
      <c r="B7941" s="210">
        <v>4</v>
      </c>
      <c r="C7941" s="191" t="str">
        <f>IF('IWP30'!E$403=0,"",'IWP30'!E$403)</f>
        <v>Subtotal column D.</v>
      </c>
      <c r="D7941" s="211">
        <f>'IWP30'!G$403</f>
        <v>0</v>
      </c>
      <c r="E7941" s="211">
        <f>'IWP30'!H$403</f>
        <v>0</v>
      </c>
      <c r="F7941" s="211">
        <f>'IWP30'!I$403</f>
        <v>0</v>
      </c>
      <c r="G7941" s="191" t="str">
        <f>IF('IWP30'!J$403=0,"",'IWP30'!J$403)</f>
        <v/>
      </c>
      <c r="H7941" s="211">
        <f>'IWP30'!K$403</f>
        <v>0</v>
      </c>
      <c r="I7941" s="211">
        <f>'IWP30'!L$403</f>
        <v>0</v>
      </c>
      <c r="J7941" s="212">
        <f>'IWP30'!M$403</f>
        <v>0</v>
      </c>
      <c r="K7941" s="106"/>
      <c r="L7941" s="106"/>
      <c r="M7941" s="129"/>
    </row>
    <row r="7942" spans="1:13" s="146" customFormat="1">
      <c r="A7942" s="193" t="s">
        <v>528</v>
      </c>
      <c r="B7942" s="210">
        <v>4</v>
      </c>
      <c r="C7942" s="191" t="str">
        <f>IF('IWP30'!E$404=0,"",'IWP30'!E$404)</f>
        <v>Unverified/Undocumented (Subtotal D - C)</v>
      </c>
      <c r="D7942" s="211">
        <f>'IWP30'!G$404</f>
        <v>0</v>
      </c>
      <c r="E7942" s="211">
        <f>'IWP30'!H$404</f>
        <v>0</v>
      </c>
      <c r="F7942" s="211">
        <f>'IWP30'!I$404</f>
        <v>0</v>
      </c>
      <c r="G7942" s="191" t="str">
        <f>IF('IWP30'!J$404=0,"",'IWP30'!J$404)</f>
        <v/>
      </c>
      <c r="H7942" s="211">
        <f>'IWP30'!K$404</f>
        <v>0</v>
      </c>
      <c r="I7942" s="211">
        <f>'IWP30'!L$404</f>
        <v>0</v>
      </c>
      <c r="J7942" s="212">
        <f>'IWP30'!M$404</f>
        <v>0</v>
      </c>
      <c r="K7942" s="106"/>
      <c r="L7942" s="106"/>
      <c r="M7942" s="129"/>
    </row>
    <row r="7943" spans="1:13" s="146" customFormat="1">
      <c r="A7943" s="193" t="s">
        <v>528</v>
      </c>
      <c r="B7943" s="210">
        <v>4</v>
      </c>
      <c r="C7943" s="191" t="str">
        <f>IF('IWP30'!E$405=0,"",'IWP30'!E$405)</f>
        <v>J. Billing Period Total</v>
      </c>
      <c r="D7943" s="211">
        <f>'IWP30'!G$405</f>
        <v>0</v>
      </c>
      <c r="E7943" s="211">
        <f>'IWP30'!H$405</f>
        <v>0</v>
      </c>
      <c r="F7943" s="211">
        <f>'IWP30'!I$405</f>
        <v>0</v>
      </c>
      <c r="G7943" s="191" t="str">
        <f>IF('IWP30'!J$405=0,"",'IWP30'!J$405)</f>
        <v/>
      </c>
      <c r="H7943" s="211">
        <f>'IWP30'!K$405</f>
        <v>0</v>
      </c>
      <c r="I7943" s="211">
        <f>'IWP30'!L$405</f>
        <v>0</v>
      </c>
      <c r="J7943" s="212">
        <f>'IWP30'!M$405</f>
        <v>0</v>
      </c>
      <c r="K7943" s="106"/>
      <c r="L7943" s="106"/>
      <c r="M7943" s="129"/>
    </row>
    <row r="7944" spans="1:13" s="146" customFormat="1">
      <c r="A7944" s="193" t="s">
        <v>528</v>
      </c>
      <c r="B7944" s="210">
        <v>4</v>
      </c>
      <c r="C7944" s="191" t="str">
        <f>IF('IWP30'!E$406=0,"",'IWP30'!E$406)</f>
        <v>D.</v>
      </c>
      <c r="D7944" s="211">
        <f>'IWP30'!G$406</f>
        <v>0</v>
      </c>
      <c r="E7944" s="211" t="str">
        <f>'IWP30'!H$406</f>
        <v>E.</v>
      </c>
      <c r="F7944" s="211" t="str">
        <f>'IWP30'!I$406</f>
        <v>F.</v>
      </c>
      <c r="G7944" s="191" t="str">
        <f>IF('IWP30'!J$406=0,"",'IWP30'!J$406)</f>
        <v>G.</v>
      </c>
      <c r="H7944" s="211">
        <f>'IWP30'!K$406</f>
        <v>0</v>
      </c>
      <c r="I7944" s="211" t="str">
        <f>'IWP30'!L$406</f>
        <v>H.</v>
      </c>
      <c r="J7944" s="212" t="str">
        <f>'IWP30'!M$406</f>
        <v>I.</v>
      </c>
      <c r="K7944" s="106"/>
      <c r="L7944" s="106"/>
      <c r="M7944" s="129"/>
    </row>
    <row r="7945" spans="1:13" s="146" customFormat="1">
      <c r="A7945" s="193" t="s">
        <v>528</v>
      </c>
      <c r="B7945" s="210">
        <v>4</v>
      </c>
      <c r="C7945" s="191" t="str">
        <f>IF('IWP30'!E$407=0,"",'IWP30'!E$407)</f>
        <v xml:space="preserve">Items/Services Related to Billing Period </v>
      </c>
      <c r="D7945" s="211">
        <f>'IWP30'!G$407</f>
        <v>0</v>
      </c>
      <c r="E7945" s="211" t="str">
        <f>'IWP30'!H$407</f>
        <v xml:space="preserve">Item/
Service Verified Amounts
</v>
      </c>
      <c r="F7945" s="211" t="str">
        <f>'IWP30'!I$407</f>
        <v>Amount Due to DADS (E. - D.)</v>
      </c>
      <c r="G7945" s="191" t="str">
        <f>IF('IWP30'!J$407=0,"",'IWP30'!J$407)</f>
        <v>Amount Reimbursed to 
Employee(s)/Employer</v>
      </c>
      <c r="H7945" s="211">
        <f>'IWP30'!K$407</f>
        <v>0</v>
      </c>
      <c r="I7945" s="211" t="str">
        <f>'IWP30'!L$407</f>
        <v>Amount Due to Employee(s) (G. - E.)</v>
      </c>
      <c r="J7945" s="212" t="str">
        <f>'IWP30'!M$407</f>
        <v>Amount Due to Employer (G. - E.)</v>
      </c>
      <c r="K7945" s="106"/>
      <c r="L7945" s="106"/>
      <c r="M7945" s="129"/>
    </row>
    <row r="7946" spans="1:13" s="146" customFormat="1">
      <c r="A7946" s="193" t="s">
        <v>528</v>
      </c>
      <c r="B7946" s="210">
        <v>4</v>
      </c>
      <c r="C7946" s="191" t="str">
        <f>IF('IWP30'!E$408=0,"",'IWP30'!E$408)</f>
        <v>Item/Service</v>
      </c>
      <c r="D7946" s="211" t="str">
        <f>'IWP30'!G$408</f>
        <v>Itemized Amount Paid by DADS</v>
      </c>
      <c r="E7946" s="211">
        <f>'IWP30'!H$408</f>
        <v>0</v>
      </c>
      <c r="F7946" s="211">
        <f>'IWP30'!I$408</f>
        <v>0</v>
      </c>
      <c r="G7946" s="191" t="str">
        <f>IF('IWP30'!J$408=0,"",'IWP30'!J$408)</f>
        <v/>
      </c>
      <c r="H7946" s="211">
        <f>'IWP30'!K$408</f>
        <v>0</v>
      </c>
      <c r="I7946" s="211">
        <f>'IWP30'!L$408</f>
        <v>0</v>
      </c>
      <c r="J7946" s="212">
        <f>'IWP30'!M$408</f>
        <v>0</v>
      </c>
      <c r="K7946" s="106"/>
      <c r="L7946" s="106"/>
      <c r="M7946" s="129"/>
    </row>
    <row r="7947" spans="1:13" s="146" customFormat="1">
      <c r="A7947" s="193" t="s">
        <v>528</v>
      </c>
      <c r="B7947" s="210">
        <v>4</v>
      </c>
      <c r="C7947" s="191" t="str">
        <f>IF('IWP30'!E$409=0,"",'IWP30'!E$409)</f>
        <v/>
      </c>
      <c r="D7947" s="211">
        <f>'IWP30'!G$409</f>
        <v>0</v>
      </c>
      <c r="E7947" s="211">
        <f>'IWP30'!H$409</f>
        <v>0</v>
      </c>
      <c r="F7947" s="211">
        <f>'IWP30'!I$409</f>
        <v>0</v>
      </c>
      <c r="G7947" s="191" t="str">
        <f>IF('IWP30'!J$409=0,"",'IWP30'!J$409)</f>
        <v/>
      </c>
      <c r="H7947" s="211">
        <f>'IWP30'!K$409</f>
        <v>0</v>
      </c>
      <c r="I7947" s="211">
        <f>'IWP30'!L$409</f>
        <v>0</v>
      </c>
      <c r="J7947" s="212">
        <f>'IWP30'!M$409</f>
        <v>0</v>
      </c>
      <c r="K7947" s="106"/>
      <c r="L7947" s="106"/>
      <c r="M7947" s="129"/>
    </row>
    <row r="7948" spans="1:13" s="146" customFormat="1">
      <c r="A7948" s="193" t="s">
        <v>528</v>
      </c>
      <c r="B7948" s="210">
        <v>4</v>
      </c>
      <c r="C7948" s="191" t="str">
        <f>IF('IWP30'!E$410=0,"",'IWP30'!E$410)</f>
        <v/>
      </c>
      <c r="D7948" s="211">
        <f>'IWP30'!G$410</f>
        <v>0</v>
      </c>
      <c r="E7948" s="211">
        <f>'IWP30'!H$410</f>
        <v>0</v>
      </c>
      <c r="F7948" s="211">
        <f>'IWP30'!I$410</f>
        <v>0</v>
      </c>
      <c r="G7948" s="191" t="str">
        <f>IF('IWP30'!J$410=0,"",'IWP30'!J$410)</f>
        <v/>
      </c>
      <c r="H7948" s="211">
        <f>'IWP30'!K$410</f>
        <v>0</v>
      </c>
      <c r="I7948" s="211">
        <f>'IWP30'!L$410</f>
        <v>0</v>
      </c>
      <c r="J7948" s="212">
        <f>'IWP30'!M$410</f>
        <v>0</v>
      </c>
      <c r="K7948" s="106"/>
      <c r="L7948" s="106"/>
      <c r="M7948" s="129"/>
    </row>
    <row r="7949" spans="1:13" s="146" customFormat="1">
      <c r="A7949" s="193" t="s">
        <v>528</v>
      </c>
      <c r="B7949" s="210">
        <v>4</v>
      </c>
      <c r="C7949" s="191" t="str">
        <f>IF('IWP30'!E$411=0,"",'IWP30'!E$411)</f>
        <v/>
      </c>
      <c r="D7949" s="211">
        <f>'IWP30'!G$411</f>
        <v>0</v>
      </c>
      <c r="E7949" s="211">
        <f>'IWP30'!H$411</f>
        <v>0</v>
      </c>
      <c r="F7949" s="211">
        <f>'IWP30'!I$411</f>
        <v>0</v>
      </c>
      <c r="G7949" s="191" t="str">
        <f>IF('IWP30'!J$411=0,"",'IWP30'!J$411)</f>
        <v/>
      </c>
      <c r="H7949" s="211">
        <f>'IWP30'!K$411</f>
        <v>0</v>
      </c>
      <c r="I7949" s="211">
        <f>'IWP30'!L$411</f>
        <v>0</v>
      </c>
      <c r="J7949" s="212">
        <f>'IWP30'!M$411</f>
        <v>0</v>
      </c>
      <c r="K7949" s="106"/>
      <c r="L7949" s="106"/>
      <c r="M7949" s="129"/>
    </row>
    <row r="7950" spans="1:13" s="146" customFormat="1">
      <c r="A7950" s="193" t="s">
        <v>528</v>
      </c>
      <c r="B7950" s="210">
        <v>4</v>
      </c>
      <c r="C7950" s="191" t="str">
        <f>IF('IWP30'!E$412=0,"",'IWP30'!E$412)</f>
        <v/>
      </c>
      <c r="D7950" s="211">
        <f>'IWP30'!G$412</f>
        <v>0</v>
      </c>
      <c r="E7950" s="211">
        <f>'IWP30'!H$412</f>
        <v>0</v>
      </c>
      <c r="F7950" s="211">
        <f>'IWP30'!I$412</f>
        <v>0</v>
      </c>
      <c r="G7950" s="191" t="str">
        <f>IF('IWP30'!J$412=0,"",'IWP30'!J$412)</f>
        <v/>
      </c>
      <c r="H7950" s="211">
        <f>'IWP30'!K$412</f>
        <v>0</v>
      </c>
      <c r="I7950" s="211">
        <f>'IWP30'!L$412</f>
        <v>0</v>
      </c>
      <c r="J7950" s="212">
        <f>'IWP30'!M$412</f>
        <v>0</v>
      </c>
      <c r="K7950" s="106"/>
      <c r="L7950" s="106"/>
      <c r="M7950" s="129"/>
    </row>
    <row r="7951" spans="1:13" s="146" customFormat="1">
      <c r="A7951" s="193" t="s">
        <v>528</v>
      </c>
      <c r="B7951" s="210">
        <v>5</v>
      </c>
      <c r="C7951" s="191" t="str">
        <f>IF('IWP30'!E$419=0,"",'IWP30'!E$419)</f>
        <v>Subtotal column D.</v>
      </c>
      <c r="D7951" s="211">
        <f>'IWP30'!G$419</f>
        <v>0</v>
      </c>
      <c r="E7951" s="211">
        <f>'IWP30'!H$419</f>
        <v>0</v>
      </c>
      <c r="F7951" s="211">
        <f>'IWP30'!I$419</f>
        <v>0</v>
      </c>
      <c r="G7951" s="191" t="str">
        <f>IF('IWP30'!J$419=0,"",'IWP30'!J$419)</f>
        <v/>
      </c>
      <c r="H7951" s="211">
        <f>'IWP30'!K$419</f>
        <v>0</v>
      </c>
      <c r="I7951" s="211">
        <f>'IWP30'!L$419</f>
        <v>0</v>
      </c>
      <c r="J7951" s="212">
        <f>'IWP30'!M$419</f>
        <v>0</v>
      </c>
      <c r="K7951" s="106"/>
      <c r="L7951" s="106"/>
      <c r="M7951" s="129"/>
    </row>
    <row r="7952" spans="1:13" s="146" customFormat="1">
      <c r="A7952" s="193" t="s">
        <v>528</v>
      </c>
      <c r="B7952" s="210">
        <v>5</v>
      </c>
      <c r="C7952" s="191" t="str">
        <f>IF('IWP30'!E$420=0,"",'IWP30'!E$420)</f>
        <v>Unverified/Undocumented (Subtotal D - C)</v>
      </c>
      <c r="D7952" s="211">
        <f>'IWP30'!G$420</f>
        <v>0</v>
      </c>
      <c r="E7952" s="211">
        <f>'IWP30'!H$420</f>
        <v>0</v>
      </c>
      <c r="F7952" s="211">
        <f>'IWP30'!I$420</f>
        <v>0</v>
      </c>
      <c r="G7952" s="191" t="str">
        <f>IF('IWP30'!J$420=0,"",'IWP30'!J$420)</f>
        <v/>
      </c>
      <c r="H7952" s="211">
        <f>'IWP30'!K$420</f>
        <v>0</v>
      </c>
      <c r="I7952" s="211">
        <f>'IWP30'!L$420</f>
        <v>0</v>
      </c>
      <c r="J7952" s="212">
        <f>'IWP30'!M$420</f>
        <v>0</v>
      </c>
      <c r="K7952" s="106"/>
      <c r="L7952" s="106"/>
      <c r="M7952" s="129"/>
    </row>
    <row r="7953" spans="1:13" s="146" customFormat="1">
      <c r="A7953" s="193" t="s">
        <v>528</v>
      </c>
      <c r="B7953" s="210">
        <v>5</v>
      </c>
      <c r="C7953" s="191" t="str">
        <f>IF('IWP30'!E$421=0,"",'IWP30'!E$421)</f>
        <v>J. Billing Period Total</v>
      </c>
      <c r="D7953" s="211">
        <f>'IWP30'!G$421</f>
        <v>0</v>
      </c>
      <c r="E7953" s="211">
        <f>'IWP30'!H$421</f>
        <v>0</v>
      </c>
      <c r="F7953" s="211">
        <f>'IWP30'!I$421</f>
        <v>0</v>
      </c>
      <c r="G7953" s="191" t="str">
        <f>IF('IWP30'!J$421=0,"",'IWP30'!J$421)</f>
        <v/>
      </c>
      <c r="H7953" s="211">
        <f>'IWP30'!K$421</f>
        <v>0</v>
      </c>
      <c r="I7953" s="211">
        <f>'IWP30'!L$421</f>
        <v>0</v>
      </c>
      <c r="J7953" s="212">
        <f>'IWP30'!M$421</f>
        <v>0</v>
      </c>
      <c r="K7953" s="106"/>
      <c r="L7953" s="106"/>
      <c r="M7953" s="129"/>
    </row>
    <row r="7954" spans="1:13" s="146" customFormat="1">
      <c r="A7954" s="193" t="s">
        <v>528</v>
      </c>
      <c r="B7954" s="210">
        <v>5</v>
      </c>
      <c r="C7954" s="191" t="str">
        <f>IF('IWP30'!E$422=0,"",'IWP30'!E$422)</f>
        <v>D.</v>
      </c>
      <c r="D7954" s="211">
        <f>'IWP30'!G$422</f>
        <v>0</v>
      </c>
      <c r="E7954" s="211" t="str">
        <f>'IWP30'!H$422</f>
        <v>E.</v>
      </c>
      <c r="F7954" s="211" t="str">
        <f>'IWP30'!I$422</f>
        <v>F.</v>
      </c>
      <c r="G7954" s="191" t="str">
        <f>IF('IWP30'!J$422=0,"",'IWP30'!J$422)</f>
        <v>G.</v>
      </c>
      <c r="H7954" s="211">
        <f>'IWP30'!K$422</f>
        <v>0</v>
      </c>
      <c r="I7954" s="211" t="str">
        <f>'IWP30'!L$422</f>
        <v>H.</v>
      </c>
      <c r="J7954" s="212" t="str">
        <f>'IWP30'!M$422</f>
        <v>I.</v>
      </c>
      <c r="K7954" s="106"/>
      <c r="L7954" s="106"/>
      <c r="M7954" s="129"/>
    </row>
    <row r="7955" spans="1:13" s="146" customFormat="1">
      <c r="A7955" s="193" t="s">
        <v>528</v>
      </c>
      <c r="B7955" s="210">
        <v>5</v>
      </c>
      <c r="C7955" s="191" t="str">
        <f>IF('IWP30'!E$423=0,"",'IWP30'!E$423)</f>
        <v xml:space="preserve">Items/Services Related to Billing Period </v>
      </c>
      <c r="D7955" s="211">
        <f>'IWP30'!G$423</f>
        <v>0</v>
      </c>
      <c r="E7955" s="211" t="str">
        <f>'IWP30'!H$423</f>
        <v xml:space="preserve">Item/
Service Verified Amounts
</v>
      </c>
      <c r="F7955" s="211" t="str">
        <f>'IWP30'!I$423</f>
        <v>Amount Due to DADS (E. - D.)</v>
      </c>
      <c r="G7955" s="191" t="str">
        <f>IF('IWP30'!J$423=0,"",'IWP30'!J$423)</f>
        <v>Amount Reimbursed to 
Employee(s)/Employer</v>
      </c>
      <c r="H7955" s="211">
        <f>'IWP30'!K$423</f>
        <v>0</v>
      </c>
      <c r="I7955" s="211" t="str">
        <f>'IWP30'!L$423</f>
        <v>Amount Due to Employee(s) (G. - E.)</v>
      </c>
      <c r="J7955" s="212" t="str">
        <f>'IWP30'!M$423</f>
        <v>Amount Due to Employer (G. - E.)</v>
      </c>
      <c r="K7955" s="106"/>
      <c r="L7955" s="106"/>
      <c r="M7955" s="129"/>
    </row>
    <row r="7956" spans="1:13" s="146" customFormat="1">
      <c r="A7956" s="193" t="s">
        <v>528</v>
      </c>
      <c r="B7956" s="210">
        <v>5</v>
      </c>
      <c r="C7956" s="191" t="str">
        <f>IF('IWP30'!E$424=0,"",'IWP30'!E$424)</f>
        <v>Item/Service</v>
      </c>
      <c r="D7956" s="211" t="str">
        <f>'IWP30'!G$424</f>
        <v>Itemized Amount Paid by DADS</v>
      </c>
      <c r="E7956" s="211">
        <f>'IWP30'!H$424</f>
        <v>0</v>
      </c>
      <c r="F7956" s="211">
        <f>'IWP30'!I$424</f>
        <v>0</v>
      </c>
      <c r="G7956" s="191" t="str">
        <f>IF('IWP30'!J$424=0,"",'IWP30'!J$424)</f>
        <v/>
      </c>
      <c r="H7956" s="211">
        <f>'IWP30'!K$424</f>
        <v>0</v>
      </c>
      <c r="I7956" s="211">
        <f>'IWP30'!L$424</f>
        <v>0</v>
      </c>
      <c r="J7956" s="212">
        <f>'IWP30'!M$424</f>
        <v>0</v>
      </c>
      <c r="K7956" s="106"/>
      <c r="L7956" s="106"/>
      <c r="M7956" s="129"/>
    </row>
    <row r="7957" spans="1:13" s="146" customFormat="1">
      <c r="A7957" s="193" t="s">
        <v>528</v>
      </c>
      <c r="B7957" s="210">
        <v>5</v>
      </c>
      <c r="C7957" s="191" t="str">
        <f>IF('IWP30'!E$425=0,"",'IWP30'!E$425)</f>
        <v/>
      </c>
      <c r="D7957" s="211">
        <f>'IWP30'!G$425</f>
        <v>0</v>
      </c>
      <c r="E7957" s="211">
        <f>'IWP30'!H$425</f>
        <v>0</v>
      </c>
      <c r="F7957" s="211">
        <f>'IWP30'!I$425</f>
        <v>0</v>
      </c>
      <c r="G7957" s="191" t="str">
        <f>IF('IWP30'!J$425=0,"",'IWP30'!J$425)</f>
        <v/>
      </c>
      <c r="H7957" s="211">
        <f>'IWP30'!K$425</f>
        <v>0</v>
      </c>
      <c r="I7957" s="211">
        <f>'IWP30'!L$425</f>
        <v>0</v>
      </c>
      <c r="J7957" s="212">
        <f>'IWP30'!M$425</f>
        <v>0</v>
      </c>
      <c r="K7957" s="106"/>
      <c r="L7957" s="106"/>
      <c r="M7957" s="129"/>
    </row>
    <row r="7958" spans="1:13" s="146" customFormat="1">
      <c r="A7958" s="193" t="s">
        <v>528</v>
      </c>
      <c r="B7958" s="210">
        <v>5</v>
      </c>
      <c r="C7958" s="191" t="str">
        <f>IF('IWP30'!E$426=0,"",'IWP30'!E$426)</f>
        <v/>
      </c>
      <c r="D7958" s="211">
        <f>'IWP30'!G$426</f>
        <v>0</v>
      </c>
      <c r="E7958" s="211">
        <f>'IWP30'!H$426</f>
        <v>0</v>
      </c>
      <c r="F7958" s="211">
        <f>'IWP30'!I$426</f>
        <v>0</v>
      </c>
      <c r="G7958" s="191" t="str">
        <f>IF('IWP30'!J$426=0,"",'IWP30'!J$426)</f>
        <v/>
      </c>
      <c r="H7958" s="211">
        <f>'IWP30'!K$426</f>
        <v>0</v>
      </c>
      <c r="I7958" s="211">
        <f>'IWP30'!L$426</f>
        <v>0</v>
      </c>
      <c r="J7958" s="212">
        <f>'IWP30'!M$426</f>
        <v>0</v>
      </c>
      <c r="K7958" s="106"/>
      <c r="L7958" s="106"/>
      <c r="M7958" s="129"/>
    </row>
    <row r="7959" spans="1:13" s="146" customFormat="1">
      <c r="A7959" s="193" t="s">
        <v>528</v>
      </c>
      <c r="B7959" s="210">
        <v>5</v>
      </c>
      <c r="C7959" s="191" t="str">
        <f>IF('IWP30'!E$427=0,"",'IWP30'!E$427)</f>
        <v/>
      </c>
      <c r="D7959" s="211">
        <f>'IWP30'!G$427</f>
        <v>0</v>
      </c>
      <c r="E7959" s="211">
        <f>'IWP30'!H$427</f>
        <v>0</v>
      </c>
      <c r="F7959" s="211">
        <f>'IWP30'!I$427</f>
        <v>0</v>
      </c>
      <c r="G7959" s="191" t="str">
        <f>IF('IWP30'!J$427=0,"",'IWP30'!J$427)</f>
        <v/>
      </c>
      <c r="H7959" s="211">
        <f>'IWP30'!K$427</f>
        <v>0</v>
      </c>
      <c r="I7959" s="211">
        <f>'IWP30'!L$427</f>
        <v>0</v>
      </c>
      <c r="J7959" s="212">
        <f>'IWP30'!M$427</f>
        <v>0</v>
      </c>
      <c r="K7959" s="106"/>
      <c r="L7959" s="106"/>
      <c r="M7959" s="129"/>
    </row>
    <row r="7960" spans="1:13" s="146" customFormat="1">
      <c r="A7960" s="193" t="s">
        <v>528</v>
      </c>
      <c r="B7960" s="210">
        <v>5</v>
      </c>
      <c r="C7960" s="191" t="str">
        <f>IF('IWP30'!E$428=0,"",'IWP30'!E$428)</f>
        <v/>
      </c>
      <c r="D7960" s="211">
        <f>'IWP30'!G$428</f>
        <v>0</v>
      </c>
      <c r="E7960" s="211">
        <f>'IWP30'!H$428</f>
        <v>0</v>
      </c>
      <c r="F7960" s="211">
        <f>'IWP30'!I$428</f>
        <v>0</v>
      </c>
      <c r="G7960" s="191" t="str">
        <f>IF('IWP30'!J$428=0,"",'IWP30'!J$428)</f>
        <v/>
      </c>
      <c r="H7960" s="211">
        <f>'IWP30'!K$428</f>
        <v>0</v>
      </c>
      <c r="I7960" s="211">
        <f>'IWP30'!L$428</f>
        <v>0</v>
      </c>
      <c r="J7960" s="212">
        <f>'IWP30'!M$428</f>
        <v>0</v>
      </c>
      <c r="K7960" s="106"/>
      <c r="L7960" s="106"/>
      <c r="M7960" s="129"/>
    </row>
    <row r="7961" spans="1:13" s="146" customFormat="1">
      <c r="A7961" s="193" t="s">
        <v>528</v>
      </c>
      <c r="B7961" s="210">
        <v>6</v>
      </c>
      <c r="C7961" s="191" t="str">
        <f>IF('IWP30'!E$435=0,"",'IWP30'!E$435)</f>
        <v>Subtotal column D.</v>
      </c>
      <c r="D7961" s="211">
        <f>'IWP30'!G$435</f>
        <v>0</v>
      </c>
      <c r="E7961" s="211">
        <f>'IWP30'!H$435</f>
        <v>0</v>
      </c>
      <c r="F7961" s="211">
        <f>'IWP30'!I$435</f>
        <v>0</v>
      </c>
      <c r="G7961" s="191" t="str">
        <f>IF('IWP30'!J$435=0,"",'IWP30'!J$435)</f>
        <v/>
      </c>
      <c r="H7961" s="211">
        <f>'IWP30'!K$435</f>
        <v>0</v>
      </c>
      <c r="I7961" s="211">
        <f>'IWP30'!L$435</f>
        <v>0</v>
      </c>
      <c r="J7961" s="212">
        <f>'IWP30'!M$435</f>
        <v>0</v>
      </c>
      <c r="K7961" s="106"/>
      <c r="L7961" s="106"/>
      <c r="M7961" s="129"/>
    </row>
    <row r="7962" spans="1:13" s="146" customFormat="1">
      <c r="A7962" s="193" t="s">
        <v>528</v>
      </c>
      <c r="B7962" s="210">
        <v>6</v>
      </c>
      <c r="C7962" s="191" t="str">
        <f>IF('IWP30'!E$436=0,"",'IWP30'!E$436)</f>
        <v>Unverified/Undocumented (Subtotal D - C)</v>
      </c>
      <c r="D7962" s="211">
        <f>'IWP30'!G$436</f>
        <v>0</v>
      </c>
      <c r="E7962" s="211">
        <f>'IWP30'!H$436</f>
        <v>0</v>
      </c>
      <c r="F7962" s="211">
        <f>'IWP30'!I$436</f>
        <v>0</v>
      </c>
      <c r="G7962" s="191" t="str">
        <f>IF('IWP30'!J$436=0,"",'IWP30'!J$436)</f>
        <v/>
      </c>
      <c r="H7962" s="211">
        <f>'IWP30'!K$436</f>
        <v>0</v>
      </c>
      <c r="I7962" s="211">
        <f>'IWP30'!L$436</f>
        <v>0</v>
      </c>
      <c r="J7962" s="212">
        <f>'IWP30'!M$436</f>
        <v>0</v>
      </c>
      <c r="K7962" s="106"/>
      <c r="L7962" s="106"/>
      <c r="M7962" s="129"/>
    </row>
    <row r="7963" spans="1:13" s="146" customFormat="1">
      <c r="A7963" s="193" t="s">
        <v>528</v>
      </c>
      <c r="B7963" s="210">
        <v>6</v>
      </c>
      <c r="C7963" s="191" t="str">
        <f>IF('IWP30'!E$437=0,"",'IWP30'!E$437)</f>
        <v>J. Billing Period Total</v>
      </c>
      <c r="D7963" s="211">
        <f>'IWP30'!G$437</f>
        <v>0</v>
      </c>
      <c r="E7963" s="211">
        <f>'IWP30'!H$437</f>
        <v>0</v>
      </c>
      <c r="F7963" s="211">
        <f>'IWP30'!I$437</f>
        <v>0</v>
      </c>
      <c r="G7963" s="191" t="str">
        <f>IF('IWP30'!J$437=0,"",'IWP30'!J$437)</f>
        <v/>
      </c>
      <c r="H7963" s="211">
        <f>'IWP30'!K$437</f>
        <v>0</v>
      </c>
      <c r="I7963" s="211">
        <f>'IWP30'!L$437</f>
        <v>0</v>
      </c>
      <c r="J7963" s="212">
        <f>'IWP30'!M$437</f>
        <v>0</v>
      </c>
      <c r="K7963" s="106"/>
      <c r="L7963" s="106"/>
      <c r="M7963" s="129"/>
    </row>
    <row r="7964" spans="1:13" s="146" customFormat="1">
      <c r="A7964" s="193" t="s">
        <v>528</v>
      </c>
      <c r="B7964" s="210">
        <v>6</v>
      </c>
      <c r="C7964" s="191" t="str">
        <f>IF('IWP30'!E$438=0,"",'IWP30'!E$438)</f>
        <v>D.</v>
      </c>
      <c r="D7964" s="211">
        <f>'IWP30'!G$438</f>
        <v>0</v>
      </c>
      <c r="E7964" s="211" t="str">
        <f>'IWP30'!H$438</f>
        <v>E.</v>
      </c>
      <c r="F7964" s="211" t="str">
        <f>'IWP30'!I$438</f>
        <v>F.</v>
      </c>
      <c r="G7964" s="191" t="str">
        <f>IF('IWP30'!J$438=0,"",'IWP30'!J$438)</f>
        <v>G.</v>
      </c>
      <c r="H7964" s="211">
        <f>'IWP30'!K$438</f>
        <v>0</v>
      </c>
      <c r="I7964" s="211" t="str">
        <f>'IWP30'!L$438</f>
        <v>H.</v>
      </c>
      <c r="J7964" s="212" t="str">
        <f>'IWP30'!M$438</f>
        <v>I.</v>
      </c>
      <c r="K7964" s="106"/>
      <c r="L7964" s="106"/>
      <c r="M7964" s="129"/>
    </row>
    <row r="7965" spans="1:13" s="146" customFormat="1">
      <c r="A7965" s="193" t="s">
        <v>528</v>
      </c>
      <c r="B7965" s="210">
        <v>6</v>
      </c>
      <c r="C7965" s="191" t="str">
        <f>IF('IWP30'!E$439=0,"",'IWP30'!E$439)</f>
        <v xml:space="preserve">Items/Services Related to Billing Period </v>
      </c>
      <c r="D7965" s="211">
        <f>'IWP30'!G$439</f>
        <v>0</v>
      </c>
      <c r="E7965" s="211" t="str">
        <f>'IWP30'!H$439</f>
        <v xml:space="preserve">Item/
Service Verified Amounts
</v>
      </c>
      <c r="F7965" s="211" t="str">
        <f>'IWP30'!I$439</f>
        <v>Amount Due to DADS (E. - D.)</v>
      </c>
      <c r="G7965" s="191" t="str">
        <f>IF('IWP30'!J$439=0,"",'IWP30'!J$439)</f>
        <v>Amount Reimbursed to 
Employee(s)/Employer</v>
      </c>
      <c r="H7965" s="211">
        <f>'IWP30'!K$439</f>
        <v>0</v>
      </c>
      <c r="I7965" s="211" t="str">
        <f>'IWP30'!L$439</f>
        <v>Amount Due to Employee(s) (G. - E.)</v>
      </c>
      <c r="J7965" s="212" t="str">
        <f>'IWP30'!M$439</f>
        <v>Amount Due to Employer (G. - E.)</v>
      </c>
      <c r="K7965" s="106"/>
      <c r="L7965" s="106"/>
      <c r="M7965" s="129"/>
    </row>
    <row r="7966" spans="1:13" s="146" customFormat="1">
      <c r="A7966" s="193" t="s">
        <v>528</v>
      </c>
      <c r="B7966" s="210">
        <v>6</v>
      </c>
      <c r="C7966" s="191" t="str">
        <f>IF('IWP30'!E$440=0,"",'IWP30'!E$440)</f>
        <v>Item/Service</v>
      </c>
      <c r="D7966" s="211" t="str">
        <f>'IWP30'!G$440</f>
        <v>Itemized Amount Paid by DADS</v>
      </c>
      <c r="E7966" s="211">
        <f>'IWP30'!H$440</f>
        <v>0</v>
      </c>
      <c r="F7966" s="211">
        <f>'IWP30'!I$440</f>
        <v>0</v>
      </c>
      <c r="G7966" s="191" t="str">
        <f>IF('IWP30'!J$440=0,"",'IWP30'!J$440)</f>
        <v/>
      </c>
      <c r="H7966" s="211">
        <f>'IWP30'!K$440</f>
        <v>0</v>
      </c>
      <c r="I7966" s="211">
        <f>'IWP30'!L$440</f>
        <v>0</v>
      </c>
      <c r="J7966" s="212">
        <f>'IWP30'!M$440</f>
        <v>0</v>
      </c>
      <c r="K7966" s="106"/>
      <c r="L7966" s="106"/>
      <c r="M7966" s="129"/>
    </row>
    <row r="7967" spans="1:13" s="146" customFormat="1">
      <c r="A7967" s="193" t="s">
        <v>528</v>
      </c>
      <c r="B7967" s="210">
        <v>6</v>
      </c>
      <c r="C7967" s="191" t="str">
        <f>IF('IWP30'!E$441=0,"",'IWP30'!E$441)</f>
        <v/>
      </c>
      <c r="D7967" s="211">
        <f>'IWP30'!G$441</f>
        <v>0</v>
      </c>
      <c r="E7967" s="211">
        <f>'IWP30'!H$441</f>
        <v>0</v>
      </c>
      <c r="F7967" s="211">
        <f>'IWP30'!I$441</f>
        <v>0</v>
      </c>
      <c r="G7967" s="191" t="str">
        <f>IF('IWP30'!J$441=0,"",'IWP30'!J$441)</f>
        <v/>
      </c>
      <c r="H7967" s="211">
        <f>'IWP30'!K$441</f>
        <v>0</v>
      </c>
      <c r="I7967" s="211">
        <f>'IWP30'!L$441</f>
        <v>0</v>
      </c>
      <c r="J7967" s="212">
        <f>'IWP30'!M$441</f>
        <v>0</v>
      </c>
      <c r="K7967" s="106"/>
      <c r="L7967" s="106"/>
      <c r="M7967" s="129"/>
    </row>
    <row r="7968" spans="1:13" s="146" customFormat="1">
      <c r="A7968" s="193" t="s">
        <v>528</v>
      </c>
      <c r="B7968" s="210">
        <v>6</v>
      </c>
      <c r="C7968" s="191" t="str">
        <f>IF('IWP30'!E$442=0,"",'IWP30'!E$442)</f>
        <v/>
      </c>
      <c r="D7968" s="211">
        <f>'IWP30'!G$442</f>
        <v>0</v>
      </c>
      <c r="E7968" s="211">
        <f>'IWP30'!H$442</f>
        <v>0</v>
      </c>
      <c r="F7968" s="211">
        <f>'IWP30'!I$442</f>
        <v>0</v>
      </c>
      <c r="G7968" s="191" t="str">
        <f>IF('IWP30'!J$442=0,"",'IWP30'!J$442)</f>
        <v/>
      </c>
      <c r="H7968" s="211">
        <f>'IWP30'!K$442</f>
        <v>0</v>
      </c>
      <c r="I7968" s="211">
        <f>'IWP30'!L$442</f>
        <v>0</v>
      </c>
      <c r="J7968" s="212">
        <f>'IWP30'!M$442</f>
        <v>0</v>
      </c>
      <c r="K7968" s="106"/>
      <c r="L7968" s="106"/>
      <c r="M7968" s="129"/>
    </row>
    <row r="7969" spans="1:13" s="146" customFormat="1">
      <c r="A7969" s="193" t="s">
        <v>528</v>
      </c>
      <c r="B7969" s="210">
        <v>6</v>
      </c>
      <c r="C7969" s="191" t="str">
        <f>IF('IWP30'!E$443=0,"",'IWP30'!E$443)</f>
        <v/>
      </c>
      <c r="D7969" s="211">
        <f>'IWP30'!G$443</f>
        <v>0</v>
      </c>
      <c r="E7969" s="211">
        <f>'IWP30'!H$443</f>
        <v>0</v>
      </c>
      <c r="F7969" s="211">
        <f>'IWP30'!I$443</f>
        <v>0</v>
      </c>
      <c r="G7969" s="191" t="str">
        <f>IF('IWP30'!J$443=0,"",'IWP30'!J$443)</f>
        <v/>
      </c>
      <c r="H7969" s="211">
        <f>'IWP30'!K$443</f>
        <v>0</v>
      </c>
      <c r="I7969" s="211">
        <f>'IWP30'!L$443</f>
        <v>0</v>
      </c>
      <c r="J7969" s="212">
        <f>'IWP30'!M$443</f>
        <v>0</v>
      </c>
      <c r="K7969" s="106"/>
      <c r="L7969" s="106"/>
      <c r="M7969" s="129"/>
    </row>
    <row r="7970" spans="1:13" s="146" customFormat="1">
      <c r="A7970" s="193" t="s">
        <v>528</v>
      </c>
      <c r="B7970" s="210">
        <v>6</v>
      </c>
      <c r="C7970" s="191" t="str">
        <f>IF('IWP30'!E$444=0,"",'IWP30'!E$444)</f>
        <v/>
      </c>
      <c r="D7970" s="211">
        <f>'IWP30'!G$444</f>
        <v>0</v>
      </c>
      <c r="E7970" s="211">
        <f>'IWP30'!H$444</f>
        <v>0</v>
      </c>
      <c r="F7970" s="211">
        <f>'IWP30'!I$444</f>
        <v>0</v>
      </c>
      <c r="G7970" s="191" t="str">
        <f>IF('IWP30'!J$444=0,"",'IWP30'!J$444)</f>
        <v/>
      </c>
      <c r="H7970" s="211">
        <f>'IWP30'!K$444</f>
        <v>0</v>
      </c>
      <c r="I7970" s="211">
        <f>'IWP30'!L$444</f>
        <v>0</v>
      </c>
      <c r="J7970" s="212">
        <f>'IWP30'!M$444</f>
        <v>0</v>
      </c>
      <c r="K7970" s="106"/>
      <c r="L7970" s="106"/>
      <c r="M7970" s="129"/>
    </row>
    <row r="7971" spans="1:13" s="146" customFormat="1">
      <c r="A7971" s="193" t="s">
        <v>528</v>
      </c>
      <c r="B7971" s="210">
        <v>7</v>
      </c>
      <c r="C7971" s="191" t="str">
        <f>IF('IWP30'!E$451=0,"",'IWP30'!E$451)</f>
        <v>Subtotal column D.</v>
      </c>
      <c r="D7971" s="211">
        <f>'IWP30'!G$451</f>
        <v>0</v>
      </c>
      <c r="E7971" s="211">
        <f>'IWP30'!H$451</f>
        <v>0</v>
      </c>
      <c r="F7971" s="211">
        <f>'IWP30'!I$451</f>
        <v>0</v>
      </c>
      <c r="G7971" s="191" t="str">
        <f>IF('IWP30'!J$451=0,"",'IWP30'!J$451)</f>
        <v/>
      </c>
      <c r="H7971" s="211">
        <f>'IWP30'!K$451</f>
        <v>0</v>
      </c>
      <c r="I7971" s="211">
        <f>'IWP30'!L$451</f>
        <v>0</v>
      </c>
      <c r="J7971" s="212">
        <f>'IWP30'!M$451</f>
        <v>0</v>
      </c>
      <c r="K7971" s="106"/>
      <c r="L7971" s="106"/>
      <c r="M7971" s="129"/>
    </row>
    <row r="7972" spans="1:13" s="146" customFormat="1">
      <c r="A7972" s="193" t="s">
        <v>528</v>
      </c>
      <c r="B7972" s="210">
        <v>7</v>
      </c>
      <c r="C7972" s="191" t="str">
        <f>IF('IWP30'!E$452=0,"",'IWP30'!E$452)</f>
        <v>Unverified/Undocumented (Subtotal D - C)</v>
      </c>
      <c r="D7972" s="211">
        <f>'IWP30'!G$452</f>
        <v>0</v>
      </c>
      <c r="E7972" s="211">
        <f>'IWP30'!H$452</f>
        <v>0</v>
      </c>
      <c r="F7972" s="211">
        <f>'IWP30'!I$452</f>
        <v>0</v>
      </c>
      <c r="G7972" s="191" t="str">
        <f>IF('IWP30'!J$452=0,"",'IWP30'!J$452)</f>
        <v/>
      </c>
      <c r="H7972" s="211">
        <f>'IWP30'!K$452</f>
        <v>0</v>
      </c>
      <c r="I7972" s="211">
        <f>'IWP30'!L$452</f>
        <v>0</v>
      </c>
      <c r="J7972" s="212">
        <f>'IWP30'!M$452</f>
        <v>0</v>
      </c>
      <c r="K7972" s="106"/>
      <c r="L7972" s="106"/>
      <c r="M7972" s="129"/>
    </row>
    <row r="7973" spans="1:13" s="146" customFormat="1">
      <c r="A7973" s="193" t="s">
        <v>528</v>
      </c>
      <c r="B7973" s="210">
        <v>7</v>
      </c>
      <c r="C7973" s="191" t="str">
        <f>IF('IWP30'!E$453=0,"",'IWP30'!E$453)</f>
        <v>J. Billing Period Total</v>
      </c>
      <c r="D7973" s="211">
        <f>'IWP30'!G$453</f>
        <v>0</v>
      </c>
      <c r="E7973" s="211">
        <f>'IWP30'!H$453</f>
        <v>0</v>
      </c>
      <c r="F7973" s="211">
        <f>'IWP30'!I$453</f>
        <v>0</v>
      </c>
      <c r="G7973" s="191" t="str">
        <f>IF('IWP30'!J$453=0,"",'IWP30'!J$453)</f>
        <v/>
      </c>
      <c r="H7973" s="211">
        <f>'IWP30'!K$453</f>
        <v>0</v>
      </c>
      <c r="I7973" s="211">
        <f>'IWP30'!L$453</f>
        <v>0</v>
      </c>
      <c r="J7973" s="212">
        <f>'IWP30'!M$453</f>
        <v>0</v>
      </c>
      <c r="K7973" s="106"/>
      <c r="L7973" s="106"/>
      <c r="M7973" s="129"/>
    </row>
    <row r="7974" spans="1:13" s="146" customFormat="1">
      <c r="A7974" s="193" t="s">
        <v>528</v>
      </c>
      <c r="B7974" s="210">
        <v>7</v>
      </c>
      <c r="C7974" s="191" t="str">
        <f>IF('IWP30'!E$454=0,"",'IWP30'!E$454)</f>
        <v>D.</v>
      </c>
      <c r="D7974" s="211">
        <f>'IWP30'!G$454</f>
        <v>0</v>
      </c>
      <c r="E7974" s="211" t="str">
        <f>'IWP30'!H$454</f>
        <v>E.</v>
      </c>
      <c r="F7974" s="211" t="str">
        <f>'IWP30'!I$454</f>
        <v>F.</v>
      </c>
      <c r="G7974" s="191" t="str">
        <f>IF('IWP30'!J$454=0,"",'IWP30'!J$454)</f>
        <v>G.</v>
      </c>
      <c r="H7974" s="211">
        <f>'IWP30'!K$454</f>
        <v>0</v>
      </c>
      <c r="I7974" s="211" t="str">
        <f>'IWP30'!L$454</f>
        <v>H.</v>
      </c>
      <c r="J7974" s="212" t="str">
        <f>'IWP30'!M$454</f>
        <v>I.</v>
      </c>
      <c r="K7974" s="106"/>
      <c r="L7974" s="106"/>
      <c r="M7974" s="129"/>
    </row>
    <row r="7975" spans="1:13" s="146" customFormat="1">
      <c r="A7975" s="193" t="s">
        <v>528</v>
      </c>
      <c r="B7975" s="210">
        <v>7</v>
      </c>
      <c r="C7975" s="191" t="str">
        <f>IF('IWP30'!E$455=0,"",'IWP30'!E$455)</f>
        <v xml:space="preserve">Items/Services Related to Billing Period </v>
      </c>
      <c r="D7975" s="211">
        <f>'IWP30'!G$455</f>
        <v>0</v>
      </c>
      <c r="E7975" s="211" t="str">
        <f>'IWP30'!H$455</f>
        <v xml:space="preserve">Item/
Service Verified Amounts
</v>
      </c>
      <c r="F7975" s="211" t="str">
        <f>'IWP30'!I$455</f>
        <v>Amount Due to DADS (E. - D.)</v>
      </c>
      <c r="G7975" s="191" t="str">
        <f>IF('IWP30'!J$455=0,"",'IWP30'!J$455)</f>
        <v>Amount Reimbursed to 
Employee(s)/Employer</v>
      </c>
      <c r="H7975" s="211">
        <f>'IWP30'!K$455</f>
        <v>0</v>
      </c>
      <c r="I7975" s="211" t="str">
        <f>'IWP30'!L$455</f>
        <v>Amount Due to Employee(s) (G. - E.)</v>
      </c>
      <c r="J7975" s="212" t="str">
        <f>'IWP30'!M$455</f>
        <v>Amount Due to Employer (G. - E.)</v>
      </c>
      <c r="K7975" s="106"/>
      <c r="L7975" s="106"/>
      <c r="M7975" s="129"/>
    </row>
    <row r="7976" spans="1:13" s="146" customFormat="1">
      <c r="A7976" s="193" t="s">
        <v>528</v>
      </c>
      <c r="B7976" s="210">
        <v>7</v>
      </c>
      <c r="C7976" s="191" t="str">
        <f>IF('IWP30'!E$456=0,"",'IWP30'!E$456)</f>
        <v>Item/Service</v>
      </c>
      <c r="D7976" s="211" t="str">
        <f>'IWP30'!G$456</f>
        <v>Itemized Amount Paid by DADS</v>
      </c>
      <c r="E7976" s="211">
        <f>'IWP30'!H$456</f>
        <v>0</v>
      </c>
      <c r="F7976" s="211">
        <f>'IWP30'!I$456</f>
        <v>0</v>
      </c>
      <c r="G7976" s="191" t="str">
        <f>IF('IWP30'!J$456=0,"",'IWP30'!J$456)</f>
        <v/>
      </c>
      <c r="H7976" s="211">
        <f>'IWP30'!K$456</f>
        <v>0</v>
      </c>
      <c r="I7976" s="211">
        <f>'IWP30'!L$456</f>
        <v>0</v>
      </c>
      <c r="J7976" s="212">
        <f>'IWP30'!M$456</f>
        <v>0</v>
      </c>
      <c r="K7976" s="106"/>
      <c r="L7976" s="106"/>
      <c r="M7976" s="129"/>
    </row>
    <row r="7977" spans="1:13" s="146" customFormat="1">
      <c r="A7977" s="193" t="s">
        <v>528</v>
      </c>
      <c r="B7977" s="210">
        <v>7</v>
      </c>
      <c r="C7977" s="191" t="str">
        <f>IF('IWP30'!E$457=0,"",'IWP30'!E$457)</f>
        <v/>
      </c>
      <c r="D7977" s="211">
        <f>'IWP30'!G$457</f>
        <v>0</v>
      </c>
      <c r="E7977" s="211">
        <f>'IWP30'!H$457</f>
        <v>0</v>
      </c>
      <c r="F7977" s="211">
        <f>'IWP30'!I$457</f>
        <v>0</v>
      </c>
      <c r="G7977" s="191" t="str">
        <f>IF('IWP30'!J$457=0,"",'IWP30'!J$457)</f>
        <v/>
      </c>
      <c r="H7977" s="211">
        <f>'IWP30'!K$457</f>
        <v>0</v>
      </c>
      <c r="I7977" s="211">
        <f>'IWP30'!L$457</f>
        <v>0</v>
      </c>
      <c r="J7977" s="212">
        <f>'IWP30'!M$457</f>
        <v>0</v>
      </c>
      <c r="K7977" s="106"/>
      <c r="L7977" s="106"/>
      <c r="M7977" s="129"/>
    </row>
    <row r="7978" spans="1:13" s="146" customFormat="1">
      <c r="A7978" s="193" t="s">
        <v>528</v>
      </c>
      <c r="B7978" s="210">
        <v>7</v>
      </c>
      <c r="C7978" s="191" t="str">
        <f>IF('IWP30'!E$458=0,"",'IWP30'!E$458)</f>
        <v/>
      </c>
      <c r="D7978" s="211">
        <f>'IWP30'!G$458</f>
        <v>0</v>
      </c>
      <c r="E7978" s="211">
        <f>'IWP30'!H$458</f>
        <v>0</v>
      </c>
      <c r="F7978" s="211">
        <f>'IWP30'!I$458</f>
        <v>0</v>
      </c>
      <c r="G7978" s="191" t="str">
        <f>IF('IWP30'!J$458=0,"",'IWP30'!J$458)</f>
        <v/>
      </c>
      <c r="H7978" s="211">
        <f>'IWP30'!K$458</f>
        <v>0</v>
      </c>
      <c r="I7978" s="211">
        <f>'IWP30'!L$458</f>
        <v>0</v>
      </c>
      <c r="J7978" s="212">
        <f>'IWP30'!M$458</f>
        <v>0</v>
      </c>
      <c r="K7978" s="106"/>
      <c r="L7978" s="106"/>
      <c r="M7978" s="129"/>
    </row>
    <row r="7979" spans="1:13" s="146" customFormat="1">
      <c r="A7979" s="193" t="s">
        <v>528</v>
      </c>
      <c r="B7979" s="210">
        <v>7</v>
      </c>
      <c r="C7979" s="191" t="str">
        <f>IF('IWP30'!E$459=0,"",'IWP30'!E$459)</f>
        <v/>
      </c>
      <c r="D7979" s="211">
        <f>'IWP30'!G$459</f>
        <v>0</v>
      </c>
      <c r="E7979" s="211">
        <f>'IWP30'!H$459</f>
        <v>0</v>
      </c>
      <c r="F7979" s="211">
        <f>'IWP30'!I$459</f>
        <v>0</v>
      </c>
      <c r="G7979" s="191" t="str">
        <f>IF('IWP30'!J$459=0,"",'IWP30'!J$459)</f>
        <v/>
      </c>
      <c r="H7979" s="211">
        <f>'IWP30'!K$459</f>
        <v>0</v>
      </c>
      <c r="I7979" s="211">
        <f>'IWP30'!L$459</f>
        <v>0</v>
      </c>
      <c r="J7979" s="212">
        <f>'IWP30'!M$459</f>
        <v>0</v>
      </c>
      <c r="K7979" s="106"/>
      <c r="L7979" s="106"/>
      <c r="M7979" s="129"/>
    </row>
    <row r="7980" spans="1:13" s="146" customFormat="1">
      <c r="A7980" s="193" t="s">
        <v>528</v>
      </c>
      <c r="B7980" s="210">
        <v>7</v>
      </c>
      <c r="C7980" s="191" t="str">
        <f>IF('IWP30'!E$460=0,"",'IWP30'!E$460)</f>
        <v/>
      </c>
      <c r="D7980" s="211">
        <f>'IWP30'!G$460</f>
        <v>0</v>
      </c>
      <c r="E7980" s="211">
        <f>'IWP30'!H$460</f>
        <v>0</v>
      </c>
      <c r="F7980" s="211">
        <f>'IWP30'!I$460</f>
        <v>0</v>
      </c>
      <c r="G7980" s="191" t="str">
        <f>IF('IWP30'!J$460=0,"",'IWP30'!J$460)</f>
        <v/>
      </c>
      <c r="H7980" s="211">
        <f>'IWP30'!K$460</f>
        <v>0</v>
      </c>
      <c r="I7980" s="211">
        <f>'IWP30'!L$460</f>
        <v>0</v>
      </c>
      <c r="J7980" s="212">
        <f>'IWP30'!M$460</f>
        <v>0</v>
      </c>
      <c r="K7980" s="106"/>
      <c r="L7980" s="106"/>
      <c r="M7980" s="129"/>
    </row>
    <row r="7981" spans="1:13" s="146" customFormat="1">
      <c r="A7981" s="193" t="s">
        <v>528</v>
      </c>
      <c r="B7981" s="210">
        <v>8</v>
      </c>
      <c r="C7981" s="191" t="str">
        <f>IF('IWP30'!E$467=0,"",'IWP30'!E$467)</f>
        <v>Subtotal column D.</v>
      </c>
      <c r="D7981" s="211">
        <f>'IWP30'!G$467</f>
        <v>0</v>
      </c>
      <c r="E7981" s="211">
        <f>'IWP30'!H$467</f>
        <v>0</v>
      </c>
      <c r="F7981" s="211">
        <f>'IWP30'!I$467</f>
        <v>0</v>
      </c>
      <c r="G7981" s="191" t="str">
        <f>IF('IWP30'!J$467=0,"",'IWP30'!J$467)</f>
        <v/>
      </c>
      <c r="H7981" s="211">
        <f>'IWP30'!K$467</f>
        <v>0</v>
      </c>
      <c r="I7981" s="211">
        <f>'IWP30'!L$467</f>
        <v>0</v>
      </c>
      <c r="J7981" s="212">
        <f>'IWP30'!M$467</f>
        <v>0</v>
      </c>
      <c r="K7981" s="106"/>
      <c r="L7981" s="106"/>
      <c r="M7981" s="129"/>
    </row>
    <row r="7982" spans="1:13" s="146" customFormat="1">
      <c r="A7982" s="193" t="s">
        <v>528</v>
      </c>
      <c r="B7982" s="210">
        <v>8</v>
      </c>
      <c r="C7982" s="191" t="str">
        <f>IF('IWP30'!E$468=0,"",'IWP30'!E$468)</f>
        <v>Unverified/Undocumented (Subtotal D - C)</v>
      </c>
      <c r="D7982" s="211">
        <f>'IWP30'!G$468</f>
        <v>0</v>
      </c>
      <c r="E7982" s="211">
        <f>'IWP30'!H$468</f>
        <v>0</v>
      </c>
      <c r="F7982" s="211">
        <f>'IWP30'!I$468</f>
        <v>0</v>
      </c>
      <c r="G7982" s="191" t="str">
        <f>IF('IWP30'!J$468=0,"",'IWP30'!J$468)</f>
        <v/>
      </c>
      <c r="H7982" s="211">
        <f>'IWP30'!K$468</f>
        <v>0</v>
      </c>
      <c r="I7982" s="211">
        <f>'IWP30'!L$468</f>
        <v>0</v>
      </c>
      <c r="J7982" s="212">
        <f>'IWP30'!M$468</f>
        <v>0</v>
      </c>
      <c r="K7982" s="106"/>
      <c r="L7982" s="106"/>
      <c r="M7982" s="129"/>
    </row>
    <row r="7983" spans="1:13" s="146" customFormat="1">
      <c r="A7983" s="193" t="s">
        <v>528</v>
      </c>
      <c r="B7983" s="210">
        <v>8</v>
      </c>
      <c r="C7983" s="191" t="str">
        <f>IF('IWP30'!E$469=0,"",'IWP30'!E$469)</f>
        <v>J. Billing Period Total</v>
      </c>
      <c r="D7983" s="211">
        <f>'IWP30'!G$469</f>
        <v>0</v>
      </c>
      <c r="E7983" s="211">
        <f>'IWP30'!H$469</f>
        <v>0</v>
      </c>
      <c r="F7983" s="211">
        <f>'IWP30'!I$469</f>
        <v>0</v>
      </c>
      <c r="G7983" s="191" t="str">
        <f>IF('IWP30'!J$469=0,"",'IWP30'!J$469)</f>
        <v/>
      </c>
      <c r="H7983" s="211">
        <f>'IWP30'!K$469</f>
        <v>0</v>
      </c>
      <c r="I7983" s="211">
        <f>'IWP30'!L$469</f>
        <v>0</v>
      </c>
      <c r="J7983" s="212">
        <f>'IWP30'!M$469</f>
        <v>0</v>
      </c>
      <c r="K7983" s="106"/>
      <c r="L7983" s="106"/>
      <c r="M7983" s="129"/>
    </row>
    <row r="7984" spans="1:13" s="146" customFormat="1">
      <c r="A7984" s="193" t="s">
        <v>528</v>
      </c>
      <c r="B7984" s="210">
        <v>8</v>
      </c>
      <c r="C7984" s="191" t="str">
        <f>IF('IWP30'!E$470=0,"",'IWP30'!E$470)</f>
        <v>D.</v>
      </c>
      <c r="D7984" s="211">
        <f>'IWP30'!G$470</f>
        <v>0</v>
      </c>
      <c r="E7984" s="211" t="str">
        <f>'IWP30'!H$470</f>
        <v>E.</v>
      </c>
      <c r="F7984" s="211" t="str">
        <f>'IWP30'!I$470</f>
        <v>F.</v>
      </c>
      <c r="G7984" s="191" t="str">
        <f>IF('IWP30'!J$470=0,"",'IWP30'!J$470)</f>
        <v>G.</v>
      </c>
      <c r="H7984" s="211">
        <f>'IWP30'!K$470</f>
        <v>0</v>
      </c>
      <c r="I7984" s="211" t="str">
        <f>'IWP30'!L$470</f>
        <v>H.</v>
      </c>
      <c r="J7984" s="212" t="str">
        <f>'IWP30'!M$470</f>
        <v>I.</v>
      </c>
      <c r="K7984" s="106"/>
      <c r="L7984" s="106"/>
      <c r="M7984" s="129"/>
    </row>
    <row r="7985" spans="1:13" s="146" customFormat="1">
      <c r="A7985" s="193" t="s">
        <v>528</v>
      </c>
      <c r="B7985" s="210">
        <v>8</v>
      </c>
      <c r="C7985" s="191" t="str">
        <f>IF('IWP30'!E$471=0,"",'IWP30'!E$471)</f>
        <v xml:space="preserve">Items/Services Related to Billing Period </v>
      </c>
      <c r="D7985" s="211">
        <f>'IWP30'!G$471</f>
        <v>0</v>
      </c>
      <c r="E7985" s="211" t="str">
        <f>'IWP30'!H$471</f>
        <v xml:space="preserve">Item/
Service Verified Amounts
</v>
      </c>
      <c r="F7985" s="211" t="str">
        <f>'IWP30'!I$471</f>
        <v>Amount Due to DADS (E. - D.)</v>
      </c>
      <c r="G7985" s="191" t="str">
        <f>IF('IWP30'!J$471=0,"",'IWP30'!J$471)</f>
        <v>Amount Reimbursed to 
Employee(s)/Employer</v>
      </c>
      <c r="H7985" s="211">
        <f>'IWP30'!K$471</f>
        <v>0</v>
      </c>
      <c r="I7985" s="211" t="str">
        <f>'IWP30'!L$471</f>
        <v>Amount Due to Employee(s) (G. - E.)</v>
      </c>
      <c r="J7985" s="212" t="str">
        <f>'IWP30'!M$471</f>
        <v>Amount Due to Employer (G. - E.)</v>
      </c>
      <c r="K7985" s="106"/>
      <c r="L7985" s="106"/>
      <c r="M7985" s="129"/>
    </row>
    <row r="7986" spans="1:13" s="146" customFormat="1">
      <c r="A7986" s="193" t="s">
        <v>528</v>
      </c>
      <c r="B7986" s="210">
        <v>8</v>
      </c>
      <c r="C7986" s="191" t="str">
        <f>IF('IWP30'!E$472=0,"",'IWP30'!E$472)</f>
        <v>Item/Service</v>
      </c>
      <c r="D7986" s="211" t="str">
        <f>'IWP30'!G$472</f>
        <v>Itemized Amount Paid by DADS</v>
      </c>
      <c r="E7986" s="211">
        <f>'IWP30'!H$472</f>
        <v>0</v>
      </c>
      <c r="F7986" s="211">
        <f>'IWP30'!I$472</f>
        <v>0</v>
      </c>
      <c r="G7986" s="191" t="str">
        <f>IF('IWP30'!J$472=0,"",'IWP30'!J$472)</f>
        <v/>
      </c>
      <c r="H7986" s="211">
        <f>'IWP30'!K$472</f>
        <v>0</v>
      </c>
      <c r="I7986" s="211">
        <f>'IWP30'!L$472</f>
        <v>0</v>
      </c>
      <c r="J7986" s="212">
        <f>'IWP30'!M$472</f>
        <v>0</v>
      </c>
      <c r="K7986" s="106"/>
      <c r="L7986" s="106"/>
      <c r="M7986" s="129"/>
    </row>
    <row r="7987" spans="1:13" s="146" customFormat="1">
      <c r="A7987" s="193" t="s">
        <v>528</v>
      </c>
      <c r="B7987" s="210">
        <v>8</v>
      </c>
      <c r="C7987" s="191" t="str">
        <f>IF('IWP30'!E$473=0,"",'IWP30'!E$473)</f>
        <v/>
      </c>
      <c r="D7987" s="211">
        <f>'IWP30'!G$473</f>
        <v>0</v>
      </c>
      <c r="E7987" s="211">
        <f>'IWP30'!H$473</f>
        <v>0</v>
      </c>
      <c r="F7987" s="211">
        <f>'IWP30'!I$473</f>
        <v>0</v>
      </c>
      <c r="G7987" s="191" t="str">
        <f>IF('IWP30'!J$473=0,"",'IWP30'!J$473)</f>
        <v/>
      </c>
      <c r="H7987" s="211">
        <f>'IWP30'!K$473</f>
        <v>0</v>
      </c>
      <c r="I7987" s="211">
        <f>'IWP30'!L$473</f>
        <v>0</v>
      </c>
      <c r="J7987" s="212">
        <f>'IWP30'!M$473</f>
        <v>0</v>
      </c>
      <c r="K7987" s="106"/>
      <c r="L7987" s="106"/>
      <c r="M7987" s="129"/>
    </row>
    <row r="7988" spans="1:13" s="146" customFormat="1">
      <c r="A7988" s="193" t="s">
        <v>528</v>
      </c>
      <c r="B7988" s="210">
        <v>8</v>
      </c>
      <c r="C7988" s="191" t="str">
        <f>IF('IWP30'!E$474=0,"",'IWP30'!E$474)</f>
        <v/>
      </c>
      <c r="D7988" s="211">
        <f>'IWP30'!G$474</f>
        <v>0</v>
      </c>
      <c r="E7988" s="211">
        <f>'IWP30'!H$474</f>
        <v>0</v>
      </c>
      <c r="F7988" s="211">
        <f>'IWP30'!I$474</f>
        <v>0</v>
      </c>
      <c r="G7988" s="191" t="str">
        <f>IF('IWP30'!J$474=0,"",'IWP30'!J$474)</f>
        <v/>
      </c>
      <c r="H7988" s="211">
        <f>'IWP30'!K$474</f>
        <v>0</v>
      </c>
      <c r="I7988" s="211">
        <f>'IWP30'!L$474</f>
        <v>0</v>
      </c>
      <c r="J7988" s="212">
        <f>'IWP30'!M$474</f>
        <v>0</v>
      </c>
      <c r="K7988" s="106"/>
      <c r="L7988" s="106"/>
      <c r="M7988" s="129"/>
    </row>
    <row r="7989" spans="1:13" s="146" customFormat="1">
      <c r="A7989" s="193" t="s">
        <v>528</v>
      </c>
      <c r="B7989" s="210">
        <v>8</v>
      </c>
      <c r="C7989" s="191" t="str">
        <f>IF('IWP30'!E$475=0,"",'IWP30'!E$475)</f>
        <v/>
      </c>
      <c r="D7989" s="211">
        <f>'IWP30'!G$475</f>
        <v>0</v>
      </c>
      <c r="E7989" s="211">
        <f>'IWP30'!H$475</f>
        <v>0</v>
      </c>
      <c r="F7989" s="211">
        <f>'IWP30'!I$475</f>
        <v>0</v>
      </c>
      <c r="G7989" s="191" t="str">
        <f>IF('IWP30'!J$475=0,"",'IWP30'!J$475)</f>
        <v/>
      </c>
      <c r="H7989" s="211">
        <f>'IWP30'!K$475</f>
        <v>0</v>
      </c>
      <c r="I7989" s="211">
        <f>'IWP30'!L$475</f>
        <v>0</v>
      </c>
      <c r="J7989" s="212">
        <f>'IWP30'!M$475</f>
        <v>0</v>
      </c>
      <c r="K7989" s="106"/>
      <c r="L7989" s="106"/>
      <c r="M7989" s="129"/>
    </row>
    <row r="7990" spans="1:13" s="146" customFormat="1">
      <c r="A7990" s="193" t="s">
        <v>528</v>
      </c>
      <c r="B7990" s="210">
        <v>8</v>
      </c>
      <c r="C7990" s="191" t="str">
        <f>IF('IWP30'!E$476=0,"",'IWP30'!E$476)</f>
        <v/>
      </c>
      <c r="D7990" s="211">
        <f>'IWP30'!G$476</f>
        <v>0</v>
      </c>
      <c r="E7990" s="211">
        <f>'IWP30'!H$476</f>
        <v>0</v>
      </c>
      <c r="F7990" s="211">
        <f>'IWP30'!I$476</f>
        <v>0</v>
      </c>
      <c r="G7990" s="191" t="str">
        <f>IF('IWP30'!J$476=0,"",'IWP30'!J$476)</f>
        <v/>
      </c>
      <c r="H7990" s="211">
        <f>'IWP30'!K$476</f>
        <v>0</v>
      </c>
      <c r="I7990" s="211">
        <f>'IWP30'!L$476</f>
        <v>0</v>
      </c>
      <c r="J7990" s="212">
        <f>'IWP30'!M$476</f>
        <v>0</v>
      </c>
      <c r="K7990" s="106"/>
      <c r="L7990" s="106"/>
      <c r="M7990" s="129"/>
    </row>
    <row r="7991" spans="1:13" s="146" customFormat="1">
      <c r="A7991" s="193" t="s">
        <v>528</v>
      </c>
      <c r="B7991" s="210">
        <v>9</v>
      </c>
      <c r="C7991" s="191" t="str">
        <f>IF('IWP30'!E$483=0,"",'IWP30'!E$483)</f>
        <v>Subtotal column D.</v>
      </c>
      <c r="D7991" s="211">
        <f>'IWP30'!G$483</f>
        <v>0</v>
      </c>
      <c r="E7991" s="211">
        <f>'IWP30'!H$483</f>
        <v>0</v>
      </c>
      <c r="F7991" s="211">
        <f>'IWP30'!I$483</f>
        <v>0</v>
      </c>
      <c r="G7991" s="191" t="str">
        <f>IF('IWP30'!J$483=0,"",'IWP30'!J$483)</f>
        <v/>
      </c>
      <c r="H7991" s="211">
        <f>'IWP30'!K$483</f>
        <v>0</v>
      </c>
      <c r="I7991" s="211">
        <f>'IWP30'!L$483</f>
        <v>0</v>
      </c>
      <c r="J7991" s="212">
        <f>'IWP30'!M$483</f>
        <v>0</v>
      </c>
      <c r="K7991" s="106"/>
      <c r="L7991" s="106"/>
      <c r="M7991" s="129"/>
    </row>
    <row r="7992" spans="1:13" s="146" customFormat="1">
      <c r="A7992" s="193" t="s">
        <v>528</v>
      </c>
      <c r="B7992" s="210">
        <v>9</v>
      </c>
      <c r="C7992" s="191" t="str">
        <f>IF('IWP30'!E$484=0,"",'IWP30'!E$484)</f>
        <v>Unverified/Undocumented (Subtotal D - C)</v>
      </c>
      <c r="D7992" s="211">
        <f>'IWP30'!G$484</f>
        <v>0</v>
      </c>
      <c r="E7992" s="211">
        <f>'IWP30'!H$484</f>
        <v>0</v>
      </c>
      <c r="F7992" s="211">
        <f>'IWP30'!I$484</f>
        <v>0</v>
      </c>
      <c r="G7992" s="191" t="str">
        <f>IF('IWP30'!J$484=0,"",'IWP30'!J$484)</f>
        <v/>
      </c>
      <c r="H7992" s="211">
        <f>'IWP30'!K$484</f>
        <v>0</v>
      </c>
      <c r="I7992" s="211">
        <f>'IWP30'!L$484</f>
        <v>0</v>
      </c>
      <c r="J7992" s="212">
        <f>'IWP30'!M$484</f>
        <v>0</v>
      </c>
      <c r="K7992" s="106"/>
      <c r="L7992" s="106"/>
      <c r="M7992" s="129"/>
    </row>
    <row r="7993" spans="1:13" s="146" customFormat="1">
      <c r="A7993" s="193" t="s">
        <v>528</v>
      </c>
      <c r="B7993" s="210">
        <v>9</v>
      </c>
      <c r="C7993" s="191" t="str">
        <f>IF('IWP30'!E$485=0,"",'IWP30'!E$485)</f>
        <v>J. Billing Period Total</v>
      </c>
      <c r="D7993" s="211">
        <f>'IWP30'!G$485</f>
        <v>0</v>
      </c>
      <c r="E7993" s="211">
        <f>'IWP30'!H$485</f>
        <v>0</v>
      </c>
      <c r="F7993" s="211">
        <f>'IWP30'!I$485</f>
        <v>0</v>
      </c>
      <c r="G7993" s="191" t="str">
        <f>IF('IWP30'!J$485=0,"",'IWP30'!J$485)</f>
        <v/>
      </c>
      <c r="H7993" s="211">
        <f>'IWP30'!K$485</f>
        <v>0</v>
      </c>
      <c r="I7993" s="211">
        <f>'IWP30'!L$485</f>
        <v>0</v>
      </c>
      <c r="J7993" s="212">
        <f>'IWP30'!M$485</f>
        <v>0</v>
      </c>
      <c r="K7993" s="106"/>
      <c r="L7993" s="106"/>
      <c r="M7993" s="129"/>
    </row>
    <row r="7994" spans="1:13" s="146" customFormat="1">
      <c r="A7994" s="193" t="s">
        <v>528</v>
      </c>
      <c r="B7994" s="210">
        <v>9</v>
      </c>
      <c r="C7994" s="191" t="str">
        <f>IF('IWP30'!E$486=0,"",'IWP30'!E$486)</f>
        <v>D.</v>
      </c>
      <c r="D7994" s="211">
        <f>'IWP30'!G$486</f>
        <v>0</v>
      </c>
      <c r="E7994" s="211" t="str">
        <f>'IWP30'!H$486</f>
        <v>E.</v>
      </c>
      <c r="F7994" s="211" t="str">
        <f>'IWP30'!I$486</f>
        <v>F.</v>
      </c>
      <c r="G7994" s="191" t="str">
        <f>IF('IWP30'!J$486=0,"",'IWP30'!J$486)</f>
        <v>G.</v>
      </c>
      <c r="H7994" s="211">
        <f>'IWP30'!K$486</f>
        <v>0</v>
      </c>
      <c r="I7994" s="211" t="str">
        <f>'IWP30'!L$486</f>
        <v>H.</v>
      </c>
      <c r="J7994" s="212" t="str">
        <f>'IWP30'!M$486</f>
        <v>I.</v>
      </c>
      <c r="K7994" s="106"/>
      <c r="L7994" s="106"/>
      <c r="M7994" s="129"/>
    </row>
    <row r="7995" spans="1:13" s="146" customFormat="1">
      <c r="A7995" s="193" t="s">
        <v>528</v>
      </c>
      <c r="B7995" s="210">
        <v>9</v>
      </c>
      <c r="C7995" s="191" t="str">
        <f>IF('IWP30'!E$487=0,"",'IWP30'!E$487)</f>
        <v xml:space="preserve">Items/Services Related to Billing Period </v>
      </c>
      <c r="D7995" s="211">
        <f>'IWP30'!G$487</f>
        <v>0</v>
      </c>
      <c r="E7995" s="211" t="str">
        <f>'IWP30'!H$487</f>
        <v xml:space="preserve">Item/
Service Verified Amounts
</v>
      </c>
      <c r="F7995" s="211" t="str">
        <f>'IWP30'!I$487</f>
        <v>Amount Due to DADS (E. - D.)</v>
      </c>
      <c r="G7995" s="191" t="str">
        <f>IF('IWP30'!J$487=0,"",'IWP30'!J$487)</f>
        <v>Amount Reimbursed to 
Employee(s)/Employer</v>
      </c>
      <c r="H7995" s="211">
        <f>'IWP30'!K$487</f>
        <v>0</v>
      </c>
      <c r="I7995" s="211" t="str">
        <f>'IWP30'!L$487</f>
        <v>Amount Due to Employee(s) (G. - E.)</v>
      </c>
      <c r="J7995" s="212" t="str">
        <f>'IWP30'!M$487</f>
        <v>Amount Due to Employer (G. - E.)</v>
      </c>
      <c r="K7995" s="106"/>
      <c r="L7995" s="106"/>
      <c r="M7995" s="129"/>
    </row>
    <row r="7996" spans="1:13" s="146" customFormat="1">
      <c r="A7996" s="193" t="s">
        <v>528</v>
      </c>
      <c r="B7996" s="210">
        <v>9</v>
      </c>
      <c r="C7996" s="191" t="str">
        <f>IF('IWP30'!E$488=0,"",'IWP30'!E$488)</f>
        <v>Item/Service</v>
      </c>
      <c r="D7996" s="211" t="str">
        <f>'IWP30'!G$488</f>
        <v>Itemized Amount Paid by DADS</v>
      </c>
      <c r="E7996" s="211">
        <f>'IWP30'!H$488</f>
        <v>0</v>
      </c>
      <c r="F7996" s="211">
        <f>'IWP30'!I$488</f>
        <v>0</v>
      </c>
      <c r="G7996" s="191" t="str">
        <f>IF('IWP30'!J$488=0,"",'IWP30'!J$488)</f>
        <v/>
      </c>
      <c r="H7996" s="211">
        <f>'IWP30'!K$488</f>
        <v>0</v>
      </c>
      <c r="I7996" s="211">
        <f>'IWP30'!L$488</f>
        <v>0</v>
      </c>
      <c r="J7996" s="212">
        <f>'IWP30'!M$488</f>
        <v>0</v>
      </c>
      <c r="K7996" s="106"/>
      <c r="L7996" s="106"/>
      <c r="M7996" s="129"/>
    </row>
    <row r="7997" spans="1:13" s="146" customFormat="1">
      <c r="A7997" s="193" t="s">
        <v>528</v>
      </c>
      <c r="B7997" s="210">
        <v>9</v>
      </c>
      <c r="C7997" s="191" t="str">
        <f>IF('IWP30'!E$489=0,"",'IWP30'!E$489)</f>
        <v/>
      </c>
      <c r="D7997" s="211">
        <f>'IWP30'!G$489</f>
        <v>0</v>
      </c>
      <c r="E7997" s="211">
        <f>'IWP30'!H$489</f>
        <v>0</v>
      </c>
      <c r="F7997" s="211">
        <f>'IWP30'!I$489</f>
        <v>0</v>
      </c>
      <c r="G7997" s="191" t="str">
        <f>IF('IWP30'!J$489=0,"",'IWP30'!J$489)</f>
        <v/>
      </c>
      <c r="H7997" s="211">
        <f>'IWP30'!K$489</f>
        <v>0</v>
      </c>
      <c r="I7997" s="211">
        <f>'IWP30'!L$489</f>
        <v>0</v>
      </c>
      <c r="J7997" s="212">
        <f>'IWP30'!M$489</f>
        <v>0</v>
      </c>
      <c r="K7997" s="106"/>
      <c r="L7997" s="106"/>
      <c r="M7997" s="129"/>
    </row>
    <row r="7998" spans="1:13" s="146" customFormat="1">
      <c r="A7998" s="193" t="s">
        <v>528</v>
      </c>
      <c r="B7998" s="210">
        <v>9</v>
      </c>
      <c r="C7998" s="191" t="str">
        <f>IF('IWP30'!E$490=0,"",'IWP30'!E$490)</f>
        <v/>
      </c>
      <c r="D7998" s="211">
        <f>'IWP30'!G$490</f>
        <v>0</v>
      </c>
      <c r="E7998" s="211">
        <f>'IWP30'!H$490</f>
        <v>0</v>
      </c>
      <c r="F7998" s="211">
        <f>'IWP30'!I$490</f>
        <v>0</v>
      </c>
      <c r="G7998" s="191" t="str">
        <f>IF('IWP30'!J$490=0,"",'IWP30'!J$490)</f>
        <v/>
      </c>
      <c r="H7998" s="211">
        <f>'IWP30'!K$490</f>
        <v>0</v>
      </c>
      <c r="I7998" s="211">
        <f>'IWP30'!L$490</f>
        <v>0</v>
      </c>
      <c r="J7998" s="212">
        <f>'IWP30'!M$490</f>
        <v>0</v>
      </c>
      <c r="K7998" s="106"/>
      <c r="L7998" s="106"/>
      <c r="M7998" s="129"/>
    </row>
    <row r="7999" spans="1:13" s="146" customFormat="1">
      <c r="A7999" s="193" t="s">
        <v>528</v>
      </c>
      <c r="B7999" s="210">
        <v>9</v>
      </c>
      <c r="C7999" s="191" t="str">
        <f>IF('IWP30'!E$491=0,"",'IWP30'!E$491)</f>
        <v/>
      </c>
      <c r="D7999" s="211">
        <f>'IWP30'!G$491</f>
        <v>0</v>
      </c>
      <c r="E7999" s="211">
        <f>'IWP30'!H$491</f>
        <v>0</v>
      </c>
      <c r="F7999" s="211">
        <f>'IWP30'!I$491</f>
        <v>0</v>
      </c>
      <c r="G7999" s="191" t="str">
        <f>IF('IWP30'!J$491=0,"",'IWP30'!J$491)</f>
        <v/>
      </c>
      <c r="H7999" s="211">
        <f>'IWP30'!K$491</f>
        <v>0</v>
      </c>
      <c r="I7999" s="211">
        <f>'IWP30'!L$491</f>
        <v>0</v>
      </c>
      <c r="J7999" s="212">
        <f>'IWP30'!M$491</f>
        <v>0</v>
      </c>
      <c r="K7999" s="106"/>
      <c r="L7999" s="106"/>
      <c r="M7999" s="129"/>
    </row>
    <row r="8000" spans="1:13" s="146" customFormat="1">
      <c r="A8000" s="193" t="s">
        <v>528</v>
      </c>
      <c r="B8000" s="210">
        <v>9</v>
      </c>
      <c r="C8000" s="191" t="str">
        <f>IF('IWP30'!E$492=0,"",'IWP30'!E$492)</f>
        <v/>
      </c>
      <c r="D8000" s="211">
        <f>'IWP30'!G$492</f>
        <v>0</v>
      </c>
      <c r="E8000" s="211">
        <f>'IWP30'!H$492</f>
        <v>0</v>
      </c>
      <c r="F8000" s="211">
        <f>'IWP30'!I$492</f>
        <v>0</v>
      </c>
      <c r="G8000" s="191" t="str">
        <f>IF('IWP30'!J$492=0,"",'IWP30'!J$492)</f>
        <v/>
      </c>
      <c r="H8000" s="211">
        <f>'IWP30'!K$492</f>
        <v>0</v>
      </c>
      <c r="I8000" s="211">
        <f>'IWP30'!L$492</f>
        <v>0</v>
      </c>
      <c r="J8000" s="212">
        <f>'IWP30'!M$492</f>
        <v>0</v>
      </c>
      <c r="K8000" s="106"/>
      <c r="L8000" s="106"/>
      <c r="M8000" s="129"/>
    </row>
    <row r="8001" spans="1:13" s="146" customFormat="1">
      <c r="A8001" s="193" t="s">
        <v>528</v>
      </c>
      <c r="B8001" s="210">
        <v>10</v>
      </c>
      <c r="C8001" s="191" t="str">
        <f>IF('IWP30'!E$499=0,"",'IWP30'!E$499)</f>
        <v>Subtotal column D.</v>
      </c>
      <c r="D8001" s="211">
        <f>'IWP30'!G$499</f>
        <v>0</v>
      </c>
      <c r="E8001" s="211">
        <f>'IWP30'!H$499</f>
        <v>0</v>
      </c>
      <c r="F8001" s="211">
        <f>'IWP30'!I$499</f>
        <v>0</v>
      </c>
      <c r="G8001" s="191" t="str">
        <f>IF('IWP30'!J$499=0,"",'IWP30'!J$499)</f>
        <v/>
      </c>
      <c r="H8001" s="211">
        <f>'IWP30'!K$499</f>
        <v>0</v>
      </c>
      <c r="I8001" s="211">
        <f>'IWP30'!L$499</f>
        <v>0</v>
      </c>
      <c r="J8001" s="212">
        <f>'IWP30'!M$499</f>
        <v>0</v>
      </c>
      <c r="K8001" s="106"/>
      <c r="L8001" s="106"/>
      <c r="M8001" s="129"/>
    </row>
    <row r="8002" spans="1:13" s="146" customFormat="1">
      <c r="A8002" s="193" t="s">
        <v>528</v>
      </c>
      <c r="B8002" s="210">
        <v>10</v>
      </c>
      <c r="C8002" s="191" t="str">
        <f>IF('IWP30'!E$500=0,"",'IWP30'!E$500)</f>
        <v>Unverified/Undocumented (Subtotal D - C)</v>
      </c>
      <c r="D8002" s="211">
        <f>'IWP30'!G$500</f>
        <v>0</v>
      </c>
      <c r="E8002" s="211">
        <f>'IWP30'!H$500</f>
        <v>0</v>
      </c>
      <c r="F8002" s="211">
        <f>'IWP30'!I$500</f>
        <v>0</v>
      </c>
      <c r="G8002" s="191" t="str">
        <f>IF('IWP30'!J$500=0,"",'IWP30'!J$500)</f>
        <v/>
      </c>
      <c r="H8002" s="211">
        <f>'IWP30'!K$500</f>
        <v>0</v>
      </c>
      <c r="I8002" s="211">
        <f>'IWP30'!L$500</f>
        <v>0</v>
      </c>
      <c r="J8002" s="212">
        <f>'IWP30'!M$500</f>
        <v>0</v>
      </c>
      <c r="K8002" s="106"/>
      <c r="L8002" s="106"/>
      <c r="M8002" s="129"/>
    </row>
    <row r="8003" spans="1:13" s="146" customFormat="1">
      <c r="A8003" s="193" t="s">
        <v>528</v>
      </c>
      <c r="B8003" s="210">
        <v>10</v>
      </c>
      <c r="C8003" s="191" t="str">
        <f>IF('IWP30'!E$501=0,"",'IWP30'!E$501)</f>
        <v>J. Billing Period Total</v>
      </c>
      <c r="D8003" s="211">
        <f>'IWP30'!G$501</f>
        <v>0</v>
      </c>
      <c r="E8003" s="211">
        <f>'IWP30'!H$501</f>
        <v>0</v>
      </c>
      <c r="F8003" s="211">
        <f>'IWP30'!I$501</f>
        <v>0</v>
      </c>
      <c r="G8003" s="191" t="str">
        <f>IF('IWP30'!J$501=0,"",'IWP30'!J$501)</f>
        <v/>
      </c>
      <c r="H8003" s="211">
        <f>'IWP30'!K$501</f>
        <v>0</v>
      </c>
      <c r="I8003" s="211">
        <f>'IWP30'!L$501</f>
        <v>0</v>
      </c>
      <c r="J8003" s="212">
        <f>'IWP30'!M$501</f>
        <v>0</v>
      </c>
      <c r="K8003" s="106"/>
      <c r="L8003" s="106"/>
      <c r="M8003" s="129"/>
    </row>
    <row r="8004" spans="1:13" s="146" customFormat="1">
      <c r="A8004" s="193" t="s">
        <v>528</v>
      </c>
      <c r="B8004" s="210">
        <v>10</v>
      </c>
      <c r="C8004" s="191" t="str">
        <f>IF('IWP30'!E$502=0,"",'IWP30'!E$502)</f>
        <v>D.</v>
      </c>
      <c r="D8004" s="211">
        <f>'IWP30'!G$502</f>
        <v>0</v>
      </c>
      <c r="E8004" s="211" t="str">
        <f>'IWP30'!H$502</f>
        <v>E.</v>
      </c>
      <c r="F8004" s="211" t="str">
        <f>'IWP30'!I$502</f>
        <v>F.</v>
      </c>
      <c r="G8004" s="191" t="str">
        <f>IF('IWP30'!J$502=0,"",'IWP30'!J$502)</f>
        <v>G.</v>
      </c>
      <c r="H8004" s="211">
        <f>'IWP30'!K$502</f>
        <v>0</v>
      </c>
      <c r="I8004" s="211" t="str">
        <f>'IWP30'!L$502</f>
        <v>H.</v>
      </c>
      <c r="J8004" s="212" t="str">
        <f>'IWP30'!M$502</f>
        <v>I.</v>
      </c>
      <c r="K8004" s="106"/>
      <c r="L8004" s="106"/>
      <c r="M8004" s="129"/>
    </row>
    <row r="8005" spans="1:13" s="146" customFormat="1">
      <c r="A8005" s="193" t="s">
        <v>528</v>
      </c>
      <c r="B8005" s="210">
        <v>10</v>
      </c>
      <c r="C8005" s="191" t="str">
        <f>IF('IWP30'!E$503=0,"",'IWP30'!E$503)</f>
        <v xml:space="preserve">Items/Services Related to Billing Period </v>
      </c>
      <c r="D8005" s="211">
        <f>'IWP30'!G$503</f>
        <v>0</v>
      </c>
      <c r="E8005" s="211" t="str">
        <f>'IWP30'!H$503</f>
        <v xml:space="preserve">Item/
Service Verified Amounts
</v>
      </c>
      <c r="F8005" s="211" t="str">
        <f>'IWP30'!I$503</f>
        <v>Amount Due to DADS (E. - D.)</v>
      </c>
      <c r="G8005" s="191" t="str">
        <f>IF('IWP30'!J$503=0,"",'IWP30'!J$503)</f>
        <v>Amount Reimbursed to 
Employee(s)/Employer</v>
      </c>
      <c r="H8005" s="211">
        <f>'IWP30'!K$503</f>
        <v>0</v>
      </c>
      <c r="I8005" s="211" t="str">
        <f>'IWP30'!L$503</f>
        <v>Amount Due to Employee(s) (G. - E.)</v>
      </c>
      <c r="J8005" s="212" t="str">
        <f>'IWP30'!M$503</f>
        <v>Amount Due to Employer (G. - E.)</v>
      </c>
      <c r="K8005" s="106"/>
      <c r="L8005" s="106"/>
      <c r="M8005" s="129"/>
    </row>
    <row r="8006" spans="1:13" s="146" customFormat="1">
      <c r="A8006" s="193" t="s">
        <v>528</v>
      </c>
      <c r="B8006" s="210">
        <v>10</v>
      </c>
      <c r="C8006" s="191" t="str">
        <f>IF('IWP30'!E$504=0,"",'IWP30'!E$504)</f>
        <v>Item/Service</v>
      </c>
      <c r="D8006" s="211" t="str">
        <f>'IWP30'!G$504</f>
        <v>Itemized Amount Paid by DADS</v>
      </c>
      <c r="E8006" s="211">
        <f>'IWP30'!H$504</f>
        <v>0</v>
      </c>
      <c r="F8006" s="211">
        <f>'IWP30'!I$504</f>
        <v>0</v>
      </c>
      <c r="G8006" s="191" t="str">
        <f>IF('IWP30'!J$504=0,"",'IWP30'!J$504)</f>
        <v/>
      </c>
      <c r="H8006" s="211">
        <f>'IWP30'!K$504</f>
        <v>0</v>
      </c>
      <c r="I8006" s="211">
        <f>'IWP30'!L$504</f>
        <v>0</v>
      </c>
      <c r="J8006" s="212">
        <f>'IWP30'!M$504</f>
        <v>0</v>
      </c>
      <c r="K8006" s="106"/>
      <c r="L8006" s="106"/>
      <c r="M8006" s="129"/>
    </row>
    <row r="8007" spans="1:13" s="146" customFormat="1">
      <c r="A8007" s="193" t="s">
        <v>528</v>
      </c>
      <c r="B8007" s="210">
        <v>10</v>
      </c>
      <c r="C8007" s="191" t="str">
        <f>IF('IWP30'!E$505=0,"",'IWP30'!E$505)</f>
        <v/>
      </c>
      <c r="D8007" s="211">
        <f>'IWP30'!G$505</f>
        <v>0</v>
      </c>
      <c r="E8007" s="211">
        <f>'IWP30'!H$505</f>
        <v>0</v>
      </c>
      <c r="F8007" s="211">
        <f>'IWP30'!I$505</f>
        <v>0</v>
      </c>
      <c r="G8007" s="191" t="str">
        <f>IF('IWP30'!J$505=0,"",'IWP30'!J$505)</f>
        <v/>
      </c>
      <c r="H8007" s="211">
        <f>'IWP30'!K$505</f>
        <v>0</v>
      </c>
      <c r="I8007" s="211">
        <f>'IWP30'!L$505</f>
        <v>0</v>
      </c>
      <c r="J8007" s="212">
        <f>'IWP30'!M$505</f>
        <v>0</v>
      </c>
      <c r="K8007" s="106"/>
      <c r="L8007" s="106"/>
      <c r="M8007" s="129"/>
    </row>
    <row r="8008" spans="1:13" s="146" customFormat="1">
      <c r="A8008" s="193" t="s">
        <v>528</v>
      </c>
      <c r="B8008" s="210">
        <v>10</v>
      </c>
      <c r="C8008" s="191" t="str">
        <f>IF('IWP30'!E$506=0,"",'IWP30'!E$506)</f>
        <v/>
      </c>
      <c r="D8008" s="211">
        <f>'IWP30'!G$506</f>
        <v>0</v>
      </c>
      <c r="E8008" s="211">
        <f>'IWP30'!H$506</f>
        <v>0</v>
      </c>
      <c r="F8008" s="211">
        <f>'IWP30'!I$506</f>
        <v>0</v>
      </c>
      <c r="G8008" s="191" t="str">
        <f>IF('IWP30'!J$506=0,"",'IWP30'!J$506)</f>
        <v/>
      </c>
      <c r="H8008" s="211">
        <f>'IWP30'!K$506</f>
        <v>0</v>
      </c>
      <c r="I8008" s="211">
        <f>'IWP30'!L$506</f>
        <v>0</v>
      </c>
      <c r="J8008" s="212">
        <f>'IWP30'!M$506</f>
        <v>0</v>
      </c>
      <c r="K8008" s="106"/>
      <c r="L8008" s="106"/>
      <c r="M8008" s="129"/>
    </row>
    <row r="8009" spans="1:13" s="146" customFormat="1">
      <c r="A8009" s="193" t="s">
        <v>528</v>
      </c>
      <c r="B8009" s="210">
        <v>10</v>
      </c>
      <c r="C8009" s="191" t="str">
        <f>IF('IWP30'!E$507=0,"",'IWP30'!E$507)</f>
        <v/>
      </c>
      <c r="D8009" s="211">
        <f>'IWP30'!G$507</f>
        <v>0</v>
      </c>
      <c r="E8009" s="211">
        <f>'IWP30'!H$507</f>
        <v>0</v>
      </c>
      <c r="F8009" s="211">
        <f>'IWP30'!I$507</f>
        <v>0</v>
      </c>
      <c r="G8009" s="191" t="str">
        <f>IF('IWP30'!J$507=0,"",'IWP30'!J$507)</f>
        <v/>
      </c>
      <c r="H8009" s="211">
        <f>'IWP30'!K$507</f>
        <v>0</v>
      </c>
      <c r="I8009" s="211">
        <f>'IWP30'!L$507</f>
        <v>0</v>
      </c>
      <c r="J8009" s="212">
        <f>'IWP30'!M$507</f>
        <v>0</v>
      </c>
      <c r="K8009" s="106"/>
      <c r="L8009" s="106"/>
      <c r="M8009" s="129"/>
    </row>
    <row r="8010" spans="1:13" s="146" customFormat="1">
      <c r="A8010" s="193" t="s">
        <v>528</v>
      </c>
      <c r="B8010" s="210">
        <v>10</v>
      </c>
      <c r="C8010" s="191" t="str">
        <f>IF('IWP30'!E$508=0,"",'IWP30'!E$508)</f>
        <v/>
      </c>
      <c r="D8010" s="211">
        <f>'IWP30'!G$508</f>
        <v>0</v>
      </c>
      <c r="E8010" s="211">
        <f>'IWP30'!H$508</f>
        <v>0</v>
      </c>
      <c r="F8010" s="211">
        <f>'IWP30'!I$508</f>
        <v>0</v>
      </c>
      <c r="G8010" s="191" t="str">
        <f>IF('IWP30'!J$508=0,"",'IWP30'!J$508)</f>
        <v/>
      </c>
      <c r="H8010" s="211">
        <f>'IWP30'!K$508</f>
        <v>0</v>
      </c>
      <c r="I8010" s="211">
        <f>'IWP30'!L$508</f>
        <v>0</v>
      </c>
      <c r="J8010" s="212">
        <f>'IWP30'!M$508</f>
        <v>0</v>
      </c>
      <c r="K8010" s="106"/>
      <c r="L8010" s="106"/>
      <c r="M8010" s="129"/>
    </row>
    <row r="8011" spans="1:13" s="146" customFormat="1">
      <c r="A8011" s="193" t="s">
        <v>528</v>
      </c>
      <c r="B8011" s="210">
        <v>11</v>
      </c>
      <c r="C8011" s="191" t="str">
        <f>IF('IWP30'!E$515=0,"",'IWP30'!E$515)</f>
        <v>Subtotal column D.</v>
      </c>
      <c r="D8011" s="211">
        <f>'IWP30'!G$515</f>
        <v>0</v>
      </c>
      <c r="E8011" s="211">
        <f>'IWP30'!H$515</f>
        <v>0</v>
      </c>
      <c r="F8011" s="211">
        <f>'IWP30'!I$515</f>
        <v>0</v>
      </c>
      <c r="G8011" s="191" t="str">
        <f>IF('IWP30'!J$515=0,"",'IWP30'!J$515)</f>
        <v/>
      </c>
      <c r="H8011" s="211">
        <f>'IWP30'!K$515</f>
        <v>0</v>
      </c>
      <c r="I8011" s="211">
        <f>'IWP30'!L$515</f>
        <v>0</v>
      </c>
      <c r="J8011" s="212">
        <f>'IWP30'!M$515</f>
        <v>0</v>
      </c>
      <c r="K8011" s="106"/>
      <c r="L8011" s="106"/>
      <c r="M8011" s="129"/>
    </row>
    <row r="8012" spans="1:13" s="146" customFormat="1">
      <c r="A8012" s="193" t="s">
        <v>528</v>
      </c>
      <c r="B8012" s="210">
        <v>11</v>
      </c>
      <c r="C8012" s="191" t="str">
        <f>IF('IWP30'!E$516=0,"",'IWP30'!E$516)</f>
        <v>Unverified/Undocumented (Subtotal D - C)</v>
      </c>
      <c r="D8012" s="211">
        <f>'IWP30'!G$516</f>
        <v>0</v>
      </c>
      <c r="E8012" s="211">
        <f>'IWP30'!H$516</f>
        <v>0</v>
      </c>
      <c r="F8012" s="211">
        <f>'IWP30'!I$516</f>
        <v>0</v>
      </c>
      <c r="G8012" s="191" t="str">
        <f>IF('IWP30'!J$516=0,"",'IWP30'!J$516)</f>
        <v/>
      </c>
      <c r="H8012" s="211">
        <f>'IWP30'!K$516</f>
        <v>0</v>
      </c>
      <c r="I8012" s="211">
        <f>'IWP30'!L$516</f>
        <v>0</v>
      </c>
      <c r="J8012" s="212">
        <f>'IWP30'!M$516</f>
        <v>0</v>
      </c>
      <c r="K8012" s="106"/>
      <c r="L8012" s="106"/>
      <c r="M8012" s="129"/>
    </row>
    <row r="8013" spans="1:13" s="146" customFormat="1">
      <c r="A8013" s="193" t="s">
        <v>528</v>
      </c>
      <c r="B8013" s="210">
        <v>11</v>
      </c>
      <c r="C8013" s="191" t="str">
        <f>IF('IWP30'!E$517=0,"",'IWP30'!E$517)</f>
        <v>J. Billing Period Total</v>
      </c>
      <c r="D8013" s="211">
        <f>'IWP30'!G$517</f>
        <v>0</v>
      </c>
      <c r="E8013" s="211">
        <f>'IWP30'!H$517</f>
        <v>0</v>
      </c>
      <c r="F8013" s="211">
        <f>'IWP30'!I$517</f>
        <v>0</v>
      </c>
      <c r="G8013" s="191" t="str">
        <f>IF('IWP30'!J$517=0,"",'IWP30'!J$517)</f>
        <v/>
      </c>
      <c r="H8013" s="211">
        <f>'IWP30'!K$517</f>
        <v>0</v>
      </c>
      <c r="I8013" s="211">
        <f>'IWP30'!L$517</f>
        <v>0</v>
      </c>
      <c r="J8013" s="212">
        <f>'IWP30'!M$517</f>
        <v>0</v>
      </c>
      <c r="K8013" s="106"/>
      <c r="L8013" s="106"/>
      <c r="M8013" s="129"/>
    </row>
    <row r="8014" spans="1:13" s="146" customFormat="1">
      <c r="A8014" s="193" t="s">
        <v>528</v>
      </c>
      <c r="B8014" s="210">
        <v>11</v>
      </c>
      <c r="C8014" s="191" t="str">
        <f>IF('IWP30'!E$518=0,"",'IWP30'!E$518)</f>
        <v>D.</v>
      </c>
      <c r="D8014" s="211">
        <f>'IWP30'!G$518</f>
        <v>0</v>
      </c>
      <c r="E8014" s="211" t="str">
        <f>'IWP30'!H$518</f>
        <v>E.</v>
      </c>
      <c r="F8014" s="211" t="str">
        <f>'IWP30'!I$518</f>
        <v>F.</v>
      </c>
      <c r="G8014" s="191" t="str">
        <f>IF('IWP30'!J$518=0,"",'IWP30'!J$518)</f>
        <v>G.</v>
      </c>
      <c r="H8014" s="211">
        <f>'IWP30'!K$518</f>
        <v>0</v>
      </c>
      <c r="I8014" s="211" t="str">
        <f>'IWP30'!L$518</f>
        <v>H.</v>
      </c>
      <c r="J8014" s="212" t="str">
        <f>'IWP30'!M$518</f>
        <v>I.</v>
      </c>
      <c r="K8014" s="106"/>
      <c r="L8014" s="106"/>
      <c r="M8014" s="129"/>
    </row>
    <row r="8015" spans="1:13" s="146" customFormat="1">
      <c r="A8015" s="193" t="s">
        <v>528</v>
      </c>
      <c r="B8015" s="210">
        <v>11</v>
      </c>
      <c r="C8015" s="191" t="str">
        <f>IF('IWP30'!E$519=0,"",'IWP30'!E$519)</f>
        <v xml:space="preserve">Items/Services Related to Billing Period </v>
      </c>
      <c r="D8015" s="211">
        <f>'IWP30'!G$519</f>
        <v>0</v>
      </c>
      <c r="E8015" s="211" t="str">
        <f>'IWP30'!H$519</f>
        <v xml:space="preserve">Item/
Service Verified Amounts
</v>
      </c>
      <c r="F8015" s="211" t="str">
        <f>'IWP30'!I$519</f>
        <v>Amount Due to DADS (E. - D.)</v>
      </c>
      <c r="G8015" s="191" t="str">
        <f>IF('IWP30'!J$519=0,"",'IWP30'!J$519)</f>
        <v>Amount Reimbursed to 
Employee(s)/Employer</v>
      </c>
      <c r="H8015" s="211">
        <f>'IWP30'!K$519</f>
        <v>0</v>
      </c>
      <c r="I8015" s="211" t="str">
        <f>'IWP30'!L$519</f>
        <v>Amount Due to Employee(s) (G. - E.)</v>
      </c>
      <c r="J8015" s="212" t="str">
        <f>'IWP30'!M$519</f>
        <v>Amount Due to Employer (G. - E.)</v>
      </c>
      <c r="K8015" s="106"/>
      <c r="L8015" s="106"/>
      <c r="M8015" s="129"/>
    </row>
    <row r="8016" spans="1:13" s="146" customFormat="1">
      <c r="A8016" s="193" t="s">
        <v>528</v>
      </c>
      <c r="B8016" s="210">
        <v>11</v>
      </c>
      <c r="C8016" s="191" t="str">
        <f>IF('IWP30'!E$520=0,"",'IWP30'!E$520)</f>
        <v>Item/Service</v>
      </c>
      <c r="D8016" s="211" t="str">
        <f>'IWP30'!G$520</f>
        <v>Itemized Amount Paid by DADS</v>
      </c>
      <c r="E8016" s="211">
        <f>'IWP30'!H$520</f>
        <v>0</v>
      </c>
      <c r="F8016" s="211">
        <f>'IWP30'!I$520</f>
        <v>0</v>
      </c>
      <c r="G8016" s="191" t="str">
        <f>IF('IWP30'!J$520=0,"",'IWP30'!J$520)</f>
        <v/>
      </c>
      <c r="H8016" s="211">
        <f>'IWP30'!K$520</f>
        <v>0</v>
      </c>
      <c r="I8016" s="211">
        <f>'IWP30'!L$520</f>
        <v>0</v>
      </c>
      <c r="J8016" s="212">
        <f>'IWP30'!M$520</f>
        <v>0</v>
      </c>
      <c r="K8016" s="106"/>
      <c r="L8016" s="106"/>
      <c r="M8016" s="129"/>
    </row>
    <row r="8017" spans="1:13" s="146" customFormat="1">
      <c r="A8017" s="193" t="s">
        <v>528</v>
      </c>
      <c r="B8017" s="210">
        <v>11</v>
      </c>
      <c r="C8017" s="191" t="str">
        <f>IF('IWP30'!E$521=0,"",'IWP30'!E$521)</f>
        <v/>
      </c>
      <c r="D8017" s="211">
        <f>'IWP30'!G$521</f>
        <v>0</v>
      </c>
      <c r="E8017" s="211">
        <f>'IWP30'!H$521</f>
        <v>0</v>
      </c>
      <c r="F8017" s="211">
        <f>'IWP30'!I$521</f>
        <v>0</v>
      </c>
      <c r="G8017" s="191" t="str">
        <f>IF('IWP30'!J$521=0,"",'IWP30'!J$521)</f>
        <v/>
      </c>
      <c r="H8017" s="211">
        <f>'IWP30'!K$521</f>
        <v>0</v>
      </c>
      <c r="I8017" s="211">
        <f>'IWP30'!L$521</f>
        <v>0</v>
      </c>
      <c r="J8017" s="212">
        <f>'IWP30'!M$521</f>
        <v>0</v>
      </c>
      <c r="K8017" s="106"/>
      <c r="L8017" s="106"/>
      <c r="M8017" s="129"/>
    </row>
    <row r="8018" spans="1:13" s="146" customFormat="1">
      <c r="A8018" s="193" t="s">
        <v>528</v>
      </c>
      <c r="B8018" s="210">
        <v>11</v>
      </c>
      <c r="C8018" s="191" t="str">
        <f>IF('IWP30'!E$522=0,"",'IWP30'!E$522)</f>
        <v/>
      </c>
      <c r="D8018" s="211">
        <f>'IWP30'!G$522</f>
        <v>0</v>
      </c>
      <c r="E8018" s="211">
        <f>'IWP30'!H$522</f>
        <v>0</v>
      </c>
      <c r="F8018" s="211">
        <f>'IWP30'!I$522</f>
        <v>0</v>
      </c>
      <c r="G8018" s="191" t="str">
        <f>IF('IWP30'!J$522=0,"",'IWP30'!J$522)</f>
        <v/>
      </c>
      <c r="H8018" s="211">
        <f>'IWP30'!K$522</f>
        <v>0</v>
      </c>
      <c r="I8018" s="211">
        <f>'IWP30'!L$522</f>
        <v>0</v>
      </c>
      <c r="J8018" s="212">
        <f>'IWP30'!M$522</f>
        <v>0</v>
      </c>
      <c r="K8018" s="106"/>
      <c r="L8018" s="106"/>
      <c r="M8018" s="129"/>
    </row>
    <row r="8019" spans="1:13" s="146" customFormat="1">
      <c r="A8019" s="193" t="s">
        <v>528</v>
      </c>
      <c r="B8019" s="210">
        <v>11</v>
      </c>
      <c r="C8019" s="191" t="str">
        <f>IF('IWP30'!E$523=0,"",'IWP30'!E$523)</f>
        <v/>
      </c>
      <c r="D8019" s="211">
        <f>'IWP30'!G$523</f>
        <v>0</v>
      </c>
      <c r="E8019" s="211">
        <f>'IWP30'!H$523</f>
        <v>0</v>
      </c>
      <c r="F8019" s="211">
        <f>'IWP30'!I$523</f>
        <v>0</v>
      </c>
      <c r="G8019" s="191" t="str">
        <f>IF('IWP30'!J$523=0,"",'IWP30'!J$523)</f>
        <v/>
      </c>
      <c r="H8019" s="211">
        <f>'IWP30'!K$523</f>
        <v>0</v>
      </c>
      <c r="I8019" s="211">
        <f>'IWP30'!L$523</f>
        <v>0</v>
      </c>
      <c r="J8019" s="212">
        <f>'IWP30'!M$523</f>
        <v>0</v>
      </c>
      <c r="K8019" s="106"/>
      <c r="L8019" s="106"/>
      <c r="M8019" s="129"/>
    </row>
    <row r="8020" spans="1:13" s="146" customFormat="1">
      <c r="A8020" s="193" t="s">
        <v>528</v>
      </c>
      <c r="B8020" s="210">
        <v>11</v>
      </c>
      <c r="C8020" s="191" t="str">
        <f>IF('IWP30'!E$524=0,"",'IWP30'!E$524)</f>
        <v/>
      </c>
      <c r="D8020" s="211">
        <f>'IWP30'!G$524</f>
        <v>0</v>
      </c>
      <c r="E8020" s="211">
        <f>'IWP30'!H$524</f>
        <v>0</v>
      </c>
      <c r="F8020" s="211">
        <f>'IWP30'!I$524</f>
        <v>0</v>
      </c>
      <c r="G8020" s="191" t="str">
        <f>IF('IWP30'!J$524=0,"",'IWP30'!J$524)</f>
        <v/>
      </c>
      <c r="H8020" s="211">
        <f>'IWP30'!K$524</f>
        <v>0</v>
      </c>
      <c r="I8020" s="211">
        <f>'IWP30'!L$524</f>
        <v>0</v>
      </c>
      <c r="J8020" s="212">
        <f>'IWP30'!M$524</f>
        <v>0</v>
      </c>
      <c r="K8020" s="106"/>
      <c r="L8020" s="106"/>
      <c r="M8020" s="129"/>
    </row>
    <row r="8021" spans="1:13" s="146" customFormat="1">
      <c r="A8021" s="193" t="s">
        <v>528</v>
      </c>
      <c r="B8021" s="210">
        <v>12</v>
      </c>
      <c r="C8021" s="191" t="str">
        <f>IF('IWP30'!E$531=0,"",'IWP30'!E$531)</f>
        <v>Subtotal column D.</v>
      </c>
      <c r="D8021" s="211">
        <f>'IWP30'!G$531</f>
        <v>0</v>
      </c>
      <c r="E8021" s="211">
        <f>'IWP30'!H$531</f>
        <v>0</v>
      </c>
      <c r="F8021" s="211">
        <f>'IWP30'!I$531</f>
        <v>0</v>
      </c>
      <c r="G8021" s="191" t="str">
        <f>IF('IWP30'!J$531=0,"",'IWP30'!J$531)</f>
        <v/>
      </c>
      <c r="H8021" s="211">
        <f>'IWP30'!K$531</f>
        <v>0</v>
      </c>
      <c r="I8021" s="211">
        <f>'IWP30'!L$531</f>
        <v>0</v>
      </c>
      <c r="J8021" s="212">
        <f>'IWP30'!M$531</f>
        <v>0</v>
      </c>
      <c r="K8021" s="106"/>
      <c r="L8021" s="106"/>
      <c r="M8021" s="129"/>
    </row>
    <row r="8022" spans="1:13" s="146" customFormat="1">
      <c r="A8022" s="193" t="s">
        <v>528</v>
      </c>
      <c r="B8022" s="210">
        <v>12</v>
      </c>
      <c r="C8022" s="191" t="str">
        <f>IF('IWP30'!E$532=0,"",'IWP30'!E$532)</f>
        <v>Unverified/Undocumented (Subtotal D - C)</v>
      </c>
      <c r="D8022" s="211">
        <f>'IWP30'!G$532</f>
        <v>0</v>
      </c>
      <c r="E8022" s="211">
        <f>'IWP30'!H$532</f>
        <v>0</v>
      </c>
      <c r="F8022" s="211">
        <f>'IWP30'!I$532</f>
        <v>0</v>
      </c>
      <c r="G8022" s="191" t="str">
        <f>IF('IWP30'!J$532=0,"",'IWP30'!J$532)</f>
        <v/>
      </c>
      <c r="H8022" s="211">
        <f>'IWP30'!K$532</f>
        <v>0</v>
      </c>
      <c r="I8022" s="211">
        <f>'IWP30'!L$532</f>
        <v>0</v>
      </c>
      <c r="J8022" s="212">
        <f>'IWP30'!M$532</f>
        <v>0</v>
      </c>
      <c r="K8022" s="106"/>
      <c r="L8022" s="106"/>
      <c r="M8022" s="129"/>
    </row>
    <row r="8023" spans="1:13" s="146" customFormat="1">
      <c r="A8023" s="193" t="s">
        <v>528</v>
      </c>
      <c r="B8023" s="210">
        <v>12</v>
      </c>
      <c r="C8023" s="191" t="str">
        <f>IF('IWP30'!E$533=0,"",'IWP30'!E$533)</f>
        <v>J. Billing Period Total</v>
      </c>
      <c r="D8023" s="211">
        <f>'IWP30'!G$533</f>
        <v>0</v>
      </c>
      <c r="E8023" s="211">
        <f>'IWP30'!H$533</f>
        <v>0</v>
      </c>
      <c r="F8023" s="211">
        <f>'IWP30'!I$533</f>
        <v>0</v>
      </c>
      <c r="G8023" s="191" t="str">
        <f>IF('IWP30'!J$533=0,"",'IWP30'!J$533)</f>
        <v/>
      </c>
      <c r="H8023" s="211">
        <f>'IWP30'!K$533</f>
        <v>0</v>
      </c>
      <c r="I8023" s="211">
        <f>'IWP30'!L$533</f>
        <v>0</v>
      </c>
      <c r="J8023" s="212">
        <f>'IWP30'!M$533</f>
        <v>0</v>
      </c>
      <c r="K8023" s="106"/>
      <c r="L8023" s="106"/>
      <c r="M8023" s="129"/>
    </row>
    <row r="8024" spans="1:13" s="146" customFormat="1">
      <c r="A8024" s="193" t="s">
        <v>528</v>
      </c>
      <c r="B8024" s="210">
        <v>12</v>
      </c>
      <c r="C8024" s="191" t="str">
        <f>IF('IWP30'!E$534=0,"",'IWP30'!E$534)</f>
        <v>D.</v>
      </c>
      <c r="D8024" s="211">
        <f>'IWP30'!G$534</f>
        <v>0</v>
      </c>
      <c r="E8024" s="211" t="str">
        <f>'IWP30'!H$534</f>
        <v>E.</v>
      </c>
      <c r="F8024" s="211" t="str">
        <f>'IWP30'!I$534</f>
        <v>F.</v>
      </c>
      <c r="G8024" s="191" t="str">
        <f>IF('IWP30'!J$534=0,"",'IWP30'!J$534)</f>
        <v>G.</v>
      </c>
      <c r="H8024" s="211">
        <f>'IWP30'!K$534</f>
        <v>0</v>
      </c>
      <c r="I8024" s="211" t="str">
        <f>'IWP30'!L$534</f>
        <v>H.</v>
      </c>
      <c r="J8024" s="212" t="str">
        <f>'IWP30'!M$534</f>
        <v>I.</v>
      </c>
      <c r="K8024" s="106"/>
      <c r="L8024" s="106"/>
      <c r="M8024" s="129"/>
    </row>
    <row r="8025" spans="1:13" s="146" customFormat="1">
      <c r="A8025" s="193" t="s">
        <v>528</v>
      </c>
      <c r="B8025" s="210">
        <v>12</v>
      </c>
      <c r="C8025" s="191" t="str">
        <f>IF('IWP30'!E$535=0,"",'IWP30'!E$535)</f>
        <v xml:space="preserve">Items/Services Related to Billing Period </v>
      </c>
      <c r="D8025" s="211">
        <f>'IWP30'!G$535</f>
        <v>0</v>
      </c>
      <c r="E8025" s="211" t="str">
        <f>'IWP30'!H$535</f>
        <v xml:space="preserve">Item/
Service Verified Amounts
</v>
      </c>
      <c r="F8025" s="211" t="str">
        <f>'IWP30'!I$535</f>
        <v>Amount Due to DADS (E. - D.)</v>
      </c>
      <c r="G8025" s="191" t="str">
        <f>IF('IWP30'!J$535=0,"",'IWP30'!J$535)</f>
        <v>Amount Reimbursed to 
Employee(s)/Employer</v>
      </c>
      <c r="H8025" s="211">
        <f>'IWP30'!K$535</f>
        <v>0</v>
      </c>
      <c r="I8025" s="211" t="str">
        <f>'IWP30'!L$535</f>
        <v>Amount Due to Employee(s) (G. - E.)</v>
      </c>
      <c r="J8025" s="212" t="str">
        <f>'IWP30'!M$535</f>
        <v>Amount Due to Employer (G. - E.)</v>
      </c>
      <c r="K8025" s="106"/>
      <c r="L8025" s="106"/>
      <c r="M8025" s="129"/>
    </row>
    <row r="8026" spans="1:13" s="146" customFormat="1">
      <c r="A8026" s="193" t="s">
        <v>528</v>
      </c>
      <c r="B8026" s="210">
        <v>12</v>
      </c>
      <c r="C8026" s="191" t="str">
        <f>IF('IWP30'!E$536=0,"",'IWP30'!E$536)</f>
        <v>Item/Service</v>
      </c>
      <c r="D8026" s="211" t="str">
        <f>'IWP30'!G$536</f>
        <v>Itemized Amount Paid by DADS</v>
      </c>
      <c r="E8026" s="211">
        <f>'IWP30'!H$536</f>
        <v>0</v>
      </c>
      <c r="F8026" s="211">
        <f>'IWP30'!I$536</f>
        <v>0</v>
      </c>
      <c r="G8026" s="191" t="str">
        <f>IF('IWP30'!J$536=0,"",'IWP30'!J$536)</f>
        <v/>
      </c>
      <c r="H8026" s="211">
        <f>'IWP30'!K$536</f>
        <v>0</v>
      </c>
      <c r="I8026" s="211">
        <f>'IWP30'!L$536</f>
        <v>0</v>
      </c>
      <c r="J8026" s="212">
        <f>'IWP30'!M$536</f>
        <v>0</v>
      </c>
      <c r="K8026" s="106"/>
      <c r="L8026" s="106"/>
      <c r="M8026" s="129"/>
    </row>
    <row r="8027" spans="1:13" s="146" customFormat="1">
      <c r="A8027" s="193" t="s">
        <v>528</v>
      </c>
      <c r="B8027" s="210">
        <v>12</v>
      </c>
      <c r="C8027" s="191" t="str">
        <f>IF('IWP30'!E$537=0,"",'IWP30'!E$537)</f>
        <v/>
      </c>
      <c r="D8027" s="211">
        <f>'IWP30'!G$537</f>
        <v>0</v>
      </c>
      <c r="E8027" s="211">
        <f>'IWP30'!H$537</f>
        <v>0</v>
      </c>
      <c r="F8027" s="211">
        <f>'IWP30'!I$537</f>
        <v>0</v>
      </c>
      <c r="G8027" s="191" t="str">
        <f>IF('IWP30'!J$537=0,"",'IWP30'!J$537)</f>
        <v/>
      </c>
      <c r="H8027" s="211">
        <f>'IWP30'!K$537</f>
        <v>0</v>
      </c>
      <c r="I8027" s="211">
        <f>'IWP30'!L$537</f>
        <v>0</v>
      </c>
      <c r="J8027" s="212">
        <f>'IWP30'!M$537</f>
        <v>0</v>
      </c>
      <c r="K8027" s="106"/>
      <c r="L8027" s="106"/>
      <c r="M8027" s="129"/>
    </row>
    <row r="8028" spans="1:13" s="146" customFormat="1">
      <c r="A8028" s="193" t="s">
        <v>528</v>
      </c>
      <c r="B8028" s="210">
        <v>12</v>
      </c>
      <c r="C8028" s="191" t="str">
        <f>IF('IWP30'!E$538=0,"",'IWP30'!E$538)</f>
        <v/>
      </c>
      <c r="D8028" s="211">
        <f>'IWP30'!G$538</f>
        <v>0</v>
      </c>
      <c r="E8028" s="211">
        <f>'IWP30'!H$538</f>
        <v>0</v>
      </c>
      <c r="F8028" s="211">
        <f>'IWP30'!I$538</f>
        <v>0</v>
      </c>
      <c r="G8028" s="191" t="str">
        <f>IF('IWP30'!J$538=0,"",'IWP30'!J$538)</f>
        <v/>
      </c>
      <c r="H8028" s="211">
        <f>'IWP30'!K$538</f>
        <v>0</v>
      </c>
      <c r="I8028" s="211">
        <f>'IWP30'!L$538</f>
        <v>0</v>
      </c>
      <c r="J8028" s="212">
        <f>'IWP30'!M$538</f>
        <v>0</v>
      </c>
      <c r="K8028" s="106"/>
      <c r="L8028" s="106"/>
      <c r="M8028" s="129"/>
    </row>
    <row r="8029" spans="1:13" s="146" customFormat="1">
      <c r="A8029" s="193" t="s">
        <v>528</v>
      </c>
      <c r="B8029" s="210">
        <v>12</v>
      </c>
      <c r="C8029" s="191" t="str">
        <f>IF('IWP30'!E$539=0,"",'IWP30'!E$539)</f>
        <v/>
      </c>
      <c r="D8029" s="211">
        <f>'IWP30'!G$539</f>
        <v>0</v>
      </c>
      <c r="E8029" s="211">
        <f>'IWP30'!H$539</f>
        <v>0</v>
      </c>
      <c r="F8029" s="211">
        <f>'IWP30'!I$539</f>
        <v>0</v>
      </c>
      <c r="G8029" s="191" t="str">
        <f>IF('IWP30'!J$539=0,"",'IWP30'!J$539)</f>
        <v/>
      </c>
      <c r="H8029" s="211">
        <f>'IWP30'!K$539</f>
        <v>0</v>
      </c>
      <c r="I8029" s="211">
        <f>'IWP30'!L$539</f>
        <v>0</v>
      </c>
      <c r="J8029" s="212">
        <f>'IWP30'!M$539</f>
        <v>0</v>
      </c>
      <c r="K8029" s="106"/>
      <c r="L8029" s="106"/>
      <c r="M8029" s="129"/>
    </row>
    <row r="8030" spans="1:13" s="146" customFormat="1">
      <c r="A8030" s="193" t="s">
        <v>528</v>
      </c>
      <c r="B8030" s="210">
        <v>12</v>
      </c>
      <c r="C8030" s="191" t="str">
        <f>IF('IWP30'!E$540=0,"",'IWP30'!E$540)</f>
        <v/>
      </c>
      <c r="D8030" s="211">
        <f>'IWP30'!G$540</f>
        <v>0</v>
      </c>
      <c r="E8030" s="211">
        <f>'IWP30'!H$540</f>
        <v>0</v>
      </c>
      <c r="F8030" s="211">
        <f>'IWP30'!I$540</f>
        <v>0</v>
      </c>
      <c r="G8030" s="191" t="str">
        <f>IF('IWP30'!J$540=0,"",'IWP30'!J$540)</f>
        <v/>
      </c>
      <c r="H8030" s="211">
        <f>'IWP30'!K$540</f>
        <v>0</v>
      </c>
      <c r="I8030" s="211">
        <f>'IWP30'!L$540</f>
        <v>0</v>
      </c>
      <c r="J8030" s="212">
        <f>'IWP30'!M$540</f>
        <v>0</v>
      </c>
      <c r="K8030" s="106"/>
      <c r="L8030" s="106"/>
      <c r="M8030" s="129"/>
    </row>
    <row r="8031" spans="1:13" s="146" customFormat="1">
      <c r="A8031" s="193" t="s">
        <v>528</v>
      </c>
      <c r="B8031" s="210">
        <v>13</v>
      </c>
      <c r="C8031" s="191" t="str">
        <f>IF('IWP30'!E$547=0,"",'IWP30'!E$547)</f>
        <v>Subtotal column D.</v>
      </c>
      <c r="D8031" s="211">
        <f>'IWP30'!G$547</f>
        <v>0</v>
      </c>
      <c r="E8031" s="211">
        <f>'IWP30'!H$547</f>
        <v>0</v>
      </c>
      <c r="F8031" s="211">
        <f>'IWP30'!I$547</f>
        <v>0</v>
      </c>
      <c r="G8031" s="191" t="str">
        <f>IF('IWP30'!J$547=0,"",'IWP30'!J$547)</f>
        <v/>
      </c>
      <c r="H8031" s="211">
        <f>'IWP30'!K$547</f>
        <v>0</v>
      </c>
      <c r="I8031" s="211">
        <f>'IWP30'!L$547</f>
        <v>0</v>
      </c>
      <c r="J8031" s="212">
        <f>'IWP30'!M$547</f>
        <v>0</v>
      </c>
      <c r="K8031" s="106"/>
      <c r="L8031" s="106"/>
      <c r="M8031" s="129"/>
    </row>
    <row r="8032" spans="1:13" s="146" customFormat="1">
      <c r="A8032" s="193" t="s">
        <v>528</v>
      </c>
      <c r="B8032" s="210">
        <v>13</v>
      </c>
      <c r="C8032" s="191" t="str">
        <f>IF('IWP30'!E$548=0,"",'IWP30'!E$548)</f>
        <v>Unverified/Undocumented (Subtotal D - C)</v>
      </c>
      <c r="D8032" s="211">
        <f>'IWP30'!G$548</f>
        <v>0</v>
      </c>
      <c r="E8032" s="211">
        <f>'IWP30'!H$548</f>
        <v>0</v>
      </c>
      <c r="F8032" s="211">
        <f>'IWP30'!I$548</f>
        <v>0</v>
      </c>
      <c r="G8032" s="191" t="str">
        <f>IF('IWP30'!J$548=0,"",'IWP30'!J$548)</f>
        <v/>
      </c>
      <c r="H8032" s="211">
        <f>'IWP30'!K$548</f>
        <v>0</v>
      </c>
      <c r="I8032" s="211">
        <f>'IWP30'!L$548</f>
        <v>0</v>
      </c>
      <c r="J8032" s="212">
        <f>'IWP30'!M$548</f>
        <v>0</v>
      </c>
      <c r="K8032" s="106"/>
      <c r="L8032" s="106"/>
      <c r="M8032" s="129"/>
    </row>
    <row r="8033" spans="1:13" s="146" customFormat="1">
      <c r="A8033" s="193" t="s">
        <v>528</v>
      </c>
      <c r="B8033" s="210">
        <v>13</v>
      </c>
      <c r="C8033" s="191" t="str">
        <f>IF('IWP30'!E$549=0,"",'IWP30'!E$549)</f>
        <v>J. Billing Period Total</v>
      </c>
      <c r="D8033" s="211">
        <f>'IWP30'!G$549</f>
        <v>0</v>
      </c>
      <c r="E8033" s="211">
        <f>'IWP30'!H$549</f>
        <v>0</v>
      </c>
      <c r="F8033" s="211">
        <f>'IWP30'!I$549</f>
        <v>0</v>
      </c>
      <c r="G8033" s="191" t="str">
        <f>IF('IWP30'!J$549=0,"",'IWP30'!J$549)</f>
        <v/>
      </c>
      <c r="H8033" s="211">
        <f>'IWP30'!K$549</f>
        <v>0</v>
      </c>
      <c r="I8033" s="211">
        <f>'IWP30'!L$549</f>
        <v>0</v>
      </c>
      <c r="J8033" s="212">
        <f>'IWP30'!M$549</f>
        <v>0</v>
      </c>
      <c r="K8033" s="106"/>
      <c r="L8033" s="106"/>
      <c r="M8033" s="129"/>
    </row>
    <row r="8034" spans="1:13" s="146" customFormat="1">
      <c r="A8034" s="193" t="s">
        <v>528</v>
      </c>
      <c r="B8034" s="210">
        <v>13</v>
      </c>
      <c r="C8034" s="191" t="str">
        <f>IF('IWP30'!E$550=0,"",'IWP30'!E$550)</f>
        <v>D.</v>
      </c>
      <c r="D8034" s="211">
        <f>'IWP30'!G$550</f>
        <v>0</v>
      </c>
      <c r="E8034" s="211" t="str">
        <f>'IWP30'!H$550</f>
        <v>E.</v>
      </c>
      <c r="F8034" s="211" t="str">
        <f>'IWP30'!I$550</f>
        <v>F.</v>
      </c>
      <c r="G8034" s="191" t="str">
        <f>IF('IWP30'!J$550=0,"",'IWP30'!J$550)</f>
        <v>G.</v>
      </c>
      <c r="H8034" s="211">
        <f>'IWP30'!K$550</f>
        <v>0</v>
      </c>
      <c r="I8034" s="211" t="str">
        <f>'IWP30'!L$550</f>
        <v>H.</v>
      </c>
      <c r="J8034" s="212" t="str">
        <f>'IWP30'!M$550</f>
        <v>I.</v>
      </c>
      <c r="K8034" s="106"/>
      <c r="L8034" s="106"/>
      <c r="M8034" s="129"/>
    </row>
    <row r="8035" spans="1:13" s="146" customFormat="1">
      <c r="A8035" s="193" t="s">
        <v>528</v>
      </c>
      <c r="B8035" s="210">
        <v>13</v>
      </c>
      <c r="C8035" s="191" t="str">
        <f>IF('IWP30'!E$551=0,"",'IWP30'!E$551)</f>
        <v xml:space="preserve">Items/Services Related to Billing Period </v>
      </c>
      <c r="D8035" s="211">
        <f>'IWP30'!G$551</f>
        <v>0</v>
      </c>
      <c r="E8035" s="211" t="str">
        <f>'IWP30'!H$551</f>
        <v xml:space="preserve">Item/
Service Verified Amounts
</v>
      </c>
      <c r="F8035" s="211" t="str">
        <f>'IWP30'!I$551</f>
        <v>Amount Due to DADS (E. - D.)</v>
      </c>
      <c r="G8035" s="191" t="str">
        <f>IF('IWP30'!J$551=0,"",'IWP30'!J$551)</f>
        <v>Amount Reimbursed to 
Employee(s)/Employer</v>
      </c>
      <c r="H8035" s="211">
        <f>'IWP30'!K$551</f>
        <v>0</v>
      </c>
      <c r="I8035" s="211" t="str">
        <f>'IWP30'!L$551</f>
        <v>Amount Due to Employee(s) (G. - E.)</v>
      </c>
      <c r="J8035" s="212" t="str">
        <f>'IWP30'!M$551</f>
        <v>Amount Due to Employer (G. - E.)</v>
      </c>
      <c r="K8035" s="106"/>
      <c r="L8035" s="106"/>
      <c r="M8035" s="129"/>
    </row>
    <row r="8036" spans="1:13" s="146" customFormat="1">
      <c r="A8036" s="193" t="s">
        <v>528</v>
      </c>
      <c r="B8036" s="210">
        <v>13</v>
      </c>
      <c r="C8036" s="191" t="str">
        <f>IF('IWP30'!E$552=0,"",'IWP30'!E$552)</f>
        <v>Item/Service</v>
      </c>
      <c r="D8036" s="211" t="str">
        <f>'IWP30'!G$552</f>
        <v>Itemized Amount Paid by DADS</v>
      </c>
      <c r="E8036" s="211">
        <f>'IWP30'!H$552</f>
        <v>0</v>
      </c>
      <c r="F8036" s="211">
        <f>'IWP30'!I$552</f>
        <v>0</v>
      </c>
      <c r="G8036" s="191" t="str">
        <f>IF('IWP30'!J$552=0,"",'IWP30'!J$552)</f>
        <v/>
      </c>
      <c r="H8036" s="211">
        <f>'IWP30'!K$552</f>
        <v>0</v>
      </c>
      <c r="I8036" s="211">
        <f>'IWP30'!L$552</f>
        <v>0</v>
      </c>
      <c r="J8036" s="212">
        <f>'IWP30'!M$552</f>
        <v>0</v>
      </c>
      <c r="K8036" s="106"/>
      <c r="L8036" s="106"/>
      <c r="M8036" s="129"/>
    </row>
    <row r="8037" spans="1:13" s="146" customFormat="1">
      <c r="A8037" s="193" t="s">
        <v>528</v>
      </c>
      <c r="B8037" s="210">
        <v>13</v>
      </c>
      <c r="C8037" s="191" t="str">
        <f>IF('IWP30'!E$553=0,"",'IWP30'!E$553)</f>
        <v/>
      </c>
      <c r="D8037" s="211">
        <f>'IWP30'!G$553</f>
        <v>0</v>
      </c>
      <c r="E8037" s="211">
        <f>'IWP30'!H$553</f>
        <v>0</v>
      </c>
      <c r="F8037" s="211">
        <f>'IWP30'!I$553</f>
        <v>0</v>
      </c>
      <c r="G8037" s="191" t="str">
        <f>IF('IWP30'!J$553=0,"",'IWP30'!J$553)</f>
        <v/>
      </c>
      <c r="H8037" s="211">
        <f>'IWP30'!K$553</f>
        <v>0</v>
      </c>
      <c r="I8037" s="211">
        <f>'IWP30'!L$553</f>
        <v>0</v>
      </c>
      <c r="J8037" s="212">
        <f>'IWP30'!M$553</f>
        <v>0</v>
      </c>
      <c r="K8037" s="106"/>
      <c r="L8037" s="106"/>
      <c r="M8037" s="129"/>
    </row>
    <row r="8038" spans="1:13" s="146" customFormat="1">
      <c r="A8038" s="193" t="s">
        <v>528</v>
      </c>
      <c r="B8038" s="210">
        <v>13</v>
      </c>
      <c r="C8038" s="191" t="str">
        <f>IF('IWP30'!E$554=0,"",'IWP30'!E$554)</f>
        <v/>
      </c>
      <c r="D8038" s="211">
        <f>'IWP30'!G$554</f>
        <v>0</v>
      </c>
      <c r="E8038" s="211">
        <f>'IWP30'!H$554</f>
        <v>0</v>
      </c>
      <c r="F8038" s="211">
        <f>'IWP30'!I$554</f>
        <v>0</v>
      </c>
      <c r="G8038" s="191" t="str">
        <f>IF('IWP30'!J$554=0,"",'IWP30'!J$554)</f>
        <v/>
      </c>
      <c r="H8038" s="211">
        <f>'IWP30'!K$554</f>
        <v>0</v>
      </c>
      <c r="I8038" s="211">
        <f>'IWP30'!L$554</f>
        <v>0</v>
      </c>
      <c r="J8038" s="212">
        <f>'IWP30'!M$554</f>
        <v>0</v>
      </c>
      <c r="K8038" s="106"/>
      <c r="L8038" s="106"/>
      <c r="M8038" s="129"/>
    </row>
    <row r="8039" spans="1:13" s="146" customFormat="1">
      <c r="A8039" s="193" t="s">
        <v>528</v>
      </c>
      <c r="B8039" s="210">
        <v>13</v>
      </c>
      <c r="C8039" s="191" t="str">
        <f>IF('IWP30'!E$555=0,"",'IWP30'!E$555)</f>
        <v/>
      </c>
      <c r="D8039" s="211">
        <f>'IWP30'!G$555</f>
        <v>0</v>
      </c>
      <c r="E8039" s="211">
        <f>'IWP30'!H$555</f>
        <v>0</v>
      </c>
      <c r="F8039" s="211">
        <f>'IWP30'!I$555</f>
        <v>0</v>
      </c>
      <c r="G8039" s="191" t="str">
        <f>IF('IWP30'!J$555=0,"",'IWP30'!J$555)</f>
        <v/>
      </c>
      <c r="H8039" s="211">
        <f>'IWP30'!K$555</f>
        <v>0</v>
      </c>
      <c r="I8039" s="211">
        <f>'IWP30'!L$555</f>
        <v>0</v>
      </c>
      <c r="J8039" s="212">
        <f>'IWP30'!M$555</f>
        <v>0</v>
      </c>
      <c r="K8039" s="106"/>
      <c r="L8039" s="106"/>
      <c r="M8039" s="129"/>
    </row>
    <row r="8040" spans="1:13" s="146" customFormat="1">
      <c r="A8040" s="193" t="s">
        <v>528</v>
      </c>
      <c r="B8040" s="210">
        <v>13</v>
      </c>
      <c r="C8040" s="191" t="str">
        <f>IF('IWP30'!E$556=0,"",'IWP30'!E$556)</f>
        <v/>
      </c>
      <c r="D8040" s="211">
        <f>'IWP30'!G$556</f>
        <v>0</v>
      </c>
      <c r="E8040" s="211">
        <f>'IWP30'!H$556</f>
        <v>0</v>
      </c>
      <c r="F8040" s="211">
        <f>'IWP30'!I$556</f>
        <v>0</v>
      </c>
      <c r="G8040" s="191" t="str">
        <f>IF('IWP30'!J$556=0,"",'IWP30'!J$556)</f>
        <v/>
      </c>
      <c r="H8040" s="211">
        <f>'IWP30'!K$556</f>
        <v>0</v>
      </c>
      <c r="I8040" s="211">
        <f>'IWP30'!L$556</f>
        <v>0</v>
      </c>
      <c r="J8040" s="212">
        <f>'IWP30'!M$556</f>
        <v>0</v>
      </c>
      <c r="K8040" s="106"/>
      <c r="L8040" s="106"/>
      <c r="M8040" s="129"/>
    </row>
    <row r="8041" spans="1:13" s="146" customFormat="1">
      <c r="A8041" s="193" t="s">
        <v>528</v>
      </c>
      <c r="B8041" s="210">
        <v>14</v>
      </c>
      <c r="C8041" s="191" t="str">
        <f>IF('IWP30'!E$563=0,"",'IWP30'!E$563)</f>
        <v>Subtotal column D.</v>
      </c>
      <c r="D8041" s="211">
        <f>'IWP30'!G$563</f>
        <v>0</v>
      </c>
      <c r="E8041" s="211">
        <f>'IWP30'!H$563</f>
        <v>0</v>
      </c>
      <c r="F8041" s="211">
        <f>'IWP30'!I$563</f>
        <v>0</v>
      </c>
      <c r="G8041" s="191" t="str">
        <f>IF('IWP30'!J$563=0,"",'IWP30'!J$563)</f>
        <v/>
      </c>
      <c r="H8041" s="211">
        <f>'IWP30'!K$563</f>
        <v>0</v>
      </c>
      <c r="I8041" s="211">
        <f>'IWP30'!L$563</f>
        <v>0</v>
      </c>
      <c r="J8041" s="212">
        <f>'IWP30'!M$563</f>
        <v>0</v>
      </c>
      <c r="K8041" s="106"/>
      <c r="L8041" s="106"/>
      <c r="M8041" s="129"/>
    </row>
    <row r="8042" spans="1:13" s="146" customFormat="1">
      <c r="A8042" s="193" t="s">
        <v>528</v>
      </c>
      <c r="B8042" s="210">
        <v>14</v>
      </c>
      <c r="C8042" s="191" t="str">
        <f>IF('IWP30'!E$564=0,"",'IWP30'!E$564)</f>
        <v>Unverified/Undocumented (Subtotal D - C)</v>
      </c>
      <c r="D8042" s="211">
        <f>'IWP30'!G$564</f>
        <v>0</v>
      </c>
      <c r="E8042" s="211">
        <f>'IWP30'!H$564</f>
        <v>0</v>
      </c>
      <c r="F8042" s="211">
        <f>'IWP30'!I$564</f>
        <v>0</v>
      </c>
      <c r="G8042" s="191" t="str">
        <f>IF('IWP30'!J$564=0,"",'IWP30'!J$564)</f>
        <v/>
      </c>
      <c r="H8042" s="211">
        <f>'IWP30'!K$564</f>
        <v>0</v>
      </c>
      <c r="I8042" s="211">
        <f>'IWP30'!L$564</f>
        <v>0</v>
      </c>
      <c r="J8042" s="212">
        <f>'IWP30'!M$564</f>
        <v>0</v>
      </c>
      <c r="K8042" s="106"/>
      <c r="L8042" s="106"/>
      <c r="M8042" s="129"/>
    </row>
    <row r="8043" spans="1:13" s="146" customFormat="1">
      <c r="A8043" s="193" t="s">
        <v>528</v>
      </c>
      <c r="B8043" s="210">
        <v>14</v>
      </c>
      <c r="C8043" s="191" t="str">
        <f>IF('IWP30'!E$565=0,"",'IWP30'!E$565)</f>
        <v>J. Billing Period Total</v>
      </c>
      <c r="D8043" s="211">
        <f>'IWP30'!G$565</f>
        <v>0</v>
      </c>
      <c r="E8043" s="211">
        <f>'IWP30'!H$565</f>
        <v>0</v>
      </c>
      <c r="F8043" s="211">
        <f>'IWP30'!I$565</f>
        <v>0</v>
      </c>
      <c r="G8043" s="191" t="str">
        <f>IF('IWP30'!J$565=0,"",'IWP30'!J$565)</f>
        <v/>
      </c>
      <c r="H8043" s="211">
        <f>'IWP30'!K$565</f>
        <v>0</v>
      </c>
      <c r="I8043" s="211">
        <f>'IWP30'!L$565</f>
        <v>0</v>
      </c>
      <c r="J8043" s="212">
        <f>'IWP30'!M$565</f>
        <v>0</v>
      </c>
      <c r="K8043" s="106"/>
      <c r="L8043" s="106"/>
      <c r="M8043" s="129"/>
    </row>
    <row r="8044" spans="1:13" s="146" customFormat="1">
      <c r="A8044" s="193" t="s">
        <v>528</v>
      </c>
      <c r="B8044" s="210">
        <v>14</v>
      </c>
      <c r="C8044" s="191" t="str">
        <f>IF('IWP30'!E$566=0,"",'IWP30'!E$566)</f>
        <v>D.</v>
      </c>
      <c r="D8044" s="211">
        <f>'IWP30'!G$566</f>
        <v>0</v>
      </c>
      <c r="E8044" s="211" t="str">
        <f>'IWP30'!H$566</f>
        <v>E.</v>
      </c>
      <c r="F8044" s="211" t="str">
        <f>'IWP30'!I$566</f>
        <v>F.</v>
      </c>
      <c r="G8044" s="191" t="str">
        <f>IF('IWP30'!J$566=0,"",'IWP30'!J$566)</f>
        <v>G.</v>
      </c>
      <c r="H8044" s="211">
        <f>'IWP30'!K$566</f>
        <v>0</v>
      </c>
      <c r="I8044" s="211" t="str">
        <f>'IWP30'!L$566</f>
        <v>H.</v>
      </c>
      <c r="J8044" s="212" t="str">
        <f>'IWP30'!M$566</f>
        <v>I.</v>
      </c>
      <c r="K8044" s="106"/>
      <c r="L8044" s="106"/>
      <c r="M8044" s="129"/>
    </row>
    <row r="8045" spans="1:13" s="146" customFormat="1">
      <c r="A8045" s="193" t="s">
        <v>528</v>
      </c>
      <c r="B8045" s="210">
        <v>14</v>
      </c>
      <c r="C8045" s="191" t="str">
        <f>IF('IWP30'!E$567=0,"",'IWP30'!E$567)</f>
        <v xml:space="preserve">Items/Services Related to Billing Period </v>
      </c>
      <c r="D8045" s="211">
        <f>'IWP30'!G$567</f>
        <v>0</v>
      </c>
      <c r="E8045" s="211" t="str">
        <f>'IWP30'!H$567</f>
        <v xml:space="preserve">Item/
Service Verified Amounts
</v>
      </c>
      <c r="F8045" s="211" t="str">
        <f>'IWP30'!I$567</f>
        <v>Amount Due to DADS (E. - D.)</v>
      </c>
      <c r="G8045" s="191" t="str">
        <f>IF('IWP30'!J$567=0,"",'IWP30'!J$567)</f>
        <v>Amount Reimbursed to 
Employee(s)/Employer</v>
      </c>
      <c r="H8045" s="211">
        <f>'IWP30'!K$567</f>
        <v>0</v>
      </c>
      <c r="I8045" s="211" t="str">
        <f>'IWP30'!L$567</f>
        <v>Amount Due to Employee(s) (G. - E.)</v>
      </c>
      <c r="J8045" s="212" t="str">
        <f>'IWP30'!M$567</f>
        <v>Amount Due to Employer (G. - E.)</v>
      </c>
      <c r="K8045" s="106"/>
      <c r="L8045" s="106"/>
      <c r="M8045" s="129"/>
    </row>
    <row r="8046" spans="1:13" s="146" customFormat="1">
      <c r="A8046" s="193" t="s">
        <v>528</v>
      </c>
      <c r="B8046" s="210">
        <v>14</v>
      </c>
      <c r="C8046" s="191" t="str">
        <f>IF('IWP30'!E$568=0,"",'IWP30'!E$568)</f>
        <v>Item/Service</v>
      </c>
      <c r="D8046" s="211" t="str">
        <f>'IWP30'!G$568</f>
        <v>Itemized Amount Paid by DADS</v>
      </c>
      <c r="E8046" s="211">
        <f>'IWP30'!H$568</f>
        <v>0</v>
      </c>
      <c r="F8046" s="211">
        <f>'IWP30'!I$568</f>
        <v>0</v>
      </c>
      <c r="G8046" s="191" t="str">
        <f>IF('IWP30'!J$568=0,"",'IWP30'!J$568)</f>
        <v/>
      </c>
      <c r="H8046" s="211">
        <f>'IWP30'!K$568</f>
        <v>0</v>
      </c>
      <c r="I8046" s="211">
        <f>'IWP30'!L$568</f>
        <v>0</v>
      </c>
      <c r="J8046" s="212">
        <f>'IWP30'!M$568</f>
        <v>0</v>
      </c>
      <c r="K8046" s="106"/>
      <c r="L8046" s="106"/>
      <c r="M8046" s="129"/>
    </row>
    <row r="8047" spans="1:13" s="146" customFormat="1">
      <c r="A8047" s="193" t="s">
        <v>528</v>
      </c>
      <c r="B8047" s="210">
        <v>14</v>
      </c>
      <c r="C8047" s="191" t="str">
        <f>IF('IWP30'!E$569=0,"",'IWP30'!E$569)</f>
        <v/>
      </c>
      <c r="D8047" s="211">
        <f>'IWP30'!G$569</f>
        <v>0</v>
      </c>
      <c r="E8047" s="211">
        <f>'IWP30'!H$569</f>
        <v>0</v>
      </c>
      <c r="F8047" s="211">
        <f>'IWP30'!I$569</f>
        <v>0</v>
      </c>
      <c r="G8047" s="191" t="str">
        <f>IF('IWP30'!J$569=0,"",'IWP30'!J$569)</f>
        <v/>
      </c>
      <c r="H8047" s="211">
        <f>'IWP30'!K$569</f>
        <v>0</v>
      </c>
      <c r="I8047" s="211">
        <f>'IWP30'!L$569</f>
        <v>0</v>
      </c>
      <c r="J8047" s="212">
        <f>'IWP30'!M$569</f>
        <v>0</v>
      </c>
      <c r="K8047" s="106"/>
      <c r="L8047" s="106"/>
      <c r="M8047" s="129"/>
    </row>
    <row r="8048" spans="1:13" s="146" customFormat="1">
      <c r="A8048" s="193" t="s">
        <v>528</v>
      </c>
      <c r="B8048" s="210">
        <v>14</v>
      </c>
      <c r="C8048" s="191" t="str">
        <f>IF('IWP30'!E$570=0,"",'IWP30'!E$570)</f>
        <v/>
      </c>
      <c r="D8048" s="211">
        <f>'IWP30'!G$570</f>
        <v>0</v>
      </c>
      <c r="E8048" s="211">
        <f>'IWP30'!H$570</f>
        <v>0</v>
      </c>
      <c r="F8048" s="211">
        <f>'IWP30'!I$570</f>
        <v>0</v>
      </c>
      <c r="G8048" s="191" t="str">
        <f>IF('IWP30'!J$570=0,"",'IWP30'!J$570)</f>
        <v/>
      </c>
      <c r="H8048" s="211">
        <f>'IWP30'!K$570</f>
        <v>0</v>
      </c>
      <c r="I8048" s="211">
        <f>'IWP30'!L$570</f>
        <v>0</v>
      </c>
      <c r="J8048" s="212">
        <f>'IWP30'!M$570</f>
        <v>0</v>
      </c>
      <c r="K8048" s="106"/>
      <c r="L8048" s="106"/>
      <c r="M8048" s="129"/>
    </row>
    <row r="8049" spans="1:13" s="146" customFormat="1">
      <c r="A8049" s="193" t="s">
        <v>528</v>
      </c>
      <c r="B8049" s="210">
        <v>14</v>
      </c>
      <c r="C8049" s="191" t="str">
        <f>IF('IWP30'!E$571=0,"",'IWP30'!E$571)</f>
        <v/>
      </c>
      <c r="D8049" s="211">
        <f>'IWP30'!G$571</f>
        <v>0</v>
      </c>
      <c r="E8049" s="211">
        <f>'IWP30'!H$571</f>
        <v>0</v>
      </c>
      <c r="F8049" s="211">
        <f>'IWP30'!I$571</f>
        <v>0</v>
      </c>
      <c r="G8049" s="191" t="str">
        <f>IF('IWP30'!J$571=0,"",'IWP30'!J$571)</f>
        <v/>
      </c>
      <c r="H8049" s="211">
        <f>'IWP30'!K$571</f>
        <v>0</v>
      </c>
      <c r="I8049" s="211">
        <f>'IWP30'!L$571</f>
        <v>0</v>
      </c>
      <c r="J8049" s="212">
        <f>'IWP30'!M$571</f>
        <v>0</v>
      </c>
      <c r="K8049" s="106"/>
      <c r="L8049" s="106"/>
      <c r="M8049" s="129"/>
    </row>
    <row r="8050" spans="1:13" s="146" customFormat="1">
      <c r="A8050" s="193" t="s">
        <v>528</v>
      </c>
      <c r="B8050" s="210">
        <v>14</v>
      </c>
      <c r="C8050" s="191" t="str">
        <f>IF('IWP30'!E$572=0,"",'IWP30'!E$572)</f>
        <v/>
      </c>
      <c r="D8050" s="211">
        <f>'IWP30'!G$572</f>
        <v>0</v>
      </c>
      <c r="E8050" s="211">
        <f>'IWP30'!H$572</f>
        <v>0</v>
      </c>
      <c r="F8050" s="211">
        <f>'IWP30'!I$572</f>
        <v>0</v>
      </c>
      <c r="G8050" s="191" t="str">
        <f>IF('IWP30'!J$572=0,"",'IWP30'!J$572)</f>
        <v/>
      </c>
      <c r="H8050" s="211">
        <f>'IWP30'!K$572</f>
        <v>0</v>
      </c>
      <c r="I8050" s="211">
        <f>'IWP30'!L$572</f>
        <v>0</v>
      </c>
      <c r="J8050" s="212">
        <f>'IWP30'!M$572</f>
        <v>0</v>
      </c>
      <c r="K8050" s="106"/>
      <c r="L8050" s="106"/>
      <c r="M8050" s="129"/>
    </row>
    <row r="8051" spans="1:13" s="146" customFormat="1">
      <c r="A8051" s="193" t="s">
        <v>528</v>
      </c>
      <c r="B8051" s="210">
        <v>15</v>
      </c>
      <c r="C8051" s="191" t="str">
        <f>IF('IWP30'!E$579=0,"",'IWP30'!E$579)</f>
        <v>Subtotal column D.</v>
      </c>
      <c r="D8051" s="211">
        <f>'IWP30'!G$579</f>
        <v>0</v>
      </c>
      <c r="E8051" s="211">
        <f>'IWP30'!H$579</f>
        <v>0</v>
      </c>
      <c r="F8051" s="211">
        <f>'IWP30'!I$579</f>
        <v>0</v>
      </c>
      <c r="G8051" s="191" t="str">
        <f>IF('IWP30'!J$579=0,"",'IWP30'!J$579)</f>
        <v/>
      </c>
      <c r="H8051" s="211">
        <f>'IWP30'!K$579</f>
        <v>0</v>
      </c>
      <c r="I8051" s="211">
        <f>'IWP30'!L$579</f>
        <v>0</v>
      </c>
      <c r="J8051" s="212">
        <f>'IWP30'!M$579</f>
        <v>0</v>
      </c>
      <c r="K8051" s="106"/>
      <c r="L8051" s="106"/>
      <c r="M8051" s="129"/>
    </row>
    <row r="8052" spans="1:13" s="146" customFormat="1">
      <c r="A8052" s="193" t="s">
        <v>528</v>
      </c>
      <c r="B8052" s="210">
        <v>15</v>
      </c>
      <c r="C8052" s="191" t="str">
        <f>IF('IWP30'!E$580=0,"",'IWP30'!E$580)</f>
        <v>Unverified/Undocumented (Subtotal D - C)</v>
      </c>
      <c r="D8052" s="211">
        <f>'IWP30'!G$580</f>
        <v>0</v>
      </c>
      <c r="E8052" s="211">
        <f>'IWP30'!H$580</f>
        <v>0</v>
      </c>
      <c r="F8052" s="211">
        <f>'IWP30'!I$580</f>
        <v>0</v>
      </c>
      <c r="G8052" s="191" t="str">
        <f>IF('IWP30'!J$580=0,"",'IWP30'!J$580)</f>
        <v/>
      </c>
      <c r="H8052" s="211">
        <f>'IWP30'!K$580</f>
        <v>0</v>
      </c>
      <c r="I8052" s="211">
        <f>'IWP30'!L$580</f>
        <v>0</v>
      </c>
      <c r="J8052" s="212">
        <f>'IWP30'!M$580</f>
        <v>0</v>
      </c>
      <c r="K8052" s="106"/>
      <c r="L8052" s="106"/>
      <c r="M8052" s="129"/>
    </row>
    <row r="8053" spans="1:13" s="146" customFormat="1">
      <c r="A8053" s="193" t="s">
        <v>528</v>
      </c>
      <c r="B8053" s="210">
        <v>15</v>
      </c>
      <c r="C8053" s="191" t="str">
        <f>IF('IWP30'!E$581=0,"",'IWP30'!E$581)</f>
        <v>J. Billing Period Total</v>
      </c>
      <c r="D8053" s="211">
        <f>'IWP30'!G$581</f>
        <v>0</v>
      </c>
      <c r="E8053" s="211">
        <f>'IWP30'!H$581</f>
        <v>0</v>
      </c>
      <c r="F8053" s="211">
        <f>'IWP30'!I$581</f>
        <v>0</v>
      </c>
      <c r="G8053" s="191" t="str">
        <f>IF('IWP30'!J$581=0,"",'IWP30'!J$581)</f>
        <v/>
      </c>
      <c r="H8053" s="211">
        <f>'IWP30'!K$581</f>
        <v>0</v>
      </c>
      <c r="I8053" s="211">
        <f>'IWP30'!L$581</f>
        <v>0</v>
      </c>
      <c r="J8053" s="212">
        <f>'IWP30'!M$581</f>
        <v>0</v>
      </c>
      <c r="K8053" s="106"/>
      <c r="L8053" s="106"/>
      <c r="M8053" s="129"/>
    </row>
    <row r="8054" spans="1:13" s="146" customFormat="1">
      <c r="A8054" s="193" t="s">
        <v>528</v>
      </c>
      <c r="B8054" s="210">
        <v>15</v>
      </c>
      <c r="C8054" s="191" t="str">
        <f>IF('IWP30'!E$582=0,"",'IWP30'!E$582)</f>
        <v>D.</v>
      </c>
      <c r="D8054" s="211">
        <f>'IWP30'!G$582</f>
        <v>0</v>
      </c>
      <c r="E8054" s="211" t="str">
        <f>'IWP30'!H$582</f>
        <v>E.</v>
      </c>
      <c r="F8054" s="211" t="str">
        <f>'IWP30'!I$582</f>
        <v>F.</v>
      </c>
      <c r="G8054" s="191" t="str">
        <f>IF('IWP30'!J$582=0,"",'IWP30'!J$582)</f>
        <v>G.</v>
      </c>
      <c r="H8054" s="211">
        <f>'IWP30'!K$582</f>
        <v>0</v>
      </c>
      <c r="I8054" s="211" t="str">
        <f>'IWP30'!L$582</f>
        <v>H.</v>
      </c>
      <c r="J8054" s="212" t="str">
        <f>'IWP30'!M$582</f>
        <v>I.</v>
      </c>
      <c r="K8054" s="106"/>
      <c r="L8054" s="106"/>
      <c r="M8054" s="129"/>
    </row>
    <row r="8055" spans="1:13" s="146" customFormat="1">
      <c r="A8055" s="193" t="s">
        <v>528</v>
      </c>
      <c r="B8055" s="210">
        <v>15</v>
      </c>
      <c r="C8055" s="191" t="str">
        <f>IF('IWP30'!E$583=0,"",'IWP30'!E$583)</f>
        <v xml:space="preserve">Items/Services Related to Billing Period </v>
      </c>
      <c r="D8055" s="211">
        <f>'IWP30'!G$583</f>
        <v>0</v>
      </c>
      <c r="E8055" s="211" t="str">
        <f>'IWP30'!H$583</f>
        <v xml:space="preserve">Item/
Service Verified Amounts
</v>
      </c>
      <c r="F8055" s="211" t="str">
        <f>'IWP30'!I$583</f>
        <v>Amount Due to DADS (E. - D.)</v>
      </c>
      <c r="G8055" s="191" t="str">
        <f>IF('IWP30'!J$583=0,"",'IWP30'!J$583)</f>
        <v>Amount Reimbursed to 
Employee(s)/Employer</v>
      </c>
      <c r="H8055" s="211">
        <f>'IWP30'!K$583</f>
        <v>0</v>
      </c>
      <c r="I8055" s="211" t="str">
        <f>'IWP30'!L$583</f>
        <v>Amount Due to Employee(s) (G. - E.)</v>
      </c>
      <c r="J8055" s="212" t="str">
        <f>'IWP30'!M$583</f>
        <v>Amount Due to Employer (G. - E.)</v>
      </c>
      <c r="K8055" s="106"/>
      <c r="L8055" s="106"/>
      <c r="M8055" s="129"/>
    </row>
    <row r="8056" spans="1:13" s="146" customFormat="1">
      <c r="A8056" s="193" t="s">
        <v>528</v>
      </c>
      <c r="B8056" s="210">
        <v>15</v>
      </c>
      <c r="C8056" s="191" t="str">
        <f>IF('IWP30'!E$584=0,"",'IWP30'!E$584)</f>
        <v>Item/Service</v>
      </c>
      <c r="D8056" s="211" t="str">
        <f>'IWP30'!G$584</f>
        <v>Itemized Amount Paid by DADS</v>
      </c>
      <c r="E8056" s="211">
        <f>'IWP30'!H$584</f>
        <v>0</v>
      </c>
      <c r="F8056" s="211">
        <f>'IWP30'!I$584</f>
        <v>0</v>
      </c>
      <c r="G8056" s="191" t="str">
        <f>IF('IWP30'!J$584=0,"",'IWP30'!J$584)</f>
        <v/>
      </c>
      <c r="H8056" s="211">
        <f>'IWP30'!K$584</f>
        <v>0</v>
      </c>
      <c r="I8056" s="211">
        <f>'IWP30'!L$584</f>
        <v>0</v>
      </c>
      <c r="J8056" s="212">
        <f>'IWP30'!M$584</f>
        <v>0</v>
      </c>
      <c r="K8056" s="106"/>
      <c r="L8056" s="106"/>
      <c r="M8056" s="129"/>
    </row>
    <row r="8057" spans="1:13" s="146" customFormat="1">
      <c r="A8057" s="193" t="s">
        <v>528</v>
      </c>
      <c r="B8057" s="210">
        <v>15</v>
      </c>
      <c r="C8057" s="191" t="str">
        <f>IF('IWP30'!E$585=0,"",'IWP30'!E$585)</f>
        <v/>
      </c>
      <c r="D8057" s="211">
        <f>'IWP30'!G$585</f>
        <v>0</v>
      </c>
      <c r="E8057" s="211">
        <f>'IWP30'!H$585</f>
        <v>0</v>
      </c>
      <c r="F8057" s="211">
        <f>'IWP30'!I$585</f>
        <v>0</v>
      </c>
      <c r="G8057" s="191" t="str">
        <f>IF('IWP30'!J$585=0,"",'IWP30'!J$585)</f>
        <v/>
      </c>
      <c r="H8057" s="211">
        <f>'IWP30'!K$585</f>
        <v>0</v>
      </c>
      <c r="I8057" s="211">
        <f>'IWP30'!L$585</f>
        <v>0</v>
      </c>
      <c r="J8057" s="212">
        <f>'IWP30'!M$585</f>
        <v>0</v>
      </c>
      <c r="K8057" s="106"/>
      <c r="L8057" s="106"/>
      <c r="M8057" s="129"/>
    </row>
    <row r="8058" spans="1:13" s="146" customFormat="1">
      <c r="A8058" s="193" t="s">
        <v>528</v>
      </c>
      <c r="B8058" s="210">
        <v>15</v>
      </c>
      <c r="C8058" s="191" t="str">
        <f>IF('IWP30'!E$586=0,"",'IWP30'!E$586)</f>
        <v/>
      </c>
      <c r="D8058" s="211">
        <f>'IWP30'!G$586</f>
        <v>0</v>
      </c>
      <c r="E8058" s="211">
        <f>'IWP30'!H$586</f>
        <v>0</v>
      </c>
      <c r="F8058" s="211">
        <f>'IWP30'!I$586</f>
        <v>0</v>
      </c>
      <c r="G8058" s="191" t="str">
        <f>IF('IWP30'!J$586=0,"",'IWP30'!J$586)</f>
        <v/>
      </c>
      <c r="H8058" s="211">
        <f>'IWP30'!K$586</f>
        <v>0</v>
      </c>
      <c r="I8058" s="211">
        <f>'IWP30'!L$586</f>
        <v>0</v>
      </c>
      <c r="J8058" s="212">
        <f>'IWP30'!M$586</f>
        <v>0</v>
      </c>
      <c r="K8058" s="106"/>
      <c r="L8058" s="106"/>
      <c r="M8058" s="129"/>
    </row>
    <row r="8059" spans="1:13" s="146" customFormat="1">
      <c r="A8059" s="193" t="s">
        <v>528</v>
      </c>
      <c r="B8059" s="210">
        <v>15</v>
      </c>
      <c r="C8059" s="191" t="str">
        <f>IF('IWP30'!E$587=0,"",'IWP30'!E$587)</f>
        <v/>
      </c>
      <c r="D8059" s="211">
        <f>'IWP30'!G$587</f>
        <v>0</v>
      </c>
      <c r="E8059" s="211">
        <f>'IWP30'!H$587</f>
        <v>0</v>
      </c>
      <c r="F8059" s="211">
        <f>'IWP30'!I$587</f>
        <v>0</v>
      </c>
      <c r="G8059" s="191" t="str">
        <f>IF('IWP30'!J$587=0,"",'IWP30'!J$587)</f>
        <v/>
      </c>
      <c r="H8059" s="211">
        <f>'IWP30'!K$587</f>
        <v>0</v>
      </c>
      <c r="I8059" s="211">
        <f>'IWP30'!L$587</f>
        <v>0</v>
      </c>
      <c r="J8059" s="212">
        <f>'IWP30'!M$587</f>
        <v>0</v>
      </c>
      <c r="K8059" s="106"/>
      <c r="L8059" s="106"/>
      <c r="M8059" s="129"/>
    </row>
    <row r="8060" spans="1:13" s="146" customFormat="1">
      <c r="A8060" s="193" t="s">
        <v>528</v>
      </c>
      <c r="B8060" s="210">
        <v>15</v>
      </c>
      <c r="C8060" s="191" t="str">
        <f>IF('IWP30'!E$588=0,"",'IWP30'!E$588)</f>
        <v/>
      </c>
      <c r="D8060" s="211">
        <f>'IWP30'!G$588</f>
        <v>0</v>
      </c>
      <c r="E8060" s="211">
        <f>'IWP30'!H$588</f>
        <v>0</v>
      </c>
      <c r="F8060" s="211">
        <f>'IWP30'!I$588</f>
        <v>0</v>
      </c>
      <c r="G8060" s="191" t="str">
        <f>IF('IWP30'!J$588=0,"",'IWP30'!J$588)</f>
        <v/>
      </c>
      <c r="H8060" s="211">
        <f>'IWP30'!K$588</f>
        <v>0</v>
      </c>
      <c r="I8060" s="211">
        <f>'IWP30'!L$588</f>
        <v>0</v>
      </c>
      <c r="J8060" s="212">
        <f>'IWP30'!M$588</f>
        <v>0</v>
      </c>
      <c r="K8060" s="106"/>
      <c r="L8060" s="106"/>
      <c r="M8060" s="129"/>
    </row>
    <row r="8061" spans="1:13" s="146" customFormat="1">
      <c r="A8061" s="193" t="s">
        <v>528</v>
      </c>
      <c r="B8061" s="210">
        <v>16</v>
      </c>
      <c r="C8061" s="191" t="str">
        <f>IF('IWP30'!E$595=0,"",'IWP30'!E$595)</f>
        <v>Subtotal column D.</v>
      </c>
      <c r="D8061" s="211">
        <f>'IWP30'!G$595</f>
        <v>0</v>
      </c>
      <c r="E8061" s="211">
        <f>'IWP30'!H$595</f>
        <v>0</v>
      </c>
      <c r="F8061" s="211">
        <f>'IWP30'!I$595</f>
        <v>0</v>
      </c>
      <c r="G8061" s="191" t="str">
        <f>IF('IWP30'!J$595=0,"",'IWP30'!J$595)</f>
        <v/>
      </c>
      <c r="H8061" s="211">
        <f>'IWP30'!K$595</f>
        <v>0</v>
      </c>
      <c r="I8061" s="211">
        <f>'IWP30'!L$595</f>
        <v>0</v>
      </c>
      <c r="J8061" s="212">
        <f>'IWP30'!M$595</f>
        <v>0</v>
      </c>
      <c r="K8061" s="106"/>
      <c r="L8061" s="106"/>
      <c r="M8061" s="129"/>
    </row>
    <row r="8062" spans="1:13" s="146" customFormat="1">
      <c r="A8062" s="193" t="s">
        <v>528</v>
      </c>
      <c r="B8062" s="210">
        <v>16</v>
      </c>
      <c r="C8062" s="191" t="str">
        <f>IF('IWP30'!E$596=0,"",'IWP30'!E$596)</f>
        <v>Unverified/Undocumented (Subtotal D - C)</v>
      </c>
      <c r="D8062" s="211">
        <f>'IWP30'!G$596</f>
        <v>0</v>
      </c>
      <c r="E8062" s="211">
        <f>'IWP30'!H$596</f>
        <v>0</v>
      </c>
      <c r="F8062" s="211">
        <f>'IWP30'!I$596</f>
        <v>0</v>
      </c>
      <c r="G8062" s="191" t="str">
        <f>IF('IWP30'!J$596=0,"",'IWP30'!J$596)</f>
        <v/>
      </c>
      <c r="H8062" s="211">
        <f>'IWP30'!K$596</f>
        <v>0</v>
      </c>
      <c r="I8062" s="211">
        <f>'IWP30'!L$596</f>
        <v>0</v>
      </c>
      <c r="J8062" s="212">
        <f>'IWP30'!M$596</f>
        <v>0</v>
      </c>
      <c r="K8062" s="106"/>
      <c r="L8062" s="106"/>
      <c r="M8062" s="129"/>
    </row>
    <row r="8063" spans="1:13" s="146" customFormat="1">
      <c r="A8063" s="193" t="s">
        <v>528</v>
      </c>
      <c r="B8063" s="210">
        <v>16</v>
      </c>
      <c r="C8063" s="191" t="str">
        <f>IF('IWP30'!E$597=0,"",'IWP30'!E$597)</f>
        <v>J. Billing Period Total</v>
      </c>
      <c r="D8063" s="211">
        <f>'IWP30'!G$597</f>
        <v>0</v>
      </c>
      <c r="E8063" s="211">
        <f>'IWP30'!H$597</f>
        <v>0</v>
      </c>
      <c r="F8063" s="211">
        <f>'IWP30'!I$597</f>
        <v>0</v>
      </c>
      <c r="G8063" s="191" t="str">
        <f>IF('IWP30'!J$597=0,"",'IWP30'!J$597)</f>
        <v/>
      </c>
      <c r="H8063" s="211">
        <f>'IWP30'!K$597</f>
        <v>0</v>
      </c>
      <c r="I8063" s="211">
        <f>'IWP30'!L$597</f>
        <v>0</v>
      </c>
      <c r="J8063" s="212">
        <f>'IWP30'!M$597</f>
        <v>0</v>
      </c>
      <c r="K8063" s="106"/>
      <c r="L8063" s="106"/>
      <c r="M8063" s="129"/>
    </row>
    <row r="8064" spans="1:13" s="146" customFormat="1">
      <c r="A8064" s="193" t="s">
        <v>528</v>
      </c>
      <c r="B8064" s="210">
        <v>16</v>
      </c>
      <c r="C8064" s="191" t="str">
        <f>IF('IWP30'!E$598=0,"",'IWP30'!E$598)</f>
        <v>D.</v>
      </c>
      <c r="D8064" s="211">
        <f>'IWP30'!G$598</f>
        <v>0</v>
      </c>
      <c r="E8064" s="211" t="str">
        <f>'IWP30'!H$598</f>
        <v>E.</v>
      </c>
      <c r="F8064" s="211" t="str">
        <f>'IWP30'!I$598</f>
        <v>F.</v>
      </c>
      <c r="G8064" s="191" t="str">
        <f>IF('IWP30'!J$598=0,"",'IWP30'!J$598)</f>
        <v>G.</v>
      </c>
      <c r="H8064" s="211">
        <f>'IWP30'!K$598</f>
        <v>0</v>
      </c>
      <c r="I8064" s="211" t="str">
        <f>'IWP30'!L$598</f>
        <v>H.</v>
      </c>
      <c r="J8064" s="212" t="str">
        <f>'IWP30'!M$598</f>
        <v>I.</v>
      </c>
      <c r="K8064" s="106"/>
      <c r="L8064" s="106"/>
      <c r="M8064" s="129"/>
    </row>
    <row r="8065" spans="1:13" s="146" customFormat="1">
      <c r="A8065" s="193" t="s">
        <v>528</v>
      </c>
      <c r="B8065" s="210">
        <v>16</v>
      </c>
      <c r="C8065" s="191" t="str">
        <f>IF('IWP30'!E$599=0,"",'IWP30'!E$599)</f>
        <v xml:space="preserve">Items/Services Related to Billing Period </v>
      </c>
      <c r="D8065" s="211">
        <f>'IWP30'!G$599</f>
        <v>0</v>
      </c>
      <c r="E8065" s="211" t="str">
        <f>'IWP30'!H$599</f>
        <v xml:space="preserve">Item/
Service Verified Amounts
</v>
      </c>
      <c r="F8065" s="211" t="str">
        <f>'IWP30'!I$599</f>
        <v>Amount Due to DADS (E. - D.)</v>
      </c>
      <c r="G8065" s="191" t="str">
        <f>IF('IWP30'!J$599=0,"",'IWP30'!J$599)</f>
        <v>Amount Reimbursed to 
Employee(s)/Employer</v>
      </c>
      <c r="H8065" s="211">
        <f>'IWP30'!K$599</f>
        <v>0</v>
      </c>
      <c r="I8065" s="211" t="str">
        <f>'IWP30'!L$599</f>
        <v>Amount Due to Employee(s) (G. - E.)</v>
      </c>
      <c r="J8065" s="212" t="str">
        <f>'IWP30'!M$599</f>
        <v>Amount Due to Employer (G. - E.)</v>
      </c>
      <c r="K8065" s="106"/>
      <c r="L8065" s="106"/>
      <c r="M8065" s="129"/>
    </row>
    <row r="8066" spans="1:13" s="146" customFormat="1">
      <c r="A8066" s="193" t="s">
        <v>528</v>
      </c>
      <c r="B8066" s="210">
        <v>16</v>
      </c>
      <c r="C8066" s="191" t="str">
        <f>IF('IWP30'!E$600=0,"",'IWP30'!E$600)</f>
        <v>Item/Service</v>
      </c>
      <c r="D8066" s="211" t="str">
        <f>'IWP30'!G$600</f>
        <v>Itemized Amount Paid by DADS</v>
      </c>
      <c r="E8066" s="211">
        <f>'IWP30'!H$600</f>
        <v>0</v>
      </c>
      <c r="F8066" s="211">
        <f>'IWP30'!I$600</f>
        <v>0</v>
      </c>
      <c r="G8066" s="191" t="str">
        <f>IF('IWP30'!J$600=0,"",'IWP30'!J$600)</f>
        <v/>
      </c>
      <c r="H8066" s="211">
        <f>'IWP30'!K$600</f>
        <v>0</v>
      </c>
      <c r="I8066" s="211">
        <f>'IWP30'!L$600</f>
        <v>0</v>
      </c>
      <c r="J8066" s="212">
        <f>'IWP30'!M$600</f>
        <v>0</v>
      </c>
      <c r="K8066" s="106"/>
      <c r="L8066" s="106"/>
      <c r="M8066" s="129"/>
    </row>
    <row r="8067" spans="1:13" s="146" customFormat="1">
      <c r="A8067" s="193" t="s">
        <v>528</v>
      </c>
      <c r="B8067" s="210">
        <v>16</v>
      </c>
      <c r="C8067" s="191" t="str">
        <f>IF('IWP30'!E$601=0,"",'IWP30'!E$601)</f>
        <v/>
      </c>
      <c r="D8067" s="211">
        <f>'IWP30'!G$601</f>
        <v>0</v>
      </c>
      <c r="E8067" s="211">
        <f>'IWP30'!H$601</f>
        <v>0</v>
      </c>
      <c r="F8067" s="211">
        <f>'IWP30'!I$601</f>
        <v>0</v>
      </c>
      <c r="G8067" s="191" t="str">
        <f>IF('IWP30'!J$601=0,"",'IWP30'!J$601)</f>
        <v/>
      </c>
      <c r="H8067" s="211">
        <f>'IWP30'!K$601</f>
        <v>0</v>
      </c>
      <c r="I8067" s="211">
        <f>'IWP30'!L$601</f>
        <v>0</v>
      </c>
      <c r="J8067" s="212">
        <f>'IWP30'!M$601</f>
        <v>0</v>
      </c>
      <c r="K8067" s="106"/>
      <c r="L8067" s="106"/>
      <c r="M8067" s="129"/>
    </row>
    <row r="8068" spans="1:13" s="146" customFormat="1">
      <c r="A8068" s="193" t="s">
        <v>528</v>
      </c>
      <c r="B8068" s="210">
        <v>16</v>
      </c>
      <c r="C8068" s="191" t="str">
        <f>IF('IWP30'!E$602=0,"",'IWP30'!E$602)</f>
        <v/>
      </c>
      <c r="D8068" s="211">
        <f>'IWP30'!G$602</f>
        <v>0</v>
      </c>
      <c r="E8068" s="211">
        <f>'IWP30'!H$602</f>
        <v>0</v>
      </c>
      <c r="F8068" s="211">
        <f>'IWP30'!I$602</f>
        <v>0</v>
      </c>
      <c r="G8068" s="191" t="str">
        <f>IF('IWP30'!J$602=0,"",'IWP30'!J$602)</f>
        <v/>
      </c>
      <c r="H8068" s="211">
        <f>'IWP30'!K$602</f>
        <v>0</v>
      </c>
      <c r="I8068" s="211">
        <f>'IWP30'!L$602</f>
        <v>0</v>
      </c>
      <c r="J8068" s="212">
        <f>'IWP30'!M$602</f>
        <v>0</v>
      </c>
      <c r="K8068" s="106"/>
      <c r="L8068" s="106"/>
      <c r="M8068" s="129"/>
    </row>
    <row r="8069" spans="1:13" s="146" customFormat="1">
      <c r="A8069" s="193" t="s">
        <v>528</v>
      </c>
      <c r="B8069" s="210">
        <v>16</v>
      </c>
      <c r="C8069" s="191" t="str">
        <f>IF('IWP30'!E$603=0,"",'IWP30'!E$603)</f>
        <v/>
      </c>
      <c r="D8069" s="211">
        <f>'IWP30'!G$603</f>
        <v>0</v>
      </c>
      <c r="E8069" s="211">
        <f>'IWP30'!H$603</f>
        <v>0</v>
      </c>
      <c r="F8069" s="211">
        <f>'IWP30'!I$603</f>
        <v>0</v>
      </c>
      <c r="G8069" s="191" t="str">
        <f>IF('IWP30'!J$603=0,"",'IWP30'!J$603)</f>
        <v/>
      </c>
      <c r="H8069" s="211">
        <f>'IWP30'!K$603</f>
        <v>0</v>
      </c>
      <c r="I8069" s="211">
        <f>'IWP30'!L$603</f>
        <v>0</v>
      </c>
      <c r="J8069" s="212">
        <f>'IWP30'!M$603</f>
        <v>0</v>
      </c>
      <c r="K8069" s="106"/>
      <c r="L8069" s="106"/>
      <c r="M8069" s="129"/>
    </row>
    <row r="8070" spans="1:13" s="146" customFormat="1">
      <c r="A8070" s="193" t="s">
        <v>528</v>
      </c>
      <c r="B8070" s="210">
        <v>16</v>
      </c>
      <c r="C8070" s="191" t="str">
        <f>IF('IWP30'!E$604=0,"",'IWP30'!E$604)</f>
        <v/>
      </c>
      <c r="D8070" s="211">
        <f>'IWP30'!G$604</f>
        <v>0</v>
      </c>
      <c r="E8070" s="211">
        <f>'IWP30'!H$604</f>
        <v>0</v>
      </c>
      <c r="F8070" s="211">
        <f>'IWP30'!I$604</f>
        <v>0</v>
      </c>
      <c r="G8070" s="191" t="str">
        <f>IF('IWP30'!J$604=0,"",'IWP30'!J$604)</f>
        <v/>
      </c>
      <c r="H8070" s="211">
        <f>'IWP30'!K$604</f>
        <v>0</v>
      </c>
      <c r="I8070" s="211">
        <f>'IWP30'!L$604</f>
        <v>0</v>
      </c>
      <c r="J8070" s="212">
        <f>'IWP30'!M$604</f>
        <v>0</v>
      </c>
      <c r="K8070" s="106"/>
      <c r="L8070" s="106"/>
      <c r="M8070" s="129"/>
    </row>
    <row r="8071" spans="1:13" s="146" customFormat="1">
      <c r="A8071" s="193" t="s">
        <v>528</v>
      </c>
      <c r="B8071" s="210">
        <v>17</v>
      </c>
      <c r="C8071" s="191" t="str">
        <f>IF('IWP30'!E$611=0,"",'IWP30'!E$611)</f>
        <v>Subtotal column D.</v>
      </c>
      <c r="D8071" s="211">
        <f>'IWP30'!G$611</f>
        <v>0</v>
      </c>
      <c r="E8071" s="211">
        <f>'IWP30'!H$611</f>
        <v>0</v>
      </c>
      <c r="F8071" s="211">
        <f>'IWP30'!I$611</f>
        <v>0</v>
      </c>
      <c r="G8071" s="191" t="str">
        <f>IF('IWP30'!J$611=0,"",'IWP30'!J$611)</f>
        <v/>
      </c>
      <c r="H8071" s="211">
        <f>'IWP30'!K$611</f>
        <v>0</v>
      </c>
      <c r="I8071" s="211">
        <f>'IWP30'!L$611</f>
        <v>0</v>
      </c>
      <c r="J8071" s="212">
        <f>'IWP30'!M$611</f>
        <v>0</v>
      </c>
      <c r="K8071" s="106"/>
      <c r="L8071" s="106"/>
      <c r="M8071" s="129"/>
    </row>
    <row r="8072" spans="1:13" s="146" customFormat="1">
      <c r="A8072" s="193" t="s">
        <v>528</v>
      </c>
      <c r="B8072" s="210">
        <v>17</v>
      </c>
      <c r="C8072" s="191" t="str">
        <f>IF('IWP30'!E$612=0,"",'IWP30'!E$612)</f>
        <v>Unverified/Undocumented (Subtotal D - C)</v>
      </c>
      <c r="D8072" s="211">
        <f>'IWP30'!G$612</f>
        <v>0</v>
      </c>
      <c r="E8072" s="211">
        <f>'IWP30'!H$612</f>
        <v>0</v>
      </c>
      <c r="F8072" s="211">
        <f>'IWP30'!I$612</f>
        <v>0</v>
      </c>
      <c r="G8072" s="191" t="str">
        <f>IF('IWP30'!J$612=0,"",'IWP30'!J$612)</f>
        <v/>
      </c>
      <c r="H8072" s="211">
        <f>'IWP30'!K$612</f>
        <v>0</v>
      </c>
      <c r="I8072" s="211">
        <f>'IWP30'!L$612</f>
        <v>0</v>
      </c>
      <c r="J8072" s="212">
        <f>'IWP30'!M$612</f>
        <v>0</v>
      </c>
      <c r="K8072" s="106"/>
      <c r="L8072" s="106"/>
      <c r="M8072" s="129"/>
    </row>
    <row r="8073" spans="1:13" s="146" customFormat="1">
      <c r="A8073" s="193" t="s">
        <v>528</v>
      </c>
      <c r="B8073" s="210">
        <v>17</v>
      </c>
      <c r="C8073" s="191" t="str">
        <f>IF('IWP30'!E$613=0,"",'IWP30'!E$613)</f>
        <v>J. Billing Period Total</v>
      </c>
      <c r="D8073" s="211">
        <f>'IWP30'!G$613</f>
        <v>0</v>
      </c>
      <c r="E8073" s="211">
        <f>'IWP30'!H$613</f>
        <v>0</v>
      </c>
      <c r="F8073" s="211">
        <f>'IWP30'!I$613</f>
        <v>0</v>
      </c>
      <c r="G8073" s="191" t="str">
        <f>IF('IWP30'!J$613=0,"",'IWP30'!J$613)</f>
        <v/>
      </c>
      <c r="H8073" s="211">
        <f>'IWP30'!K$613</f>
        <v>0</v>
      </c>
      <c r="I8073" s="211">
        <f>'IWP30'!L$613</f>
        <v>0</v>
      </c>
      <c r="J8073" s="212">
        <f>'IWP30'!M$613</f>
        <v>0</v>
      </c>
      <c r="K8073" s="106"/>
      <c r="L8073" s="106"/>
      <c r="M8073" s="129"/>
    </row>
    <row r="8074" spans="1:13" s="146" customFormat="1">
      <c r="A8074" s="193" t="s">
        <v>528</v>
      </c>
      <c r="B8074" s="210">
        <v>17</v>
      </c>
      <c r="C8074" s="191" t="str">
        <f>IF('IWP30'!E$614=0,"",'IWP30'!E$614)</f>
        <v/>
      </c>
      <c r="D8074" s="211">
        <f>'IWP30'!G$614</f>
        <v>0</v>
      </c>
      <c r="E8074" s="211">
        <f>'IWP30'!H$614</f>
        <v>0</v>
      </c>
      <c r="F8074" s="211">
        <f>'IWP30'!I$614</f>
        <v>0</v>
      </c>
      <c r="G8074" s="191" t="str">
        <f>IF('IWP30'!J$614=0,"",'IWP30'!J$614)</f>
        <v/>
      </c>
      <c r="H8074" s="211">
        <f>'IWP30'!K$614</f>
        <v>0</v>
      </c>
      <c r="I8074" s="211">
        <f>'IWP30'!L$614</f>
        <v>0</v>
      </c>
      <c r="J8074" s="212">
        <f>'IWP30'!M$614</f>
        <v>0</v>
      </c>
      <c r="K8074" s="106"/>
      <c r="L8074" s="106"/>
      <c r="M8074" s="129"/>
    </row>
    <row r="8075" spans="1:13" s="146" customFormat="1">
      <c r="A8075" s="193" t="s">
        <v>528</v>
      </c>
      <c r="B8075" s="210">
        <v>17</v>
      </c>
      <c r="C8075" s="191" t="str">
        <f>IF('IWP30'!E$615=0,"",'IWP30'!E$615)</f>
        <v/>
      </c>
      <c r="D8075" s="211">
        <f>'IWP30'!G$615</f>
        <v>0</v>
      </c>
      <c r="E8075" s="211">
        <f>'IWP30'!H$615</f>
        <v>0</v>
      </c>
      <c r="F8075" s="211">
        <f>'IWP30'!I$615</f>
        <v>0</v>
      </c>
      <c r="G8075" s="191" t="str">
        <f>IF('IWP30'!J$615=0,"",'IWP30'!J$615)</f>
        <v/>
      </c>
      <c r="H8075" s="211">
        <f>'IWP30'!K$615</f>
        <v>0</v>
      </c>
      <c r="I8075" s="211">
        <f>'IWP30'!L$615</f>
        <v>0</v>
      </c>
      <c r="J8075" s="212">
        <f>'IWP30'!M$615</f>
        <v>0</v>
      </c>
      <c r="K8075" s="106"/>
      <c r="L8075" s="106"/>
      <c r="M8075" s="129"/>
    </row>
    <row r="8076" spans="1:13" s="146" customFormat="1">
      <c r="A8076" s="193" t="s">
        <v>528</v>
      </c>
      <c r="B8076" s="210">
        <v>17</v>
      </c>
      <c r="C8076" s="191" t="str">
        <f>IF('IWP30'!E$616=0,"",'IWP30'!E$616)</f>
        <v/>
      </c>
      <c r="D8076" s="211">
        <f>'IWP30'!G$616</f>
        <v>0</v>
      </c>
      <c r="E8076" s="211">
        <f>'IWP30'!H$616</f>
        <v>0</v>
      </c>
      <c r="F8076" s="211">
        <f>'IWP30'!I$616</f>
        <v>0</v>
      </c>
      <c r="G8076" s="191" t="str">
        <f>IF('IWP30'!J$616=0,"",'IWP30'!J$616)</f>
        <v/>
      </c>
      <c r="H8076" s="211">
        <f>'IWP30'!K$616</f>
        <v>0</v>
      </c>
      <c r="I8076" s="211">
        <f>'IWP30'!L$616</f>
        <v>0</v>
      </c>
      <c r="J8076" s="212">
        <f>'IWP30'!M$616</f>
        <v>0</v>
      </c>
      <c r="K8076" s="106"/>
      <c r="L8076" s="106"/>
      <c r="M8076" s="129"/>
    </row>
    <row r="8077" spans="1:13" s="146" customFormat="1">
      <c r="A8077" s="193" t="s">
        <v>528</v>
      </c>
      <c r="B8077" s="210">
        <v>17</v>
      </c>
      <c r="C8077" s="191" t="str">
        <f>IF('IWP30'!E$617=0,"",'IWP30'!E$617)</f>
        <v/>
      </c>
      <c r="D8077" s="211">
        <f>'IWP30'!G$617</f>
        <v>0</v>
      </c>
      <c r="E8077" s="211">
        <f>'IWP30'!H$617</f>
        <v>0</v>
      </c>
      <c r="F8077" s="211">
        <f>'IWP30'!I$617</f>
        <v>0</v>
      </c>
      <c r="G8077" s="191" t="str">
        <f>IF('IWP30'!J$617=0,"",'IWP30'!J$617)</f>
        <v/>
      </c>
      <c r="H8077" s="211">
        <f>'IWP30'!K$617</f>
        <v>0</v>
      </c>
      <c r="I8077" s="211">
        <f>'IWP30'!L$617</f>
        <v>0</v>
      </c>
      <c r="J8077" s="212">
        <f>'IWP30'!M$617</f>
        <v>0</v>
      </c>
      <c r="K8077" s="106"/>
      <c r="L8077" s="106"/>
      <c r="M8077" s="129"/>
    </row>
    <row r="8078" spans="1:13" s="146" customFormat="1">
      <c r="A8078" s="193" t="s">
        <v>528</v>
      </c>
      <c r="B8078" s="210">
        <v>17</v>
      </c>
      <c r="C8078" s="191" t="str">
        <f>IF('IWP30'!E$618=0,"",'IWP30'!E$618)</f>
        <v/>
      </c>
      <c r="D8078" s="211">
        <f>'IWP30'!G$618</f>
        <v>0</v>
      </c>
      <c r="E8078" s="211">
        <f>'IWP30'!H$618</f>
        <v>0</v>
      </c>
      <c r="F8078" s="211">
        <f>'IWP30'!I$618</f>
        <v>0</v>
      </c>
      <c r="G8078" s="191" t="str">
        <f>IF('IWP30'!J$618=0,"",'IWP30'!J$618)</f>
        <v/>
      </c>
      <c r="H8078" s="211">
        <f>'IWP30'!K$618</f>
        <v>0</v>
      </c>
      <c r="I8078" s="211">
        <f>'IWP30'!L$618</f>
        <v>0</v>
      </c>
      <c r="J8078" s="212">
        <f>'IWP30'!M$618</f>
        <v>0</v>
      </c>
      <c r="K8078" s="106"/>
      <c r="L8078" s="106"/>
      <c r="M8078" s="129"/>
    </row>
    <row r="8079" spans="1:13" s="146" customFormat="1">
      <c r="A8079" s="193" t="s">
        <v>528</v>
      </c>
      <c r="B8079" s="210">
        <v>17</v>
      </c>
      <c r="C8079" s="191" t="str">
        <f>IF('IWP30'!E$619=0,"",'IWP30'!E$619)</f>
        <v/>
      </c>
      <c r="D8079" s="211">
        <f>'IWP30'!G$619</f>
        <v>0</v>
      </c>
      <c r="E8079" s="211">
        <f>'IWP30'!H$619</f>
        <v>0</v>
      </c>
      <c r="F8079" s="211">
        <f>'IWP30'!I$619</f>
        <v>0</v>
      </c>
      <c r="G8079" s="191" t="str">
        <f>IF('IWP30'!J$619=0,"",'IWP30'!J$619)</f>
        <v/>
      </c>
      <c r="H8079" s="211">
        <f>'IWP30'!K$619</f>
        <v>0</v>
      </c>
      <c r="I8079" s="211">
        <f>'IWP30'!L$619</f>
        <v>0</v>
      </c>
      <c r="J8079" s="212">
        <f>'IWP30'!M$619</f>
        <v>0</v>
      </c>
      <c r="K8079" s="106"/>
      <c r="L8079" s="106"/>
      <c r="M8079" s="129"/>
    </row>
    <row r="8080" spans="1:13" s="146" customFormat="1">
      <c r="A8080" s="193" t="s">
        <v>528</v>
      </c>
      <c r="B8080" s="210">
        <v>17</v>
      </c>
      <c r="C8080" s="191" t="str">
        <f>IF('IWP30'!E$620=0,"",'IWP30'!E$620)</f>
        <v/>
      </c>
      <c r="D8080" s="211">
        <f>'IWP30'!G$620</f>
        <v>0</v>
      </c>
      <c r="E8080" s="211">
        <f>'IWP30'!H$620</f>
        <v>0</v>
      </c>
      <c r="F8080" s="211">
        <f>'IWP30'!I$620</f>
        <v>0</v>
      </c>
      <c r="G8080" s="191" t="str">
        <f>IF('IWP30'!J$620=0,"",'IWP30'!J$620)</f>
        <v/>
      </c>
      <c r="H8080" s="211">
        <f>'IWP30'!K$620</f>
        <v>0</v>
      </c>
      <c r="I8080" s="211">
        <f>'IWP30'!L$620</f>
        <v>0</v>
      </c>
      <c r="J8080" s="212">
        <f>'IWP30'!M$620</f>
        <v>0</v>
      </c>
      <c r="K8080" s="106"/>
      <c r="L8080" s="106"/>
      <c r="M8080" s="129"/>
    </row>
    <row r="8081" spans="1:13" s="146" customFormat="1">
      <c r="A8081" s="193" t="s">
        <v>528</v>
      </c>
      <c r="B8081" s="210">
        <v>18</v>
      </c>
      <c r="C8081" s="191" t="str">
        <f>IF('IWP30'!E$627=0,"",'IWP30'!E$627)</f>
        <v/>
      </c>
      <c r="D8081" s="211">
        <f>'IWP30'!G$627</f>
        <v>0</v>
      </c>
      <c r="E8081" s="211">
        <f>'IWP30'!H$627</f>
        <v>0</v>
      </c>
      <c r="F8081" s="211">
        <f>'IWP30'!I$627</f>
        <v>0</v>
      </c>
      <c r="G8081" s="191" t="str">
        <f>IF('IWP30'!J$627=0,"",'IWP30'!J$627)</f>
        <v/>
      </c>
      <c r="H8081" s="211">
        <f>'IWP30'!K$627</f>
        <v>0</v>
      </c>
      <c r="I8081" s="211">
        <f>'IWP30'!L$627</f>
        <v>0</v>
      </c>
      <c r="J8081" s="212">
        <f>'IWP30'!M$627</f>
        <v>0</v>
      </c>
      <c r="K8081" s="106"/>
      <c r="L8081" s="106"/>
      <c r="M8081" s="129"/>
    </row>
    <row r="8082" spans="1:13" s="146" customFormat="1">
      <c r="A8082" s="193" t="s">
        <v>528</v>
      </c>
      <c r="B8082" s="210">
        <v>18</v>
      </c>
      <c r="C8082" s="191" t="str">
        <f>IF('IWP30'!E$628=0,"",'IWP30'!E$628)</f>
        <v/>
      </c>
      <c r="D8082" s="211">
        <f>'IWP30'!G$628</f>
        <v>0</v>
      </c>
      <c r="E8082" s="211">
        <f>'IWP30'!H$628</f>
        <v>0</v>
      </c>
      <c r="F8082" s="211">
        <f>'IWP30'!I$628</f>
        <v>0</v>
      </c>
      <c r="G8082" s="191" t="str">
        <f>IF('IWP30'!J$628=0,"",'IWP30'!J$628)</f>
        <v/>
      </c>
      <c r="H8082" s="211">
        <f>'IWP30'!K$628</f>
        <v>0</v>
      </c>
      <c r="I8082" s="211">
        <f>'IWP30'!L$628</f>
        <v>0</v>
      </c>
      <c r="J8082" s="212">
        <f>'IWP30'!M$628</f>
        <v>0</v>
      </c>
      <c r="K8082" s="106"/>
      <c r="L8082" s="106"/>
      <c r="M8082" s="129"/>
    </row>
    <row r="8083" spans="1:13" s="146" customFormat="1">
      <c r="A8083" s="193" t="s">
        <v>528</v>
      </c>
      <c r="B8083" s="210">
        <v>18</v>
      </c>
      <c r="C8083" s="191" t="str">
        <f>IF('IWP30'!E$629=0,"",'IWP30'!E$629)</f>
        <v/>
      </c>
      <c r="D8083" s="211">
        <f>'IWP30'!G$629</f>
        <v>0</v>
      </c>
      <c r="E8083" s="211">
        <f>'IWP30'!H$629</f>
        <v>0</v>
      </c>
      <c r="F8083" s="211">
        <f>'IWP30'!I$629</f>
        <v>0</v>
      </c>
      <c r="G8083" s="191" t="str">
        <f>IF('IWP30'!J$629=0,"",'IWP30'!J$629)</f>
        <v/>
      </c>
      <c r="H8083" s="211">
        <f>'IWP30'!K$629</f>
        <v>0</v>
      </c>
      <c r="I8083" s="211">
        <f>'IWP30'!L$629</f>
        <v>0</v>
      </c>
      <c r="J8083" s="212">
        <f>'IWP30'!M$629</f>
        <v>0</v>
      </c>
      <c r="K8083" s="106"/>
      <c r="L8083" s="106"/>
      <c r="M8083" s="129"/>
    </row>
    <row r="8084" spans="1:13" s="146" customFormat="1">
      <c r="A8084" s="193" t="s">
        <v>528</v>
      </c>
      <c r="B8084" s="210">
        <v>18</v>
      </c>
      <c r="C8084" s="191" t="str">
        <f>IF('IWP30'!E$630=0,"",'IWP30'!E$630)</f>
        <v/>
      </c>
      <c r="D8084" s="211">
        <f>'IWP30'!G$630</f>
        <v>0</v>
      </c>
      <c r="E8084" s="211">
        <f>'IWP30'!H$630</f>
        <v>0</v>
      </c>
      <c r="F8084" s="211">
        <f>'IWP30'!I$630</f>
        <v>0</v>
      </c>
      <c r="G8084" s="191" t="str">
        <f>IF('IWP30'!J$630=0,"",'IWP30'!J$630)</f>
        <v/>
      </c>
      <c r="H8084" s="211">
        <f>'IWP30'!K$630</f>
        <v>0</v>
      </c>
      <c r="I8084" s="211">
        <f>'IWP30'!L$630</f>
        <v>0</v>
      </c>
      <c r="J8084" s="212">
        <f>'IWP30'!M$630</f>
        <v>0</v>
      </c>
      <c r="K8084" s="106"/>
      <c r="L8084" s="106"/>
      <c r="M8084" s="129"/>
    </row>
    <row r="8085" spans="1:13" s="146" customFormat="1">
      <c r="A8085" s="193" t="s">
        <v>528</v>
      </c>
      <c r="B8085" s="210">
        <v>18</v>
      </c>
      <c r="C8085" s="191" t="str">
        <f>IF('IWP30'!E$631=0,"",'IWP30'!E$631)</f>
        <v/>
      </c>
      <c r="D8085" s="211">
        <f>'IWP30'!G$631</f>
        <v>0</v>
      </c>
      <c r="E8085" s="211">
        <f>'IWP30'!H$631</f>
        <v>0</v>
      </c>
      <c r="F8085" s="211">
        <f>'IWP30'!I$631</f>
        <v>0</v>
      </c>
      <c r="G8085" s="191" t="str">
        <f>IF('IWP30'!J$631=0,"",'IWP30'!J$631)</f>
        <v/>
      </c>
      <c r="H8085" s="211">
        <f>'IWP30'!K$631</f>
        <v>0</v>
      </c>
      <c r="I8085" s="211">
        <f>'IWP30'!L$631</f>
        <v>0</v>
      </c>
      <c r="J8085" s="212">
        <f>'IWP30'!M$631</f>
        <v>0</v>
      </c>
      <c r="K8085" s="106"/>
      <c r="L8085" s="106"/>
      <c r="M8085" s="129"/>
    </row>
    <row r="8086" spans="1:13" s="146" customFormat="1">
      <c r="A8086" s="193" t="s">
        <v>528</v>
      </c>
      <c r="B8086" s="210">
        <v>18</v>
      </c>
      <c r="C8086" s="191" t="str">
        <f>IF('IWP30'!E$632=0,"",'IWP30'!E$632)</f>
        <v/>
      </c>
      <c r="D8086" s="211">
        <f>'IWP30'!G$632</f>
        <v>0</v>
      </c>
      <c r="E8086" s="211">
        <f>'IWP30'!H$632</f>
        <v>0</v>
      </c>
      <c r="F8086" s="211">
        <f>'IWP30'!I$632</f>
        <v>0</v>
      </c>
      <c r="G8086" s="191" t="str">
        <f>IF('IWP30'!J$632=0,"",'IWP30'!J$632)</f>
        <v/>
      </c>
      <c r="H8086" s="211">
        <f>'IWP30'!K$632</f>
        <v>0</v>
      </c>
      <c r="I8086" s="211">
        <f>'IWP30'!L$632</f>
        <v>0</v>
      </c>
      <c r="J8086" s="212">
        <f>'IWP30'!M$632</f>
        <v>0</v>
      </c>
      <c r="K8086" s="106"/>
      <c r="L8086" s="106"/>
      <c r="M8086" s="129"/>
    </row>
    <row r="8087" spans="1:13" s="146" customFormat="1">
      <c r="A8087" s="193" t="s">
        <v>528</v>
      </c>
      <c r="B8087" s="210">
        <v>18</v>
      </c>
      <c r="C8087" s="191" t="str">
        <f>IF('IWP30'!E$633=0,"",'IWP30'!E$633)</f>
        <v/>
      </c>
      <c r="D8087" s="211">
        <f>'IWP30'!G$633</f>
        <v>0</v>
      </c>
      <c r="E8087" s="211">
        <f>'IWP30'!H$633</f>
        <v>0</v>
      </c>
      <c r="F8087" s="211">
        <f>'IWP30'!I$633</f>
        <v>0</v>
      </c>
      <c r="G8087" s="191" t="str">
        <f>IF('IWP30'!J$633=0,"",'IWP30'!J$633)</f>
        <v/>
      </c>
      <c r="H8087" s="211">
        <f>'IWP30'!K$633</f>
        <v>0</v>
      </c>
      <c r="I8087" s="211">
        <f>'IWP30'!L$633</f>
        <v>0</v>
      </c>
      <c r="J8087" s="212">
        <f>'IWP30'!M$633</f>
        <v>0</v>
      </c>
      <c r="K8087" s="106"/>
      <c r="L8087" s="106"/>
      <c r="M8087" s="129"/>
    </row>
    <row r="8088" spans="1:13" s="146" customFormat="1">
      <c r="A8088" s="193" t="s">
        <v>528</v>
      </c>
      <c r="B8088" s="210">
        <v>18</v>
      </c>
      <c r="C8088" s="191" t="str">
        <f>IF('IWP30'!E$634=0,"",'IWP30'!E$634)</f>
        <v/>
      </c>
      <c r="D8088" s="211">
        <f>'IWP30'!G$634</f>
        <v>0</v>
      </c>
      <c r="E8088" s="211">
        <f>'IWP30'!H$634</f>
        <v>0</v>
      </c>
      <c r="F8088" s="211">
        <f>'IWP30'!I$634</f>
        <v>0</v>
      </c>
      <c r="G8088" s="191" t="str">
        <f>IF('IWP30'!J$634=0,"",'IWP30'!J$634)</f>
        <v/>
      </c>
      <c r="H8088" s="211">
        <f>'IWP30'!K$634</f>
        <v>0</v>
      </c>
      <c r="I8088" s="211">
        <f>'IWP30'!L$634</f>
        <v>0</v>
      </c>
      <c r="J8088" s="212">
        <f>'IWP30'!M$634</f>
        <v>0</v>
      </c>
      <c r="K8088" s="106"/>
      <c r="L8088" s="106"/>
      <c r="M8088" s="129"/>
    </row>
    <row r="8089" spans="1:13" s="146" customFormat="1">
      <c r="A8089" s="193" t="s">
        <v>528</v>
      </c>
      <c r="B8089" s="210">
        <v>18</v>
      </c>
      <c r="C8089" s="191" t="str">
        <f>IF('IWP30'!E$635=0,"",'IWP30'!E$635)</f>
        <v/>
      </c>
      <c r="D8089" s="211">
        <f>'IWP30'!G$635</f>
        <v>0</v>
      </c>
      <c r="E8089" s="211">
        <f>'IWP30'!H$635</f>
        <v>0</v>
      </c>
      <c r="F8089" s="211">
        <f>'IWP30'!I$635</f>
        <v>0</v>
      </c>
      <c r="G8089" s="191" t="str">
        <f>IF('IWP30'!J$635=0,"",'IWP30'!J$635)</f>
        <v/>
      </c>
      <c r="H8089" s="211">
        <f>'IWP30'!K$635</f>
        <v>0</v>
      </c>
      <c r="I8089" s="211">
        <f>'IWP30'!L$635</f>
        <v>0</v>
      </c>
      <c r="J8089" s="212">
        <f>'IWP30'!M$635</f>
        <v>0</v>
      </c>
      <c r="K8089" s="106"/>
      <c r="L8089" s="106"/>
      <c r="M8089" s="129"/>
    </row>
    <row r="8090" spans="1:13" s="146" customFormat="1" ht="15.75" thickBot="1">
      <c r="A8090" s="197" t="s">
        <v>528</v>
      </c>
      <c r="B8090" s="213">
        <v>18</v>
      </c>
      <c r="C8090" s="214" t="str">
        <f>IF('IWP30'!E$636=0,"",'IWP30'!E$636)</f>
        <v/>
      </c>
      <c r="D8090" s="215">
        <f>'IWP30'!G$636</f>
        <v>0</v>
      </c>
      <c r="E8090" s="215">
        <f>'IWP30'!H$636</f>
        <v>0</v>
      </c>
      <c r="F8090" s="215">
        <f>'IWP30'!I$636</f>
        <v>0</v>
      </c>
      <c r="G8090" s="214" t="str">
        <f>IF('IWP30'!J$636=0,"",'IWP30'!J$636)</f>
        <v/>
      </c>
      <c r="H8090" s="215">
        <f>'IWP30'!K$636</f>
        <v>0</v>
      </c>
      <c r="I8090" s="215">
        <f>'IWP30'!L$636</f>
        <v>0</v>
      </c>
      <c r="J8090" s="216">
        <f>'IWP30'!M$636</f>
        <v>0</v>
      </c>
      <c r="K8090" s="106"/>
      <c r="L8090" s="106"/>
      <c r="M8090" s="129"/>
    </row>
    <row r="8091" spans="1:13" ht="15.75" thickBot="1">
      <c r="A8091" s="140"/>
      <c r="B8091" s="131"/>
      <c r="C8091" s="131"/>
      <c r="D8091" s="131"/>
      <c r="E8091" s="131"/>
      <c r="F8091" s="131"/>
      <c r="G8091" s="131"/>
      <c r="H8091" s="131"/>
      <c r="I8091" s="131"/>
      <c r="J8091" s="131"/>
      <c r="K8091" s="131"/>
      <c r="L8091" s="131"/>
      <c r="M8091" s="141"/>
    </row>
    <row r="8093" spans="1:13" ht="15.75" thickBot="1">
      <c r="A8093" s="189" t="s">
        <v>659</v>
      </c>
      <c r="B8093" s="169"/>
      <c r="C8093" s="169"/>
      <c r="D8093" s="169"/>
      <c r="E8093" s="169"/>
      <c r="F8093" s="169"/>
    </row>
    <row r="8094" spans="1:13" ht="45">
      <c r="A8094" s="252" t="s">
        <v>660</v>
      </c>
      <c r="B8094" s="253" t="s">
        <v>661</v>
      </c>
      <c r="C8094" s="253" t="s">
        <v>663</v>
      </c>
      <c r="D8094" s="253" t="s">
        <v>662</v>
      </c>
      <c r="E8094" s="253" t="s">
        <v>664</v>
      </c>
      <c r="F8094" s="253" t="s">
        <v>665</v>
      </c>
      <c r="G8094" s="253" t="s">
        <v>666</v>
      </c>
      <c r="H8094" s="255" t="s">
        <v>667</v>
      </c>
    </row>
    <row r="8095" spans="1:13" ht="15.75" thickBot="1">
      <c r="A8095" s="258" t="str">
        <f>IF('Service Backup Plan'!K22=0,"",'Service Backup Plan'!K22)</f>
        <v/>
      </c>
      <c r="B8095" s="260" t="str">
        <f>IF('Service Backup Plan'!K27=0,"",'Service Backup Plan'!K27)</f>
        <v/>
      </c>
      <c r="C8095" s="185">
        <f>IF('Service Backup Plan'!D60="",0,'Service Backup Plan'!D60)</f>
        <v>0</v>
      </c>
      <c r="D8095" s="185">
        <f>IF('Service Backup Plan'!E60="",0,'Service Backup Plan'!E60)</f>
        <v>0</v>
      </c>
      <c r="E8095" s="185">
        <f>IF('Service Backup Plan'!F60="",0,'Service Backup Plan'!F60)</f>
        <v>0</v>
      </c>
      <c r="F8095" s="185">
        <f>IF('Service Backup Plan'!H60="",0,'Service Backup Plan'!H60)</f>
        <v>0</v>
      </c>
      <c r="G8095" s="185">
        <f>IF('Service Backup Plan'!I60="",0,'Service Backup Plan'!I60)</f>
        <v>0</v>
      </c>
      <c r="H8095" s="276">
        <f>IF('Service Backup Plan'!J60="",0,'Service Backup Plan'!J60)</f>
        <v>0</v>
      </c>
    </row>
    <row r="8097" spans="1:3" ht="15.75" thickBot="1">
      <c r="A8097" s="189" t="s">
        <v>668</v>
      </c>
      <c r="B8097" s="169"/>
      <c r="C8097" s="169"/>
    </row>
    <row r="8098" spans="1:3" ht="30">
      <c r="A8098" s="252" t="s">
        <v>444</v>
      </c>
      <c r="B8098" s="253" t="s">
        <v>669</v>
      </c>
      <c r="C8098" s="255" t="s">
        <v>670</v>
      </c>
    </row>
    <row r="8099" spans="1:3">
      <c r="A8099" s="257">
        <f>IF('Service Backup Plan'!A29="",0,'Service Backup Plan'!A29)</f>
        <v>1</v>
      </c>
      <c r="B8099" s="262" t="str">
        <f>IF('Service Backup Plan'!D29=0,"",'Service Backup Plan'!D29)</f>
        <v/>
      </c>
      <c r="C8099" s="261" t="str">
        <f>IF('Service Backup Plan'!H29=0,"",'Service Backup Plan'!H29)</f>
        <v/>
      </c>
    </row>
    <row r="8100" spans="1:3">
      <c r="A8100" s="257">
        <f>IF('Service Backup Plan'!A30="",0,'Service Backup Plan'!A30)</f>
        <v>2</v>
      </c>
      <c r="B8100" s="262" t="str">
        <f>IF('Service Backup Plan'!D30=0,"",'Service Backup Plan'!D30)</f>
        <v/>
      </c>
      <c r="C8100" s="261" t="str">
        <f>IF('Service Backup Plan'!H30=0,"",'Service Backup Plan'!H30)</f>
        <v/>
      </c>
    </row>
    <row r="8101" spans="1:3">
      <c r="A8101" s="257">
        <f>IF('Service Backup Plan'!A31="",0,'Service Backup Plan'!A31)</f>
        <v>3</v>
      </c>
      <c r="B8101" s="262" t="str">
        <f>IF('Service Backup Plan'!D31=0,"",'Service Backup Plan'!D31)</f>
        <v/>
      </c>
      <c r="C8101" s="261" t="str">
        <f>IF('Service Backup Plan'!H31=0,"",'Service Backup Plan'!H31)</f>
        <v/>
      </c>
    </row>
    <row r="8102" spans="1:3">
      <c r="A8102" s="257">
        <f>IF('Service Backup Plan'!A32="",0,'Service Backup Plan'!A32)</f>
        <v>4</v>
      </c>
      <c r="B8102" s="262" t="str">
        <f>IF('Service Backup Plan'!D32=0,"",'Service Backup Plan'!D32)</f>
        <v/>
      </c>
      <c r="C8102" s="261" t="str">
        <f>IF('Service Backup Plan'!H32=0,"",'Service Backup Plan'!H32)</f>
        <v/>
      </c>
    </row>
    <row r="8103" spans="1:3">
      <c r="A8103" s="257">
        <f>IF('Service Backup Plan'!A33="",0,'Service Backup Plan'!A33)</f>
        <v>5</v>
      </c>
      <c r="B8103" s="262" t="str">
        <f>IF('Service Backup Plan'!D33=0,"",'Service Backup Plan'!D33)</f>
        <v/>
      </c>
      <c r="C8103" s="261" t="str">
        <f>IF('Service Backup Plan'!H33=0,"",'Service Backup Plan'!H33)</f>
        <v/>
      </c>
    </row>
    <row r="8104" spans="1:3">
      <c r="A8104" s="257">
        <f>IF('Service Backup Plan'!A34="",0,'Service Backup Plan'!A34)</f>
        <v>6</v>
      </c>
      <c r="B8104" s="262" t="str">
        <f>IF('Service Backup Plan'!D34=0,"",'Service Backup Plan'!D34)</f>
        <v/>
      </c>
      <c r="C8104" s="261" t="str">
        <f>IF('Service Backup Plan'!H34=0,"",'Service Backup Plan'!H34)</f>
        <v/>
      </c>
    </row>
    <row r="8105" spans="1:3">
      <c r="A8105" s="257">
        <f>IF('Service Backup Plan'!A35="",0,'Service Backup Plan'!A35)</f>
        <v>7</v>
      </c>
      <c r="B8105" s="262" t="str">
        <f>IF('Service Backup Plan'!D35=0,"",'Service Backup Plan'!D35)</f>
        <v/>
      </c>
      <c r="C8105" s="261" t="str">
        <f>IF('Service Backup Plan'!H35=0,"",'Service Backup Plan'!H35)</f>
        <v/>
      </c>
    </row>
    <row r="8106" spans="1:3">
      <c r="A8106" s="257">
        <f>IF('Service Backup Plan'!A36="",0,'Service Backup Plan'!A36)</f>
        <v>8</v>
      </c>
      <c r="B8106" s="262" t="str">
        <f>IF('Service Backup Plan'!D36=0,"",'Service Backup Plan'!D36)</f>
        <v/>
      </c>
      <c r="C8106" s="261" t="str">
        <f>IF('Service Backup Plan'!H36=0,"",'Service Backup Plan'!H36)</f>
        <v/>
      </c>
    </row>
    <row r="8107" spans="1:3">
      <c r="A8107" s="257">
        <f>IF('Service Backup Plan'!A37="",0,'Service Backup Plan'!A37)</f>
        <v>9</v>
      </c>
      <c r="B8107" s="262" t="str">
        <f>IF('Service Backup Plan'!D37=0,"",'Service Backup Plan'!D37)</f>
        <v/>
      </c>
      <c r="C8107" s="261" t="str">
        <f>IF('Service Backup Plan'!H37=0,"",'Service Backup Plan'!H37)</f>
        <v/>
      </c>
    </row>
    <row r="8108" spans="1:3">
      <c r="A8108" s="257">
        <f>IF('Service Backup Plan'!A38="",0,'Service Backup Plan'!A38)</f>
        <v>10</v>
      </c>
      <c r="B8108" s="262" t="str">
        <f>IF('Service Backup Plan'!D38=0,"",'Service Backup Plan'!D38)</f>
        <v/>
      </c>
      <c r="C8108" s="261" t="str">
        <f>IF('Service Backup Plan'!H38=0,"",'Service Backup Plan'!H38)</f>
        <v/>
      </c>
    </row>
    <row r="8109" spans="1:3">
      <c r="A8109" s="257">
        <f>IF('Service Backup Plan'!A39="",0,'Service Backup Plan'!A39)</f>
        <v>11</v>
      </c>
      <c r="B8109" s="262" t="str">
        <f>IF('Service Backup Plan'!D39=0,"",'Service Backup Plan'!D39)</f>
        <v/>
      </c>
      <c r="C8109" s="261" t="str">
        <f>IF('Service Backup Plan'!H39=0,"",'Service Backup Plan'!H39)</f>
        <v/>
      </c>
    </row>
    <row r="8110" spans="1:3">
      <c r="A8110" s="257">
        <f>IF('Service Backup Plan'!A40="",0,'Service Backup Plan'!A40)</f>
        <v>12</v>
      </c>
      <c r="B8110" s="262" t="str">
        <f>IF('Service Backup Plan'!D40=0,"",'Service Backup Plan'!D40)</f>
        <v/>
      </c>
      <c r="C8110" s="261" t="str">
        <f>IF('Service Backup Plan'!H40=0,"",'Service Backup Plan'!H40)</f>
        <v/>
      </c>
    </row>
    <row r="8111" spans="1:3">
      <c r="A8111" s="257">
        <f>IF('Service Backup Plan'!A41="",0,'Service Backup Plan'!A41)</f>
        <v>13</v>
      </c>
      <c r="B8111" s="262" t="str">
        <f>IF('Service Backup Plan'!D41=0,"",'Service Backup Plan'!D41)</f>
        <v/>
      </c>
      <c r="C8111" s="261" t="str">
        <f>IF('Service Backup Plan'!H41=0,"",'Service Backup Plan'!H41)</f>
        <v/>
      </c>
    </row>
    <row r="8112" spans="1:3">
      <c r="A8112" s="257">
        <f>IF('Service Backup Plan'!A42="",0,'Service Backup Plan'!A42)</f>
        <v>14</v>
      </c>
      <c r="B8112" s="262" t="str">
        <f>IF('Service Backup Plan'!D42=0,"",'Service Backup Plan'!D42)</f>
        <v/>
      </c>
      <c r="C8112" s="261" t="str">
        <f>IF('Service Backup Plan'!H42=0,"",'Service Backup Plan'!H42)</f>
        <v/>
      </c>
    </row>
    <row r="8113" spans="1:3">
      <c r="A8113" s="257">
        <f>IF('Service Backup Plan'!A43="",0,'Service Backup Plan'!A43)</f>
        <v>15</v>
      </c>
      <c r="B8113" s="262" t="str">
        <f>IF('Service Backup Plan'!D43=0,"",'Service Backup Plan'!D43)</f>
        <v/>
      </c>
      <c r="C8113" s="261" t="str">
        <f>IF('Service Backup Plan'!H43=0,"",'Service Backup Plan'!H43)</f>
        <v/>
      </c>
    </row>
    <row r="8114" spans="1:3">
      <c r="A8114" s="257">
        <f>IF('Service Backup Plan'!A44="",0,'Service Backup Plan'!A44)</f>
        <v>16</v>
      </c>
      <c r="B8114" s="262" t="str">
        <f>IF('Service Backup Plan'!D44=0,"",'Service Backup Plan'!D44)</f>
        <v/>
      </c>
      <c r="C8114" s="261" t="str">
        <f>IF('Service Backup Plan'!H44=0,"",'Service Backup Plan'!H44)</f>
        <v/>
      </c>
    </row>
    <row r="8115" spans="1:3">
      <c r="A8115" s="257">
        <f>IF('Service Backup Plan'!A45="",0,'Service Backup Plan'!A45)</f>
        <v>17</v>
      </c>
      <c r="B8115" s="262" t="str">
        <f>IF('Service Backup Plan'!D45=0,"",'Service Backup Plan'!D45)</f>
        <v/>
      </c>
      <c r="C8115" s="261" t="str">
        <f>IF('Service Backup Plan'!H45=0,"",'Service Backup Plan'!H45)</f>
        <v/>
      </c>
    </row>
    <row r="8116" spans="1:3">
      <c r="A8116" s="257">
        <f>IF('Service Backup Plan'!A46="",0,'Service Backup Plan'!A46)</f>
        <v>18</v>
      </c>
      <c r="B8116" s="262" t="str">
        <f>IF('Service Backup Plan'!D46=0,"",'Service Backup Plan'!D46)</f>
        <v/>
      </c>
      <c r="C8116" s="261" t="str">
        <f>IF('Service Backup Plan'!H46=0,"",'Service Backup Plan'!H46)</f>
        <v/>
      </c>
    </row>
    <row r="8117" spans="1:3">
      <c r="A8117" s="257">
        <f>IF('Service Backup Plan'!A47="",0,'Service Backup Plan'!A47)</f>
        <v>19</v>
      </c>
      <c r="B8117" s="262" t="str">
        <f>IF('Service Backup Plan'!D47=0,"",'Service Backup Plan'!D47)</f>
        <v/>
      </c>
      <c r="C8117" s="261" t="str">
        <f>IF('Service Backup Plan'!H47=0,"",'Service Backup Plan'!H47)</f>
        <v/>
      </c>
    </row>
    <row r="8118" spans="1:3">
      <c r="A8118" s="257">
        <f>IF('Service Backup Plan'!A48="",0,'Service Backup Plan'!A48)</f>
        <v>20</v>
      </c>
      <c r="B8118" s="262" t="str">
        <f>IF('Service Backup Plan'!D48=0,"",'Service Backup Plan'!D48)</f>
        <v/>
      </c>
      <c r="C8118" s="261" t="str">
        <f>IF('Service Backup Plan'!H48=0,"",'Service Backup Plan'!H48)</f>
        <v/>
      </c>
    </row>
    <row r="8119" spans="1:3">
      <c r="A8119" s="257">
        <f>IF('Service Backup Plan'!A49="",0,'Service Backup Plan'!A49)</f>
        <v>21</v>
      </c>
      <c r="B8119" s="262" t="str">
        <f>IF('Service Backup Plan'!D49=0,"",'Service Backup Plan'!D49)</f>
        <v/>
      </c>
      <c r="C8119" s="261" t="str">
        <f>IF('Service Backup Plan'!H49=0,"",'Service Backup Plan'!H49)</f>
        <v/>
      </c>
    </row>
    <row r="8120" spans="1:3">
      <c r="A8120" s="257">
        <f>IF('Service Backup Plan'!A50="",0,'Service Backup Plan'!A50)</f>
        <v>22</v>
      </c>
      <c r="B8120" s="262" t="str">
        <f>IF('Service Backup Plan'!D50=0,"",'Service Backup Plan'!D50)</f>
        <v/>
      </c>
      <c r="C8120" s="261" t="str">
        <f>IF('Service Backup Plan'!H50=0,"",'Service Backup Plan'!H50)</f>
        <v/>
      </c>
    </row>
    <row r="8121" spans="1:3">
      <c r="A8121" s="257">
        <f>IF('Service Backup Plan'!A51="",0,'Service Backup Plan'!A51)</f>
        <v>23</v>
      </c>
      <c r="B8121" s="262" t="str">
        <f>IF('Service Backup Plan'!D51=0,"",'Service Backup Plan'!D51)</f>
        <v/>
      </c>
      <c r="C8121" s="261" t="str">
        <f>IF('Service Backup Plan'!H51=0,"",'Service Backup Plan'!H51)</f>
        <v/>
      </c>
    </row>
    <row r="8122" spans="1:3">
      <c r="A8122" s="257">
        <f>IF('Service Backup Plan'!A52="",0,'Service Backup Plan'!A52)</f>
        <v>24</v>
      </c>
      <c r="B8122" s="262" t="str">
        <f>IF('Service Backup Plan'!D52=0,"",'Service Backup Plan'!D52)</f>
        <v/>
      </c>
      <c r="C8122" s="261" t="str">
        <f>IF('Service Backup Plan'!H52=0,"",'Service Backup Plan'!H52)</f>
        <v/>
      </c>
    </row>
    <row r="8123" spans="1:3">
      <c r="A8123" s="257">
        <f>IF('Service Backup Plan'!A53="",0,'Service Backup Plan'!A53)</f>
        <v>25</v>
      </c>
      <c r="B8123" s="262" t="str">
        <f>IF('Service Backup Plan'!D53=0,"",'Service Backup Plan'!D53)</f>
        <v/>
      </c>
      <c r="C8123" s="261" t="str">
        <f>IF('Service Backup Plan'!H53=0,"",'Service Backup Plan'!H53)</f>
        <v/>
      </c>
    </row>
    <row r="8124" spans="1:3">
      <c r="A8124" s="257">
        <f>IF('Service Backup Plan'!A54="",0,'Service Backup Plan'!A54)</f>
        <v>26</v>
      </c>
      <c r="B8124" s="262" t="str">
        <f>IF('Service Backup Plan'!D54=0,"",'Service Backup Plan'!D54)</f>
        <v/>
      </c>
      <c r="C8124" s="261" t="str">
        <f>IF('Service Backup Plan'!H54=0,"",'Service Backup Plan'!H54)</f>
        <v/>
      </c>
    </row>
    <row r="8125" spans="1:3">
      <c r="A8125" s="257">
        <f>IF('Service Backup Plan'!A55="",0,'Service Backup Plan'!A55)</f>
        <v>27</v>
      </c>
      <c r="B8125" s="262" t="str">
        <f>IF('Service Backup Plan'!D55=0,"",'Service Backup Plan'!D55)</f>
        <v/>
      </c>
      <c r="C8125" s="261" t="str">
        <f>IF('Service Backup Plan'!H55=0,"",'Service Backup Plan'!H55)</f>
        <v/>
      </c>
    </row>
    <row r="8126" spans="1:3">
      <c r="A8126" s="257">
        <f>IF('Service Backup Plan'!A56="",0,'Service Backup Plan'!A56)</f>
        <v>28</v>
      </c>
      <c r="B8126" s="262" t="str">
        <f>IF('Service Backup Plan'!D56=0,"",'Service Backup Plan'!D56)</f>
        <v/>
      </c>
      <c r="C8126" s="261" t="str">
        <f>IF('Service Backup Plan'!H56=0,"",'Service Backup Plan'!H56)</f>
        <v/>
      </c>
    </row>
    <row r="8127" spans="1:3">
      <c r="A8127" s="257">
        <f>IF('Service Backup Plan'!A57="",0,'Service Backup Plan'!A57)</f>
        <v>29</v>
      </c>
      <c r="B8127" s="262" t="str">
        <f>IF('Service Backup Plan'!D57=0,"",'Service Backup Plan'!D57)</f>
        <v/>
      </c>
      <c r="C8127" s="261" t="str">
        <f>IF('Service Backup Plan'!H57=0,"",'Service Backup Plan'!H57)</f>
        <v/>
      </c>
    </row>
    <row r="8128" spans="1:3" ht="15.75" thickBot="1">
      <c r="A8128" s="258">
        <f>IF('Service Backup Plan'!A58="",0,'Service Backup Plan'!A58)</f>
        <v>30</v>
      </c>
      <c r="B8128" s="260" t="str">
        <f>IF('Service Backup Plan'!D58=0,"",'Service Backup Plan'!D58)</f>
        <v/>
      </c>
      <c r="C8128" s="259" t="str">
        <f>IF('Service Backup Plan'!H58=0,"",'Service Backup Plan'!H58)</f>
        <v/>
      </c>
    </row>
  </sheetData>
  <sheetProtection algorithmName="SHA-512" hashValue="L6RrYYsHSkyEteJSiJUzR4L8XrhRGtyyUfSj8cWUDBpoixK/VP7/2ozuvcYKyStFXHKUGGp5avXKU0ZqUitypw==" saltValue="W/M3rdkrPLV67If1i1yiBQ==" spinCount="100000" sheet="1" objects="1" scenarios="1" selectLockedCells="1"/>
  <customSheetViews>
    <customSheetView guid="{A316F603-36BB-45F0-8A3D-94F56F16B8BC}" state="hidden">
      <pageMargins left="0.7" right="0.7" top="0.75" bottom="0.75" header="0.3" footer="0.3"/>
      <pageSetup orientation="portrait" r:id="rId1"/>
    </customSheetView>
    <customSheetView guid="{99F5D17F-5AC0-418F-9D70-825920124F2C}" state="hidden">
      <selection activeCell="A2713" sqref="A2713"/>
      <pageMargins left="0.7" right="0.7" top="0.75" bottom="0.75" header="0.3" footer="0.3"/>
      <pageSetup orientation="portrait" r:id="rId2"/>
    </customSheetView>
    <customSheetView guid="{341C6106-BE79-4CDE-A40C-FC24AA59D1EA}" state="hidden">
      <pageMargins left="0.7" right="0.7" top="0.75" bottom="0.75" header="0.3" footer="0.3"/>
      <pageSetup orientation="portrait" r:id="rId3"/>
    </customSheetView>
  </customSheetView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2</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8"/>
      <c r="R62" s="251" t="str">
        <f t="shared" ref="R62:R81" si="0">IF(A62="","",IF(Z62="E","E",IF(Z62="Y","Y","")))</f>
        <v/>
      </c>
      <c r="S62" s="310" t="str">
        <f t="shared" ref="S62:S81" si="1">IF($A62="",IF(K62="","","E"),IF($Z62="E","E",IF(AND($Z62="Y",AC62="Y"),IF(K62="","E",K62),"")))</f>
        <v/>
      </c>
      <c r="T62" s="310" t="str">
        <f t="shared" ref="T62:T81" si="2">IF($A62="",IF(L62="","","E"),IF($Z62="E","E",IF($Z62="Y",IF(L62="","E",L62),"")))</f>
        <v/>
      </c>
      <c r="U62" s="310" t="str">
        <f t="shared" ref="U62:U81" si="3">IF($A62="",IF(O62="","","E"),IF($W62="E","E",IF($W62="Y",IF(O62="","E",O62),"")))</f>
        <v/>
      </c>
      <c r="V62" s="310" t="str">
        <f t="shared" ref="V62:V81" si="4">IF($A62="",IF(N62="","","E"),IF($Z62="E","E",IF($Z62="Y",IF(N62="","E",N62),"")))</f>
        <v/>
      </c>
      <c r="W62" s="310"/>
      <c r="X62" s="310" t="str">
        <f t="shared" ref="X62:X81" si="5">IF($A62="",IF(P62="","","E"),IF($Z62="E","E",IF($Z62="Y",IF(P62="","E",P62),"")))</f>
        <v/>
      </c>
      <c r="Y62" s="310" t="str">
        <f t="shared" ref="Y62:Y81" ca="1" si="6">IF(AND(OR(A62&lt;&gt;"",C62&lt;&gt;""),OR(G62&lt;$F$2,G62&gt;$H$2)),"Y",IF(G62="","","N"))</f>
        <v/>
      </c>
      <c r="Z62" s="310"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310"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8"/>
      <c r="R63" s="251" t="str">
        <f t="shared" si="0"/>
        <v/>
      </c>
      <c r="S63" s="310" t="str">
        <f t="shared" si="1"/>
        <v/>
      </c>
      <c r="T63" s="310" t="str">
        <f t="shared" si="2"/>
        <v/>
      </c>
      <c r="U63" s="310" t="str">
        <f t="shared" si="3"/>
        <v/>
      </c>
      <c r="V63" s="310" t="str">
        <f t="shared" si="4"/>
        <v/>
      </c>
      <c r="W63" s="310"/>
      <c r="X63" s="310" t="str">
        <f t="shared" si="5"/>
        <v/>
      </c>
      <c r="Y63" s="310" t="str">
        <f t="shared" ca="1" si="6"/>
        <v/>
      </c>
      <c r="Z63" s="310" t="str">
        <f t="shared" si="7"/>
        <v/>
      </c>
      <c r="AA63" s="310" t="str">
        <f t="shared" ref="AA63:AA81" si="9">IF(AND(G63&lt;&gt;"",OR(H63="",K63="")),"E",IF(AND(G63="",OR(H63&lt;&gt;"",K63&lt;&gt;"")),"EE",IF(AND(G63="",H63="",K63=""),"",IF(AND(H63&lt;&gt;"",K63="N"),"N",IF(AND(H63="NA",K63=""),"NA","Y")))))</f>
        <v/>
      </c>
      <c r="AB63" s="310" t="str">
        <f t="shared" ref="AB63:AB81" si="10">IF(AND(G63&lt;&gt;"",L63=""),"E",IF(AND(G63="",L63&lt;&gt;""),"EE",IF(L63="","",L63)))</f>
        <v/>
      </c>
      <c r="AC63" s="310"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8"/>
      <c r="R64" s="251" t="str">
        <f t="shared" si="0"/>
        <v/>
      </c>
      <c r="S64" s="310" t="str">
        <f t="shared" si="1"/>
        <v/>
      </c>
      <c r="T64" s="310" t="str">
        <f t="shared" si="2"/>
        <v/>
      </c>
      <c r="U64" s="310" t="str">
        <f t="shared" si="3"/>
        <v/>
      </c>
      <c r="V64" s="310" t="str">
        <f t="shared" si="4"/>
        <v/>
      </c>
      <c r="W64" s="310"/>
      <c r="X64" s="310" t="str">
        <f t="shared" si="5"/>
        <v/>
      </c>
      <c r="Y64" s="310" t="str">
        <f t="shared" ca="1" si="6"/>
        <v/>
      </c>
      <c r="Z64" s="310" t="str">
        <f t="shared" si="7"/>
        <v/>
      </c>
      <c r="AA64" s="310" t="str">
        <f t="shared" si="9"/>
        <v/>
      </c>
      <c r="AB64" s="310" t="str">
        <f t="shared" si="10"/>
        <v/>
      </c>
      <c r="AC64" s="310"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8"/>
      <c r="R65" s="251" t="str">
        <f t="shared" si="0"/>
        <v/>
      </c>
      <c r="S65" s="310" t="str">
        <f t="shared" si="1"/>
        <v/>
      </c>
      <c r="T65" s="310" t="str">
        <f t="shared" si="2"/>
        <v/>
      </c>
      <c r="U65" s="310" t="str">
        <f t="shared" si="3"/>
        <v/>
      </c>
      <c r="V65" s="310" t="str">
        <f t="shared" si="4"/>
        <v/>
      </c>
      <c r="W65" s="310"/>
      <c r="X65" s="310" t="str">
        <f t="shared" si="5"/>
        <v/>
      </c>
      <c r="Y65" s="310" t="str">
        <f t="shared" ca="1" si="6"/>
        <v/>
      </c>
      <c r="Z65" s="310" t="str">
        <f t="shared" si="7"/>
        <v/>
      </c>
      <c r="AA65" s="310" t="str">
        <f t="shared" si="9"/>
        <v/>
      </c>
      <c r="AB65" s="310" t="str">
        <f t="shared" si="10"/>
        <v/>
      </c>
      <c r="AC65" s="310"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8"/>
      <c r="R66" s="251" t="str">
        <f t="shared" si="0"/>
        <v/>
      </c>
      <c r="S66" s="310" t="str">
        <f t="shared" si="1"/>
        <v/>
      </c>
      <c r="T66" s="310" t="str">
        <f t="shared" si="2"/>
        <v/>
      </c>
      <c r="U66" s="310" t="str">
        <f t="shared" si="3"/>
        <v/>
      </c>
      <c r="V66" s="310" t="str">
        <f t="shared" si="4"/>
        <v/>
      </c>
      <c r="W66" s="310"/>
      <c r="X66" s="310" t="str">
        <f t="shared" si="5"/>
        <v/>
      </c>
      <c r="Y66" s="310" t="str">
        <f t="shared" ca="1" si="6"/>
        <v/>
      </c>
      <c r="Z66" s="310" t="str">
        <f t="shared" si="7"/>
        <v/>
      </c>
      <c r="AA66" s="310" t="str">
        <f t="shared" si="9"/>
        <v/>
      </c>
      <c r="AB66" s="310" t="str">
        <f t="shared" si="10"/>
        <v/>
      </c>
      <c r="AC66" s="310"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8"/>
      <c r="R67" s="251" t="str">
        <f t="shared" si="0"/>
        <v/>
      </c>
      <c r="S67" s="310" t="str">
        <f t="shared" si="1"/>
        <v/>
      </c>
      <c r="T67" s="310" t="str">
        <f t="shared" si="2"/>
        <v/>
      </c>
      <c r="U67" s="310" t="str">
        <f t="shared" si="3"/>
        <v/>
      </c>
      <c r="V67" s="310" t="str">
        <f t="shared" si="4"/>
        <v/>
      </c>
      <c r="W67" s="310"/>
      <c r="X67" s="310" t="str">
        <f t="shared" si="5"/>
        <v/>
      </c>
      <c r="Y67" s="310" t="str">
        <f t="shared" ca="1" si="6"/>
        <v/>
      </c>
      <c r="Z67" s="310" t="str">
        <f t="shared" si="7"/>
        <v/>
      </c>
      <c r="AA67" s="310" t="str">
        <f t="shared" si="9"/>
        <v/>
      </c>
      <c r="AB67" s="310" t="str">
        <f t="shared" si="10"/>
        <v/>
      </c>
      <c r="AC67" s="310"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8"/>
      <c r="R68" s="251" t="str">
        <f t="shared" si="0"/>
        <v/>
      </c>
      <c r="S68" s="310" t="str">
        <f t="shared" si="1"/>
        <v/>
      </c>
      <c r="T68" s="310" t="str">
        <f t="shared" si="2"/>
        <v/>
      </c>
      <c r="U68" s="310" t="str">
        <f t="shared" si="3"/>
        <v/>
      </c>
      <c r="V68" s="310" t="str">
        <f t="shared" si="4"/>
        <v/>
      </c>
      <c r="W68" s="310"/>
      <c r="X68" s="310" t="str">
        <f t="shared" si="5"/>
        <v/>
      </c>
      <c r="Y68" s="310" t="str">
        <f t="shared" ca="1" si="6"/>
        <v/>
      </c>
      <c r="Z68" s="310" t="str">
        <f t="shared" si="7"/>
        <v/>
      </c>
      <c r="AA68" s="310" t="str">
        <f t="shared" si="9"/>
        <v/>
      </c>
      <c r="AB68" s="310" t="str">
        <f t="shared" si="10"/>
        <v/>
      </c>
      <c r="AC68" s="310"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8"/>
      <c r="R69" s="251" t="str">
        <f t="shared" si="0"/>
        <v/>
      </c>
      <c r="S69" s="310" t="str">
        <f t="shared" si="1"/>
        <v/>
      </c>
      <c r="T69" s="310" t="str">
        <f t="shared" si="2"/>
        <v/>
      </c>
      <c r="U69" s="310" t="str">
        <f t="shared" si="3"/>
        <v/>
      </c>
      <c r="V69" s="310" t="str">
        <f t="shared" si="4"/>
        <v/>
      </c>
      <c r="W69" s="310"/>
      <c r="X69" s="310" t="str">
        <f t="shared" si="5"/>
        <v/>
      </c>
      <c r="Y69" s="310" t="str">
        <f t="shared" ca="1" si="6"/>
        <v/>
      </c>
      <c r="Z69" s="310" t="str">
        <f t="shared" si="7"/>
        <v/>
      </c>
      <c r="AA69" s="310" t="str">
        <f t="shared" si="9"/>
        <v/>
      </c>
      <c r="AB69" s="310" t="str">
        <f t="shared" si="10"/>
        <v/>
      </c>
      <c r="AC69" s="310"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8"/>
      <c r="R70" s="251" t="str">
        <f t="shared" si="0"/>
        <v/>
      </c>
      <c r="S70" s="310" t="str">
        <f t="shared" si="1"/>
        <v/>
      </c>
      <c r="T70" s="310" t="str">
        <f t="shared" si="2"/>
        <v/>
      </c>
      <c r="U70" s="310" t="str">
        <f t="shared" si="3"/>
        <v/>
      </c>
      <c r="V70" s="310" t="str">
        <f t="shared" si="4"/>
        <v/>
      </c>
      <c r="W70" s="310"/>
      <c r="X70" s="310" t="str">
        <f t="shared" si="5"/>
        <v/>
      </c>
      <c r="Y70" s="310" t="str">
        <f t="shared" ca="1" si="6"/>
        <v/>
      </c>
      <c r="Z70" s="310" t="str">
        <f t="shared" si="7"/>
        <v/>
      </c>
      <c r="AA70" s="310" t="str">
        <f t="shared" si="9"/>
        <v/>
      </c>
      <c r="AB70" s="310" t="str">
        <f t="shared" si="10"/>
        <v/>
      </c>
      <c r="AC70" s="310"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8"/>
      <c r="R71" s="251" t="str">
        <f t="shared" si="0"/>
        <v/>
      </c>
      <c r="S71" s="310" t="str">
        <f t="shared" si="1"/>
        <v/>
      </c>
      <c r="T71" s="310" t="str">
        <f t="shared" si="2"/>
        <v/>
      </c>
      <c r="U71" s="310" t="str">
        <f t="shared" si="3"/>
        <v/>
      </c>
      <c r="V71" s="310" t="str">
        <f t="shared" si="4"/>
        <v/>
      </c>
      <c r="W71" s="310"/>
      <c r="X71" s="310" t="str">
        <f t="shared" si="5"/>
        <v/>
      </c>
      <c r="Y71" s="310" t="str">
        <f t="shared" ca="1" si="6"/>
        <v/>
      </c>
      <c r="Z71" s="310" t="str">
        <f t="shared" si="7"/>
        <v/>
      </c>
      <c r="AA71" s="310" t="str">
        <f t="shared" si="9"/>
        <v/>
      </c>
      <c r="AB71" s="310" t="str">
        <f t="shared" si="10"/>
        <v/>
      </c>
      <c r="AC71" s="310"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8"/>
      <c r="R72" s="251" t="str">
        <f t="shared" si="0"/>
        <v/>
      </c>
      <c r="S72" s="310" t="str">
        <f t="shared" si="1"/>
        <v/>
      </c>
      <c r="T72" s="310" t="str">
        <f t="shared" si="2"/>
        <v/>
      </c>
      <c r="U72" s="310" t="str">
        <f t="shared" si="3"/>
        <v/>
      </c>
      <c r="V72" s="310" t="str">
        <f t="shared" si="4"/>
        <v/>
      </c>
      <c r="W72" s="310"/>
      <c r="X72" s="310" t="str">
        <f t="shared" si="5"/>
        <v/>
      </c>
      <c r="Y72" s="310" t="str">
        <f t="shared" ca="1" si="6"/>
        <v/>
      </c>
      <c r="Z72" s="310" t="str">
        <f t="shared" si="7"/>
        <v/>
      </c>
      <c r="AA72" s="310" t="str">
        <f t="shared" si="9"/>
        <v/>
      </c>
      <c r="AB72" s="310" t="str">
        <f t="shared" si="10"/>
        <v/>
      </c>
      <c r="AC72" s="310"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8"/>
      <c r="R73" s="251" t="str">
        <f t="shared" si="0"/>
        <v/>
      </c>
      <c r="S73" s="310" t="str">
        <f t="shared" si="1"/>
        <v/>
      </c>
      <c r="T73" s="310" t="str">
        <f t="shared" si="2"/>
        <v/>
      </c>
      <c r="U73" s="310" t="str">
        <f t="shared" si="3"/>
        <v/>
      </c>
      <c r="V73" s="310" t="str">
        <f t="shared" si="4"/>
        <v/>
      </c>
      <c r="W73" s="310"/>
      <c r="X73" s="310" t="str">
        <f t="shared" si="5"/>
        <v/>
      </c>
      <c r="Y73" s="310" t="str">
        <f t="shared" ca="1" si="6"/>
        <v/>
      </c>
      <c r="Z73" s="310" t="str">
        <f t="shared" si="7"/>
        <v/>
      </c>
      <c r="AA73" s="310" t="str">
        <f t="shared" si="9"/>
        <v/>
      </c>
      <c r="AB73" s="310" t="str">
        <f t="shared" si="10"/>
        <v/>
      </c>
      <c r="AC73" s="310"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8"/>
      <c r="R74" s="251" t="str">
        <f t="shared" si="0"/>
        <v/>
      </c>
      <c r="S74" s="310" t="str">
        <f t="shared" si="1"/>
        <v/>
      </c>
      <c r="T74" s="310" t="str">
        <f t="shared" si="2"/>
        <v/>
      </c>
      <c r="U74" s="310" t="str">
        <f t="shared" si="3"/>
        <v/>
      </c>
      <c r="V74" s="310" t="str">
        <f t="shared" si="4"/>
        <v/>
      </c>
      <c r="W74" s="310"/>
      <c r="X74" s="310" t="str">
        <f t="shared" si="5"/>
        <v/>
      </c>
      <c r="Y74" s="310" t="str">
        <f t="shared" ca="1" si="6"/>
        <v/>
      </c>
      <c r="Z74" s="310" t="str">
        <f t="shared" si="7"/>
        <v/>
      </c>
      <c r="AA74" s="310" t="str">
        <f t="shared" si="9"/>
        <v/>
      </c>
      <c r="AB74" s="310" t="str">
        <f t="shared" si="10"/>
        <v/>
      </c>
      <c r="AC74" s="310"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8"/>
      <c r="R75" s="251" t="str">
        <f t="shared" si="0"/>
        <v/>
      </c>
      <c r="S75" s="310" t="str">
        <f t="shared" si="1"/>
        <v/>
      </c>
      <c r="T75" s="310" t="str">
        <f t="shared" si="2"/>
        <v/>
      </c>
      <c r="U75" s="310" t="str">
        <f t="shared" si="3"/>
        <v/>
      </c>
      <c r="V75" s="310" t="str">
        <f t="shared" si="4"/>
        <v/>
      </c>
      <c r="W75" s="310"/>
      <c r="X75" s="310" t="str">
        <f t="shared" si="5"/>
        <v/>
      </c>
      <c r="Y75" s="310" t="str">
        <f t="shared" ca="1" si="6"/>
        <v/>
      </c>
      <c r="Z75" s="310" t="str">
        <f t="shared" si="7"/>
        <v/>
      </c>
      <c r="AA75" s="310" t="str">
        <f t="shared" si="9"/>
        <v/>
      </c>
      <c r="AB75" s="310" t="str">
        <f t="shared" si="10"/>
        <v/>
      </c>
      <c r="AC75" s="310"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8"/>
      <c r="R76" s="251" t="str">
        <f t="shared" si="0"/>
        <v/>
      </c>
      <c r="S76" s="310" t="str">
        <f t="shared" si="1"/>
        <v/>
      </c>
      <c r="T76" s="310" t="str">
        <f t="shared" si="2"/>
        <v/>
      </c>
      <c r="U76" s="310" t="str">
        <f t="shared" si="3"/>
        <v/>
      </c>
      <c r="V76" s="310" t="str">
        <f t="shared" si="4"/>
        <v/>
      </c>
      <c r="W76" s="310"/>
      <c r="X76" s="310" t="str">
        <f t="shared" si="5"/>
        <v/>
      </c>
      <c r="Y76" s="310" t="str">
        <f t="shared" ca="1" si="6"/>
        <v/>
      </c>
      <c r="Z76" s="310" t="str">
        <f t="shared" si="7"/>
        <v/>
      </c>
      <c r="AA76" s="310" t="str">
        <f t="shared" si="9"/>
        <v/>
      </c>
      <c r="AB76" s="310" t="str">
        <f t="shared" si="10"/>
        <v/>
      </c>
      <c r="AC76" s="310"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8"/>
      <c r="R77" s="251" t="str">
        <f t="shared" si="0"/>
        <v/>
      </c>
      <c r="S77" s="310" t="str">
        <f t="shared" si="1"/>
        <v/>
      </c>
      <c r="T77" s="310" t="str">
        <f t="shared" si="2"/>
        <v/>
      </c>
      <c r="U77" s="310" t="str">
        <f t="shared" si="3"/>
        <v/>
      </c>
      <c r="V77" s="310" t="str">
        <f t="shared" si="4"/>
        <v/>
      </c>
      <c r="W77" s="310"/>
      <c r="X77" s="310" t="str">
        <f t="shared" si="5"/>
        <v/>
      </c>
      <c r="Y77" s="310" t="str">
        <f t="shared" ca="1" si="6"/>
        <v/>
      </c>
      <c r="Z77" s="310" t="str">
        <f t="shared" si="7"/>
        <v/>
      </c>
      <c r="AA77" s="310" t="str">
        <f t="shared" si="9"/>
        <v/>
      </c>
      <c r="AB77" s="310" t="str">
        <f t="shared" si="10"/>
        <v/>
      </c>
      <c r="AC77" s="310"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8"/>
      <c r="R78" s="251" t="str">
        <f t="shared" si="0"/>
        <v/>
      </c>
      <c r="S78" s="310" t="str">
        <f t="shared" si="1"/>
        <v/>
      </c>
      <c r="T78" s="310" t="str">
        <f t="shared" si="2"/>
        <v/>
      </c>
      <c r="U78" s="310" t="str">
        <f t="shared" si="3"/>
        <v/>
      </c>
      <c r="V78" s="310" t="str">
        <f t="shared" si="4"/>
        <v/>
      </c>
      <c r="W78" s="310"/>
      <c r="X78" s="310" t="str">
        <f t="shared" si="5"/>
        <v/>
      </c>
      <c r="Y78" s="310" t="str">
        <f t="shared" ca="1" si="6"/>
        <v/>
      </c>
      <c r="Z78" s="310" t="str">
        <f t="shared" si="7"/>
        <v/>
      </c>
      <c r="AA78" s="310" t="str">
        <f t="shared" si="9"/>
        <v/>
      </c>
      <c r="AB78" s="310" t="str">
        <f t="shared" si="10"/>
        <v/>
      </c>
      <c r="AC78" s="310"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8"/>
      <c r="R79" s="251" t="str">
        <f t="shared" si="0"/>
        <v/>
      </c>
      <c r="S79" s="310" t="str">
        <f t="shared" si="1"/>
        <v/>
      </c>
      <c r="T79" s="310" t="str">
        <f t="shared" si="2"/>
        <v/>
      </c>
      <c r="U79" s="310" t="str">
        <f t="shared" si="3"/>
        <v/>
      </c>
      <c r="V79" s="310" t="str">
        <f t="shared" si="4"/>
        <v/>
      </c>
      <c r="W79" s="310"/>
      <c r="X79" s="310" t="str">
        <f t="shared" si="5"/>
        <v/>
      </c>
      <c r="Y79" s="310" t="str">
        <f t="shared" ca="1" si="6"/>
        <v/>
      </c>
      <c r="Z79" s="310" t="str">
        <f t="shared" si="7"/>
        <v/>
      </c>
      <c r="AA79" s="310" t="str">
        <f t="shared" si="9"/>
        <v/>
      </c>
      <c r="AB79" s="310" t="str">
        <f t="shared" si="10"/>
        <v/>
      </c>
      <c r="AC79" s="310"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8"/>
      <c r="R80" s="251" t="str">
        <f t="shared" si="0"/>
        <v/>
      </c>
      <c r="S80" s="310" t="str">
        <f t="shared" si="1"/>
        <v/>
      </c>
      <c r="T80" s="310" t="str">
        <f t="shared" si="2"/>
        <v/>
      </c>
      <c r="U80" s="310" t="str">
        <f t="shared" si="3"/>
        <v/>
      </c>
      <c r="V80" s="310" t="str">
        <f t="shared" si="4"/>
        <v/>
      </c>
      <c r="W80" s="310"/>
      <c r="X80" s="310" t="str">
        <f t="shared" si="5"/>
        <v/>
      </c>
      <c r="Y80" s="310" t="str">
        <f t="shared" ca="1" si="6"/>
        <v/>
      </c>
      <c r="Z80" s="310" t="str">
        <f t="shared" si="7"/>
        <v/>
      </c>
      <c r="AA80" s="310" t="str">
        <f t="shared" si="9"/>
        <v/>
      </c>
      <c r="AB80" s="310" t="str">
        <f t="shared" si="10"/>
        <v/>
      </c>
      <c r="AC80" s="310"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8"/>
      <c r="R81" s="251" t="str">
        <f t="shared" si="0"/>
        <v/>
      </c>
      <c r="S81" s="310" t="str">
        <f t="shared" si="1"/>
        <v/>
      </c>
      <c r="T81" s="310" t="str">
        <f t="shared" si="2"/>
        <v/>
      </c>
      <c r="U81" s="310" t="str">
        <f t="shared" si="3"/>
        <v/>
      </c>
      <c r="V81" s="310" t="str">
        <f t="shared" si="4"/>
        <v/>
      </c>
      <c r="W81" s="310"/>
      <c r="X81" s="310" t="str">
        <f t="shared" si="5"/>
        <v/>
      </c>
      <c r="Y81" s="310" t="str">
        <f t="shared" ca="1" si="6"/>
        <v/>
      </c>
      <c r="Z81" s="310" t="str">
        <f t="shared" si="7"/>
        <v/>
      </c>
      <c r="AA81" s="310" t="str">
        <f t="shared" si="9"/>
        <v/>
      </c>
      <c r="AB81" s="310" t="str">
        <f t="shared" si="10"/>
        <v/>
      </c>
      <c r="AC81" s="310"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791"/>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4.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0" t="s">
        <v>157</v>
      </c>
      <c r="R180" s="359"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7.25"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983" t="s">
        <v>808</v>
      </c>
      <c r="B259" s="984"/>
      <c r="C259" s="984"/>
      <c r="D259" s="984"/>
      <c r="E259" s="984"/>
      <c r="F259" s="984"/>
      <c r="G259" s="984"/>
      <c r="H259" s="984"/>
      <c r="I259" s="984"/>
      <c r="J259" s="1068"/>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YtaOnc8PFM5hKNZjDk7GQpSt9sE3I6u/RKiif+0WIjpisiD04AHt4lV9qavENN9y9X/3OeWdiPZbcKvg+gIR0A==" saltValue="VqMD0VS701Sp1rCOboFGfw=="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A248:B248"/>
    <mergeCell ref="C248:D248"/>
    <mergeCell ref="H248:I248"/>
    <mergeCell ref="J248:K248"/>
    <mergeCell ref="L248:M248"/>
    <mergeCell ref="A249:B249"/>
    <mergeCell ref="C249:D249"/>
    <mergeCell ref="H249:I249"/>
    <mergeCell ref="J249:K249"/>
    <mergeCell ref="L249:M249"/>
    <mergeCell ref="A250:B250"/>
    <mergeCell ref="C250:D250"/>
    <mergeCell ref="H250:I250"/>
    <mergeCell ref="J250:K250"/>
    <mergeCell ref="L250:M250"/>
    <mergeCell ref="E247:G247"/>
    <mergeCell ref="E248:G248"/>
    <mergeCell ref="E249:G249"/>
    <mergeCell ref="E250:G25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247:B247"/>
    <mergeCell ref="C247:D247"/>
    <mergeCell ref="H247:I247"/>
    <mergeCell ref="J247:K247"/>
    <mergeCell ref="L247:M247"/>
    <mergeCell ref="A65:B65"/>
    <mergeCell ref="C65:D65"/>
    <mergeCell ref="A66:B66"/>
    <mergeCell ref="C66:D66"/>
    <mergeCell ref="A63:B63"/>
    <mergeCell ref="C63:D63"/>
    <mergeCell ref="A64:B64"/>
    <mergeCell ref="C64:D64"/>
    <mergeCell ref="A61:B61"/>
    <mergeCell ref="C61:D61"/>
    <mergeCell ref="A62:B62"/>
    <mergeCell ref="C62:D62"/>
    <mergeCell ref="N49:N60"/>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L52:M54"/>
    <mergeCell ref="H53:I60"/>
    <mergeCell ref="L55:M60"/>
    <mergeCell ref="O49:O60"/>
    <mergeCell ref="P49:P60"/>
    <mergeCell ref="A50:E50"/>
    <mergeCell ref="A51:E51"/>
    <mergeCell ref="A52:E52"/>
    <mergeCell ref="A53:E53"/>
    <mergeCell ref="A49:E49"/>
    <mergeCell ref="F49:F60"/>
    <mergeCell ref="A54:E60"/>
    <mergeCell ref="C68:D68"/>
    <mergeCell ref="L72:M72"/>
    <mergeCell ref="A77:B77"/>
    <mergeCell ref="C77:D77"/>
    <mergeCell ref="A78:B78"/>
    <mergeCell ref="C78:D78"/>
    <mergeCell ref="A75:B75"/>
    <mergeCell ref="C75:D75"/>
    <mergeCell ref="A76:B76"/>
    <mergeCell ref="C76:D76"/>
    <mergeCell ref="A73:B73"/>
    <mergeCell ref="C73:D73"/>
    <mergeCell ref="A74:B74"/>
    <mergeCell ref="C74:D74"/>
    <mergeCell ref="L73:M73"/>
    <mergeCell ref="L74:M74"/>
    <mergeCell ref="L75:M75"/>
    <mergeCell ref="L76:M76"/>
    <mergeCell ref="L77:M77"/>
    <mergeCell ref="L78:M7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1:B71"/>
    <mergeCell ref="C71:D71"/>
    <mergeCell ref="A72:B72"/>
    <mergeCell ref="C72:D72"/>
    <mergeCell ref="A69:B69"/>
    <mergeCell ref="C69:D69"/>
    <mergeCell ref="A70:B70"/>
    <mergeCell ref="C70:D70"/>
    <mergeCell ref="A67:B67"/>
    <mergeCell ref="C67:D67"/>
    <mergeCell ref="A68:B68"/>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5:B245"/>
    <mergeCell ref="C245:D245"/>
    <mergeCell ref="H245:I245"/>
    <mergeCell ref="J245:K245"/>
    <mergeCell ref="L245:M245"/>
    <mergeCell ref="A246:B246"/>
    <mergeCell ref="C246:D246"/>
    <mergeCell ref="H246:I246"/>
    <mergeCell ref="J246:K246"/>
    <mergeCell ref="L246:M246"/>
    <mergeCell ref="A243:B243"/>
    <mergeCell ref="C243:D243"/>
    <mergeCell ref="H243:I243"/>
    <mergeCell ref="J243:K243"/>
    <mergeCell ref="L243:M243"/>
    <mergeCell ref="A244:B244"/>
    <mergeCell ref="C244:D244"/>
    <mergeCell ref="H244:I244"/>
    <mergeCell ref="J244:K244"/>
    <mergeCell ref="L244:M244"/>
    <mergeCell ref="E243:G243"/>
    <mergeCell ref="E244:G244"/>
    <mergeCell ref="E245:G245"/>
    <mergeCell ref="E246:G246"/>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E251:G251"/>
    <mergeCell ref="E252:G252"/>
    <mergeCell ref="E253:G253"/>
    <mergeCell ref="E254:G254"/>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55:G255"/>
    <mergeCell ref="E256:G256"/>
    <mergeCell ref="E257:G257"/>
    <mergeCell ref="E258:G258"/>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3</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0" t="s">
        <v>157</v>
      </c>
      <c r="R180" s="359"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f8Oxz9SNs9Ea4dBRHzJFxg+C7MrnRIf33p0UdzH2+gmFY9ymOJd3qjIMTD0vWTKGvtY35RmZUdted7LW1b6MdQ==" saltValue="4u7O4slNRsUjdDRFB/RB0w=="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6:I246"/>
    <mergeCell ref="J246:K246"/>
    <mergeCell ref="L246:M246"/>
    <mergeCell ref="A247:B247"/>
    <mergeCell ref="C247:D247"/>
    <mergeCell ref="H247:I247"/>
    <mergeCell ref="J247:K247"/>
    <mergeCell ref="L247:M247"/>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8:B248"/>
    <mergeCell ref="C248:D248"/>
    <mergeCell ref="H248:I248"/>
    <mergeCell ref="J248:K248"/>
    <mergeCell ref="L248:M248"/>
    <mergeCell ref="A244:B244"/>
    <mergeCell ref="C244:D244"/>
    <mergeCell ref="H244:I244"/>
    <mergeCell ref="J244:K244"/>
    <mergeCell ref="L244:M244"/>
    <mergeCell ref="A245:B245"/>
    <mergeCell ref="C245:D245"/>
    <mergeCell ref="H245:I245"/>
    <mergeCell ref="J245:K245"/>
    <mergeCell ref="L245:M245"/>
    <mergeCell ref="A246:B246"/>
    <mergeCell ref="C246:D246"/>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4</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0" t="s">
        <v>157</v>
      </c>
      <c r="R180" s="359"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AzJDPonOpNI4LZRxska4f5gUzsw7QwUw9CXvj45w/Fp/kKrYoh4KqUwOMchby27NrBzfhDyl0CHqR7MNjlPnag==" saltValue="k56rTfC1R1S8JJJq62fBVA=="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6:I246"/>
    <mergeCell ref="J246:K246"/>
    <mergeCell ref="L246:M246"/>
    <mergeCell ref="A247:B247"/>
    <mergeCell ref="C247:D247"/>
    <mergeCell ref="H247:I247"/>
    <mergeCell ref="J247:K247"/>
    <mergeCell ref="L247:M247"/>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8:B248"/>
    <mergeCell ref="C248:D248"/>
    <mergeCell ref="H248:I248"/>
    <mergeCell ref="J248:K248"/>
    <mergeCell ref="L248:M248"/>
    <mergeCell ref="A244:B244"/>
    <mergeCell ref="C244:D244"/>
    <mergeCell ref="H244:I244"/>
    <mergeCell ref="J244:K244"/>
    <mergeCell ref="L244:M244"/>
    <mergeCell ref="A245:B245"/>
    <mergeCell ref="C245:D245"/>
    <mergeCell ref="H245:I245"/>
    <mergeCell ref="J245:K245"/>
    <mergeCell ref="L245:M245"/>
    <mergeCell ref="A246:B246"/>
    <mergeCell ref="C246:D246"/>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5</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0" t="s">
        <v>157</v>
      </c>
      <c r="R180" s="359"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a+t0eiC2q1rH0Z3WLnbn6lsuOHGSTHG9l0EiSiFm+/OKDHAanQen1FY0Ydjg3CNXM+/0zEI2Kgc8+rE05uYMAA==" saltValue="7KSFIx+f7hsZhvQmmznJEg=="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6:I246"/>
    <mergeCell ref="J246:K246"/>
    <mergeCell ref="L246:M246"/>
    <mergeCell ref="A247:B247"/>
    <mergeCell ref="C247:D247"/>
    <mergeCell ref="H247:I247"/>
    <mergeCell ref="J247:K247"/>
    <mergeCell ref="L247:M247"/>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8:B248"/>
    <mergeCell ref="C248:D248"/>
    <mergeCell ref="H248:I248"/>
    <mergeCell ref="J248:K248"/>
    <mergeCell ref="L248:M248"/>
    <mergeCell ref="A244:B244"/>
    <mergeCell ref="C244:D244"/>
    <mergeCell ref="H244:I244"/>
    <mergeCell ref="J244:K244"/>
    <mergeCell ref="L244:M244"/>
    <mergeCell ref="A245:B245"/>
    <mergeCell ref="C245:D245"/>
    <mergeCell ref="H245:I245"/>
    <mergeCell ref="J245:K245"/>
    <mergeCell ref="L245:M245"/>
    <mergeCell ref="A246:B246"/>
    <mergeCell ref="C246:D246"/>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6</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0" t="s">
        <v>157</v>
      </c>
      <c r="R180" s="359"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7.25"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gubXE2wn0E07jGcD4dREplUDbxDeE6uL5eI4v8S8k/GBDFpWil7FkrJTbe6ceD48PP8HrV1JIuVaSB8JY15jxg==" saltValue="wsHJwGyrS2SVtRgzUEYd9A=="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7:I247"/>
    <mergeCell ref="J247:K247"/>
    <mergeCell ref="L247:M247"/>
    <mergeCell ref="A248:B248"/>
    <mergeCell ref="C248:D248"/>
    <mergeCell ref="H248:I248"/>
    <mergeCell ref="J248:K248"/>
    <mergeCell ref="L248:M248"/>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4:B244"/>
    <mergeCell ref="C244:D244"/>
    <mergeCell ref="H244:I244"/>
    <mergeCell ref="J244:K244"/>
    <mergeCell ref="L244:M244"/>
    <mergeCell ref="A245:B245"/>
    <mergeCell ref="C245:D245"/>
    <mergeCell ref="H245:I245"/>
    <mergeCell ref="J245:K245"/>
    <mergeCell ref="L245:M245"/>
    <mergeCell ref="A246:B246"/>
    <mergeCell ref="C246:D246"/>
    <mergeCell ref="H246:I246"/>
    <mergeCell ref="J246:K246"/>
    <mergeCell ref="L246:M246"/>
    <mergeCell ref="A247:B247"/>
    <mergeCell ref="C247:D247"/>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K631"/>
  <sheetViews>
    <sheetView zoomScale="85" zoomScaleNormal="85" workbookViewId="0">
      <selection activeCell="D2" sqref="D2"/>
    </sheetView>
  </sheetViews>
  <sheetFormatPr defaultRowHeight="15"/>
  <cols>
    <col min="1" max="2" width="9.140625" style="316"/>
    <col min="3" max="3" width="10.140625" style="316" bestFit="1" customWidth="1"/>
    <col min="4" max="4" width="9.140625" style="316"/>
    <col min="5" max="6" width="10.140625" style="316" bestFit="1" customWidth="1"/>
    <col min="7" max="7" width="10.5703125" style="316" bestFit="1" customWidth="1"/>
    <col min="8" max="8" width="10.140625" style="316" bestFit="1" customWidth="1"/>
    <col min="9" max="10" width="10.7109375" style="316" customWidth="1"/>
    <col min="11" max="11" width="10.7109375" style="316" bestFit="1" customWidth="1"/>
    <col min="12" max="12" width="11.42578125" style="316" customWidth="1"/>
    <col min="13" max="16" width="11.7109375" style="316" customWidth="1"/>
    <col min="17" max="17" width="10.7109375" style="316" customWidth="1"/>
    <col min="18" max="18" width="10.7109375" style="354" customWidth="1"/>
    <col min="19" max="19" width="9.140625" style="316" hidden="1" customWidth="1"/>
    <col min="20" max="20" width="10.5703125" style="316" hidden="1" customWidth="1"/>
    <col min="21" max="21" width="9.140625" style="316" hidden="1" customWidth="1"/>
    <col min="22" max="22" width="13.140625" style="316" hidden="1" customWidth="1"/>
    <col min="23" max="23" width="12.5703125" style="316" hidden="1" customWidth="1"/>
    <col min="24" max="24" width="26" style="316" hidden="1" customWidth="1"/>
    <col min="25" max="25" width="11.5703125" style="316" hidden="1" customWidth="1"/>
    <col min="26" max="26" width="12.42578125" style="316" hidden="1" customWidth="1"/>
    <col min="27" max="27" width="11.5703125" style="316" hidden="1" customWidth="1"/>
    <col min="28" max="28" width="9.140625" style="316" hidden="1" customWidth="1"/>
    <col min="29" max="29" width="11.28515625" style="316" hidden="1" customWidth="1"/>
    <col min="30" max="30" width="13.5703125" style="316" hidden="1" customWidth="1"/>
    <col min="31" max="16384" width="9.140625" style="316"/>
  </cols>
  <sheetData>
    <row r="1" spans="1:32" s="97" customFormat="1" ht="27" customHeight="1" thickTop="1">
      <c r="A1" s="71" t="s">
        <v>43</v>
      </c>
      <c r="B1" s="917" t="s">
        <v>44</v>
      </c>
      <c r="C1" s="918"/>
      <c r="D1" s="324" t="s">
        <v>13</v>
      </c>
      <c r="E1" s="940" t="s">
        <v>6</v>
      </c>
      <c r="F1" s="941"/>
      <c r="G1" s="941"/>
      <c r="H1" s="941"/>
      <c r="I1" s="229"/>
      <c r="J1" s="230"/>
      <c r="K1" s="232"/>
      <c r="L1" s="73"/>
      <c r="R1" s="361"/>
      <c r="T1" s="239" t="s">
        <v>237</v>
      </c>
    </row>
    <row r="2" spans="1:32" ht="15.75" thickBot="1">
      <c r="A2" s="5">
        <v>7</v>
      </c>
      <c r="B2" s="919" t="str">
        <f ca="1">IF(INDIRECT("'Samples (Print)'!B" &amp; (4+SampleNumber))="","",INDIRECT("'Samples (Print)'!B" &amp; (4+SampleNumber)))</f>
        <v/>
      </c>
      <c r="C2" s="920"/>
      <c r="D2" s="154"/>
      <c r="E2" s="225" t="s">
        <v>10</v>
      </c>
      <c r="F2" s="224" t="str">
        <f ca="1">IF(INDIRECT("'Samples (Print)'!D" &amp; (4+SampleNumber))="","",INDIRECT("'Samples (Print)'!D" &amp; (4+SampleNumber)))</f>
        <v/>
      </c>
      <c r="G2" s="226" t="s">
        <v>12</v>
      </c>
      <c r="H2" s="224" t="str">
        <f ca="1">IF(INDIRECT("'Samples (Print)'!E" &amp; (4+SampleNumber))="","",INDIRECT("'Samples (Print)'!E" &amp; (4+SampleNumber)))</f>
        <v/>
      </c>
      <c r="I2" s="228"/>
      <c r="J2" s="231"/>
      <c r="K2" s="233"/>
      <c r="L2" s="227"/>
      <c r="M2" s="27"/>
      <c r="N2" s="27"/>
      <c r="O2" s="27"/>
      <c r="P2" s="27"/>
      <c r="Q2" s="27"/>
      <c r="T2" s="240">
        <f>'Samples (PRINT)'!C5</f>
        <v>0</v>
      </c>
    </row>
    <row r="3" spans="1:32">
      <c r="A3" s="921" t="s">
        <v>3</v>
      </c>
      <c r="B3" s="922"/>
      <c r="C3" s="6" t="s">
        <v>45</v>
      </c>
      <c r="D3" s="925"/>
      <c r="E3" s="926"/>
      <c r="F3" s="927"/>
      <c r="G3" s="928" t="s">
        <v>46</v>
      </c>
      <c r="H3" s="928"/>
      <c r="I3" s="928"/>
      <c r="J3" s="929"/>
      <c r="K3" s="27"/>
      <c r="L3" s="27"/>
      <c r="M3" s="27"/>
      <c r="N3" s="27"/>
      <c r="O3" s="27"/>
      <c r="P3" s="27"/>
      <c r="Q3" s="27"/>
      <c r="T3" s="241" t="s">
        <v>41</v>
      </c>
    </row>
    <row r="4" spans="1:32" ht="15.75" thickBot="1">
      <c r="A4" s="923"/>
      <c r="B4" s="924"/>
      <c r="C4" s="7" t="s">
        <v>47</v>
      </c>
      <c r="D4" s="930"/>
      <c r="E4" s="931"/>
      <c r="F4" s="932"/>
      <c r="G4" s="933"/>
      <c r="H4" s="933"/>
      <c r="I4" s="933"/>
      <c r="J4" s="934"/>
      <c r="K4" s="27"/>
      <c r="L4" s="27"/>
      <c r="M4" s="27"/>
      <c r="N4" s="27"/>
      <c r="O4" s="27"/>
      <c r="P4" s="27"/>
      <c r="Q4" s="27"/>
      <c r="T4" s="241">
        <f>'Samples (PRINT)'!D5</f>
        <v>0</v>
      </c>
    </row>
    <row r="5" spans="1:32" ht="17.25" customHeight="1" thickTop="1" thickBot="1">
      <c r="A5" s="697" t="s">
        <v>79</v>
      </c>
      <c r="B5" s="698"/>
      <c r="C5" s="698"/>
      <c r="D5" s="698"/>
      <c r="E5" s="698"/>
      <c r="F5" s="698"/>
      <c r="G5" s="698"/>
      <c r="H5" s="698"/>
      <c r="I5" s="698"/>
      <c r="J5" s="698"/>
      <c r="K5" s="698"/>
      <c r="L5" s="699"/>
      <c r="M5" s="27"/>
      <c r="N5" s="27"/>
      <c r="O5" s="27"/>
      <c r="P5" s="27"/>
      <c r="Q5" s="27"/>
      <c r="T5" s="241" t="s">
        <v>42</v>
      </c>
    </row>
    <row r="6" spans="1:32" ht="16.5" thickTop="1" thickBot="1">
      <c r="A6" s="41" t="s">
        <v>718</v>
      </c>
      <c r="B6" s="616" t="s">
        <v>719</v>
      </c>
      <c r="C6" s="935"/>
      <c r="D6" s="935"/>
      <c r="E6" s="935"/>
      <c r="F6" s="935"/>
      <c r="G6" s="935"/>
      <c r="H6" s="935"/>
      <c r="I6" s="935"/>
      <c r="J6" s="935"/>
      <c r="K6" s="935"/>
      <c r="L6" s="936"/>
      <c r="M6" s="27"/>
      <c r="N6" s="27"/>
      <c r="O6" s="27"/>
      <c r="P6" s="27"/>
      <c r="Q6" s="27"/>
      <c r="T6" s="241">
        <f>'Samples (PRINT)'!E5</f>
        <v>0</v>
      </c>
    </row>
    <row r="7" spans="1:32" ht="31.5" customHeight="1" thickTop="1" thickBot="1">
      <c r="A7" s="751" t="s">
        <v>735</v>
      </c>
      <c r="B7" s="804" t="s">
        <v>736</v>
      </c>
      <c r="C7" s="805"/>
      <c r="D7" s="805"/>
      <c r="E7" s="805"/>
      <c r="F7" s="805"/>
      <c r="G7" s="805"/>
      <c r="H7" s="805"/>
      <c r="I7" s="805"/>
      <c r="J7" s="806"/>
      <c r="K7" s="624" t="s">
        <v>272</v>
      </c>
      <c r="L7" s="625"/>
      <c r="M7" s="103"/>
      <c r="N7" s="46"/>
      <c r="O7" s="46"/>
      <c r="P7" s="46"/>
      <c r="Q7" s="27"/>
      <c r="X7" s="316" t="b">
        <f>IF(AND(Std2ColBOutsideReviewPeriodCount&gt;0,Std2ColBInsideReviewPeriodCount=0),TRUE,FALSE)</f>
        <v>0</v>
      </c>
      <c r="Z7" s="316" t="b">
        <f>IF(COUNTIF(STD_II_COL_CE,"=N")&gt;0,TRUE,FALSE)</f>
        <v>0</v>
      </c>
      <c r="AA7" s="241">
        <f>Std2ColFYesCount+COUNTIF(STD_II_COL_F,"=NA")</f>
        <v>0</v>
      </c>
      <c r="AD7" s="316" t="b">
        <f>IF(AND(COUNTIF(STD_II_COL_GHI,"=NA")&gt;0,SUM(COUNTIF(STD_II_COL_GHI,"=NA"), Std2ColGHIBlanks)=20),TRUE,FALSE)</f>
        <v>0</v>
      </c>
    </row>
    <row r="8" spans="1:32" ht="16.5" customHeight="1" thickTop="1">
      <c r="A8" s="942"/>
      <c r="B8" s="807"/>
      <c r="C8" s="808"/>
      <c r="D8" s="808"/>
      <c r="E8" s="808"/>
      <c r="F8" s="808"/>
      <c r="G8" s="808"/>
      <c r="H8" s="808"/>
      <c r="I8" s="808"/>
      <c r="J8" s="809"/>
      <c r="K8" s="662"/>
      <c r="L8" s="663"/>
      <c r="M8" s="103"/>
      <c r="N8" s="46"/>
      <c r="O8" s="46"/>
      <c r="P8" s="46"/>
      <c r="Q8" s="27"/>
      <c r="Z8" s="316">
        <f>COUNTIF(STD_II_COL_CE,"=Y")</f>
        <v>0</v>
      </c>
      <c r="AA8" s="316">
        <f>COUNTIF(STD_II_COL_F,"=N")</f>
        <v>0</v>
      </c>
      <c r="AD8" s="316" t="b">
        <f>IF(AND(COUNTIF(STD_II_COL_GHI,"=Y")&gt;0,SUM(COUNTIF(STD_II_COL_GHI,"=NA"), Std2ColGHIBlanks, COUNTIF(STD_II_COL_GHI,"=Y"))=20),TRUE,FALSE)</f>
        <v>0</v>
      </c>
    </row>
    <row r="9" spans="1:32" ht="16.5" customHeight="1">
      <c r="A9" s="789"/>
      <c r="B9" s="780" t="s">
        <v>737</v>
      </c>
      <c r="C9" s="781"/>
      <c r="D9" s="781"/>
      <c r="E9" s="781"/>
      <c r="F9" s="781"/>
      <c r="G9" s="781"/>
      <c r="H9" s="781"/>
      <c r="I9" s="781"/>
      <c r="J9" s="782"/>
      <c r="K9" s="664"/>
      <c r="L9" s="665"/>
      <c r="M9" s="103"/>
      <c r="N9" s="46"/>
      <c r="O9" s="46"/>
      <c r="P9" s="46"/>
      <c r="Q9" s="27"/>
      <c r="Z9" s="316">
        <f>COUNTIF(STD_II_COL_CE,"=NA")</f>
        <v>0</v>
      </c>
      <c r="AA9" s="316">
        <f>COUNTIF(STD_II_COL_F,"=E")</f>
        <v>0</v>
      </c>
      <c r="AD9" s="316">
        <f>COUNTIF(STD_II_COL_GHI,"=E")</f>
        <v>0</v>
      </c>
      <c r="AF9" s="314"/>
    </row>
    <row r="10" spans="1:32" ht="16.5" customHeight="1" thickBot="1">
      <c r="A10" s="790"/>
      <c r="B10" s="899" t="s">
        <v>738</v>
      </c>
      <c r="C10" s="900"/>
      <c r="D10" s="900"/>
      <c r="E10" s="900"/>
      <c r="F10" s="900"/>
      <c r="G10" s="900"/>
      <c r="H10" s="900"/>
      <c r="I10" s="900"/>
      <c r="J10" s="901"/>
      <c r="K10" s="666"/>
      <c r="L10" s="667"/>
      <c r="M10" s="103"/>
      <c r="N10" s="46"/>
      <c r="O10" s="46"/>
      <c r="P10" s="46"/>
      <c r="Q10" s="27"/>
      <c r="Z10" s="316" t="b">
        <f>IF(AND(Std2ColCEYCount&gt;0,SUM(Std2ColCENACount,Std2ColCEYCount,Std2ColCEBlanks)=20),TRUE,FALSE)</f>
        <v>0</v>
      </c>
      <c r="AA10" s="316">
        <f>COUNTIF(STD_II_COL_F,"=~?")</f>
        <v>0</v>
      </c>
      <c r="AD10" s="316">
        <f>COUNTIF(STD_II_COL_GHI,"=~?")</f>
        <v>0</v>
      </c>
    </row>
    <row r="11" spans="1:32" s="325" customFormat="1" ht="33" customHeight="1" thickTop="1">
      <c r="A11" s="702" t="s">
        <v>766</v>
      </c>
      <c r="B11" s="703"/>
      <c r="C11" s="703"/>
      <c r="D11" s="703"/>
      <c r="E11" s="703"/>
      <c r="F11" s="703"/>
      <c r="G11" s="703"/>
      <c r="H11" s="703"/>
      <c r="I11" s="703"/>
      <c r="J11" s="703"/>
      <c r="K11" s="703"/>
      <c r="L11" s="708"/>
      <c r="M11" s="27"/>
      <c r="N11" s="27"/>
      <c r="O11" s="27"/>
      <c r="P11" s="27"/>
      <c r="Q11" s="27"/>
      <c r="R11" s="354"/>
      <c r="T11" s="241"/>
    </row>
    <row r="12" spans="1:32" s="343" customFormat="1" ht="26.25" customHeight="1">
      <c r="A12" s="613" t="s">
        <v>834</v>
      </c>
      <c r="B12" s="614"/>
      <c r="C12" s="614"/>
      <c r="D12" s="614"/>
      <c r="E12" s="614"/>
      <c r="F12" s="614"/>
      <c r="G12" s="614"/>
      <c r="H12" s="614"/>
      <c r="I12" s="614"/>
      <c r="J12" s="614"/>
      <c r="K12" s="614"/>
      <c r="L12" s="615"/>
      <c r="M12" s="27"/>
      <c r="N12" s="27"/>
      <c r="O12" s="27"/>
      <c r="P12" s="27"/>
      <c r="Q12" s="27"/>
      <c r="R12" s="354"/>
      <c r="T12" s="241"/>
    </row>
    <row r="13" spans="1:32" s="343" customFormat="1" ht="16.5" customHeight="1">
      <c r="A13" s="684" t="s">
        <v>621</v>
      </c>
      <c r="B13" s="685"/>
      <c r="C13" s="685"/>
      <c r="D13" s="685"/>
      <c r="E13" s="685"/>
      <c r="F13" s="685"/>
      <c r="G13" s="685"/>
      <c r="H13" s="685"/>
      <c r="I13" s="685"/>
      <c r="J13" s="685"/>
      <c r="K13" s="685"/>
      <c r="L13" s="686"/>
      <c r="M13" s="27"/>
      <c r="N13" s="27"/>
      <c r="O13" s="27"/>
      <c r="P13" s="27"/>
      <c r="Q13" s="27"/>
      <c r="R13" s="354"/>
    </row>
    <row r="14" spans="1:32" s="343" customFormat="1" ht="16.5" customHeight="1">
      <c r="A14" s="684" t="s">
        <v>91</v>
      </c>
      <c r="B14" s="685"/>
      <c r="C14" s="685"/>
      <c r="D14" s="685"/>
      <c r="E14" s="685"/>
      <c r="F14" s="685"/>
      <c r="G14" s="685"/>
      <c r="H14" s="685"/>
      <c r="I14" s="685"/>
      <c r="J14" s="685"/>
      <c r="K14" s="685"/>
      <c r="L14" s="686"/>
      <c r="M14" s="27"/>
      <c r="N14" s="27"/>
      <c r="O14" s="27"/>
      <c r="P14" s="27"/>
      <c r="Q14" s="27"/>
      <c r="R14" s="354"/>
    </row>
    <row r="15" spans="1:32" s="343" customFormat="1" ht="26.25" customHeight="1">
      <c r="A15" s="613" t="s">
        <v>782</v>
      </c>
      <c r="B15" s="614"/>
      <c r="C15" s="614"/>
      <c r="D15" s="614"/>
      <c r="E15" s="614"/>
      <c r="F15" s="614"/>
      <c r="G15" s="614"/>
      <c r="H15" s="614"/>
      <c r="I15" s="614"/>
      <c r="J15" s="614"/>
      <c r="K15" s="614"/>
      <c r="L15" s="615"/>
      <c r="M15" s="27"/>
      <c r="N15" s="27"/>
      <c r="O15" s="27"/>
      <c r="P15" s="27"/>
      <c r="Q15" s="27"/>
      <c r="R15" s="354"/>
    </row>
    <row r="16" spans="1:32" s="343" customFormat="1" ht="26.25" customHeight="1">
      <c r="A16" s="684" t="s">
        <v>835</v>
      </c>
      <c r="B16" s="685"/>
      <c r="C16" s="685"/>
      <c r="D16" s="685"/>
      <c r="E16" s="685"/>
      <c r="F16" s="685"/>
      <c r="G16" s="685"/>
      <c r="H16" s="685"/>
      <c r="I16" s="685"/>
      <c r="J16" s="685"/>
      <c r="K16" s="685"/>
      <c r="L16" s="686"/>
      <c r="M16" s="30"/>
      <c r="N16" s="30"/>
      <c r="O16" s="31"/>
      <c r="P16" s="8"/>
      <c r="Q16" s="9"/>
      <c r="R16" s="354"/>
    </row>
    <row r="17" spans="1:18" s="325" customFormat="1" ht="15.75">
      <c r="A17" s="684" t="s">
        <v>720</v>
      </c>
      <c r="B17" s="685"/>
      <c r="C17" s="685"/>
      <c r="D17" s="685"/>
      <c r="E17" s="685"/>
      <c r="F17" s="685"/>
      <c r="G17" s="685"/>
      <c r="H17" s="685"/>
      <c r="I17" s="685"/>
      <c r="J17" s="685"/>
      <c r="K17" s="685"/>
      <c r="L17" s="686"/>
      <c r="M17" s="30"/>
      <c r="N17" s="30"/>
      <c r="O17" s="31"/>
      <c r="P17" s="8"/>
      <c r="Q17" s="9"/>
      <c r="R17" s="354"/>
    </row>
    <row r="18" spans="1:18" s="325" customFormat="1" ht="29.25" hidden="1" customHeight="1">
      <c r="A18" s="937" t="s">
        <v>783</v>
      </c>
      <c r="B18" s="938"/>
      <c r="C18" s="938"/>
      <c r="D18" s="938"/>
      <c r="E18" s="938"/>
      <c r="F18" s="938"/>
      <c r="G18" s="938"/>
      <c r="H18" s="938"/>
      <c r="I18" s="938"/>
      <c r="J18" s="938"/>
      <c r="K18" s="938"/>
      <c r="L18" s="939"/>
      <c r="M18" s="30"/>
      <c r="N18" s="30"/>
      <c r="O18" s="31"/>
      <c r="P18" s="8"/>
      <c r="Q18" s="9"/>
      <c r="R18" s="354"/>
    </row>
    <row r="19" spans="1:18" s="325" customFormat="1" ht="53.25" customHeight="1">
      <c r="A19" s="741" t="s">
        <v>721</v>
      </c>
      <c r="B19" s="742"/>
      <c r="C19" s="742"/>
      <c r="D19" s="742"/>
      <c r="E19" s="742"/>
      <c r="F19" s="742"/>
      <c r="G19" s="742"/>
      <c r="H19" s="742"/>
      <c r="I19" s="742"/>
      <c r="J19" s="742"/>
      <c r="K19" s="742"/>
      <c r="L19" s="743"/>
      <c r="M19" s="30"/>
      <c r="N19" s="30"/>
      <c r="O19" s="31"/>
      <c r="P19" s="8"/>
      <c r="Q19" s="9"/>
      <c r="R19" s="354"/>
    </row>
    <row r="20" spans="1:18" s="325" customFormat="1" ht="16.5" customHeight="1">
      <c r="A20" s="684" t="s">
        <v>92</v>
      </c>
      <c r="B20" s="685"/>
      <c r="C20" s="685"/>
      <c r="D20" s="685"/>
      <c r="E20" s="685"/>
      <c r="F20" s="685"/>
      <c r="G20" s="685"/>
      <c r="H20" s="685"/>
      <c r="I20" s="685"/>
      <c r="J20" s="685"/>
      <c r="K20" s="685"/>
      <c r="L20" s="686"/>
      <c r="M20" s="30"/>
      <c r="N20" s="30"/>
      <c r="O20" s="31"/>
      <c r="P20" s="8"/>
      <c r="Q20" s="9"/>
      <c r="R20" s="354"/>
    </row>
    <row r="21" spans="1:18" s="325" customFormat="1" ht="26.25" customHeight="1">
      <c r="A21" s="613" t="s">
        <v>722</v>
      </c>
      <c r="B21" s="614"/>
      <c r="C21" s="614"/>
      <c r="D21" s="614"/>
      <c r="E21" s="614"/>
      <c r="F21" s="614"/>
      <c r="G21" s="614"/>
      <c r="H21" s="614"/>
      <c r="I21" s="614"/>
      <c r="J21" s="614"/>
      <c r="K21" s="614"/>
      <c r="L21" s="615"/>
      <c r="M21" s="30"/>
      <c r="N21" s="30"/>
      <c r="O21" s="31"/>
      <c r="P21" s="8"/>
      <c r="Q21" s="9"/>
      <c r="R21" s="354"/>
    </row>
    <row r="22" spans="1:18" s="325" customFormat="1" ht="16.5" hidden="1" customHeight="1">
      <c r="A22" s="684" t="s">
        <v>92</v>
      </c>
      <c r="B22" s="685"/>
      <c r="C22" s="685"/>
      <c r="D22" s="685"/>
      <c r="E22" s="685"/>
      <c r="F22" s="685"/>
      <c r="G22" s="685"/>
      <c r="H22" s="685"/>
      <c r="I22" s="685"/>
      <c r="J22" s="685"/>
      <c r="K22" s="685"/>
      <c r="L22" s="686"/>
      <c r="M22" s="30"/>
      <c r="N22" s="30"/>
      <c r="O22" s="31"/>
      <c r="P22" s="8"/>
      <c r="Q22" s="9"/>
      <c r="R22" s="354"/>
    </row>
    <row r="23" spans="1:18" s="325" customFormat="1" ht="16.5" customHeight="1">
      <c r="A23" s="613" t="s">
        <v>637</v>
      </c>
      <c r="B23" s="614"/>
      <c r="C23" s="614"/>
      <c r="D23" s="614"/>
      <c r="E23" s="614"/>
      <c r="F23" s="614"/>
      <c r="G23" s="614"/>
      <c r="H23" s="614"/>
      <c r="I23" s="614"/>
      <c r="J23" s="614"/>
      <c r="K23" s="614"/>
      <c r="L23" s="615"/>
      <c r="M23" s="30"/>
      <c r="N23" s="30"/>
      <c r="O23" s="31"/>
      <c r="P23" s="8"/>
      <c r="Q23" s="9"/>
      <c r="R23" s="354"/>
    </row>
    <row r="24" spans="1:18" s="325" customFormat="1" ht="15.75">
      <c r="A24" s="684" t="s">
        <v>723</v>
      </c>
      <c r="B24" s="685"/>
      <c r="C24" s="685"/>
      <c r="D24" s="685"/>
      <c r="E24" s="685"/>
      <c r="F24" s="685"/>
      <c r="G24" s="685"/>
      <c r="H24" s="685"/>
      <c r="I24" s="685"/>
      <c r="J24" s="685"/>
      <c r="K24" s="685"/>
      <c r="L24" s="686"/>
      <c r="M24" s="10"/>
      <c r="N24" s="10"/>
      <c r="O24" s="10"/>
      <c r="P24" s="8"/>
      <c r="Q24" s="9"/>
      <c r="R24" s="354"/>
    </row>
    <row r="25" spans="1:18" s="325" customFormat="1" ht="16.5" customHeight="1">
      <c r="A25" s="684" t="s">
        <v>724</v>
      </c>
      <c r="B25" s="685"/>
      <c r="C25" s="685"/>
      <c r="D25" s="685"/>
      <c r="E25" s="685"/>
      <c r="F25" s="685"/>
      <c r="G25" s="685"/>
      <c r="H25" s="685"/>
      <c r="I25" s="685"/>
      <c r="J25" s="685"/>
      <c r="K25" s="685"/>
      <c r="L25" s="686"/>
      <c r="M25" s="11"/>
      <c r="N25" s="11"/>
      <c r="O25" s="11"/>
      <c r="P25" s="8"/>
      <c r="Q25" s="9"/>
      <c r="R25" s="354"/>
    </row>
    <row r="26" spans="1:18" s="325" customFormat="1" ht="29.25" customHeight="1">
      <c r="A26" s="741" t="s">
        <v>759</v>
      </c>
      <c r="B26" s="742"/>
      <c r="C26" s="742"/>
      <c r="D26" s="742"/>
      <c r="E26" s="742"/>
      <c r="F26" s="742"/>
      <c r="G26" s="742"/>
      <c r="H26" s="742"/>
      <c r="I26" s="742"/>
      <c r="J26" s="742"/>
      <c r="K26" s="742"/>
      <c r="L26" s="743"/>
      <c r="M26" s="12"/>
      <c r="N26" s="12"/>
      <c r="O26" s="12"/>
      <c r="P26" s="8"/>
      <c r="Q26" s="9"/>
      <c r="R26" s="354"/>
    </row>
    <row r="27" spans="1:18" s="325" customFormat="1" ht="26.25" customHeight="1">
      <c r="A27" s="684" t="s">
        <v>784</v>
      </c>
      <c r="B27" s="685"/>
      <c r="C27" s="685"/>
      <c r="D27" s="685"/>
      <c r="E27" s="685"/>
      <c r="F27" s="685"/>
      <c r="G27" s="685"/>
      <c r="H27" s="685"/>
      <c r="I27" s="685"/>
      <c r="J27" s="685"/>
      <c r="K27" s="685"/>
      <c r="L27" s="686"/>
      <c r="M27" s="24"/>
      <c r="N27" s="24"/>
      <c r="O27" s="24"/>
      <c r="P27" s="8"/>
      <c r="Q27" s="9"/>
      <c r="R27" s="354"/>
    </row>
    <row r="28" spans="1:18" s="325" customFormat="1" ht="41.25" customHeight="1">
      <c r="A28" s="639" t="s">
        <v>785</v>
      </c>
      <c r="B28" s="640"/>
      <c r="C28" s="640"/>
      <c r="D28" s="640"/>
      <c r="E28" s="640"/>
      <c r="F28" s="640"/>
      <c r="G28" s="640"/>
      <c r="H28" s="640"/>
      <c r="I28" s="640"/>
      <c r="J28" s="640"/>
      <c r="K28" s="640"/>
      <c r="L28" s="641"/>
      <c r="M28" s="13"/>
      <c r="N28" s="24"/>
      <c r="O28" s="24"/>
      <c r="P28" s="8"/>
      <c r="Q28" s="9"/>
      <c r="R28" s="354"/>
    </row>
    <row r="29" spans="1:18" s="325" customFormat="1" ht="15.75">
      <c r="A29" s="613" t="s">
        <v>725</v>
      </c>
      <c r="B29" s="614"/>
      <c r="C29" s="614"/>
      <c r="D29" s="614"/>
      <c r="E29" s="614"/>
      <c r="F29" s="614"/>
      <c r="G29" s="614"/>
      <c r="H29" s="614"/>
      <c r="I29" s="614"/>
      <c r="J29" s="614"/>
      <c r="K29" s="614"/>
      <c r="L29" s="615"/>
      <c r="M29" s="32"/>
      <c r="N29" s="24"/>
      <c r="O29" s="24"/>
      <c r="P29" s="8"/>
      <c r="Q29" s="9"/>
      <c r="R29" s="354"/>
    </row>
    <row r="30" spans="1:18" s="325" customFormat="1" ht="26.25" customHeight="1">
      <c r="A30" s="684" t="s">
        <v>726</v>
      </c>
      <c r="B30" s="685"/>
      <c r="C30" s="685"/>
      <c r="D30" s="685"/>
      <c r="E30" s="685"/>
      <c r="F30" s="685"/>
      <c r="G30" s="685"/>
      <c r="H30" s="685"/>
      <c r="I30" s="685"/>
      <c r="J30" s="685"/>
      <c r="K30" s="685"/>
      <c r="L30" s="686"/>
      <c r="M30" s="33"/>
      <c r="N30" s="33"/>
      <c r="O30" s="33"/>
      <c r="P30" s="33"/>
      <c r="Q30" s="27"/>
      <c r="R30" s="354"/>
    </row>
    <row r="31" spans="1:18" s="325" customFormat="1" ht="26.25" customHeight="1">
      <c r="A31" s="684" t="s">
        <v>93</v>
      </c>
      <c r="B31" s="685"/>
      <c r="C31" s="685"/>
      <c r="D31" s="685"/>
      <c r="E31" s="685"/>
      <c r="F31" s="685"/>
      <c r="G31" s="685"/>
      <c r="H31" s="685"/>
      <c r="I31" s="685"/>
      <c r="J31" s="685"/>
      <c r="K31" s="685"/>
      <c r="L31" s="686"/>
      <c r="M31" s="17"/>
      <c r="N31" s="33"/>
      <c r="O31" s="33"/>
      <c r="P31" s="33"/>
      <c r="Q31" s="27"/>
      <c r="R31" s="354"/>
    </row>
    <row r="32" spans="1:18" s="343" customFormat="1" ht="39" customHeight="1">
      <c r="A32" s="684" t="s">
        <v>836</v>
      </c>
      <c r="B32" s="685"/>
      <c r="C32" s="685"/>
      <c r="D32" s="685"/>
      <c r="E32" s="685"/>
      <c r="F32" s="685"/>
      <c r="G32" s="685"/>
      <c r="H32" s="685"/>
      <c r="I32" s="685"/>
      <c r="J32" s="685"/>
      <c r="K32" s="685"/>
      <c r="L32" s="686"/>
      <c r="M32" s="14"/>
      <c r="N32" s="27"/>
      <c r="O32" s="27"/>
      <c r="P32" s="27"/>
      <c r="Q32" s="27"/>
      <c r="R32" s="354"/>
    </row>
    <row r="33" spans="1:18" s="343" customFormat="1" ht="15.75" customHeight="1">
      <c r="A33" s="613" t="s">
        <v>786</v>
      </c>
      <c r="B33" s="614"/>
      <c r="C33" s="614"/>
      <c r="D33" s="614"/>
      <c r="E33" s="614"/>
      <c r="F33" s="614"/>
      <c r="G33" s="614"/>
      <c r="H33" s="614"/>
      <c r="I33" s="614"/>
      <c r="J33" s="614"/>
      <c r="K33" s="614"/>
      <c r="L33" s="615"/>
      <c r="M33" s="15"/>
      <c r="N33" s="15"/>
      <c r="O33" s="15"/>
      <c r="P33" s="15"/>
      <c r="Q33" s="29"/>
      <c r="R33" s="354"/>
    </row>
    <row r="34" spans="1:18" s="343" customFormat="1" ht="20.100000000000001" customHeight="1">
      <c r="A34" s="639" t="s">
        <v>787</v>
      </c>
      <c r="B34" s="640"/>
      <c r="C34" s="640"/>
      <c r="D34" s="640"/>
      <c r="E34" s="640"/>
      <c r="F34" s="640"/>
      <c r="G34" s="640"/>
      <c r="H34" s="640"/>
      <c r="I34" s="640"/>
      <c r="J34" s="640"/>
      <c r="K34" s="640"/>
      <c r="L34" s="641"/>
      <c r="M34" s="29"/>
      <c r="N34" s="27"/>
      <c r="O34" s="27"/>
      <c r="P34" s="27"/>
      <c r="Q34" s="27"/>
      <c r="R34" s="354"/>
    </row>
    <row r="35" spans="1:18" s="343" customFormat="1" ht="20.100000000000001" customHeight="1">
      <c r="A35" s="639" t="s">
        <v>788</v>
      </c>
      <c r="B35" s="640"/>
      <c r="C35" s="640"/>
      <c r="D35" s="640"/>
      <c r="E35" s="640"/>
      <c r="F35" s="640"/>
      <c r="G35" s="640"/>
      <c r="H35" s="640"/>
      <c r="I35" s="640"/>
      <c r="J35" s="640"/>
      <c r="K35" s="640"/>
      <c r="L35" s="641"/>
      <c r="M35" s="16"/>
      <c r="N35" s="27"/>
      <c r="O35" s="27"/>
      <c r="P35" s="27"/>
      <c r="Q35" s="27"/>
      <c r="R35" s="354"/>
    </row>
    <row r="36" spans="1:18" s="343" customFormat="1" ht="20.100000000000001" customHeight="1">
      <c r="A36" s="639" t="s">
        <v>727</v>
      </c>
      <c r="B36" s="640"/>
      <c r="C36" s="640"/>
      <c r="D36" s="640"/>
      <c r="E36" s="640"/>
      <c r="F36" s="640"/>
      <c r="G36" s="640"/>
      <c r="H36" s="640"/>
      <c r="I36" s="640"/>
      <c r="J36" s="640"/>
      <c r="K36" s="640"/>
      <c r="L36" s="641"/>
      <c r="M36" s="10"/>
      <c r="N36" s="27"/>
      <c r="O36" s="27"/>
      <c r="P36" s="27"/>
      <c r="Q36" s="27"/>
      <c r="R36" s="354"/>
    </row>
    <row r="37" spans="1:18" s="343" customFormat="1" ht="39" customHeight="1">
      <c r="A37" s="684" t="s">
        <v>700</v>
      </c>
      <c r="B37" s="685"/>
      <c r="C37" s="685"/>
      <c r="D37" s="685"/>
      <c r="E37" s="685"/>
      <c r="F37" s="685"/>
      <c r="G37" s="685"/>
      <c r="H37" s="685"/>
      <c r="I37" s="685"/>
      <c r="J37" s="685"/>
      <c r="K37" s="685"/>
      <c r="L37" s="686"/>
      <c r="M37" s="27"/>
      <c r="N37" s="27"/>
      <c r="O37" s="27"/>
      <c r="P37" s="27"/>
      <c r="Q37" s="27"/>
      <c r="R37" s="354"/>
    </row>
    <row r="38" spans="1:18" s="343" customFormat="1">
      <c r="A38" s="613" t="s">
        <v>789</v>
      </c>
      <c r="B38" s="614"/>
      <c r="C38" s="614"/>
      <c r="D38" s="614"/>
      <c r="E38" s="614"/>
      <c r="F38" s="614"/>
      <c r="G38" s="614"/>
      <c r="H38" s="614"/>
      <c r="I38" s="614"/>
      <c r="J38" s="614"/>
      <c r="K38" s="614"/>
      <c r="L38" s="615"/>
      <c r="M38" s="27"/>
      <c r="N38" s="27"/>
      <c r="O38" s="27"/>
      <c r="P38" s="27"/>
      <c r="Q38" s="27"/>
      <c r="R38" s="354"/>
    </row>
    <row r="39" spans="1:18" s="304" customFormat="1" ht="20.100000000000001" customHeight="1">
      <c r="A39" s="639" t="s">
        <v>790</v>
      </c>
      <c r="B39" s="640"/>
      <c r="C39" s="640"/>
      <c r="D39" s="640"/>
      <c r="E39" s="640"/>
      <c r="F39" s="640"/>
      <c r="G39" s="640"/>
      <c r="H39" s="640"/>
      <c r="I39" s="640"/>
      <c r="J39" s="640"/>
      <c r="K39" s="640"/>
      <c r="L39" s="641"/>
      <c r="M39" s="303"/>
      <c r="N39" s="303"/>
      <c r="O39" s="303"/>
      <c r="P39" s="303"/>
      <c r="Q39" s="303"/>
      <c r="R39" s="362"/>
    </row>
    <row r="40" spans="1:18" s="304" customFormat="1" ht="20.100000000000001" customHeight="1">
      <c r="A40" s="639" t="s">
        <v>791</v>
      </c>
      <c r="B40" s="640"/>
      <c r="C40" s="640"/>
      <c r="D40" s="640"/>
      <c r="E40" s="640"/>
      <c r="F40" s="640"/>
      <c r="G40" s="640"/>
      <c r="H40" s="640"/>
      <c r="I40" s="640"/>
      <c r="J40" s="640"/>
      <c r="K40" s="640"/>
      <c r="L40" s="641"/>
      <c r="M40" s="303"/>
      <c r="N40" s="303"/>
      <c r="O40" s="303"/>
      <c r="P40" s="303"/>
      <c r="Q40" s="303"/>
      <c r="R40" s="362"/>
    </row>
    <row r="41" spans="1:18" s="304" customFormat="1" ht="66.75" customHeight="1" thickBot="1">
      <c r="A41" s="639" t="s">
        <v>837</v>
      </c>
      <c r="B41" s="640"/>
      <c r="C41" s="640"/>
      <c r="D41" s="640"/>
      <c r="E41" s="640"/>
      <c r="F41" s="640"/>
      <c r="G41" s="640"/>
      <c r="H41" s="640"/>
      <c r="I41" s="640"/>
      <c r="J41" s="640"/>
      <c r="K41" s="640"/>
      <c r="L41" s="641"/>
      <c r="M41" s="305"/>
      <c r="N41" s="303"/>
      <c r="O41" s="303"/>
      <c r="P41" s="303"/>
      <c r="Q41" s="303"/>
      <c r="R41" s="362"/>
    </row>
    <row r="42" spans="1:18" s="304" customFormat="1" ht="20.100000000000001" hidden="1" customHeight="1">
      <c r="A42" s="636" t="s">
        <v>781</v>
      </c>
      <c r="B42" s="637"/>
      <c r="C42" s="637"/>
      <c r="D42" s="637"/>
      <c r="E42" s="637"/>
      <c r="F42" s="637"/>
      <c r="G42" s="637"/>
      <c r="H42" s="637"/>
      <c r="I42" s="637"/>
      <c r="J42" s="637"/>
      <c r="K42" s="637"/>
      <c r="L42" s="638"/>
      <c r="M42" s="305"/>
      <c r="N42" s="303"/>
      <c r="O42" s="303"/>
      <c r="P42" s="303"/>
      <c r="Q42" s="303"/>
      <c r="R42" s="362"/>
    </row>
    <row r="43" spans="1:18" s="304" customFormat="1" ht="20.100000000000001" hidden="1" customHeight="1">
      <c r="A43" s="639" t="s">
        <v>728</v>
      </c>
      <c r="B43" s="640"/>
      <c r="C43" s="640"/>
      <c r="D43" s="640"/>
      <c r="E43" s="640"/>
      <c r="F43" s="640"/>
      <c r="G43" s="640"/>
      <c r="H43" s="640"/>
      <c r="I43" s="640"/>
      <c r="J43" s="640"/>
      <c r="K43" s="640"/>
      <c r="L43" s="641"/>
      <c r="M43" s="305"/>
      <c r="N43" s="303"/>
      <c r="O43" s="303"/>
      <c r="P43" s="303"/>
      <c r="Q43" s="303"/>
      <c r="R43" s="362"/>
    </row>
    <row r="44" spans="1:18" s="304" customFormat="1" ht="20.100000000000001" hidden="1" customHeight="1">
      <c r="A44" s="639" t="s">
        <v>729</v>
      </c>
      <c r="B44" s="640"/>
      <c r="C44" s="640"/>
      <c r="D44" s="640"/>
      <c r="E44" s="640"/>
      <c r="F44" s="640"/>
      <c r="G44" s="640"/>
      <c r="H44" s="640"/>
      <c r="I44" s="640"/>
      <c r="J44" s="640"/>
      <c r="K44" s="640"/>
      <c r="L44" s="641"/>
      <c r="M44" s="305"/>
      <c r="N44" s="303"/>
      <c r="O44" s="303"/>
      <c r="P44" s="303"/>
      <c r="Q44" s="303"/>
      <c r="R44" s="362"/>
    </row>
    <row r="45" spans="1:18" s="304" customFormat="1" ht="20.100000000000001" hidden="1" customHeight="1">
      <c r="A45" s="639" t="s">
        <v>730</v>
      </c>
      <c r="B45" s="640"/>
      <c r="C45" s="640"/>
      <c r="D45" s="640"/>
      <c r="E45" s="640"/>
      <c r="F45" s="640"/>
      <c r="G45" s="640"/>
      <c r="H45" s="640"/>
      <c r="I45" s="640"/>
      <c r="J45" s="640"/>
      <c r="K45" s="640"/>
      <c r="L45" s="641"/>
      <c r="M45" s="305"/>
      <c r="N45" s="303"/>
      <c r="O45" s="303"/>
      <c r="P45" s="303"/>
      <c r="Q45" s="303"/>
      <c r="R45" s="362"/>
    </row>
    <row r="46" spans="1:18" s="304" customFormat="1" ht="44.25" hidden="1" customHeight="1" thickBot="1">
      <c r="A46" s="639" t="s">
        <v>731</v>
      </c>
      <c r="B46" s="640"/>
      <c r="C46" s="640"/>
      <c r="D46" s="640"/>
      <c r="E46" s="640"/>
      <c r="F46" s="640"/>
      <c r="G46" s="640"/>
      <c r="H46" s="640"/>
      <c r="I46" s="640"/>
      <c r="J46" s="640"/>
      <c r="K46" s="640"/>
      <c r="L46" s="641"/>
      <c r="M46" s="305"/>
      <c r="N46" s="303"/>
      <c r="O46" s="303"/>
      <c r="P46" s="303"/>
      <c r="Q46" s="303"/>
      <c r="R46" s="362"/>
    </row>
    <row r="47" spans="1:18" ht="15.75" customHeight="1" thickTop="1" thickBot="1">
      <c r="A47" s="952" t="s">
        <v>94</v>
      </c>
      <c r="B47" s="953"/>
      <c r="C47" s="953"/>
      <c r="D47" s="953"/>
      <c r="E47" s="953"/>
      <c r="F47" s="953"/>
      <c r="G47" s="953"/>
      <c r="H47" s="953"/>
      <c r="I47" s="953"/>
      <c r="J47" s="953"/>
      <c r="K47" s="953"/>
      <c r="L47" s="954"/>
      <c r="M47" s="27"/>
      <c r="N47" s="27"/>
      <c r="O47" s="27"/>
      <c r="P47" s="27"/>
      <c r="Q47" s="27"/>
    </row>
    <row r="48" spans="1:18" s="42" customFormat="1" ht="15.75" customHeight="1" thickTop="1" thickBot="1">
      <c r="A48" s="874" t="s">
        <v>23</v>
      </c>
      <c r="B48" s="875"/>
      <c r="C48" s="875"/>
      <c r="D48" s="875"/>
      <c r="E48" s="876"/>
      <c r="F48" s="642" t="s">
        <v>24</v>
      </c>
      <c r="G48" s="957"/>
      <c r="H48" s="642" t="s">
        <v>25</v>
      </c>
      <c r="I48" s="643"/>
      <c r="J48" s="328" t="s">
        <v>26</v>
      </c>
      <c r="K48" s="306" t="s">
        <v>48</v>
      </c>
      <c r="L48" s="642" t="s">
        <v>49</v>
      </c>
      <c r="M48" s="643"/>
      <c r="N48" s="306" t="s">
        <v>52</v>
      </c>
      <c r="O48" s="306" t="s">
        <v>53</v>
      </c>
      <c r="P48" s="306" t="s">
        <v>54</v>
      </c>
      <c r="Q48" s="348"/>
      <c r="R48" s="363"/>
    </row>
    <row r="49" spans="1:37" s="43" customFormat="1" ht="16.5" customHeight="1" thickBot="1">
      <c r="A49" s="882" t="s">
        <v>95</v>
      </c>
      <c r="B49" s="883"/>
      <c r="C49" s="883"/>
      <c r="D49" s="883"/>
      <c r="E49" s="645"/>
      <c r="F49" s="885" t="s">
        <v>792</v>
      </c>
      <c r="G49" s="885" t="s">
        <v>101</v>
      </c>
      <c r="H49" s="644" t="s">
        <v>683</v>
      </c>
      <c r="I49" s="645"/>
      <c r="J49" s="885" t="s">
        <v>684</v>
      </c>
      <c r="K49" s="885" t="s">
        <v>733</v>
      </c>
      <c r="L49" s="644" t="s">
        <v>793</v>
      </c>
      <c r="M49" s="645"/>
      <c r="N49" s="886" t="s">
        <v>795</v>
      </c>
      <c r="O49" s="955" t="s">
        <v>104</v>
      </c>
      <c r="P49" s="955" t="s">
        <v>105</v>
      </c>
      <c r="Q49" s="351"/>
      <c r="R49" s="352"/>
    </row>
    <row r="50" spans="1:37" s="43" customFormat="1" ht="16.5" customHeight="1" thickBot="1">
      <c r="A50" s="879" t="s">
        <v>97</v>
      </c>
      <c r="B50" s="880"/>
      <c r="C50" s="880"/>
      <c r="D50" s="880"/>
      <c r="E50" s="881"/>
      <c r="F50" s="885"/>
      <c r="G50" s="885"/>
      <c r="H50" s="644"/>
      <c r="I50" s="645"/>
      <c r="J50" s="950"/>
      <c r="K50" s="950"/>
      <c r="L50" s="644"/>
      <c r="M50" s="645"/>
      <c r="N50" s="956"/>
      <c r="O50" s="955"/>
      <c r="P50" s="955"/>
      <c r="Q50" s="351"/>
      <c r="R50" s="352"/>
    </row>
    <row r="51" spans="1:37" s="43" customFormat="1" ht="16.5" customHeight="1" thickBot="1">
      <c r="A51" s="879" t="s">
        <v>732</v>
      </c>
      <c r="B51" s="880"/>
      <c r="C51" s="880"/>
      <c r="D51" s="880"/>
      <c r="E51" s="881"/>
      <c r="F51" s="885"/>
      <c r="G51" s="885"/>
      <c r="H51" s="644"/>
      <c r="I51" s="645"/>
      <c r="J51" s="950"/>
      <c r="K51" s="950"/>
      <c r="L51" s="644"/>
      <c r="M51" s="645"/>
      <c r="N51" s="956"/>
      <c r="O51" s="955"/>
      <c r="P51" s="955"/>
      <c r="Q51" s="351"/>
      <c r="R51" s="352"/>
    </row>
    <row r="52" spans="1:37" s="43" customFormat="1" ht="16.5" customHeight="1" thickBot="1">
      <c r="A52" s="879" t="s">
        <v>98</v>
      </c>
      <c r="B52" s="880"/>
      <c r="C52" s="880"/>
      <c r="D52" s="880"/>
      <c r="E52" s="881"/>
      <c r="F52" s="885"/>
      <c r="G52" s="885"/>
      <c r="H52" s="644"/>
      <c r="I52" s="645"/>
      <c r="J52" s="950"/>
      <c r="K52" s="950"/>
      <c r="L52" s="644" t="s">
        <v>794</v>
      </c>
      <c r="M52" s="645"/>
      <c r="N52" s="956"/>
      <c r="O52" s="955"/>
      <c r="P52" s="955"/>
      <c r="Q52" s="351"/>
      <c r="R52" s="352"/>
    </row>
    <row r="53" spans="1:37" s="43" customFormat="1" ht="16.5" customHeight="1" thickBot="1">
      <c r="A53" s="879" t="s">
        <v>99</v>
      </c>
      <c r="B53" s="880"/>
      <c r="C53" s="880"/>
      <c r="D53" s="880"/>
      <c r="E53" s="881"/>
      <c r="F53" s="885"/>
      <c r="G53" s="885"/>
      <c r="H53" s="644" t="s">
        <v>102</v>
      </c>
      <c r="I53" s="645"/>
      <c r="J53" s="950"/>
      <c r="K53" s="950"/>
      <c r="L53" s="644"/>
      <c r="M53" s="645"/>
      <c r="N53" s="956"/>
      <c r="O53" s="955"/>
      <c r="P53" s="955"/>
      <c r="Q53" s="351"/>
      <c r="R53" s="352"/>
    </row>
    <row r="54" spans="1:37" s="43" customFormat="1" ht="16.5" customHeight="1" thickBot="1">
      <c r="A54" s="879" t="s">
        <v>767</v>
      </c>
      <c r="B54" s="880"/>
      <c r="C54" s="880"/>
      <c r="D54" s="880"/>
      <c r="E54" s="881"/>
      <c r="F54" s="885"/>
      <c r="G54" s="885"/>
      <c r="H54" s="644"/>
      <c r="I54" s="645"/>
      <c r="J54" s="950"/>
      <c r="K54" s="950"/>
      <c r="L54" s="644"/>
      <c r="M54" s="645"/>
      <c r="N54" s="956"/>
      <c r="O54" s="955"/>
      <c r="P54" s="955"/>
      <c r="Q54" s="351"/>
      <c r="R54" s="352"/>
    </row>
    <row r="55" spans="1:37" s="43" customFormat="1" ht="16.5" customHeight="1" thickBot="1">
      <c r="A55" s="879"/>
      <c r="B55" s="880"/>
      <c r="C55" s="880"/>
      <c r="D55" s="880"/>
      <c r="E55" s="881"/>
      <c r="F55" s="885"/>
      <c r="G55" s="885"/>
      <c r="H55" s="644"/>
      <c r="I55" s="645"/>
      <c r="J55" s="950"/>
      <c r="K55" s="950"/>
      <c r="L55" s="644" t="s">
        <v>103</v>
      </c>
      <c r="M55" s="645"/>
      <c r="N55" s="956"/>
      <c r="O55" s="955"/>
      <c r="P55" s="955"/>
      <c r="Q55" s="351"/>
      <c r="R55" s="352"/>
    </row>
    <row r="56" spans="1:37" s="43" customFormat="1" ht="16.5" customHeight="1" thickBot="1">
      <c r="A56" s="879"/>
      <c r="B56" s="880"/>
      <c r="C56" s="880"/>
      <c r="D56" s="880"/>
      <c r="E56" s="881"/>
      <c r="F56" s="885"/>
      <c r="G56" s="885"/>
      <c r="H56" s="644"/>
      <c r="I56" s="645"/>
      <c r="J56" s="950"/>
      <c r="K56" s="950"/>
      <c r="L56" s="644"/>
      <c r="M56" s="645"/>
      <c r="N56" s="956"/>
      <c r="O56" s="955"/>
      <c r="P56" s="955"/>
      <c r="Q56" s="351"/>
      <c r="R56" s="352"/>
    </row>
    <row r="57" spans="1:37" s="43" customFormat="1" ht="16.5" customHeight="1" thickBot="1">
      <c r="A57" s="879"/>
      <c r="B57" s="880"/>
      <c r="C57" s="880"/>
      <c r="D57" s="880"/>
      <c r="E57" s="881"/>
      <c r="F57" s="885"/>
      <c r="G57" s="885"/>
      <c r="H57" s="644"/>
      <c r="I57" s="645"/>
      <c r="J57" s="950"/>
      <c r="K57" s="950"/>
      <c r="L57" s="644"/>
      <c r="M57" s="645"/>
      <c r="N57" s="956"/>
      <c r="O57" s="955"/>
      <c r="P57" s="955"/>
      <c r="Q57" s="351"/>
      <c r="R57" s="352"/>
      <c r="S57" s="315"/>
      <c r="T57" s="315"/>
      <c r="U57" s="315"/>
      <c r="V57" s="315"/>
      <c r="W57" s="315"/>
      <c r="X57" s="315"/>
      <c r="Y57" s="315"/>
      <c r="Z57" s="315"/>
      <c r="AA57" s="315"/>
      <c r="AB57" s="315"/>
      <c r="AC57" s="315"/>
      <c r="AD57" s="315"/>
      <c r="AE57" s="315"/>
      <c r="AF57" s="315"/>
      <c r="AG57" s="315"/>
      <c r="AH57" s="315"/>
    </row>
    <row r="58" spans="1:37" s="43" customFormat="1" ht="16.5" customHeight="1" thickBot="1">
      <c r="A58" s="879"/>
      <c r="B58" s="880"/>
      <c r="C58" s="880"/>
      <c r="D58" s="880"/>
      <c r="E58" s="881"/>
      <c r="F58" s="885"/>
      <c r="G58" s="885"/>
      <c r="H58" s="644"/>
      <c r="I58" s="645"/>
      <c r="J58" s="950"/>
      <c r="K58" s="950"/>
      <c r="L58" s="644"/>
      <c r="M58" s="645"/>
      <c r="N58" s="956"/>
      <c r="O58" s="955"/>
      <c r="P58" s="955"/>
      <c r="Q58" s="351"/>
      <c r="R58" s="352"/>
      <c r="S58" s="315"/>
      <c r="T58" s="315"/>
      <c r="U58" s="315"/>
      <c r="V58" s="315"/>
      <c r="W58" s="315"/>
      <c r="X58" s="315"/>
      <c r="Y58" s="315"/>
      <c r="Z58" s="315"/>
      <c r="AA58" s="315"/>
      <c r="AB58" s="315"/>
      <c r="AC58" s="315"/>
      <c r="AD58" s="315"/>
      <c r="AE58" s="315"/>
      <c r="AF58" s="315"/>
      <c r="AG58" s="315"/>
      <c r="AH58" s="315"/>
    </row>
    <row r="59" spans="1:37" s="43" customFormat="1" ht="16.5" customHeight="1" thickBot="1">
      <c r="A59" s="879"/>
      <c r="B59" s="880"/>
      <c r="C59" s="880"/>
      <c r="D59" s="880"/>
      <c r="E59" s="881"/>
      <c r="F59" s="885"/>
      <c r="G59" s="885"/>
      <c r="H59" s="644"/>
      <c r="I59" s="645"/>
      <c r="J59" s="950"/>
      <c r="K59" s="950"/>
      <c r="L59" s="644"/>
      <c r="M59" s="645"/>
      <c r="N59" s="956"/>
      <c r="O59" s="955"/>
      <c r="P59" s="955"/>
      <c r="Q59" s="351"/>
      <c r="R59" s="352"/>
      <c r="S59" s="733" t="s">
        <v>629</v>
      </c>
      <c r="T59" s="733"/>
      <c r="U59" s="733"/>
      <c r="V59" s="733"/>
      <c r="W59" s="315"/>
      <c r="X59" s="315"/>
      <c r="Y59" s="315"/>
      <c r="Z59" s="315"/>
      <c r="AA59" s="315"/>
      <c r="AB59" s="315"/>
      <c r="AC59" s="315"/>
      <c r="AD59" s="315"/>
      <c r="AE59" s="315"/>
      <c r="AF59" s="315"/>
      <c r="AG59" s="315"/>
      <c r="AH59" s="315"/>
    </row>
    <row r="60" spans="1:37" s="43" customFormat="1" ht="16.5" customHeight="1" thickBot="1">
      <c r="A60" s="890"/>
      <c r="B60" s="891"/>
      <c r="C60" s="891"/>
      <c r="D60" s="891"/>
      <c r="E60" s="892"/>
      <c r="F60" s="886"/>
      <c r="G60" s="886"/>
      <c r="H60" s="646"/>
      <c r="I60" s="647"/>
      <c r="J60" s="951"/>
      <c r="K60" s="951"/>
      <c r="L60" s="646"/>
      <c r="M60" s="647"/>
      <c r="N60" s="956"/>
      <c r="O60" s="955"/>
      <c r="P60" s="955"/>
      <c r="Q60" s="351"/>
      <c r="R60" s="352" t="s">
        <v>627</v>
      </c>
      <c r="S60" s="733" t="s">
        <v>628</v>
      </c>
      <c r="T60" s="733"/>
      <c r="U60" s="733"/>
      <c r="V60" s="315"/>
      <c r="W60" s="315"/>
      <c r="X60" s="315"/>
      <c r="Y60" s="315"/>
      <c r="Z60" s="315"/>
      <c r="AA60" s="315"/>
      <c r="AB60" s="315"/>
      <c r="AC60" s="315"/>
      <c r="AD60" s="315"/>
      <c r="AE60" s="315"/>
      <c r="AF60" s="315"/>
      <c r="AG60" s="315"/>
      <c r="AH60" s="315"/>
    </row>
    <row r="61" spans="1:37" s="44" customFormat="1" ht="15.75" customHeight="1" thickBot="1">
      <c r="A61" s="877" t="s">
        <v>41</v>
      </c>
      <c r="B61" s="878"/>
      <c r="C61" s="878" t="s">
        <v>42</v>
      </c>
      <c r="D61" s="878"/>
      <c r="E61" s="329" t="s">
        <v>96</v>
      </c>
      <c r="F61" s="329" t="s">
        <v>100</v>
      </c>
      <c r="G61" s="329" t="s">
        <v>100</v>
      </c>
      <c r="H61" s="45"/>
      <c r="I61" s="329" t="s">
        <v>100</v>
      </c>
      <c r="J61" s="329" t="s">
        <v>100</v>
      </c>
      <c r="K61" s="45"/>
      <c r="L61" s="648"/>
      <c r="M61" s="648"/>
      <c r="N61" s="45"/>
      <c r="O61" s="45"/>
      <c r="P61" s="45"/>
      <c r="Q61" s="349"/>
      <c r="R61" s="364"/>
      <c r="S61" s="308"/>
      <c r="T61" s="308"/>
      <c r="U61" s="308"/>
      <c r="V61" s="308"/>
      <c r="W61" s="308"/>
      <c r="X61" s="309" t="s">
        <v>760</v>
      </c>
      <c r="Y61" s="309" t="s">
        <v>764</v>
      </c>
      <c r="Z61" s="309" t="s">
        <v>761</v>
      </c>
      <c r="AA61" s="309" t="s">
        <v>765</v>
      </c>
      <c r="AB61" s="309" t="s">
        <v>763</v>
      </c>
      <c r="AC61" s="309" t="s">
        <v>762</v>
      </c>
      <c r="AD61" s="309" t="s">
        <v>865</v>
      </c>
      <c r="AE61" s="309"/>
      <c r="AF61" s="309"/>
      <c r="AG61" s="309"/>
      <c r="AH61" s="309"/>
      <c r="AI61" s="264"/>
      <c r="AJ61" s="264"/>
      <c r="AK61" s="264"/>
    </row>
    <row r="62" spans="1:37" s="325" customFormat="1" ht="15.75" customHeight="1" thickBot="1">
      <c r="A62" s="747"/>
      <c r="B62" s="748"/>
      <c r="C62" s="748"/>
      <c r="D62" s="748"/>
      <c r="E62" s="374"/>
      <c r="F62" s="330"/>
      <c r="G62" s="376"/>
      <c r="H62" s="374"/>
      <c r="I62" s="376"/>
      <c r="J62" s="376"/>
      <c r="K62" s="374"/>
      <c r="L62" s="649"/>
      <c r="M62" s="649"/>
      <c r="N62" s="374"/>
      <c r="O62" s="374"/>
      <c r="P62" s="374"/>
      <c r="Q62" s="350"/>
      <c r="R62" s="251" t="str">
        <f t="shared" ref="R62:R81" si="0">IF(A62="","",IF(Z62="E","E",IF(Z62="Y","Y","")))</f>
        <v/>
      </c>
      <c r="S62" s="251" t="str">
        <f t="shared" ref="S62:S81" si="1">IF($A62="",IF(K62="","","E"),IF($Z62="E","E",IF(AND($Z62="Y",AC62="Y"),IF(K62="","E",K62),"")))</f>
        <v/>
      </c>
      <c r="T62" s="251" t="str">
        <f t="shared" ref="T62:T81" si="2">IF($A62="",IF(L62="","","E"),IF($Z62="E","E",IF($Z62="Y",IF(L62="","E",L62),"")))</f>
        <v/>
      </c>
      <c r="U62" s="251" t="str">
        <f t="shared" ref="U62:U81" si="3">IF($A62="",IF(O62="","","E"),IF($W62="E","E",IF($W62="Y",IF(O62="","E",O62),"")))</f>
        <v/>
      </c>
      <c r="V62" s="251" t="str">
        <f t="shared" ref="V62:V81" si="4">IF($A62="",IF(N62="","","E"),IF($Z62="E","E",IF($Z62="Y",IF(N62="","E",N62),"")))</f>
        <v/>
      </c>
      <c r="W62" s="251"/>
      <c r="X62" s="251" t="str">
        <f t="shared" ref="X62:X81" si="5">IF($A62="",IF(P62="","","E"),IF($Z62="E","E",IF($Z62="Y",IF(P62="","E",P62),"")))</f>
        <v/>
      </c>
      <c r="Y62" s="251" t="str">
        <f t="shared" ref="Y62:Y81" ca="1" si="6">IF(AND(OR(A62&lt;&gt;"",C62&lt;&gt;""),OR(G62&lt;$F$2,G62&gt;$H$2)),"Y",IF(G62="","","N"))</f>
        <v/>
      </c>
      <c r="Z62" s="251" t="str">
        <f t="shared" ref="Z62:Z81" si="7">IF($A62="",IF(G62="","","E"),IF($G62="","E",IF($F$2="","E",IF($G62&lt;$F$2, "NA", IF(AND($G62&gt;=$F$2,$G62&lt;=$H$2),"Y","N")))))</f>
        <v/>
      </c>
      <c r="AA62" s="310" t="str">
        <f>IF(AND(G62&lt;&gt;"",OR(H62="",K62="")),"E",IF(AND(G62="",OR(H62&lt;&gt;"",K62&lt;&gt;"")),"EE",IF(AND(G62="",H62="",K62=""),"",IF(AND(H62&lt;&gt;"",K62="N"),"N",IF(AND(H62="NA",K62=""),"NA","Y")))))</f>
        <v/>
      </c>
      <c r="AB62" s="310" t="str">
        <f>IF(AND(G62&lt;&gt;"",L62=""),"E",IF(AND(G62="",L62&lt;&gt;""),"EE",IF(L62="","",L62)))</f>
        <v/>
      </c>
      <c r="AC62" s="251" t="str">
        <f t="shared" ref="AC62:AC81" si="8">IF(A62="",IF(H62="","","E"),IF(H62="",IF(Z62="Y","E",""),IF(Z62="Y",H62,"E")))</f>
        <v/>
      </c>
      <c r="AD62" s="241" t="str">
        <f>IF(A62="","",IF(AND(G62="",N62="",O62="",P62=""),"EE",IF(OR(G62="",N62="",O62="",P62=""),"E",IF(AND(G62&lt;&gt;"",COUNTIF(N62:P62,"N")&gt;0),"N",IF(AND(G62&lt;&gt;"",COUNTIF(N62:P62,"NA")=3),"NA","Y")))))</f>
        <v/>
      </c>
      <c r="AE62" s="354" t="str">
        <f>IF(AND(G62&lt;&gt;"",OR(N62="",O62="",P62="")),"E",IF(AND(G62="",OR(N62&lt;&gt;"",O62&lt;&gt;"",P62&lt;&gt;"")),"?",IF(OR(N62="N",O62="N",P62="N"),"N",IF(AND(N62="NA",O62="NA",P62="NA"),"",IF(OR(N62="Y",O62="Y",P62="Y"),"Y","")))))</f>
        <v/>
      </c>
      <c r="AF62" s="241"/>
      <c r="AG62" s="241"/>
      <c r="AH62" s="241"/>
      <c r="AI62" s="250"/>
      <c r="AJ62" s="250"/>
      <c r="AK62" s="250"/>
    </row>
    <row r="63" spans="1:37" s="325" customFormat="1" ht="15.75" customHeight="1" thickBot="1">
      <c r="A63" s="747"/>
      <c r="B63" s="748"/>
      <c r="C63" s="748"/>
      <c r="D63" s="748"/>
      <c r="E63" s="374"/>
      <c r="F63" s="330"/>
      <c r="G63" s="376"/>
      <c r="H63" s="374"/>
      <c r="I63" s="376"/>
      <c r="J63" s="376"/>
      <c r="K63" s="374"/>
      <c r="L63" s="649"/>
      <c r="M63" s="649"/>
      <c r="N63" s="374"/>
      <c r="O63" s="374"/>
      <c r="P63" s="374"/>
      <c r="Q63" s="350"/>
      <c r="R63" s="251" t="str">
        <f t="shared" si="0"/>
        <v/>
      </c>
      <c r="S63" s="251" t="str">
        <f t="shared" si="1"/>
        <v/>
      </c>
      <c r="T63" s="251" t="str">
        <f t="shared" si="2"/>
        <v/>
      </c>
      <c r="U63" s="251" t="str">
        <f t="shared" si="3"/>
        <v/>
      </c>
      <c r="V63" s="251" t="str">
        <f t="shared" si="4"/>
        <v/>
      </c>
      <c r="W63" s="251"/>
      <c r="X63" s="251" t="str">
        <f t="shared" si="5"/>
        <v/>
      </c>
      <c r="Y63" s="251" t="str">
        <f t="shared" ca="1" si="6"/>
        <v/>
      </c>
      <c r="Z63" s="251" t="str">
        <f t="shared" si="7"/>
        <v/>
      </c>
      <c r="AA63" s="310" t="str">
        <f t="shared" ref="AA63:AA81" si="9">IF(AND(G63&lt;&gt;"",OR(H63="",K63="")),"E",IF(AND(G63="",OR(H63&lt;&gt;"",K63&lt;&gt;"")),"EE",IF(AND(G63="",H63="",K63=""),"",IF(AND(H63&lt;&gt;"",K63="N"),"N",IF(AND(H63="NA",K63=""),"NA","Y")))))</f>
        <v/>
      </c>
      <c r="AB63" s="310" t="str">
        <f t="shared" ref="AB63:AB81" si="10">IF(AND(G63&lt;&gt;"",L63=""),"E",IF(AND(G63="",L63&lt;&gt;""),"EE",IF(L63="","",L63)))</f>
        <v/>
      </c>
      <c r="AC63" s="251" t="str">
        <f t="shared" si="8"/>
        <v/>
      </c>
      <c r="AD63" s="241" t="str">
        <f t="shared" ref="AD63:AD81" si="11">IF(A63="","",IF(AND(G63="",N63="",O63="",P63=""),"EE",IF(OR(G63="",N63="",O63="",P63=""),"E",IF(AND(G63&lt;&gt;"",COUNTIF(N63:P63,"N")&gt;0),"N",IF(AND(G63&lt;&gt;"",COUNTIF(N63:P63,"NA")=3),"NA","Y")))))</f>
        <v/>
      </c>
      <c r="AE63" s="354" t="str">
        <f t="shared" ref="AE63:AE81" si="12">IF(AND(G63&lt;&gt;"",OR(N63="",O63="",P63="")),"E",IF(AND(G63="",OR(N63&lt;&gt;"",O63&lt;&gt;"",P63&lt;&gt;"")),"?",IF(OR(N63="N",O63="N",P63="N"),"N",IF(AND(N63="NA",O63="NA",P63="NA"),"",IF(OR(N63="Y",O63="Y",P63="Y"),"Y","")))))</f>
        <v/>
      </c>
      <c r="AF63" s="241"/>
      <c r="AG63" s="241"/>
      <c r="AH63" s="241"/>
      <c r="AI63" s="250"/>
      <c r="AJ63" s="250"/>
      <c r="AK63" s="250"/>
    </row>
    <row r="64" spans="1:37" s="325" customFormat="1" ht="15.75" customHeight="1" thickBot="1">
      <c r="A64" s="747"/>
      <c r="B64" s="748"/>
      <c r="C64" s="748"/>
      <c r="D64" s="748"/>
      <c r="E64" s="374"/>
      <c r="F64" s="330"/>
      <c r="G64" s="376"/>
      <c r="H64" s="374"/>
      <c r="I64" s="376"/>
      <c r="J64" s="376"/>
      <c r="K64" s="374"/>
      <c r="L64" s="649"/>
      <c r="M64" s="649"/>
      <c r="N64" s="374"/>
      <c r="O64" s="374"/>
      <c r="P64" s="374"/>
      <c r="Q64" s="350"/>
      <c r="R64" s="251" t="str">
        <f t="shared" si="0"/>
        <v/>
      </c>
      <c r="S64" s="251" t="str">
        <f t="shared" si="1"/>
        <v/>
      </c>
      <c r="T64" s="251" t="str">
        <f t="shared" si="2"/>
        <v/>
      </c>
      <c r="U64" s="251" t="str">
        <f t="shared" si="3"/>
        <v/>
      </c>
      <c r="V64" s="251" t="str">
        <f t="shared" si="4"/>
        <v/>
      </c>
      <c r="W64" s="251"/>
      <c r="X64" s="251" t="str">
        <f t="shared" si="5"/>
        <v/>
      </c>
      <c r="Y64" s="251" t="str">
        <f t="shared" ca="1" si="6"/>
        <v/>
      </c>
      <c r="Z64" s="251" t="str">
        <f t="shared" si="7"/>
        <v/>
      </c>
      <c r="AA64" s="310" t="str">
        <f t="shared" si="9"/>
        <v/>
      </c>
      <c r="AB64" s="310" t="str">
        <f t="shared" si="10"/>
        <v/>
      </c>
      <c r="AC64" s="251" t="str">
        <f t="shared" si="8"/>
        <v/>
      </c>
      <c r="AD64" s="241" t="str">
        <f t="shared" si="11"/>
        <v/>
      </c>
      <c r="AE64" s="354" t="str">
        <f t="shared" si="12"/>
        <v/>
      </c>
      <c r="AF64" s="241"/>
      <c r="AG64" s="241"/>
      <c r="AH64" s="241"/>
      <c r="AI64" s="250"/>
      <c r="AJ64" s="250"/>
      <c r="AK64" s="250"/>
    </row>
    <row r="65" spans="1:37" s="325" customFormat="1" ht="15.75" customHeight="1" thickBot="1">
      <c r="A65" s="747"/>
      <c r="B65" s="748"/>
      <c r="C65" s="748"/>
      <c r="D65" s="748"/>
      <c r="E65" s="374"/>
      <c r="F65" s="330"/>
      <c r="G65" s="376"/>
      <c r="H65" s="374"/>
      <c r="I65" s="376"/>
      <c r="J65" s="376"/>
      <c r="K65" s="374"/>
      <c r="L65" s="649"/>
      <c r="M65" s="649"/>
      <c r="N65" s="374"/>
      <c r="O65" s="374"/>
      <c r="P65" s="374"/>
      <c r="Q65" s="350"/>
      <c r="R65" s="251" t="str">
        <f t="shared" si="0"/>
        <v/>
      </c>
      <c r="S65" s="251" t="str">
        <f t="shared" si="1"/>
        <v/>
      </c>
      <c r="T65" s="251" t="str">
        <f t="shared" si="2"/>
        <v/>
      </c>
      <c r="U65" s="251" t="str">
        <f t="shared" si="3"/>
        <v/>
      </c>
      <c r="V65" s="251" t="str">
        <f t="shared" si="4"/>
        <v/>
      </c>
      <c r="W65" s="251"/>
      <c r="X65" s="251" t="str">
        <f t="shared" si="5"/>
        <v/>
      </c>
      <c r="Y65" s="251" t="str">
        <f t="shared" ca="1" si="6"/>
        <v/>
      </c>
      <c r="Z65" s="251" t="str">
        <f t="shared" si="7"/>
        <v/>
      </c>
      <c r="AA65" s="310" t="str">
        <f t="shared" si="9"/>
        <v/>
      </c>
      <c r="AB65" s="310" t="str">
        <f t="shared" si="10"/>
        <v/>
      </c>
      <c r="AC65" s="251" t="str">
        <f t="shared" si="8"/>
        <v/>
      </c>
      <c r="AD65" s="241" t="str">
        <f t="shared" si="11"/>
        <v/>
      </c>
      <c r="AE65" s="354" t="str">
        <f t="shared" si="12"/>
        <v/>
      </c>
      <c r="AF65" s="241"/>
      <c r="AG65" s="241"/>
      <c r="AH65" s="241"/>
      <c r="AI65" s="250"/>
      <c r="AJ65" s="250"/>
      <c r="AK65" s="250"/>
    </row>
    <row r="66" spans="1:37" s="325" customFormat="1" ht="15.75" customHeight="1" thickBot="1">
      <c r="A66" s="747"/>
      <c r="B66" s="748"/>
      <c r="C66" s="748"/>
      <c r="D66" s="748"/>
      <c r="E66" s="374"/>
      <c r="F66" s="330"/>
      <c r="G66" s="376"/>
      <c r="H66" s="374"/>
      <c r="I66" s="376"/>
      <c r="J66" s="376"/>
      <c r="K66" s="374"/>
      <c r="L66" s="649"/>
      <c r="M66" s="649"/>
      <c r="N66" s="374"/>
      <c r="O66" s="374"/>
      <c r="P66" s="374"/>
      <c r="Q66" s="350"/>
      <c r="R66" s="251" t="str">
        <f t="shared" si="0"/>
        <v/>
      </c>
      <c r="S66" s="251" t="str">
        <f t="shared" si="1"/>
        <v/>
      </c>
      <c r="T66" s="251" t="str">
        <f t="shared" si="2"/>
        <v/>
      </c>
      <c r="U66" s="251" t="str">
        <f t="shared" si="3"/>
        <v/>
      </c>
      <c r="V66" s="251" t="str">
        <f t="shared" si="4"/>
        <v/>
      </c>
      <c r="W66" s="251"/>
      <c r="X66" s="251" t="str">
        <f t="shared" si="5"/>
        <v/>
      </c>
      <c r="Y66" s="251" t="str">
        <f t="shared" ca="1" si="6"/>
        <v/>
      </c>
      <c r="Z66" s="251" t="str">
        <f t="shared" si="7"/>
        <v/>
      </c>
      <c r="AA66" s="310" t="str">
        <f t="shared" si="9"/>
        <v/>
      </c>
      <c r="AB66" s="310" t="str">
        <f t="shared" si="10"/>
        <v/>
      </c>
      <c r="AC66" s="251" t="str">
        <f t="shared" si="8"/>
        <v/>
      </c>
      <c r="AD66" s="241" t="str">
        <f t="shared" si="11"/>
        <v/>
      </c>
      <c r="AE66" s="354" t="str">
        <f t="shared" si="12"/>
        <v/>
      </c>
      <c r="AF66" s="241"/>
      <c r="AG66" s="241"/>
      <c r="AH66" s="241"/>
      <c r="AI66" s="250"/>
      <c r="AJ66" s="250"/>
      <c r="AK66" s="250"/>
    </row>
    <row r="67" spans="1:37" s="325" customFormat="1" ht="15.75" customHeight="1" thickBot="1">
      <c r="A67" s="747"/>
      <c r="B67" s="748"/>
      <c r="C67" s="748"/>
      <c r="D67" s="748"/>
      <c r="E67" s="374"/>
      <c r="F67" s="330"/>
      <c r="G67" s="376"/>
      <c r="H67" s="374"/>
      <c r="I67" s="376"/>
      <c r="J67" s="376"/>
      <c r="K67" s="374"/>
      <c r="L67" s="649"/>
      <c r="M67" s="649"/>
      <c r="N67" s="374"/>
      <c r="O67" s="374"/>
      <c r="P67" s="374"/>
      <c r="Q67" s="350"/>
      <c r="R67" s="251" t="str">
        <f t="shared" si="0"/>
        <v/>
      </c>
      <c r="S67" s="251" t="str">
        <f t="shared" si="1"/>
        <v/>
      </c>
      <c r="T67" s="251" t="str">
        <f t="shared" si="2"/>
        <v/>
      </c>
      <c r="U67" s="251" t="str">
        <f t="shared" si="3"/>
        <v/>
      </c>
      <c r="V67" s="251" t="str">
        <f t="shared" si="4"/>
        <v/>
      </c>
      <c r="W67" s="251"/>
      <c r="X67" s="251" t="str">
        <f t="shared" si="5"/>
        <v/>
      </c>
      <c r="Y67" s="251" t="str">
        <f t="shared" ca="1" si="6"/>
        <v/>
      </c>
      <c r="Z67" s="251" t="str">
        <f t="shared" si="7"/>
        <v/>
      </c>
      <c r="AA67" s="310" t="str">
        <f t="shared" si="9"/>
        <v/>
      </c>
      <c r="AB67" s="310" t="str">
        <f t="shared" si="10"/>
        <v/>
      </c>
      <c r="AC67" s="251" t="str">
        <f t="shared" si="8"/>
        <v/>
      </c>
      <c r="AD67" s="241" t="str">
        <f t="shared" si="11"/>
        <v/>
      </c>
      <c r="AE67" s="354" t="str">
        <f t="shared" si="12"/>
        <v/>
      </c>
      <c r="AF67" s="241"/>
      <c r="AG67" s="241"/>
      <c r="AH67" s="241"/>
      <c r="AI67" s="250"/>
      <c r="AJ67" s="250"/>
      <c r="AK67" s="250"/>
    </row>
    <row r="68" spans="1:37" s="325" customFormat="1" ht="15.75" customHeight="1" thickBot="1">
      <c r="A68" s="747"/>
      <c r="B68" s="748"/>
      <c r="C68" s="748"/>
      <c r="D68" s="748"/>
      <c r="E68" s="374"/>
      <c r="F68" s="330"/>
      <c r="G68" s="376"/>
      <c r="H68" s="374"/>
      <c r="I68" s="376"/>
      <c r="J68" s="376"/>
      <c r="K68" s="374"/>
      <c r="L68" s="649"/>
      <c r="M68" s="649"/>
      <c r="N68" s="374"/>
      <c r="O68" s="374"/>
      <c r="P68" s="374"/>
      <c r="Q68" s="350"/>
      <c r="R68" s="251" t="str">
        <f t="shared" si="0"/>
        <v/>
      </c>
      <c r="S68" s="251" t="str">
        <f t="shared" si="1"/>
        <v/>
      </c>
      <c r="T68" s="251" t="str">
        <f t="shared" si="2"/>
        <v/>
      </c>
      <c r="U68" s="251" t="str">
        <f t="shared" si="3"/>
        <v/>
      </c>
      <c r="V68" s="251" t="str">
        <f t="shared" si="4"/>
        <v/>
      </c>
      <c r="W68" s="251"/>
      <c r="X68" s="251" t="str">
        <f t="shared" si="5"/>
        <v/>
      </c>
      <c r="Y68" s="251" t="str">
        <f t="shared" ca="1" si="6"/>
        <v/>
      </c>
      <c r="Z68" s="251" t="str">
        <f t="shared" si="7"/>
        <v/>
      </c>
      <c r="AA68" s="310" t="str">
        <f t="shared" si="9"/>
        <v/>
      </c>
      <c r="AB68" s="310" t="str">
        <f t="shared" si="10"/>
        <v/>
      </c>
      <c r="AC68" s="251" t="str">
        <f t="shared" si="8"/>
        <v/>
      </c>
      <c r="AD68" s="241" t="str">
        <f t="shared" si="11"/>
        <v/>
      </c>
      <c r="AE68" s="354" t="str">
        <f t="shared" si="12"/>
        <v/>
      </c>
      <c r="AF68" s="241"/>
      <c r="AG68" s="241"/>
      <c r="AH68" s="241"/>
      <c r="AI68" s="250"/>
      <c r="AJ68" s="250"/>
      <c r="AK68" s="250"/>
    </row>
    <row r="69" spans="1:37" s="325" customFormat="1" ht="15.75" customHeight="1" thickBot="1">
      <c r="A69" s="747"/>
      <c r="B69" s="748"/>
      <c r="C69" s="748"/>
      <c r="D69" s="748"/>
      <c r="E69" s="374"/>
      <c r="F69" s="330"/>
      <c r="G69" s="376"/>
      <c r="H69" s="374"/>
      <c r="I69" s="376"/>
      <c r="J69" s="376"/>
      <c r="K69" s="374"/>
      <c r="L69" s="649"/>
      <c r="M69" s="649"/>
      <c r="N69" s="374"/>
      <c r="O69" s="374"/>
      <c r="P69" s="374"/>
      <c r="Q69" s="350"/>
      <c r="R69" s="251" t="str">
        <f t="shared" si="0"/>
        <v/>
      </c>
      <c r="S69" s="251" t="str">
        <f t="shared" si="1"/>
        <v/>
      </c>
      <c r="T69" s="251" t="str">
        <f t="shared" si="2"/>
        <v/>
      </c>
      <c r="U69" s="251" t="str">
        <f t="shared" si="3"/>
        <v/>
      </c>
      <c r="V69" s="251" t="str">
        <f t="shared" si="4"/>
        <v/>
      </c>
      <c r="W69" s="251"/>
      <c r="X69" s="251" t="str">
        <f t="shared" si="5"/>
        <v/>
      </c>
      <c r="Y69" s="251" t="str">
        <f t="shared" ca="1" si="6"/>
        <v/>
      </c>
      <c r="Z69" s="251" t="str">
        <f t="shared" si="7"/>
        <v/>
      </c>
      <c r="AA69" s="310" t="str">
        <f t="shared" si="9"/>
        <v/>
      </c>
      <c r="AB69" s="310" t="str">
        <f t="shared" si="10"/>
        <v/>
      </c>
      <c r="AC69" s="251" t="str">
        <f t="shared" si="8"/>
        <v/>
      </c>
      <c r="AD69" s="241" t="str">
        <f t="shared" si="11"/>
        <v/>
      </c>
      <c r="AE69" s="354" t="str">
        <f t="shared" si="12"/>
        <v/>
      </c>
      <c r="AF69" s="241"/>
      <c r="AG69" s="241"/>
      <c r="AH69" s="241"/>
      <c r="AI69" s="250"/>
      <c r="AJ69" s="250"/>
      <c r="AK69" s="250"/>
    </row>
    <row r="70" spans="1:37" s="325" customFormat="1" ht="15.75" customHeight="1" thickBot="1">
      <c r="A70" s="747"/>
      <c r="B70" s="748"/>
      <c r="C70" s="748"/>
      <c r="D70" s="748"/>
      <c r="E70" s="374"/>
      <c r="F70" s="330"/>
      <c r="G70" s="376"/>
      <c r="H70" s="374"/>
      <c r="I70" s="376"/>
      <c r="J70" s="376"/>
      <c r="K70" s="374"/>
      <c r="L70" s="649"/>
      <c r="M70" s="649"/>
      <c r="N70" s="374"/>
      <c r="O70" s="374"/>
      <c r="P70" s="374"/>
      <c r="Q70" s="350"/>
      <c r="R70" s="251" t="str">
        <f t="shared" si="0"/>
        <v/>
      </c>
      <c r="S70" s="251" t="str">
        <f t="shared" si="1"/>
        <v/>
      </c>
      <c r="T70" s="251" t="str">
        <f t="shared" si="2"/>
        <v/>
      </c>
      <c r="U70" s="251" t="str">
        <f t="shared" si="3"/>
        <v/>
      </c>
      <c r="V70" s="251" t="str">
        <f t="shared" si="4"/>
        <v/>
      </c>
      <c r="W70" s="251"/>
      <c r="X70" s="251" t="str">
        <f t="shared" si="5"/>
        <v/>
      </c>
      <c r="Y70" s="251" t="str">
        <f t="shared" ca="1" si="6"/>
        <v/>
      </c>
      <c r="Z70" s="251" t="str">
        <f t="shared" si="7"/>
        <v/>
      </c>
      <c r="AA70" s="310" t="str">
        <f t="shared" si="9"/>
        <v/>
      </c>
      <c r="AB70" s="310" t="str">
        <f t="shared" si="10"/>
        <v/>
      </c>
      <c r="AC70" s="251" t="str">
        <f t="shared" si="8"/>
        <v/>
      </c>
      <c r="AD70" s="241" t="str">
        <f t="shared" si="11"/>
        <v/>
      </c>
      <c r="AE70" s="354" t="str">
        <f t="shared" si="12"/>
        <v/>
      </c>
      <c r="AF70" s="241"/>
      <c r="AG70" s="241"/>
      <c r="AH70" s="241"/>
      <c r="AI70" s="250"/>
      <c r="AJ70" s="250"/>
      <c r="AK70" s="250"/>
    </row>
    <row r="71" spans="1:37" s="325" customFormat="1" ht="15.75" customHeight="1" thickBot="1">
      <c r="A71" s="747"/>
      <c r="B71" s="748"/>
      <c r="C71" s="748"/>
      <c r="D71" s="748"/>
      <c r="E71" s="374"/>
      <c r="F71" s="330"/>
      <c r="G71" s="376"/>
      <c r="H71" s="374"/>
      <c r="I71" s="376"/>
      <c r="J71" s="376"/>
      <c r="K71" s="374"/>
      <c r="L71" s="649"/>
      <c r="M71" s="649"/>
      <c r="N71" s="374"/>
      <c r="O71" s="374"/>
      <c r="P71" s="374"/>
      <c r="Q71" s="350"/>
      <c r="R71" s="251" t="str">
        <f t="shared" si="0"/>
        <v/>
      </c>
      <c r="S71" s="251" t="str">
        <f t="shared" si="1"/>
        <v/>
      </c>
      <c r="T71" s="251" t="str">
        <f t="shared" si="2"/>
        <v/>
      </c>
      <c r="U71" s="251" t="str">
        <f t="shared" si="3"/>
        <v/>
      </c>
      <c r="V71" s="251" t="str">
        <f t="shared" si="4"/>
        <v/>
      </c>
      <c r="W71" s="251"/>
      <c r="X71" s="251" t="str">
        <f t="shared" si="5"/>
        <v/>
      </c>
      <c r="Y71" s="251" t="str">
        <f t="shared" ca="1" si="6"/>
        <v/>
      </c>
      <c r="Z71" s="251" t="str">
        <f t="shared" si="7"/>
        <v/>
      </c>
      <c r="AA71" s="310" t="str">
        <f t="shared" si="9"/>
        <v/>
      </c>
      <c r="AB71" s="310" t="str">
        <f t="shared" si="10"/>
        <v/>
      </c>
      <c r="AC71" s="251" t="str">
        <f t="shared" si="8"/>
        <v/>
      </c>
      <c r="AD71" s="241" t="str">
        <f t="shared" si="11"/>
        <v/>
      </c>
      <c r="AE71" s="354" t="str">
        <f t="shared" si="12"/>
        <v/>
      </c>
      <c r="AF71" s="241"/>
      <c r="AG71" s="241"/>
      <c r="AH71" s="241"/>
      <c r="AI71" s="250"/>
      <c r="AJ71" s="250"/>
      <c r="AK71" s="250"/>
    </row>
    <row r="72" spans="1:37" s="325" customFormat="1" ht="15.75" customHeight="1" thickBot="1">
      <c r="A72" s="747"/>
      <c r="B72" s="748"/>
      <c r="C72" s="748"/>
      <c r="D72" s="748"/>
      <c r="E72" s="374"/>
      <c r="F72" s="330"/>
      <c r="G72" s="376"/>
      <c r="H72" s="374"/>
      <c r="I72" s="376"/>
      <c r="J72" s="376"/>
      <c r="K72" s="374"/>
      <c r="L72" s="649"/>
      <c r="M72" s="649"/>
      <c r="N72" s="374"/>
      <c r="O72" s="374"/>
      <c r="P72" s="374"/>
      <c r="Q72" s="350"/>
      <c r="R72" s="251" t="str">
        <f t="shared" si="0"/>
        <v/>
      </c>
      <c r="S72" s="251" t="str">
        <f t="shared" si="1"/>
        <v/>
      </c>
      <c r="T72" s="251" t="str">
        <f t="shared" si="2"/>
        <v/>
      </c>
      <c r="U72" s="251" t="str">
        <f t="shared" si="3"/>
        <v/>
      </c>
      <c r="V72" s="251" t="str">
        <f t="shared" si="4"/>
        <v/>
      </c>
      <c r="W72" s="251"/>
      <c r="X72" s="251" t="str">
        <f t="shared" si="5"/>
        <v/>
      </c>
      <c r="Y72" s="251" t="str">
        <f t="shared" ca="1" si="6"/>
        <v/>
      </c>
      <c r="Z72" s="251" t="str">
        <f t="shared" si="7"/>
        <v/>
      </c>
      <c r="AA72" s="310" t="str">
        <f t="shared" si="9"/>
        <v/>
      </c>
      <c r="AB72" s="310" t="str">
        <f t="shared" si="10"/>
        <v/>
      </c>
      <c r="AC72" s="251" t="str">
        <f t="shared" si="8"/>
        <v/>
      </c>
      <c r="AD72" s="241" t="str">
        <f t="shared" si="11"/>
        <v/>
      </c>
      <c r="AE72" s="354" t="str">
        <f t="shared" si="12"/>
        <v/>
      </c>
      <c r="AF72" s="241"/>
      <c r="AG72" s="241"/>
      <c r="AH72" s="241"/>
      <c r="AI72" s="250"/>
      <c r="AJ72" s="250"/>
      <c r="AK72" s="250"/>
    </row>
    <row r="73" spans="1:37" s="325" customFormat="1" ht="15.75" customHeight="1" thickBot="1">
      <c r="A73" s="747"/>
      <c r="B73" s="748"/>
      <c r="C73" s="748"/>
      <c r="D73" s="748"/>
      <c r="E73" s="374"/>
      <c r="F73" s="330"/>
      <c r="G73" s="376"/>
      <c r="H73" s="374"/>
      <c r="I73" s="376"/>
      <c r="J73" s="376"/>
      <c r="K73" s="374"/>
      <c r="L73" s="649"/>
      <c r="M73" s="649"/>
      <c r="N73" s="374"/>
      <c r="O73" s="374"/>
      <c r="P73" s="374"/>
      <c r="Q73" s="350"/>
      <c r="R73" s="251" t="str">
        <f t="shared" si="0"/>
        <v/>
      </c>
      <c r="S73" s="251" t="str">
        <f t="shared" si="1"/>
        <v/>
      </c>
      <c r="T73" s="251" t="str">
        <f t="shared" si="2"/>
        <v/>
      </c>
      <c r="U73" s="251" t="str">
        <f t="shared" si="3"/>
        <v/>
      </c>
      <c r="V73" s="251" t="str">
        <f t="shared" si="4"/>
        <v/>
      </c>
      <c r="W73" s="251"/>
      <c r="X73" s="251" t="str">
        <f t="shared" si="5"/>
        <v/>
      </c>
      <c r="Y73" s="251" t="str">
        <f t="shared" ca="1" si="6"/>
        <v/>
      </c>
      <c r="Z73" s="251" t="str">
        <f t="shared" si="7"/>
        <v/>
      </c>
      <c r="AA73" s="310" t="str">
        <f t="shared" si="9"/>
        <v/>
      </c>
      <c r="AB73" s="310" t="str">
        <f t="shared" si="10"/>
        <v/>
      </c>
      <c r="AC73" s="251" t="str">
        <f t="shared" si="8"/>
        <v/>
      </c>
      <c r="AD73" s="241" t="str">
        <f t="shared" si="11"/>
        <v/>
      </c>
      <c r="AE73" s="354" t="str">
        <f t="shared" si="12"/>
        <v/>
      </c>
      <c r="AF73" s="241"/>
      <c r="AG73" s="241"/>
      <c r="AH73" s="241"/>
      <c r="AI73" s="250"/>
      <c r="AJ73" s="250"/>
      <c r="AK73" s="250"/>
    </row>
    <row r="74" spans="1:37" s="325" customFormat="1" ht="15.75" customHeight="1" thickBot="1">
      <c r="A74" s="747"/>
      <c r="B74" s="748"/>
      <c r="C74" s="748"/>
      <c r="D74" s="748"/>
      <c r="E74" s="374"/>
      <c r="F74" s="330"/>
      <c r="G74" s="376"/>
      <c r="H74" s="374"/>
      <c r="I74" s="376"/>
      <c r="J74" s="376"/>
      <c r="K74" s="374"/>
      <c r="L74" s="649"/>
      <c r="M74" s="649"/>
      <c r="N74" s="374"/>
      <c r="O74" s="374"/>
      <c r="P74" s="374"/>
      <c r="Q74" s="350"/>
      <c r="R74" s="251" t="str">
        <f t="shared" si="0"/>
        <v/>
      </c>
      <c r="S74" s="251" t="str">
        <f t="shared" si="1"/>
        <v/>
      </c>
      <c r="T74" s="251" t="str">
        <f t="shared" si="2"/>
        <v/>
      </c>
      <c r="U74" s="251" t="str">
        <f t="shared" si="3"/>
        <v/>
      </c>
      <c r="V74" s="251" t="str">
        <f t="shared" si="4"/>
        <v/>
      </c>
      <c r="W74" s="251"/>
      <c r="X74" s="251" t="str">
        <f t="shared" si="5"/>
        <v/>
      </c>
      <c r="Y74" s="251" t="str">
        <f t="shared" ca="1" si="6"/>
        <v/>
      </c>
      <c r="Z74" s="251" t="str">
        <f t="shared" si="7"/>
        <v/>
      </c>
      <c r="AA74" s="310" t="str">
        <f t="shared" si="9"/>
        <v/>
      </c>
      <c r="AB74" s="310" t="str">
        <f t="shared" si="10"/>
        <v/>
      </c>
      <c r="AC74" s="251" t="str">
        <f t="shared" si="8"/>
        <v/>
      </c>
      <c r="AD74" s="241" t="str">
        <f t="shared" si="11"/>
        <v/>
      </c>
      <c r="AE74" s="354" t="str">
        <f t="shared" si="12"/>
        <v/>
      </c>
      <c r="AF74" s="241"/>
      <c r="AG74" s="241"/>
      <c r="AH74" s="241"/>
      <c r="AI74" s="250"/>
      <c r="AJ74" s="250"/>
      <c r="AK74" s="250"/>
    </row>
    <row r="75" spans="1:37" s="325" customFormat="1" ht="15.75" customHeight="1" thickBot="1">
      <c r="A75" s="747"/>
      <c r="B75" s="748"/>
      <c r="C75" s="748"/>
      <c r="D75" s="748"/>
      <c r="E75" s="374"/>
      <c r="F75" s="330"/>
      <c r="G75" s="376"/>
      <c r="H75" s="374"/>
      <c r="I75" s="376"/>
      <c r="J75" s="376"/>
      <c r="K75" s="374"/>
      <c r="L75" s="649"/>
      <c r="M75" s="649"/>
      <c r="N75" s="374"/>
      <c r="O75" s="374"/>
      <c r="P75" s="374"/>
      <c r="Q75" s="350"/>
      <c r="R75" s="251" t="str">
        <f t="shared" si="0"/>
        <v/>
      </c>
      <c r="S75" s="251" t="str">
        <f t="shared" si="1"/>
        <v/>
      </c>
      <c r="T75" s="251" t="str">
        <f t="shared" si="2"/>
        <v/>
      </c>
      <c r="U75" s="251" t="str">
        <f t="shared" si="3"/>
        <v/>
      </c>
      <c r="V75" s="251" t="str">
        <f t="shared" si="4"/>
        <v/>
      </c>
      <c r="W75" s="251"/>
      <c r="X75" s="251" t="str">
        <f t="shared" si="5"/>
        <v/>
      </c>
      <c r="Y75" s="251" t="str">
        <f t="shared" ca="1" si="6"/>
        <v/>
      </c>
      <c r="Z75" s="251" t="str">
        <f t="shared" si="7"/>
        <v/>
      </c>
      <c r="AA75" s="310" t="str">
        <f t="shared" si="9"/>
        <v/>
      </c>
      <c r="AB75" s="310" t="str">
        <f t="shared" si="10"/>
        <v/>
      </c>
      <c r="AC75" s="251" t="str">
        <f t="shared" si="8"/>
        <v/>
      </c>
      <c r="AD75" s="241" t="str">
        <f t="shared" si="11"/>
        <v/>
      </c>
      <c r="AE75" s="354" t="str">
        <f t="shared" si="12"/>
        <v/>
      </c>
      <c r="AF75" s="241"/>
      <c r="AG75" s="241"/>
      <c r="AH75" s="241"/>
      <c r="AI75" s="250"/>
      <c r="AJ75" s="250"/>
      <c r="AK75" s="250"/>
    </row>
    <row r="76" spans="1:37" s="325" customFormat="1" ht="15.75" customHeight="1" thickBot="1">
      <c r="A76" s="747"/>
      <c r="B76" s="748"/>
      <c r="C76" s="748"/>
      <c r="D76" s="748"/>
      <c r="E76" s="374"/>
      <c r="F76" s="330"/>
      <c r="G76" s="376"/>
      <c r="H76" s="374"/>
      <c r="I76" s="376"/>
      <c r="J76" s="376"/>
      <c r="K76" s="374"/>
      <c r="L76" s="649"/>
      <c r="M76" s="649"/>
      <c r="N76" s="374"/>
      <c r="O76" s="374"/>
      <c r="P76" s="374"/>
      <c r="Q76" s="350"/>
      <c r="R76" s="251" t="str">
        <f t="shared" si="0"/>
        <v/>
      </c>
      <c r="S76" s="251" t="str">
        <f t="shared" si="1"/>
        <v/>
      </c>
      <c r="T76" s="251" t="str">
        <f t="shared" si="2"/>
        <v/>
      </c>
      <c r="U76" s="251" t="str">
        <f t="shared" si="3"/>
        <v/>
      </c>
      <c r="V76" s="251" t="str">
        <f t="shared" si="4"/>
        <v/>
      </c>
      <c r="W76" s="251"/>
      <c r="X76" s="251" t="str">
        <f t="shared" si="5"/>
        <v/>
      </c>
      <c r="Y76" s="251" t="str">
        <f t="shared" ca="1" si="6"/>
        <v/>
      </c>
      <c r="Z76" s="251" t="str">
        <f t="shared" si="7"/>
        <v/>
      </c>
      <c r="AA76" s="310" t="str">
        <f t="shared" si="9"/>
        <v/>
      </c>
      <c r="AB76" s="310" t="str">
        <f t="shared" si="10"/>
        <v/>
      </c>
      <c r="AC76" s="251" t="str">
        <f t="shared" si="8"/>
        <v/>
      </c>
      <c r="AD76" s="241" t="str">
        <f t="shared" si="11"/>
        <v/>
      </c>
      <c r="AE76" s="354" t="str">
        <f t="shared" si="12"/>
        <v/>
      </c>
      <c r="AF76" s="241"/>
      <c r="AG76" s="241"/>
      <c r="AH76" s="241"/>
      <c r="AI76" s="250"/>
      <c r="AJ76" s="250"/>
      <c r="AK76" s="250"/>
    </row>
    <row r="77" spans="1:37" s="325" customFormat="1" ht="15.75" customHeight="1" thickBot="1">
      <c r="A77" s="747"/>
      <c r="B77" s="748"/>
      <c r="C77" s="748"/>
      <c r="D77" s="748"/>
      <c r="E77" s="374"/>
      <c r="F77" s="330"/>
      <c r="G77" s="376"/>
      <c r="H77" s="374"/>
      <c r="I77" s="376"/>
      <c r="J77" s="376"/>
      <c r="K77" s="374"/>
      <c r="L77" s="649"/>
      <c r="M77" s="649"/>
      <c r="N77" s="374"/>
      <c r="O77" s="374"/>
      <c r="P77" s="374"/>
      <c r="Q77" s="350"/>
      <c r="R77" s="251" t="str">
        <f t="shared" si="0"/>
        <v/>
      </c>
      <c r="S77" s="251" t="str">
        <f t="shared" si="1"/>
        <v/>
      </c>
      <c r="T77" s="251" t="str">
        <f t="shared" si="2"/>
        <v/>
      </c>
      <c r="U77" s="251" t="str">
        <f t="shared" si="3"/>
        <v/>
      </c>
      <c r="V77" s="251" t="str">
        <f t="shared" si="4"/>
        <v/>
      </c>
      <c r="W77" s="251"/>
      <c r="X77" s="251" t="str">
        <f t="shared" si="5"/>
        <v/>
      </c>
      <c r="Y77" s="251" t="str">
        <f t="shared" ca="1" si="6"/>
        <v/>
      </c>
      <c r="Z77" s="251" t="str">
        <f t="shared" si="7"/>
        <v/>
      </c>
      <c r="AA77" s="310" t="str">
        <f t="shared" si="9"/>
        <v/>
      </c>
      <c r="AB77" s="310" t="str">
        <f t="shared" si="10"/>
        <v/>
      </c>
      <c r="AC77" s="251" t="str">
        <f t="shared" si="8"/>
        <v/>
      </c>
      <c r="AD77" s="241" t="str">
        <f t="shared" si="11"/>
        <v/>
      </c>
      <c r="AE77" s="354" t="str">
        <f t="shared" si="12"/>
        <v/>
      </c>
      <c r="AF77" s="241"/>
      <c r="AG77" s="241"/>
      <c r="AH77" s="241"/>
      <c r="AI77" s="250"/>
      <c r="AJ77" s="250"/>
      <c r="AK77" s="250"/>
    </row>
    <row r="78" spans="1:37" s="325" customFormat="1" ht="15.75" customHeight="1" thickBot="1">
      <c r="A78" s="747"/>
      <c r="B78" s="748"/>
      <c r="C78" s="748"/>
      <c r="D78" s="748"/>
      <c r="E78" s="374"/>
      <c r="F78" s="330"/>
      <c r="G78" s="376"/>
      <c r="H78" s="374"/>
      <c r="I78" s="376"/>
      <c r="J78" s="376"/>
      <c r="K78" s="374"/>
      <c r="L78" s="649"/>
      <c r="M78" s="649"/>
      <c r="N78" s="374"/>
      <c r="O78" s="374"/>
      <c r="P78" s="374"/>
      <c r="Q78" s="350"/>
      <c r="R78" s="251" t="str">
        <f t="shared" si="0"/>
        <v/>
      </c>
      <c r="S78" s="251" t="str">
        <f t="shared" si="1"/>
        <v/>
      </c>
      <c r="T78" s="251" t="str">
        <f t="shared" si="2"/>
        <v/>
      </c>
      <c r="U78" s="251" t="str">
        <f t="shared" si="3"/>
        <v/>
      </c>
      <c r="V78" s="251" t="str">
        <f t="shared" si="4"/>
        <v/>
      </c>
      <c r="W78" s="251"/>
      <c r="X78" s="251" t="str">
        <f t="shared" si="5"/>
        <v/>
      </c>
      <c r="Y78" s="251" t="str">
        <f t="shared" ca="1" si="6"/>
        <v/>
      </c>
      <c r="Z78" s="251" t="str">
        <f t="shared" si="7"/>
        <v/>
      </c>
      <c r="AA78" s="310" t="str">
        <f t="shared" si="9"/>
        <v/>
      </c>
      <c r="AB78" s="310" t="str">
        <f t="shared" si="10"/>
        <v/>
      </c>
      <c r="AC78" s="251" t="str">
        <f t="shared" si="8"/>
        <v/>
      </c>
      <c r="AD78" s="241" t="str">
        <f t="shared" si="11"/>
        <v/>
      </c>
      <c r="AE78" s="354" t="str">
        <f t="shared" si="12"/>
        <v/>
      </c>
      <c r="AF78" s="241"/>
      <c r="AG78" s="241"/>
      <c r="AH78" s="241"/>
      <c r="AI78" s="250"/>
      <c r="AJ78" s="250"/>
      <c r="AK78" s="250"/>
    </row>
    <row r="79" spans="1:37" s="325" customFormat="1" ht="15.75" customHeight="1" thickBot="1">
      <c r="A79" s="747"/>
      <c r="B79" s="748"/>
      <c r="C79" s="748"/>
      <c r="D79" s="748"/>
      <c r="E79" s="374"/>
      <c r="F79" s="330"/>
      <c r="G79" s="376"/>
      <c r="H79" s="374"/>
      <c r="I79" s="376"/>
      <c r="J79" s="376"/>
      <c r="K79" s="374"/>
      <c r="L79" s="649"/>
      <c r="M79" s="649"/>
      <c r="N79" s="374"/>
      <c r="O79" s="374"/>
      <c r="P79" s="374"/>
      <c r="Q79" s="350"/>
      <c r="R79" s="251" t="str">
        <f t="shared" si="0"/>
        <v/>
      </c>
      <c r="S79" s="251" t="str">
        <f t="shared" si="1"/>
        <v/>
      </c>
      <c r="T79" s="251" t="str">
        <f t="shared" si="2"/>
        <v/>
      </c>
      <c r="U79" s="251" t="str">
        <f t="shared" si="3"/>
        <v/>
      </c>
      <c r="V79" s="251" t="str">
        <f t="shared" si="4"/>
        <v/>
      </c>
      <c r="W79" s="251"/>
      <c r="X79" s="251" t="str">
        <f t="shared" si="5"/>
        <v/>
      </c>
      <c r="Y79" s="251" t="str">
        <f t="shared" ca="1" si="6"/>
        <v/>
      </c>
      <c r="Z79" s="251" t="str">
        <f t="shared" si="7"/>
        <v/>
      </c>
      <c r="AA79" s="310" t="str">
        <f t="shared" si="9"/>
        <v/>
      </c>
      <c r="AB79" s="310" t="str">
        <f t="shared" si="10"/>
        <v/>
      </c>
      <c r="AC79" s="251" t="str">
        <f t="shared" si="8"/>
        <v/>
      </c>
      <c r="AD79" s="241" t="str">
        <f t="shared" si="11"/>
        <v/>
      </c>
      <c r="AE79" s="354" t="str">
        <f t="shared" si="12"/>
        <v/>
      </c>
      <c r="AF79" s="241"/>
      <c r="AG79" s="241"/>
      <c r="AH79" s="241"/>
      <c r="AI79" s="250"/>
      <c r="AJ79" s="250"/>
      <c r="AK79" s="250"/>
    </row>
    <row r="80" spans="1:37" s="325" customFormat="1" ht="15.75" customHeight="1" thickBot="1">
      <c r="A80" s="747"/>
      <c r="B80" s="748"/>
      <c r="C80" s="748"/>
      <c r="D80" s="748"/>
      <c r="E80" s="374"/>
      <c r="F80" s="330"/>
      <c r="G80" s="376"/>
      <c r="H80" s="374"/>
      <c r="I80" s="376"/>
      <c r="J80" s="376"/>
      <c r="K80" s="374"/>
      <c r="L80" s="649"/>
      <c r="M80" s="649"/>
      <c r="N80" s="374"/>
      <c r="O80" s="374"/>
      <c r="P80" s="374"/>
      <c r="Q80" s="350"/>
      <c r="R80" s="251" t="str">
        <f t="shared" si="0"/>
        <v/>
      </c>
      <c r="S80" s="251" t="str">
        <f t="shared" si="1"/>
        <v/>
      </c>
      <c r="T80" s="251" t="str">
        <f t="shared" si="2"/>
        <v/>
      </c>
      <c r="U80" s="251" t="str">
        <f t="shared" si="3"/>
        <v/>
      </c>
      <c r="V80" s="251" t="str">
        <f t="shared" si="4"/>
        <v/>
      </c>
      <c r="W80" s="251"/>
      <c r="X80" s="251" t="str">
        <f t="shared" si="5"/>
        <v/>
      </c>
      <c r="Y80" s="251" t="str">
        <f t="shared" ca="1" si="6"/>
        <v/>
      </c>
      <c r="Z80" s="251" t="str">
        <f t="shared" si="7"/>
        <v/>
      </c>
      <c r="AA80" s="310" t="str">
        <f t="shared" si="9"/>
        <v/>
      </c>
      <c r="AB80" s="310" t="str">
        <f t="shared" si="10"/>
        <v/>
      </c>
      <c r="AC80" s="251" t="str">
        <f t="shared" si="8"/>
        <v/>
      </c>
      <c r="AD80" s="241" t="str">
        <f t="shared" si="11"/>
        <v/>
      </c>
      <c r="AE80" s="354" t="str">
        <f t="shared" si="12"/>
        <v/>
      </c>
      <c r="AF80" s="241"/>
      <c r="AG80" s="241"/>
      <c r="AH80" s="241"/>
      <c r="AI80" s="250"/>
      <c r="AJ80" s="250"/>
      <c r="AK80" s="250"/>
    </row>
    <row r="81" spans="1:37" s="325" customFormat="1" ht="15.75" customHeight="1" thickBot="1">
      <c r="A81" s="958"/>
      <c r="B81" s="959"/>
      <c r="C81" s="959"/>
      <c r="D81" s="959"/>
      <c r="E81" s="375"/>
      <c r="F81" s="331"/>
      <c r="G81" s="376"/>
      <c r="H81" s="375"/>
      <c r="I81" s="376"/>
      <c r="J81" s="376"/>
      <c r="K81" s="374"/>
      <c r="L81" s="884"/>
      <c r="M81" s="884"/>
      <c r="N81" s="374"/>
      <c r="O81" s="374"/>
      <c r="P81" s="374"/>
      <c r="Q81" s="350"/>
      <c r="R81" s="251" t="str">
        <f t="shared" si="0"/>
        <v/>
      </c>
      <c r="S81" s="251" t="str">
        <f t="shared" si="1"/>
        <v/>
      </c>
      <c r="T81" s="251" t="str">
        <f t="shared" si="2"/>
        <v/>
      </c>
      <c r="U81" s="251" t="str">
        <f t="shared" si="3"/>
        <v/>
      </c>
      <c r="V81" s="251" t="str">
        <f t="shared" si="4"/>
        <v/>
      </c>
      <c r="W81" s="251"/>
      <c r="X81" s="251" t="str">
        <f t="shared" si="5"/>
        <v/>
      </c>
      <c r="Y81" s="251" t="str">
        <f t="shared" ca="1" si="6"/>
        <v/>
      </c>
      <c r="Z81" s="251" t="str">
        <f t="shared" si="7"/>
        <v/>
      </c>
      <c r="AA81" s="310" t="str">
        <f t="shared" si="9"/>
        <v/>
      </c>
      <c r="AB81" s="310" t="str">
        <f t="shared" si="10"/>
        <v/>
      </c>
      <c r="AC81" s="251" t="str">
        <f t="shared" si="8"/>
        <v/>
      </c>
      <c r="AD81" s="241" t="str">
        <f t="shared" si="11"/>
        <v/>
      </c>
      <c r="AE81" s="354" t="str">
        <f t="shared" si="12"/>
        <v/>
      </c>
      <c r="AF81" s="241"/>
      <c r="AG81" s="241"/>
      <c r="AH81" s="241"/>
      <c r="AI81" s="250"/>
      <c r="AJ81" s="250"/>
      <c r="AK81" s="250"/>
    </row>
    <row r="82" spans="1:37" ht="15.75" customHeight="1" thickTop="1">
      <c r="A82" s="887" t="s">
        <v>106</v>
      </c>
      <c r="B82" s="888"/>
      <c r="C82" s="888"/>
      <c r="D82" s="888"/>
      <c r="E82" s="888"/>
      <c r="F82" s="888"/>
      <c r="G82" s="888"/>
      <c r="H82" s="888"/>
      <c r="I82" s="888"/>
      <c r="J82" s="888"/>
      <c r="K82" s="888"/>
      <c r="L82" s="888"/>
      <c r="M82" s="888"/>
      <c r="N82" s="888"/>
      <c r="O82" s="888"/>
      <c r="P82" s="242"/>
      <c r="Q82" s="310"/>
      <c r="R82" s="251"/>
      <c r="S82" s="310"/>
      <c r="T82" s="310"/>
      <c r="U82" s="310"/>
      <c r="V82" s="310"/>
      <c r="W82" s="310"/>
      <c r="X82" s="310">
        <f>COUNTIF(Std2ColBOutsideReviewPeriod,"=Y")</f>
        <v>0</v>
      </c>
      <c r="Y82" s="241">
        <f ca="1">COUNTIF(STD_II_COL_B,"")+COUNTIF(STD_II_COL_B,"NA")</f>
        <v>20</v>
      </c>
      <c r="Z82" s="241">
        <f>COUNTBLANK(STD_II_COL_CE)</f>
        <v>20</v>
      </c>
      <c r="AA82" s="310">
        <f>COUNTBLANK(STD_II_COL_F)</f>
        <v>20</v>
      </c>
      <c r="AB82" s="241"/>
      <c r="AC82" s="241">
        <f>COUNTIF(STD_II_COL_J,"-")</f>
        <v>0</v>
      </c>
      <c r="AD82" s="241">
        <f>COUNTBLANK(STD_II_COL_GHI)</f>
        <v>20</v>
      </c>
      <c r="AE82" s="241"/>
      <c r="AF82" s="241"/>
      <c r="AG82" s="241"/>
    </row>
    <row r="83" spans="1:37" ht="40.5" customHeight="1" thickBot="1">
      <c r="A83" s="948" t="s">
        <v>734</v>
      </c>
      <c r="B83" s="949"/>
      <c r="C83" s="949"/>
      <c r="D83" s="949"/>
      <c r="E83" s="949"/>
      <c r="F83" s="949"/>
      <c r="G83" s="949"/>
      <c r="H83" s="949"/>
      <c r="I83" s="949"/>
      <c r="J83" s="949"/>
      <c r="K83" s="949"/>
      <c r="L83" s="949"/>
      <c r="M83" s="949"/>
      <c r="N83" s="949"/>
      <c r="O83" s="949"/>
      <c r="P83" s="243"/>
      <c r="Q83" s="241"/>
      <c r="S83" s="241"/>
      <c r="T83" s="241"/>
      <c r="U83" s="241"/>
      <c r="V83" s="241"/>
      <c r="W83" s="241"/>
      <c r="X83" s="241">
        <f>COUNTIF(Std2ColBOutsideReviewPeriod,"=N")</f>
        <v>0</v>
      </c>
      <c r="Y83" s="241"/>
      <c r="Z83" s="241" t="b">
        <f>IF(AND(COUNTIF(STD_II_COL_CE,"=N")&gt;0,SUM(COUNTIF(STD_II_COL_CE,"=N"),Std2ColCEBlanks)=20),TRUE,FALSE)</f>
        <v>0</v>
      </c>
      <c r="AA83" s="241">
        <f>COUNTIF(STD_II_COL_F,"=Y")</f>
        <v>0</v>
      </c>
      <c r="AB83" s="241"/>
      <c r="AC83" s="241"/>
      <c r="AD83" s="241" t="b">
        <f>IF(COUNTIF(STD_II_COL_GHI,"=N")&gt;0,TRUE,FALSE)</f>
        <v>0</v>
      </c>
      <c r="AE83" s="241"/>
    </row>
    <row r="84" spans="1:37" ht="37.5" hidden="1" customHeight="1" thickTop="1">
      <c r="A84" s="671" t="s">
        <v>796</v>
      </c>
      <c r="B84" s="672"/>
      <c r="C84" s="672"/>
      <c r="D84" s="672"/>
      <c r="E84" s="672"/>
      <c r="F84" s="672"/>
      <c r="G84" s="672"/>
      <c r="H84" s="672"/>
      <c r="I84" s="672"/>
      <c r="J84" s="672"/>
      <c r="K84" s="622" t="str">
        <f>IF(Std2NotCalc="","",IF(Std2NotCalc="N","NA",IF(Y82=20,"NA",IF(COUNTIF(STD_II_COL_J,"E")&gt;0,"",IF(COUNTIF(STD_II_COL_J,"-")&gt;0,"",IF(COUNTIF(STD_II_COL_J,"N")&gt;0,"N",IF(COUNTIF(STD_II_COL_J,"Y")&gt;0,"Y","NA")))))))</f>
        <v/>
      </c>
      <c r="L84" s="623"/>
      <c r="M84" s="251"/>
      <c r="N84" s="27"/>
      <c r="O84" s="27"/>
      <c r="P84" s="27"/>
      <c r="Q84" s="27"/>
      <c r="Z84" s="316">
        <f>COUNTIF(STD_II_COL_CE,"=E")</f>
        <v>0</v>
      </c>
      <c r="AA84" s="316" t="b">
        <f>IF(AND(Std2ColFYesCount&gt;0,SUM(Std2ColFBlanks,Std2ColFYesCount)=20),TRUE,FALSE)</f>
        <v>0</v>
      </c>
    </row>
    <row r="85" spans="1:37" ht="15" hidden="1" customHeight="1">
      <c r="A85" s="946" t="s">
        <v>797</v>
      </c>
      <c r="B85" s="947"/>
      <c r="C85" s="947"/>
      <c r="D85" s="947"/>
      <c r="E85" s="947"/>
      <c r="F85" s="947"/>
      <c r="G85" s="947"/>
      <c r="H85" s="947"/>
      <c r="I85" s="947"/>
      <c r="J85" s="947"/>
      <c r="K85" s="910"/>
      <c r="L85" s="911"/>
      <c r="M85" s="251"/>
      <c r="O85" s="27"/>
      <c r="P85" s="27"/>
      <c r="Q85" s="27"/>
      <c r="Z85" s="316">
        <f>COUNTIF(STD_II_COL_CE,"=~?")</f>
        <v>0</v>
      </c>
      <c r="AA85" s="316" t="b">
        <f>IF(AND(Std2ColFYesCount&gt;0,SUM(Std2ColFBlanks,Std2ColFYesNACount)=20),TRUE,FALSE)</f>
        <v>0</v>
      </c>
    </row>
    <row r="86" spans="1:37" ht="15" hidden="1" customHeight="1">
      <c r="A86" s="946" t="s">
        <v>798</v>
      </c>
      <c r="B86" s="947"/>
      <c r="C86" s="947"/>
      <c r="D86" s="947"/>
      <c r="E86" s="947"/>
      <c r="F86" s="947"/>
      <c r="G86" s="947"/>
      <c r="H86" s="947"/>
      <c r="I86" s="947"/>
      <c r="J86" s="947"/>
      <c r="K86" s="910"/>
      <c r="L86" s="911"/>
      <c r="M86" s="251"/>
      <c r="N86" s="27"/>
      <c r="O86" s="27"/>
      <c r="P86" s="27"/>
      <c r="Q86" s="27"/>
      <c r="AA86" s="316" t="b">
        <f>IF(Std2ColFNoCount&gt;0,TRUE,FALSE)</f>
        <v>0</v>
      </c>
    </row>
    <row r="87" spans="1:37" ht="15.75" hidden="1" customHeight="1" thickBot="1">
      <c r="A87" s="914" t="s">
        <v>799</v>
      </c>
      <c r="B87" s="915"/>
      <c r="C87" s="915"/>
      <c r="D87" s="915"/>
      <c r="E87" s="915"/>
      <c r="F87" s="915"/>
      <c r="G87" s="915"/>
      <c r="H87" s="915"/>
      <c r="I87" s="915"/>
      <c r="J87" s="916"/>
      <c r="K87" s="912"/>
      <c r="L87" s="913"/>
      <c r="M87" s="251"/>
      <c r="N87" s="27"/>
      <c r="O87" s="27"/>
      <c r="P87" s="27"/>
      <c r="Q87" s="27"/>
    </row>
    <row r="88" spans="1:37" ht="68.25" customHeight="1" thickTop="1" thickBot="1">
      <c r="A88" s="671" t="s">
        <v>800</v>
      </c>
      <c r="B88" s="672"/>
      <c r="C88" s="672"/>
      <c r="D88" s="672"/>
      <c r="E88" s="672"/>
      <c r="F88" s="672"/>
      <c r="G88" s="672"/>
      <c r="H88" s="672"/>
      <c r="I88" s="672"/>
      <c r="J88" s="672"/>
      <c r="K88" s="622" t="str">
        <f>IF(Std2NotCalc="","",IF(Std2NotCalc="N","NA",IF(COUNTIF(STD_II_COL_F,"E")&gt;0,"",IF(COUNTIF(STD_II_COL_F,"EE")&gt;0,"",IF(COUNTIF(STD_II_COL_F,"N")&gt;0,"N",IF((COUNTIF(STD_II_COL_F,"NA")+COUNTBLANK(STD_II_COL_F))=20,"NA","Y"))))))</f>
        <v/>
      </c>
      <c r="L88" s="623"/>
      <c r="M88" s="251"/>
      <c r="N88" s="27"/>
      <c r="O88" s="27"/>
      <c r="P88" s="27"/>
      <c r="Q88" s="27"/>
    </row>
    <row r="89" spans="1:37" ht="31.5" customHeight="1" thickTop="1" thickBot="1">
      <c r="A89" s="671" t="s">
        <v>685</v>
      </c>
      <c r="B89" s="672"/>
      <c r="C89" s="672"/>
      <c r="D89" s="672"/>
      <c r="E89" s="672"/>
      <c r="F89" s="672"/>
      <c r="G89" s="672"/>
      <c r="H89" s="672"/>
      <c r="I89" s="672"/>
      <c r="J89" s="672"/>
      <c r="K89" s="622" t="str">
        <f>IF(Std2NotCalc="","",IF(Std2NotCalc="N","NA",IF(AND(COUNTIF(H62:H81,"NA")&gt;0,COUNTIF(H62:H81,"N")=0,COUNTIF(H62:H81,"Y")=0,COUNTBLANK(K62:K81)=20),"NA",IF(COUNTIF(STD_II_COL_CE,"E")&gt;0,"",IF(COUNTIF(STD_II_COL_CE,"EE")&gt;0,"",IF(COUNTIF(STD_II_COL_CE,"N")&gt;0,"N",IF(COUNTIF(STD_II_COL_CE,"Y")=COUNTIF(K62:K81,"NA"),"NA",IF(COUNTIF(STD_II_COL_CE,"NA")&gt;0,"NA","Y"))))))))</f>
        <v/>
      </c>
      <c r="L89" s="623"/>
      <c r="M89" s="104"/>
      <c r="N89" s="27"/>
      <c r="O89" s="27"/>
      <c r="P89" s="27"/>
      <c r="Q89" s="27"/>
    </row>
    <row r="90" spans="1:37" ht="35.1" customHeight="1" thickTop="1" thickBot="1">
      <c r="A90" s="671" t="s">
        <v>107</v>
      </c>
      <c r="B90" s="672"/>
      <c r="C90" s="672"/>
      <c r="D90" s="672"/>
      <c r="E90" s="672"/>
      <c r="F90" s="672"/>
      <c r="G90" s="672"/>
      <c r="H90" s="672"/>
      <c r="I90" s="672"/>
      <c r="J90" s="672"/>
      <c r="K90" s="622" t="str">
        <f>IF(Std2NotCalc="","",IF(Std2NotCalc="N","NA",IF(COUNTBLANK(STD_II_COL_GHI)=20,"NA",IF(COUNTIF(STD_II_COL_GHI,"N")&gt;0,"N",IF(COUNTIF(STD_II_COL_GHI,"E")&gt;0,"",IF(20-COUNTBLANK(G62:G81)=(COUNTIF(N62:P81,"NA")/3),"NA","Y"))))))</f>
        <v/>
      </c>
      <c r="L90" s="623"/>
      <c r="M90" s="9"/>
      <c r="N90" s="27"/>
      <c r="O90" s="27"/>
      <c r="P90" s="27"/>
      <c r="Q90" s="27"/>
    </row>
    <row r="91" spans="1:37" ht="17.25" customHeight="1" thickTop="1">
      <c r="A91" s="896" t="s">
        <v>82</v>
      </c>
      <c r="B91" s="897"/>
      <c r="C91" s="897"/>
      <c r="D91" s="897"/>
      <c r="E91" s="897"/>
      <c r="F91" s="897"/>
      <c r="G91" s="897"/>
      <c r="H91" s="897"/>
      <c r="I91" s="897"/>
      <c r="J91" s="897"/>
      <c r="K91" s="897"/>
      <c r="L91" s="898"/>
      <c r="M91" s="9"/>
      <c r="N91" s="27"/>
      <c r="O91" s="27"/>
      <c r="P91" s="27"/>
      <c r="Q91" s="27"/>
    </row>
    <row r="92" spans="1:37" ht="16.5" customHeight="1" thickBot="1">
      <c r="A92" s="943" t="s">
        <v>739</v>
      </c>
      <c r="B92" s="944"/>
      <c r="C92" s="944"/>
      <c r="D92" s="944"/>
      <c r="E92" s="944"/>
      <c r="F92" s="944"/>
      <c r="G92" s="944"/>
      <c r="H92" s="944"/>
      <c r="I92" s="944"/>
      <c r="J92" s="944"/>
      <c r="K92" s="944"/>
      <c r="L92" s="945"/>
      <c r="M92" s="9"/>
      <c r="N92" s="27"/>
      <c r="O92" s="27"/>
      <c r="P92" s="27"/>
      <c r="Q92" s="27"/>
    </row>
    <row r="93" spans="1:37" ht="30" customHeight="1" thickTop="1" thickBot="1">
      <c r="A93" s="778" t="s">
        <v>267</v>
      </c>
      <c r="B93" s="804" t="s">
        <v>741</v>
      </c>
      <c r="C93" s="805"/>
      <c r="D93" s="805"/>
      <c r="E93" s="805"/>
      <c r="F93" s="805"/>
      <c r="G93" s="805"/>
      <c r="H93" s="805"/>
      <c r="I93" s="805"/>
      <c r="J93" s="806"/>
      <c r="K93" s="624" t="s">
        <v>272</v>
      </c>
      <c r="L93" s="625"/>
      <c r="M93" s="9"/>
      <c r="N93" s="27"/>
      <c r="O93" s="27"/>
      <c r="P93" s="27"/>
      <c r="Q93" s="27"/>
    </row>
    <row r="94" spans="1:37" ht="16.5" thickTop="1">
      <c r="A94" s="779"/>
      <c r="B94" s="807"/>
      <c r="C94" s="808"/>
      <c r="D94" s="808"/>
      <c r="E94" s="808"/>
      <c r="F94" s="808"/>
      <c r="G94" s="808"/>
      <c r="H94" s="808"/>
      <c r="I94" s="808"/>
      <c r="J94" s="809"/>
      <c r="K94" s="662"/>
      <c r="L94" s="663"/>
      <c r="M94" s="9"/>
      <c r="N94" s="27"/>
      <c r="O94" s="27"/>
      <c r="P94" s="27"/>
      <c r="Q94" s="27"/>
    </row>
    <row r="95" spans="1:37" ht="15.75" customHeight="1">
      <c r="A95" s="657"/>
      <c r="B95" s="780" t="s">
        <v>740</v>
      </c>
      <c r="C95" s="781"/>
      <c r="D95" s="781"/>
      <c r="E95" s="781"/>
      <c r="F95" s="781"/>
      <c r="G95" s="781"/>
      <c r="H95" s="781"/>
      <c r="I95" s="781"/>
      <c r="J95" s="782"/>
      <c r="K95" s="664"/>
      <c r="L95" s="665"/>
      <c r="M95" s="9"/>
      <c r="N95" s="27"/>
      <c r="O95" s="27"/>
      <c r="P95" s="27"/>
      <c r="Q95" s="27"/>
    </row>
    <row r="96" spans="1:37" ht="27.75" customHeight="1" thickBot="1">
      <c r="A96" s="658"/>
      <c r="B96" s="899" t="s">
        <v>268</v>
      </c>
      <c r="C96" s="900"/>
      <c r="D96" s="900"/>
      <c r="E96" s="900"/>
      <c r="F96" s="900"/>
      <c r="G96" s="900"/>
      <c r="H96" s="900"/>
      <c r="I96" s="900"/>
      <c r="J96" s="901"/>
      <c r="K96" s="666"/>
      <c r="L96" s="667"/>
      <c r="M96" s="9"/>
      <c r="N96" s="27"/>
      <c r="O96" s="27"/>
      <c r="P96" s="27"/>
      <c r="Q96" s="27"/>
    </row>
    <row r="97" spans="1:18" ht="33" customHeight="1" thickTop="1">
      <c r="A97" s="758" t="s">
        <v>742</v>
      </c>
      <c r="B97" s="759"/>
      <c r="C97" s="759"/>
      <c r="D97" s="759"/>
      <c r="E97" s="759"/>
      <c r="F97" s="759"/>
      <c r="G97" s="759"/>
      <c r="H97" s="759"/>
      <c r="I97" s="759"/>
      <c r="J97" s="759"/>
      <c r="K97" s="759"/>
      <c r="L97" s="760"/>
      <c r="M97" s="17"/>
      <c r="N97" s="17"/>
      <c r="O97" s="17"/>
      <c r="P97" s="17"/>
      <c r="Q97" s="17"/>
    </row>
    <row r="98" spans="1:18" ht="16.5" customHeight="1">
      <c r="A98" s="613" t="s">
        <v>743</v>
      </c>
      <c r="B98" s="614"/>
      <c r="C98" s="614"/>
      <c r="D98" s="614"/>
      <c r="E98" s="614"/>
      <c r="F98" s="614"/>
      <c r="G98" s="614"/>
      <c r="H98" s="614"/>
      <c r="I98" s="614"/>
      <c r="J98" s="614"/>
      <c r="K98" s="614"/>
      <c r="L98" s="615"/>
      <c r="M98" s="17"/>
      <c r="N98" s="17"/>
      <c r="O98" s="17"/>
      <c r="P98" s="17"/>
      <c r="Q98" s="17"/>
    </row>
    <row r="99" spans="1:18" ht="16.5" customHeight="1">
      <c r="A99" s="613" t="s">
        <v>108</v>
      </c>
      <c r="B99" s="614"/>
      <c r="C99" s="614"/>
      <c r="D99" s="614"/>
      <c r="E99" s="614"/>
      <c r="F99" s="614"/>
      <c r="G99" s="614"/>
      <c r="H99" s="614"/>
      <c r="I99" s="614"/>
      <c r="J99" s="614"/>
      <c r="K99" s="614"/>
      <c r="L99" s="615"/>
      <c r="M99" s="17"/>
      <c r="N99" s="17"/>
      <c r="O99" s="17"/>
      <c r="P99" s="17"/>
      <c r="Q99" s="17"/>
    </row>
    <row r="100" spans="1:18" ht="16.5" customHeight="1">
      <c r="A100" s="613" t="s">
        <v>109</v>
      </c>
      <c r="B100" s="614"/>
      <c r="C100" s="614"/>
      <c r="D100" s="614"/>
      <c r="E100" s="614"/>
      <c r="F100" s="614"/>
      <c r="G100" s="614"/>
      <c r="H100" s="614"/>
      <c r="I100" s="614"/>
      <c r="J100" s="614"/>
      <c r="K100" s="614"/>
      <c r="L100" s="615"/>
      <c r="M100" s="17"/>
      <c r="N100" s="17"/>
      <c r="O100" s="17"/>
      <c r="P100" s="17"/>
      <c r="Q100" s="17"/>
    </row>
    <row r="101" spans="1:18" ht="16.5" customHeight="1">
      <c r="A101" s="613" t="s">
        <v>110</v>
      </c>
      <c r="B101" s="614"/>
      <c r="C101" s="614"/>
      <c r="D101" s="614"/>
      <c r="E101" s="614"/>
      <c r="F101" s="614"/>
      <c r="G101" s="614"/>
      <c r="H101" s="614"/>
      <c r="I101" s="614"/>
      <c r="J101" s="614"/>
      <c r="K101" s="614"/>
      <c r="L101" s="615"/>
      <c r="M101" s="17"/>
      <c r="N101" s="17"/>
      <c r="O101" s="17"/>
      <c r="P101" s="17"/>
      <c r="Q101" s="17"/>
    </row>
    <row r="102" spans="1:18" ht="16.5" customHeight="1">
      <c r="A102" s="613" t="s">
        <v>111</v>
      </c>
      <c r="B102" s="614"/>
      <c r="C102" s="614"/>
      <c r="D102" s="614"/>
      <c r="E102" s="614"/>
      <c r="F102" s="614"/>
      <c r="G102" s="614"/>
      <c r="H102" s="614"/>
      <c r="I102" s="614"/>
      <c r="J102" s="614"/>
      <c r="K102" s="614"/>
      <c r="L102" s="615"/>
      <c r="M102" s="17"/>
      <c r="N102" s="17"/>
      <c r="O102" s="17"/>
      <c r="P102" s="17"/>
      <c r="Q102" s="17"/>
    </row>
    <row r="103" spans="1:18" s="325" customFormat="1" ht="33.75" customHeight="1" thickBot="1">
      <c r="A103" s="893" t="s">
        <v>811</v>
      </c>
      <c r="B103" s="894"/>
      <c r="C103" s="894"/>
      <c r="D103" s="894"/>
      <c r="E103" s="894"/>
      <c r="F103" s="894"/>
      <c r="G103" s="894"/>
      <c r="H103" s="894"/>
      <c r="I103" s="894"/>
      <c r="J103" s="894"/>
      <c r="K103" s="894"/>
      <c r="L103" s="895"/>
      <c r="M103" s="17"/>
      <c r="N103" s="17"/>
      <c r="O103" s="17"/>
      <c r="P103" s="17"/>
      <c r="Q103" s="17"/>
      <c r="R103" s="354"/>
    </row>
    <row r="104" spans="1:18" s="325" customFormat="1" ht="16.5" customHeight="1" thickTop="1">
      <c r="A104" s="464" t="s">
        <v>23</v>
      </c>
      <c r="B104" s="465"/>
      <c r="C104" s="652"/>
      <c r="D104" s="651" t="s">
        <v>24</v>
      </c>
      <c r="E104" s="465"/>
      <c r="F104" s="652"/>
      <c r="G104" s="651" t="s">
        <v>25</v>
      </c>
      <c r="H104" s="465"/>
      <c r="I104" s="652"/>
      <c r="J104" s="22" t="s">
        <v>26</v>
      </c>
      <c r="K104" s="22" t="s">
        <v>48</v>
      </c>
      <c r="L104" s="332" t="s">
        <v>49</v>
      </c>
      <c r="M104" s="334" t="s">
        <v>52</v>
      </c>
      <c r="N104" s="17"/>
      <c r="O104" s="17"/>
      <c r="P104" s="17"/>
      <c r="Q104" s="17"/>
      <c r="R104" s="354"/>
    </row>
    <row r="105" spans="1:18" s="48" customFormat="1" ht="104.25" customHeight="1" thickBot="1">
      <c r="A105" s="676" t="s">
        <v>112</v>
      </c>
      <c r="B105" s="677"/>
      <c r="C105" s="678"/>
      <c r="D105" s="889" t="s">
        <v>269</v>
      </c>
      <c r="E105" s="677"/>
      <c r="F105" s="678"/>
      <c r="G105" s="889" t="s">
        <v>113</v>
      </c>
      <c r="H105" s="677"/>
      <c r="I105" s="678"/>
      <c r="J105" s="49" t="s">
        <v>114</v>
      </c>
      <c r="K105" s="49" t="s">
        <v>270</v>
      </c>
      <c r="L105" s="333" t="s">
        <v>613</v>
      </c>
      <c r="M105" s="335" t="s">
        <v>812</v>
      </c>
      <c r="N105" s="47"/>
      <c r="O105" s="47"/>
      <c r="P105" s="47"/>
      <c r="Q105" s="47"/>
      <c r="R105" s="365"/>
    </row>
    <row r="106" spans="1:18" s="325" customFormat="1" ht="16.5" customHeight="1" thickBot="1">
      <c r="A106" s="653"/>
      <c r="B106" s="654"/>
      <c r="C106" s="654"/>
      <c r="D106" s="674"/>
      <c r="E106" s="654"/>
      <c r="F106" s="675"/>
      <c r="G106" s="674"/>
      <c r="H106" s="654"/>
      <c r="I106" s="675"/>
      <c r="J106" s="263"/>
      <c r="K106" s="263"/>
      <c r="L106" s="326"/>
      <c r="M106" s="327"/>
      <c r="N106" s="17"/>
      <c r="O106" s="17"/>
      <c r="P106" s="17"/>
      <c r="Q106" s="344" t="str">
        <f>IF(AND(A106&lt;&gt;"",M106=""),"E",IF(AND(M106&lt;&gt;"",A106=""),"E",""))</f>
        <v/>
      </c>
      <c r="R106" s="354"/>
    </row>
    <row r="107" spans="1:18" s="325" customFormat="1" ht="16.5" customHeight="1" thickBot="1">
      <c r="A107" s="653"/>
      <c r="B107" s="654"/>
      <c r="C107" s="654"/>
      <c r="D107" s="674"/>
      <c r="E107" s="654"/>
      <c r="F107" s="675"/>
      <c r="G107" s="674"/>
      <c r="H107" s="654"/>
      <c r="I107" s="675"/>
      <c r="J107" s="263"/>
      <c r="K107" s="263"/>
      <c r="L107" s="326"/>
      <c r="M107" s="327"/>
      <c r="N107" s="17"/>
      <c r="O107" s="17"/>
      <c r="P107" s="17"/>
      <c r="Q107" s="344" t="str">
        <f t="shared" ref="Q107:Q119" si="13">IF(AND(A107&lt;&gt;"",M107=""),"E",IF(AND(M107&lt;&gt;"",A107=""),"E",""))</f>
        <v/>
      </c>
      <c r="R107" s="354"/>
    </row>
    <row r="108" spans="1:18" s="325" customFormat="1" ht="16.5" customHeight="1" thickBot="1">
      <c r="A108" s="653"/>
      <c r="B108" s="654"/>
      <c r="C108" s="654"/>
      <c r="D108" s="674"/>
      <c r="E108" s="654"/>
      <c r="F108" s="675"/>
      <c r="G108" s="674"/>
      <c r="H108" s="654"/>
      <c r="I108" s="675"/>
      <c r="J108" s="263"/>
      <c r="K108" s="263"/>
      <c r="L108" s="326"/>
      <c r="M108" s="327"/>
      <c r="N108" s="17"/>
      <c r="O108" s="17"/>
      <c r="P108" s="17"/>
      <c r="Q108" s="344" t="str">
        <f t="shared" si="13"/>
        <v/>
      </c>
      <c r="R108" s="354"/>
    </row>
    <row r="109" spans="1:18" s="325" customFormat="1" ht="16.5" customHeight="1" thickBot="1">
      <c r="A109" s="653"/>
      <c r="B109" s="654"/>
      <c r="C109" s="654"/>
      <c r="D109" s="674"/>
      <c r="E109" s="654"/>
      <c r="F109" s="675"/>
      <c r="G109" s="674"/>
      <c r="H109" s="654"/>
      <c r="I109" s="675"/>
      <c r="J109" s="263"/>
      <c r="K109" s="263"/>
      <c r="L109" s="326"/>
      <c r="M109" s="327"/>
      <c r="N109" s="17"/>
      <c r="O109" s="17"/>
      <c r="P109" s="17"/>
      <c r="Q109" s="344" t="str">
        <f t="shared" si="13"/>
        <v/>
      </c>
      <c r="R109" s="354"/>
    </row>
    <row r="110" spans="1:18" s="325" customFormat="1" ht="16.5" customHeight="1" thickBot="1">
      <c r="A110" s="653"/>
      <c r="B110" s="654"/>
      <c r="C110" s="654"/>
      <c r="D110" s="674"/>
      <c r="E110" s="654"/>
      <c r="F110" s="675"/>
      <c r="G110" s="674"/>
      <c r="H110" s="654"/>
      <c r="I110" s="675"/>
      <c r="J110" s="263"/>
      <c r="K110" s="263"/>
      <c r="L110" s="326"/>
      <c r="M110" s="327"/>
      <c r="N110" s="17"/>
      <c r="O110" s="17"/>
      <c r="P110" s="17"/>
      <c r="Q110" s="344" t="str">
        <f t="shared" si="13"/>
        <v/>
      </c>
      <c r="R110" s="354"/>
    </row>
    <row r="111" spans="1:18" s="325" customFormat="1" ht="16.5" customHeight="1" thickBot="1">
      <c r="A111" s="653"/>
      <c r="B111" s="654"/>
      <c r="C111" s="654"/>
      <c r="D111" s="674"/>
      <c r="E111" s="654"/>
      <c r="F111" s="675"/>
      <c r="G111" s="674"/>
      <c r="H111" s="654"/>
      <c r="I111" s="675"/>
      <c r="J111" s="263"/>
      <c r="K111" s="263"/>
      <c r="L111" s="326"/>
      <c r="M111" s="327"/>
      <c r="N111" s="17"/>
      <c r="O111" s="17"/>
      <c r="P111" s="17"/>
      <c r="Q111" s="344" t="str">
        <f t="shared" si="13"/>
        <v/>
      </c>
      <c r="R111" s="354"/>
    </row>
    <row r="112" spans="1:18" s="325" customFormat="1" ht="16.5" customHeight="1" thickBot="1">
      <c r="A112" s="653"/>
      <c r="B112" s="654"/>
      <c r="C112" s="654"/>
      <c r="D112" s="674"/>
      <c r="E112" s="654"/>
      <c r="F112" s="675"/>
      <c r="G112" s="674"/>
      <c r="H112" s="654"/>
      <c r="I112" s="675"/>
      <c r="J112" s="263"/>
      <c r="K112" s="263"/>
      <c r="L112" s="326"/>
      <c r="M112" s="327"/>
      <c r="N112" s="17"/>
      <c r="O112" s="17"/>
      <c r="P112" s="17"/>
      <c r="Q112" s="344" t="str">
        <f t="shared" si="13"/>
        <v/>
      </c>
      <c r="R112" s="354"/>
    </row>
    <row r="113" spans="1:18" s="325" customFormat="1" ht="16.5" customHeight="1" thickBot="1">
      <c r="A113" s="653"/>
      <c r="B113" s="654"/>
      <c r="C113" s="654"/>
      <c r="D113" s="674"/>
      <c r="E113" s="654"/>
      <c r="F113" s="675"/>
      <c r="G113" s="674"/>
      <c r="H113" s="654"/>
      <c r="I113" s="675"/>
      <c r="J113" s="263"/>
      <c r="K113" s="263"/>
      <c r="L113" s="326"/>
      <c r="M113" s="327"/>
      <c r="N113" s="17"/>
      <c r="O113" s="17"/>
      <c r="P113" s="17"/>
      <c r="Q113" s="344" t="str">
        <f t="shared" si="13"/>
        <v/>
      </c>
      <c r="R113" s="354"/>
    </row>
    <row r="114" spans="1:18" s="325" customFormat="1" ht="16.5" customHeight="1" thickBot="1">
      <c r="A114" s="653"/>
      <c r="B114" s="654"/>
      <c r="C114" s="654"/>
      <c r="D114" s="674"/>
      <c r="E114" s="654"/>
      <c r="F114" s="675"/>
      <c r="G114" s="674"/>
      <c r="H114" s="654"/>
      <c r="I114" s="675"/>
      <c r="J114" s="263"/>
      <c r="K114" s="263"/>
      <c r="L114" s="326"/>
      <c r="M114" s="327"/>
      <c r="N114" s="17"/>
      <c r="O114" s="17"/>
      <c r="P114" s="17"/>
      <c r="Q114" s="344" t="str">
        <f t="shared" si="13"/>
        <v/>
      </c>
      <c r="R114" s="354"/>
    </row>
    <row r="115" spans="1:18" s="325" customFormat="1" ht="16.5" customHeight="1" thickBot="1">
      <c r="A115" s="653"/>
      <c r="B115" s="654"/>
      <c r="C115" s="654"/>
      <c r="D115" s="674"/>
      <c r="E115" s="654"/>
      <c r="F115" s="675"/>
      <c r="G115" s="674"/>
      <c r="H115" s="654"/>
      <c r="I115" s="675"/>
      <c r="J115" s="263"/>
      <c r="K115" s="263"/>
      <c r="L115" s="326"/>
      <c r="M115" s="327"/>
      <c r="N115" s="17"/>
      <c r="O115" s="17"/>
      <c r="P115" s="17"/>
      <c r="Q115" s="344" t="str">
        <f t="shared" si="13"/>
        <v/>
      </c>
      <c r="R115" s="354"/>
    </row>
    <row r="116" spans="1:18" s="325" customFormat="1" ht="16.5" customHeight="1" thickBot="1">
      <c r="A116" s="653"/>
      <c r="B116" s="654"/>
      <c r="C116" s="654"/>
      <c r="D116" s="674"/>
      <c r="E116" s="654"/>
      <c r="F116" s="675"/>
      <c r="G116" s="674"/>
      <c r="H116" s="654"/>
      <c r="I116" s="675"/>
      <c r="J116" s="263"/>
      <c r="K116" s="263"/>
      <c r="L116" s="326"/>
      <c r="M116" s="327"/>
      <c r="N116" s="17"/>
      <c r="O116" s="17"/>
      <c r="P116" s="17"/>
      <c r="Q116" s="344" t="str">
        <f t="shared" si="13"/>
        <v/>
      </c>
      <c r="R116" s="354"/>
    </row>
    <row r="117" spans="1:18" s="325" customFormat="1" ht="16.5" customHeight="1" thickBot="1">
      <c r="A117" s="653"/>
      <c r="B117" s="654"/>
      <c r="C117" s="654"/>
      <c r="D117" s="674"/>
      <c r="E117" s="654"/>
      <c r="F117" s="675"/>
      <c r="G117" s="674"/>
      <c r="H117" s="654"/>
      <c r="I117" s="675"/>
      <c r="J117" s="263"/>
      <c r="K117" s="263"/>
      <c r="L117" s="326"/>
      <c r="M117" s="327"/>
      <c r="N117" s="17"/>
      <c r="O117" s="17"/>
      <c r="P117" s="17"/>
      <c r="Q117" s="344" t="str">
        <f t="shared" si="13"/>
        <v/>
      </c>
      <c r="R117" s="354"/>
    </row>
    <row r="118" spans="1:18" s="325" customFormat="1" ht="16.5" customHeight="1" thickBot="1">
      <c r="A118" s="653"/>
      <c r="B118" s="654"/>
      <c r="C118" s="654"/>
      <c r="D118" s="674"/>
      <c r="E118" s="654"/>
      <c r="F118" s="675"/>
      <c r="G118" s="674"/>
      <c r="H118" s="654"/>
      <c r="I118" s="675"/>
      <c r="J118" s="263"/>
      <c r="K118" s="263"/>
      <c r="L118" s="326"/>
      <c r="M118" s="327"/>
      <c r="N118" s="17"/>
      <c r="O118" s="17"/>
      <c r="P118" s="17"/>
      <c r="Q118" s="344" t="str">
        <f t="shared" si="13"/>
        <v/>
      </c>
      <c r="R118" s="354"/>
    </row>
    <row r="119" spans="1:18" s="325" customFormat="1" ht="16.5" customHeight="1" thickBot="1">
      <c r="A119" s="653"/>
      <c r="B119" s="654"/>
      <c r="C119" s="654"/>
      <c r="D119" s="674"/>
      <c r="E119" s="654"/>
      <c r="F119" s="675"/>
      <c r="G119" s="674"/>
      <c r="H119" s="654"/>
      <c r="I119" s="675"/>
      <c r="J119" s="263"/>
      <c r="K119" s="263"/>
      <c r="L119" s="326"/>
      <c r="M119" s="327"/>
      <c r="N119" s="17"/>
      <c r="O119" s="17"/>
      <c r="P119" s="17"/>
      <c r="Q119" s="344" t="str">
        <f t="shared" si="13"/>
        <v/>
      </c>
      <c r="R119" s="354"/>
    </row>
    <row r="120" spans="1:18" ht="57" customHeight="1" thickBot="1">
      <c r="A120" s="679" t="s">
        <v>672</v>
      </c>
      <c r="B120" s="680"/>
      <c r="C120" s="680"/>
      <c r="D120" s="680"/>
      <c r="E120" s="680"/>
      <c r="F120" s="680"/>
      <c r="G120" s="680"/>
      <c r="H120" s="680"/>
      <c r="I120" s="680"/>
      <c r="J120" s="680"/>
      <c r="K120" s="680"/>
      <c r="L120" s="681"/>
      <c r="M120" s="101"/>
      <c r="N120" s="17"/>
      <c r="O120" s="17"/>
      <c r="P120" s="17"/>
      <c r="Q120" s="17"/>
    </row>
    <row r="121" spans="1:18" ht="53.25" customHeight="1" thickTop="1" thickBot="1">
      <c r="A121" s="671" t="s">
        <v>614</v>
      </c>
      <c r="B121" s="672"/>
      <c r="C121" s="672"/>
      <c r="D121" s="672"/>
      <c r="E121" s="672"/>
      <c r="F121" s="672"/>
      <c r="G121" s="672"/>
      <c r="H121" s="672"/>
      <c r="I121" s="672"/>
      <c r="J121" s="672"/>
      <c r="K121" s="622" t="str">
        <f>IF(Std3NotCalc="","",IF(Std3NotCalc="N","NA",IF(COUNTIF(L106:L119,"E")&gt;0,"",IF(COUNTIF(L106:L119,"N")&gt;0,"N",IF(COUNTIF(L106:L119,"Y")&gt;0,"Y","NA")))))</f>
        <v/>
      </c>
      <c r="L121" s="623"/>
      <c r="M121" s="101"/>
      <c r="N121" s="17"/>
      <c r="O121" s="17"/>
      <c r="P121" s="17"/>
      <c r="Q121" s="17"/>
    </row>
    <row r="122" spans="1:18" s="340" customFormat="1" ht="59.1" customHeight="1" thickTop="1" thickBot="1">
      <c r="A122" s="909" t="s">
        <v>838</v>
      </c>
      <c r="B122" s="909"/>
      <c r="C122" s="909"/>
      <c r="D122" s="909"/>
      <c r="E122" s="909"/>
      <c r="F122" s="909"/>
      <c r="G122" s="909"/>
      <c r="H122" s="909"/>
      <c r="I122" s="909"/>
      <c r="J122" s="909"/>
      <c r="K122" s="791" t="str">
        <f>IF(Std3NotCalc="","",IF(Std3NotCalc="N","NA",IF(COUNTIF(Q106:Q119,"E")&gt;0,"",IF(COUNTIF(M106:M119,"N")&gt;0,"N",IF(COUNTIF(M106:M119,"Y")&gt;0,"Y","NA")))))</f>
        <v/>
      </c>
      <c r="L122" s="1072"/>
      <c r="M122" s="101"/>
      <c r="N122" s="17"/>
      <c r="O122" s="17"/>
      <c r="P122" s="17"/>
      <c r="Q122" s="17"/>
      <c r="R122" s="354"/>
    </row>
    <row r="123" spans="1:18" ht="17.25" customHeight="1" thickTop="1" thickBot="1">
      <c r="A123" s="697" t="s">
        <v>115</v>
      </c>
      <c r="B123" s="698"/>
      <c r="C123" s="698"/>
      <c r="D123" s="698"/>
      <c r="E123" s="698"/>
      <c r="F123" s="698"/>
      <c r="G123" s="698"/>
      <c r="H123" s="698"/>
      <c r="I123" s="698"/>
      <c r="J123" s="698"/>
      <c r="K123" s="698"/>
      <c r="L123" s="699"/>
      <c r="M123" s="28"/>
      <c r="N123" s="28"/>
      <c r="O123" s="28"/>
      <c r="P123" s="28"/>
      <c r="Q123" s="28"/>
    </row>
    <row r="124" spans="1:18" ht="26.25" customHeight="1" thickTop="1" thickBot="1">
      <c r="A124" s="709" t="s">
        <v>116</v>
      </c>
      <c r="B124" s="783" t="s">
        <v>615</v>
      </c>
      <c r="C124" s="784"/>
      <c r="D124" s="784"/>
      <c r="E124" s="784"/>
      <c r="F124" s="784"/>
      <c r="G124" s="784"/>
      <c r="H124" s="784"/>
      <c r="I124" s="784"/>
      <c r="J124" s="785"/>
      <c r="K124" s="624" t="s">
        <v>272</v>
      </c>
      <c r="L124" s="625"/>
      <c r="M124" s="28"/>
      <c r="N124" s="28"/>
      <c r="O124" s="28"/>
      <c r="P124" s="28"/>
      <c r="Q124" s="28"/>
    </row>
    <row r="125" spans="1:18" ht="21" customHeight="1" thickTop="1">
      <c r="A125" s="710"/>
      <c r="B125" s="786"/>
      <c r="C125" s="787"/>
      <c r="D125" s="787"/>
      <c r="E125" s="787"/>
      <c r="F125" s="787"/>
      <c r="G125" s="787"/>
      <c r="H125" s="787"/>
      <c r="I125" s="787"/>
      <c r="J125" s="788"/>
      <c r="K125" s="662"/>
      <c r="L125" s="663"/>
      <c r="M125" s="26"/>
      <c r="N125" s="26"/>
      <c r="O125" s="26"/>
      <c r="P125" s="26"/>
      <c r="Q125" s="26"/>
    </row>
    <row r="126" spans="1:18" ht="21" customHeight="1">
      <c r="A126" s="789"/>
      <c r="B126" s="780" t="s">
        <v>801</v>
      </c>
      <c r="C126" s="781"/>
      <c r="D126" s="781"/>
      <c r="E126" s="781"/>
      <c r="F126" s="781"/>
      <c r="G126" s="781"/>
      <c r="H126" s="781"/>
      <c r="I126" s="781"/>
      <c r="J126" s="782"/>
      <c r="K126" s="664"/>
      <c r="L126" s="665"/>
      <c r="M126" s="26"/>
      <c r="N126" s="26"/>
      <c r="O126" s="26"/>
      <c r="P126" s="26"/>
      <c r="Q126" s="26"/>
    </row>
    <row r="127" spans="1:18" ht="14.25" customHeight="1" thickBot="1">
      <c r="A127" s="790"/>
      <c r="B127" s="899" t="s">
        <v>271</v>
      </c>
      <c r="C127" s="900"/>
      <c r="D127" s="900"/>
      <c r="E127" s="900"/>
      <c r="F127" s="900"/>
      <c r="G127" s="900"/>
      <c r="H127" s="900"/>
      <c r="I127" s="900"/>
      <c r="J127" s="901"/>
      <c r="K127" s="666"/>
      <c r="L127" s="667"/>
      <c r="M127" s="26"/>
      <c r="N127" s="26"/>
      <c r="O127" s="26"/>
      <c r="P127" s="26"/>
      <c r="Q127" s="26"/>
    </row>
    <row r="128" spans="1:18" ht="34.5" customHeight="1" thickTop="1" thickBot="1">
      <c r="A128" s="19"/>
      <c r="B128" s="816" t="s">
        <v>839</v>
      </c>
      <c r="C128" s="817"/>
      <c r="D128" s="817"/>
      <c r="E128" s="817"/>
      <c r="F128" s="817"/>
      <c r="G128" s="817"/>
      <c r="H128" s="817"/>
      <c r="I128" s="817"/>
      <c r="J128" s="817"/>
      <c r="K128" s="817"/>
      <c r="L128" s="818"/>
      <c r="M128" s="26"/>
      <c r="N128" s="26"/>
      <c r="O128" s="26"/>
      <c r="P128" s="26"/>
      <c r="Q128" s="26"/>
    </row>
    <row r="129" spans="1:17" ht="33.75" customHeight="1" thickTop="1" thickBot="1">
      <c r="A129" s="906" t="s">
        <v>840</v>
      </c>
      <c r="B129" s="907"/>
      <c r="C129" s="907"/>
      <c r="D129" s="907"/>
      <c r="E129" s="907"/>
      <c r="F129" s="907"/>
      <c r="G129" s="907"/>
      <c r="H129" s="907"/>
      <c r="I129" s="907"/>
      <c r="J129" s="908"/>
      <c r="K129" s="776"/>
      <c r="L129" s="777"/>
      <c r="M129" s="26"/>
      <c r="N129" s="26"/>
      <c r="O129" s="26"/>
      <c r="P129" s="26"/>
      <c r="Q129" s="26"/>
    </row>
    <row r="130" spans="1:17" ht="16.5" hidden="1" customHeight="1" thickBot="1">
      <c r="A130" s="592" t="s">
        <v>744</v>
      </c>
      <c r="B130" s="593"/>
      <c r="C130" s="593"/>
      <c r="D130" s="593"/>
      <c r="E130" s="593"/>
      <c r="F130" s="593"/>
      <c r="G130" s="593"/>
      <c r="H130" s="593"/>
      <c r="I130" s="593"/>
      <c r="J130" s="593"/>
      <c r="K130" s="737" t="s">
        <v>620</v>
      </c>
      <c r="L130" s="621"/>
      <c r="M130" s="26"/>
      <c r="N130" s="26"/>
      <c r="O130" s="26"/>
      <c r="P130" s="26"/>
      <c r="Q130" s="26"/>
    </row>
    <row r="131" spans="1:17" ht="16.5" customHeight="1" thickBot="1">
      <c r="A131" s="592" t="s">
        <v>841</v>
      </c>
      <c r="B131" s="593"/>
      <c r="C131" s="593"/>
      <c r="D131" s="593"/>
      <c r="E131" s="593"/>
      <c r="F131" s="593"/>
      <c r="G131" s="593"/>
      <c r="H131" s="593"/>
      <c r="I131" s="593"/>
      <c r="J131" s="593"/>
      <c r="K131" s="737"/>
      <c r="L131" s="621"/>
      <c r="M131" s="26"/>
      <c r="N131" s="26"/>
      <c r="O131" s="26"/>
      <c r="P131" s="26"/>
      <c r="Q131" s="26"/>
    </row>
    <row r="132" spans="1:17" ht="31.5" customHeight="1" thickBot="1">
      <c r="A132" s="592" t="s">
        <v>842</v>
      </c>
      <c r="B132" s="593"/>
      <c r="C132" s="593"/>
      <c r="D132" s="593"/>
      <c r="E132" s="593"/>
      <c r="F132" s="593"/>
      <c r="G132" s="593"/>
      <c r="H132" s="593"/>
      <c r="I132" s="593"/>
      <c r="J132" s="593"/>
      <c r="K132" s="737"/>
      <c r="L132" s="621"/>
      <c r="M132" s="26"/>
      <c r="N132" s="26"/>
      <c r="O132" s="26"/>
      <c r="P132" s="26"/>
      <c r="Q132" s="26"/>
    </row>
    <row r="133" spans="1:17" ht="16.5" customHeight="1" thickBot="1">
      <c r="A133" s="592" t="s">
        <v>745</v>
      </c>
      <c r="B133" s="593"/>
      <c r="C133" s="593"/>
      <c r="D133" s="593"/>
      <c r="E133" s="593"/>
      <c r="F133" s="593"/>
      <c r="G133" s="593"/>
      <c r="H133" s="593"/>
      <c r="I133" s="593"/>
      <c r="J133" s="593"/>
      <c r="K133" s="737"/>
      <c r="L133" s="621"/>
      <c r="M133" s="15"/>
      <c r="N133" s="15"/>
      <c r="O133" s="15"/>
      <c r="P133" s="15"/>
      <c r="Q133" s="15"/>
    </row>
    <row r="134" spans="1:17" ht="16.5" customHeight="1" thickBot="1">
      <c r="A134" s="592" t="s">
        <v>768</v>
      </c>
      <c r="B134" s="593"/>
      <c r="C134" s="593"/>
      <c r="D134" s="593"/>
      <c r="E134" s="593"/>
      <c r="F134" s="593"/>
      <c r="G134" s="593"/>
      <c r="H134" s="593"/>
      <c r="I134" s="593"/>
      <c r="J134" s="593"/>
      <c r="K134" s="737"/>
      <c r="L134" s="621"/>
      <c r="M134" s="15"/>
      <c r="N134" s="15"/>
      <c r="O134" s="15"/>
      <c r="P134" s="15"/>
      <c r="Q134" s="15"/>
    </row>
    <row r="135" spans="1:17" ht="31.5" hidden="1" customHeight="1" thickBot="1">
      <c r="A135" s="820" t="s">
        <v>769</v>
      </c>
      <c r="B135" s="821"/>
      <c r="C135" s="821"/>
      <c r="D135" s="821"/>
      <c r="E135" s="821"/>
      <c r="F135" s="821"/>
      <c r="G135" s="821"/>
      <c r="H135" s="821"/>
      <c r="I135" s="821"/>
      <c r="J135" s="822"/>
      <c r="K135" s="590"/>
      <c r="L135" s="591"/>
      <c r="M135" s="10"/>
      <c r="N135" s="10"/>
      <c r="O135" s="10"/>
      <c r="P135" s="10"/>
      <c r="Q135" s="10"/>
    </row>
    <row r="136" spans="1:17" ht="52.5" customHeight="1" thickTop="1" thickBot="1">
      <c r="A136" s="823" t="s">
        <v>843</v>
      </c>
      <c r="B136" s="824"/>
      <c r="C136" s="824"/>
      <c r="D136" s="824"/>
      <c r="E136" s="824"/>
      <c r="F136" s="824"/>
      <c r="G136" s="824"/>
      <c r="H136" s="824"/>
      <c r="I136" s="824"/>
      <c r="J136" s="824"/>
      <c r="K136" s="622" t="str">
        <f>IF(Std4NotCalc="","",IF(Std4NotCalc="N","NA", IF(COUNTBLANK(K129:K134) &gt; 0, "", IF(COUNTIF(K129:K134, "N") &gt; 0, "N", "Y"))))</f>
        <v/>
      </c>
      <c r="L136" s="623"/>
      <c r="M136" s="10"/>
      <c r="N136" s="10"/>
      <c r="O136" s="10"/>
      <c r="P136" s="10"/>
      <c r="Q136" s="10"/>
    </row>
    <row r="137" spans="1:17" ht="16.5" hidden="1" customHeight="1" thickBot="1">
      <c r="A137" s="320" t="s">
        <v>50</v>
      </c>
      <c r="B137" s="841" t="s">
        <v>117</v>
      </c>
      <c r="C137" s="842"/>
      <c r="D137" s="842"/>
      <c r="E137" s="842"/>
      <c r="F137" s="842"/>
      <c r="G137" s="842"/>
      <c r="H137" s="842"/>
      <c r="I137" s="842"/>
      <c r="J137" s="842"/>
      <c r="K137" s="842"/>
      <c r="L137" s="843"/>
      <c r="M137" s="24"/>
      <c r="N137" s="24"/>
      <c r="O137" s="24"/>
      <c r="P137" s="24"/>
      <c r="Q137" s="24"/>
    </row>
    <row r="138" spans="1:17" ht="26.25" hidden="1" customHeight="1" thickTop="1" thickBot="1">
      <c r="A138" s="847" t="s">
        <v>118</v>
      </c>
      <c r="B138" s="848"/>
      <c r="C138" s="848"/>
      <c r="D138" s="848"/>
      <c r="E138" s="848"/>
      <c r="F138" s="848"/>
      <c r="G138" s="848"/>
      <c r="H138" s="848"/>
      <c r="I138" s="848"/>
      <c r="J138" s="848"/>
      <c r="K138" s="776" t="s">
        <v>620</v>
      </c>
      <c r="L138" s="777"/>
      <c r="M138" s="10"/>
      <c r="N138" s="10"/>
      <c r="O138" s="10"/>
      <c r="P138" s="10"/>
      <c r="Q138" s="10"/>
    </row>
    <row r="139" spans="1:17" ht="15.75" hidden="1" thickBot="1">
      <c r="A139" s="592" t="s">
        <v>119</v>
      </c>
      <c r="B139" s="593"/>
      <c r="C139" s="593"/>
      <c r="D139" s="593"/>
      <c r="E139" s="593"/>
      <c r="F139" s="593"/>
      <c r="G139" s="593"/>
      <c r="H139" s="593"/>
      <c r="I139" s="593"/>
      <c r="J139" s="593"/>
      <c r="K139" s="737" t="s">
        <v>620</v>
      </c>
      <c r="L139" s="621"/>
      <c r="M139" s="10"/>
      <c r="N139" s="10"/>
      <c r="O139" s="10"/>
      <c r="P139" s="10"/>
      <c r="Q139" s="10"/>
    </row>
    <row r="140" spans="1:17" ht="16.5" hidden="1" customHeight="1" thickBot="1">
      <c r="A140" s="592" t="s">
        <v>120</v>
      </c>
      <c r="B140" s="593"/>
      <c r="C140" s="593"/>
      <c r="D140" s="593"/>
      <c r="E140" s="593"/>
      <c r="F140" s="593"/>
      <c r="G140" s="593"/>
      <c r="H140" s="593"/>
      <c r="I140" s="593"/>
      <c r="J140" s="593"/>
      <c r="K140" s="737" t="s">
        <v>620</v>
      </c>
      <c r="L140" s="621"/>
      <c r="M140" s="31"/>
      <c r="N140" s="31"/>
      <c r="O140" s="31"/>
      <c r="P140" s="31"/>
      <c r="Q140" s="31"/>
    </row>
    <row r="141" spans="1:17" ht="16.5" hidden="1" customHeight="1" thickBot="1">
      <c r="A141" s="592" t="s">
        <v>121</v>
      </c>
      <c r="B141" s="593"/>
      <c r="C141" s="593"/>
      <c r="D141" s="593"/>
      <c r="E141" s="593"/>
      <c r="F141" s="593"/>
      <c r="G141" s="593"/>
      <c r="H141" s="593"/>
      <c r="I141" s="593"/>
      <c r="J141" s="593"/>
      <c r="K141" s="590" t="s">
        <v>620</v>
      </c>
      <c r="L141" s="591"/>
      <c r="M141" s="31"/>
      <c r="N141" s="31"/>
      <c r="O141" s="31"/>
      <c r="P141" s="31"/>
      <c r="Q141" s="31"/>
    </row>
    <row r="142" spans="1:17" ht="32.25" hidden="1" customHeight="1" thickTop="1" thickBot="1">
      <c r="A142" s="671" t="s">
        <v>686</v>
      </c>
      <c r="B142" s="672"/>
      <c r="C142" s="672"/>
      <c r="D142" s="672"/>
      <c r="E142" s="672"/>
      <c r="F142" s="672"/>
      <c r="G142" s="672"/>
      <c r="H142" s="672"/>
      <c r="I142" s="672"/>
      <c r="J142" s="672"/>
      <c r="K142" s="622" t="str">
        <f>IF(TRUE, "NA",IF(Std4NotCalc="","",IF(Std4NotCalc="N","NA", IF(COUNTIF(K138:K141, "") &gt; 0, "", IF(COUNTIF(K138:K141, "N") &gt; 0, "N", IF(COUNTIF(K138:K141, "Y") &gt; 0, "Y", ""))))))</f>
        <v>NA</v>
      </c>
      <c r="L142" s="623"/>
      <c r="M142" s="90"/>
      <c r="N142" s="15"/>
      <c r="O142" s="15"/>
      <c r="P142" s="15"/>
      <c r="Q142" s="15"/>
    </row>
    <row r="143" spans="1:17" ht="30" customHeight="1" thickTop="1" thickBot="1">
      <c r="A143" s="655" t="s">
        <v>802</v>
      </c>
      <c r="B143" s="786" t="s">
        <v>770</v>
      </c>
      <c r="C143" s="787"/>
      <c r="D143" s="787"/>
      <c r="E143" s="787"/>
      <c r="F143" s="787"/>
      <c r="G143" s="787"/>
      <c r="H143" s="787"/>
      <c r="I143" s="787"/>
      <c r="J143" s="788"/>
      <c r="K143" s="624" t="s">
        <v>272</v>
      </c>
      <c r="L143" s="625"/>
      <c r="M143" s="90"/>
      <c r="N143" s="15"/>
      <c r="O143" s="15"/>
      <c r="P143" s="15"/>
      <c r="Q143" s="15"/>
    </row>
    <row r="144" spans="1:17" ht="30" customHeight="1" thickTop="1" thickBot="1">
      <c r="A144" s="656"/>
      <c r="B144" s="786"/>
      <c r="C144" s="787"/>
      <c r="D144" s="787"/>
      <c r="E144" s="787"/>
      <c r="F144" s="787"/>
      <c r="G144" s="787"/>
      <c r="H144" s="787"/>
      <c r="I144" s="787"/>
      <c r="J144" s="788"/>
      <c r="K144" s="662"/>
      <c r="L144" s="663"/>
      <c r="M144" s="90"/>
      <c r="N144" s="15"/>
      <c r="O144" s="15"/>
      <c r="P144" s="15"/>
      <c r="Q144" s="15"/>
    </row>
    <row r="145" spans="1:18" ht="14.25" customHeight="1" thickTop="1">
      <c r="A145" s="657"/>
      <c r="B145" s="659" t="s">
        <v>844</v>
      </c>
      <c r="C145" s="660"/>
      <c r="D145" s="660"/>
      <c r="E145" s="660"/>
      <c r="F145" s="660"/>
      <c r="G145" s="660"/>
      <c r="H145" s="660"/>
      <c r="I145" s="660"/>
      <c r="J145" s="661"/>
      <c r="K145" s="664"/>
      <c r="L145" s="665"/>
      <c r="M145" s="90"/>
      <c r="N145" s="15"/>
      <c r="O145" s="15"/>
      <c r="P145" s="15"/>
      <c r="Q145" s="15"/>
    </row>
    <row r="146" spans="1:18" ht="12.75" customHeight="1" thickBot="1">
      <c r="A146" s="658"/>
      <c r="B146" s="899" t="s">
        <v>804</v>
      </c>
      <c r="C146" s="900"/>
      <c r="D146" s="900"/>
      <c r="E146" s="900"/>
      <c r="F146" s="900"/>
      <c r="G146" s="900"/>
      <c r="H146" s="900"/>
      <c r="I146" s="900"/>
      <c r="J146" s="901"/>
      <c r="K146" s="666"/>
      <c r="L146" s="667"/>
      <c r="M146" s="90"/>
      <c r="N146" s="15"/>
      <c r="O146" s="15"/>
      <c r="P146" s="15"/>
      <c r="Q146" s="15"/>
    </row>
    <row r="147" spans="1:18" ht="15" customHeight="1" thickTop="1" thickBot="1">
      <c r="A147" s="749" t="s">
        <v>122</v>
      </c>
      <c r="B147" s="750"/>
      <c r="C147" s="750"/>
      <c r="D147" s="750"/>
      <c r="E147" s="750"/>
      <c r="F147" s="750"/>
      <c r="G147" s="750"/>
      <c r="H147" s="750"/>
      <c r="I147" s="750"/>
      <c r="J147" s="750"/>
      <c r="K147" s="845"/>
      <c r="L147" s="846"/>
      <c r="M147" s="76"/>
      <c r="N147" s="15"/>
      <c r="O147" s="15"/>
      <c r="P147" s="15"/>
      <c r="Q147" s="15"/>
    </row>
    <row r="148" spans="1:18" ht="26.25" hidden="1" customHeight="1" thickBot="1">
      <c r="A148" s="905" t="s">
        <v>746</v>
      </c>
      <c r="B148" s="475"/>
      <c r="C148" s="475"/>
      <c r="D148" s="475"/>
      <c r="E148" s="475"/>
      <c r="F148" s="475"/>
      <c r="G148" s="475"/>
      <c r="H148" s="475"/>
      <c r="I148" s="475"/>
      <c r="J148" s="475"/>
      <c r="K148" s="475"/>
      <c r="L148" s="476"/>
      <c r="M148" s="90"/>
      <c r="N148" s="15"/>
      <c r="O148" s="15"/>
      <c r="P148" s="15"/>
      <c r="Q148" s="15"/>
    </row>
    <row r="149" spans="1:18" ht="17.25" hidden="1" customHeight="1" thickTop="1" thickBot="1">
      <c r="A149" s="682" t="s">
        <v>123</v>
      </c>
      <c r="B149" s="683"/>
      <c r="C149" s="683"/>
      <c r="D149" s="683"/>
      <c r="E149" s="683"/>
      <c r="F149" s="683"/>
      <c r="G149" s="683"/>
      <c r="H149" s="683"/>
      <c r="I149" s="683"/>
      <c r="J149" s="683"/>
      <c r="K149" s="734" t="s">
        <v>620</v>
      </c>
      <c r="L149" s="734"/>
      <c r="M149" s="24"/>
      <c r="N149" s="24"/>
      <c r="O149" s="24"/>
      <c r="P149" s="24"/>
      <c r="Q149" s="24"/>
    </row>
    <row r="150" spans="1:18" ht="16.5" hidden="1" customHeight="1" thickTop="1" thickBot="1">
      <c r="A150" s="597" t="s">
        <v>124</v>
      </c>
      <c r="B150" s="598"/>
      <c r="C150" s="598"/>
      <c r="D150" s="598"/>
      <c r="E150" s="598"/>
      <c r="F150" s="598"/>
      <c r="G150" s="598"/>
      <c r="H150" s="598"/>
      <c r="I150" s="598"/>
      <c r="J150" s="598"/>
      <c r="K150" s="734" t="s">
        <v>620</v>
      </c>
      <c r="L150" s="734"/>
      <c r="M150" s="90"/>
      <c r="N150" s="15"/>
      <c r="O150" s="15"/>
      <c r="P150" s="15"/>
      <c r="Q150" s="15"/>
    </row>
    <row r="151" spans="1:18" ht="16.5" hidden="1" customHeight="1" thickTop="1" thickBot="1">
      <c r="A151" s="597" t="s">
        <v>125</v>
      </c>
      <c r="B151" s="598"/>
      <c r="C151" s="598"/>
      <c r="D151" s="598"/>
      <c r="E151" s="598"/>
      <c r="F151" s="598"/>
      <c r="G151" s="598"/>
      <c r="H151" s="598"/>
      <c r="I151" s="598"/>
      <c r="J151" s="598"/>
      <c r="K151" s="734" t="s">
        <v>620</v>
      </c>
      <c r="L151" s="734"/>
      <c r="M151" s="90"/>
      <c r="N151" s="15"/>
      <c r="O151" s="15"/>
      <c r="P151" s="15"/>
      <c r="Q151" s="15"/>
    </row>
    <row r="152" spans="1:18" ht="16.5" hidden="1" customHeight="1" thickTop="1" thickBot="1">
      <c r="A152" s="597" t="s">
        <v>635</v>
      </c>
      <c r="B152" s="598"/>
      <c r="C152" s="598"/>
      <c r="D152" s="598"/>
      <c r="E152" s="598"/>
      <c r="F152" s="598"/>
      <c r="G152" s="598"/>
      <c r="H152" s="598"/>
      <c r="I152" s="598"/>
      <c r="J152" s="598"/>
      <c r="K152" s="734" t="s">
        <v>620</v>
      </c>
      <c r="L152" s="734"/>
      <c r="M152" s="23"/>
      <c r="N152" s="24"/>
      <c r="O152" s="24"/>
      <c r="P152" s="24"/>
      <c r="Q152" s="24"/>
    </row>
    <row r="153" spans="1:18" ht="15" hidden="1" customHeight="1" thickTop="1" thickBot="1">
      <c r="A153" s="592" t="s">
        <v>126</v>
      </c>
      <c r="B153" s="593"/>
      <c r="C153" s="593"/>
      <c r="D153" s="593"/>
      <c r="E153" s="593"/>
      <c r="F153" s="593"/>
      <c r="G153" s="593"/>
      <c r="H153" s="593"/>
      <c r="I153" s="593"/>
      <c r="J153" s="593"/>
      <c r="K153" s="737"/>
      <c r="L153" s="621"/>
      <c r="M153" s="23"/>
      <c r="N153" s="24"/>
      <c r="O153" s="24"/>
      <c r="P153" s="24"/>
      <c r="Q153" s="24"/>
    </row>
    <row r="154" spans="1:18" ht="15" hidden="1" customHeight="1" thickTop="1">
      <c r="A154" s="597" t="s">
        <v>624</v>
      </c>
      <c r="B154" s="598"/>
      <c r="C154" s="598"/>
      <c r="D154" s="598"/>
      <c r="E154" s="598"/>
      <c r="F154" s="598"/>
      <c r="G154" s="598"/>
      <c r="H154" s="598"/>
      <c r="I154" s="598"/>
      <c r="J154" s="598"/>
      <c r="K154" s="734" t="s">
        <v>620</v>
      </c>
      <c r="L154" s="734"/>
      <c r="M154" s="23"/>
      <c r="N154" s="24"/>
      <c r="O154" s="24"/>
      <c r="P154" s="24"/>
      <c r="Q154" s="24"/>
    </row>
    <row r="155" spans="1:18" ht="15" hidden="1" customHeight="1" thickBot="1">
      <c r="A155" s="592" t="s">
        <v>625</v>
      </c>
      <c r="B155" s="593"/>
      <c r="C155" s="593"/>
      <c r="D155" s="593"/>
      <c r="E155" s="593"/>
      <c r="F155" s="593"/>
      <c r="G155" s="593"/>
      <c r="H155" s="593"/>
      <c r="I155" s="593"/>
      <c r="J155" s="593"/>
      <c r="K155" s="666"/>
      <c r="L155" s="667"/>
      <c r="M155" s="23"/>
      <c r="N155" s="24"/>
      <c r="O155" s="24"/>
      <c r="P155" s="24"/>
      <c r="Q155" s="24"/>
    </row>
    <row r="156" spans="1:18" s="345" customFormat="1" ht="43.5" customHeight="1" thickTop="1" thickBot="1">
      <c r="A156" s="616" t="s">
        <v>863</v>
      </c>
      <c r="B156" s="617"/>
      <c r="C156" s="617"/>
      <c r="D156" s="617"/>
      <c r="E156" s="617"/>
      <c r="F156" s="617"/>
      <c r="G156" s="617"/>
      <c r="H156" s="617"/>
      <c r="I156" s="617"/>
      <c r="J156" s="617"/>
      <c r="K156" s="618"/>
      <c r="L156" s="619"/>
      <c r="M156" s="23"/>
      <c r="N156" s="24"/>
      <c r="O156" s="24"/>
      <c r="P156" s="24"/>
      <c r="Q156" s="24"/>
      <c r="R156" s="354"/>
    </row>
    <row r="157" spans="1:18" ht="32.25" customHeight="1" thickTop="1" thickBot="1">
      <c r="A157" s="902" t="s">
        <v>803</v>
      </c>
      <c r="B157" s="903"/>
      <c r="C157" s="903"/>
      <c r="D157" s="903"/>
      <c r="E157" s="903"/>
      <c r="F157" s="903"/>
      <c r="G157" s="903"/>
      <c r="H157" s="903"/>
      <c r="I157" s="903"/>
      <c r="J157" s="903"/>
      <c r="K157" s="839"/>
      <c r="L157" s="840"/>
      <c r="M157" s="23"/>
      <c r="N157" s="24"/>
      <c r="O157" s="24"/>
      <c r="P157" s="24"/>
      <c r="Q157" s="24"/>
    </row>
    <row r="158" spans="1:18" ht="17.25" hidden="1" customHeight="1" thickTop="1" thickBot="1">
      <c r="A158" s="1044" t="s">
        <v>636</v>
      </c>
      <c r="B158" s="1045"/>
      <c r="C158" s="1045"/>
      <c r="D158" s="1045"/>
      <c r="E158" s="1045"/>
      <c r="F158" s="1045"/>
      <c r="G158" s="1045"/>
      <c r="H158" s="1045"/>
      <c r="I158" s="1045"/>
      <c r="J158" s="1045"/>
      <c r="K158" s="1045"/>
      <c r="L158" s="1046"/>
      <c r="M158" s="25"/>
      <c r="N158" s="26"/>
      <c r="O158" s="26"/>
      <c r="P158" s="26"/>
      <c r="Q158" s="26"/>
    </row>
    <row r="159" spans="1:18" ht="47.25" hidden="1" customHeight="1" thickTop="1">
      <c r="A159" s="671" t="s">
        <v>687</v>
      </c>
      <c r="B159" s="672"/>
      <c r="C159" s="672"/>
      <c r="D159" s="672"/>
      <c r="E159" s="672"/>
      <c r="F159" s="672"/>
      <c r="G159" s="672"/>
      <c r="H159" s="672"/>
      <c r="I159" s="672"/>
      <c r="J159" s="673"/>
      <c r="K159" s="798" t="s">
        <v>620</v>
      </c>
      <c r="L159" s="799"/>
      <c r="M159" s="24"/>
      <c r="N159" s="24"/>
      <c r="O159" s="24"/>
      <c r="P159" s="24"/>
      <c r="Q159" s="24"/>
    </row>
    <row r="160" spans="1:18" ht="15" hidden="1" customHeight="1">
      <c r="A160" s="825" t="s">
        <v>688</v>
      </c>
      <c r="B160" s="826"/>
      <c r="C160" s="826"/>
      <c r="D160" s="826"/>
      <c r="E160" s="826"/>
      <c r="F160" s="826"/>
      <c r="G160" s="826"/>
      <c r="H160" s="826"/>
      <c r="I160" s="826"/>
      <c r="J160" s="827"/>
      <c r="K160" s="800"/>
      <c r="L160" s="801"/>
      <c r="M160" s="24"/>
      <c r="N160" s="24"/>
      <c r="O160" s="24"/>
      <c r="P160" s="24"/>
      <c r="Q160" s="24"/>
    </row>
    <row r="161" spans="1:17" ht="15.75" hidden="1" customHeight="1" thickBot="1">
      <c r="A161" s="828" t="s">
        <v>689</v>
      </c>
      <c r="B161" s="829"/>
      <c r="C161" s="829"/>
      <c r="D161" s="829"/>
      <c r="E161" s="829"/>
      <c r="F161" s="829"/>
      <c r="G161" s="829"/>
      <c r="H161" s="829"/>
      <c r="I161" s="829"/>
      <c r="J161" s="830"/>
      <c r="K161" s="802"/>
      <c r="L161" s="803"/>
      <c r="M161" s="24"/>
      <c r="N161" s="24"/>
      <c r="O161" s="24"/>
      <c r="P161" s="24"/>
      <c r="Q161" s="24"/>
    </row>
    <row r="162" spans="1:17" ht="16.5" customHeight="1" thickBot="1">
      <c r="A162" s="1044" t="s">
        <v>127</v>
      </c>
      <c r="B162" s="1045"/>
      <c r="C162" s="1045"/>
      <c r="D162" s="1045"/>
      <c r="E162" s="1045"/>
      <c r="F162" s="1045"/>
      <c r="G162" s="1045"/>
      <c r="H162" s="1045"/>
      <c r="I162" s="1045"/>
      <c r="J162" s="1045"/>
      <c r="K162" s="1045"/>
      <c r="L162" s="1046"/>
      <c r="M162" s="90"/>
      <c r="N162" s="15"/>
      <c r="O162" s="15"/>
      <c r="P162" s="15"/>
      <c r="Q162" s="15"/>
    </row>
    <row r="163" spans="1:17" ht="31.5" customHeight="1" thickTop="1">
      <c r="A163" s="751" t="s">
        <v>128</v>
      </c>
      <c r="B163" s="753" t="s">
        <v>616</v>
      </c>
      <c r="C163" s="754"/>
      <c r="D163" s="754"/>
      <c r="E163" s="754"/>
      <c r="F163" s="754"/>
      <c r="G163" s="754"/>
      <c r="H163" s="754"/>
      <c r="I163" s="754"/>
      <c r="J163" s="754"/>
      <c r="K163" s="754"/>
      <c r="L163" s="755"/>
      <c r="M163" s="90"/>
      <c r="N163" s="15"/>
      <c r="O163" s="15"/>
      <c r="P163" s="15"/>
      <c r="Q163" s="15"/>
    </row>
    <row r="164" spans="1:17" ht="16.5" customHeight="1" thickBot="1">
      <c r="A164" s="752"/>
      <c r="B164" s="795" t="s">
        <v>129</v>
      </c>
      <c r="C164" s="796"/>
      <c r="D164" s="796"/>
      <c r="E164" s="796"/>
      <c r="F164" s="796"/>
      <c r="G164" s="796"/>
      <c r="H164" s="796"/>
      <c r="I164" s="796"/>
      <c r="J164" s="796"/>
      <c r="K164" s="796"/>
      <c r="L164" s="797"/>
      <c r="M164" s="90"/>
      <c r="N164" s="15"/>
      <c r="O164" s="15"/>
      <c r="P164" s="15"/>
      <c r="Q164" s="15"/>
    </row>
    <row r="165" spans="1:17" ht="16.5" customHeight="1" thickTop="1" thickBot="1">
      <c r="A165" s="813" t="s">
        <v>130</v>
      </c>
      <c r="B165" s="814"/>
      <c r="C165" s="814"/>
      <c r="D165" s="814"/>
      <c r="E165" s="814"/>
      <c r="F165" s="814"/>
      <c r="G165" s="814"/>
      <c r="H165" s="814"/>
      <c r="I165" s="814"/>
      <c r="J165" s="814"/>
      <c r="K165" s="814"/>
      <c r="L165" s="815"/>
      <c r="M165" s="90"/>
      <c r="N165" s="15"/>
      <c r="O165" s="15"/>
      <c r="P165" s="15"/>
      <c r="Q165" s="15"/>
    </row>
    <row r="166" spans="1:17" ht="16.5" customHeight="1" thickTop="1" thickBot="1">
      <c r="A166" s="1069" t="s">
        <v>131</v>
      </c>
      <c r="B166" s="1070"/>
      <c r="C166" s="1070"/>
      <c r="D166" s="1070"/>
      <c r="E166" s="1070" t="s">
        <v>132</v>
      </c>
      <c r="F166" s="1070"/>
      <c r="G166" s="1070"/>
      <c r="H166" s="1070" t="s">
        <v>133</v>
      </c>
      <c r="I166" s="1070"/>
      <c r="J166" s="1070"/>
      <c r="K166" s="1070"/>
      <c r="L166" s="1071"/>
      <c r="M166" s="90"/>
      <c r="N166" s="15"/>
      <c r="O166" s="15"/>
      <c r="P166" s="15"/>
      <c r="Q166" s="15"/>
    </row>
    <row r="167" spans="1:17" ht="48" customHeight="1" thickBot="1">
      <c r="A167" s="844" t="s">
        <v>134</v>
      </c>
      <c r="B167" s="610"/>
      <c r="C167" s="610"/>
      <c r="D167" s="610"/>
      <c r="E167" s="610" t="s">
        <v>135</v>
      </c>
      <c r="F167" s="610"/>
      <c r="G167" s="610"/>
      <c r="H167" s="610" t="s">
        <v>747</v>
      </c>
      <c r="I167" s="610"/>
      <c r="J167" s="610"/>
      <c r="K167" s="610"/>
      <c r="L167" s="611"/>
      <c r="M167" s="90"/>
      <c r="N167" s="15"/>
      <c r="O167" s="15"/>
      <c r="P167" s="15"/>
      <c r="Q167" s="15"/>
    </row>
    <row r="168" spans="1:17" ht="45" customHeight="1" thickBot="1">
      <c r="A168" s="844" t="s">
        <v>140</v>
      </c>
      <c r="B168" s="610"/>
      <c r="C168" s="610"/>
      <c r="D168" s="610"/>
      <c r="E168" s="610" t="s">
        <v>141</v>
      </c>
      <c r="F168" s="610"/>
      <c r="G168" s="610"/>
      <c r="H168" s="610" t="s">
        <v>748</v>
      </c>
      <c r="I168" s="610"/>
      <c r="J168" s="610"/>
      <c r="K168" s="610"/>
      <c r="L168" s="611"/>
      <c r="M168" s="90"/>
      <c r="N168" s="15"/>
      <c r="O168" s="15"/>
      <c r="P168" s="15"/>
      <c r="Q168" s="15"/>
    </row>
    <row r="169" spans="1:17" ht="37.5" customHeight="1" thickBot="1">
      <c r="A169" s="844" t="s">
        <v>400</v>
      </c>
      <c r="B169" s="610"/>
      <c r="C169" s="610"/>
      <c r="D169" s="610"/>
      <c r="E169" s="610" t="s">
        <v>142</v>
      </c>
      <c r="F169" s="610"/>
      <c r="G169" s="610"/>
      <c r="H169" s="610" t="s">
        <v>749</v>
      </c>
      <c r="I169" s="610"/>
      <c r="J169" s="610"/>
      <c r="K169" s="610"/>
      <c r="L169" s="611"/>
      <c r="M169" s="90"/>
      <c r="N169" s="15"/>
      <c r="O169" s="15"/>
      <c r="P169" s="15"/>
      <c r="Q169" s="15"/>
    </row>
    <row r="170" spans="1:17" ht="22.5" customHeight="1" thickBot="1">
      <c r="A170" s="844" t="s">
        <v>750</v>
      </c>
      <c r="B170" s="610"/>
      <c r="C170" s="610"/>
      <c r="D170" s="610"/>
      <c r="E170" s="610" t="s">
        <v>138</v>
      </c>
      <c r="F170" s="610"/>
      <c r="G170" s="610"/>
      <c r="H170" s="610" t="s">
        <v>139</v>
      </c>
      <c r="I170" s="610"/>
      <c r="J170" s="610"/>
      <c r="K170" s="610"/>
      <c r="L170" s="611"/>
      <c r="M170" s="90"/>
      <c r="N170" s="15"/>
      <c r="O170" s="15"/>
      <c r="P170" s="15"/>
      <c r="Q170" s="15"/>
    </row>
    <row r="171" spans="1:17" ht="22.5" hidden="1" customHeight="1">
      <c r="A171" s="601" t="s">
        <v>143</v>
      </c>
      <c r="B171" s="602"/>
      <c r="C171" s="602"/>
      <c r="D171" s="603"/>
      <c r="E171" s="774" t="s">
        <v>136</v>
      </c>
      <c r="F171" s="774"/>
      <c r="G171" s="774"/>
      <c r="H171" s="774" t="s">
        <v>144</v>
      </c>
      <c r="I171" s="774"/>
      <c r="J171" s="774"/>
      <c r="K171" s="774"/>
      <c r="L171" s="775"/>
      <c r="M171" s="90"/>
      <c r="N171" s="15"/>
      <c r="O171" s="15"/>
      <c r="P171" s="15"/>
      <c r="Q171" s="15"/>
    </row>
    <row r="172" spans="1:17" ht="16.5" hidden="1" customHeight="1" thickBot="1">
      <c r="A172" s="604"/>
      <c r="B172" s="605"/>
      <c r="C172" s="605"/>
      <c r="D172" s="606"/>
      <c r="E172" s="772" t="s">
        <v>137</v>
      </c>
      <c r="F172" s="772"/>
      <c r="G172" s="772"/>
      <c r="H172" s="772" t="s">
        <v>145</v>
      </c>
      <c r="I172" s="772"/>
      <c r="J172" s="772"/>
      <c r="K172" s="772"/>
      <c r="L172" s="773"/>
      <c r="M172" s="90"/>
      <c r="N172" s="15"/>
      <c r="O172" s="15"/>
      <c r="P172" s="15"/>
      <c r="Q172" s="15"/>
    </row>
    <row r="173" spans="1:17" ht="22.5" customHeight="1" thickBot="1">
      <c r="A173" s="844" t="s">
        <v>146</v>
      </c>
      <c r="B173" s="610"/>
      <c r="C173" s="610"/>
      <c r="D173" s="610"/>
      <c r="E173" s="610" t="s">
        <v>147</v>
      </c>
      <c r="F173" s="610"/>
      <c r="G173" s="610"/>
      <c r="H173" s="610" t="s">
        <v>751</v>
      </c>
      <c r="I173" s="610"/>
      <c r="J173" s="610"/>
      <c r="K173" s="610"/>
      <c r="L173" s="611"/>
      <c r="M173" s="90"/>
      <c r="N173" s="15"/>
      <c r="O173" s="15"/>
      <c r="P173" s="15"/>
      <c r="Q173" s="15"/>
    </row>
    <row r="174" spans="1:17" ht="45.75" customHeight="1" thickBot="1">
      <c r="A174" s="844" t="s">
        <v>148</v>
      </c>
      <c r="B174" s="610"/>
      <c r="C174" s="610"/>
      <c r="D174" s="610"/>
      <c r="E174" s="610" t="s">
        <v>149</v>
      </c>
      <c r="F174" s="610"/>
      <c r="G174" s="610"/>
      <c r="H174" s="610" t="s">
        <v>150</v>
      </c>
      <c r="I174" s="610"/>
      <c r="J174" s="610"/>
      <c r="K174" s="610"/>
      <c r="L174" s="611"/>
      <c r="M174" s="90"/>
      <c r="N174" s="15"/>
      <c r="O174" s="15"/>
      <c r="P174" s="15"/>
      <c r="Q174" s="15"/>
    </row>
    <row r="175" spans="1:17" ht="60" customHeight="1" thickTop="1" thickBot="1">
      <c r="A175" s="655" t="s">
        <v>151</v>
      </c>
      <c r="B175" s="783" t="s">
        <v>678</v>
      </c>
      <c r="C175" s="831"/>
      <c r="D175" s="831"/>
      <c r="E175" s="831"/>
      <c r="F175" s="831"/>
      <c r="G175" s="831"/>
      <c r="H175" s="831"/>
      <c r="I175" s="831"/>
      <c r="J175" s="832"/>
      <c r="K175" s="624" t="s">
        <v>272</v>
      </c>
      <c r="L175" s="625"/>
      <c r="M175" s="90"/>
      <c r="N175" s="15"/>
      <c r="O175" s="15"/>
      <c r="P175" s="15"/>
      <c r="Q175" s="15"/>
    </row>
    <row r="176" spans="1:17" ht="21" customHeight="1" thickTop="1">
      <c r="A176" s="656"/>
      <c r="B176" s="833" t="s">
        <v>752</v>
      </c>
      <c r="C176" s="834"/>
      <c r="D176" s="834"/>
      <c r="E176" s="834"/>
      <c r="F176" s="834"/>
      <c r="G176" s="834"/>
      <c r="H176" s="834"/>
      <c r="I176" s="834"/>
      <c r="J176" s="835"/>
      <c r="K176" s="662"/>
      <c r="L176" s="663"/>
      <c r="M176" s="34"/>
      <c r="N176" s="34"/>
      <c r="O176" s="34"/>
      <c r="P176" s="34"/>
      <c r="Q176" s="34"/>
    </row>
    <row r="177" spans="1:18" ht="16.5" customHeight="1" thickBot="1">
      <c r="A177" s="657"/>
      <c r="B177" s="836" t="s">
        <v>273</v>
      </c>
      <c r="C177" s="837"/>
      <c r="D177" s="837"/>
      <c r="E177" s="837"/>
      <c r="F177" s="837"/>
      <c r="G177" s="837"/>
      <c r="H177" s="837"/>
      <c r="I177" s="837"/>
      <c r="J177" s="838"/>
      <c r="K177" s="756"/>
      <c r="L177" s="757"/>
      <c r="M177" s="34"/>
      <c r="N177" s="34"/>
      <c r="O177" s="34"/>
      <c r="P177" s="34"/>
      <c r="Q177" s="34"/>
    </row>
    <row r="178" spans="1:18" ht="16.5" customHeight="1" thickTop="1" thickBot="1">
      <c r="A178" s="813" t="s">
        <v>152</v>
      </c>
      <c r="B178" s="814"/>
      <c r="C178" s="814"/>
      <c r="D178" s="814"/>
      <c r="E178" s="814"/>
      <c r="F178" s="814"/>
      <c r="G178" s="814"/>
      <c r="H178" s="814"/>
      <c r="I178" s="814"/>
      <c r="J178" s="814"/>
      <c r="K178" s="814"/>
      <c r="L178" s="814"/>
      <c r="M178" s="814"/>
      <c r="N178" s="814"/>
      <c r="O178" s="814"/>
      <c r="P178" s="814"/>
      <c r="Q178" s="814"/>
      <c r="R178" s="815"/>
    </row>
    <row r="179" spans="1:18" s="97" customFormat="1" ht="16.5" customHeight="1" thickTop="1">
      <c r="A179" s="455" t="s">
        <v>845</v>
      </c>
      <c r="B179" s="456"/>
      <c r="C179" s="456"/>
      <c r="D179" s="456"/>
      <c r="E179" s="456"/>
      <c r="F179" s="456"/>
      <c r="G179" s="456"/>
      <c r="H179" s="456"/>
      <c r="I179" s="456"/>
      <c r="J179" s="457"/>
      <c r="K179" s="768" t="s">
        <v>154</v>
      </c>
      <c r="L179" s="769"/>
      <c r="M179" s="768" t="s">
        <v>155</v>
      </c>
      <c r="N179" s="769"/>
      <c r="O179" s="768" t="s">
        <v>156</v>
      </c>
      <c r="P179" s="769"/>
      <c r="Q179" s="768" t="s">
        <v>153</v>
      </c>
      <c r="R179" s="769"/>
    </row>
    <row r="180" spans="1:18" s="97" customFormat="1" ht="16.5" customHeight="1" thickBot="1">
      <c r="A180" s="810"/>
      <c r="B180" s="811"/>
      <c r="C180" s="811"/>
      <c r="D180" s="811"/>
      <c r="E180" s="811"/>
      <c r="F180" s="811"/>
      <c r="G180" s="811"/>
      <c r="H180" s="811"/>
      <c r="I180" s="811"/>
      <c r="J180" s="812"/>
      <c r="K180" s="322" t="s">
        <v>157</v>
      </c>
      <c r="L180" s="323" t="s">
        <v>158</v>
      </c>
      <c r="M180" s="322" t="s">
        <v>157</v>
      </c>
      <c r="N180" s="323" t="s">
        <v>158</v>
      </c>
      <c r="O180" s="322" t="s">
        <v>157</v>
      </c>
      <c r="P180" s="323" t="s">
        <v>158</v>
      </c>
      <c r="Q180" s="370" t="s">
        <v>157</v>
      </c>
      <c r="R180" s="359" t="s">
        <v>158</v>
      </c>
    </row>
    <row r="181" spans="1:18" s="97" customFormat="1" ht="16.5" customHeight="1" thickBot="1">
      <c r="A181" s="810"/>
      <c r="B181" s="811"/>
      <c r="C181" s="811"/>
      <c r="D181" s="811"/>
      <c r="E181" s="811"/>
      <c r="F181" s="811"/>
      <c r="G181" s="811"/>
      <c r="H181" s="811"/>
      <c r="I181" s="811"/>
      <c r="J181" s="812"/>
      <c r="K181" s="156"/>
      <c r="L181" s="157"/>
      <c r="M181" s="156"/>
      <c r="N181" s="157"/>
      <c r="O181" s="156"/>
      <c r="P181" s="157"/>
      <c r="Q181" s="371"/>
      <c r="R181" s="360"/>
    </row>
    <row r="182" spans="1:18" s="97" customFormat="1" ht="16.5" customHeight="1" thickBot="1">
      <c r="A182" s="810"/>
      <c r="B182" s="811"/>
      <c r="C182" s="811"/>
      <c r="D182" s="811"/>
      <c r="E182" s="811"/>
      <c r="F182" s="811"/>
      <c r="G182" s="811"/>
      <c r="H182" s="811"/>
      <c r="I182" s="811"/>
      <c r="J182" s="812"/>
      <c r="K182" s="762" t="s">
        <v>805</v>
      </c>
      <c r="L182" s="763"/>
      <c r="M182" s="762" t="s">
        <v>805</v>
      </c>
      <c r="N182" s="763"/>
      <c r="O182" s="762" t="s">
        <v>805</v>
      </c>
      <c r="P182" s="763"/>
      <c r="Q182" s="764" t="s">
        <v>805</v>
      </c>
      <c r="R182" s="765"/>
    </row>
    <row r="183" spans="1:18" s="97" customFormat="1" ht="16.5" customHeight="1" thickTop="1" thickBot="1">
      <c r="A183" s="810"/>
      <c r="B183" s="811"/>
      <c r="C183" s="811"/>
      <c r="D183" s="811"/>
      <c r="E183" s="811"/>
      <c r="F183" s="811"/>
      <c r="G183" s="811"/>
      <c r="H183" s="811"/>
      <c r="I183" s="811"/>
      <c r="J183" s="812"/>
      <c r="K183" s="766"/>
      <c r="L183" s="767"/>
      <c r="M183" s="766"/>
      <c r="N183" s="767"/>
      <c r="O183" s="766"/>
      <c r="P183" s="767"/>
      <c r="Q183" s="770"/>
      <c r="R183" s="771"/>
    </row>
    <row r="184" spans="1:18" s="97" customFormat="1" ht="26.25" customHeight="1" thickTop="1" thickBot="1">
      <c r="A184" s="612" t="s">
        <v>159</v>
      </c>
      <c r="B184" s="612"/>
      <c r="C184" s="612"/>
      <c r="D184" s="612"/>
      <c r="E184" s="612"/>
      <c r="F184" s="612"/>
      <c r="G184" s="612"/>
      <c r="H184" s="612"/>
      <c r="I184" s="612"/>
      <c r="J184" s="612"/>
      <c r="K184" s="650"/>
      <c r="L184" s="650"/>
      <c r="M184" s="650"/>
      <c r="N184" s="650"/>
      <c r="O184" s="650"/>
      <c r="P184" s="650"/>
      <c r="Q184" s="761"/>
      <c r="R184" s="761"/>
    </row>
    <row r="185" spans="1:18" s="97" customFormat="1" ht="26.25" customHeight="1" thickTop="1" thickBot="1">
      <c r="A185" s="612" t="s">
        <v>160</v>
      </c>
      <c r="B185" s="612"/>
      <c r="C185" s="612"/>
      <c r="D185" s="612"/>
      <c r="E185" s="612"/>
      <c r="F185" s="612"/>
      <c r="G185" s="612"/>
      <c r="H185" s="612"/>
      <c r="I185" s="612"/>
      <c r="J185" s="612"/>
      <c r="K185" s="650"/>
      <c r="L185" s="650"/>
      <c r="M185" s="650"/>
      <c r="N185" s="650"/>
      <c r="O185" s="650"/>
      <c r="P185" s="650"/>
      <c r="Q185" s="761"/>
      <c r="R185" s="761"/>
    </row>
    <row r="186" spans="1:18" s="97" customFormat="1" ht="26.25" customHeight="1" thickTop="1" thickBot="1">
      <c r="A186" s="612" t="s">
        <v>161</v>
      </c>
      <c r="B186" s="612"/>
      <c r="C186" s="612"/>
      <c r="D186" s="612"/>
      <c r="E186" s="612"/>
      <c r="F186" s="612"/>
      <c r="G186" s="612"/>
      <c r="H186" s="612"/>
      <c r="I186" s="612"/>
      <c r="J186" s="612"/>
      <c r="K186" s="650"/>
      <c r="L186" s="650"/>
      <c r="M186" s="650"/>
      <c r="N186" s="650"/>
      <c r="O186" s="650"/>
      <c r="P186" s="650"/>
      <c r="Q186" s="761"/>
      <c r="R186" s="761"/>
    </row>
    <row r="187" spans="1:18" s="97" customFormat="1" ht="37.5" customHeight="1" thickTop="1" thickBot="1">
      <c r="A187" s="612" t="s">
        <v>162</v>
      </c>
      <c r="B187" s="612"/>
      <c r="C187" s="612"/>
      <c r="D187" s="612"/>
      <c r="E187" s="612"/>
      <c r="F187" s="612"/>
      <c r="G187" s="612"/>
      <c r="H187" s="612"/>
      <c r="I187" s="612"/>
      <c r="J187" s="612"/>
      <c r="K187" s="650"/>
      <c r="L187" s="650"/>
      <c r="M187" s="650"/>
      <c r="N187" s="650"/>
      <c r="O187" s="650"/>
      <c r="P187" s="650"/>
      <c r="Q187" s="761"/>
      <c r="R187" s="761"/>
    </row>
    <row r="188" spans="1:18" s="97" customFormat="1" ht="16.5" customHeight="1" thickTop="1" thickBot="1">
      <c r="A188" s="612" t="s">
        <v>163</v>
      </c>
      <c r="B188" s="612"/>
      <c r="C188" s="612"/>
      <c r="D188" s="612"/>
      <c r="E188" s="612"/>
      <c r="F188" s="612"/>
      <c r="G188" s="612"/>
      <c r="H188" s="612"/>
      <c r="I188" s="612"/>
      <c r="J188" s="612"/>
      <c r="K188" s="650"/>
      <c r="L188" s="650"/>
      <c r="M188" s="650"/>
      <c r="N188" s="650"/>
      <c r="O188" s="650"/>
      <c r="P188" s="650"/>
      <c r="Q188" s="761"/>
      <c r="R188" s="761"/>
    </row>
    <row r="189" spans="1:18" s="97" customFormat="1" ht="16.5" customHeight="1" thickTop="1" thickBot="1">
      <c r="A189" s="612" t="s">
        <v>164</v>
      </c>
      <c r="B189" s="612"/>
      <c r="C189" s="612"/>
      <c r="D189" s="612"/>
      <c r="E189" s="612"/>
      <c r="F189" s="612"/>
      <c r="G189" s="612"/>
      <c r="H189" s="612"/>
      <c r="I189" s="612"/>
      <c r="J189" s="612"/>
      <c r="K189" s="650"/>
      <c r="L189" s="650"/>
      <c r="M189" s="650"/>
      <c r="N189" s="650"/>
      <c r="O189" s="650"/>
      <c r="P189" s="650"/>
      <c r="Q189" s="761"/>
      <c r="R189" s="761"/>
    </row>
    <row r="190" spans="1:18" s="97" customFormat="1" ht="16.5" customHeight="1" thickTop="1" thickBot="1">
      <c r="A190" s="612" t="s">
        <v>165</v>
      </c>
      <c r="B190" s="612"/>
      <c r="C190" s="612"/>
      <c r="D190" s="612"/>
      <c r="E190" s="612"/>
      <c r="F190" s="612"/>
      <c r="G190" s="612"/>
      <c r="H190" s="612"/>
      <c r="I190" s="612"/>
      <c r="J190" s="612"/>
      <c r="K190" s="650"/>
      <c r="L190" s="650"/>
      <c r="M190" s="650"/>
      <c r="N190" s="650"/>
      <c r="O190" s="650"/>
      <c r="P190" s="650"/>
      <c r="Q190" s="761"/>
      <c r="R190" s="761"/>
    </row>
    <row r="191" spans="1:18" ht="69.75" customHeight="1" thickTop="1" thickBot="1">
      <c r="A191" s="612" t="s">
        <v>806</v>
      </c>
      <c r="B191" s="612"/>
      <c r="C191" s="612"/>
      <c r="D191" s="612"/>
      <c r="E191" s="612"/>
      <c r="F191" s="612"/>
      <c r="G191" s="612"/>
      <c r="H191" s="612"/>
      <c r="I191" s="612"/>
      <c r="J191" s="612"/>
      <c r="K191" s="650"/>
      <c r="L191" s="650"/>
      <c r="M191" s="650"/>
      <c r="N191" s="650"/>
      <c r="O191" s="650"/>
      <c r="P191" s="650"/>
      <c r="Q191" s="761"/>
      <c r="R191" s="761"/>
    </row>
    <row r="192" spans="1:18" ht="39" hidden="1" customHeight="1" thickTop="1" thickBot="1">
      <c r="K192" s="77" t="str">
        <f>IF(AND(COUNTBLANK(K181:L181) + COUNTBLANK(K184:K191) &gt; 0), "E", IF(COUNTIF(K184:K191, "N") &gt; 0, "N", IF(COUNTIF(K184:K191, "Y") &gt; 0, "Y", "E")))</f>
        <v>E</v>
      </c>
      <c r="M192" s="77" t="str">
        <f>IF(AND(COUNTBLANK(M181:N181)+COUNTBLANK(M184:M191)=10),"",IF(AND(COUNTBLANK(M181:N181)+COUNTBLANK(M184:M191)&gt;0),"E",IF(COUNTIF(M184:M191,"N")&gt;0,"N",IF(COUNTIF(M184:M191,"Y")&gt;0,"Y","E"))))</f>
        <v/>
      </c>
      <c r="O192" s="77" t="str">
        <f>IF(AND(COUNTBLANK(O181:P181)+COUNTBLANK(O184:O191)=10),"",IF(AND(COUNTBLANK(O181:P181)+COUNTBLANK(O184:O191)&gt;0),"E",IF(COUNTIF(O184:O191,"N")&gt;0,"N",IF(COUNTIF(O184:O191,"Y")&gt;0,"Y","E"))))</f>
        <v/>
      </c>
      <c r="Q192" s="77" t="str">
        <f>IF(AND(COUNTBLANK(Q181:R181)+COUNTBLANK(Q184:Q191)=10),"",IF(AND(COUNTBLANK(Q181:R181)+COUNTBLANK(Q184:Q191)&gt;0),"E",IF(COUNTIF(Q184:Q191,"N")&gt;0,"N",IF(COUNTIF(Q184:Q191,"Y")&gt;0,"Y","E"))))</f>
        <v/>
      </c>
    </row>
    <row r="193" spans="1:18" ht="33" customHeight="1" thickTop="1" thickBot="1">
      <c r="A193" s="671" t="s">
        <v>753</v>
      </c>
      <c r="B193" s="672"/>
      <c r="C193" s="672"/>
      <c r="D193" s="672"/>
      <c r="E193" s="672"/>
      <c r="F193" s="672"/>
      <c r="G193" s="672"/>
      <c r="H193" s="672"/>
      <c r="I193" s="672"/>
      <c r="J193" s="672"/>
      <c r="K193" s="622" t="str">
        <f>IF(Std6dot1NotCalc="","",IF(Std6dot1NotCalc="N","NA", IF(COUNTIF(K192:Q192, "E") &gt; 0, "", IF(COUNTIF(K192:Q192, "N") &gt; 0, "N", "Y"))))</f>
        <v/>
      </c>
      <c r="L193" s="623"/>
      <c r="N193" s="78"/>
      <c r="O193" s="12"/>
      <c r="P193" s="12"/>
      <c r="Q193" s="12"/>
    </row>
    <row r="194" spans="1:18" ht="48" customHeight="1" thickTop="1" thickBot="1">
      <c r="A194" s="655" t="s">
        <v>166</v>
      </c>
      <c r="B194" s="783" t="s">
        <v>813</v>
      </c>
      <c r="C194" s="831"/>
      <c r="D194" s="831"/>
      <c r="E194" s="831"/>
      <c r="F194" s="831"/>
      <c r="G194" s="831"/>
      <c r="H194" s="831"/>
      <c r="I194" s="831"/>
      <c r="J194" s="832"/>
      <c r="K194" s="624" t="s">
        <v>272</v>
      </c>
      <c r="L194" s="625"/>
      <c r="M194" s="53"/>
      <c r="N194" s="21"/>
      <c r="O194" s="21"/>
      <c r="P194" s="21"/>
      <c r="Q194" s="21"/>
    </row>
    <row r="195" spans="1:18" ht="19.5" customHeight="1" thickTop="1">
      <c r="A195" s="656"/>
      <c r="B195" s="833" t="s">
        <v>754</v>
      </c>
      <c r="C195" s="963"/>
      <c r="D195" s="963"/>
      <c r="E195" s="963"/>
      <c r="F195" s="963"/>
      <c r="G195" s="963"/>
      <c r="H195" s="963"/>
      <c r="I195" s="963"/>
      <c r="J195" s="964"/>
      <c r="K195" s="662"/>
      <c r="L195" s="663"/>
      <c r="M195" s="14"/>
      <c r="N195" s="21"/>
      <c r="O195" s="21"/>
      <c r="P195" s="21"/>
      <c r="Q195" s="21"/>
    </row>
    <row r="196" spans="1:18" ht="28.5" customHeight="1" thickBot="1">
      <c r="A196" s="658"/>
      <c r="B196" s="836" t="s">
        <v>771</v>
      </c>
      <c r="C196" s="837"/>
      <c r="D196" s="837"/>
      <c r="E196" s="837"/>
      <c r="F196" s="837"/>
      <c r="G196" s="837"/>
      <c r="H196" s="837"/>
      <c r="I196" s="837"/>
      <c r="J196" s="838"/>
      <c r="K196" s="666"/>
      <c r="L196" s="667"/>
      <c r="M196" s="14"/>
      <c r="N196" s="21"/>
      <c r="O196" s="21"/>
      <c r="P196" s="21"/>
      <c r="Q196" s="21"/>
    </row>
    <row r="197" spans="1:18" ht="16.5" customHeight="1" thickTop="1" thickBot="1">
      <c r="A197" s="749" t="s">
        <v>167</v>
      </c>
      <c r="B197" s="750"/>
      <c r="C197" s="750"/>
      <c r="D197" s="750"/>
      <c r="E197" s="750"/>
      <c r="F197" s="750"/>
      <c r="G197" s="750"/>
      <c r="H197" s="750"/>
      <c r="I197" s="750"/>
      <c r="J197" s="750"/>
      <c r="K197" s="862"/>
      <c r="L197" s="863"/>
      <c r="M197" s="20"/>
      <c r="N197" s="17"/>
      <c r="O197" s="17"/>
      <c r="P197" s="17"/>
      <c r="Q197" s="17"/>
    </row>
    <row r="198" spans="1:18" ht="17.25" customHeight="1" thickTop="1" thickBot="1">
      <c r="A198" s="847" t="s">
        <v>168</v>
      </c>
      <c r="B198" s="848"/>
      <c r="C198" s="848"/>
      <c r="D198" s="848"/>
      <c r="E198" s="848"/>
      <c r="F198" s="848"/>
      <c r="G198" s="848"/>
      <c r="H198" s="848"/>
      <c r="I198" s="848"/>
      <c r="J198" s="848"/>
      <c r="K198" s="776"/>
      <c r="L198" s="777"/>
      <c r="M198" s="25"/>
      <c r="N198" s="26"/>
      <c r="O198" s="28"/>
      <c r="P198" s="28"/>
      <c r="Q198" s="28"/>
    </row>
    <row r="199" spans="1:18" ht="26.25" customHeight="1" thickBot="1">
      <c r="A199" s="592" t="s">
        <v>755</v>
      </c>
      <c r="B199" s="593"/>
      <c r="C199" s="593"/>
      <c r="D199" s="593"/>
      <c r="E199" s="593"/>
      <c r="F199" s="593"/>
      <c r="G199" s="593"/>
      <c r="H199" s="593"/>
      <c r="I199" s="593"/>
      <c r="J199" s="593"/>
      <c r="K199" s="737"/>
      <c r="L199" s="621"/>
      <c r="M199" s="20"/>
      <c r="N199" s="17"/>
      <c r="O199" s="17"/>
      <c r="P199" s="17"/>
      <c r="Q199" s="17"/>
    </row>
    <row r="200" spans="1:18" ht="15.75" hidden="1" customHeight="1" thickBot="1">
      <c r="A200" s="592" t="s">
        <v>690</v>
      </c>
      <c r="B200" s="593"/>
      <c r="C200" s="593"/>
      <c r="D200" s="593"/>
      <c r="E200" s="593"/>
      <c r="F200" s="593"/>
      <c r="G200" s="593"/>
      <c r="H200" s="593"/>
      <c r="I200" s="593"/>
      <c r="J200" s="593"/>
      <c r="K200" s="993" t="s">
        <v>620</v>
      </c>
      <c r="L200" s="994"/>
      <c r="M200" s="20"/>
      <c r="N200" s="17"/>
      <c r="O200" s="17"/>
      <c r="P200" s="17"/>
      <c r="Q200" s="17"/>
    </row>
    <row r="201" spans="1:18" ht="15.75" hidden="1" customHeight="1" thickBot="1">
      <c r="A201" s="592" t="s">
        <v>169</v>
      </c>
      <c r="B201" s="593"/>
      <c r="C201" s="593"/>
      <c r="D201" s="593"/>
      <c r="E201" s="593"/>
      <c r="F201" s="593"/>
      <c r="G201" s="593"/>
      <c r="H201" s="593"/>
      <c r="I201" s="593"/>
      <c r="J201" s="593"/>
      <c r="K201" s="993" t="s">
        <v>620</v>
      </c>
      <c r="L201" s="994"/>
      <c r="M201" s="20"/>
      <c r="N201" s="17"/>
      <c r="O201" s="17"/>
      <c r="P201" s="17"/>
      <c r="Q201" s="17"/>
    </row>
    <row r="202" spans="1:18" ht="16.5" hidden="1" customHeight="1" thickBot="1">
      <c r="A202" s="592" t="s">
        <v>691</v>
      </c>
      <c r="B202" s="593"/>
      <c r="C202" s="593"/>
      <c r="D202" s="593"/>
      <c r="E202" s="593"/>
      <c r="F202" s="593"/>
      <c r="G202" s="593"/>
      <c r="H202" s="593"/>
      <c r="I202" s="593"/>
      <c r="J202" s="593"/>
      <c r="K202" s="995" t="s">
        <v>620</v>
      </c>
      <c r="L202" s="996"/>
      <c r="M202" s="25"/>
      <c r="N202" s="26"/>
      <c r="O202" s="28"/>
      <c r="P202" s="28"/>
      <c r="Q202" s="28"/>
    </row>
    <row r="203" spans="1:18" ht="32.25" customHeight="1" thickTop="1" thickBot="1">
      <c r="A203" s="671" t="s">
        <v>692</v>
      </c>
      <c r="B203" s="672"/>
      <c r="C203" s="672"/>
      <c r="D203" s="672"/>
      <c r="E203" s="672"/>
      <c r="F203" s="672"/>
      <c r="G203" s="672"/>
      <c r="H203" s="672"/>
      <c r="I203" s="672"/>
      <c r="J203" s="672"/>
      <c r="K203" s="622" t="str">
        <f>IF(Std6dot1NotCalc="N","NA",IF(Std6dot1NotCalc="Y",IF(Std6dot2NotCalc="","",IF(Std6dot2NotCalc="N","NA",IF(Std6dot2DateOfNoteOfXfer = "", "", IF(COUNTIF(K198:K202,"")&gt;0,"",IF(COUNTIF(K198:K202,"N")&gt;0,"N",IF(COUNTIF(K198:K199,"Y")=2,"Y","")))))),""))</f>
        <v/>
      </c>
      <c r="L203" s="623"/>
      <c r="M203" s="90"/>
      <c r="N203" s="15"/>
      <c r="O203" s="15"/>
      <c r="P203" s="15"/>
      <c r="Q203" s="15"/>
    </row>
    <row r="204" spans="1:18" s="343" customFormat="1" ht="18" customHeight="1" thickTop="1" thickBot="1">
      <c r="A204" s="697" t="s">
        <v>846</v>
      </c>
      <c r="B204" s="698"/>
      <c r="C204" s="698"/>
      <c r="D204" s="698"/>
      <c r="E204" s="698"/>
      <c r="F204" s="698"/>
      <c r="G204" s="698"/>
      <c r="H204" s="698"/>
      <c r="I204" s="698"/>
      <c r="J204" s="698"/>
      <c r="K204" s="698"/>
      <c r="L204" s="699"/>
      <c r="M204" s="35"/>
      <c r="N204" s="26"/>
      <c r="O204" s="26"/>
      <c r="P204" s="26"/>
      <c r="Q204" s="26"/>
      <c r="R204" s="354"/>
    </row>
    <row r="205" spans="1:18" s="343" customFormat="1" ht="48.75" customHeight="1" thickTop="1" thickBot="1">
      <c r="A205" s="855" t="s">
        <v>274</v>
      </c>
      <c r="B205" s="968" t="s">
        <v>847</v>
      </c>
      <c r="C205" s="969"/>
      <c r="D205" s="969"/>
      <c r="E205" s="969"/>
      <c r="F205" s="969"/>
      <c r="G205" s="969"/>
      <c r="H205" s="969"/>
      <c r="I205" s="969"/>
      <c r="J205" s="970"/>
      <c r="K205" s="971" t="s">
        <v>272</v>
      </c>
      <c r="L205" s="972"/>
      <c r="M205" s="35"/>
      <c r="N205" s="26"/>
      <c r="O205" s="26"/>
      <c r="P205" s="26"/>
      <c r="Q205" s="26"/>
      <c r="R205" s="354"/>
    </row>
    <row r="206" spans="1:18" ht="15.75" customHeight="1" thickTop="1">
      <c r="A206" s="856"/>
      <c r="B206" s="728" t="s">
        <v>756</v>
      </c>
      <c r="C206" s="729"/>
      <c r="D206" s="729"/>
      <c r="E206" s="729"/>
      <c r="F206" s="729"/>
      <c r="G206" s="729"/>
      <c r="H206" s="729"/>
      <c r="I206" s="729"/>
      <c r="J206" s="730"/>
      <c r="K206" s="1004"/>
      <c r="L206" s="1005"/>
      <c r="M206" s="35"/>
      <c r="N206" s="26"/>
      <c r="O206" s="26"/>
      <c r="P206" s="26"/>
      <c r="Q206" s="26"/>
    </row>
    <row r="207" spans="1:18" ht="14.25" customHeight="1" thickBot="1">
      <c r="A207" s="856"/>
      <c r="B207" s="857" t="s">
        <v>848</v>
      </c>
      <c r="C207" s="858"/>
      <c r="D207" s="858"/>
      <c r="E207" s="858"/>
      <c r="F207" s="858"/>
      <c r="G207" s="858"/>
      <c r="H207" s="858"/>
      <c r="I207" s="858"/>
      <c r="J207" s="858"/>
      <c r="K207" s="1006"/>
      <c r="L207" s="1007"/>
      <c r="M207" s="35"/>
      <c r="N207" s="26"/>
      <c r="O207" s="26"/>
      <c r="P207" s="26"/>
      <c r="Q207" s="26"/>
    </row>
    <row r="208" spans="1:18" ht="16.5" customHeight="1" thickTop="1" thickBot="1">
      <c r="A208" s="859" t="s">
        <v>849</v>
      </c>
      <c r="B208" s="860"/>
      <c r="C208" s="860"/>
      <c r="D208" s="860"/>
      <c r="E208" s="860"/>
      <c r="F208" s="860"/>
      <c r="G208" s="860"/>
      <c r="H208" s="860"/>
      <c r="I208" s="860"/>
      <c r="J208" s="860"/>
      <c r="K208" s="860"/>
      <c r="L208" s="861"/>
      <c r="M208" s="35"/>
      <c r="N208" s="26"/>
      <c r="O208" s="26"/>
      <c r="P208" s="26"/>
      <c r="Q208" s="26"/>
    </row>
    <row r="209" spans="1:18" s="343" customFormat="1" ht="26.25" customHeight="1" thickTop="1">
      <c r="A209" s="719" t="s">
        <v>617</v>
      </c>
      <c r="B209" s="850"/>
      <c r="C209" s="850"/>
      <c r="D209" s="850"/>
      <c r="E209" s="850"/>
      <c r="F209" s="850"/>
      <c r="G209" s="850"/>
      <c r="H209" s="850"/>
      <c r="I209" s="850"/>
      <c r="J209" s="850"/>
      <c r="K209" s="850"/>
      <c r="L209" s="851"/>
      <c r="M209" s="35"/>
      <c r="N209" s="26"/>
      <c r="O209" s="26"/>
      <c r="P209" s="26"/>
      <c r="Q209" s="26"/>
      <c r="R209" s="354"/>
    </row>
    <row r="210" spans="1:18" s="343" customFormat="1" ht="16.5" hidden="1" customHeight="1">
      <c r="A210" s="613" t="s">
        <v>807</v>
      </c>
      <c r="B210" s="614"/>
      <c r="C210" s="614"/>
      <c r="D210" s="614"/>
      <c r="E210" s="614"/>
      <c r="F210" s="614"/>
      <c r="G210" s="614"/>
      <c r="H210" s="614"/>
      <c r="I210" s="614"/>
      <c r="J210" s="614"/>
      <c r="K210" s="614"/>
      <c r="L210" s="615"/>
      <c r="M210" s="35"/>
      <c r="N210" s="26"/>
      <c r="O210" s="26"/>
      <c r="P210" s="26"/>
      <c r="Q210" s="26"/>
      <c r="R210" s="354"/>
    </row>
    <row r="211" spans="1:18" s="343" customFormat="1" ht="16.5" hidden="1" customHeight="1">
      <c r="A211" s="871" t="s">
        <v>618</v>
      </c>
      <c r="B211" s="872"/>
      <c r="C211" s="872"/>
      <c r="D211" s="872"/>
      <c r="E211" s="872"/>
      <c r="F211" s="872"/>
      <c r="G211" s="872"/>
      <c r="H211" s="872"/>
      <c r="I211" s="872"/>
      <c r="J211" s="872"/>
      <c r="K211" s="872"/>
      <c r="L211" s="873"/>
      <c r="M211" s="35"/>
      <c r="N211" s="26"/>
      <c r="O211" s="26"/>
      <c r="P211" s="26"/>
      <c r="Q211" s="26"/>
      <c r="R211" s="354"/>
    </row>
    <row r="212" spans="1:18" s="343" customFormat="1" ht="15.75">
      <c r="A212" s="613" t="s">
        <v>850</v>
      </c>
      <c r="B212" s="614"/>
      <c r="C212" s="614"/>
      <c r="D212" s="614"/>
      <c r="E212" s="614"/>
      <c r="F212" s="614"/>
      <c r="G212" s="614"/>
      <c r="H212" s="614"/>
      <c r="I212" s="614"/>
      <c r="J212" s="614"/>
      <c r="K212" s="614"/>
      <c r="L212" s="615"/>
      <c r="M212" s="35"/>
      <c r="N212" s="26"/>
      <c r="O212" s="26"/>
      <c r="P212" s="26"/>
      <c r="Q212" s="26"/>
      <c r="R212" s="354"/>
    </row>
    <row r="213" spans="1:18" s="343" customFormat="1" ht="26.25" hidden="1" customHeight="1">
      <c r="A213" s="613" t="s">
        <v>170</v>
      </c>
      <c r="B213" s="614"/>
      <c r="C213" s="614"/>
      <c r="D213" s="614"/>
      <c r="E213" s="614"/>
      <c r="F213" s="614"/>
      <c r="G213" s="614"/>
      <c r="H213" s="614"/>
      <c r="I213" s="614"/>
      <c r="J213" s="614"/>
      <c r="K213" s="614"/>
      <c r="L213" s="615"/>
      <c r="M213" s="35"/>
      <c r="N213" s="26"/>
      <c r="O213" s="26"/>
      <c r="P213" s="26"/>
      <c r="Q213" s="26"/>
      <c r="R213" s="354"/>
    </row>
    <row r="214" spans="1:18" s="343" customFormat="1" ht="16.5" hidden="1" customHeight="1">
      <c r="A214" s="684" t="s">
        <v>171</v>
      </c>
      <c r="B214" s="685"/>
      <c r="C214" s="685"/>
      <c r="D214" s="685"/>
      <c r="E214" s="685"/>
      <c r="F214" s="685"/>
      <c r="G214" s="685"/>
      <c r="H214" s="685"/>
      <c r="I214" s="685"/>
      <c r="J214" s="685"/>
      <c r="K214" s="685"/>
      <c r="L214" s="686"/>
      <c r="M214" s="35"/>
      <c r="N214" s="26"/>
      <c r="O214" s="26"/>
      <c r="P214" s="26"/>
      <c r="Q214" s="26"/>
      <c r="R214" s="354"/>
    </row>
    <row r="215" spans="1:18" s="343" customFormat="1" ht="16.5" customHeight="1">
      <c r="A215" s="613" t="s">
        <v>851</v>
      </c>
      <c r="B215" s="614"/>
      <c r="C215" s="614"/>
      <c r="D215" s="614"/>
      <c r="E215" s="614"/>
      <c r="F215" s="614"/>
      <c r="G215" s="614"/>
      <c r="H215" s="614"/>
      <c r="I215" s="614"/>
      <c r="J215" s="614"/>
      <c r="K215" s="614"/>
      <c r="L215" s="615"/>
      <c r="M215" s="35"/>
      <c r="N215" s="26"/>
      <c r="O215" s="26"/>
      <c r="P215" s="26"/>
      <c r="Q215" s="26"/>
      <c r="R215" s="354"/>
    </row>
    <row r="216" spans="1:18" s="343" customFormat="1" ht="26.25" hidden="1" customHeight="1">
      <c r="A216" s="684" t="s">
        <v>172</v>
      </c>
      <c r="B216" s="685"/>
      <c r="C216" s="685"/>
      <c r="D216" s="685"/>
      <c r="E216" s="685"/>
      <c r="F216" s="685"/>
      <c r="G216" s="685"/>
      <c r="H216" s="685"/>
      <c r="I216" s="685"/>
      <c r="J216" s="685"/>
      <c r="K216" s="685"/>
      <c r="L216" s="686"/>
      <c r="M216" s="35"/>
      <c r="N216" s="26"/>
      <c r="O216" s="26"/>
      <c r="P216" s="26"/>
      <c r="Q216" s="26"/>
      <c r="R216" s="354"/>
    </row>
    <row r="217" spans="1:18" s="343" customFormat="1" ht="26.25" hidden="1" customHeight="1">
      <c r="A217" s="684" t="s">
        <v>173</v>
      </c>
      <c r="B217" s="685"/>
      <c r="C217" s="685"/>
      <c r="D217" s="685"/>
      <c r="E217" s="685"/>
      <c r="F217" s="685"/>
      <c r="G217" s="685"/>
      <c r="H217" s="685"/>
      <c r="I217" s="685"/>
      <c r="J217" s="685"/>
      <c r="K217" s="685"/>
      <c r="L217" s="686"/>
      <c r="M217" s="35"/>
      <c r="N217" s="26"/>
      <c r="O217" s="26"/>
      <c r="P217" s="26"/>
      <c r="Q217" s="26"/>
      <c r="R217" s="354"/>
    </row>
    <row r="218" spans="1:18" s="343" customFormat="1" ht="16.5" hidden="1" customHeight="1">
      <c r="A218" s="613" t="s">
        <v>772</v>
      </c>
      <c r="B218" s="614"/>
      <c r="C218" s="614"/>
      <c r="D218" s="614"/>
      <c r="E218" s="614"/>
      <c r="F218" s="614"/>
      <c r="G218" s="614"/>
      <c r="H218" s="614"/>
      <c r="I218" s="614"/>
      <c r="J218" s="614"/>
      <c r="K218" s="614"/>
      <c r="L218" s="615"/>
      <c r="M218" s="35"/>
      <c r="N218" s="26"/>
      <c r="O218" s="26"/>
      <c r="P218" s="26"/>
      <c r="Q218" s="26"/>
      <c r="R218" s="354"/>
    </row>
    <row r="219" spans="1:18" s="343" customFormat="1" ht="29.25" customHeight="1">
      <c r="A219" s="613" t="s">
        <v>852</v>
      </c>
      <c r="B219" s="614"/>
      <c r="C219" s="614"/>
      <c r="D219" s="614"/>
      <c r="E219" s="614"/>
      <c r="F219" s="614"/>
      <c r="G219" s="614"/>
      <c r="H219" s="614"/>
      <c r="I219" s="614"/>
      <c r="J219" s="614"/>
      <c r="K219" s="614"/>
      <c r="L219" s="615"/>
      <c r="M219" s="35"/>
      <c r="N219" s="26"/>
      <c r="O219" s="26"/>
      <c r="P219" s="26"/>
      <c r="Q219" s="26"/>
      <c r="R219" s="354"/>
    </row>
    <row r="220" spans="1:18" s="343" customFormat="1" ht="26.25" hidden="1" customHeight="1">
      <c r="A220" s="744" t="s">
        <v>757</v>
      </c>
      <c r="B220" s="745"/>
      <c r="C220" s="745"/>
      <c r="D220" s="745"/>
      <c r="E220" s="745"/>
      <c r="F220" s="745"/>
      <c r="G220" s="745"/>
      <c r="H220" s="745"/>
      <c r="I220" s="745"/>
      <c r="J220" s="745"/>
      <c r="K220" s="745"/>
      <c r="L220" s="746"/>
      <c r="M220" s="35"/>
      <c r="N220" s="26"/>
      <c r="O220" s="26"/>
      <c r="P220" s="26"/>
      <c r="Q220" s="26"/>
      <c r="R220" s="354"/>
    </row>
    <row r="221" spans="1:18" s="343" customFormat="1" ht="16.5" customHeight="1">
      <c r="A221" s="744" t="s">
        <v>174</v>
      </c>
      <c r="B221" s="745"/>
      <c r="C221" s="745"/>
      <c r="D221" s="745"/>
      <c r="E221" s="745"/>
      <c r="F221" s="745"/>
      <c r="G221" s="745"/>
      <c r="H221" s="745"/>
      <c r="I221" s="745"/>
      <c r="J221" s="745"/>
      <c r="K221" s="745"/>
      <c r="L221" s="746"/>
      <c r="M221" s="35"/>
      <c r="N221" s="26"/>
      <c r="O221" s="26"/>
      <c r="P221" s="26"/>
      <c r="Q221" s="26"/>
      <c r="R221" s="354"/>
    </row>
    <row r="222" spans="1:18" s="343" customFormat="1" ht="16.5" customHeight="1">
      <c r="A222" s="744" t="s">
        <v>175</v>
      </c>
      <c r="B222" s="745"/>
      <c r="C222" s="745"/>
      <c r="D222" s="745"/>
      <c r="E222" s="745"/>
      <c r="F222" s="745"/>
      <c r="G222" s="745"/>
      <c r="H222" s="745"/>
      <c r="I222" s="745"/>
      <c r="J222" s="745"/>
      <c r="K222" s="745"/>
      <c r="L222" s="746"/>
      <c r="M222" s="35"/>
      <c r="N222" s="26"/>
      <c r="O222" s="26"/>
      <c r="P222" s="26"/>
      <c r="Q222" s="26"/>
      <c r="R222" s="354"/>
    </row>
    <row r="223" spans="1:18" s="343" customFormat="1" ht="16.5" customHeight="1">
      <c r="A223" s="741" t="s">
        <v>853</v>
      </c>
      <c r="B223" s="742"/>
      <c r="C223" s="742"/>
      <c r="D223" s="742"/>
      <c r="E223" s="742"/>
      <c r="F223" s="742"/>
      <c r="G223" s="742"/>
      <c r="H223" s="742"/>
      <c r="I223" s="742"/>
      <c r="J223" s="742"/>
      <c r="K223" s="742"/>
      <c r="L223" s="743"/>
      <c r="M223" s="35"/>
      <c r="N223" s="26"/>
      <c r="O223" s="26"/>
      <c r="P223" s="26"/>
      <c r="Q223" s="26"/>
      <c r="R223" s="354"/>
    </row>
    <row r="224" spans="1:18" s="343" customFormat="1" ht="16.5" customHeight="1">
      <c r="A224" s="744" t="s">
        <v>174</v>
      </c>
      <c r="B224" s="745"/>
      <c r="C224" s="745"/>
      <c r="D224" s="745"/>
      <c r="E224" s="745"/>
      <c r="F224" s="745"/>
      <c r="G224" s="745"/>
      <c r="H224" s="745"/>
      <c r="I224" s="745"/>
      <c r="J224" s="745"/>
      <c r="K224" s="745"/>
      <c r="L224" s="746"/>
      <c r="M224" s="35"/>
      <c r="N224" s="26"/>
      <c r="O224" s="26"/>
      <c r="P224" s="26"/>
      <c r="Q224" s="26"/>
      <c r="R224" s="354"/>
    </row>
    <row r="225" spans="1:18" s="343" customFormat="1" ht="28.5" customHeight="1" thickBot="1">
      <c r="A225" s="738" t="s">
        <v>864</v>
      </c>
      <c r="B225" s="739"/>
      <c r="C225" s="739"/>
      <c r="D225" s="739"/>
      <c r="E225" s="739"/>
      <c r="F225" s="739"/>
      <c r="G225" s="739"/>
      <c r="H225" s="739"/>
      <c r="I225" s="739"/>
      <c r="J225" s="739"/>
      <c r="K225" s="739"/>
      <c r="L225" s="740"/>
      <c r="M225" s="35"/>
      <c r="N225" s="26"/>
      <c r="O225" s="26"/>
      <c r="P225" s="26"/>
      <c r="Q225" s="26"/>
      <c r="R225" s="354"/>
    </row>
    <row r="226" spans="1:18" s="343" customFormat="1" ht="16.5" customHeight="1" thickTop="1">
      <c r="A226" s="636" t="s">
        <v>23</v>
      </c>
      <c r="B226" s="637"/>
      <c r="C226" s="637"/>
      <c r="D226" s="637"/>
      <c r="E226" s="1048" t="s">
        <v>24</v>
      </c>
      <c r="F226" s="1049"/>
      <c r="G226" s="1050"/>
      <c r="H226" s="974" t="s">
        <v>25</v>
      </c>
      <c r="I226" s="973"/>
      <c r="J226" s="637" t="s">
        <v>26</v>
      </c>
      <c r="K226" s="973"/>
      <c r="L226" s="707" t="s">
        <v>48</v>
      </c>
      <c r="M226" s="708"/>
      <c r="N226" s="54"/>
      <c r="O226" s="55"/>
      <c r="P226" s="26"/>
      <c r="Q226" s="26"/>
      <c r="R226" s="354"/>
    </row>
    <row r="227" spans="1:18" s="107" customFormat="1" ht="16.5" customHeight="1">
      <c r="A227" s="467" t="s">
        <v>176</v>
      </c>
      <c r="B227" s="468"/>
      <c r="C227" s="468"/>
      <c r="D227" s="468"/>
      <c r="E227" s="1051" t="s">
        <v>792</v>
      </c>
      <c r="F227" s="1052"/>
      <c r="G227" s="1053"/>
      <c r="H227" s="1051" t="s">
        <v>854</v>
      </c>
      <c r="I227" s="1056"/>
      <c r="J227" s="1051" t="s">
        <v>855</v>
      </c>
      <c r="K227" s="1060"/>
      <c r="L227" s="468" t="s">
        <v>773</v>
      </c>
      <c r="M227" s="1062"/>
      <c r="N227" s="26"/>
      <c r="O227" s="26"/>
      <c r="P227" s="26"/>
      <c r="Q227" s="26"/>
      <c r="R227" s="366"/>
    </row>
    <row r="228" spans="1:18" s="343" customFormat="1" ht="16.5" customHeight="1">
      <c r="A228" s="467"/>
      <c r="B228" s="468"/>
      <c r="C228" s="468"/>
      <c r="D228" s="468"/>
      <c r="E228" s="1051"/>
      <c r="F228" s="1052"/>
      <c r="G228" s="1053"/>
      <c r="H228" s="1057"/>
      <c r="I228" s="1056"/>
      <c r="J228" s="1057"/>
      <c r="K228" s="1060"/>
      <c r="L228" s="1056"/>
      <c r="M228" s="1062"/>
      <c r="N228" s="26"/>
      <c r="O228" s="26"/>
      <c r="P228" s="26"/>
      <c r="Q228" s="26"/>
      <c r="R228" s="354"/>
    </row>
    <row r="229" spans="1:18" s="343" customFormat="1" ht="16.5" customHeight="1">
      <c r="A229" s="467"/>
      <c r="B229" s="468"/>
      <c r="C229" s="468"/>
      <c r="D229" s="468"/>
      <c r="E229" s="1051"/>
      <c r="F229" s="1052"/>
      <c r="G229" s="1053"/>
      <c r="H229" s="1057"/>
      <c r="I229" s="1056"/>
      <c r="J229" s="1057"/>
      <c r="K229" s="1060"/>
      <c r="L229" s="1056"/>
      <c r="M229" s="1062"/>
      <c r="N229" s="26"/>
      <c r="O229" s="26"/>
      <c r="P229" s="26"/>
      <c r="Q229" s="26"/>
      <c r="R229" s="354"/>
    </row>
    <row r="230" spans="1:18" s="343" customFormat="1" ht="16.5" hidden="1" customHeight="1" thickBot="1">
      <c r="A230" s="467"/>
      <c r="B230" s="468"/>
      <c r="C230" s="468"/>
      <c r="D230" s="468"/>
      <c r="E230" s="1051"/>
      <c r="F230" s="1052"/>
      <c r="G230" s="1053"/>
      <c r="H230" s="1057"/>
      <c r="I230" s="1056"/>
      <c r="J230" s="1057"/>
      <c r="K230" s="1060"/>
      <c r="L230" s="1056"/>
      <c r="M230" s="1062"/>
      <c r="N230" s="26"/>
      <c r="O230" s="26"/>
      <c r="P230" s="26"/>
      <c r="Q230" s="26"/>
      <c r="R230" s="354"/>
    </row>
    <row r="231" spans="1:18" s="343" customFormat="1" ht="16.5" hidden="1" customHeight="1">
      <c r="A231" s="467"/>
      <c r="B231" s="468"/>
      <c r="C231" s="468"/>
      <c r="D231" s="468"/>
      <c r="E231" s="1051"/>
      <c r="F231" s="1052"/>
      <c r="G231" s="1053"/>
      <c r="H231" s="1057"/>
      <c r="I231" s="1056"/>
      <c r="J231" s="1057"/>
      <c r="K231" s="1060"/>
      <c r="L231" s="1056"/>
      <c r="M231" s="1062"/>
      <c r="N231" s="26"/>
      <c r="O231" s="26"/>
      <c r="P231" s="26"/>
      <c r="Q231" s="26"/>
      <c r="R231" s="354"/>
    </row>
    <row r="232" spans="1:18" s="343" customFormat="1" ht="16.5" hidden="1" customHeight="1">
      <c r="A232" s="467"/>
      <c r="B232" s="468"/>
      <c r="C232" s="468"/>
      <c r="D232" s="468"/>
      <c r="E232" s="1051"/>
      <c r="F232" s="1052"/>
      <c r="G232" s="1053"/>
      <c r="H232" s="1057"/>
      <c r="I232" s="1056"/>
      <c r="J232" s="1057"/>
      <c r="K232" s="1060"/>
      <c r="L232" s="1056"/>
      <c r="M232" s="1062"/>
      <c r="N232" s="26"/>
      <c r="O232" s="26"/>
      <c r="P232" s="26"/>
      <c r="Q232" s="26"/>
      <c r="R232" s="354"/>
    </row>
    <row r="233" spans="1:18" s="343" customFormat="1" ht="16.5" hidden="1" customHeight="1">
      <c r="A233" s="467"/>
      <c r="B233" s="468"/>
      <c r="C233" s="468"/>
      <c r="D233" s="468"/>
      <c r="E233" s="1051"/>
      <c r="F233" s="1052"/>
      <c r="G233" s="1053"/>
      <c r="H233" s="1057"/>
      <c r="I233" s="1056"/>
      <c r="J233" s="1057"/>
      <c r="K233" s="1060"/>
      <c r="L233" s="1056"/>
      <c r="M233" s="1062"/>
      <c r="N233" s="26"/>
      <c r="O233" s="26"/>
      <c r="P233" s="26"/>
      <c r="Q233" s="26"/>
      <c r="R233" s="354"/>
    </row>
    <row r="234" spans="1:18" s="343" customFormat="1" ht="16.5" hidden="1" customHeight="1">
      <c r="A234" s="467"/>
      <c r="B234" s="468"/>
      <c r="C234" s="468"/>
      <c r="D234" s="468"/>
      <c r="E234" s="1051"/>
      <c r="F234" s="1052"/>
      <c r="G234" s="1053"/>
      <c r="H234" s="1057"/>
      <c r="I234" s="1056"/>
      <c r="J234" s="1057"/>
      <c r="K234" s="1060"/>
      <c r="L234" s="1056"/>
      <c r="M234" s="1062"/>
      <c r="N234" s="26"/>
      <c r="O234" s="26"/>
      <c r="P234" s="26"/>
      <c r="Q234" s="26"/>
      <c r="R234" s="354"/>
    </row>
    <row r="235" spans="1:18" s="343" customFormat="1" ht="16.5" hidden="1" customHeight="1">
      <c r="A235" s="467"/>
      <c r="B235" s="468"/>
      <c r="C235" s="468"/>
      <c r="D235" s="468"/>
      <c r="E235" s="1051"/>
      <c r="F235" s="1052"/>
      <c r="G235" s="1053"/>
      <c r="H235" s="1057"/>
      <c r="I235" s="1056"/>
      <c r="J235" s="1057"/>
      <c r="K235" s="1060"/>
      <c r="L235" s="1056"/>
      <c r="M235" s="1062"/>
      <c r="N235" s="26"/>
      <c r="O235" s="26"/>
      <c r="P235" s="26"/>
      <c r="Q235" s="26"/>
      <c r="R235" s="354"/>
    </row>
    <row r="236" spans="1:18" s="343" customFormat="1" ht="16.5" hidden="1" customHeight="1">
      <c r="A236" s="467"/>
      <c r="B236" s="468"/>
      <c r="C236" s="468"/>
      <c r="D236" s="468"/>
      <c r="E236" s="1051"/>
      <c r="F236" s="1052"/>
      <c r="G236" s="1053"/>
      <c r="H236" s="1057"/>
      <c r="I236" s="1056"/>
      <c r="J236" s="1057"/>
      <c r="K236" s="1060"/>
      <c r="L236" s="1056"/>
      <c r="M236" s="1062"/>
      <c r="N236" s="26"/>
      <c r="O236" s="26"/>
      <c r="P236" s="26"/>
      <c r="Q236" s="26"/>
      <c r="R236" s="354"/>
    </row>
    <row r="237" spans="1:18" s="343" customFormat="1" ht="16.5" hidden="1" customHeight="1">
      <c r="A237" s="467"/>
      <c r="B237" s="468"/>
      <c r="C237" s="468"/>
      <c r="D237" s="468"/>
      <c r="E237" s="1051"/>
      <c r="F237" s="1052"/>
      <c r="G237" s="1053"/>
      <c r="H237" s="1057"/>
      <c r="I237" s="1056"/>
      <c r="J237" s="1057"/>
      <c r="K237" s="1060"/>
      <c r="L237" s="1056"/>
      <c r="M237" s="1062"/>
      <c r="N237" s="26"/>
      <c r="O237" s="26"/>
      <c r="P237" s="26"/>
      <c r="Q237" s="26"/>
      <c r="R237" s="354"/>
    </row>
    <row r="238" spans="1:18" s="343" customFormat="1" ht="15.75" customHeight="1" thickBot="1">
      <c r="A238" s="852" t="s">
        <v>41</v>
      </c>
      <c r="B238" s="853"/>
      <c r="C238" s="853" t="s">
        <v>42</v>
      </c>
      <c r="D238" s="854"/>
      <c r="E238" s="713"/>
      <c r="F238" s="1054"/>
      <c r="G238" s="1055"/>
      <c r="H238" s="1058"/>
      <c r="I238" s="1059"/>
      <c r="J238" s="1058"/>
      <c r="K238" s="1061"/>
      <c r="L238" s="1059"/>
      <c r="M238" s="1063"/>
      <c r="N238" s="26"/>
      <c r="O238" s="26"/>
      <c r="P238" s="26"/>
      <c r="Q238" s="26"/>
      <c r="R238" s="354"/>
    </row>
    <row r="239" spans="1:18" s="343" customFormat="1" ht="15.75" customHeight="1" thickBot="1">
      <c r="A239" s="864"/>
      <c r="B239" s="865"/>
      <c r="C239" s="865"/>
      <c r="D239" s="865"/>
      <c r="E239" s="975"/>
      <c r="F239" s="976"/>
      <c r="G239" s="977"/>
      <c r="H239" s="620"/>
      <c r="I239" s="724"/>
      <c r="J239" s="620"/>
      <c r="K239" s="724"/>
      <c r="L239" s="620"/>
      <c r="M239" s="621"/>
      <c r="N239" s="26"/>
      <c r="O239" s="353" t="str">
        <f>IF(AND(A239="",C239="",E239="",H239=""),"",IF(OR(A239="",C239="",E239="",H239=""),"E",H239))</f>
        <v/>
      </c>
      <c r="P239" s="353" t="str">
        <f>IF(AND(A239="",C239="",E239="",J239="",L239=""),"",IF(OR(A239="",C239="",E239="",J239="",L239=""),"E",IF(COUNTIF(J239:M239,"N")&gt;0,"N",IF(COUNTIF(J239:M239,"NA")=2,"NA","Y"))))</f>
        <v/>
      </c>
      <c r="Q239" s="26"/>
      <c r="R239" s="354"/>
    </row>
    <row r="240" spans="1:18" s="343" customFormat="1" ht="15.75" customHeight="1" thickBot="1">
      <c r="A240" s="864"/>
      <c r="B240" s="865"/>
      <c r="C240" s="865"/>
      <c r="D240" s="865"/>
      <c r="E240" s="975"/>
      <c r="F240" s="976"/>
      <c r="G240" s="977"/>
      <c r="H240" s="620"/>
      <c r="I240" s="724"/>
      <c r="J240" s="620"/>
      <c r="K240" s="724"/>
      <c r="L240" s="620"/>
      <c r="M240" s="621"/>
      <c r="N240" s="26"/>
      <c r="O240" s="353" t="str">
        <f t="shared" ref="O240:O258" si="14">IF(AND(A240="",C240="",E240="",H240=""),"",IF(OR(A240="",C240="",E240="",H240=""),"E",H240))</f>
        <v/>
      </c>
      <c r="P240" s="353" t="str">
        <f t="shared" ref="P240:P258" si="15">IF(AND(A240="",C240="",E240="",J240="",L240=""),"",IF(OR(A240="",C240="",E240="",J240="",L240=""),"E",IF(COUNTIF(J240:M240,"N")&gt;0,"N",IF(COUNTIF(J240:M240,"NA")=2,"NA","Y"))))</f>
        <v/>
      </c>
      <c r="Q240" s="26"/>
      <c r="R240" s="354"/>
    </row>
    <row r="241" spans="1:18" s="343" customFormat="1" ht="15.75" customHeight="1" thickBot="1">
      <c r="A241" s="864"/>
      <c r="B241" s="865"/>
      <c r="C241" s="865"/>
      <c r="D241" s="865"/>
      <c r="E241" s="975"/>
      <c r="F241" s="976"/>
      <c r="G241" s="977"/>
      <c r="H241" s="620"/>
      <c r="I241" s="1013"/>
      <c r="J241" s="620"/>
      <c r="K241" s="1013"/>
      <c r="L241" s="620"/>
      <c r="M241" s="1067"/>
      <c r="N241" s="26"/>
      <c r="O241" s="353" t="str">
        <f t="shared" si="14"/>
        <v/>
      </c>
      <c r="P241" s="353" t="str">
        <f t="shared" si="15"/>
        <v/>
      </c>
      <c r="Q241" s="26"/>
      <c r="R241" s="354"/>
    </row>
    <row r="242" spans="1:18" s="343" customFormat="1" ht="15.75" customHeight="1" thickBot="1">
      <c r="A242" s="864"/>
      <c r="B242" s="865"/>
      <c r="C242" s="865"/>
      <c r="D242" s="865"/>
      <c r="E242" s="975"/>
      <c r="F242" s="976"/>
      <c r="G242" s="977"/>
      <c r="H242" s="620"/>
      <c r="I242" s="1013"/>
      <c r="J242" s="620"/>
      <c r="K242" s="1013"/>
      <c r="L242" s="620"/>
      <c r="M242" s="1067"/>
      <c r="N242" s="26"/>
      <c r="O242" s="353" t="str">
        <f t="shared" si="14"/>
        <v/>
      </c>
      <c r="P242" s="353" t="str">
        <f t="shared" si="15"/>
        <v/>
      </c>
      <c r="Q242" s="26"/>
      <c r="R242" s="354"/>
    </row>
    <row r="243" spans="1:18" s="343" customFormat="1" ht="15.75" customHeight="1" thickBot="1">
      <c r="A243" s="864"/>
      <c r="B243" s="865"/>
      <c r="C243" s="865"/>
      <c r="D243" s="865"/>
      <c r="E243" s="975"/>
      <c r="F243" s="976"/>
      <c r="G243" s="977"/>
      <c r="H243" s="620"/>
      <c r="I243" s="1013"/>
      <c r="J243" s="620"/>
      <c r="K243" s="1013"/>
      <c r="L243" s="620"/>
      <c r="M243" s="1067"/>
      <c r="N243" s="26"/>
      <c r="O243" s="353" t="str">
        <f t="shared" si="14"/>
        <v/>
      </c>
      <c r="P243" s="353" t="str">
        <f t="shared" si="15"/>
        <v/>
      </c>
      <c r="Q243" s="26"/>
      <c r="R243" s="354"/>
    </row>
    <row r="244" spans="1:18" s="343" customFormat="1" ht="15.75" customHeight="1" thickBot="1">
      <c r="A244" s="864"/>
      <c r="B244" s="865"/>
      <c r="C244" s="865"/>
      <c r="D244" s="865"/>
      <c r="E244" s="975"/>
      <c r="F244" s="976"/>
      <c r="G244" s="977"/>
      <c r="H244" s="620"/>
      <c r="I244" s="1013"/>
      <c r="J244" s="620"/>
      <c r="K244" s="1013"/>
      <c r="L244" s="620"/>
      <c r="M244" s="1067"/>
      <c r="N244" s="26"/>
      <c r="O244" s="353" t="str">
        <f t="shared" si="14"/>
        <v/>
      </c>
      <c r="P244" s="353" t="str">
        <f t="shared" si="15"/>
        <v/>
      </c>
      <c r="Q244" s="26"/>
      <c r="R244" s="354"/>
    </row>
    <row r="245" spans="1:18" s="343" customFormat="1" ht="15.75" customHeight="1" thickBot="1">
      <c r="A245" s="864"/>
      <c r="B245" s="865"/>
      <c r="C245" s="865"/>
      <c r="D245" s="865"/>
      <c r="E245" s="975"/>
      <c r="F245" s="976"/>
      <c r="G245" s="977"/>
      <c r="H245" s="620"/>
      <c r="I245" s="1013"/>
      <c r="J245" s="620"/>
      <c r="K245" s="1013"/>
      <c r="L245" s="620"/>
      <c r="M245" s="1067"/>
      <c r="N245" s="26"/>
      <c r="O245" s="353" t="str">
        <f t="shared" si="14"/>
        <v/>
      </c>
      <c r="P245" s="353" t="str">
        <f t="shared" si="15"/>
        <v/>
      </c>
      <c r="Q245" s="26"/>
      <c r="R245" s="354"/>
    </row>
    <row r="246" spans="1:18" s="343" customFormat="1" ht="15.75" customHeight="1" thickBot="1">
      <c r="A246" s="864"/>
      <c r="B246" s="865"/>
      <c r="C246" s="865"/>
      <c r="D246" s="865"/>
      <c r="E246" s="975"/>
      <c r="F246" s="976"/>
      <c r="G246" s="977"/>
      <c r="H246" s="620"/>
      <c r="I246" s="1013"/>
      <c r="J246" s="620"/>
      <c r="K246" s="1013"/>
      <c r="L246" s="620"/>
      <c r="M246" s="1067"/>
      <c r="N246" s="26"/>
      <c r="O246" s="353" t="str">
        <f t="shared" si="14"/>
        <v/>
      </c>
      <c r="P246" s="353" t="str">
        <f t="shared" si="15"/>
        <v/>
      </c>
      <c r="Q246" s="26"/>
      <c r="R246" s="354"/>
    </row>
    <row r="247" spans="1:18" s="343" customFormat="1" ht="15.75" customHeight="1" thickBot="1">
      <c r="A247" s="864"/>
      <c r="B247" s="865"/>
      <c r="C247" s="865"/>
      <c r="D247" s="865"/>
      <c r="E247" s="975"/>
      <c r="F247" s="976"/>
      <c r="G247" s="977"/>
      <c r="H247" s="620"/>
      <c r="I247" s="1013"/>
      <c r="J247" s="620"/>
      <c r="K247" s="1013"/>
      <c r="L247" s="620"/>
      <c r="M247" s="1067"/>
      <c r="N247" s="26"/>
      <c r="O247" s="353" t="str">
        <f t="shared" si="14"/>
        <v/>
      </c>
      <c r="P247" s="353" t="str">
        <f t="shared" si="15"/>
        <v/>
      </c>
      <c r="Q247" s="26"/>
      <c r="R247" s="354"/>
    </row>
    <row r="248" spans="1:18" s="343" customFormat="1" ht="15.75" customHeight="1" thickBot="1">
      <c r="A248" s="864"/>
      <c r="B248" s="865"/>
      <c r="C248" s="865"/>
      <c r="D248" s="865"/>
      <c r="E248" s="975"/>
      <c r="F248" s="976"/>
      <c r="G248" s="977"/>
      <c r="H248" s="620"/>
      <c r="I248" s="1013"/>
      <c r="J248" s="620"/>
      <c r="K248" s="1013"/>
      <c r="L248" s="620"/>
      <c r="M248" s="1067"/>
      <c r="N248" s="26"/>
      <c r="O248" s="353" t="str">
        <f t="shared" si="14"/>
        <v/>
      </c>
      <c r="P248" s="353" t="str">
        <f t="shared" si="15"/>
        <v/>
      </c>
      <c r="Q248" s="26"/>
      <c r="R248" s="354"/>
    </row>
    <row r="249" spans="1:18" s="343" customFormat="1" ht="15.75" customHeight="1" thickBot="1">
      <c r="A249" s="864"/>
      <c r="B249" s="865"/>
      <c r="C249" s="865"/>
      <c r="D249" s="865"/>
      <c r="E249" s="975"/>
      <c r="F249" s="976"/>
      <c r="G249" s="977"/>
      <c r="H249" s="620"/>
      <c r="I249" s="1013"/>
      <c r="J249" s="620"/>
      <c r="K249" s="1013"/>
      <c r="L249" s="620"/>
      <c r="M249" s="1067"/>
      <c r="N249" s="26"/>
      <c r="O249" s="353" t="str">
        <f t="shared" si="14"/>
        <v/>
      </c>
      <c r="P249" s="353" t="str">
        <f t="shared" si="15"/>
        <v/>
      </c>
      <c r="Q249" s="26"/>
      <c r="R249" s="354"/>
    </row>
    <row r="250" spans="1:18" s="343" customFormat="1" ht="15.75" customHeight="1" thickBot="1">
      <c r="A250" s="864"/>
      <c r="B250" s="865"/>
      <c r="C250" s="865"/>
      <c r="D250" s="865"/>
      <c r="E250" s="975"/>
      <c r="F250" s="976"/>
      <c r="G250" s="977"/>
      <c r="H250" s="620"/>
      <c r="I250" s="1013"/>
      <c r="J250" s="620"/>
      <c r="K250" s="1013"/>
      <c r="L250" s="620"/>
      <c r="M250" s="1067"/>
      <c r="N250" s="26"/>
      <c r="O250" s="353" t="str">
        <f t="shared" si="14"/>
        <v/>
      </c>
      <c r="P250" s="353" t="str">
        <f t="shared" si="15"/>
        <v/>
      </c>
      <c r="Q250" s="26"/>
      <c r="R250" s="354"/>
    </row>
    <row r="251" spans="1:18" s="343" customFormat="1" ht="15.75" customHeight="1" thickBot="1">
      <c r="A251" s="864"/>
      <c r="B251" s="865"/>
      <c r="C251" s="865"/>
      <c r="D251" s="865"/>
      <c r="E251" s="975"/>
      <c r="F251" s="976"/>
      <c r="G251" s="977"/>
      <c r="H251" s="620"/>
      <c r="I251" s="1013"/>
      <c r="J251" s="620"/>
      <c r="K251" s="1013"/>
      <c r="L251" s="620"/>
      <c r="M251" s="1067"/>
      <c r="N251" s="26"/>
      <c r="O251" s="353" t="str">
        <f t="shared" si="14"/>
        <v/>
      </c>
      <c r="P251" s="353" t="str">
        <f t="shared" si="15"/>
        <v/>
      </c>
      <c r="Q251" s="26"/>
      <c r="R251" s="354"/>
    </row>
    <row r="252" spans="1:18" s="343" customFormat="1" ht="15.75" customHeight="1" thickBot="1">
      <c r="A252" s="864"/>
      <c r="B252" s="865"/>
      <c r="C252" s="865"/>
      <c r="D252" s="865"/>
      <c r="E252" s="975"/>
      <c r="F252" s="976"/>
      <c r="G252" s="977"/>
      <c r="H252" s="620"/>
      <c r="I252" s="1013"/>
      <c r="J252" s="620"/>
      <c r="K252" s="1013"/>
      <c r="L252" s="620"/>
      <c r="M252" s="1067"/>
      <c r="N252" s="26"/>
      <c r="O252" s="353" t="str">
        <f t="shared" si="14"/>
        <v/>
      </c>
      <c r="P252" s="353" t="str">
        <f t="shared" si="15"/>
        <v/>
      </c>
      <c r="Q252" s="26"/>
      <c r="R252" s="354"/>
    </row>
    <row r="253" spans="1:18" s="343" customFormat="1" ht="15.75" customHeight="1" thickBot="1">
      <c r="A253" s="864"/>
      <c r="B253" s="865"/>
      <c r="C253" s="865"/>
      <c r="D253" s="865"/>
      <c r="E253" s="975"/>
      <c r="F253" s="976"/>
      <c r="G253" s="977"/>
      <c r="H253" s="620"/>
      <c r="I253" s="1013"/>
      <c r="J253" s="620"/>
      <c r="K253" s="1013"/>
      <c r="L253" s="620"/>
      <c r="M253" s="1067"/>
      <c r="N253" s="26"/>
      <c r="O253" s="353" t="str">
        <f t="shared" si="14"/>
        <v/>
      </c>
      <c r="P253" s="353" t="str">
        <f t="shared" si="15"/>
        <v/>
      </c>
      <c r="Q253" s="26"/>
      <c r="R253" s="354"/>
    </row>
    <row r="254" spans="1:18" s="343" customFormat="1" ht="15.75" customHeight="1" thickBot="1">
      <c r="A254" s="864"/>
      <c r="B254" s="865"/>
      <c r="C254" s="865"/>
      <c r="D254" s="865"/>
      <c r="E254" s="975"/>
      <c r="F254" s="976"/>
      <c r="G254" s="977"/>
      <c r="H254" s="620"/>
      <c r="I254" s="1013"/>
      <c r="J254" s="620"/>
      <c r="K254" s="1013"/>
      <c r="L254" s="620"/>
      <c r="M254" s="1067"/>
      <c r="N254" s="26"/>
      <c r="O254" s="353" t="str">
        <f t="shared" si="14"/>
        <v/>
      </c>
      <c r="P254" s="353" t="str">
        <f t="shared" si="15"/>
        <v/>
      </c>
      <c r="Q254" s="26"/>
      <c r="R254" s="354"/>
    </row>
    <row r="255" spans="1:18" s="343" customFormat="1" ht="15.75" customHeight="1" thickBot="1">
      <c r="A255" s="864"/>
      <c r="B255" s="865"/>
      <c r="C255" s="865"/>
      <c r="D255" s="865"/>
      <c r="E255" s="975"/>
      <c r="F255" s="976"/>
      <c r="G255" s="977"/>
      <c r="H255" s="620"/>
      <c r="I255" s="1013"/>
      <c r="J255" s="620"/>
      <c r="K255" s="1013"/>
      <c r="L255" s="620"/>
      <c r="M255" s="1067"/>
      <c r="N255" s="26"/>
      <c r="O255" s="353" t="str">
        <f t="shared" si="14"/>
        <v/>
      </c>
      <c r="P255" s="353" t="str">
        <f t="shared" si="15"/>
        <v/>
      </c>
      <c r="Q255" s="26"/>
      <c r="R255" s="354"/>
    </row>
    <row r="256" spans="1:18" s="343" customFormat="1" ht="15.75" customHeight="1" thickBot="1">
      <c r="A256" s="864"/>
      <c r="B256" s="865"/>
      <c r="C256" s="865"/>
      <c r="D256" s="865"/>
      <c r="E256" s="975"/>
      <c r="F256" s="976"/>
      <c r="G256" s="977"/>
      <c r="H256" s="620"/>
      <c r="I256" s="1013"/>
      <c r="J256" s="620"/>
      <c r="K256" s="1013"/>
      <c r="L256" s="620"/>
      <c r="M256" s="1067"/>
      <c r="N256" s="26"/>
      <c r="O256" s="353" t="str">
        <f t="shared" si="14"/>
        <v/>
      </c>
      <c r="P256" s="353" t="str">
        <f t="shared" si="15"/>
        <v/>
      </c>
      <c r="Q256" s="26"/>
      <c r="R256" s="354"/>
    </row>
    <row r="257" spans="1:18" s="343" customFormat="1" ht="15.75" customHeight="1" thickBot="1">
      <c r="A257" s="864"/>
      <c r="B257" s="865"/>
      <c r="C257" s="865"/>
      <c r="D257" s="865"/>
      <c r="E257" s="975"/>
      <c r="F257" s="976"/>
      <c r="G257" s="977"/>
      <c r="H257" s="620"/>
      <c r="I257" s="724"/>
      <c r="J257" s="620"/>
      <c r="K257" s="724"/>
      <c r="L257" s="620"/>
      <c r="M257" s="621"/>
      <c r="N257" s="26"/>
      <c r="O257" s="353" t="str">
        <f t="shared" si="14"/>
        <v/>
      </c>
      <c r="P257" s="353" t="str">
        <f t="shared" si="15"/>
        <v/>
      </c>
      <c r="Q257" s="26"/>
      <c r="R257" s="354"/>
    </row>
    <row r="258" spans="1:18" s="343" customFormat="1" ht="15.75" customHeight="1" thickBot="1">
      <c r="A258" s="864"/>
      <c r="B258" s="865"/>
      <c r="C258" s="865"/>
      <c r="D258" s="865"/>
      <c r="E258" s="725"/>
      <c r="F258" s="726"/>
      <c r="G258" s="727"/>
      <c r="H258" s="620"/>
      <c r="I258" s="724"/>
      <c r="J258" s="620"/>
      <c r="K258" s="724"/>
      <c r="L258" s="620"/>
      <c r="M258" s="621"/>
      <c r="N258" s="26"/>
      <c r="O258" s="353" t="str">
        <f t="shared" si="14"/>
        <v/>
      </c>
      <c r="P258" s="353" t="str">
        <f t="shared" si="15"/>
        <v/>
      </c>
      <c r="Q258" s="26"/>
      <c r="R258" s="354"/>
    </row>
    <row r="259" spans="1:18" ht="15.75" customHeight="1" thickTop="1" thickBot="1">
      <c r="A259" s="671" t="s">
        <v>808</v>
      </c>
      <c r="B259" s="672"/>
      <c r="C259" s="672"/>
      <c r="D259" s="672"/>
      <c r="E259" s="672"/>
      <c r="F259" s="672"/>
      <c r="G259" s="672"/>
      <c r="H259" s="672"/>
      <c r="I259" s="672"/>
      <c r="J259" s="672"/>
      <c r="K259" s="622" t="str">
        <f>IF(Std7NotCalc = "", "",  IF(Std7NotCalc = "N", "NA", IF(COUNTBLANK(P239:P258)=20,"", IF(COUNTIF(P239:P258,"E")&gt;0,"",IF(COUNTIF(P239:P258,"N")&gt;0,"N",IF((20-COUNTBLANK(P239:P258))=COUNTIF(P239:P258,"NA"),"NA","Y"))))))</f>
        <v/>
      </c>
      <c r="L259" s="623"/>
      <c r="M259" s="35"/>
      <c r="N259" s="26"/>
      <c r="O259" s="26"/>
      <c r="P259" s="26"/>
      <c r="Q259" s="26"/>
    </row>
    <row r="260" spans="1:18" ht="16.5" customHeight="1" thickTop="1" thickBot="1">
      <c r="A260" s="671" t="s">
        <v>856</v>
      </c>
      <c r="B260" s="672"/>
      <c r="C260" s="672"/>
      <c r="D260" s="672"/>
      <c r="E260" s="672"/>
      <c r="F260" s="672"/>
      <c r="G260" s="672"/>
      <c r="H260" s="672"/>
      <c r="I260" s="672"/>
      <c r="J260" s="672"/>
      <c r="K260" s="622" t="str">
        <f>IF(Std7NotCalc = "", "",  IF(Std7NotCalc = "N", "NA", IF(COUNTBLANK(O239:O258)=20,"", IF(COUNTIF(O239:O258,"E")&gt;0,"",IF(COUNTIF(O239:O258,"N")&gt;0,"N",IF((20-COUNTBLANK(O239:O258))=COUNTIF(O239:O258,"NA"),"NA","Y"))))))</f>
        <v/>
      </c>
      <c r="L260" s="623"/>
      <c r="M260" s="35"/>
      <c r="P260" s="26"/>
      <c r="Q260" s="26"/>
    </row>
    <row r="261" spans="1:18" ht="15.75" customHeight="1" thickTop="1" thickBot="1">
      <c r="A261" s="697" t="s">
        <v>177</v>
      </c>
      <c r="B261" s="698"/>
      <c r="C261" s="698"/>
      <c r="D261" s="698"/>
      <c r="E261" s="698"/>
      <c r="F261" s="698"/>
      <c r="G261" s="698"/>
      <c r="H261" s="698"/>
      <c r="I261" s="698"/>
      <c r="J261" s="698"/>
      <c r="K261" s="698"/>
      <c r="L261" s="699"/>
      <c r="M261" s="35"/>
      <c r="N261" s="26"/>
      <c r="O261" s="26"/>
      <c r="P261" s="26"/>
      <c r="Q261" s="26"/>
    </row>
    <row r="262" spans="1:18" ht="17.25" customHeight="1" thickTop="1" thickBot="1">
      <c r="A262" s="319" t="s">
        <v>51</v>
      </c>
      <c r="B262" s="632" t="s">
        <v>178</v>
      </c>
      <c r="C262" s="633"/>
      <c r="D262" s="633"/>
      <c r="E262" s="633"/>
      <c r="F262" s="633"/>
      <c r="G262" s="634"/>
      <c r="H262" s="634"/>
      <c r="I262" s="634"/>
      <c r="J262" s="634"/>
      <c r="K262" s="634"/>
      <c r="L262" s="635"/>
      <c r="M262" s="90"/>
      <c r="N262" s="15"/>
      <c r="O262" s="15"/>
      <c r="P262" s="15"/>
      <c r="Q262" s="15"/>
    </row>
    <row r="263" spans="1:18" ht="16.5" customHeight="1" thickTop="1">
      <c r="A263" s="702" t="s">
        <v>23</v>
      </c>
      <c r="B263" s="703"/>
      <c r="C263" s="703"/>
      <c r="D263" s="703"/>
      <c r="E263" s="703"/>
      <c r="F263" s="704"/>
      <c r="G263" s="60" t="s">
        <v>24</v>
      </c>
      <c r="H263" s="707" t="s">
        <v>25</v>
      </c>
      <c r="I263" s="703"/>
      <c r="J263" s="703"/>
      <c r="K263" s="703"/>
      <c r="L263" s="708"/>
      <c r="M263" s="35"/>
      <c r="N263" s="26"/>
      <c r="O263" s="26"/>
      <c r="P263" s="26"/>
      <c r="Q263" s="26"/>
    </row>
    <row r="264" spans="1:18" s="27" customFormat="1" ht="32.25" customHeight="1">
      <c r="A264" s="700" t="s">
        <v>857</v>
      </c>
      <c r="B264" s="480"/>
      <c r="C264" s="480"/>
      <c r="D264" s="480"/>
      <c r="E264" s="480"/>
      <c r="F264" s="701"/>
      <c r="G264" s="705" t="s">
        <v>182</v>
      </c>
      <c r="H264" s="712" t="s">
        <v>183</v>
      </c>
      <c r="I264" s="480"/>
      <c r="J264" s="480"/>
      <c r="K264" s="480"/>
      <c r="L264" s="481"/>
      <c r="M264" s="35"/>
      <c r="N264" s="26"/>
      <c r="O264" s="26"/>
      <c r="P264" s="26"/>
      <c r="Q264" s="26"/>
      <c r="R264" s="354"/>
    </row>
    <row r="265" spans="1:18" s="27" customFormat="1" ht="33.75" customHeight="1" thickBot="1">
      <c r="A265" s="467" t="s">
        <v>179</v>
      </c>
      <c r="B265" s="468"/>
      <c r="C265" s="468"/>
      <c r="D265" s="468"/>
      <c r="E265" s="468"/>
      <c r="F265" s="630"/>
      <c r="G265" s="706"/>
      <c r="H265" s="713" t="s">
        <v>184</v>
      </c>
      <c r="I265" s="714"/>
      <c r="J265" s="714"/>
      <c r="K265" s="714"/>
      <c r="L265" s="715"/>
      <c r="M265" s="35"/>
      <c r="N265" s="26"/>
      <c r="O265" s="26"/>
      <c r="P265" s="26"/>
      <c r="Q265" s="26"/>
      <c r="R265" s="354"/>
    </row>
    <row r="266" spans="1:18" s="27" customFormat="1" ht="16.5" customHeight="1" thickBot="1">
      <c r="A266" s="62" t="s">
        <v>154</v>
      </c>
      <c r="B266" s="63" t="s">
        <v>180</v>
      </c>
      <c r="C266" s="318" t="str">
        <f>IF(Budget1BeginDate = 0, "", Budget1BeginDate)</f>
        <v/>
      </c>
      <c r="D266" s="63" t="s">
        <v>181</v>
      </c>
      <c r="E266" s="631" t="str">
        <f>IF(Budget1EndDate = 0, "", Budget1EndDate)</f>
        <v/>
      </c>
      <c r="F266" s="631"/>
      <c r="G266" s="321"/>
      <c r="H266" s="716"/>
      <c r="I266" s="717"/>
      <c r="J266" s="717"/>
      <c r="K266" s="717"/>
      <c r="L266" s="718"/>
      <c r="M266" s="35"/>
      <c r="N266" s="26"/>
      <c r="O266" s="26"/>
      <c r="P266" s="26"/>
      <c r="Q266" s="26"/>
      <c r="R266" s="354"/>
    </row>
    <row r="267" spans="1:18" s="27" customFormat="1" ht="16.5" customHeight="1" thickBot="1">
      <c r="A267" s="62" t="s">
        <v>155</v>
      </c>
      <c r="B267" s="63" t="s">
        <v>180</v>
      </c>
      <c r="C267" s="318" t="str">
        <f>IF(Budget2BeginDate = 0, "", Budget2BeginDate)</f>
        <v/>
      </c>
      <c r="D267" s="63" t="s">
        <v>181</v>
      </c>
      <c r="E267" s="631" t="str">
        <f>IF(Budget2EndDate = 0, "", Budget2EndDate)</f>
        <v/>
      </c>
      <c r="F267" s="631"/>
      <c r="G267" s="321"/>
      <c r="H267" s="716"/>
      <c r="I267" s="717"/>
      <c r="J267" s="717"/>
      <c r="K267" s="717"/>
      <c r="L267" s="718"/>
      <c r="M267" s="35"/>
      <c r="N267" s="26"/>
      <c r="O267" s="26"/>
      <c r="P267" s="26"/>
      <c r="Q267" s="26"/>
      <c r="R267" s="354"/>
    </row>
    <row r="268" spans="1:18" s="27" customFormat="1" ht="16.5" customHeight="1" thickBot="1">
      <c r="A268" s="62" t="s">
        <v>156</v>
      </c>
      <c r="B268" s="63" t="s">
        <v>180</v>
      </c>
      <c r="C268" s="318" t="str">
        <f>IF(Budget3BeginDate = 0, "", Budget3BeginDate)</f>
        <v/>
      </c>
      <c r="D268" s="63" t="s">
        <v>181</v>
      </c>
      <c r="E268" s="631" t="str">
        <f>IF(Budget3EndDate = 0, "", Budget3EndDate)</f>
        <v/>
      </c>
      <c r="F268" s="631"/>
      <c r="G268" s="321"/>
      <c r="H268" s="716"/>
      <c r="I268" s="717"/>
      <c r="J268" s="717"/>
      <c r="K268" s="717"/>
      <c r="L268" s="718"/>
      <c r="M268" s="35"/>
      <c r="N268" s="26"/>
      <c r="O268" s="26"/>
      <c r="P268" s="26"/>
      <c r="Q268" s="26"/>
      <c r="R268" s="354"/>
    </row>
    <row r="269" spans="1:18" s="27" customFormat="1" ht="16.5" customHeight="1" thickBot="1">
      <c r="A269" s="64" t="s">
        <v>153</v>
      </c>
      <c r="B269" s="65" t="s">
        <v>180</v>
      </c>
      <c r="C269" s="318" t="str">
        <f>IF(Budget4BeginDate = 0, "", Budget4BeginDate)</f>
        <v/>
      </c>
      <c r="D269" s="65" t="s">
        <v>181</v>
      </c>
      <c r="E269" s="631" t="str">
        <f>IF(Budget4EndDate = 0, "", Budget4EndDate)</f>
        <v/>
      </c>
      <c r="F269" s="631"/>
      <c r="G269" s="321"/>
      <c r="H269" s="716"/>
      <c r="I269" s="717"/>
      <c r="J269" s="717"/>
      <c r="K269" s="717"/>
      <c r="L269" s="718"/>
      <c r="M269" s="35"/>
      <c r="N269" s="26"/>
      <c r="O269" s="26"/>
      <c r="P269" s="26"/>
      <c r="Q269" s="26"/>
      <c r="R269" s="354"/>
    </row>
    <row r="270" spans="1:18" ht="32.25" customHeight="1" thickTop="1" thickBot="1">
      <c r="A270" s="671" t="s">
        <v>185</v>
      </c>
      <c r="B270" s="672"/>
      <c r="C270" s="672"/>
      <c r="D270" s="672"/>
      <c r="E270" s="672"/>
      <c r="F270" s="672"/>
      <c r="G270" s="672"/>
      <c r="H270" s="672"/>
      <c r="I270" s="672"/>
      <c r="J270" s="672"/>
      <c r="K270" s="622" t="str">
        <f>IF(Std6dot1NotCalc="","",IF(Std6dot1NotCalc="N","NA",IF(COUNTBLANK(C266:C269)=4,"",IF(COUNTBLANK(G266:G269)&lt;&gt;COUNTBLANK(C266:C269),"", IF(SUMPRODUCT(--(C266:C269&lt;&gt;""), --(E266:E269&lt;&gt;""), --(G266:G269&lt;&gt;"")) = 0, "",  IF(COUNTIF(G266:G269,"N")&gt;0,"N","Y"))))))</f>
        <v/>
      </c>
      <c r="L270" s="623"/>
      <c r="M270" s="35"/>
      <c r="N270" s="26"/>
      <c r="O270" s="26"/>
      <c r="P270" s="26"/>
      <c r="Q270" s="26"/>
    </row>
    <row r="271" spans="1:18" s="343" customFormat="1" ht="27.75" customHeight="1" thickTop="1">
      <c r="A271" s="709" t="s">
        <v>186</v>
      </c>
      <c r="B271" s="702" t="s">
        <v>858</v>
      </c>
      <c r="C271" s="731"/>
      <c r="D271" s="731"/>
      <c r="E271" s="731"/>
      <c r="F271" s="731"/>
      <c r="G271" s="731"/>
      <c r="H271" s="731"/>
      <c r="I271" s="731"/>
      <c r="J271" s="732"/>
      <c r="K271" s="624" t="s">
        <v>272</v>
      </c>
      <c r="L271" s="625"/>
      <c r="M271" s="90"/>
      <c r="N271" s="15"/>
      <c r="O271" s="15"/>
      <c r="P271" s="15"/>
      <c r="Q271" s="15"/>
      <c r="R271" s="354"/>
    </row>
    <row r="272" spans="1:18" s="343" customFormat="1" ht="16.5" customHeight="1" thickBot="1">
      <c r="A272" s="710"/>
      <c r="B272" s="728" t="s">
        <v>859</v>
      </c>
      <c r="C272" s="729"/>
      <c r="D272" s="729"/>
      <c r="E272" s="729"/>
      <c r="F272" s="729"/>
      <c r="G272" s="729"/>
      <c r="H272" s="729"/>
      <c r="I272" s="729"/>
      <c r="J272" s="730"/>
      <c r="K272" s="626"/>
      <c r="L272" s="627"/>
      <c r="M272" s="35"/>
      <c r="N272" s="26"/>
      <c r="O272" s="26"/>
      <c r="P272" s="26"/>
      <c r="Q272" s="26"/>
      <c r="R272" s="354"/>
    </row>
    <row r="273" spans="1:18" s="27" customFormat="1" ht="16.5" customHeight="1" thickTop="1" thickBot="1">
      <c r="A273" s="711"/>
      <c r="B273" s="857" t="s">
        <v>279</v>
      </c>
      <c r="C273" s="858"/>
      <c r="D273" s="858"/>
      <c r="E273" s="858"/>
      <c r="F273" s="858"/>
      <c r="G273" s="858"/>
      <c r="H273" s="858"/>
      <c r="I273" s="858"/>
      <c r="J273" s="858"/>
      <c r="K273" s="628"/>
      <c r="L273" s="629"/>
      <c r="M273" s="35"/>
      <c r="N273" s="66"/>
      <c r="O273" s="26"/>
      <c r="P273" s="26"/>
      <c r="Q273" s="26"/>
      <c r="R273" s="354"/>
    </row>
    <row r="274" spans="1:18" s="27" customFormat="1" ht="16.5" customHeight="1" thickTop="1">
      <c r="A274" s="702" t="s">
        <v>23</v>
      </c>
      <c r="B274" s="703"/>
      <c r="C274" s="703"/>
      <c r="D274" s="703"/>
      <c r="E274" s="703"/>
      <c r="F274" s="60" t="s">
        <v>24</v>
      </c>
      <c r="G274" s="60" t="s">
        <v>25</v>
      </c>
      <c r="H274" s="707" t="s">
        <v>26</v>
      </c>
      <c r="I274" s="703"/>
      <c r="J274" s="703"/>
      <c r="K274" s="703"/>
      <c r="L274" s="708"/>
      <c r="M274" s="35"/>
      <c r="N274" s="26"/>
      <c r="O274" s="26"/>
      <c r="P274" s="26"/>
      <c r="Q274" s="26"/>
      <c r="R274" s="354"/>
    </row>
    <row r="275" spans="1:18" s="27" customFormat="1" ht="16.5" customHeight="1">
      <c r="A275" s="467" t="s">
        <v>809</v>
      </c>
      <c r="B275" s="468"/>
      <c r="C275" s="468"/>
      <c r="D275" s="468"/>
      <c r="E275" s="630"/>
      <c r="F275" s="705" t="s">
        <v>182</v>
      </c>
      <c r="G275" s="705" t="s">
        <v>191</v>
      </c>
      <c r="H275" s="712" t="s">
        <v>183</v>
      </c>
      <c r="I275" s="480"/>
      <c r="J275" s="480"/>
      <c r="K275" s="480"/>
      <c r="L275" s="481"/>
      <c r="M275" s="35"/>
      <c r="N275" s="26"/>
      <c r="O275" s="26"/>
      <c r="P275" s="26"/>
      <c r="Q275" s="26"/>
      <c r="R275" s="354"/>
    </row>
    <row r="276" spans="1:18" s="27" customFormat="1" ht="64.5" customHeight="1" thickBot="1">
      <c r="A276" s="869"/>
      <c r="B276" s="714"/>
      <c r="C276" s="714"/>
      <c r="D276" s="714"/>
      <c r="E276" s="870"/>
      <c r="F276" s="706"/>
      <c r="G276" s="706"/>
      <c r="H276" s="713" t="s">
        <v>184</v>
      </c>
      <c r="I276" s="714"/>
      <c r="J276" s="714"/>
      <c r="K276" s="714"/>
      <c r="L276" s="715"/>
      <c r="M276" s="35"/>
      <c r="N276" s="26"/>
      <c r="O276" s="26"/>
      <c r="P276" s="26"/>
      <c r="Q276" s="26"/>
      <c r="R276" s="354"/>
    </row>
    <row r="277" spans="1:18" s="27" customFormat="1" ht="16.5" customHeight="1" thickBot="1">
      <c r="A277" s="62" t="s">
        <v>187</v>
      </c>
      <c r="B277" s="63" t="s">
        <v>180</v>
      </c>
      <c r="C277" s="263"/>
      <c r="D277" s="63" t="s">
        <v>181</v>
      </c>
      <c r="E277" s="263"/>
      <c r="F277" s="321"/>
      <c r="G277" s="321"/>
      <c r="H277" s="716"/>
      <c r="I277" s="717"/>
      <c r="J277" s="717"/>
      <c r="K277" s="717"/>
      <c r="L277" s="718"/>
      <c r="M277" s="35"/>
      <c r="N277" s="26"/>
      <c r="O277" s="26"/>
      <c r="P277" s="26"/>
      <c r="Q277" s="26"/>
      <c r="R277" s="354"/>
    </row>
    <row r="278" spans="1:18" ht="15.75" customHeight="1" thickBot="1">
      <c r="A278" s="62" t="s">
        <v>188</v>
      </c>
      <c r="B278" s="63" t="s">
        <v>180</v>
      </c>
      <c r="C278" s="263"/>
      <c r="D278" s="63" t="s">
        <v>181</v>
      </c>
      <c r="E278" s="263"/>
      <c r="F278" s="321"/>
      <c r="G278" s="321"/>
      <c r="H278" s="716"/>
      <c r="I278" s="717"/>
      <c r="J278" s="717"/>
      <c r="K278" s="717"/>
      <c r="L278" s="718"/>
      <c r="M278" s="90"/>
      <c r="N278" s="15"/>
      <c r="O278" s="15"/>
      <c r="P278" s="15"/>
      <c r="Q278" s="15"/>
    </row>
    <row r="279" spans="1:18" ht="16.5" customHeight="1" thickBot="1">
      <c r="A279" s="62" t="s">
        <v>189</v>
      </c>
      <c r="B279" s="63" t="s">
        <v>180</v>
      </c>
      <c r="C279" s="263"/>
      <c r="D279" s="63" t="s">
        <v>181</v>
      </c>
      <c r="E279" s="263"/>
      <c r="F279" s="321"/>
      <c r="G279" s="321"/>
      <c r="H279" s="716"/>
      <c r="I279" s="717"/>
      <c r="J279" s="717"/>
      <c r="K279" s="717"/>
      <c r="L279" s="718"/>
      <c r="M279" s="90"/>
      <c r="N279" s="15"/>
      <c r="O279" s="15"/>
      <c r="P279" s="15"/>
      <c r="Q279" s="15"/>
    </row>
    <row r="280" spans="1:18" ht="16.5" customHeight="1" thickBot="1">
      <c r="A280" s="64" t="s">
        <v>190</v>
      </c>
      <c r="B280" s="65" t="s">
        <v>180</v>
      </c>
      <c r="C280" s="263"/>
      <c r="D280" s="65" t="s">
        <v>181</v>
      </c>
      <c r="E280" s="263"/>
      <c r="F280" s="321"/>
      <c r="G280" s="321"/>
      <c r="H280" s="866"/>
      <c r="I280" s="867"/>
      <c r="J280" s="867"/>
      <c r="K280" s="867"/>
      <c r="L280" s="868"/>
      <c r="M280" s="90"/>
      <c r="N280" s="15"/>
      <c r="O280" s="15"/>
      <c r="P280" s="15"/>
      <c r="Q280" s="15"/>
    </row>
    <row r="281" spans="1:18" ht="37.5" customHeight="1" thickTop="1" thickBot="1">
      <c r="A281" s="671" t="s">
        <v>192</v>
      </c>
      <c r="B281" s="672"/>
      <c r="C281" s="672"/>
      <c r="D281" s="672"/>
      <c r="E281" s="672"/>
      <c r="F281" s="672"/>
      <c r="G281" s="672"/>
      <c r="H281" s="672"/>
      <c r="I281" s="672"/>
      <c r="J281" s="672"/>
      <c r="K281" s="622" t="str">
        <f>IF(Std8dot2NotCalc = "", "", IF(Std8dot2NotCalc = "N", "NA", IF(OR(COUNTBLANK(C277:C280) = 4, COUNTBLANK(E277:E280) = 4), "", IF(SUMPRODUCT(--(C277:C280&lt;&gt;""), --(E277:E280&lt;&gt;""), --(F277:F280&lt;&gt;""), --(G277:G280&lt;&gt;"")) = 0, "", IF(COUNTBLANK(C277:C280) + COUNTBLANK(E277:E280) &lt;&gt; COUNTBLANK(F277:F280) + COUNTBLANK(G277:G280), "", IF(COUNTIF(F277:G280, "N") &gt; 0, "N", "Y"))))))</f>
        <v/>
      </c>
      <c r="L281" s="623"/>
      <c r="M281" s="90"/>
      <c r="N281" s="15"/>
      <c r="O281" s="15"/>
      <c r="P281" s="15"/>
      <c r="Q281" s="15"/>
    </row>
    <row r="282" spans="1:18" ht="39.75" customHeight="1" thickTop="1">
      <c r="A282" s="709" t="s">
        <v>193</v>
      </c>
      <c r="B282" s="464" t="s">
        <v>619</v>
      </c>
      <c r="C282" s="831"/>
      <c r="D282" s="831"/>
      <c r="E282" s="831"/>
      <c r="F282" s="831"/>
      <c r="G282" s="831"/>
      <c r="H282" s="831"/>
      <c r="I282" s="831"/>
      <c r="J282" s="832"/>
      <c r="K282" s="624" t="s">
        <v>272</v>
      </c>
      <c r="L282" s="625"/>
      <c r="M282" s="26"/>
      <c r="N282" s="26"/>
      <c r="O282" s="26"/>
      <c r="P282" s="26"/>
      <c r="Q282" s="26"/>
    </row>
    <row r="283" spans="1:18" ht="15.75" customHeight="1" thickBot="1">
      <c r="A283" s="710"/>
      <c r="B283" s="857" t="s">
        <v>278</v>
      </c>
      <c r="C283" s="858"/>
      <c r="D283" s="858"/>
      <c r="E283" s="858"/>
      <c r="F283" s="858"/>
      <c r="G283" s="858"/>
      <c r="H283" s="858"/>
      <c r="I283" s="858"/>
      <c r="J283" s="858"/>
      <c r="K283" s="626"/>
      <c r="L283" s="627"/>
      <c r="M283" s="26"/>
      <c r="N283" s="26"/>
      <c r="O283" s="26"/>
      <c r="P283" s="26"/>
      <c r="Q283" s="26"/>
    </row>
    <row r="284" spans="1:18" ht="16.5" customHeight="1" thickTop="1" thickBot="1">
      <c r="A284" s="711"/>
      <c r="B284" s="1064"/>
      <c r="C284" s="1065"/>
      <c r="D284" s="1065"/>
      <c r="E284" s="1065"/>
      <c r="F284" s="1065"/>
      <c r="G284" s="1065"/>
      <c r="H284" s="1065"/>
      <c r="I284" s="1065"/>
      <c r="J284" s="1066"/>
      <c r="K284" s="628"/>
      <c r="L284" s="629"/>
      <c r="M284" s="26"/>
      <c r="N284" s="26"/>
      <c r="O284" s="26"/>
      <c r="P284" s="26"/>
      <c r="Q284" s="26"/>
    </row>
    <row r="285" spans="1:18" ht="16.5" customHeight="1" thickTop="1">
      <c r="A285" s="702" t="s">
        <v>23</v>
      </c>
      <c r="B285" s="703"/>
      <c r="C285" s="703"/>
      <c r="D285" s="703"/>
      <c r="E285" s="703"/>
      <c r="F285" s="703"/>
      <c r="G285" s="703"/>
      <c r="H285" s="703"/>
      <c r="I285" s="317" t="s">
        <v>24</v>
      </c>
      <c r="J285" s="317" t="s">
        <v>25</v>
      </c>
      <c r="K285" s="703" t="s">
        <v>26</v>
      </c>
      <c r="L285" s="708"/>
      <c r="M285" s="26"/>
      <c r="N285" s="26"/>
      <c r="O285" s="26"/>
      <c r="P285" s="26"/>
      <c r="Q285" s="26"/>
    </row>
    <row r="286" spans="1:18" s="27" customFormat="1" ht="56.25" customHeight="1" thickBot="1">
      <c r="A286" s="676" t="s">
        <v>194</v>
      </c>
      <c r="B286" s="981"/>
      <c r="C286" s="981"/>
      <c r="D286" s="981"/>
      <c r="E286" s="981"/>
      <c r="F286" s="981"/>
      <c r="G286" s="981"/>
      <c r="H286" s="981"/>
      <c r="I286" s="67" t="s">
        <v>201</v>
      </c>
      <c r="J286" s="67" t="s">
        <v>202</v>
      </c>
      <c r="K286" s="677" t="s">
        <v>203</v>
      </c>
      <c r="L286" s="982"/>
      <c r="M286" s="26"/>
      <c r="N286" s="26"/>
      <c r="O286" s="26"/>
      <c r="P286" s="26"/>
      <c r="Q286" s="26"/>
      <c r="R286" s="354"/>
    </row>
    <row r="287" spans="1:18" ht="16.5" customHeight="1" thickBot="1">
      <c r="A287" s="689" t="s">
        <v>195</v>
      </c>
      <c r="B287" s="690"/>
      <c r="C287" s="690"/>
      <c r="D287" s="690"/>
      <c r="E287" s="690"/>
      <c r="F287" s="690"/>
      <c r="G287" s="690"/>
      <c r="H287" s="690"/>
      <c r="I287" s="321"/>
      <c r="J287" s="158"/>
      <c r="K287" s="693"/>
      <c r="L287" s="694"/>
      <c r="M287" s="26"/>
      <c r="N287" s="26"/>
      <c r="O287" s="26"/>
      <c r="P287" s="26"/>
      <c r="Q287" s="26"/>
    </row>
    <row r="288" spans="1:18" ht="16.5" customHeight="1" thickBot="1">
      <c r="A288" s="689" t="s">
        <v>196</v>
      </c>
      <c r="B288" s="690"/>
      <c r="C288" s="690"/>
      <c r="D288" s="690"/>
      <c r="E288" s="690"/>
      <c r="F288" s="690"/>
      <c r="G288" s="690"/>
      <c r="H288" s="690"/>
      <c r="I288" s="321"/>
      <c r="J288" s="158"/>
      <c r="K288" s="693"/>
      <c r="L288" s="694"/>
      <c r="M288" s="26"/>
      <c r="N288" s="26"/>
      <c r="O288" s="26"/>
      <c r="P288" s="26"/>
      <c r="Q288" s="26"/>
    </row>
    <row r="289" spans="1:17" ht="16.5" customHeight="1" thickBot="1">
      <c r="A289" s="689" t="s">
        <v>197</v>
      </c>
      <c r="B289" s="690"/>
      <c r="C289" s="690"/>
      <c r="D289" s="690"/>
      <c r="E289" s="690"/>
      <c r="F289" s="690"/>
      <c r="G289" s="690"/>
      <c r="H289" s="690"/>
      <c r="I289" s="321"/>
      <c r="J289" s="158"/>
      <c r="K289" s="693"/>
      <c r="L289" s="694"/>
      <c r="M289" s="26"/>
      <c r="N289" s="26"/>
      <c r="O289" s="26"/>
      <c r="P289" s="26"/>
      <c r="Q289" s="26"/>
    </row>
    <row r="290" spans="1:17" ht="16.5" customHeight="1" thickBot="1">
      <c r="A290" s="689" t="s">
        <v>198</v>
      </c>
      <c r="B290" s="690"/>
      <c r="C290" s="690"/>
      <c r="D290" s="690"/>
      <c r="E290" s="690"/>
      <c r="F290" s="690"/>
      <c r="G290" s="690"/>
      <c r="H290" s="690"/>
      <c r="I290" s="321"/>
      <c r="J290" s="158"/>
      <c r="K290" s="693"/>
      <c r="L290" s="694"/>
      <c r="M290" s="26"/>
      <c r="N290" s="26"/>
      <c r="O290" s="26"/>
      <c r="P290" s="26"/>
      <c r="Q290" s="26"/>
    </row>
    <row r="291" spans="1:17" ht="16.5" customHeight="1" thickBot="1">
      <c r="A291" s="689" t="s">
        <v>199</v>
      </c>
      <c r="B291" s="690"/>
      <c r="C291" s="690"/>
      <c r="D291" s="690"/>
      <c r="E291" s="690"/>
      <c r="F291" s="690"/>
      <c r="G291" s="690"/>
      <c r="H291" s="690"/>
      <c r="I291" s="321"/>
      <c r="J291" s="158"/>
      <c r="K291" s="693"/>
      <c r="L291" s="694"/>
      <c r="M291" s="26"/>
      <c r="N291" s="26"/>
      <c r="O291" s="26"/>
      <c r="P291" s="26"/>
      <c r="Q291" s="26"/>
    </row>
    <row r="292" spans="1:17" ht="26.25" customHeight="1" thickBot="1">
      <c r="A292" s="691" t="s">
        <v>200</v>
      </c>
      <c r="B292" s="692"/>
      <c r="C292" s="692"/>
      <c r="D292" s="692"/>
      <c r="E292" s="692"/>
      <c r="F292" s="692"/>
      <c r="G292" s="692"/>
      <c r="H292" s="692"/>
      <c r="I292" s="321"/>
      <c r="J292" s="158"/>
      <c r="K292" s="695"/>
      <c r="L292" s="696"/>
      <c r="M292" s="26"/>
      <c r="N292" s="26"/>
      <c r="O292" s="26"/>
      <c r="P292" s="26"/>
      <c r="Q292" s="26"/>
    </row>
    <row r="293" spans="1:17" ht="75" customHeight="1" thickTop="1" thickBot="1">
      <c r="A293" s="983" t="s">
        <v>204</v>
      </c>
      <c r="B293" s="984"/>
      <c r="C293" s="984"/>
      <c r="D293" s="984"/>
      <c r="E293" s="984"/>
      <c r="F293" s="984"/>
      <c r="G293" s="984"/>
      <c r="H293" s="984"/>
      <c r="I293" s="984"/>
      <c r="J293" s="984"/>
      <c r="K293" s="722" t="str">
        <f>IF(Std8dot3NotCalc="","",IF(Std8dot3NotCalc="N","NA",IF(COUNTBLANK(I287:I292)=6,"",IF(SUMPRODUCT(--(I287:I292="Y"),--(J287:J292=""))+SUMPRODUCT(--(I287:I292=""),--(J287:J292&lt;&gt;""))+SUMPRODUCT(--(I287:I292="N"),--(J287:J292&lt;&gt;""))+SUMPRODUCT(--(I287:I292="NA"),--(J287:J292&lt;&gt;""))+SUMPRODUCT(--(I287:I292&lt;&gt;"Y"),--(K287:K292="Y"))+SUMPRODUCT(--(I287:I292&lt;&gt;"Y"),--(K287:K292="N")) + SUMPRODUCT(--(I287:I292="Y"), --(J287:J292&lt;&gt;""), --(K287:K292=""))&gt;0,"",IF(COUNTIF(K287:K292,"N")&gt;0,"N",IF(COUNTIF(K287:K292,"Y")&gt;0,"Y",""))))))</f>
        <v/>
      </c>
      <c r="L293" s="723"/>
      <c r="M293" s="26"/>
      <c r="N293" s="26"/>
      <c r="O293" s="26"/>
      <c r="P293" s="26"/>
      <c r="Q293" s="26"/>
    </row>
    <row r="294" spans="1:17" ht="18" hidden="1" customHeight="1" thickTop="1" thickBot="1">
      <c r="A294" s="697" t="s">
        <v>234</v>
      </c>
      <c r="B294" s="698"/>
      <c r="C294" s="698"/>
      <c r="D294" s="698"/>
      <c r="E294" s="698"/>
      <c r="F294" s="698"/>
      <c r="G294" s="698"/>
      <c r="H294" s="698"/>
      <c r="I294" s="698"/>
      <c r="J294" s="698"/>
      <c r="K294" s="698"/>
      <c r="L294" s="699"/>
      <c r="M294" s="26"/>
      <c r="N294" s="26"/>
      <c r="O294" s="26"/>
      <c r="P294" s="26"/>
      <c r="Q294" s="26"/>
    </row>
    <row r="295" spans="1:17" ht="44.25" hidden="1" customHeight="1" thickTop="1">
      <c r="A295" s="709" t="s">
        <v>205</v>
      </c>
      <c r="B295" s="719" t="s">
        <v>622</v>
      </c>
      <c r="C295" s="720"/>
      <c r="D295" s="720"/>
      <c r="E295" s="720"/>
      <c r="F295" s="720"/>
      <c r="G295" s="720"/>
      <c r="H295" s="720"/>
      <c r="I295" s="720"/>
      <c r="J295" s="720"/>
      <c r="K295" s="720"/>
      <c r="L295" s="721"/>
    </row>
    <row r="296" spans="1:17" ht="30" hidden="1" customHeight="1">
      <c r="A296" s="710"/>
      <c r="B296" s="741" t="s">
        <v>694</v>
      </c>
      <c r="C296" s="742"/>
      <c r="D296" s="742"/>
      <c r="E296" s="742"/>
      <c r="F296" s="742"/>
      <c r="G296" s="742"/>
      <c r="H296" s="742"/>
      <c r="I296" s="742"/>
      <c r="J296" s="742"/>
      <c r="K296" s="742"/>
      <c r="L296" s="743"/>
    </row>
    <row r="297" spans="1:17" ht="16.5" hidden="1" customHeight="1" thickBot="1">
      <c r="A297" s="710"/>
      <c r="B297" s="613" t="s">
        <v>206</v>
      </c>
      <c r="C297" s="687"/>
      <c r="D297" s="687"/>
      <c r="E297" s="687"/>
      <c r="F297" s="687"/>
      <c r="G297" s="687"/>
      <c r="H297" s="687"/>
      <c r="I297" s="687"/>
      <c r="J297" s="687"/>
      <c r="K297" s="687"/>
      <c r="L297" s="688"/>
      <c r="M297" s="26"/>
      <c r="N297" s="26"/>
      <c r="O297" s="26"/>
      <c r="P297" s="26"/>
      <c r="Q297" s="26"/>
    </row>
    <row r="298" spans="1:17" ht="16.5" hidden="1" customHeight="1" thickTop="1" thickBot="1">
      <c r="A298" s="978" t="s">
        <v>275</v>
      </c>
      <c r="B298" s="979"/>
      <c r="C298" s="979"/>
      <c r="D298" s="979"/>
      <c r="E298" s="979"/>
      <c r="F298" s="979"/>
      <c r="G298" s="979"/>
      <c r="H298" s="979"/>
      <c r="I298" s="979"/>
      <c r="J298" s="979"/>
      <c r="K298" s="979"/>
      <c r="L298" s="980"/>
      <c r="M298" s="26"/>
      <c r="N298" s="26"/>
      <c r="O298" s="26"/>
      <c r="P298" s="26"/>
      <c r="Q298" s="26"/>
    </row>
    <row r="299" spans="1:17" ht="16.5" hidden="1" customHeight="1" thickTop="1">
      <c r="A299" s="1001" t="s">
        <v>207</v>
      </c>
      <c r="B299" s="1002"/>
      <c r="C299" s="1002"/>
      <c r="D299" s="1002"/>
      <c r="E299" s="1002"/>
      <c r="F299" s="1002"/>
      <c r="G299" s="1002"/>
      <c r="H299" s="1002"/>
      <c r="I299" s="1002"/>
      <c r="J299" s="1002"/>
      <c r="K299" s="1002"/>
      <c r="L299" s="1003"/>
      <c r="M299" s="26"/>
      <c r="N299" s="26"/>
      <c r="O299" s="26"/>
      <c r="P299" s="26"/>
      <c r="Q299" s="26"/>
    </row>
    <row r="300" spans="1:17" ht="16.5" hidden="1" customHeight="1">
      <c r="A300" s="613" t="s">
        <v>591</v>
      </c>
      <c r="B300" s="614"/>
      <c r="C300" s="614"/>
      <c r="D300" s="614"/>
      <c r="E300" s="614"/>
      <c r="F300" s="614"/>
      <c r="G300" s="614"/>
      <c r="H300" s="614"/>
      <c r="I300" s="614"/>
      <c r="J300" s="614"/>
      <c r="K300" s="614"/>
      <c r="L300" s="615"/>
      <c r="M300" s="26"/>
      <c r="N300" s="26"/>
      <c r="O300" s="26"/>
      <c r="P300" s="26"/>
      <c r="Q300" s="26"/>
    </row>
    <row r="301" spans="1:17" ht="16.5" hidden="1" customHeight="1">
      <c r="A301" s="613" t="s">
        <v>592</v>
      </c>
      <c r="B301" s="614"/>
      <c r="C301" s="614"/>
      <c r="D301" s="614"/>
      <c r="E301" s="614"/>
      <c r="F301" s="614"/>
      <c r="G301" s="614"/>
      <c r="H301" s="614"/>
      <c r="I301" s="614"/>
      <c r="J301" s="614"/>
      <c r="K301" s="614"/>
      <c r="L301" s="615"/>
      <c r="M301" s="26"/>
      <c r="N301" s="26"/>
      <c r="O301" s="26"/>
      <c r="P301" s="26"/>
      <c r="Q301" s="26"/>
    </row>
    <row r="302" spans="1:17" ht="16.5" hidden="1" customHeight="1">
      <c r="A302" s="613" t="s">
        <v>593</v>
      </c>
      <c r="B302" s="614"/>
      <c r="C302" s="614"/>
      <c r="D302" s="614"/>
      <c r="E302" s="614"/>
      <c r="F302" s="614"/>
      <c r="G302" s="614"/>
      <c r="H302" s="614"/>
      <c r="I302" s="614"/>
      <c r="J302" s="614"/>
      <c r="K302" s="614"/>
      <c r="L302" s="615"/>
      <c r="M302" s="26"/>
      <c r="N302" s="26"/>
      <c r="O302" s="26"/>
      <c r="P302" s="26"/>
      <c r="Q302" s="26"/>
    </row>
    <row r="303" spans="1:17" ht="26.25" hidden="1" customHeight="1">
      <c r="A303" s="937" t="s">
        <v>208</v>
      </c>
      <c r="B303" s="938"/>
      <c r="C303" s="938"/>
      <c r="D303" s="938"/>
      <c r="E303" s="938"/>
      <c r="F303" s="938"/>
      <c r="G303" s="938"/>
      <c r="H303" s="938"/>
      <c r="I303" s="938"/>
      <c r="J303" s="938"/>
      <c r="K303" s="938"/>
      <c r="L303" s="939"/>
      <c r="M303" s="26"/>
      <c r="N303" s="26"/>
      <c r="O303" s="26"/>
      <c r="P303" s="26"/>
      <c r="Q303" s="26"/>
    </row>
    <row r="304" spans="1:17" ht="16.5" hidden="1" customHeight="1">
      <c r="A304" s="613" t="s">
        <v>209</v>
      </c>
      <c r="B304" s="614"/>
      <c r="C304" s="614"/>
      <c r="D304" s="614"/>
      <c r="E304" s="614"/>
      <c r="F304" s="614"/>
      <c r="G304" s="614"/>
      <c r="H304" s="614"/>
      <c r="I304" s="614"/>
      <c r="J304" s="614"/>
      <c r="K304" s="614"/>
      <c r="L304" s="615"/>
      <c r="M304" s="26"/>
      <c r="N304" s="26"/>
      <c r="O304" s="26"/>
      <c r="P304" s="26"/>
      <c r="Q304" s="26"/>
    </row>
    <row r="305" spans="1:17" ht="16.5" hidden="1" customHeight="1">
      <c r="A305" s="684" t="s">
        <v>210</v>
      </c>
      <c r="B305" s="685"/>
      <c r="C305" s="685"/>
      <c r="D305" s="685"/>
      <c r="E305" s="685"/>
      <c r="F305" s="685"/>
      <c r="G305" s="685"/>
      <c r="H305" s="685"/>
      <c r="I305" s="685"/>
      <c r="J305" s="685"/>
      <c r="K305" s="685"/>
      <c r="L305" s="686"/>
      <c r="M305" s="26"/>
      <c r="N305" s="26"/>
      <c r="O305" s="26"/>
      <c r="P305" s="26"/>
      <c r="Q305" s="26"/>
    </row>
    <row r="306" spans="1:17" ht="16.5" hidden="1" customHeight="1">
      <c r="A306" s="684" t="s">
        <v>598</v>
      </c>
      <c r="B306" s="685"/>
      <c r="C306" s="685"/>
      <c r="D306" s="685"/>
      <c r="E306" s="685"/>
      <c r="F306" s="685"/>
      <c r="G306" s="685"/>
      <c r="H306" s="685"/>
      <c r="I306" s="685"/>
      <c r="J306" s="685"/>
      <c r="K306" s="685"/>
      <c r="L306" s="686"/>
      <c r="M306" s="26"/>
      <c r="N306" s="26"/>
      <c r="O306" s="26"/>
      <c r="P306" s="26"/>
      <c r="Q306" s="26"/>
    </row>
    <row r="307" spans="1:17" ht="16.5" hidden="1" customHeight="1">
      <c r="A307" s="684" t="s">
        <v>599</v>
      </c>
      <c r="B307" s="685"/>
      <c r="C307" s="685"/>
      <c r="D307" s="685"/>
      <c r="E307" s="685"/>
      <c r="F307" s="685"/>
      <c r="G307" s="685"/>
      <c r="H307" s="685"/>
      <c r="I307" s="685"/>
      <c r="J307" s="685"/>
      <c r="K307" s="685"/>
      <c r="L307" s="686"/>
      <c r="M307" s="26"/>
      <c r="N307" s="26"/>
      <c r="O307" s="26"/>
      <c r="P307" s="26"/>
      <c r="Q307" s="26"/>
    </row>
    <row r="308" spans="1:17" ht="16.5" hidden="1" customHeight="1">
      <c r="A308" s="613" t="s">
        <v>211</v>
      </c>
      <c r="B308" s="614"/>
      <c r="C308" s="614"/>
      <c r="D308" s="614"/>
      <c r="E308" s="614"/>
      <c r="F308" s="614"/>
      <c r="G308" s="614"/>
      <c r="H308" s="614"/>
      <c r="I308" s="614"/>
      <c r="J308" s="614"/>
      <c r="K308" s="614"/>
      <c r="L308" s="615"/>
      <c r="M308" s="26"/>
      <c r="N308" s="26"/>
      <c r="O308" s="26"/>
      <c r="P308" s="26"/>
      <c r="Q308" s="26"/>
    </row>
    <row r="309" spans="1:17" ht="16.5" hidden="1" customHeight="1">
      <c r="A309" s="684" t="s">
        <v>623</v>
      </c>
      <c r="B309" s="685"/>
      <c r="C309" s="685"/>
      <c r="D309" s="685"/>
      <c r="E309" s="685"/>
      <c r="F309" s="685"/>
      <c r="G309" s="685"/>
      <c r="H309" s="685"/>
      <c r="I309" s="685"/>
      <c r="J309" s="685"/>
      <c r="K309" s="685"/>
      <c r="L309" s="686"/>
      <c r="M309" s="26"/>
      <c r="N309" s="26"/>
      <c r="O309" s="26"/>
      <c r="P309" s="26"/>
      <c r="Q309" s="26"/>
    </row>
    <row r="310" spans="1:17" ht="39" hidden="1" customHeight="1">
      <c r="A310" s="684" t="s">
        <v>212</v>
      </c>
      <c r="B310" s="685"/>
      <c r="C310" s="685"/>
      <c r="D310" s="685"/>
      <c r="E310" s="685"/>
      <c r="F310" s="685"/>
      <c r="G310" s="685"/>
      <c r="H310" s="685"/>
      <c r="I310" s="685"/>
      <c r="J310" s="685"/>
      <c r="K310" s="685"/>
      <c r="L310" s="686"/>
      <c r="M310" s="26"/>
      <c r="N310" s="26"/>
      <c r="O310" s="26"/>
      <c r="P310" s="26"/>
      <c r="Q310" s="26"/>
    </row>
    <row r="311" spans="1:17" ht="16.5" hidden="1" customHeight="1">
      <c r="A311" s="684" t="s">
        <v>213</v>
      </c>
      <c r="B311" s="685"/>
      <c r="C311" s="685"/>
      <c r="D311" s="685"/>
      <c r="E311" s="685"/>
      <c r="F311" s="685"/>
      <c r="G311" s="685"/>
      <c r="H311" s="685"/>
      <c r="I311" s="685"/>
      <c r="J311" s="685"/>
      <c r="K311" s="685"/>
      <c r="L311" s="686"/>
      <c r="M311" s="26"/>
      <c r="N311" s="26"/>
      <c r="O311" s="26"/>
      <c r="P311" s="26"/>
      <c r="Q311" s="26"/>
    </row>
    <row r="312" spans="1:17" ht="16.5" hidden="1" customHeight="1">
      <c r="A312" s="684" t="s">
        <v>214</v>
      </c>
      <c r="B312" s="685"/>
      <c r="C312" s="685"/>
      <c r="D312" s="685"/>
      <c r="E312" s="685"/>
      <c r="F312" s="685"/>
      <c r="G312" s="685"/>
      <c r="H312" s="685"/>
      <c r="I312" s="685"/>
      <c r="J312" s="685"/>
      <c r="K312" s="685"/>
      <c r="L312" s="686"/>
      <c r="M312" s="26"/>
      <c r="N312" s="26"/>
      <c r="O312" s="26"/>
      <c r="P312" s="26"/>
      <c r="Q312" s="26"/>
    </row>
    <row r="313" spans="1:17" ht="16.5" hidden="1" customHeight="1">
      <c r="A313" s="684" t="s">
        <v>215</v>
      </c>
      <c r="B313" s="685"/>
      <c r="C313" s="685"/>
      <c r="D313" s="685"/>
      <c r="E313" s="685"/>
      <c r="F313" s="685"/>
      <c r="G313" s="685"/>
      <c r="H313" s="685"/>
      <c r="I313" s="685"/>
      <c r="J313" s="685"/>
      <c r="K313" s="685"/>
      <c r="L313" s="686"/>
      <c r="M313" s="26"/>
      <c r="N313" s="26"/>
      <c r="O313" s="26"/>
      <c r="P313" s="26"/>
      <c r="Q313" s="26"/>
    </row>
    <row r="314" spans="1:17" ht="16.5" hidden="1" customHeight="1">
      <c r="A314" s="613" t="s">
        <v>219</v>
      </c>
      <c r="B314" s="614"/>
      <c r="C314" s="614"/>
      <c r="D314" s="614"/>
      <c r="E314" s="614"/>
      <c r="F314" s="614"/>
      <c r="G314" s="614"/>
      <c r="H314" s="614"/>
      <c r="I314" s="614"/>
      <c r="J314" s="614"/>
      <c r="K314" s="614"/>
      <c r="L314" s="615"/>
      <c r="M314" s="26"/>
      <c r="N314" s="26"/>
      <c r="O314" s="26"/>
      <c r="P314" s="26"/>
      <c r="Q314" s="26"/>
    </row>
    <row r="315" spans="1:17" ht="16.5" hidden="1" customHeight="1">
      <c r="A315" s="684" t="s">
        <v>216</v>
      </c>
      <c r="B315" s="685"/>
      <c r="C315" s="685"/>
      <c r="D315" s="685"/>
      <c r="E315" s="685"/>
      <c r="F315" s="685"/>
      <c r="G315" s="685"/>
      <c r="H315" s="685"/>
      <c r="I315" s="685"/>
      <c r="J315" s="685"/>
      <c r="K315" s="685"/>
      <c r="L315" s="686"/>
      <c r="M315" s="26"/>
      <c r="N315" s="26"/>
      <c r="O315" s="26"/>
      <c r="P315" s="26"/>
      <c r="Q315" s="26"/>
    </row>
    <row r="316" spans="1:17" ht="40.5" hidden="1" customHeight="1">
      <c r="A316" s="613" t="s">
        <v>402</v>
      </c>
      <c r="B316" s="614"/>
      <c r="C316" s="614"/>
      <c r="D316" s="614"/>
      <c r="E316" s="614"/>
      <c r="F316" s="614"/>
      <c r="G316" s="614"/>
      <c r="H316" s="614"/>
      <c r="I316" s="614"/>
      <c r="J316" s="614"/>
      <c r="K316" s="614"/>
      <c r="L316" s="615"/>
      <c r="M316" s="26"/>
      <c r="N316" s="26"/>
      <c r="O316" s="26"/>
      <c r="P316" s="26"/>
      <c r="Q316" s="26"/>
    </row>
    <row r="317" spans="1:17" ht="16.5" hidden="1" customHeight="1">
      <c r="A317" s="613" t="s">
        <v>220</v>
      </c>
      <c r="B317" s="614"/>
      <c r="C317" s="614"/>
      <c r="D317" s="614"/>
      <c r="E317" s="614"/>
      <c r="F317" s="614"/>
      <c r="G317" s="614"/>
      <c r="H317" s="614"/>
      <c r="I317" s="614"/>
      <c r="J317" s="614"/>
      <c r="K317" s="614"/>
      <c r="L317" s="615"/>
      <c r="M317" s="26"/>
      <c r="N317" s="26"/>
      <c r="O317" s="26"/>
      <c r="P317" s="26"/>
      <c r="Q317" s="26"/>
    </row>
    <row r="318" spans="1:17" ht="16.5" hidden="1" customHeight="1">
      <c r="A318" s="684" t="s">
        <v>217</v>
      </c>
      <c r="B318" s="685"/>
      <c r="C318" s="685"/>
      <c r="D318" s="685"/>
      <c r="E318" s="685"/>
      <c r="F318" s="685"/>
      <c r="G318" s="685"/>
      <c r="H318" s="685"/>
      <c r="I318" s="685"/>
      <c r="J318" s="685"/>
      <c r="K318" s="685"/>
      <c r="L318" s="686"/>
      <c r="M318" s="26"/>
      <c r="N318" s="26"/>
      <c r="O318" s="26"/>
      <c r="P318" s="26"/>
      <c r="Q318" s="26"/>
    </row>
    <row r="319" spans="1:17" ht="16.5" hidden="1" customHeight="1">
      <c r="A319" s="684" t="s">
        <v>218</v>
      </c>
      <c r="B319" s="685"/>
      <c r="C319" s="685"/>
      <c r="D319" s="685"/>
      <c r="E319" s="685"/>
      <c r="F319" s="685"/>
      <c r="G319" s="685"/>
      <c r="H319" s="685"/>
      <c r="I319" s="685"/>
      <c r="J319" s="685"/>
      <c r="K319" s="685"/>
      <c r="L319" s="686"/>
      <c r="M319" s="26"/>
      <c r="N319" s="26"/>
      <c r="O319" s="26"/>
      <c r="P319" s="26"/>
      <c r="Q319" s="26"/>
    </row>
    <row r="320" spans="1:17" ht="31.5" hidden="1" customHeight="1">
      <c r="A320" s="937" t="s">
        <v>597</v>
      </c>
      <c r="B320" s="614"/>
      <c r="C320" s="614"/>
      <c r="D320" s="614"/>
      <c r="E320" s="614"/>
      <c r="F320" s="614"/>
      <c r="G320" s="614"/>
      <c r="H320" s="614"/>
      <c r="I320" s="614"/>
      <c r="J320" s="614"/>
      <c r="K320" s="614"/>
      <c r="L320" s="615"/>
      <c r="M320" s="26"/>
      <c r="N320" s="26"/>
      <c r="O320" s="26"/>
      <c r="P320" s="26"/>
      <c r="Q320" s="26"/>
    </row>
    <row r="321" spans="1:18" ht="16.5" hidden="1" customHeight="1">
      <c r="A321" s="684" t="s">
        <v>217</v>
      </c>
      <c r="B321" s="685"/>
      <c r="C321" s="685"/>
      <c r="D321" s="685"/>
      <c r="E321" s="685"/>
      <c r="F321" s="685"/>
      <c r="G321" s="685"/>
      <c r="H321" s="685"/>
      <c r="I321" s="685"/>
      <c r="J321" s="685"/>
      <c r="K321" s="685"/>
      <c r="L321" s="686"/>
      <c r="M321" s="26"/>
      <c r="N321" s="26"/>
      <c r="O321" s="26"/>
      <c r="P321" s="26"/>
      <c r="Q321" s="26"/>
    </row>
    <row r="322" spans="1:18" ht="16.5" hidden="1" customHeight="1">
      <c r="A322" s="684" t="s">
        <v>218</v>
      </c>
      <c r="B322" s="685"/>
      <c r="C322" s="685"/>
      <c r="D322" s="685"/>
      <c r="E322" s="685"/>
      <c r="F322" s="685"/>
      <c r="G322" s="685"/>
      <c r="H322" s="685"/>
      <c r="I322" s="685"/>
      <c r="J322" s="685"/>
      <c r="K322" s="685"/>
      <c r="L322" s="686"/>
      <c r="M322" s="26"/>
      <c r="N322" s="26"/>
      <c r="O322" s="26"/>
      <c r="P322" s="26"/>
      <c r="Q322" s="26"/>
    </row>
    <row r="323" spans="1:18" ht="16.5" hidden="1" customHeight="1">
      <c r="A323" s="613" t="s">
        <v>404</v>
      </c>
      <c r="B323" s="614"/>
      <c r="C323" s="614"/>
      <c r="D323" s="614"/>
      <c r="E323" s="614"/>
      <c r="F323" s="614"/>
      <c r="G323" s="614"/>
      <c r="H323" s="614"/>
      <c r="I323" s="614"/>
      <c r="J323" s="614"/>
      <c r="K323" s="614"/>
      <c r="L323" s="615"/>
      <c r="M323" s="26"/>
      <c r="N323" s="26"/>
      <c r="O323" s="26"/>
      <c r="P323" s="26"/>
      <c r="Q323" s="26"/>
    </row>
    <row r="324" spans="1:18" ht="16.5" hidden="1" customHeight="1">
      <c r="A324" s="684" t="s">
        <v>221</v>
      </c>
      <c r="B324" s="685"/>
      <c r="C324" s="685"/>
      <c r="D324" s="685"/>
      <c r="E324" s="685"/>
      <c r="F324" s="685"/>
      <c r="G324" s="685"/>
      <c r="H324" s="685"/>
      <c r="I324" s="685"/>
      <c r="J324" s="685"/>
      <c r="K324" s="685"/>
      <c r="L324" s="686"/>
      <c r="M324" s="26"/>
      <c r="N324" s="26"/>
      <c r="O324" s="26"/>
      <c r="P324" s="26"/>
      <c r="Q324" s="26"/>
    </row>
    <row r="325" spans="1:18" ht="16.5" hidden="1" customHeight="1" thickBot="1">
      <c r="A325" s="684" t="s">
        <v>673</v>
      </c>
      <c r="B325" s="685"/>
      <c r="C325" s="685"/>
      <c r="D325" s="685"/>
      <c r="E325" s="685"/>
      <c r="F325" s="685"/>
      <c r="G325" s="685"/>
      <c r="H325" s="685"/>
      <c r="I325" s="685"/>
      <c r="J325" s="685"/>
      <c r="K325" s="685"/>
      <c r="L325" s="686"/>
      <c r="M325" s="26"/>
      <c r="N325" s="26"/>
      <c r="O325" s="26"/>
      <c r="P325" s="26"/>
      <c r="Q325" s="26"/>
    </row>
    <row r="326" spans="1:18" s="69" customFormat="1" ht="16.5" hidden="1" customHeight="1" thickTop="1">
      <c r="A326" s="82" t="s">
        <v>23</v>
      </c>
      <c r="B326" s="987" t="s">
        <v>24</v>
      </c>
      <c r="C326" s="988"/>
      <c r="D326" s="83" t="s">
        <v>25</v>
      </c>
      <c r="E326" s="987" t="s">
        <v>26</v>
      </c>
      <c r="F326" s="391"/>
      <c r="G326" s="988"/>
      <c r="H326" s="83" t="s">
        <v>48</v>
      </c>
      <c r="I326" s="83" t="s">
        <v>49</v>
      </c>
      <c r="J326" s="987" t="s">
        <v>52</v>
      </c>
      <c r="K326" s="988"/>
      <c r="L326" s="83" t="s">
        <v>53</v>
      </c>
      <c r="M326" s="84" t="s">
        <v>54</v>
      </c>
      <c r="R326" s="367"/>
    </row>
    <row r="327" spans="1:18" s="43" customFormat="1" ht="27.75" hidden="1" customHeight="1" thickBot="1">
      <c r="A327" s="997" t="s">
        <v>222</v>
      </c>
      <c r="B327" s="989" t="s">
        <v>223</v>
      </c>
      <c r="C327" s="990"/>
      <c r="D327" s="989" t="s">
        <v>594</v>
      </c>
      <c r="E327" s="991" t="s">
        <v>224</v>
      </c>
      <c r="F327" s="1008"/>
      <c r="G327" s="992"/>
      <c r="H327" s="1009" t="s">
        <v>227</v>
      </c>
      <c r="I327" s="1009" t="s">
        <v>230</v>
      </c>
      <c r="J327" s="989" t="s">
        <v>403</v>
      </c>
      <c r="K327" s="990"/>
      <c r="L327" s="1009" t="s">
        <v>229</v>
      </c>
      <c r="M327" s="985" t="s">
        <v>228</v>
      </c>
      <c r="R327" s="352"/>
    </row>
    <row r="328" spans="1:18" s="68" customFormat="1" ht="59.25" hidden="1" customHeight="1" thickBot="1">
      <c r="A328" s="998"/>
      <c r="B328" s="85" t="s">
        <v>157</v>
      </c>
      <c r="C328" s="86" t="s">
        <v>158</v>
      </c>
      <c r="D328" s="991"/>
      <c r="E328" s="999" t="s">
        <v>225</v>
      </c>
      <c r="F328" s="1000"/>
      <c r="G328" s="87" t="s">
        <v>226</v>
      </c>
      <c r="H328" s="1010"/>
      <c r="I328" s="1010"/>
      <c r="J328" s="991"/>
      <c r="K328" s="992"/>
      <c r="L328" s="1010"/>
      <c r="M328" s="986"/>
      <c r="R328" s="368"/>
    </row>
    <row r="329" spans="1:18" s="97" customFormat="1" ht="16.5" hidden="1" customHeight="1" thickBot="1">
      <c r="A329" s="159"/>
      <c r="B329" s="263"/>
      <c r="C329" s="263"/>
      <c r="D329" s="204"/>
      <c r="E329" s="1011"/>
      <c r="F329" s="1012"/>
      <c r="G329" s="204"/>
      <c r="H329" s="204"/>
      <c r="I329" s="205">
        <f>MIN(0, H329 - G329)</f>
        <v>0</v>
      </c>
      <c r="J329" s="198"/>
      <c r="K329" s="204"/>
      <c r="L329" s="205">
        <f t="shared" ref="L329:L338" si="16">IF(J329 = "EMPLOYEE",K329 - H329, 0)</f>
        <v>0</v>
      </c>
      <c r="M329" s="206">
        <f t="shared" ref="M329:M338" si="17">IF(J329 = "EMPLOYER",K329 - H329, 0)</f>
        <v>0</v>
      </c>
      <c r="R329" s="361"/>
    </row>
    <row r="330" spans="1:18" ht="16.5" hidden="1" customHeight="1" thickBot="1">
      <c r="A330" s="1018"/>
      <c r="B330" s="1019"/>
      <c r="C330" s="1019"/>
      <c r="D330" s="1020"/>
      <c r="E330" s="1011"/>
      <c r="F330" s="1012"/>
      <c r="G330" s="204"/>
      <c r="H330" s="204"/>
      <c r="I330" s="205">
        <f t="shared" ref="I330:I338" si="18">MIN(0, H330 - G330)</f>
        <v>0</v>
      </c>
      <c r="J330" s="198"/>
      <c r="K330" s="204"/>
      <c r="L330" s="205">
        <f t="shared" si="16"/>
        <v>0</v>
      </c>
      <c r="M330" s="206">
        <f t="shared" si="17"/>
        <v>0</v>
      </c>
      <c r="N330" s="26"/>
      <c r="O330" s="26"/>
      <c r="P330" s="26"/>
      <c r="Q330" s="26"/>
    </row>
    <row r="331" spans="1:18" ht="15.75" hidden="1" thickBot="1">
      <c r="A331" s="1021"/>
      <c r="B331" s="1022"/>
      <c r="C331" s="1022"/>
      <c r="D331" s="1023"/>
      <c r="E331" s="1011"/>
      <c r="F331" s="1012"/>
      <c r="G331" s="204"/>
      <c r="H331" s="204"/>
      <c r="I331" s="205">
        <f t="shared" si="18"/>
        <v>0</v>
      </c>
      <c r="J331" s="198"/>
      <c r="K331" s="204"/>
      <c r="L331" s="205">
        <f t="shared" si="16"/>
        <v>0</v>
      </c>
      <c r="M331" s="206">
        <f t="shared" si="17"/>
        <v>0</v>
      </c>
    </row>
    <row r="332" spans="1:18" ht="15.75" hidden="1" thickBot="1">
      <c r="A332" s="1021"/>
      <c r="B332" s="1022"/>
      <c r="C332" s="1022"/>
      <c r="D332" s="1023"/>
      <c r="E332" s="1011"/>
      <c r="F332" s="1012"/>
      <c r="G332" s="204"/>
      <c r="H332" s="204"/>
      <c r="I332" s="205">
        <f t="shared" si="18"/>
        <v>0</v>
      </c>
      <c r="J332" s="198"/>
      <c r="K332" s="204"/>
      <c r="L332" s="205">
        <f t="shared" si="16"/>
        <v>0</v>
      </c>
      <c r="M332" s="206">
        <f t="shared" si="17"/>
        <v>0</v>
      </c>
    </row>
    <row r="333" spans="1:18" ht="15.75" hidden="1" thickBot="1">
      <c r="A333" s="1021"/>
      <c r="B333" s="1022"/>
      <c r="C333" s="1022"/>
      <c r="D333" s="1023"/>
      <c r="E333" s="1011"/>
      <c r="F333" s="1012"/>
      <c r="G333" s="204"/>
      <c r="H333" s="204"/>
      <c r="I333" s="205">
        <f t="shared" si="18"/>
        <v>0</v>
      </c>
      <c r="J333" s="198"/>
      <c r="K333" s="204"/>
      <c r="L333" s="205">
        <f t="shared" si="16"/>
        <v>0</v>
      </c>
      <c r="M333" s="206">
        <f t="shared" si="17"/>
        <v>0</v>
      </c>
    </row>
    <row r="334" spans="1:18" ht="15.75" hidden="1" thickBot="1">
      <c r="A334" s="1021"/>
      <c r="B334" s="1022"/>
      <c r="C334" s="1022"/>
      <c r="D334" s="1023"/>
      <c r="E334" s="1011"/>
      <c r="F334" s="1012"/>
      <c r="G334" s="204"/>
      <c r="H334" s="204"/>
      <c r="I334" s="205">
        <f t="shared" si="18"/>
        <v>0</v>
      </c>
      <c r="J334" s="198"/>
      <c r="K334" s="204"/>
      <c r="L334" s="205">
        <f t="shared" si="16"/>
        <v>0</v>
      </c>
      <c r="M334" s="206">
        <f t="shared" si="17"/>
        <v>0</v>
      </c>
    </row>
    <row r="335" spans="1:18" ht="15.75" hidden="1" thickBot="1">
      <c r="A335" s="1021"/>
      <c r="B335" s="1022"/>
      <c r="C335" s="1022"/>
      <c r="D335" s="1023"/>
      <c r="E335" s="1011"/>
      <c r="F335" s="1012"/>
      <c r="G335" s="204"/>
      <c r="H335" s="204"/>
      <c r="I335" s="205">
        <f t="shared" si="18"/>
        <v>0</v>
      </c>
      <c r="J335" s="198"/>
      <c r="K335" s="204"/>
      <c r="L335" s="205">
        <f t="shared" si="16"/>
        <v>0</v>
      </c>
      <c r="M335" s="206">
        <f t="shared" si="17"/>
        <v>0</v>
      </c>
    </row>
    <row r="336" spans="1:18" ht="15.75" hidden="1" thickBot="1">
      <c r="A336" s="1021"/>
      <c r="B336" s="1022"/>
      <c r="C336" s="1022"/>
      <c r="D336" s="1023"/>
      <c r="E336" s="1011"/>
      <c r="F336" s="1012"/>
      <c r="G336" s="204"/>
      <c r="H336" s="204"/>
      <c r="I336" s="205">
        <f t="shared" si="18"/>
        <v>0</v>
      </c>
      <c r="J336" s="198"/>
      <c r="K336" s="204"/>
      <c r="L336" s="205">
        <f t="shared" si="16"/>
        <v>0</v>
      </c>
      <c r="M336" s="206">
        <f t="shared" si="17"/>
        <v>0</v>
      </c>
    </row>
    <row r="337" spans="1:18" ht="15.75" hidden="1" thickBot="1">
      <c r="A337" s="1021"/>
      <c r="B337" s="1022"/>
      <c r="C337" s="1022"/>
      <c r="D337" s="1023"/>
      <c r="E337" s="1011"/>
      <c r="F337" s="1012"/>
      <c r="G337" s="204"/>
      <c r="H337" s="204"/>
      <c r="I337" s="205">
        <f t="shared" si="18"/>
        <v>0</v>
      </c>
      <c r="J337" s="198"/>
      <c r="K337" s="204"/>
      <c r="L337" s="205">
        <f t="shared" si="16"/>
        <v>0</v>
      </c>
      <c r="M337" s="206">
        <f t="shared" si="17"/>
        <v>0</v>
      </c>
    </row>
    <row r="338" spans="1:18" ht="15.75" hidden="1" thickBot="1">
      <c r="A338" s="1021"/>
      <c r="B338" s="1022"/>
      <c r="C338" s="1022"/>
      <c r="D338" s="1023"/>
      <c r="E338" s="1015"/>
      <c r="F338" s="1016"/>
      <c r="G338" s="204"/>
      <c r="H338" s="204"/>
      <c r="I338" s="206">
        <f t="shared" si="18"/>
        <v>0</v>
      </c>
      <c r="J338" s="208"/>
      <c r="K338" s="204"/>
      <c r="L338" s="205">
        <f t="shared" si="16"/>
        <v>0</v>
      </c>
      <c r="M338" s="206">
        <f t="shared" si="17"/>
        <v>0</v>
      </c>
    </row>
    <row r="339" spans="1:18" s="70" customFormat="1" ht="15.75" hidden="1" thickBot="1">
      <c r="A339" s="1021"/>
      <c r="B339" s="1022"/>
      <c r="C339" s="1022"/>
      <c r="D339" s="1023"/>
      <c r="E339" s="1027" t="s">
        <v>231</v>
      </c>
      <c r="F339" s="1028"/>
      <c r="G339" s="205">
        <f>SUM(G329:G338)</f>
        <v>0</v>
      </c>
      <c r="H339" s="1029"/>
      <c r="I339" s="206">
        <f>SUM(I329:I338)</f>
        <v>0</v>
      </c>
      <c r="J339" s="586"/>
      <c r="K339" s="586"/>
      <c r="L339" s="205">
        <f>SUM(L329:L338)</f>
        <v>0</v>
      </c>
      <c r="M339" s="206">
        <f>SUM(M329:M338)</f>
        <v>0</v>
      </c>
      <c r="R339" s="369"/>
    </row>
    <row r="340" spans="1:18" s="70" customFormat="1" ht="26.25" hidden="1" customHeight="1" thickBot="1">
      <c r="A340" s="1021"/>
      <c r="B340" s="1022"/>
      <c r="C340" s="1022"/>
      <c r="D340" s="1023"/>
      <c r="E340" s="1031" t="s">
        <v>600</v>
      </c>
      <c r="F340" s="1032"/>
      <c r="G340" s="205">
        <f>G339-D329</f>
        <v>0</v>
      </c>
      <c r="H340" s="1030"/>
      <c r="I340" s="206"/>
      <c r="J340" s="1017"/>
      <c r="K340" s="1017"/>
      <c r="L340" s="586"/>
      <c r="M340" s="587"/>
      <c r="R340" s="369"/>
    </row>
    <row r="341" spans="1:18" ht="16.5" hidden="1" customHeight="1" thickBot="1">
      <c r="A341" s="1024"/>
      <c r="B341" s="1025"/>
      <c r="C341" s="1025"/>
      <c r="D341" s="1026"/>
      <c r="E341" s="1033" t="s">
        <v>399</v>
      </c>
      <c r="F341" s="1033"/>
      <c r="G341" s="1033"/>
      <c r="H341" s="1034"/>
      <c r="I341" s="206">
        <f>IF(G340&gt;0,I339,I339+G340)</f>
        <v>0</v>
      </c>
      <c r="J341" s="588"/>
      <c r="K341" s="588"/>
      <c r="L341" s="588"/>
      <c r="M341" s="589"/>
    </row>
    <row r="342" spans="1:18" ht="15.75" hidden="1" thickTop="1">
      <c r="A342" s="82" t="s">
        <v>23</v>
      </c>
      <c r="B342" s="987" t="s">
        <v>24</v>
      </c>
      <c r="C342" s="988"/>
      <c r="D342" s="83" t="s">
        <v>25</v>
      </c>
      <c r="E342" s="987" t="s">
        <v>26</v>
      </c>
      <c r="F342" s="391"/>
      <c r="G342" s="988"/>
      <c r="H342" s="83" t="s">
        <v>48</v>
      </c>
      <c r="I342" s="207" t="s">
        <v>49</v>
      </c>
      <c r="J342" s="391" t="s">
        <v>52</v>
      </c>
      <c r="K342" s="988"/>
      <c r="L342" s="83" t="s">
        <v>53</v>
      </c>
      <c r="M342" s="207" t="s">
        <v>54</v>
      </c>
    </row>
    <row r="343" spans="1:18" ht="27.75" hidden="1" customHeight="1" thickBot="1">
      <c r="A343" s="997" t="s">
        <v>222</v>
      </c>
      <c r="B343" s="989" t="s">
        <v>223</v>
      </c>
      <c r="C343" s="990"/>
      <c r="D343" s="989" t="s">
        <v>595</v>
      </c>
      <c r="E343" s="991" t="s">
        <v>224</v>
      </c>
      <c r="F343" s="1008"/>
      <c r="G343" s="992"/>
      <c r="H343" s="1009" t="s">
        <v>227</v>
      </c>
      <c r="I343" s="1009" t="s">
        <v>230</v>
      </c>
      <c r="J343" s="1014" t="s">
        <v>403</v>
      </c>
      <c r="K343" s="990"/>
      <c r="L343" s="1009" t="s">
        <v>229</v>
      </c>
      <c r="M343" s="1009" t="s">
        <v>228</v>
      </c>
    </row>
    <row r="344" spans="1:18" ht="60" hidden="1" customHeight="1" thickBot="1">
      <c r="A344" s="998"/>
      <c r="B344" s="85" t="s">
        <v>157</v>
      </c>
      <c r="C344" s="86" t="s">
        <v>158</v>
      </c>
      <c r="D344" s="991"/>
      <c r="E344" s="999" t="s">
        <v>225</v>
      </c>
      <c r="F344" s="1000"/>
      <c r="G344" s="87" t="s">
        <v>226</v>
      </c>
      <c r="H344" s="1010"/>
      <c r="I344" s="1010"/>
      <c r="J344" s="1008"/>
      <c r="K344" s="992"/>
      <c r="L344" s="1010"/>
      <c r="M344" s="1010"/>
    </row>
    <row r="345" spans="1:18" ht="15.75" hidden="1" thickBot="1">
      <c r="A345" s="159"/>
      <c r="B345" s="263"/>
      <c r="C345" s="263"/>
      <c r="D345" s="204"/>
      <c r="E345" s="1011"/>
      <c r="F345" s="1012"/>
      <c r="G345" s="204"/>
      <c r="H345" s="204"/>
      <c r="I345" s="206">
        <f>MIN(0, H345 - G345)</f>
        <v>0</v>
      </c>
      <c r="J345" s="209"/>
      <c r="K345" s="204"/>
      <c r="L345" s="205">
        <f t="shared" ref="L345:L354" si="19">IF(J345 = "EMPLOYEE",K345 - H345, 0)</f>
        <v>0</v>
      </c>
      <c r="M345" s="206">
        <f t="shared" ref="M345:M354" si="20">IF(J345 = "EMPLOYER",K345 - H345, 0)</f>
        <v>0</v>
      </c>
    </row>
    <row r="346" spans="1:18" ht="15.75" hidden="1" thickBot="1">
      <c r="A346" s="1018"/>
      <c r="B346" s="1019"/>
      <c r="C346" s="1019"/>
      <c r="D346" s="1020"/>
      <c r="E346" s="1011"/>
      <c r="F346" s="1012"/>
      <c r="G346" s="204"/>
      <c r="H346" s="204"/>
      <c r="I346" s="206">
        <f t="shared" ref="I346:I354" si="21">MIN(0, H346 - G346)</f>
        <v>0</v>
      </c>
      <c r="J346" s="209"/>
      <c r="K346" s="204"/>
      <c r="L346" s="205">
        <f t="shared" si="19"/>
        <v>0</v>
      </c>
      <c r="M346" s="206">
        <f t="shared" si="20"/>
        <v>0</v>
      </c>
    </row>
    <row r="347" spans="1:18" ht="15.75" hidden="1" thickBot="1">
      <c r="A347" s="1021"/>
      <c r="B347" s="1022"/>
      <c r="C347" s="1022"/>
      <c r="D347" s="1023"/>
      <c r="E347" s="1011"/>
      <c r="F347" s="1012"/>
      <c r="G347" s="204"/>
      <c r="H347" s="204"/>
      <c r="I347" s="206">
        <f t="shared" si="21"/>
        <v>0</v>
      </c>
      <c r="J347" s="209"/>
      <c r="K347" s="204"/>
      <c r="L347" s="205">
        <f t="shared" si="19"/>
        <v>0</v>
      </c>
      <c r="M347" s="206">
        <f t="shared" si="20"/>
        <v>0</v>
      </c>
    </row>
    <row r="348" spans="1:18" ht="15.75" hidden="1" thickBot="1">
      <c r="A348" s="1021"/>
      <c r="B348" s="1022"/>
      <c r="C348" s="1022"/>
      <c r="D348" s="1023"/>
      <c r="E348" s="1011"/>
      <c r="F348" s="1012"/>
      <c r="G348" s="204"/>
      <c r="H348" s="204"/>
      <c r="I348" s="206">
        <f t="shared" si="21"/>
        <v>0</v>
      </c>
      <c r="J348" s="209"/>
      <c r="K348" s="204"/>
      <c r="L348" s="205">
        <f t="shared" si="19"/>
        <v>0</v>
      </c>
      <c r="M348" s="206">
        <f t="shared" si="20"/>
        <v>0</v>
      </c>
    </row>
    <row r="349" spans="1:18" ht="15.75" hidden="1" thickBot="1">
      <c r="A349" s="1021"/>
      <c r="B349" s="1022"/>
      <c r="C349" s="1022"/>
      <c r="D349" s="1023"/>
      <c r="E349" s="1011"/>
      <c r="F349" s="1012"/>
      <c r="G349" s="204"/>
      <c r="H349" s="204"/>
      <c r="I349" s="206">
        <f t="shared" si="21"/>
        <v>0</v>
      </c>
      <c r="J349" s="209"/>
      <c r="K349" s="204"/>
      <c r="L349" s="205">
        <f t="shared" si="19"/>
        <v>0</v>
      </c>
      <c r="M349" s="206">
        <f t="shared" si="20"/>
        <v>0</v>
      </c>
    </row>
    <row r="350" spans="1:18" ht="15.75" hidden="1" thickBot="1">
      <c r="A350" s="1021"/>
      <c r="B350" s="1022"/>
      <c r="C350" s="1022"/>
      <c r="D350" s="1023"/>
      <c r="E350" s="1011"/>
      <c r="F350" s="1012"/>
      <c r="G350" s="204"/>
      <c r="H350" s="204"/>
      <c r="I350" s="206">
        <f t="shared" si="21"/>
        <v>0</v>
      </c>
      <c r="J350" s="209"/>
      <c r="K350" s="204"/>
      <c r="L350" s="205">
        <f t="shared" si="19"/>
        <v>0</v>
      </c>
      <c r="M350" s="206">
        <f t="shared" si="20"/>
        <v>0</v>
      </c>
    </row>
    <row r="351" spans="1:18" ht="15.75" hidden="1" thickBot="1">
      <c r="A351" s="1021"/>
      <c r="B351" s="1022"/>
      <c r="C351" s="1022"/>
      <c r="D351" s="1023"/>
      <c r="E351" s="1011"/>
      <c r="F351" s="1012"/>
      <c r="G351" s="204"/>
      <c r="H351" s="204"/>
      <c r="I351" s="206">
        <f t="shared" si="21"/>
        <v>0</v>
      </c>
      <c r="J351" s="209"/>
      <c r="K351" s="204"/>
      <c r="L351" s="205">
        <f t="shared" si="19"/>
        <v>0</v>
      </c>
      <c r="M351" s="206">
        <f t="shared" si="20"/>
        <v>0</v>
      </c>
    </row>
    <row r="352" spans="1:18" ht="15.75" hidden="1" thickBot="1">
      <c r="A352" s="1021"/>
      <c r="B352" s="1022"/>
      <c r="C352" s="1022"/>
      <c r="D352" s="1023"/>
      <c r="E352" s="1011"/>
      <c r="F352" s="1012"/>
      <c r="G352" s="204"/>
      <c r="H352" s="204"/>
      <c r="I352" s="206">
        <f t="shared" si="21"/>
        <v>0</v>
      </c>
      <c r="J352" s="209"/>
      <c r="K352" s="204"/>
      <c r="L352" s="205">
        <f t="shared" si="19"/>
        <v>0</v>
      </c>
      <c r="M352" s="206">
        <f t="shared" si="20"/>
        <v>0</v>
      </c>
    </row>
    <row r="353" spans="1:13" ht="15.75" hidden="1" thickBot="1">
      <c r="A353" s="1021"/>
      <c r="B353" s="1022"/>
      <c r="C353" s="1022"/>
      <c r="D353" s="1023"/>
      <c r="E353" s="1011"/>
      <c r="F353" s="1012"/>
      <c r="G353" s="204"/>
      <c r="H353" s="204"/>
      <c r="I353" s="206">
        <f t="shared" si="21"/>
        <v>0</v>
      </c>
      <c r="J353" s="209"/>
      <c r="K353" s="204"/>
      <c r="L353" s="205">
        <f t="shared" si="19"/>
        <v>0</v>
      </c>
      <c r="M353" s="206">
        <f t="shared" si="20"/>
        <v>0</v>
      </c>
    </row>
    <row r="354" spans="1:13" ht="15.75" hidden="1" thickBot="1">
      <c r="A354" s="1021"/>
      <c r="B354" s="1022"/>
      <c r="C354" s="1022"/>
      <c r="D354" s="1023"/>
      <c r="E354" s="1015"/>
      <c r="F354" s="1016"/>
      <c r="G354" s="204"/>
      <c r="H354" s="204"/>
      <c r="I354" s="206">
        <f t="shared" si="21"/>
        <v>0</v>
      </c>
      <c r="J354" s="208"/>
      <c r="K354" s="204"/>
      <c r="L354" s="205">
        <f t="shared" si="19"/>
        <v>0</v>
      </c>
      <c r="M354" s="206">
        <f t="shared" si="20"/>
        <v>0</v>
      </c>
    </row>
    <row r="355" spans="1:13" ht="15.75" hidden="1" customHeight="1" thickBot="1">
      <c r="A355" s="1021"/>
      <c r="B355" s="1022"/>
      <c r="C355" s="1022"/>
      <c r="D355" s="1023"/>
      <c r="E355" s="1027" t="s">
        <v>231</v>
      </c>
      <c r="F355" s="1028"/>
      <c r="G355" s="205">
        <f>SUM(G345:G354)</f>
        <v>0</v>
      </c>
      <c r="H355" s="1029"/>
      <c r="I355" s="206">
        <f>SUM(I345:I354)</f>
        <v>0</v>
      </c>
      <c r="J355" s="586"/>
      <c r="K355" s="586"/>
      <c r="L355" s="205">
        <f>SUM(L345:L354)</f>
        <v>0</v>
      </c>
      <c r="M355" s="206">
        <f>SUM(M345:M354)</f>
        <v>0</v>
      </c>
    </row>
    <row r="356" spans="1:13" ht="26.25" hidden="1" customHeight="1" thickBot="1">
      <c r="A356" s="1021"/>
      <c r="B356" s="1022"/>
      <c r="C356" s="1022"/>
      <c r="D356" s="1023"/>
      <c r="E356" s="1031" t="s">
        <v>601</v>
      </c>
      <c r="F356" s="1032"/>
      <c r="G356" s="205">
        <f>G355-D345</f>
        <v>0</v>
      </c>
      <c r="H356" s="1030"/>
      <c r="I356" s="206"/>
      <c r="J356" s="1017"/>
      <c r="K356" s="1017"/>
      <c r="L356" s="586"/>
      <c r="M356" s="587"/>
    </row>
    <row r="357" spans="1:13" ht="15.75" hidden="1" customHeight="1" thickBot="1">
      <c r="A357" s="1024"/>
      <c r="B357" s="1025"/>
      <c r="C357" s="1025"/>
      <c r="D357" s="1026"/>
      <c r="E357" s="1033" t="s">
        <v>399</v>
      </c>
      <c r="F357" s="1033"/>
      <c r="G357" s="1033"/>
      <c r="H357" s="1034"/>
      <c r="I357" s="206">
        <f>IF(G356&gt;0,I355,I355+G356)</f>
        <v>0</v>
      </c>
      <c r="J357" s="588"/>
      <c r="K357" s="588"/>
      <c r="L357" s="588"/>
      <c r="M357" s="589"/>
    </row>
    <row r="358" spans="1:13" ht="15.75" hidden="1" thickTop="1">
      <c r="A358" s="82" t="s">
        <v>23</v>
      </c>
      <c r="B358" s="987" t="s">
        <v>24</v>
      </c>
      <c r="C358" s="988"/>
      <c r="D358" s="83" t="s">
        <v>25</v>
      </c>
      <c r="E358" s="987" t="s">
        <v>26</v>
      </c>
      <c r="F358" s="391"/>
      <c r="G358" s="988"/>
      <c r="H358" s="83" t="s">
        <v>48</v>
      </c>
      <c r="I358" s="207" t="s">
        <v>49</v>
      </c>
      <c r="J358" s="391" t="s">
        <v>52</v>
      </c>
      <c r="K358" s="988"/>
      <c r="L358" s="83" t="s">
        <v>53</v>
      </c>
      <c r="M358" s="207" t="s">
        <v>54</v>
      </c>
    </row>
    <row r="359" spans="1:13" ht="28.5" hidden="1" customHeight="1" thickBot="1">
      <c r="A359" s="997" t="s">
        <v>222</v>
      </c>
      <c r="B359" s="989" t="s">
        <v>223</v>
      </c>
      <c r="C359" s="990"/>
      <c r="D359" s="989" t="s">
        <v>595</v>
      </c>
      <c r="E359" s="991" t="s">
        <v>224</v>
      </c>
      <c r="F359" s="1008"/>
      <c r="G359" s="992"/>
      <c r="H359" s="1009" t="s">
        <v>227</v>
      </c>
      <c r="I359" s="1009" t="s">
        <v>230</v>
      </c>
      <c r="J359" s="1014" t="s">
        <v>403</v>
      </c>
      <c r="K359" s="990"/>
      <c r="L359" s="1009" t="s">
        <v>229</v>
      </c>
      <c r="M359" s="1009" t="s">
        <v>228</v>
      </c>
    </row>
    <row r="360" spans="1:13" ht="60" hidden="1" customHeight="1" thickBot="1">
      <c r="A360" s="998"/>
      <c r="B360" s="85" t="s">
        <v>157</v>
      </c>
      <c r="C360" s="86" t="s">
        <v>158</v>
      </c>
      <c r="D360" s="991"/>
      <c r="E360" s="999" t="s">
        <v>225</v>
      </c>
      <c r="F360" s="1000"/>
      <c r="G360" s="87" t="s">
        <v>226</v>
      </c>
      <c r="H360" s="1010"/>
      <c r="I360" s="1010"/>
      <c r="J360" s="1008"/>
      <c r="K360" s="992"/>
      <c r="L360" s="1010"/>
      <c r="M360" s="1010"/>
    </row>
    <row r="361" spans="1:13" ht="15.75" hidden="1" thickBot="1">
      <c r="A361" s="159"/>
      <c r="B361" s="263"/>
      <c r="C361" s="263"/>
      <c r="D361" s="204"/>
      <c r="E361" s="1011"/>
      <c r="F361" s="1012"/>
      <c r="G361" s="204"/>
      <c r="H361" s="204"/>
      <c r="I361" s="206">
        <f>MIN(0, H361 - G361)</f>
        <v>0</v>
      </c>
      <c r="J361" s="217"/>
      <c r="K361" s="204"/>
      <c r="L361" s="205">
        <f t="shared" ref="L361:L370" si="22">IF(J361 = "EMPLOYEE",K361 - H361, 0)</f>
        <v>0</v>
      </c>
      <c r="M361" s="206">
        <f t="shared" ref="M361:M370" si="23">IF(J361 = "EMPLOYER",K361 - H361, 0)</f>
        <v>0</v>
      </c>
    </row>
    <row r="362" spans="1:13" ht="15.75" hidden="1" thickBot="1">
      <c r="A362" s="1018"/>
      <c r="B362" s="1019"/>
      <c r="C362" s="1019"/>
      <c r="D362" s="1020"/>
      <c r="E362" s="1011"/>
      <c r="F362" s="1012"/>
      <c r="G362" s="204"/>
      <c r="H362" s="204"/>
      <c r="I362" s="206">
        <f t="shared" ref="I362:I370" si="24">MIN(0, H362 - G362)</f>
        <v>0</v>
      </c>
      <c r="J362" s="209"/>
      <c r="K362" s="204"/>
      <c r="L362" s="205">
        <f t="shared" si="22"/>
        <v>0</v>
      </c>
      <c r="M362" s="206">
        <f t="shared" si="23"/>
        <v>0</v>
      </c>
    </row>
    <row r="363" spans="1:13" ht="15.75" hidden="1" thickBot="1">
      <c r="A363" s="1021"/>
      <c r="B363" s="1022"/>
      <c r="C363" s="1022"/>
      <c r="D363" s="1023"/>
      <c r="E363" s="1011"/>
      <c r="F363" s="1012"/>
      <c r="G363" s="204"/>
      <c r="H363" s="204"/>
      <c r="I363" s="206">
        <f t="shared" si="24"/>
        <v>0</v>
      </c>
      <c r="J363" s="209"/>
      <c r="K363" s="204"/>
      <c r="L363" s="205">
        <f t="shared" si="22"/>
        <v>0</v>
      </c>
      <c r="M363" s="206">
        <f t="shared" si="23"/>
        <v>0</v>
      </c>
    </row>
    <row r="364" spans="1:13" ht="15.75" hidden="1" thickBot="1">
      <c r="A364" s="1021"/>
      <c r="B364" s="1022"/>
      <c r="C364" s="1022"/>
      <c r="D364" s="1023"/>
      <c r="E364" s="1011"/>
      <c r="F364" s="1012"/>
      <c r="G364" s="204"/>
      <c r="H364" s="204"/>
      <c r="I364" s="206">
        <f t="shared" si="24"/>
        <v>0</v>
      </c>
      <c r="J364" s="209"/>
      <c r="K364" s="204"/>
      <c r="L364" s="205">
        <f t="shared" si="22"/>
        <v>0</v>
      </c>
      <c r="M364" s="206">
        <f t="shared" si="23"/>
        <v>0</v>
      </c>
    </row>
    <row r="365" spans="1:13" ht="15.75" hidden="1" thickBot="1">
      <c r="A365" s="1021"/>
      <c r="B365" s="1022"/>
      <c r="C365" s="1022"/>
      <c r="D365" s="1023"/>
      <c r="E365" s="1011"/>
      <c r="F365" s="1012"/>
      <c r="G365" s="204"/>
      <c r="H365" s="204"/>
      <c r="I365" s="206">
        <f t="shared" si="24"/>
        <v>0</v>
      </c>
      <c r="J365" s="209"/>
      <c r="K365" s="204"/>
      <c r="L365" s="205">
        <f t="shared" si="22"/>
        <v>0</v>
      </c>
      <c r="M365" s="206">
        <f t="shared" si="23"/>
        <v>0</v>
      </c>
    </row>
    <row r="366" spans="1:13" ht="15.75" hidden="1" thickBot="1">
      <c r="A366" s="1021"/>
      <c r="B366" s="1022"/>
      <c r="C366" s="1022"/>
      <c r="D366" s="1023"/>
      <c r="E366" s="1011"/>
      <c r="F366" s="1012"/>
      <c r="G366" s="204"/>
      <c r="H366" s="204"/>
      <c r="I366" s="206">
        <f t="shared" si="24"/>
        <v>0</v>
      </c>
      <c r="J366" s="209"/>
      <c r="K366" s="204"/>
      <c r="L366" s="205">
        <f t="shared" si="22"/>
        <v>0</v>
      </c>
      <c r="M366" s="206">
        <f t="shared" si="23"/>
        <v>0</v>
      </c>
    </row>
    <row r="367" spans="1:13" ht="15.75" hidden="1" thickBot="1">
      <c r="A367" s="1021"/>
      <c r="B367" s="1022"/>
      <c r="C367" s="1022"/>
      <c r="D367" s="1023"/>
      <c r="E367" s="1011"/>
      <c r="F367" s="1012"/>
      <c r="G367" s="204"/>
      <c r="H367" s="204"/>
      <c r="I367" s="206">
        <f t="shared" si="24"/>
        <v>0</v>
      </c>
      <c r="J367" s="209"/>
      <c r="K367" s="204"/>
      <c r="L367" s="205">
        <f t="shared" si="22"/>
        <v>0</v>
      </c>
      <c r="M367" s="206">
        <f t="shared" si="23"/>
        <v>0</v>
      </c>
    </row>
    <row r="368" spans="1:13" ht="15.75" hidden="1" thickBot="1">
      <c r="A368" s="1021"/>
      <c r="B368" s="1022"/>
      <c r="C368" s="1022"/>
      <c r="D368" s="1023"/>
      <c r="E368" s="1011"/>
      <c r="F368" s="1012"/>
      <c r="G368" s="204"/>
      <c r="H368" s="204"/>
      <c r="I368" s="206">
        <f t="shared" si="24"/>
        <v>0</v>
      </c>
      <c r="J368" s="209"/>
      <c r="K368" s="204"/>
      <c r="L368" s="205">
        <f t="shared" si="22"/>
        <v>0</v>
      </c>
      <c r="M368" s="206">
        <f t="shared" si="23"/>
        <v>0</v>
      </c>
    </row>
    <row r="369" spans="1:13" ht="15.75" hidden="1" thickBot="1">
      <c r="A369" s="1021"/>
      <c r="B369" s="1022"/>
      <c r="C369" s="1022"/>
      <c r="D369" s="1023"/>
      <c r="E369" s="1011"/>
      <c r="F369" s="1012"/>
      <c r="G369" s="204"/>
      <c r="H369" s="204"/>
      <c r="I369" s="206">
        <f t="shared" si="24"/>
        <v>0</v>
      </c>
      <c r="J369" s="209"/>
      <c r="K369" s="204"/>
      <c r="L369" s="205">
        <f t="shared" si="22"/>
        <v>0</v>
      </c>
      <c r="M369" s="206">
        <f t="shared" si="23"/>
        <v>0</v>
      </c>
    </row>
    <row r="370" spans="1:13" ht="15.75" hidden="1" thickBot="1">
      <c r="A370" s="1021"/>
      <c r="B370" s="1022"/>
      <c r="C370" s="1022"/>
      <c r="D370" s="1023"/>
      <c r="E370" s="1015"/>
      <c r="F370" s="1016"/>
      <c r="G370" s="204"/>
      <c r="H370" s="204"/>
      <c r="I370" s="206">
        <f t="shared" si="24"/>
        <v>0</v>
      </c>
      <c r="J370" s="208"/>
      <c r="K370" s="204"/>
      <c r="L370" s="205">
        <f t="shared" si="22"/>
        <v>0</v>
      </c>
      <c r="M370" s="206">
        <f t="shared" si="23"/>
        <v>0</v>
      </c>
    </row>
    <row r="371" spans="1:13" ht="15.75" hidden="1" customHeight="1" thickBot="1">
      <c r="A371" s="1021"/>
      <c r="B371" s="1022"/>
      <c r="C371" s="1022"/>
      <c r="D371" s="1023"/>
      <c r="E371" s="1027" t="s">
        <v>231</v>
      </c>
      <c r="F371" s="1028"/>
      <c r="G371" s="205">
        <f>SUM(G361:G370)</f>
        <v>0</v>
      </c>
      <c r="H371" s="1029"/>
      <c r="I371" s="206">
        <f>SUM(I361:I370)</f>
        <v>0</v>
      </c>
      <c r="J371" s="586"/>
      <c r="K371" s="586"/>
      <c r="L371" s="205">
        <f>SUM(L361:L370)</f>
        <v>0</v>
      </c>
      <c r="M371" s="206">
        <f>SUM(M361:M370)</f>
        <v>0</v>
      </c>
    </row>
    <row r="372" spans="1:13" ht="26.25" hidden="1" customHeight="1" thickBot="1">
      <c r="A372" s="1021"/>
      <c r="B372" s="1022"/>
      <c r="C372" s="1022"/>
      <c r="D372" s="1023"/>
      <c r="E372" s="1031" t="s">
        <v>600</v>
      </c>
      <c r="F372" s="1032"/>
      <c r="G372" s="205">
        <f>G371-D361</f>
        <v>0</v>
      </c>
      <c r="H372" s="1030"/>
      <c r="I372" s="206"/>
      <c r="J372" s="1017"/>
      <c r="K372" s="1017"/>
      <c r="L372" s="586"/>
      <c r="M372" s="587"/>
    </row>
    <row r="373" spans="1:13" ht="15.75" hidden="1" customHeight="1" thickBot="1">
      <c r="A373" s="1024"/>
      <c r="B373" s="1025"/>
      <c r="C373" s="1025"/>
      <c r="D373" s="1026"/>
      <c r="E373" s="1033" t="s">
        <v>399</v>
      </c>
      <c r="F373" s="1033"/>
      <c r="G373" s="1033"/>
      <c r="H373" s="1034"/>
      <c r="I373" s="206">
        <f>IF(G372&gt;0,I371,I371+G372)</f>
        <v>0</v>
      </c>
      <c r="J373" s="588"/>
      <c r="K373" s="588"/>
      <c r="L373" s="588"/>
      <c r="M373" s="589"/>
    </row>
    <row r="374" spans="1:13" ht="15.75" hidden="1" thickTop="1">
      <c r="A374" s="82" t="s">
        <v>23</v>
      </c>
      <c r="B374" s="987" t="s">
        <v>24</v>
      </c>
      <c r="C374" s="988"/>
      <c r="D374" s="83" t="s">
        <v>25</v>
      </c>
      <c r="E374" s="987" t="s">
        <v>26</v>
      </c>
      <c r="F374" s="391"/>
      <c r="G374" s="988"/>
      <c r="H374" s="83" t="s">
        <v>48</v>
      </c>
      <c r="I374" s="207" t="s">
        <v>49</v>
      </c>
      <c r="J374" s="391" t="s">
        <v>52</v>
      </c>
      <c r="K374" s="988"/>
      <c r="L374" s="83" t="s">
        <v>53</v>
      </c>
      <c r="M374" s="207" t="s">
        <v>54</v>
      </c>
    </row>
    <row r="375" spans="1:13" ht="31.5" hidden="1" customHeight="1" thickBot="1">
      <c r="A375" s="997" t="s">
        <v>222</v>
      </c>
      <c r="B375" s="989" t="s">
        <v>223</v>
      </c>
      <c r="C375" s="990"/>
      <c r="D375" s="989" t="s">
        <v>594</v>
      </c>
      <c r="E375" s="991" t="s">
        <v>224</v>
      </c>
      <c r="F375" s="1008"/>
      <c r="G375" s="992"/>
      <c r="H375" s="1009" t="s">
        <v>227</v>
      </c>
      <c r="I375" s="1009" t="s">
        <v>230</v>
      </c>
      <c r="J375" s="1014" t="s">
        <v>403</v>
      </c>
      <c r="K375" s="990"/>
      <c r="L375" s="1009" t="s">
        <v>229</v>
      </c>
      <c r="M375" s="1009" t="s">
        <v>228</v>
      </c>
    </row>
    <row r="376" spans="1:13" ht="60" hidden="1" customHeight="1" thickBot="1">
      <c r="A376" s="998"/>
      <c r="B376" s="85" t="s">
        <v>157</v>
      </c>
      <c r="C376" s="86" t="s">
        <v>158</v>
      </c>
      <c r="D376" s="991"/>
      <c r="E376" s="999" t="s">
        <v>225</v>
      </c>
      <c r="F376" s="1000"/>
      <c r="G376" s="87" t="s">
        <v>226</v>
      </c>
      <c r="H376" s="1010"/>
      <c r="I376" s="1010"/>
      <c r="J376" s="1008"/>
      <c r="K376" s="992"/>
      <c r="L376" s="1010"/>
      <c r="M376" s="1010"/>
    </row>
    <row r="377" spans="1:13" ht="15.75" hidden="1" thickBot="1">
      <c r="A377" s="159"/>
      <c r="B377" s="263"/>
      <c r="C377" s="263"/>
      <c r="D377" s="204"/>
      <c r="E377" s="1011"/>
      <c r="F377" s="1012"/>
      <c r="G377" s="204"/>
      <c r="H377" s="204"/>
      <c r="I377" s="206">
        <f>MIN(0, H377 - G377)</f>
        <v>0</v>
      </c>
      <c r="J377" s="209"/>
      <c r="K377" s="204"/>
      <c r="L377" s="205">
        <f t="shared" ref="L377:L386" si="25">IF(J377 = "EMPLOYEE",K377 - H377, 0)</f>
        <v>0</v>
      </c>
      <c r="M377" s="206">
        <f t="shared" ref="M377:M386" si="26">IF(J377 = "EMPLOYER",K377 - H377, 0)</f>
        <v>0</v>
      </c>
    </row>
    <row r="378" spans="1:13" ht="15.75" hidden="1" thickBot="1">
      <c r="A378" s="1018"/>
      <c r="B378" s="1019"/>
      <c r="C378" s="1019"/>
      <c r="D378" s="1020"/>
      <c r="E378" s="1011"/>
      <c r="F378" s="1012"/>
      <c r="G378" s="204"/>
      <c r="H378" s="204"/>
      <c r="I378" s="206">
        <f t="shared" ref="I378:I386" si="27">MIN(0, H378 - G378)</f>
        <v>0</v>
      </c>
      <c r="J378" s="209"/>
      <c r="K378" s="204"/>
      <c r="L378" s="205">
        <f t="shared" si="25"/>
        <v>0</v>
      </c>
      <c r="M378" s="206">
        <f t="shared" si="26"/>
        <v>0</v>
      </c>
    </row>
    <row r="379" spans="1:13" ht="15.75" hidden="1" thickBot="1">
      <c r="A379" s="1021"/>
      <c r="B379" s="1022"/>
      <c r="C379" s="1022"/>
      <c r="D379" s="1023"/>
      <c r="E379" s="1011"/>
      <c r="F379" s="1012"/>
      <c r="G379" s="204"/>
      <c r="H379" s="204"/>
      <c r="I379" s="206">
        <f t="shared" si="27"/>
        <v>0</v>
      </c>
      <c r="J379" s="209"/>
      <c r="K379" s="204"/>
      <c r="L379" s="205">
        <f t="shared" si="25"/>
        <v>0</v>
      </c>
      <c r="M379" s="206">
        <f t="shared" si="26"/>
        <v>0</v>
      </c>
    </row>
    <row r="380" spans="1:13" ht="15.75" hidden="1" thickBot="1">
      <c r="A380" s="1021"/>
      <c r="B380" s="1022"/>
      <c r="C380" s="1022"/>
      <c r="D380" s="1023"/>
      <c r="E380" s="1011"/>
      <c r="F380" s="1012"/>
      <c r="G380" s="204"/>
      <c r="H380" s="204"/>
      <c r="I380" s="206">
        <f t="shared" si="27"/>
        <v>0</v>
      </c>
      <c r="J380" s="209"/>
      <c r="K380" s="204"/>
      <c r="L380" s="205">
        <f t="shared" si="25"/>
        <v>0</v>
      </c>
      <c r="M380" s="206">
        <f t="shared" si="26"/>
        <v>0</v>
      </c>
    </row>
    <row r="381" spans="1:13" ht="15.75" hidden="1" thickBot="1">
      <c r="A381" s="1021"/>
      <c r="B381" s="1022"/>
      <c r="C381" s="1022"/>
      <c r="D381" s="1023"/>
      <c r="E381" s="1011"/>
      <c r="F381" s="1012"/>
      <c r="G381" s="204"/>
      <c r="H381" s="204"/>
      <c r="I381" s="206">
        <f t="shared" si="27"/>
        <v>0</v>
      </c>
      <c r="J381" s="209"/>
      <c r="K381" s="204"/>
      <c r="L381" s="205">
        <f t="shared" si="25"/>
        <v>0</v>
      </c>
      <c r="M381" s="206">
        <f t="shared" si="26"/>
        <v>0</v>
      </c>
    </row>
    <row r="382" spans="1:13" ht="15.75" hidden="1" thickBot="1">
      <c r="A382" s="1021"/>
      <c r="B382" s="1022"/>
      <c r="C382" s="1022"/>
      <c r="D382" s="1023"/>
      <c r="E382" s="1011"/>
      <c r="F382" s="1012"/>
      <c r="G382" s="204"/>
      <c r="H382" s="204"/>
      <c r="I382" s="206">
        <f t="shared" si="27"/>
        <v>0</v>
      </c>
      <c r="J382" s="209"/>
      <c r="K382" s="204"/>
      <c r="L382" s="205">
        <f t="shared" si="25"/>
        <v>0</v>
      </c>
      <c r="M382" s="206">
        <f t="shared" si="26"/>
        <v>0</v>
      </c>
    </row>
    <row r="383" spans="1:13" ht="15.75" hidden="1" thickBot="1">
      <c r="A383" s="1021"/>
      <c r="B383" s="1022"/>
      <c r="C383" s="1022"/>
      <c r="D383" s="1023"/>
      <c r="E383" s="1011"/>
      <c r="F383" s="1012"/>
      <c r="G383" s="204"/>
      <c r="H383" s="204"/>
      <c r="I383" s="206">
        <f t="shared" si="27"/>
        <v>0</v>
      </c>
      <c r="J383" s="209"/>
      <c r="K383" s="204"/>
      <c r="L383" s="205">
        <f t="shared" si="25"/>
        <v>0</v>
      </c>
      <c r="M383" s="206">
        <f t="shared" si="26"/>
        <v>0</v>
      </c>
    </row>
    <row r="384" spans="1:13" ht="15.75" hidden="1" thickBot="1">
      <c r="A384" s="1021"/>
      <c r="B384" s="1022"/>
      <c r="C384" s="1022"/>
      <c r="D384" s="1023"/>
      <c r="E384" s="1011"/>
      <c r="F384" s="1012"/>
      <c r="G384" s="204"/>
      <c r="H384" s="204"/>
      <c r="I384" s="206">
        <f t="shared" si="27"/>
        <v>0</v>
      </c>
      <c r="J384" s="209"/>
      <c r="K384" s="204"/>
      <c r="L384" s="205">
        <f t="shared" si="25"/>
        <v>0</v>
      </c>
      <c r="M384" s="206">
        <f t="shared" si="26"/>
        <v>0</v>
      </c>
    </row>
    <row r="385" spans="1:13" ht="15.75" hidden="1" thickBot="1">
      <c r="A385" s="1021"/>
      <c r="B385" s="1022"/>
      <c r="C385" s="1022"/>
      <c r="D385" s="1023"/>
      <c r="E385" s="1011"/>
      <c r="F385" s="1012"/>
      <c r="G385" s="204"/>
      <c r="H385" s="204"/>
      <c r="I385" s="206">
        <f t="shared" si="27"/>
        <v>0</v>
      </c>
      <c r="J385" s="209"/>
      <c r="K385" s="204"/>
      <c r="L385" s="205">
        <f t="shared" si="25"/>
        <v>0</v>
      </c>
      <c r="M385" s="206">
        <f t="shared" si="26"/>
        <v>0</v>
      </c>
    </row>
    <row r="386" spans="1:13" ht="15.75" hidden="1" thickBot="1">
      <c r="A386" s="1021"/>
      <c r="B386" s="1022"/>
      <c r="C386" s="1022"/>
      <c r="D386" s="1023"/>
      <c r="E386" s="1015"/>
      <c r="F386" s="1016"/>
      <c r="G386" s="204"/>
      <c r="H386" s="204"/>
      <c r="I386" s="206">
        <f t="shared" si="27"/>
        <v>0</v>
      </c>
      <c r="J386" s="208"/>
      <c r="K386" s="204"/>
      <c r="L386" s="205">
        <f t="shared" si="25"/>
        <v>0</v>
      </c>
      <c r="M386" s="206">
        <f t="shared" si="26"/>
        <v>0</v>
      </c>
    </row>
    <row r="387" spans="1:13" ht="15.75" hidden="1" customHeight="1" thickBot="1">
      <c r="A387" s="1021"/>
      <c r="B387" s="1022"/>
      <c r="C387" s="1022"/>
      <c r="D387" s="1023"/>
      <c r="E387" s="1027" t="s">
        <v>231</v>
      </c>
      <c r="F387" s="1028"/>
      <c r="G387" s="205">
        <f>SUM(G377:G386)</f>
        <v>0</v>
      </c>
      <c r="H387" s="1029"/>
      <c r="I387" s="206">
        <f>SUM(I377:I386)</f>
        <v>0</v>
      </c>
      <c r="J387" s="586"/>
      <c r="K387" s="586"/>
      <c r="L387" s="205">
        <f>SUM(L377:L386)</f>
        <v>0</v>
      </c>
      <c r="M387" s="206">
        <f>SUM(M377:M386)</f>
        <v>0</v>
      </c>
    </row>
    <row r="388" spans="1:13" ht="25.5" hidden="1" customHeight="1" thickBot="1">
      <c r="A388" s="1021"/>
      <c r="B388" s="1022"/>
      <c r="C388" s="1022"/>
      <c r="D388" s="1023"/>
      <c r="E388" s="1031" t="s">
        <v>600</v>
      </c>
      <c r="F388" s="1032"/>
      <c r="G388" s="205">
        <f>G387-D377</f>
        <v>0</v>
      </c>
      <c r="H388" s="1030"/>
      <c r="I388" s="206"/>
      <c r="J388" s="1017"/>
      <c r="K388" s="1017"/>
      <c r="L388" s="586"/>
      <c r="M388" s="587"/>
    </row>
    <row r="389" spans="1:13" ht="15.75" hidden="1" customHeight="1" thickBot="1">
      <c r="A389" s="1024"/>
      <c r="B389" s="1025"/>
      <c r="C389" s="1025"/>
      <c r="D389" s="1026"/>
      <c r="E389" s="1033" t="s">
        <v>399</v>
      </c>
      <c r="F389" s="1033"/>
      <c r="G389" s="1033"/>
      <c r="H389" s="1034"/>
      <c r="I389" s="206">
        <f>IF(G388&gt;0,I387,I387+G388)</f>
        <v>0</v>
      </c>
      <c r="J389" s="588"/>
      <c r="K389" s="588"/>
      <c r="L389" s="588"/>
      <c r="M389" s="589"/>
    </row>
    <row r="390" spans="1:13" ht="15.75" hidden="1" thickTop="1">
      <c r="A390" s="82" t="s">
        <v>23</v>
      </c>
      <c r="B390" s="987" t="s">
        <v>24</v>
      </c>
      <c r="C390" s="988"/>
      <c r="D390" s="83" t="s">
        <v>25</v>
      </c>
      <c r="E390" s="987" t="s">
        <v>26</v>
      </c>
      <c r="F390" s="391"/>
      <c r="G390" s="988"/>
      <c r="H390" s="83" t="s">
        <v>48</v>
      </c>
      <c r="I390" s="207" t="s">
        <v>49</v>
      </c>
      <c r="J390" s="391" t="s">
        <v>52</v>
      </c>
      <c r="K390" s="988"/>
      <c r="L390" s="83" t="s">
        <v>53</v>
      </c>
      <c r="M390" s="207" t="s">
        <v>54</v>
      </c>
    </row>
    <row r="391" spans="1:13" ht="27" hidden="1" customHeight="1" thickBot="1">
      <c r="A391" s="997" t="s">
        <v>222</v>
      </c>
      <c r="B391" s="989" t="s">
        <v>223</v>
      </c>
      <c r="C391" s="990"/>
      <c r="D391" s="989" t="s">
        <v>595</v>
      </c>
      <c r="E391" s="991" t="s">
        <v>224</v>
      </c>
      <c r="F391" s="1008"/>
      <c r="G391" s="992"/>
      <c r="H391" s="1009" t="s">
        <v>227</v>
      </c>
      <c r="I391" s="1009" t="s">
        <v>230</v>
      </c>
      <c r="J391" s="1014" t="s">
        <v>403</v>
      </c>
      <c r="K391" s="990"/>
      <c r="L391" s="1009" t="s">
        <v>229</v>
      </c>
      <c r="M391" s="1009" t="s">
        <v>228</v>
      </c>
    </row>
    <row r="392" spans="1:13" ht="60.75" hidden="1" customHeight="1" thickBot="1">
      <c r="A392" s="998"/>
      <c r="B392" s="85" t="s">
        <v>157</v>
      </c>
      <c r="C392" s="86" t="s">
        <v>158</v>
      </c>
      <c r="D392" s="991"/>
      <c r="E392" s="999" t="s">
        <v>225</v>
      </c>
      <c r="F392" s="1000"/>
      <c r="G392" s="87" t="s">
        <v>226</v>
      </c>
      <c r="H392" s="1010"/>
      <c r="I392" s="1010"/>
      <c r="J392" s="1008"/>
      <c r="K392" s="992"/>
      <c r="L392" s="1010"/>
      <c r="M392" s="1010"/>
    </row>
    <row r="393" spans="1:13" ht="15.75" hidden="1" thickBot="1">
      <c r="A393" s="159"/>
      <c r="B393" s="263"/>
      <c r="C393" s="263"/>
      <c r="D393" s="204"/>
      <c r="E393" s="1011"/>
      <c r="F393" s="1012"/>
      <c r="G393" s="204"/>
      <c r="H393" s="204"/>
      <c r="I393" s="206">
        <f>MIN(0, H393 - G393)</f>
        <v>0</v>
      </c>
      <c r="J393" s="209"/>
      <c r="K393" s="204"/>
      <c r="L393" s="205">
        <f t="shared" ref="L393:L402" si="28">IF(J393 = "EMPLOYEE",K393 - H393, 0)</f>
        <v>0</v>
      </c>
      <c r="M393" s="206">
        <f t="shared" ref="M393:M402" si="29">IF(J393 = "EMPLOYER",K393 - H393, 0)</f>
        <v>0</v>
      </c>
    </row>
    <row r="394" spans="1:13" ht="15.75" hidden="1" thickBot="1">
      <c r="A394" s="1018"/>
      <c r="B394" s="1019"/>
      <c r="C394" s="1019"/>
      <c r="D394" s="1020"/>
      <c r="E394" s="1011"/>
      <c r="F394" s="1012"/>
      <c r="G394" s="204"/>
      <c r="H394" s="204"/>
      <c r="I394" s="206">
        <f t="shared" ref="I394:I402" si="30">MIN(0, H394 - G394)</f>
        <v>0</v>
      </c>
      <c r="J394" s="209"/>
      <c r="K394" s="204"/>
      <c r="L394" s="205">
        <f t="shared" si="28"/>
        <v>0</v>
      </c>
      <c r="M394" s="206">
        <f t="shared" si="29"/>
        <v>0</v>
      </c>
    </row>
    <row r="395" spans="1:13" ht="15.75" hidden="1" thickBot="1">
      <c r="A395" s="1021"/>
      <c r="B395" s="1022"/>
      <c r="C395" s="1022"/>
      <c r="D395" s="1023"/>
      <c r="E395" s="1011"/>
      <c r="F395" s="1012"/>
      <c r="G395" s="204"/>
      <c r="H395" s="204"/>
      <c r="I395" s="206">
        <f t="shared" si="30"/>
        <v>0</v>
      </c>
      <c r="J395" s="209"/>
      <c r="K395" s="204"/>
      <c r="L395" s="205">
        <f t="shared" si="28"/>
        <v>0</v>
      </c>
      <c r="M395" s="206">
        <f t="shared" si="29"/>
        <v>0</v>
      </c>
    </row>
    <row r="396" spans="1:13" ht="15.75" hidden="1" thickBot="1">
      <c r="A396" s="1021"/>
      <c r="B396" s="1022"/>
      <c r="C396" s="1022"/>
      <c r="D396" s="1023"/>
      <c r="E396" s="1011"/>
      <c r="F396" s="1012"/>
      <c r="G396" s="204"/>
      <c r="H396" s="204"/>
      <c r="I396" s="206">
        <f t="shared" si="30"/>
        <v>0</v>
      </c>
      <c r="J396" s="209"/>
      <c r="K396" s="204"/>
      <c r="L396" s="205">
        <f t="shared" si="28"/>
        <v>0</v>
      </c>
      <c r="M396" s="206">
        <f t="shared" si="29"/>
        <v>0</v>
      </c>
    </row>
    <row r="397" spans="1:13" ht="15.75" hidden="1" thickBot="1">
      <c r="A397" s="1021"/>
      <c r="B397" s="1022"/>
      <c r="C397" s="1022"/>
      <c r="D397" s="1023"/>
      <c r="E397" s="1011"/>
      <c r="F397" s="1012"/>
      <c r="G397" s="204"/>
      <c r="H397" s="204"/>
      <c r="I397" s="206">
        <f t="shared" si="30"/>
        <v>0</v>
      </c>
      <c r="J397" s="209"/>
      <c r="K397" s="204"/>
      <c r="L397" s="205">
        <f t="shared" si="28"/>
        <v>0</v>
      </c>
      <c r="M397" s="206">
        <f t="shared" si="29"/>
        <v>0</v>
      </c>
    </row>
    <row r="398" spans="1:13" ht="15.75" hidden="1" thickBot="1">
      <c r="A398" s="1021"/>
      <c r="B398" s="1022"/>
      <c r="C398" s="1022"/>
      <c r="D398" s="1023"/>
      <c r="E398" s="1011"/>
      <c r="F398" s="1012"/>
      <c r="G398" s="204"/>
      <c r="H398" s="204"/>
      <c r="I398" s="206">
        <f t="shared" si="30"/>
        <v>0</v>
      </c>
      <c r="J398" s="209"/>
      <c r="K398" s="204"/>
      <c r="L398" s="205">
        <f t="shared" si="28"/>
        <v>0</v>
      </c>
      <c r="M398" s="206">
        <f t="shared" si="29"/>
        <v>0</v>
      </c>
    </row>
    <row r="399" spans="1:13" ht="15.75" hidden="1" thickBot="1">
      <c r="A399" s="1021"/>
      <c r="B399" s="1022"/>
      <c r="C399" s="1022"/>
      <c r="D399" s="1023"/>
      <c r="E399" s="1011"/>
      <c r="F399" s="1012"/>
      <c r="G399" s="204"/>
      <c r="H399" s="204"/>
      <c r="I399" s="206">
        <f t="shared" si="30"/>
        <v>0</v>
      </c>
      <c r="J399" s="209"/>
      <c r="K399" s="204"/>
      <c r="L399" s="205">
        <f t="shared" si="28"/>
        <v>0</v>
      </c>
      <c r="M399" s="206">
        <f t="shared" si="29"/>
        <v>0</v>
      </c>
    </row>
    <row r="400" spans="1:13" ht="15.75" hidden="1" thickBot="1">
      <c r="A400" s="1021"/>
      <c r="B400" s="1022"/>
      <c r="C400" s="1022"/>
      <c r="D400" s="1023"/>
      <c r="E400" s="1011"/>
      <c r="F400" s="1012"/>
      <c r="G400" s="204"/>
      <c r="H400" s="204"/>
      <c r="I400" s="206">
        <f t="shared" si="30"/>
        <v>0</v>
      </c>
      <c r="J400" s="209"/>
      <c r="K400" s="204"/>
      <c r="L400" s="205">
        <f t="shared" si="28"/>
        <v>0</v>
      </c>
      <c r="M400" s="206">
        <f t="shared" si="29"/>
        <v>0</v>
      </c>
    </row>
    <row r="401" spans="1:13" ht="15.75" hidden="1" thickBot="1">
      <c r="A401" s="1021"/>
      <c r="B401" s="1022"/>
      <c r="C401" s="1022"/>
      <c r="D401" s="1023"/>
      <c r="E401" s="1011"/>
      <c r="F401" s="1012"/>
      <c r="G401" s="204"/>
      <c r="H401" s="204"/>
      <c r="I401" s="206">
        <f t="shared" si="30"/>
        <v>0</v>
      </c>
      <c r="J401" s="209"/>
      <c r="K401" s="204"/>
      <c r="L401" s="205">
        <f t="shared" si="28"/>
        <v>0</v>
      </c>
      <c r="M401" s="206">
        <f t="shared" si="29"/>
        <v>0</v>
      </c>
    </row>
    <row r="402" spans="1:13" ht="15.75" hidden="1" thickBot="1">
      <c r="A402" s="1021"/>
      <c r="B402" s="1022"/>
      <c r="C402" s="1022"/>
      <c r="D402" s="1023"/>
      <c r="E402" s="1015"/>
      <c r="F402" s="1016"/>
      <c r="G402" s="204"/>
      <c r="H402" s="204"/>
      <c r="I402" s="206">
        <f t="shared" si="30"/>
        <v>0</v>
      </c>
      <c r="J402" s="208"/>
      <c r="K402" s="204"/>
      <c r="L402" s="205">
        <f t="shared" si="28"/>
        <v>0</v>
      </c>
      <c r="M402" s="206">
        <f t="shared" si="29"/>
        <v>0</v>
      </c>
    </row>
    <row r="403" spans="1:13" ht="15.75" hidden="1" customHeight="1" thickBot="1">
      <c r="A403" s="1021"/>
      <c r="B403" s="1022"/>
      <c r="C403" s="1022"/>
      <c r="D403" s="1023"/>
      <c r="E403" s="1027" t="s">
        <v>231</v>
      </c>
      <c r="F403" s="1028"/>
      <c r="G403" s="205">
        <f>SUM(G393:G402)</f>
        <v>0</v>
      </c>
      <c r="H403" s="1029"/>
      <c r="I403" s="206">
        <f>SUM(I393:I402)</f>
        <v>0</v>
      </c>
      <c r="J403" s="586"/>
      <c r="K403" s="586"/>
      <c r="L403" s="205">
        <f>SUM(L393:L402)</f>
        <v>0</v>
      </c>
      <c r="M403" s="206">
        <f>SUM(M393:M402)</f>
        <v>0</v>
      </c>
    </row>
    <row r="404" spans="1:13" ht="26.25" hidden="1" customHeight="1" thickBot="1">
      <c r="A404" s="1021"/>
      <c r="B404" s="1022"/>
      <c r="C404" s="1022"/>
      <c r="D404" s="1023"/>
      <c r="E404" s="1031" t="s">
        <v>600</v>
      </c>
      <c r="F404" s="1032"/>
      <c r="G404" s="205">
        <f>G403-D393</f>
        <v>0</v>
      </c>
      <c r="H404" s="1030"/>
      <c r="I404" s="206"/>
      <c r="J404" s="1017"/>
      <c r="K404" s="1017"/>
      <c r="L404" s="586"/>
      <c r="M404" s="587"/>
    </row>
    <row r="405" spans="1:13" ht="15.75" hidden="1" customHeight="1" thickBot="1">
      <c r="A405" s="1024"/>
      <c r="B405" s="1025"/>
      <c r="C405" s="1025"/>
      <c r="D405" s="1026"/>
      <c r="E405" s="1033" t="s">
        <v>399</v>
      </c>
      <c r="F405" s="1033"/>
      <c r="G405" s="1033"/>
      <c r="H405" s="1034"/>
      <c r="I405" s="206">
        <f>IF(G404&gt;0,I403,I403+G404)</f>
        <v>0</v>
      </c>
      <c r="J405" s="588"/>
      <c r="K405" s="588"/>
      <c r="L405" s="588"/>
      <c r="M405" s="589"/>
    </row>
    <row r="406" spans="1:13" ht="15.75" hidden="1" thickTop="1">
      <c r="A406" s="82" t="s">
        <v>23</v>
      </c>
      <c r="B406" s="987" t="s">
        <v>24</v>
      </c>
      <c r="C406" s="988"/>
      <c r="D406" s="83" t="s">
        <v>25</v>
      </c>
      <c r="E406" s="987" t="s">
        <v>26</v>
      </c>
      <c r="F406" s="391"/>
      <c r="G406" s="988"/>
      <c r="H406" s="83" t="s">
        <v>48</v>
      </c>
      <c r="I406" s="207" t="s">
        <v>49</v>
      </c>
      <c r="J406" s="391" t="s">
        <v>52</v>
      </c>
      <c r="K406" s="988"/>
      <c r="L406" s="83" t="s">
        <v>53</v>
      </c>
      <c r="M406" s="207" t="s">
        <v>54</v>
      </c>
    </row>
    <row r="407" spans="1:13" ht="31.5" hidden="1" customHeight="1" thickBot="1">
      <c r="A407" s="997" t="s">
        <v>222</v>
      </c>
      <c r="B407" s="989" t="s">
        <v>223</v>
      </c>
      <c r="C407" s="990"/>
      <c r="D407" s="989" t="s">
        <v>595</v>
      </c>
      <c r="E407" s="991" t="s">
        <v>224</v>
      </c>
      <c r="F407" s="1008"/>
      <c r="G407" s="992"/>
      <c r="H407" s="1009" t="s">
        <v>227</v>
      </c>
      <c r="I407" s="1009" t="s">
        <v>230</v>
      </c>
      <c r="J407" s="1014" t="s">
        <v>403</v>
      </c>
      <c r="K407" s="990"/>
      <c r="L407" s="1009" t="s">
        <v>229</v>
      </c>
      <c r="M407" s="1009" t="s">
        <v>228</v>
      </c>
    </row>
    <row r="408" spans="1:13" ht="56.25" hidden="1" customHeight="1" thickBot="1">
      <c r="A408" s="998"/>
      <c r="B408" s="85" t="s">
        <v>157</v>
      </c>
      <c r="C408" s="86" t="s">
        <v>158</v>
      </c>
      <c r="D408" s="991"/>
      <c r="E408" s="999" t="s">
        <v>225</v>
      </c>
      <c r="F408" s="1000"/>
      <c r="G408" s="87" t="s">
        <v>226</v>
      </c>
      <c r="H408" s="1010"/>
      <c r="I408" s="1010"/>
      <c r="J408" s="1008"/>
      <c r="K408" s="992"/>
      <c r="L408" s="1010"/>
      <c r="M408" s="1010"/>
    </row>
    <row r="409" spans="1:13" ht="15.75" hidden="1" thickBot="1">
      <c r="A409" s="159"/>
      <c r="B409" s="263"/>
      <c r="C409" s="263"/>
      <c r="D409" s="204"/>
      <c r="E409" s="1011"/>
      <c r="F409" s="1012"/>
      <c r="G409" s="204"/>
      <c r="H409" s="204"/>
      <c r="I409" s="206">
        <f>MIN(0, H409 - G409)</f>
        <v>0</v>
      </c>
      <c r="J409" s="209"/>
      <c r="K409" s="204"/>
      <c r="L409" s="205">
        <f t="shared" ref="L409:L418" si="31">IF(J409 = "EMPLOYEE",K409 - H409, 0)</f>
        <v>0</v>
      </c>
      <c r="M409" s="206">
        <f t="shared" ref="M409:M418" si="32">IF(J409 = "EMPLOYER",K409 - H409, 0)</f>
        <v>0</v>
      </c>
    </row>
    <row r="410" spans="1:13" ht="15.75" hidden="1" thickBot="1">
      <c r="A410" s="1018"/>
      <c r="B410" s="1019"/>
      <c r="C410" s="1019"/>
      <c r="D410" s="1020"/>
      <c r="E410" s="1011"/>
      <c r="F410" s="1012"/>
      <c r="G410" s="204"/>
      <c r="H410" s="204"/>
      <c r="I410" s="206">
        <f t="shared" ref="I410:I418" si="33">MIN(0, H410 - G410)</f>
        <v>0</v>
      </c>
      <c r="J410" s="209"/>
      <c r="K410" s="204"/>
      <c r="L410" s="205">
        <f t="shared" si="31"/>
        <v>0</v>
      </c>
      <c r="M410" s="206">
        <f t="shared" si="32"/>
        <v>0</v>
      </c>
    </row>
    <row r="411" spans="1:13" ht="15.75" hidden="1" thickBot="1">
      <c r="A411" s="1021"/>
      <c r="B411" s="1022"/>
      <c r="C411" s="1022"/>
      <c r="D411" s="1023"/>
      <c r="E411" s="1011"/>
      <c r="F411" s="1012"/>
      <c r="G411" s="204"/>
      <c r="H411" s="204"/>
      <c r="I411" s="206">
        <f t="shared" si="33"/>
        <v>0</v>
      </c>
      <c r="J411" s="209"/>
      <c r="K411" s="204"/>
      <c r="L411" s="205">
        <f t="shared" si="31"/>
        <v>0</v>
      </c>
      <c r="M411" s="206">
        <f t="shared" si="32"/>
        <v>0</v>
      </c>
    </row>
    <row r="412" spans="1:13" ht="15.75" hidden="1" thickBot="1">
      <c r="A412" s="1021"/>
      <c r="B412" s="1022"/>
      <c r="C412" s="1022"/>
      <c r="D412" s="1023"/>
      <c r="E412" s="1011"/>
      <c r="F412" s="1012"/>
      <c r="G412" s="204"/>
      <c r="H412" s="204"/>
      <c r="I412" s="206">
        <f t="shared" si="33"/>
        <v>0</v>
      </c>
      <c r="J412" s="209"/>
      <c r="K412" s="204"/>
      <c r="L412" s="205">
        <f t="shared" si="31"/>
        <v>0</v>
      </c>
      <c r="M412" s="206">
        <f t="shared" si="32"/>
        <v>0</v>
      </c>
    </row>
    <row r="413" spans="1:13" ht="15.75" hidden="1" thickBot="1">
      <c r="A413" s="1021"/>
      <c r="B413" s="1022"/>
      <c r="C413" s="1022"/>
      <c r="D413" s="1023"/>
      <c r="E413" s="1011"/>
      <c r="F413" s="1012"/>
      <c r="G413" s="204"/>
      <c r="H413" s="204"/>
      <c r="I413" s="206">
        <f t="shared" si="33"/>
        <v>0</v>
      </c>
      <c r="J413" s="209"/>
      <c r="K413" s="204"/>
      <c r="L413" s="205">
        <f t="shared" si="31"/>
        <v>0</v>
      </c>
      <c r="M413" s="206">
        <f t="shared" si="32"/>
        <v>0</v>
      </c>
    </row>
    <row r="414" spans="1:13" ht="15.75" hidden="1" thickBot="1">
      <c r="A414" s="1021"/>
      <c r="B414" s="1022"/>
      <c r="C414" s="1022"/>
      <c r="D414" s="1023"/>
      <c r="E414" s="1011"/>
      <c r="F414" s="1012"/>
      <c r="G414" s="204"/>
      <c r="H414" s="204"/>
      <c r="I414" s="206">
        <f t="shared" si="33"/>
        <v>0</v>
      </c>
      <c r="J414" s="209"/>
      <c r="K414" s="204"/>
      <c r="L414" s="205">
        <f t="shared" si="31"/>
        <v>0</v>
      </c>
      <c r="M414" s="206">
        <f t="shared" si="32"/>
        <v>0</v>
      </c>
    </row>
    <row r="415" spans="1:13" ht="15.75" hidden="1" thickBot="1">
      <c r="A415" s="1021"/>
      <c r="B415" s="1022"/>
      <c r="C415" s="1022"/>
      <c r="D415" s="1023"/>
      <c r="E415" s="1011"/>
      <c r="F415" s="1012"/>
      <c r="G415" s="204"/>
      <c r="H415" s="204"/>
      <c r="I415" s="206">
        <f t="shared" si="33"/>
        <v>0</v>
      </c>
      <c r="J415" s="209"/>
      <c r="K415" s="204"/>
      <c r="L415" s="205">
        <f t="shared" si="31"/>
        <v>0</v>
      </c>
      <c r="M415" s="206">
        <f t="shared" si="32"/>
        <v>0</v>
      </c>
    </row>
    <row r="416" spans="1:13" ht="15.75" hidden="1" thickBot="1">
      <c r="A416" s="1021"/>
      <c r="B416" s="1022"/>
      <c r="C416" s="1022"/>
      <c r="D416" s="1023"/>
      <c r="E416" s="1011"/>
      <c r="F416" s="1012"/>
      <c r="G416" s="204"/>
      <c r="H416" s="204"/>
      <c r="I416" s="206">
        <f t="shared" si="33"/>
        <v>0</v>
      </c>
      <c r="J416" s="209"/>
      <c r="K416" s="204"/>
      <c r="L416" s="205">
        <f t="shared" si="31"/>
        <v>0</v>
      </c>
      <c r="M416" s="206">
        <f t="shared" si="32"/>
        <v>0</v>
      </c>
    </row>
    <row r="417" spans="1:13" ht="15.75" hidden="1" thickBot="1">
      <c r="A417" s="1021"/>
      <c r="B417" s="1022"/>
      <c r="C417" s="1022"/>
      <c r="D417" s="1023"/>
      <c r="E417" s="1011"/>
      <c r="F417" s="1012"/>
      <c r="G417" s="204"/>
      <c r="H417" s="204"/>
      <c r="I417" s="206">
        <f t="shared" si="33"/>
        <v>0</v>
      </c>
      <c r="J417" s="209"/>
      <c r="K417" s="204"/>
      <c r="L417" s="205">
        <f t="shared" si="31"/>
        <v>0</v>
      </c>
      <c r="M417" s="206">
        <f t="shared" si="32"/>
        <v>0</v>
      </c>
    </row>
    <row r="418" spans="1:13" ht="15.75" hidden="1" thickBot="1">
      <c r="A418" s="1021"/>
      <c r="B418" s="1022"/>
      <c r="C418" s="1022"/>
      <c r="D418" s="1023"/>
      <c r="E418" s="1015"/>
      <c r="F418" s="1016"/>
      <c r="G418" s="204"/>
      <c r="H418" s="204"/>
      <c r="I418" s="206">
        <f t="shared" si="33"/>
        <v>0</v>
      </c>
      <c r="J418" s="208"/>
      <c r="K418" s="204"/>
      <c r="L418" s="205">
        <f t="shared" si="31"/>
        <v>0</v>
      </c>
      <c r="M418" s="206">
        <f t="shared" si="32"/>
        <v>0</v>
      </c>
    </row>
    <row r="419" spans="1:13" ht="15.75" hidden="1" customHeight="1" thickBot="1">
      <c r="A419" s="1021"/>
      <c r="B419" s="1022"/>
      <c r="C419" s="1022"/>
      <c r="D419" s="1023"/>
      <c r="E419" s="1027" t="s">
        <v>231</v>
      </c>
      <c r="F419" s="1028"/>
      <c r="G419" s="205">
        <f>SUM(G409:G418)</f>
        <v>0</v>
      </c>
      <c r="H419" s="1029"/>
      <c r="I419" s="206">
        <f>SUM(I409:I418)</f>
        <v>0</v>
      </c>
      <c r="J419" s="586"/>
      <c r="K419" s="586"/>
      <c r="L419" s="205">
        <f>SUM(L409:L418)</f>
        <v>0</v>
      </c>
      <c r="M419" s="206">
        <f>SUM(M409:M418)</f>
        <v>0</v>
      </c>
    </row>
    <row r="420" spans="1:13" ht="26.25" hidden="1" customHeight="1" thickBot="1">
      <c r="A420" s="1021"/>
      <c r="B420" s="1022"/>
      <c r="C420" s="1022"/>
      <c r="D420" s="1023"/>
      <c r="E420" s="1031" t="s">
        <v>600</v>
      </c>
      <c r="F420" s="1032"/>
      <c r="G420" s="205">
        <f>G419-D409</f>
        <v>0</v>
      </c>
      <c r="H420" s="1030"/>
      <c r="I420" s="206"/>
      <c r="J420" s="1017"/>
      <c r="K420" s="1017"/>
      <c r="L420" s="586"/>
      <c r="M420" s="587"/>
    </row>
    <row r="421" spans="1:13" ht="15.75" hidden="1" customHeight="1" thickBot="1">
      <c r="A421" s="1024"/>
      <c r="B421" s="1025"/>
      <c r="C421" s="1025"/>
      <c r="D421" s="1026"/>
      <c r="E421" s="1033" t="s">
        <v>399</v>
      </c>
      <c r="F421" s="1033"/>
      <c r="G421" s="1033"/>
      <c r="H421" s="1034"/>
      <c r="I421" s="206">
        <f>IF(G420&gt;0,I419,I419+G420)</f>
        <v>0</v>
      </c>
      <c r="J421" s="588"/>
      <c r="K421" s="588"/>
      <c r="L421" s="588"/>
      <c r="M421" s="589"/>
    </row>
    <row r="422" spans="1:13" ht="15.75" hidden="1" thickTop="1">
      <c r="A422" s="82" t="s">
        <v>23</v>
      </c>
      <c r="B422" s="987" t="s">
        <v>24</v>
      </c>
      <c r="C422" s="988"/>
      <c r="D422" s="83" t="s">
        <v>25</v>
      </c>
      <c r="E422" s="987" t="s">
        <v>26</v>
      </c>
      <c r="F422" s="391"/>
      <c r="G422" s="988"/>
      <c r="H422" s="83" t="s">
        <v>48</v>
      </c>
      <c r="I422" s="207" t="s">
        <v>49</v>
      </c>
      <c r="J422" s="391" t="s">
        <v>52</v>
      </c>
      <c r="K422" s="988"/>
      <c r="L422" s="83" t="s">
        <v>53</v>
      </c>
      <c r="M422" s="207" t="s">
        <v>54</v>
      </c>
    </row>
    <row r="423" spans="1:13" ht="30" hidden="1" customHeight="1" thickBot="1">
      <c r="A423" s="997" t="s">
        <v>222</v>
      </c>
      <c r="B423" s="989" t="s">
        <v>223</v>
      </c>
      <c r="C423" s="990"/>
      <c r="D423" s="989" t="s">
        <v>595</v>
      </c>
      <c r="E423" s="991" t="s">
        <v>224</v>
      </c>
      <c r="F423" s="1008"/>
      <c r="G423" s="992"/>
      <c r="H423" s="1009" t="s">
        <v>227</v>
      </c>
      <c r="I423" s="1009" t="s">
        <v>230</v>
      </c>
      <c r="J423" s="1014" t="s">
        <v>403</v>
      </c>
      <c r="K423" s="990"/>
      <c r="L423" s="1009" t="s">
        <v>229</v>
      </c>
      <c r="M423" s="1009" t="s">
        <v>228</v>
      </c>
    </row>
    <row r="424" spans="1:13" ht="56.25" hidden="1" customHeight="1" thickBot="1">
      <c r="A424" s="998"/>
      <c r="B424" s="85" t="s">
        <v>157</v>
      </c>
      <c r="C424" s="86" t="s">
        <v>158</v>
      </c>
      <c r="D424" s="991"/>
      <c r="E424" s="999" t="s">
        <v>225</v>
      </c>
      <c r="F424" s="1000"/>
      <c r="G424" s="87" t="s">
        <v>226</v>
      </c>
      <c r="H424" s="1010"/>
      <c r="I424" s="1010"/>
      <c r="J424" s="1008"/>
      <c r="K424" s="992"/>
      <c r="L424" s="1010"/>
      <c r="M424" s="1010"/>
    </row>
    <row r="425" spans="1:13" ht="15.75" hidden="1" thickBot="1">
      <c r="A425" s="159"/>
      <c r="B425" s="263"/>
      <c r="C425" s="263"/>
      <c r="D425" s="204"/>
      <c r="E425" s="1011"/>
      <c r="F425" s="1012"/>
      <c r="G425" s="204"/>
      <c r="H425" s="204"/>
      <c r="I425" s="206">
        <f>MIN(0, H425 - G425)</f>
        <v>0</v>
      </c>
      <c r="J425" s="209"/>
      <c r="K425" s="204"/>
      <c r="L425" s="205">
        <f t="shared" ref="L425:L434" si="34">IF(J425 = "EMPLOYEE",K425 - H425, 0)</f>
        <v>0</v>
      </c>
      <c r="M425" s="206">
        <f t="shared" ref="M425:M434" si="35">IF(J425 = "EMPLOYER",K425 - H425, 0)</f>
        <v>0</v>
      </c>
    </row>
    <row r="426" spans="1:13" ht="15.75" hidden="1" thickBot="1">
      <c r="A426" s="1018"/>
      <c r="B426" s="1019"/>
      <c r="C426" s="1019"/>
      <c r="D426" s="1020"/>
      <c r="E426" s="1011"/>
      <c r="F426" s="1012"/>
      <c r="G426" s="204"/>
      <c r="H426" s="204"/>
      <c r="I426" s="206">
        <f t="shared" ref="I426:I434" si="36">MIN(0, H426 - G426)</f>
        <v>0</v>
      </c>
      <c r="J426" s="209"/>
      <c r="K426" s="204"/>
      <c r="L426" s="205">
        <f t="shared" si="34"/>
        <v>0</v>
      </c>
      <c r="M426" s="206">
        <f t="shared" si="35"/>
        <v>0</v>
      </c>
    </row>
    <row r="427" spans="1:13" ht="15.75" hidden="1" thickBot="1">
      <c r="A427" s="1021"/>
      <c r="B427" s="1022"/>
      <c r="C427" s="1022"/>
      <c r="D427" s="1023"/>
      <c r="E427" s="1011"/>
      <c r="F427" s="1012"/>
      <c r="G427" s="204"/>
      <c r="H427" s="204"/>
      <c r="I427" s="206">
        <f t="shared" si="36"/>
        <v>0</v>
      </c>
      <c r="J427" s="209"/>
      <c r="K427" s="204"/>
      <c r="L427" s="205">
        <f t="shared" si="34"/>
        <v>0</v>
      </c>
      <c r="M427" s="206">
        <f t="shared" si="35"/>
        <v>0</v>
      </c>
    </row>
    <row r="428" spans="1:13" ht="15.75" hidden="1" thickBot="1">
      <c r="A428" s="1021"/>
      <c r="B428" s="1022"/>
      <c r="C428" s="1022"/>
      <c r="D428" s="1023"/>
      <c r="E428" s="1011"/>
      <c r="F428" s="1012"/>
      <c r="G428" s="204"/>
      <c r="H428" s="204"/>
      <c r="I428" s="206">
        <f t="shared" si="36"/>
        <v>0</v>
      </c>
      <c r="J428" s="209"/>
      <c r="K428" s="204"/>
      <c r="L428" s="205">
        <f t="shared" si="34"/>
        <v>0</v>
      </c>
      <c r="M428" s="206">
        <f t="shared" si="35"/>
        <v>0</v>
      </c>
    </row>
    <row r="429" spans="1:13" ht="15.75" hidden="1" thickBot="1">
      <c r="A429" s="1021"/>
      <c r="B429" s="1022"/>
      <c r="C429" s="1022"/>
      <c r="D429" s="1023"/>
      <c r="E429" s="1011"/>
      <c r="F429" s="1012"/>
      <c r="G429" s="204"/>
      <c r="H429" s="204"/>
      <c r="I429" s="206">
        <f t="shared" si="36"/>
        <v>0</v>
      </c>
      <c r="J429" s="209"/>
      <c r="K429" s="204"/>
      <c r="L429" s="205">
        <f t="shared" si="34"/>
        <v>0</v>
      </c>
      <c r="M429" s="206">
        <f t="shared" si="35"/>
        <v>0</v>
      </c>
    </row>
    <row r="430" spans="1:13" ht="15.75" hidden="1" thickBot="1">
      <c r="A430" s="1021"/>
      <c r="B430" s="1022"/>
      <c r="C430" s="1022"/>
      <c r="D430" s="1023"/>
      <c r="E430" s="1011"/>
      <c r="F430" s="1012"/>
      <c r="G430" s="204"/>
      <c r="H430" s="204"/>
      <c r="I430" s="206">
        <f t="shared" si="36"/>
        <v>0</v>
      </c>
      <c r="J430" s="209"/>
      <c r="K430" s="204"/>
      <c r="L430" s="205">
        <f t="shared" si="34"/>
        <v>0</v>
      </c>
      <c r="M430" s="206">
        <f t="shared" si="35"/>
        <v>0</v>
      </c>
    </row>
    <row r="431" spans="1:13" ht="15.75" hidden="1" thickBot="1">
      <c r="A431" s="1021"/>
      <c r="B431" s="1022"/>
      <c r="C431" s="1022"/>
      <c r="D431" s="1023"/>
      <c r="E431" s="1011"/>
      <c r="F431" s="1012"/>
      <c r="G431" s="204"/>
      <c r="H431" s="204"/>
      <c r="I431" s="206">
        <f t="shared" si="36"/>
        <v>0</v>
      </c>
      <c r="J431" s="209"/>
      <c r="K431" s="204"/>
      <c r="L431" s="205">
        <f t="shared" si="34"/>
        <v>0</v>
      </c>
      <c r="M431" s="206">
        <f t="shared" si="35"/>
        <v>0</v>
      </c>
    </row>
    <row r="432" spans="1:13" ht="15.75" hidden="1" thickBot="1">
      <c r="A432" s="1021"/>
      <c r="B432" s="1022"/>
      <c r="C432" s="1022"/>
      <c r="D432" s="1023"/>
      <c r="E432" s="1011"/>
      <c r="F432" s="1012"/>
      <c r="G432" s="204"/>
      <c r="H432" s="204"/>
      <c r="I432" s="206">
        <f t="shared" si="36"/>
        <v>0</v>
      </c>
      <c r="J432" s="209"/>
      <c r="K432" s="204"/>
      <c r="L432" s="205">
        <f t="shared" si="34"/>
        <v>0</v>
      </c>
      <c r="M432" s="206">
        <f t="shared" si="35"/>
        <v>0</v>
      </c>
    </row>
    <row r="433" spans="1:13" ht="15.75" hidden="1" thickBot="1">
      <c r="A433" s="1021"/>
      <c r="B433" s="1022"/>
      <c r="C433" s="1022"/>
      <c r="D433" s="1023"/>
      <c r="E433" s="1011"/>
      <c r="F433" s="1012"/>
      <c r="G433" s="204"/>
      <c r="H433" s="204"/>
      <c r="I433" s="206">
        <f t="shared" si="36"/>
        <v>0</v>
      </c>
      <c r="J433" s="209"/>
      <c r="K433" s="204"/>
      <c r="L433" s="205">
        <f t="shared" si="34"/>
        <v>0</v>
      </c>
      <c r="M433" s="206">
        <f t="shared" si="35"/>
        <v>0</v>
      </c>
    </row>
    <row r="434" spans="1:13" ht="15.75" hidden="1" thickBot="1">
      <c r="A434" s="1021"/>
      <c r="B434" s="1022"/>
      <c r="C434" s="1022"/>
      <c r="D434" s="1023"/>
      <c r="E434" s="1015"/>
      <c r="F434" s="1016"/>
      <c r="G434" s="204"/>
      <c r="H434" s="204"/>
      <c r="I434" s="206">
        <f t="shared" si="36"/>
        <v>0</v>
      </c>
      <c r="J434" s="208"/>
      <c r="K434" s="204"/>
      <c r="L434" s="205">
        <f t="shared" si="34"/>
        <v>0</v>
      </c>
      <c r="M434" s="206">
        <f t="shared" si="35"/>
        <v>0</v>
      </c>
    </row>
    <row r="435" spans="1:13" ht="15.75" hidden="1" customHeight="1" thickBot="1">
      <c r="A435" s="1021"/>
      <c r="B435" s="1022"/>
      <c r="C435" s="1022"/>
      <c r="D435" s="1023"/>
      <c r="E435" s="1027" t="s">
        <v>231</v>
      </c>
      <c r="F435" s="1028"/>
      <c r="G435" s="205">
        <f>SUM(G425:G434)</f>
        <v>0</v>
      </c>
      <c r="H435" s="1029"/>
      <c r="I435" s="206">
        <f>SUM(I425:I434)</f>
        <v>0</v>
      </c>
      <c r="J435" s="586"/>
      <c r="K435" s="586"/>
      <c r="L435" s="205">
        <f>SUM(L425:L434)</f>
        <v>0</v>
      </c>
      <c r="M435" s="206">
        <f>SUM(M425:M434)</f>
        <v>0</v>
      </c>
    </row>
    <row r="436" spans="1:13" ht="26.25" hidden="1" customHeight="1" thickBot="1">
      <c r="A436" s="1021"/>
      <c r="B436" s="1022"/>
      <c r="C436" s="1022"/>
      <c r="D436" s="1023"/>
      <c r="E436" s="1031" t="s">
        <v>600</v>
      </c>
      <c r="F436" s="1032"/>
      <c r="G436" s="205">
        <f>G435-D425</f>
        <v>0</v>
      </c>
      <c r="H436" s="1030"/>
      <c r="I436" s="206"/>
      <c r="J436" s="1017"/>
      <c r="K436" s="1017"/>
      <c r="L436" s="586"/>
      <c r="M436" s="587"/>
    </row>
    <row r="437" spans="1:13" ht="15.75" hidden="1" customHeight="1" thickBot="1">
      <c r="A437" s="1024"/>
      <c r="B437" s="1025"/>
      <c r="C437" s="1025"/>
      <c r="D437" s="1026"/>
      <c r="E437" s="1033" t="s">
        <v>399</v>
      </c>
      <c r="F437" s="1033"/>
      <c r="G437" s="1033"/>
      <c r="H437" s="1034"/>
      <c r="I437" s="206">
        <f>IF(G436&gt;0,I435,I435+G436)</f>
        <v>0</v>
      </c>
      <c r="J437" s="588"/>
      <c r="K437" s="588"/>
      <c r="L437" s="588"/>
      <c r="M437" s="589"/>
    </row>
    <row r="438" spans="1:13" ht="15.75" hidden="1" thickTop="1">
      <c r="A438" s="82" t="s">
        <v>23</v>
      </c>
      <c r="B438" s="987" t="s">
        <v>24</v>
      </c>
      <c r="C438" s="988"/>
      <c r="D438" s="83" t="s">
        <v>25</v>
      </c>
      <c r="E438" s="987" t="s">
        <v>26</v>
      </c>
      <c r="F438" s="391"/>
      <c r="G438" s="988"/>
      <c r="H438" s="83" t="s">
        <v>48</v>
      </c>
      <c r="I438" s="207" t="s">
        <v>49</v>
      </c>
      <c r="J438" s="391" t="s">
        <v>52</v>
      </c>
      <c r="K438" s="988"/>
      <c r="L438" s="83" t="s">
        <v>53</v>
      </c>
      <c r="M438" s="207" t="s">
        <v>54</v>
      </c>
    </row>
    <row r="439" spans="1:13" ht="27.75" hidden="1" customHeight="1" thickBot="1">
      <c r="A439" s="997" t="s">
        <v>222</v>
      </c>
      <c r="B439" s="989" t="s">
        <v>223</v>
      </c>
      <c r="C439" s="990"/>
      <c r="D439" s="989" t="s">
        <v>595</v>
      </c>
      <c r="E439" s="991" t="s">
        <v>224</v>
      </c>
      <c r="F439" s="1008"/>
      <c r="G439" s="992"/>
      <c r="H439" s="1009" t="s">
        <v>227</v>
      </c>
      <c r="I439" s="1009" t="s">
        <v>230</v>
      </c>
      <c r="J439" s="1014" t="s">
        <v>403</v>
      </c>
      <c r="K439" s="990"/>
      <c r="L439" s="1009" t="s">
        <v>229</v>
      </c>
      <c r="M439" s="1009" t="s">
        <v>228</v>
      </c>
    </row>
    <row r="440" spans="1:13" ht="62.25" hidden="1" customHeight="1" thickBot="1">
      <c r="A440" s="998"/>
      <c r="B440" s="85" t="s">
        <v>157</v>
      </c>
      <c r="C440" s="86" t="s">
        <v>158</v>
      </c>
      <c r="D440" s="991"/>
      <c r="E440" s="999" t="s">
        <v>225</v>
      </c>
      <c r="F440" s="1000"/>
      <c r="G440" s="87" t="s">
        <v>226</v>
      </c>
      <c r="H440" s="1010"/>
      <c r="I440" s="1010"/>
      <c r="J440" s="1008"/>
      <c r="K440" s="992"/>
      <c r="L440" s="1010"/>
      <c r="M440" s="1010"/>
    </row>
    <row r="441" spans="1:13" ht="15.75" hidden="1" thickBot="1">
      <c r="A441" s="159"/>
      <c r="B441" s="263"/>
      <c r="C441" s="263"/>
      <c r="D441" s="204"/>
      <c r="E441" s="1011"/>
      <c r="F441" s="1012"/>
      <c r="G441" s="204"/>
      <c r="H441" s="204"/>
      <c r="I441" s="206">
        <f>MIN(0, H441 - G441)</f>
        <v>0</v>
      </c>
      <c r="J441" s="209"/>
      <c r="K441" s="204"/>
      <c r="L441" s="205">
        <f t="shared" ref="L441:L450" si="37">IF(J441 = "EMPLOYEE",K441 - H441, 0)</f>
        <v>0</v>
      </c>
      <c r="M441" s="206">
        <f t="shared" ref="M441:M450" si="38">IF(J441 = "EMPLOYER",K441 - H441, 0)</f>
        <v>0</v>
      </c>
    </row>
    <row r="442" spans="1:13" ht="15.75" hidden="1" thickBot="1">
      <c r="A442" s="1018"/>
      <c r="B442" s="1019"/>
      <c r="C442" s="1019"/>
      <c r="D442" s="1020"/>
      <c r="E442" s="1011"/>
      <c r="F442" s="1012"/>
      <c r="G442" s="204"/>
      <c r="H442" s="204"/>
      <c r="I442" s="206">
        <f t="shared" ref="I442:I450" si="39">MIN(0, H442 - G442)</f>
        <v>0</v>
      </c>
      <c r="J442" s="209"/>
      <c r="K442" s="204"/>
      <c r="L442" s="205">
        <f t="shared" si="37"/>
        <v>0</v>
      </c>
      <c r="M442" s="206">
        <f t="shared" si="38"/>
        <v>0</v>
      </c>
    </row>
    <row r="443" spans="1:13" ht="15.75" hidden="1" thickBot="1">
      <c r="A443" s="1021"/>
      <c r="B443" s="1022"/>
      <c r="C443" s="1022"/>
      <c r="D443" s="1023"/>
      <c r="E443" s="1011"/>
      <c r="F443" s="1012"/>
      <c r="G443" s="204"/>
      <c r="H443" s="204"/>
      <c r="I443" s="206">
        <f t="shared" si="39"/>
        <v>0</v>
      </c>
      <c r="J443" s="209"/>
      <c r="K443" s="204"/>
      <c r="L443" s="205">
        <f t="shared" si="37"/>
        <v>0</v>
      </c>
      <c r="M443" s="206">
        <f t="shared" si="38"/>
        <v>0</v>
      </c>
    </row>
    <row r="444" spans="1:13" ht="15.75" hidden="1" thickBot="1">
      <c r="A444" s="1021"/>
      <c r="B444" s="1022"/>
      <c r="C444" s="1022"/>
      <c r="D444" s="1023"/>
      <c r="E444" s="1011"/>
      <c r="F444" s="1012"/>
      <c r="G444" s="204"/>
      <c r="H444" s="204"/>
      <c r="I444" s="206">
        <f t="shared" si="39"/>
        <v>0</v>
      </c>
      <c r="J444" s="209"/>
      <c r="K444" s="204"/>
      <c r="L444" s="205">
        <f t="shared" si="37"/>
        <v>0</v>
      </c>
      <c r="M444" s="206">
        <f t="shared" si="38"/>
        <v>0</v>
      </c>
    </row>
    <row r="445" spans="1:13" ht="15.75" hidden="1" thickBot="1">
      <c r="A445" s="1021"/>
      <c r="B445" s="1022"/>
      <c r="C445" s="1022"/>
      <c r="D445" s="1023"/>
      <c r="E445" s="1011"/>
      <c r="F445" s="1012"/>
      <c r="G445" s="204"/>
      <c r="H445" s="204"/>
      <c r="I445" s="206">
        <f t="shared" si="39"/>
        <v>0</v>
      </c>
      <c r="J445" s="209"/>
      <c r="K445" s="204"/>
      <c r="L445" s="205">
        <f t="shared" si="37"/>
        <v>0</v>
      </c>
      <c r="M445" s="206">
        <f t="shared" si="38"/>
        <v>0</v>
      </c>
    </row>
    <row r="446" spans="1:13" ht="15.75" hidden="1" thickBot="1">
      <c r="A446" s="1021"/>
      <c r="B446" s="1022"/>
      <c r="C446" s="1022"/>
      <c r="D446" s="1023"/>
      <c r="E446" s="1011"/>
      <c r="F446" s="1012"/>
      <c r="G446" s="204"/>
      <c r="H446" s="204"/>
      <c r="I446" s="206">
        <f t="shared" si="39"/>
        <v>0</v>
      </c>
      <c r="J446" s="209"/>
      <c r="K446" s="204"/>
      <c r="L446" s="205">
        <f t="shared" si="37"/>
        <v>0</v>
      </c>
      <c r="M446" s="206">
        <f t="shared" si="38"/>
        <v>0</v>
      </c>
    </row>
    <row r="447" spans="1:13" ht="15.75" hidden="1" thickBot="1">
      <c r="A447" s="1021"/>
      <c r="B447" s="1022"/>
      <c r="C447" s="1022"/>
      <c r="D447" s="1023"/>
      <c r="E447" s="1011"/>
      <c r="F447" s="1012"/>
      <c r="G447" s="204"/>
      <c r="H447" s="204"/>
      <c r="I447" s="206">
        <f t="shared" si="39"/>
        <v>0</v>
      </c>
      <c r="J447" s="209"/>
      <c r="K447" s="204"/>
      <c r="L447" s="205">
        <f t="shared" si="37"/>
        <v>0</v>
      </c>
      <c r="M447" s="206">
        <f t="shared" si="38"/>
        <v>0</v>
      </c>
    </row>
    <row r="448" spans="1:13" ht="15.75" hidden="1" thickBot="1">
      <c r="A448" s="1021"/>
      <c r="B448" s="1022"/>
      <c r="C448" s="1022"/>
      <c r="D448" s="1023"/>
      <c r="E448" s="1011"/>
      <c r="F448" s="1012"/>
      <c r="G448" s="204"/>
      <c r="H448" s="204"/>
      <c r="I448" s="206">
        <f t="shared" si="39"/>
        <v>0</v>
      </c>
      <c r="J448" s="209"/>
      <c r="K448" s="204"/>
      <c r="L448" s="205">
        <f t="shared" si="37"/>
        <v>0</v>
      </c>
      <c r="M448" s="206">
        <f t="shared" si="38"/>
        <v>0</v>
      </c>
    </row>
    <row r="449" spans="1:13" ht="15.75" hidden="1" thickBot="1">
      <c r="A449" s="1021"/>
      <c r="B449" s="1022"/>
      <c r="C449" s="1022"/>
      <c r="D449" s="1023"/>
      <c r="E449" s="1011"/>
      <c r="F449" s="1012"/>
      <c r="G449" s="204"/>
      <c r="H449" s="204"/>
      <c r="I449" s="206">
        <f t="shared" si="39"/>
        <v>0</v>
      </c>
      <c r="J449" s="209"/>
      <c r="K449" s="204"/>
      <c r="L449" s="205">
        <f t="shared" si="37"/>
        <v>0</v>
      </c>
      <c r="M449" s="206">
        <f t="shared" si="38"/>
        <v>0</v>
      </c>
    </row>
    <row r="450" spans="1:13" ht="15.75" hidden="1" thickBot="1">
      <c r="A450" s="1021"/>
      <c r="B450" s="1022"/>
      <c r="C450" s="1022"/>
      <c r="D450" s="1023"/>
      <c r="E450" s="1015"/>
      <c r="F450" s="1016"/>
      <c r="G450" s="204"/>
      <c r="H450" s="204"/>
      <c r="I450" s="206">
        <f t="shared" si="39"/>
        <v>0</v>
      </c>
      <c r="J450" s="208"/>
      <c r="K450" s="204"/>
      <c r="L450" s="205">
        <f t="shared" si="37"/>
        <v>0</v>
      </c>
      <c r="M450" s="206">
        <f t="shared" si="38"/>
        <v>0</v>
      </c>
    </row>
    <row r="451" spans="1:13" ht="15.75" hidden="1" customHeight="1" thickBot="1">
      <c r="A451" s="1021"/>
      <c r="B451" s="1022"/>
      <c r="C451" s="1022"/>
      <c r="D451" s="1023"/>
      <c r="E451" s="1027" t="s">
        <v>231</v>
      </c>
      <c r="F451" s="1028"/>
      <c r="G451" s="205">
        <f>SUM(G441:G450)</f>
        <v>0</v>
      </c>
      <c r="H451" s="1029"/>
      <c r="I451" s="206">
        <f>SUM(I441:I450)</f>
        <v>0</v>
      </c>
      <c r="J451" s="586"/>
      <c r="K451" s="586"/>
      <c r="L451" s="205">
        <f>SUM(L441:L450)</f>
        <v>0</v>
      </c>
      <c r="M451" s="206">
        <f>SUM(M441:M450)</f>
        <v>0</v>
      </c>
    </row>
    <row r="452" spans="1:13" ht="26.25" hidden="1" customHeight="1" thickBot="1">
      <c r="A452" s="1021"/>
      <c r="B452" s="1022"/>
      <c r="C452" s="1022"/>
      <c r="D452" s="1023"/>
      <c r="E452" s="1031" t="s">
        <v>600</v>
      </c>
      <c r="F452" s="1032"/>
      <c r="G452" s="205">
        <f>G451-D441</f>
        <v>0</v>
      </c>
      <c r="H452" s="1030"/>
      <c r="I452" s="206"/>
      <c r="J452" s="1017"/>
      <c r="K452" s="1017"/>
      <c r="L452" s="586"/>
      <c r="M452" s="587"/>
    </row>
    <row r="453" spans="1:13" ht="15.75" hidden="1" customHeight="1" thickBot="1">
      <c r="A453" s="1024"/>
      <c r="B453" s="1025"/>
      <c r="C453" s="1025"/>
      <c r="D453" s="1026"/>
      <c r="E453" s="1033" t="s">
        <v>399</v>
      </c>
      <c r="F453" s="1033"/>
      <c r="G453" s="1033"/>
      <c r="H453" s="1034"/>
      <c r="I453" s="206">
        <f>IF(G452&gt;0,I451,I451+G452)</f>
        <v>0</v>
      </c>
      <c r="J453" s="588"/>
      <c r="K453" s="588"/>
      <c r="L453" s="588"/>
      <c r="M453" s="589"/>
    </row>
    <row r="454" spans="1:13" ht="15.75" hidden="1" thickTop="1">
      <c r="A454" s="82" t="s">
        <v>23</v>
      </c>
      <c r="B454" s="987" t="s">
        <v>24</v>
      </c>
      <c r="C454" s="988"/>
      <c r="D454" s="83" t="s">
        <v>25</v>
      </c>
      <c r="E454" s="987" t="s">
        <v>26</v>
      </c>
      <c r="F454" s="391"/>
      <c r="G454" s="988"/>
      <c r="H454" s="83" t="s">
        <v>48</v>
      </c>
      <c r="I454" s="207" t="s">
        <v>49</v>
      </c>
      <c r="J454" s="391" t="s">
        <v>52</v>
      </c>
      <c r="K454" s="988"/>
      <c r="L454" s="83" t="s">
        <v>53</v>
      </c>
      <c r="M454" s="207" t="s">
        <v>54</v>
      </c>
    </row>
    <row r="455" spans="1:13" ht="27.75" hidden="1" customHeight="1" thickBot="1">
      <c r="A455" s="997" t="s">
        <v>222</v>
      </c>
      <c r="B455" s="989" t="s">
        <v>223</v>
      </c>
      <c r="C455" s="990"/>
      <c r="D455" s="989" t="s">
        <v>594</v>
      </c>
      <c r="E455" s="991" t="s">
        <v>224</v>
      </c>
      <c r="F455" s="1008"/>
      <c r="G455" s="992"/>
      <c r="H455" s="1009" t="s">
        <v>227</v>
      </c>
      <c r="I455" s="1009" t="s">
        <v>230</v>
      </c>
      <c r="J455" s="1014" t="s">
        <v>403</v>
      </c>
      <c r="K455" s="990"/>
      <c r="L455" s="1009" t="s">
        <v>229</v>
      </c>
      <c r="M455" s="1009" t="s">
        <v>228</v>
      </c>
    </row>
    <row r="456" spans="1:13" ht="60" hidden="1" customHeight="1" thickBot="1">
      <c r="A456" s="998"/>
      <c r="B456" s="85" t="s">
        <v>157</v>
      </c>
      <c r="C456" s="86" t="s">
        <v>158</v>
      </c>
      <c r="D456" s="991"/>
      <c r="E456" s="999" t="s">
        <v>225</v>
      </c>
      <c r="F456" s="1000"/>
      <c r="G456" s="87" t="s">
        <v>226</v>
      </c>
      <c r="H456" s="1010"/>
      <c r="I456" s="1010"/>
      <c r="J456" s="1008"/>
      <c r="K456" s="992"/>
      <c r="L456" s="1010"/>
      <c r="M456" s="1010"/>
    </row>
    <row r="457" spans="1:13" ht="15.75" hidden="1" thickBot="1">
      <c r="A457" s="159"/>
      <c r="B457" s="263"/>
      <c r="C457" s="263"/>
      <c r="D457" s="204"/>
      <c r="E457" s="1011"/>
      <c r="F457" s="1012"/>
      <c r="G457" s="204"/>
      <c r="H457" s="204"/>
      <c r="I457" s="206">
        <f>MIN(0, H457 - G457)</f>
        <v>0</v>
      </c>
      <c r="J457" s="209"/>
      <c r="K457" s="204"/>
      <c r="L457" s="205">
        <f t="shared" ref="L457:L466" si="40">IF(J457 = "EMPLOYEE",K457 - H457, 0)</f>
        <v>0</v>
      </c>
      <c r="M457" s="206">
        <f t="shared" ref="M457:M466" si="41">IF(J457 = "EMPLOYER",K457 - H457, 0)</f>
        <v>0</v>
      </c>
    </row>
    <row r="458" spans="1:13" ht="15.75" hidden="1" thickBot="1">
      <c r="A458" s="1018"/>
      <c r="B458" s="1019"/>
      <c r="C458" s="1019"/>
      <c r="D458" s="1020"/>
      <c r="E458" s="1011"/>
      <c r="F458" s="1012"/>
      <c r="G458" s="204"/>
      <c r="H458" s="204"/>
      <c r="I458" s="206">
        <f t="shared" ref="I458:I466" si="42">MIN(0, H458 - G458)</f>
        <v>0</v>
      </c>
      <c r="J458" s="209"/>
      <c r="K458" s="204"/>
      <c r="L458" s="205">
        <f t="shared" si="40"/>
        <v>0</v>
      </c>
      <c r="M458" s="206">
        <f t="shared" si="41"/>
        <v>0</v>
      </c>
    </row>
    <row r="459" spans="1:13" ht="15.75" hidden="1" thickBot="1">
      <c r="A459" s="1021"/>
      <c r="B459" s="1022"/>
      <c r="C459" s="1022"/>
      <c r="D459" s="1023"/>
      <c r="E459" s="1011"/>
      <c r="F459" s="1012"/>
      <c r="G459" s="204"/>
      <c r="H459" s="204"/>
      <c r="I459" s="206">
        <f t="shared" si="42"/>
        <v>0</v>
      </c>
      <c r="J459" s="209"/>
      <c r="K459" s="204"/>
      <c r="L459" s="205">
        <f t="shared" si="40"/>
        <v>0</v>
      </c>
      <c r="M459" s="206">
        <f t="shared" si="41"/>
        <v>0</v>
      </c>
    </row>
    <row r="460" spans="1:13" ht="15.75" hidden="1" thickBot="1">
      <c r="A460" s="1021"/>
      <c r="B460" s="1022"/>
      <c r="C460" s="1022"/>
      <c r="D460" s="1023"/>
      <c r="E460" s="1011"/>
      <c r="F460" s="1012"/>
      <c r="G460" s="204"/>
      <c r="H460" s="204"/>
      <c r="I460" s="206">
        <f t="shared" si="42"/>
        <v>0</v>
      </c>
      <c r="J460" s="209"/>
      <c r="K460" s="204"/>
      <c r="L460" s="205">
        <f t="shared" si="40"/>
        <v>0</v>
      </c>
      <c r="M460" s="206">
        <f t="shared" si="41"/>
        <v>0</v>
      </c>
    </row>
    <row r="461" spans="1:13" ht="15.75" hidden="1" thickBot="1">
      <c r="A461" s="1021"/>
      <c r="B461" s="1022"/>
      <c r="C461" s="1022"/>
      <c r="D461" s="1023"/>
      <c r="E461" s="1011"/>
      <c r="F461" s="1012"/>
      <c r="G461" s="204"/>
      <c r="H461" s="204"/>
      <c r="I461" s="206">
        <f t="shared" si="42"/>
        <v>0</v>
      </c>
      <c r="J461" s="209"/>
      <c r="K461" s="204"/>
      <c r="L461" s="205">
        <f t="shared" si="40"/>
        <v>0</v>
      </c>
      <c r="M461" s="206">
        <f t="shared" si="41"/>
        <v>0</v>
      </c>
    </row>
    <row r="462" spans="1:13" ht="15.75" hidden="1" thickBot="1">
      <c r="A462" s="1021"/>
      <c r="B462" s="1022"/>
      <c r="C462" s="1022"/>
      <c r="D462" s="1023"/>
      <c r="E462" s="1011"/>
      <c r="F462" s="1012"/>
      <c r="G462" s="204"/>
      <c r="H462" s="204"/>
      <c r="I462" s="206">
        <f t="shared" si="42"/>
        <v>0</v>
      </c>
      <c r="J462" s="209"/>
      <c r="K462" s="204"/>
      <c r="L462" s="205">
        <f t="shared" si="40"/>
        <v>0</v>
      </c>
      <c r="M462" s="206">
        <f t="shared" si="41"/>
        <v>0</v>
      </c>
    </row>
    <row r="463" spans="1:13" ht="15.75" hidden="1" thickBot="1">
      <c r="A463" s="1021"/>
      <c r="B463" s="1022"/>
      <c r="C463" s="1022"/>
      <c r="D463" s="1023"/>
      <c r="E463" s="1011"/>
      <c r="F463" s="1012"/>
      <c r="G463" s="204"/>
      <c r="H463" s="204"/>
      <c r="I463" s="206">
        <f t="shared" si="42"/>
        <v>0</v>
      </c>
      <c r="J463" s="209"/>
      <c r="K463" s="204"/>
      <c r="L463" s="205">
        <f t="shared" si="40"/>
        <v>0</v>
      </c>
      <c r="M463" s="206">
        <f t="shared" si="41"/>
        <v>0</v>
      </c>
    </row>
    <row r="464" spans="1:13" ht="15.75" hidden="1" thickBot="1">
      <c r="A464" s="1021"/>
      <c r="B464" s="1022"/>
      <c r="C464" s="1022"/>
      <c r="D464" s="1023"/>
      <c r="E464" s="1011"/>
      <c r="F464" s="1012"/>
      <c r="G464" s="204"/>
      <c r="H464" s="204"/>
      <c r="I464" s="206">
        <f t="shared" si="42"/>
        <v>0</v>
      </c>
      <c r="J464" s="209"/>
      <c r="K464" s="204"/>
      <c r="L464" s="205">
        <f t="shared" si="40"/>
        <v>0</v>
      </c>
      <c r="M464" s="206">
        <f t="shared" si="41"/>
        <v>0</v>
      </c>
    </row>
    <row r="465" spans="1:13" ht="15.75" hidden="1" thickBot="1">
      <c r="A465" s="1021"/>
      <c r="B465" s="1022"/>
      <c r="C465" s="1022"/>
      <c r="D465" s="1023"/>
      <c r="E465" s="1011"/>
      <c r="F465" s="1012"/>
      <c r="G465" s="204"/>
      <c r="H465" s="204"/>
      <c r="I465" s="206">
        <f t="shared" si="42"/>
        <v>0</v>
      </c>
      <c r="J465" s="209"/>
      <c r="K465" s="204"/>
      <c r="L465" s="205">
        <f t="shared" si="40"/>
        <v>0</v>
      </c>
      <c r="M465" s="206">
        <f t="shared" si="41"/>
        <v>0</v>
      </c>
    </row>
    <row r="466" spans="1:13" ht="15.75" hidden="1" thickBot="1">
      <c r="A466" s="1021"/>
      <c r="B466" s="1022"/>
      <c r="C466" s="1022"/>
      <c r="D466" s="1023"/>
      <c r="E466" s="1015"/>
      <c r="F466" s="1016"/>
      <c r="G466" s="204"/>
      <c r="H466" s="204"/>
      <c r="I466" s="206">
        <f t="shared" si="42"/>
        <v>0</v>
      </c>
      <c r="J466" s="208"/>
      <c r="K466" s="204"/>
      <c r="L466" s="205">
        <f t="shared" si="40"/>
        <v>0</v>
      </c>
      <c r="M466" s="206">
        <f t="shared" si="41"/>
        <v>0</v>
      </c>
    </row>
    <row r="467" spans="1:13" ht="15.75" hidden="1" customHeight="1" thickBot="1">
      <c r="A467" s="1021"/>
      <c r="B467" s="1022"/>
      <c r="C467" s="1022"/>
      <c r="D467" s="1023"/>
      <c r="E467" s="1027" t="s">
        <v>231</v>
      </c>
      <c r="F467" s="1028"/>
      <c r="G467" s="205">
        <f>SUM(G457:G466)</f>
        <v>0</v>
      </c>
      <c r="H467" s="1029"/>
      <c r="I467" s="206">
        <f>SUM(I457:I466)</f>
        <v>0</v>
      </c>
      <c r="J467" s="586"/>
      <c r="K467" s="586"/>
      <c r="L467" s="205">
        <f>SUM(L457:L466)</f>
        <v>0</v>
      </c>
      <c r="M467" s="206">
        <f>SUM(M457:M466)</f>
        <v>0</v>
      </c>
    </row>
    <row r="468" spans="1:13" ht="26.25" hidden="1" customHeight="1" thickBot="1">
      <c r="A468" s="1021"/>
      <c r="B468" s="1022"/>
      <c r="C468" s="1022"/>
      <c r="D468" s="1023"/>
      <c r="E468" s="1031" t="s">
        <v>600</v>
      </c>
      <c r="F468" s="1032"/>
      <c r="G468" s="205">
        <f>G467-D457</f>
        <v>0</v>
      </c>
      <c r="H468" s="1030"/>
      <c r="I468" s="206"/>
      <c r="J468" s="1017"/>
      <c r="K468" s="1017"/>
      <c r="L468" s="586"/>
      <c r="M468" s="587"/>
    </row>
    <row r="469" spans="1:13" ht="15.75" hidden="1" customHeight="1" thickBot="1">
      <c r="A469" s="1024"/>
      <c r="B469" s="1025"/>
      <c r="C469" s="1025"/>
      <c r="D469" s="1026"/>
      <c r="E469" s="1033" t="s">
        <v>399</v>
      </c>
      <c r="F469" s="1033"/>
      <c r="G469" s="1033"/>
      <c r="H469" s="1034"/>
      <c r="I469" s="206">
        <f>IF(G468&gt;0,I467,I467+G468)</f>
        <v>0</v>
      </c>
      <c r="J469" s="588"/>
      <c r="K469" s="588"/>
      <c r="L469" s="588"/>
      <c r="M469" s="589"/>
    </row>
    <row r="470" spans="1:13" ht="15.75" hidden="1" thickTop="1">
      <c r="A470" s="82" t="s">
        <v>23</v>
      </c>
      <c r="B470" s="987" t="s">
        <v>24</v>
      </c>
      <c r="C470" s="988"/>
      <c r="D470" s="83" t="s">
        <v>25</v>
      </c>
      <c r="E470" s="987" t="s">
        <v>26</v>
      </c>
      <c r="F470" s="391"/>
      <c r="G470" s="988"/>
      <c r="H470" s="83" t="s">
        <v>48</v>
      </c>
      <c r="I470" s="207" t="s">
        <v>49</v>
      </c>
      <c r="J470" s="391" t="s">
        <v>52</v>
      </c>
      <c r="K470" s="988"/>
      <c r="L470" s="83" t="s">
        <v>53</v>
      </c>
      <c r="M470" s="207" t="s">
        <v>54</v>
      </c>
    </row>
    <row r="471" spans="1:13" ht="24" hidden="1" customHeight="1" thickBot="1">
      <c r="A471" s="997" t="s">
        <v>222</v>
      </c>
      <c r="B471" s="989" t="s">
        <v>223</v>
      </c>
      <c r="C471" s="990"/>
      <c r="D471" s="989" t="s">
        <v>595</v>
      </c>
      <c r="E471" s="991" t="s">
        <v>224</v>
      </c>
      <c r="F471" s="1008"/>
      <c r="G471" s="992"/>
      <c r="H471" s="1009" t="s">
        <v>227</v>
      </c>
      <c r="I471" s="1009" t="s">
        <v>230</v>
      </c>
      <c r="J471" s="1014" t="s">
        <v>403</v>
      </c>
      <c r="K471" s="990"/>
      <c r="L471" s="1009" t="s">
        <v>229</v>
      </c>
      <c r="M471" s="1009" t="s">
        <v>228</v>
      </c>
    </row>
    <row r="472" spans="1:13" ht="62.25" hidden="1" customHeight="1" thickBot="1">
      <c r="A472" s="998"/>
      <c r="B472" s="85" t="s">
        <v>157</v>
      </c>
      <c r="C472" s="86" t="s">
        <v>158</v>
      </c>
      <c r="D472" s="991"/>
      <c r="E472" s="999" t="s">
        <v>225</v>
      </c>
      <c r="F472" s="1000"/>
      <c r="G472" s="87" t="s">
        <v>226</v>
      </c>
      <c r="H472" s="1010"/>
      <c r="I472" s="1010"/>
      <c r="J472" s="1008"/>
      <c r="K472" s="992"/>
      <c r="L472" s="1010"/>
      <c r="M472" s="1010"/>
    </row>
    <row r="473" spans="1:13" ht="15.75" hidden="1" thickBot="1">
      <c r="A473" s="159"/>
      <c r="B473" s="263"/>
      <c r="C473" s="263"/>
      <c r="D473" s="204"/>
      <c r="E473" s="1011"/>
      <c r="F473" s="1012"/>
      <c r="G473" s="204"/>
      <c r="H473" s="204"/>
      <c r="I473" s="206">
        <f>MIN(0, H473 - G473)</f>
        <v>0</v>
      </c>
      <c r="J473" s="209"/>
      <c r="K473" s="204"/>
      <c r="L473" s="205">
        <f t="shared" ref="L473:L482" si="43">IF(J473 = "EMPLOYEE",K473 - H473, 0)</f>
        <v>0</v>
      </c>
      <c r="M473" s="206">
        <f t="shared" ref="M473:M482" si="44">IF(J473 = "EMPLOYER",K473 - H473, 0)</f>
        <v>0</v>
      </c>
    </row>
    <row r="474" spans="1:13" ht="15.75" hidden="1" thickBot="1">
      <c r="A474" s="1018"/>
      <c r="B474" s="1019"/>
      <c r="C474" s="1019"/>
      <c r="D474" s="1020"/>
      <c r="E474" s="1011"/>
      <c r="F474" s="1012"/>
      <c r="G474" s="204"/>
      <c r="H474" s="204"/>
      <c r="I474" s="206">
        <f t="shared" ref="I474:I482" si="45">MIN(0, H474 - G474)</f>
        <v>0</v>
      </c>
      <c r="J474" s="209"/>
      <c r="K474" s="204"/>
      <c r="L474" s="205">
        <f t="shared" si="43"/>
        <v>0</v>
      </c>
      <c r="M474" s="206">
        <f t="shared" si="44"/>
        <v>0</v>
      </c>
    </row>
    <row r="475" spans="1:13" ht="15.75" hidden="1" thickBot="1">
      <c r="A475" s="1021"/>
      <c r="B475" s="1022"/>
      <c r="C475" s="1022"/>
      <c r="D475" s="1023"/>
      <c r="E475" s="1011"/>
      <c r="F475" s="1012"/>
      <c r="G475" s="204"/>
      <c r="H475" s="204"/>
      <c r="I475" s="206">
        <f t="shared" si="45"/>
        <v>0</v>
      </c>
      <c r="J475" s="209"/>
      <c r="K475" s="204"/>
      <c r="L475" s="205">
        <f t="shared" si="43"/>
        <v>0</v>
      </c>
      <c r="M475" s="206">
        <f t="shared" si="44"/>
        <v>0</v>
      </c>
    </row>
    <row r="476" spans="1:13" ht="15.75" hidden="1" thickBot="1">
      <c r="A476" s="1021"/>
      <c r="B476" s="1022"/>
      <c r="C476" s="1022"/>
      <c r="D476" s="1023"/>
      <c r="E476" s="1011"/>
      <c r="F476" s="1012"/>
      <c r="G476" s="204"/>
      <c r="H476" s="204"/>
      <c r="I476" s="206">
        <f t="shared" si="45"/>
        <v>0</v>
      </c>
      <c r="J476" s="209"/>
      <c r="K476" s="204"/>
      <c r="L476" s="205">
        <f t="shared" si="43"/>
        <v>0</v>
      </c>
      <c r="M476" s="206">
        <f t="shared" si="44"/>
        <v>0</v>
      </c>
    </row>
    <row r="477" spans="1:13" ht="15.75" hidden="1" thickBot="1">
      <c r="A477" s="1021"/>
      <c r="B477" s="1022"/>
      <c r="C477" s="1022"/>
      <c r="D477" s="1023"/>
      <c r="E477" s="1011"/>
      <c r="F477" s="1012"/>
      <c r="G477" s="204"/>
      <c r="H477" s="204"/>
      <c r="I477" s="206">
        <f t="shared" si="45"/>
        <v>0</v>
      </c>
      <c r="J477" s="209"/>
      <c r="K477" s="204"/>
      <c r="L477" s="205">
        <f t="shared" si="43"/>
        <v>0</v>
      </c>
      <c r="M477" s="206">
        <f t="shared" si="44"/>
        <v>0</v>
      </c>
    </row>
    <row r="478" spans="1:13" ht="15.75" hidden="1" thickBot="1">
      <c r="A478" s="1021"/>
      <c r="B478" s="1022"/>
      <c r="C478" s="1022"/>
      <c r="D478" s="1023"/>
      <c r="E478" s="1011"/>
      <c r="F478" s="1012"/>
      <c r="G478" s="204"/>
      <c r="H478" s="204"/>
      <c r="I478" s="206">
        <f t="shared" si="45"/>
        <v>0</v>
      </c>
      <c r="J478" s="209"/>
      <c r="K478" s="204"/>
      <c r="L478" s="205">
        <f t="shared" si="43"/>
        <v>0</v>
      </c>
      <c r="M478" s="206">
        <f t="shared" si="44"/>
        <v>0</v>
      </c>
    </row>
    <row r="479" spans="1:13" ht="15.75" hidden="1" thickBot="1">
      <c r="A479" s="1021"/>
      <c r="B479" s="1022"/>
      <c r="C479" s="1022"/>
      <c r="D479" s="1023"/>
      <c r="E479" s="1011"/>
      <c r="F479" s="1012"/>
      <c r="G479" s="204"/>
      <c r="H479" s="204"/>
      <c r="I479" s="206">
        <f t="shared" si="45"/>
        <v>0</v>
      </c>
      <c r="J479" s="209"/>
      <c r="K479" s="204"/>
      <c r="L479" s="205">
        <f t="shared" si="43"/>
        <v>0</v>
      </c>
      <c r="M479" s="206">
        <f t="shared" si="44"/>
        <v>0</v>
      </c>
    </row>
    <row r="480" spans="1:13" ht="15.75" hidden="1" thickBot="1">
      <c r="A480" s="1021"/>
      <c r="B480" s="1022"/>
      <c r="C480" s="1022"/>
      <c r="D480" s="1023"/>
      <c r="E480" s="1011"/>
      <c r="F480" s="1012"/>
      <c r="G480" s="204"/>
      <c r="H480" s="204"/>
      <c r="I480" s="206">
        <f t="shared" si="45"/>
        <v>0</v>
      </c>
      <c r="J480" s="209"/>
      <c r="K480" s="204"/>
      <c r="L480" s="205">
        <f t="shared" si="43"/>
        <v>0</v>
      </c>
      <c r="M480" s="206">
        <f t="shared" si="44"/>
        <v>0</v>
      </c>
    </row>
    <row r="481" spans="1:13" ht="15.75" hidden="1" thickBot="1">
      <c r="A481" s="1021"/>
      <c r="B481" s="1022"/>
      <c r="C481" s="1022"/>
      <c r="D481" s="1023"/>
      <c r="E481" s="1011"/>
      <c r="F481" s="1012"/>
      <c r="G481" s="204"/>
      <c r="H481" s="204"/>
      <c r="I481" s="206">
        <f t="shared" si="45"/>
        <v>0</v>
      </c>
      <c r="J481" s="209"/>
      <c r="K481" s="204"/>
      <c r="L481" s="205">
        <f t="shared" si="43"/>
        <v>0</v>
      </c>
      <c r="M481" s="206">
        <f t="shared" si="44"/>
        <v>0</v>
      </c>
    </row>
    <row r="482" spans="1:13" ht="15.75" hidden="1" thickBot="1">
      <c r="A482" s="1021"/>
      <c r="B482" s="1022"/>
      <c r="C482" s="1022"/>
      <c r="D482" s="1023"/>
      <c r="E482" s="1015"/>
      <c r="F482" s="1016"/>
      <c r="G482" s="204"/>
      <c r="H482" s="204"/>
      <c r="I482" s="206">
        <f t="shared" si="45"/>
        <v>0</v>
      </c>
      <c r="J482" s="208"/>
      <c r="K482" s="204"/>
      <c r="L482" s="205">
        <f t="shared" si="43"/>
        <v>0</v>
      </c>
      <c r="M482" s="206">
        <f t="shared" si="44"/>
        <v>0</v>
      </c>
    </row>
    <row r="483" spans="1:13" ht="15.75" hidden="1" customHeight="1" thickBot="1">
      <c r="A483" s="1021"/>
      <c r="B483" s="1022"/>
      <c r="C483" s="1022"/>
      <c r="D483" s="1023"/>
      <c r="E483" s="1027" t="s">
        <v>231</v>
      </c>
      <c r="F483" s="1028"/>
      <c r="G483" s="205">
        <f>SUM(G473:G482)</f>
        <v>0</v>
      </c>
      <c r="H483" s="1029"/>
      <c r="I483" s="206">
        <f>SUM(I473:I482)</f>
        <v>0</v>
      </c>
      <c r="J483" s="586"/>
      <c r="K483" s="586"/>
      <c r="L483" s="205">
        <f>SUM(L473:L482)</f>
        <v>0</v>
      </c>
      <c r="M483" s="206">
        <f>SUM(M473:M482)</f>
        <v>0</v>
      </c>
    </row>
    <row r="484" spans="1:13" ht="26.25" hidden="1" customHeight="1" thickBot="1">
      <c r="A484" s="1021"/>
      <c r="B484" s="1022"/>
      <c r="C484" s="1022"/>
      <c r="D484" s="1023"/>
      <c r="E484" s="1031" t="s">
        <v>600</v>
      </c>
      <c r="F484" s="1032"/>
      <c r="G484" s="205">
        <f>G483-D473</f>
        <v>0</v>
      </c>
      <c r="H484" s="1030"/>
      <c r="I484" s="206"/>
      <c r="J484" s="1017"/>
      <c r="K484" s="1017"/>
      <c r="L484" s="586"/>
      <c r="M484" s="587"/>
    </row>
    <row r="485" spans="1:13" ht="15.75" hidden="1" customHeight="1" thickBot="1">
      <c r="A485" s="1024"/>
      <c r="B485" s="1025"/>
      <c r="C485" s="1025"/>
      <c r="D485" s="1026"/>
      <c r="E485" s="1033" t="s">
        <v>399</v>
      </c>
      <c r="F485" s="1033"/>
      <c r="G485" s="1033"/>
      <c r="H485" s="1034"/>
      <c r="I485" s="206">
        <f>IF(G484&gt;0,I483,I483+G484)</f>
        <v>0</v>
      </c>
      <c r="J485" s="588"/>
      <c r="K485" s="588"/>
      <c r="L485" s="588"/>
      <c r="M485" s="589"/>
    </row>
    <row r="486" spans="1:13" ht="15.75" hidden="1" thickTop="1">
      <c r="A486" s="82" t="s">
        <v>23</v>
      </c>
      <c r="B486" s="987" t="s">
        <v>24</v>
      </c>
      <c r="C486" s="988"/>
      <c r="D486" s="83" t="s">
        <v>25</v>
      </c>
      <c r="E486" s="987" t="s">
        <v>26</v>
      </c>
      <c r="F486" s="391"/>
      <c r="G486" s="988"/>
      <c r="H486" s="83" t="s">
        <v>48</v>
      </c>
      <c r="I486" s="207" t="s">
        <v>49</v>
      </c>
      <c r="J486" s="391" t="s">
        <v>52</v>
      </c>
      <c r="K486" s="988"/>
      <c r="L486" s="83" t="s">
        <v>53</v>
      </c>
      <c r="M486" s="207" t="s">
        <v>54</v>
      </c>
    </row>
    <row r="487" spans="1:13" ht="27" hidden="1" customHeight="1" thickBot="1">
      <c r="A487" s="997" t="s">
        <v>222</v>
      </c>
      <c r="B487" s="989" t="s">
        <v>223</v>
      </c>
      <c r="C487" s="990"/>
      <c r="D487" s="989" t="s">
        <v>594</v>
      </c>
      <c r="E487" s="991" t="s">
        <v>224</v>
      </c>
      <c r="F487" s="1008"/>
      <c r="G487" s="992"/>
      <c r="H487" s="1009" t="s">
        <v>227</v>
      </c>
      <c r="I487" s="1009" t="s">
        <v>230</v>
      </c>
      <c r="J487" s="1014" t="s">
        <v>403</v>
      </c>
      <c r="K487" s="990"/>
      <c r="L487" s="1009" t="s">
        <v>229</v>
      </c>
      <c r="M487" s="1009" t="s">
        <v>228</v>
      </c>
    </row>
    <row r="488" spans="1:13" ht="63" hidden="1" customHeight="1" thickBot="1">
      <c r="A488" s="998"/>
      <c r="B488" s="85" t="s">
        <v>157</v>
      </c>
      <c r="C488" s="86" t="s">
        <v>158</v>
      </c>
      <c r="D488" s="991"/>
      <c r="E488" s="999" t="s">
        <v>225</v>
      </c>
      <c r="F488" s="1000"/>
      <c r="G488" s="87" t="s">
        <v>226</v>
      </c>
      <c r="H488" s="1010"/>
      <c r="I488" s="1010"/>
      <c r="J488" s="1008"/>
      <c r="K488" s="992"/>
      <c r="L488" s="1010"/>
      <c r="M488" s="1010"/>
    </row>
    <row r="489" spans="1:13" ht="15.75" hidden="1" thickBot="1">
      <c r="A489" s="159"/>
      <c r="B489" s="263"/>
      <c r="C489" s="263"/>
      <c r="D489" s="204"/>
      <c r="E489" s="1011"/>
      <c r="F489" s="1012"/>
      <c r="G489" s="204"/>
      <c r="H489" s="204"/>
      <c r="I489" s="206">
        <f>MIN(0, H489 - G489)</f>
        <v>0</v>
      </c>
      <c r="J489" s="209"/>
      <c r="K489" s="204"/>
      <c r="L489" s="205">
        <f t="shared" ref="L489:L498" si="46">IF(J489 = "EMPLOYEE",K489 - H489, 0)</f>
        <v>0</v>
      </c>
      <c r="M489" s="206">
        <f t="shared" ref="M489:M498" si="47">IF(J489 = "EMPLOYER",K489 - H489, 0)</f>
        <v>0</v>
      </c>
    </row>
    <row r="490" spans="1:13" ht="15.75" hidden="1" thickBot="1">
      <c r="A490" s="1018"/>
      <c r="B490" s="1019"/>
      <c r="C490" s="1019"/>
      <c r="D490" s="1020"/>
      <c r="E490" s="1011"/>
      <c r="F490" s="1012"/>
      <c r="G490" s="204"/>
      <c r="H490" s="204"/>
      <c r="I490" s="206">
        <f t="shared" ref="I490:I498" si="48">MIN(0, H490 - G490)</f>
        <v>0</v>
      </c>
      <c r="J490" s="209"/>
      <c r="K490" s="204"/>
      <c r="L490" s="205">
        <f t="shared" si="46"/>
        <v>0</v>
      </c>
      <c r="M490" s="206">
        <f t="shared" si="47"/>
        <v>0</v>
      </c>
    </row>
    <row r="491" spans="1:13" ht="15.75" hidden="1" thickBot="1">
      <c r="A491" s="1021"/>
      <c r="B491" s="1022"/>
      <c r="C491" s="1022"/>
      <c r="D491" s="1023"/>
      <c r="E491" s="1011"/>
      <c r="F491" s="1012"/>
      <c r="G491" s="204"/>
      <c r="H491" s="204"/>
      <c r="I491" s="206">
        <f t="shared" si="48"/>
        <v>0</v>
      </c>
      <c r="J491" s="209"/>
      <c r="K491" s="204"/>
      <c r="L491" s="205">
        <f t="shared" si="46"/>
        <v>0</v>
      </c>
      <c r="M491" s="206">
        <f t="shared" si="47"/>
        <v>0</v>
      </c>
    </row>
    <row r="492" spans="1:13" ht="15.75" hidden="1" thickBot="1">
      <c r="A492" s="1021"/>
      <c r="B492" s="1022"/>
      <c r="C492" s="1022"/>
      <c r="D492" s="1023"/>
      <c r="E492" s="1011"/>
      <c r="F492" s="1012"/>
      <c r="G492" s="204"/>
      <c r="H492" s="204"/>
      <c r="I492" s="206">
        <f t="shared" si="48"/>
        <v>0</v>
      </c>
      <c r="J492" s="209"/>
      <c r="K492" s="204"/>
      <c r="L492" s="205">
        <f t="shared" si="46"/>
        <v>0</v>
      </c>
      <c r="M492" s="206">
        <f t="shared" si="47"/>
        <v>0</v>
      </c>
    </row>
    <row r="493" spans="1:13" ht="15.75" hidden="1" thickBot="1">
      <c r="A493" s="1021"/>
      <c r="B493" s="1022"/>
      <c r="C493" s="1022"/>
      <c r="D493" s="1023"/>
      <c r="E493" s="1011"/>
      <c r="F493" s="1012"/>
      <c r="G493" s="204"/>
      <c r="H493" s="204"/>
      <c r="I493" s="206">
        <f t="shared" si="48"/>
        <v>0</v>
      </c>
      <c r="J493" s="209"/>
      <c r="K493" s="204"/>
      <c r="L493" s="205">
        <f t="shared" si="46"/>
        <v>0</v>
      </c>
      <c r="M493" s="206">
        <f t="shared" si="47"/>
        <v>0</v>
      </c>
    </row>
    <row r="494" spans="1:13" ht="15.75" hidden="1" thickBot="1">
      <c r="A494" s="1021"/>
      <c r="B494" s="1022"/>
      <c r="C494" s="1022"/>
      <c r="D494" s="1023"/>
      <c r="E494" s="1011"/>
      <c r="F494" s="1012"/>
      <c r="G494" s="204"/>
      <c r="H494" s="204"/>
      <c r="I494" s="206">
        <f t="shared" si="48"/>
        <v>0</v>
      </c>
      <c r="J494" s="209"/>
      <c r="K494" s="204"/>
      <c r="L494" s="205">
        <f t="shared" si="46"/>
        <v>0</v>
      </c>
      <c r="M494" s="206">
        <f t="shared" si="47"/>
        <v>0</v>
      </c>
    </row>
    <row r="495" spans="1:13" ht="15.75" hidden="1" thickBot="1">
      <c r="A495" s="1021"/>
      <c r="B495" s="1022"/>
      <c r="C495" s="1022"/>
      <c r="D495" s="1023"/>
      <c r="E495" s="1011"/>
      <c r="F495" s="1012"/>
      <c r="G495" s="204"/>
      <c r="H495" s="204"/>
      <c r="I495" s="206">
        <f t="shared" si="48"/>
        <v>0</v>
      </c>
      <c r="J495" s="209"/>
      <c r="K495" s="204"/>
      <c r="L495" s="205">
        <f t="shared" si="46"/>
        <v>0</v>
      </c>
      <c r="M495" s="206">
        <f t="shared" si="47"/>
        <v>0</v>
      </c>
    </row>
    <row r="496" spans="1:13" ht="15.75" hidden="1" thickBot="1">
      <c r="A496" s="1021"/>
      <c r="B496" s="1022"/>
      <c r="C496" s="1022"/>
      <c r="D496" s="1023"/>
      <c r="E496" s="1011"/>
      <c r="F496" s="1012"/>
      <c r="G496" s="204"/>
      <c r="H496" s="204"/>
      <c r="I496" s="206">
        <f t="shared" si="48"/>
        <v>0</v>
      </c>
      <c r="J496" s="209"/>
      <c r="K496" s="204"/>
      <c r="L496" s="205">
        <f t="shared" si="46"/>
        <v>0</v>
      </c>
      <c r="M496" s="206">
        <f t="shared" si="47"/>
        <v>0</v>
      </c>
    </row>
    <row r="497" spans="1:13" ht="15.75" hidden="1" thickBot="1">
      <c r="A497" s="1021"/>
      <c r="B497" s="1022"/>
      <c r="C497" s="1022"/>
      <c r="D497" s="1023"/>
      <c r="E497" s="1011"/>
      <c r="F497" s="1012"/>
      <c r="G497" s="204"/>
      <c r="H497" s="204"/>
      <c r="I497" s="206">
        <f t="shared" si="48"/>
        <v>0</v>
      </c>
      <c r="J497" s="209"/>
      <c r="K497" s="204"/>
      <c r="L497" s="205">
        <f t="shared" si="46"/>
        <v>0</v>
      </c>
      <c r="M497" s="206">
        <f t="shared" si="47"/>
        <v>0</v>
      </c>
    </row>
    <row r="498" spans="1:13" ht="15.75" hidden="1" thickBot="1">
      <c r="A498" s="1021"/>
      <c r="B498" s="1022"/>
      <c r="C498" s="1022"/>
      <c r="D498" s="1023"/>
      <c r="E498" s="1015"/>
      <c r="F498" s="1016"/>
      <c r="G498" s="204"/>
      <c r="H498" s="204"/>
      <c r="I498" s="206">
        <f t="shared" si="48"/>
        <v>0</v>
      </c>
      <c r="J498" s="208"/>
      <c r="K498" s="204"/>
      <c r="L498" s="205">
        <f t="shared" si="46"/>
        <v>0</v>
      </c>
      <c r="M498" s="206">
        <f t="shared" si="47"/>
        <v>0</v>
      </c>
    </row>
    <row r="499" spans="1:13" ht="15.75" hidden="1" customHeight="1" thickBot="1">
      <c r="A499" s="1021"/>
      <c r="B499" s="1022"/>
      <c r="C499" s="1022"/>
      <c r="D499" s="1023"/>
      <c r="E499" s="1027" t="s">
        <v>231</v>
      </c>
      <c r="F499" s="1028"/>
      <c r="G499" s="205">
        <f>SUM(G489:G498)</f>
        <v>0</v>
      </c>
      <c r="H499" s="1029"/>
      <c r="I499" s="206">
        <f>SUM(I489:I498)</f>
        <v>0</v>
      </c>
      <c r="J499" s="586"/>
      <c r="K499" s="586"/>
      <c r="L499" s="205">
        <f>SUM(L489:L498)</f>
        <v>0</v>
      </c>
      <c r="M499" s="206">
        <f>SUM(M489:M498)</f>
        <v>0</v>
      </c>
    </row>
    <row r="500" spans="1:13" ht="26.25" hidden="1" customHeight="1" thickBot="1">
      <c r="A500" s="1021"/>
      <c r="B500" s="1022"/>
      <c r="C500" s="1022"/>
      <c r="D500" s="1023"/>
      <c r="E500" s="1031" t="s">
        <v>600</v>
      </c>
      <c r="F500" s="1032"/>
      <c r="G500" s="205">
        <f>G499-D489</f>
        <v>0</v>
      </c>
      <c r="H500" s="1030"/>
      <c r="I500" s="206"/>
      <c r="J500" s="1017"/>
      <c r="K500" s="1017"/>
      <c r="L500" s="586"/>
      <c r="M500" s="587"/>
    </row>
    <row r="501" spans="1:13" ht="15.75" hidden="1" customHeight="1" thickBot="1">
      <c r="A501" s="1024"/>
      <c r="B501" s="1025"/>
      <c r="C501" s="1025"/>
      <c r="D501" s="1026"/>
      <c r="E501" s="1033" t="s">
        <v>399</v>
      </c>
      <c r="F501" s="1033"/>
      <c r="G501" s="1033"/>
      <c r="H501" s="1034"/>
      <c r="I501" s="206">
        <f>IF(G500&gt;0,I499,I499+G500)</f>
        <v>0</v>
      </c>
      <c r="J501" s="588"/>
      <c r="K501" s="588"/>
      <c r="L501" s="588"/>
      <c r="M501" s="589"/>
    </row>
    <row r="502" spans="1:13" ht="15.75" hidden="1" thickTop="1">
      <c r="A502" s="82" t="s">
        <v>23</v>
      </c>
      <c r="B502" s="987" t="s">
        <v>24</v>
      </c>
      <c r="C502" s="988"/>
      <c r="D502" s="83" t="s">
        <v>25</v>
      </c>
      <c r="E502" s="987" t="s">
        <v>26</v>
      </c>
      <c r="F502" s="391"/>
      <c r="G502" s="988"/>
      <c r="H502" s="83" t="s">
        <v>48</v>
      </c>
      <c r="I502" s="207" t="s">
        <v>49</v>
      </c>
      <c r="J502" s="391" t="s">
        <v>52</v>
      </c>
      <c r="K502" s="988"/>
      <c r="L502" s="83" t="s">
        <v>53</v>
      </c>
      <c r="M502" s="207" t="s">
        <v>54</v>
      </c>
    </row>
    <row r="503" spans="1:13" ht="30.75" hidden="1" customHeight="1" thickBot="1">
      <c r="A503" s="997" t="s">
        <v>222</v>
      </c>
      <c r="B503" s="989" t="s">
        <v>223</v>
      </c>
      <c r="C503" s="990"/>
      <c r="D503" s="989" t="s">
        <v>594</v>
      </c>
      <c r="E503" s="991" t="s">
        <v>224</v>
      </c>
      <c r="F503" s="1008"/>
      <c r="G503" s="992"/>
      <c r="H503" s="1009" t="s">
        <v>227</v>
      </c>
      <c r="I503" s="1009" t="s">
        <v>230</v>
      </c>
      <c r="J503" s="1014" t="s">
        <v>403</v>
      </c>
      <c r="K503" s="990"/>
      <c r="L503" s="1009" t="s">
        <v>229</v>
      </c>
      <c r="M503" s="1009" t="s">
        <v>228</v>
      </c>
    </row>
    <row r="504" spans="1:13" ht="56.25" hidden="1" customHeight="1" thickBot="1">
      <c r="A504" s="998"/>
      <c r="B504" s="85" t="s">
        <v>157</v>
      </c>
      <c r="C504" s="86" t="s">
        <v>158</v>
      </c>
      <c r="D504" s="991"/>
      <c r="E504" s="999" t="s">
        <v>225</v>
      </c>
      <c r="F504" s="1000"/>
      <c r="G504" s="87" t="s">
        <v>226</v>
      </c>
      <c r="H504" s="1010"/>
      <c r="I504" s="1010"/>
      <c r="J504" s="1008"/>
      <c r="K504" s="992"/>
      <c r="L504" s="1010"/>
      <c r="M504" s="1010"/>
    </row>
    <row r="505" spans="1:13" ht="15.75" hidden="1" thickBot="1">
      <c r="A505" s="159"/>
      <c r="B505" s="263"/>
      <c r="C505" s="263"/>
      <c r="D505" s="204"/>
      <c r="E505" s="1011"/>
      <c r="F505" s="1012"/>
      <c r="G505" s="204"/>
      <c r="H505" s="204"/>
      <c r="I505" s="206">
        <f>MIN(0, H505 - G505)</f>
        <v>0</v>
      </c>
      <c r="J505" s="209"/>
      <c r="K505" s="204"/>
      <c r="L505" s="205">
        <f t="shared" ref="L505:L514" si="49">IF(J505 = "EMPLOYEE",K505 - H505, 0)</f>
        <v>0</v>
      </c>
      <c r="M505" s="206">
        <f t="shared" ref="M505:M514" si="50">IF(J505 = "EMPLOYER",K505 - H505, 0)</f>
        <v>0</v>
      </c>
    </row>
    <row r="506" spans="1:13" ht="15.75" hidden="1" thickBot="1">
      <c r="A506" s="1018"/>
      <c r="B506" s="1019"/>
      <c r="C506" s="1019"/>
      <c r="D506" s="1020"/>
      <c r="E506" s="1011"/>
      <c r="F506" s="1012"/>
      <c r="G506" s="204"/>
      <c r="H506" s="204"/>
      <c r="I506" s="206">
        <f t="shared" ref="I506:I514" si="51">MIN(0, H506 - G506)</f>
        <v>0</v>
      </c>
      <c r="J506" s="209"/>
      <c r="K506" s="204"/>
      <c r="L506" s="205">
        <f t="shared" si="49"/>
        <v>0</v>
      </c>
      <c r="M506" s="206">
        <f t="shared" si="50"/>
        <v>0</v>
      </c>
    </row>
    <row r="507" spans="1:13" ht="15.75" hidden="1" thickBot="1">
      <c r="A507" s="1021"/>
      <c r="B507" s="1022"/>
      <c r="C507" s="1022"/>
      <c r="D507" s="1023"/>
      <c r="E507" s="1011"/>
      <c r="F507" s="1012"/>
      <c r="G507" s="204"/>
      <c r="H507" s="204"/>
      <c r="I507" s="206">
        <f t="shared" si="51"/>
        <v>0</v>
      </c>
      <c r="J507" s="209"/>
      <c r="K507" s="204"/>
      <c r="L507" s="205">
        <f t="shared" si="49"/>
        <v>0</v>
      </c>
      <c r="M507" s="206">
        <f t="shared" si="50"/>
        <v>0</v>
      </c>
    </row>
    <row r="508" spans="1:13" ht="15.75" hidden="1" thickBot="1">
      <c r="A508" s="1021"/>
      <c r="B508" s="1022"/>
      <c r="C508" s="1022"/>
      <c r="D508" s="1023"/>
      <c r="E508" s="1011"/>
      <c r="F508" s="1012"/>
      <c r="G508" s="204"/>
      <c r="H508" s="204"/>
      <c r="I508" s="206">
        <f t="shared" si="51"/>
        <v>0</v>
      </c>
      <c r="J508" s="209"/>
      <c r="K508" s="204"/>
      <c r="L508" s="205">
        <f t="shared" si="49"/>
        <v>0</v>
      </c>
      <c r="M508" s="206">
        <f t="shared" si="50"/>
        <v>0</v>
      </c>
    </row>
    <row r="509" spans="1:13" ht="15.75" hidden="1" thickBot="1">
      <c r="A509" s="1021"/>
      <c r="B509" s="1022"/>
      <c r="C509" s="1022"/>
      <c r="D509" s="1023"/>
      <c r="E509" s="1011"/>
      <c r="F509" s="1012"/>
      <c r="G509" s="204"/>
      <c r="H509" s="204"/>
      <c r="I509" s="206">
        <f t="shared" si="51"/>
        <v>0</v>
      </c>
      <c r="J509" s="209"/>
      <c r="K509" s="204"/>
      <c r="L509" s="205">
        <f t="shared" si="49"/>
        <v>0</v>
      </c>
      <c r="M509" s="206">
        <f t="shared" si="50"/>
        <v>0</v>
      </c>
    </row>
    <row r="510" spans="1:13" ht="15.75" hidden="1" thickBot="1">
      <c r="A510" s="1021"/>
      <c r="B510" s="1022"/>
      <c r="C510" s="1022"/>
      <c r="D510" s="1023"/>
      <c r="E510" s="1011"/>
      <c r="F510" s="1012"/>
      <c r="G510" s="204"/>
      <c r="H510" s="204"/>
      <c r="I510" s="206">
        <f t="shared" si="51"/>
        <v>0</v>
      </c>
      <c r="J510" s="209"/>
      <c r="K510" s="204"/>
      <c r="L510" s="205">
        <f t="shared" si="49"/>
        <v>0</v>
      </c>
      <c r="M510" s="206">
        <f t="shared" si="50"/>
        <v>0</v>
      </c>
    </row>
    <row r="511" spans="1:13" ht="15.75" hidden="1" thickBot="1">
      <c r="A511" s="1021"/>
      <c r="B511" s="1022"/>
      <c r="C511" s="1022"/>
      <c r="D511" s="1023"/>
      <c r="E511" s="1011"/>
      <c r="F511" s="1012"/>
      <c r="G511" s="204"/>
      <c r="H511" s="204"/>
      <c r="I511" s="206">
        <f t="shared" si="51"/>
        <v>0</v>
      </c>
      <c r="J511" s="209"/>
      <c r="K511" s="204"/>
      <c r="L511" s="205">
        <f t="shared" si="49"/>
        <v>0</v>
      </c>
      <c r="M511" s="206">
        <f t="shared" si="50"/>
        <v>0</v>
      </c>
    </row>
    <row r="512" spans="1:13" ht="15.75" hidden="1" thickBot="1">
      <c r="A512" s="1021"/>
      <c r="B512" s="1022"/>
      <c r="C512" s="1022"/>
      <c r="D512" s="1023"/>
      <c r="E512" s="1011"/>
      <c r="F512" s="1012"/>
      <c r="G512" s="204"/>
      <c r="H512" s="204"/>
      <c r="I512" s="206">
        <f t="shared" si="51"/>
        <v>0</v>
      </c>
      <c r="J512" s="209"/>
      <c r="K512" s="204"/>
      <c r="L512" s="205">
        <f t="shared" si="49"/>
        <v>0</v>
      </c>
      <c r="M512" s="206">
        <f t="shared" si="50"/>
        <v>0</v>
      </c>
    </row>
    <row r="513" spans="1:13" ht="15.75" hidden="1" thickBot="1">
      <c r="A513" s="1021"/>
      <c r="B513" s="1022"/>
      <c r="C513" s="1022"/>
      <c r="D513" s="1023"/>
      <c r="E513" s="1011"/>
      <c r="F513" s="1012"/>
      <c r="G513" s="204"/>
      <c r="H513" s="204"/>
      <c r="I513" s="206">
        <f t="shared" si="51"/>
        <v>0</v>
      </c>
      <c r="J513" s="209"/>
      <c r="K513" s="204"/>
      <c r="L513" s="205">
        <f t="shared" si="49"/>
        <v>0</v>
      </c>
      <c r="M513" s="206">
        <f t="shared" si="50"/>
        <v>0</v>
      </c>
    </row>
    <row r="514" spans="1:13" ht="15.75" hidden="1" thickBot="1">
      <c r="A514" s="1021"/>
      <c r="B514" s="1022"/>
      <c r="C514" s="1022"/>
      <c r="D514" s="1023"/>
      <c r="E514" s="1015"/>
      <c r="F514" s="1016"/>
      <c r="G514" s="204"/>
      <c r="H514" s="204"/>
      <c r="I514" s="206">
        <f t="shared" si="51"/>
        <v>0</v>
      </c>
      <c r="J514" s="208"/>
      <c r="K514" s="204"/>
      <c r="L514" s="205">
        <f t="shared" si="49"/>
        <v>0</v>
      </c>
      <c r="M514" s="206">
        <f t="shared" si="50"/>
        <v>0</v>
      </c>
    </row>
    <row r="515" spans="1:13" ht="15.75" hidden="1" customHeight="1" thickBot="1">
      <c r="A515" s="1021"/>
      <c r="B515" s="1022"/>
      <c r="C515" s="1022"/>
      <c r="D515" s="1023"/>
      <c r="E515" s="1027" t="s">
        <v>231</v>
      </c>
      <c r="F515" s="1028"/>
      <c r="G515" s="205">
        <f>SUM(G505:G514)</f>
        <v>0</v>
      </c>
      <c r="H515" s="1029"/>
      <c r="I515" s="206">
        <f>SUM(I505:I514)</f>
        <v>0</v>
      </c>
      <c r="J515" s="586"/>
      <c r="K515" s="586"/>
      <c r="L515" s="205">
        <f>SUM(L505:L514)</f>
        <v>0</v>
      </c>
      <c r="M515" s="206">
        <f>SUM(M505:M514)</f>
        <v>0</v>
      </c>
    </row>
    <row r="516" spans="1:13" ht="26.25" hidden="1" customHeight="1" thickBot="1">
      <c r="A516" s="1021"/>
      <c r="B516" s="1022"/>
      <c r="C516" s="1022"/>
      <c r="D516" s="1023"/>
      <c r="E516" s="1031" t="s">
        <v>600</v>
      </c>
      <c r="F516" s="1032"/>
      <c r="G516" s="205">
        <f>G515-D505</f>
        <v>0</v>
      </c>
      <c r="H516" s="1030"/>
      <c r="I516" s="206"/>
      <c r="J516" s="1017"/>
      <c r="K516" s="1017"/>
      <c r="L516" s="586"/>
      <c r="M516" s="587"/>
    </row>
    <row r="517" spans="1:13" ht="15.75" hidden="1" customHeight="1" thickBot="1">
      <c r="A517" s="1024"/>
      <c r="B517" s="1025"/>
      <c r="C517" s="1025"/>
      <c r="D517" s="1026"/>
      <c r="E517" s="1033" t="s">
        <v>399</v>
      </c>
      <c r="F517" s="1033"/>
      <c r="G517" s="1033"/>
      <c r="H517" s="1034"/>
      <c r="I517" s="206">
        <f>IF(G516&gt;0,I515,I515+G516)</f>
        <v>0</v>
      </c>
      <c r="J517" s="588"/>
      <c r="K517" s="588"/>
      <c r="L517" s="588"/>
      <c r="M517" s="589"/>
    </row>
    <row r="518" spans="1:13" ht="15.75" hidden="1" thickTop="1">
      <c r="A518" s="82" t="s">
        <v>23</v>
      </c>
      <c r="B518" s="987" t="s">
        <v>24</v>
      </c>
      <c r="C518" s="988"/>
      <c r="D518" s="83" t="s">
        <v>25</v>
      </c>
      <c r="E518" s="987" t="s">
        <v>26</v>
      </c>
      <c r="F518" s="391"/>
      <c r="G518" s="988"/>
      <c r="H518" s="83" t="s">
        <v>48</v>
      </c>
      <c r="I518" s="207" t="s">
        <v>49</v>
      </c>
      <c r="J518" s="391" t="s">
        <v>52</v>
      </c>
      <c r="K518" s="988"/>
      <c r="L518" s="83" t="s">
        <v>53</v>
      </c>
      <c r="M518" s="207" t="s">
        <v>54</v>
      </c>
    </row>
    <row r="519" spans="1:13" ht="27" hidden="1" customHeight="1" thickBot="1">
      <c r="A519" s="997" t="s">
        <v>222</v>
      </c>
      <c r="B519" s="989" t="s">
        <v>223</v>
      </c>
      <c r="C519" s="990"/>
      <c r="D519" s="989" t="s">
        <v>594</v>
      </c>
      <c r="E519" s="991" t="s">
        <v>224</v>
      </c>
      <c r="F519" s="1008"/>
      <c r="G519" s="992"/>
      <c r="H519" s="1009" t="s">
        <v>227</v>
      </c>
      <c r="I519" s="1009" t="s">
        <v>230</v>
      </c>
      <c r="J519" s="1014" t="s">
        <v>403</v>
      </c>
      <c r="K519" s="990"/>
      <c r="L519" s="1009" t="s">
        <v>229</v>
      </c>
      <c r="M519" s="1009" t="s">
        <v>228</v>
      </c>
    </row>
    <row r="520" spans="1:13" ht="63" hidden="1" customHeight="1" thickBot="1">
      <c r="A520" s="998"/>
      <c r="B520" s="85" t="s">
        <v>157</v>
      </c>
      <c r="C520" s="86" t="s">
        <v>158</v>
      </c>
      <c r="D520" s="991"/>
      <c r="E520" s="999" t="s">
        <v>225</v>
      </c>
      <c r="F520" s="1000"/>
      <c r="G520" s="87" t="s">
        <v>226</v>
      </c>
      <c r="H520" s="1010"/>
      <c r="I520" s="1010"/>
      <c r="J520" s="1008"/>
      <c r="K520" s="992"/>
      <c r="L520" s="1010"/>
      <c r="M520" s="1010"/>
    </row>
    <row r="521" spans="1:13" ht="15.75" hidden="1" thickBot="1">
      <c r="A521" s="159"/>
      <c r="B521" s="263"/>
      <c r="C521" s="263"/>
      <c r="D521" s="204"/>
      <c r="E521" s="1011"/>
      <c r="F521" s="1012"/>
      <c r="G521" s="204"/>
      <c r="H521" s="204"/>
      <c r="I521" s="206">
        <f>MIN(0, H521 - G521)</f>
        <v>0</v>
      </c>
      <c r="J521" s="209"/>
      <c r="K521" s="204"/>
      <c r="L521" s="205">
        <f t="shared" ref="L521:L530" si="52">IF(J521 = "EMPLOYEE",K521 - H521, 0)</f>
        <v>0</v>
      </c>
      <c r="M521" s="206">
        <f t="shared" ref="M521:M530" si="53">IF(J521 = "EMPLOYER",K521 - H521, 0)</f>
        <v>0</v>
      </c>
    </row>
    <row r="522" spans="1:13" ht="15.75" hidden="1" thickBot="1">
      <c r="A522" s="1018"/>
      <c r="B522" s="1019"/>
      <c r="C522" s="1019"/>
      <c r="D522" s="1020"/>
      <c r="E522" s="1011"/>
      <c r="F522" s="1012"/>
      <c r="G522" s="204"/>
      <c r="H522" s="204"/>
      <c r="I522" s="206">
        <f t="shared" ref="I522:I530" si="54">MIN(0, H522 - G522)</f>
        <v>0</v>
      </c>
      <c r="J522" s="209"/>
      <c r="K522" s="204"/>
      <c r="L522" s="205">
        <f t="shared" si="52"/>
        <v>0</v>
      </c>
      <c r="M522" s="206">
        <f t="shared" si="53"/>
        <v>0</v>
      </c>
    </row>
    <row r="523" spans="1:13" ht="15.75" hidden="1" thickBot="1">
      <c r="A523" s="1021"/>
      <c r="B523" s="1022"/>
      <c r="C523" s="1022"/>
      <c r="D523" s="1023"/>
      <c r="E523" s="1011"/>
      <c r="F523" s="1012"/>
      <c r="G523" s="204"/>
      <c r="H523" s="204"/>
      <c r="I523" s="206">
        <f t="shared" si="54"/>
        <v>0</v>
      </c>
      <c r="J523" s="209"/>
      <c r="K523" s="204"/>
      <c r="L523" s="205">
        <f t="shared" si="52"/>
        <v>0</v>
      </c>
      <c r="M523" s="206">
        <f t="shared" si="53"/>
        <v>0</v>
      </c>
    </row>
    <row r="524" spans="1:13" ht="15.75" hidden="1" thickBot="1">
      <c r="A524" s="1021"/>
      <c r="B524" s="1022"/>
      <c r="C524" s="1022"/>
      <c r="D524" s="1023"/>
      <c r="E524" s="1011"/>
      <c r="F524" s="1012"/>
      <c r="G524" s="204"/>
      <c r="H524" s="204"/>
      <c r="I524" s="206">
        <f t="shared" si="54"/>
        <v>0</v>
      </c>
      <c r="J524" s="209"/>
      <c r="K524" s="204"/>
      <c r="L524" s="205">
        <f t="shared" si="52"/>
        <v>0</v>
      </c>
      <c r="M524" s="206">
        <f t="shared" si="53"/>
        <v>0</v>
      </c>
    </row>
    <row r="525" spans="1:13" ht="15.75" hidden="1" thickBot="1">
      <c r="A525" s="1021"/>
      <c r="B525" s="1022"/>
      <c r="C525" s="1022"/>
      <c r="D525" s="1023"/>
      <c r="E525" s="1011"/>
      <c r="F525" s="1012"/>
      <c r="G525" s="204"/>
      <c r="H525" s="204"/>
      <c r="I525" s="206">
        <f t="shared" si="54"/>
        <v>0</v>
      </c>
      <c r="J525" s="209"/>
      <c r="K525" s="204"/>
      <c r="L525" s="205">
        <f t="shared" si="52"/>
        <v>0</v>
      </c>
      <c r="M525" s="206">
        <f t="shared" si="53"/>
        <v>0</v>
      </c>
    </row>
    <row r="526" spans="1:13" ht="15.75" hidden="1" thickBot="1">
      <c r="A526" s="1021"/>
      <c r="B526" s="1022"/>
      <c r="C526" s="1022"/>
      <c r="D526" s="1023"/>
      <c r="E526" s="1011"/>
      <c r="F526" s="1012"/>
      <c r="G526" s="204"/>
      <c r="H526" s="204"/>
      <c r="I526" s="206">
        <f t="shared" si="54"/>
        <v>0</v>
      </c>
      <c r="J526" s="209"/>
      <c r="K526" s="204"/>
      <c r="L526" s="205">
        <f t="shared" si="52"/>
        <v>0</v>
      </c>
      <c r="M526" s="206">
        <f t="shared" si="53"/>
        <v>0</v>
      </c>
    </row>
    <row r="527" spans="1:13" ht="15.75" hidden="1" thickBot="1">
      <c r="A527" s="1021"/>
      <c r="B527" s="1022"/>
      <c r="C527" s="1022"/>
      <c r="D527" s="1023"/>
      <c r="E527" s="1011"/>
      <c r="F527" s="1012"/>
      <c r="G527" s="204"/>
      <c r="H527" s="204"/>
      <c r="I527" s="206">
        <f t="shared" si="54"/>
        <v>0</v>
      </c>
      <c r="J527" s="209"/>
      <c r="K527" s="204"/>
      <c r="L527" s="205">
        <f t="shared" si="52"/>
        <v>0</v>
      </c>
      <c r="M527" s="206">
        <f t="shared" si="53"/>
        <v>0</v>
      </c>
    </row>
    <row r="528" spans="1:13" ht="15.75" hidden="1" thickBot="1">
      <c r="A528" s="1021"/>
      <c r="B528" s="1022"/>
      <c r="C528" s="1022"/>
      <c r="D528" s="1023"/>
      <c r="E528" s="1011"/>
      <c r="F528" s="1012"/>
      <c r="G528" s="204"/>
      <c r="H528" s="204"/>
      <c r="I528" s="206">
        <f t="shared" si="54"/>
        <v>0</v>
      </c>
      <c r="J528" s="209"/>
      <c r="K528" s="204"/>
      <c r="L528" s="205">
        <f t="shared" si="52"/>
        <v>0</v>
      </c>
      <c r="M528" s="206">
        <f t="shared" si="53"/>
        <v>0</v>
      </c>
    </row>
    <row r="529" spans="1:13" ht="15.75" hidden="1" thickBot="1">
      <c r="A529" s="1021"/>
      <c r="B529" s="1022"/>
      <c r="C529" s="1022"/>
      <c r="D529" s="1023"/>
      <c r="E529" s="1011"/>
      <c r="F529" s="1012"/>
      <c r="G529" s="204"/>
      <c r="H529" s="204"/>
      <c r="I529" s="206">
        <f t="shared" si="54"/>
        <v>0</v>
      </c>
      <c r="J529" s="209"/>
      <c r="K529" s="204"/>
      <c r="L529" s="205">
        <f t="shared" si="52"/>
        <v>0</v>
      </c>
      <c r="M529" s="206">
        <f t="shared" si="53"/>
        <v>0</v>
      </c>
    </row>
    <row r="530" spans="1:13" ht="15.75" hidden="1" thickBot="1">
      <c r="A530" s="1021"/>
      <c r="B530" s="1022"/>
      <c r="C530" s="1022"/>
      <c r="D530" s="1023"/>
      <c r="E530" s="1015"/>
      <c r="F530" s="1016"/>
      <c r="G530" s="204"/>
      <c r="H530" s="204"/>
      <c r="I530" s="206">
        <f t="shared" si="54"/>
        <v>0</v>
      </c>
      <c r="J530" s="208"/>
      <c r="K530" s="204"/>
      <c r="L530" s="205">
        <f t="shared" si="52"/>
        <v>0</v>
      </c>
      <c r="M530" s="206">
        <f t="shared" si="53"/>
        <v>0</v>
      </c>
    </row>
    <row r="531" spans="1:13" ht="15.75" hidden="1" customHeight="1" thickBot="1">
      <c r="A531" s="1021"/>
      <c r="B531" s="1022"/>
      <c r="C531" s="1022"/>
      <c r="D531" s="1023"/>
      <c r="E531" s="1027" t="s">
        <v>231</v>
      </c>
      <c r="F531" s="1028"/>
      <c r="G531" s="205">
        <f>SUM(G521:G530)</f>
        <v>0</v>
      </c>
      <c r="H531" s="1029"/>
      <c r="I531" s="206">
        <f>SUM(I521:I530)</f>
        <v>0</v>
      </c>
      <c r="J531" s="586"/>
      <c r="K531" s="586"/>
      <c r="L531" s="205">
        <f>SUM(L521:L530)</f>
        <v>0</v>
      </c>
      <c r="M531" s="206">
        <f>SUM(M521:M530)</f>
        <v>0</v>
      </c>
    </row>
    <row r="532" spans="1:13" ht="26.25" hidden="1" customHeight="1" thickBot="1">
      <c r="A532" s="1021"/>
      <c r="B532" s="1022"/>
      <c r="C532" s="1022"/>
      <c r="D532" s="1023"/>
      <c r="E532" s="1031" t="s">
        <v>600</v>
      </c>
      <c r="F532" s="1032"/>
      <c r="G532" s="205">
        <f>G531-D521</f>
        <v>0</v>
      </c>
      <c r="H532" s="1030"/>
      <c r="I532" s="206"/>
      <c r="J532" s="1017"/>
      <c r="K532" s="1017"/>
      <c r="L532" s="586"/>
      <c r="M532" s="587"/>
    </row>
    <row r="533" spans="1:13" ht="15.75" hidden="1" customHeight="1" thickBot="1">
      <c r="A533" s="1024"/>
      <c r="B533" s="1025"/>
      <c r="C533" s="1025"/>
      <c r="D533" s="1026"/>
      <c r="E533" s="1033" t="s">
        <v>399</v>
      </c>
      <c r="F533" s="1033"/>
      <c r="G533" s="1033"/>
      <c r="H533" s="1034"/>
      <c r="I533" s="206">
        <f>IF(G532&gt;0,I531,I531+G532)</f>
        <v>0</v>
      </c>
      <c r="J533" s="588"/>
      <c r="K533" s="588"/>
      <c r="L533" s="588"/>
      <c r="M533" s="589"/>
    </row>
    <row r="534" spans="1:13" ht="15.75" hidden="1" thickTop="1">
      <c r="A534" s="82" t="s">
        <v>23</v>
      </c>
      <c r="B534" s="987" t="s">
        <v>24</v>
      </c>
      <c r="C534" s="988"/>
      <c r="D534" s="83" t="s">
        <v>25</v>
      </c>
      <c r="E534" s="987" t="s">
        <v>26</v>
      </c>
      <c r="F534" s="391"/>
      <c r="G534" s="988"/>
      <c r="H534" s="83" t="s">
        <v>48</v>
      </c>
      <c r="I534" s="207" t="s">
        <v>49</v>
      </c>
      <c r="J534" s="391" t="s">
        <v>52</v>
      </c>
      <c r="K534" s="988"/>
      <c r="L534" s="83" t="s">
        <v>53</v>
      </c>
      <c r="M534" s="207" t="s">
        <v>54</v>
      </c>
    </row>
    <row r="535" spans="1:13" ht="27.75" hidden="1" customHeight="1" thickBot="1">
      <c r="A535" s="997" t="s">
        <v>222</v>
      </c>
      <c r="B535" s="989" t="s">
        <v>223</v>
      </c>
      <c r="C535" s="990"/>
      <c r="D535" s="989" t="s">
        <v>595</v>
      </c>
      <c r="E535" s="991" t="s">
        <v>224</v>
      </c>
      <c r="F535" s="1008"/>
      <c r="G535" s="992"/>
      <c r="H535" s="1009" t="s">
        <v>227</v>
      </c>
      <c r="I535" s="1009" t="s">
        <v>230</v>
      </c>
      <c r="J535" s="1014" t="s">
        <v>403</v>
      </c>
      <c r="K535" s="990"/>
      <c r="L535" s="1009" t="s">
        <v>229</v>
      </c>
      <c r="M535" s="1009" t="s">
        <v>228</v>
      </c>
    </row>
    <row r="536" spans="1:13" ht="63" hidden="1" customHeight="1" thickBot="1">
      <c r="A536" s="998"/>
      <c r="B536" s="85" t="s">
        <v>157</v>
      </c>
      <c r="C536" s="86" t="s">
        <v>158</v>
      </c>
      <c r="D536" s="991"/>
      <c r="E536" s="999" t="s">
        <v>225</v>
      </c>
      <c r="F536" s="1000"/>
      <c r="G536" s="87" t="s">
        <v>226</v>
      </c>
      <c r="H536" s="1010"/>
      <c r="I536" s="1010"/>
      <c r="J536" s="1008"/>
      <c r="K536" s="992"/>
      <c r="L536" s="1010"/>
      <c r="M536" s="1010"/>
    </row>
    <row r="537" spans="1:13" ht="15.75" hidden="1" thickBot="1">
      <c r="A537" s="159"/>
      <c r="B537" s="263"/>
      <c r="C537" s="263"/>
      <c r="D537" s="204"/>
      <c r="E537" s="1011"/>
      <c r="F537" s="1012"/>
      <c r="G537" s="204"/>
      <c r="H537" s="204"/>
      <c r="I537" s="206">
        <f>MIN(0, H537 - G537)</f>
        <v>0</v>
      </c>
      <c r="J537" s="209"/>
      <c r="K537" s="204"/>
      <c r="L537" s="205">
        <f t="shared" ref="L537:L546" si="55">IF(J537 = "EMPLOYEE",K537 - H537, 0)</f>
        <v>0</v>
      </c>
      <c r="M537" s="206">
        <f t="shared" ref="M537:M546" si="56">IF(J537 = "EMPLOYER",K537 - H537, 0)</f>
        <v>0</v>
      </c>
    </row>
    <row r="538" spans="1:13" ht="15.75" hidden="1" thickBot="1">
      <c r="A538" s="1018"/>
      <c r="B538" s="1019"/>
      <c r="C538" s="1019"/>
      <c r="D538" s="1020"/>
      <c r="E538" s="1011"/>
      <c r="F538" s="1012"/>
      <c r="G538" s="204"/>
      <c r="H538" s="204"/>
      <c r="I538" s="206">
        <f t="shared" ref="I538:I546" si="57">MIN(0, H538 - G538)</f>
        <v>0</v>
      </c>
      <c r="J538" s="209"/>
      <c r="K538" s="204"/>
      <c r="L538" s="205">
        <f t="shared" si="55"/>
        <v>0</v>
      </c>
      <c r="M538" s="206">
        <f t="shared" si="56"/>
        <v>0</v>
      </c>
    </row>
    <row r="539" spans="1:13" ht="15.75" hidden="1" thickBot="1">
      <c r="A539" s="1021"/>
      <c r="B539" s="1022"/>
      <c r="C539" s="1022"/>
      <c r="D539" s="1023"/>
      <c r="E539" s="1011"/>
      <c r="F539" s="1012"/>
      <c r="G539" s="204"/>
      <c r="H539" s="204"/>
      <c r="I539" s="206">
        <f t="shared" si="57"/>
        <v>0</v>
      </c>
      <c r="J539" s="209"/>
      <c r="K539" s="204"/>
      <c r="L539" s="205">
        <f t="shared" si="55"/>
        <v>0</v>
      </c>
      <c r="M539" s="206">
        <f t="shared" si="56"/>
        <v>0</v>
      </c>
    </row>
    <row r="540" spans="1:13" ht="15.75" hidden="1" thickBot="1">
      <c r="A540" s="1021"/>
      <c r="B540" s="1022"/>
      <c r="C540" s="1022"/>
      <c r="D540" s="1023"/>
      <c r="E540" s="1011"/>
      <c r="F540" s="1012"/>
      <c r="G540" s="204"/>
      <c r="H540" s="204"/>
      <c r="I540" s="206">
        <f t="shared" si="57"/>
        <v>0</v>
      </c>
      <c r="J540" s="209"/>
      <c r="K540" s="204"/>
      <c r="L540" s="205">
        <f t="shared" si="55"/>
        <v>0</v>
      </c>
      <c r="M540" s="206">
        <f t="shared" si="56"/>
        <v>0</v>
      </c>
    </row>
    <row r="541" spans="1:13" ht="15.75" hidden="1" thickBot="1">
      <c r="A541" s="1021"/>
      <c r="B541" s="1022"/>
      <c r="C541" s="1022"/>
      <c r="D541" s="1023"/>
      <c r="E541" s="1011"/>
      <c r="F541" s="1012"/>
      <c r="G541" s="204"/>
      <c r="H541" s="204"/>
      <c r="I541" s="206">
        <f t="shared" si="57"/>
        <v>0</v>
      </c>
      <c r="J541" s="209"/>
      <c r="K541" s="204"/>
      <c r="L541" s="205">
        <f t="shared" si="55"/>
        <v>0</v>
      </c>
      <c r="M541" s="206">
        <f t="shared" si="56"/>
        <v>0</v>
      </c>
    </row>
    <row r="542" spans="1:13" ht="15.75" hidden="1" thickBot="1">
      <c r="A542" s="1021"/>
      <c r="B542" s="1022"/>
      <c r="C542" s="1022"/>
      <c r="D542" s="1023"/>
      <c r="E542" s="1011"/>
      <c r="F542" s="1012"/>
      <c r="G542" s="204"/>
      <c r="H542" s="204"/>
      <c r="I542" s="206">
        <f t="shared" si="57"/>
        <v>0</v>
      </c>
      <c r="J542" s="209"/>
      <c r="K542" s="204"/>
      <c r="L542" s="205">
        <f t="shared" si="55"/>
        <v>0</v>
      </c>
      <c r="M542" s="206">
        <f t="shared" si="56"/>
        <v>0</v>
      </c>
    </row>
    <row r="543" spans="1:13" ht="15.75" hidden="1" thickBot="1">
      <c r="A543" s="1021"/>
      <c r="B543" s="1022"/>
      <c r="C543" s="1022"/>
      <c r="D543" s="1023"/>
      <c r="E543" s="1011"/>
      <c r="F543" s="1012"/>
      <c r="G543" s="204"/>
      <c r="H543" s="204"/>
      <c r="I543" s="206">
        <f t="shared" si="57"/>
        <v>0</v>
      </c>
      <c r="J543" s="209"/>
      <c r="K543" s="204"/>
      <c r="L543" s="205">
        <f t="shared" si="55"/>
        <v>0</v>
      </c>
      <c r="M543" s="206">
        <f t="shared" si="56"/>
        <v>0</v>
      </c>
    </row>
    <row r="544" spans="1:13" ht="15.75" hidden="1" thickBot="1">
      <c r="A544" s="1021"/>
      <c r="B544" s="1022"/>
      <c r="C544" s="1022"/>
      <c r="D544" s="1023"/>
      <c r="E544" s="1011"/>
      <c r="F544" s="1012"/>
      <c r="G544" s="204"/>
      <c r="H544" s="204"/>
      <c r="I544" s="206">
        <f t="shared" si="57"/>
        <v>0</v>
      </c>
      <c r="J544" s="209"/>
      <c r="K544" s="204"/>
      <c r="L544" s="205">
        <f t="shared" si="55"/>
        <v>0</v>
      </c>
      <c r="M544" s="206">
        <f t="shared" si="56"/>
        <v>0</v>
      </c>
    </row>
    <row r="545" spans="1:13" ht="15.75" hidden="1" thickBot="1">
      <c r="A545" s="1021"/>
      <c r="B545" s="1022"/>
      <c r="C545" s="1022"/>
      <c r="D545" s="1023"/>
      <c r="E545" s="1011"/>
      <c r="F545" s="1012"/>
      <c r="G545" s="204"/>
      <c r="H545" s="204"/>
      <c r="I545" s="206">
        <f t="shared" si="57"/>
        <v>0</v>
      </c>
      <c r="J545" s="209"/>
      <c r="K545" s="204"/>
      <c r="L545" s="205">
        <f t="shared" si="55"/>
        <v>0</v>
      </c>
      <c r="M545" s="206">
        <f t="shared" si="56"/>
        <v>0</v>
      </c>
    </row>
    <row r="546" spans="1:13" ht="15.75" hidden="1" thickBot="1">
      <c r="A546" s="1021"/>
      <c r="B546" s="1022"/>
      <c r="C546" s="1022"/>
      <c r="D546" s="1023"/>
      <c r="E546" s="1015"/>
      <c r="F546" s="1016"/>
      <c r="G546" s="204"/>
      <c r="H546" s="204"/>
      <c r="I546" s="206">
        <f t="shared" si="57"/>
        <v>0</v>
      </c>
      <c r="J546" s="208"/>
      <c r="K546" s="204"/>
      <c r="L546" s="205">
        <f t="shared" si="55"/>
        <v>0</v>
      </c>
      <c r="M546" s="206">
        <f t="shared" si="56"/>
        <v>0</v>
      </c>
    </row>
    <row r="547" spans="1:13" ht="15.75" hidden="1" customHeight="1" thickBot="1">
      <c r="A547" s="1021"/>
      <c r="B547" s="1022"/>
      <c r="C547" s="1022"/>
      <c r="D547" s="1023"/>
      <c r="E547" s="1027" t="s">
        <v>231</v>
      </c>
      <c r="F547" s="1028"/>
      <c r="G547" s="205">
        <f>SUM(G537:G546)</f>
        <v>0</v>
      </c>
      <c r="H547" s="1029"/>
      <c r="I547" s="206">
        <f>SUM(I537:I546)</f>
        <v>0</v>
      </c>
      <c r="J547" s="586"/>
      <c r="K547" s="586"/>
      <c r="L547" s="205">
        <f>SUM(L537:L546)</f>
        <v>0</v>
      </c>
      <c r="M547" s="206">
        <f>SUM(M537:M546)</f>
        <v>0</v>
      </c>
    </row>
    <row r="548" spans="1:13" ht="27" hidden="1" customHeight="1" thickBot="1">
      <c r="A548" s="1021"/>
      <c r="B548" s="1022"/>
      <c r="C548" s="1022"/>
      <c r="D548" s="1023"/>
      <c r="E548" s="1031" t="s">
        <v>600</v>
      </c>
      <c r="F548" s="1032"/>
      <c r="G548" s="205">
        <f>G547-D537</f>
        <v>0</v>
      </c>
      <c r="H548" s="1030"/>
      <c r="I548" s="206"/>
      <c r="J548" s="1017"/>
      <c r="K548" s="1017"/>
      <c r="L548" s="586"/>
      <c r="M548" s="587"/>
    </row>
    <row r="549" spans="1:13" ht="15.75" hidden="1" customHeight="1" thickBot="1">
      <c r="A549" s="1024"/>
      <c r="B549" s="1025"/>
      <c r="C549" s="1025"/>
      <c r="D549" s="1026"/>
      <c r="E549" s="1033" t="s">
        <v>399</v>
      </c>
      <c r="F549" s="1033"/>
      <c r="G549" s="1033"/>
      <c r="H549" s="1034"/>
      <c r="I549" s="206">
        <f>IF(G548&gt;0,I547,I547+G548)</f>
        <v>0</v>
      </c>
      <c r="J549" s="588"/>
      <c r="K549" s="588"/>
      <c r="L549" s="588"/>
      <c r="M549" s="589"/>
    </row>
    <row r="550" spans="1:13" ht="15.75" hidden="1" thickTop="1">
      <c r="A550" s="82" t="s">
        <v>23</v>
      </c>
      <c r="B550" s="987" t="s">
        <v>24</v>
      </c>
      <c r="C550" s="988"/>
      <c r="D550" s="83" t="s">
        <v>25</v>
      </c>
      <c r="E550" s="987" t="s">
        <v>26</v>
      </c>
      <c r="F550" s="391"/>
      <c r="G550" s="988"/>
      <c r="H550" s="83" t="s">
        <v>48</v>
      </c>
      <c r="I550" s="207" t="s">
        <v>49</v>
      </c>
      <c r="J550" s="391" t="s">
        <v>52</v>
      </c>
      <c r="K550" s="988"/>
      <c r="L550" s="83" t="s">
        <v>53</v>
      </c>
      <c r="M550" s="207" t="s">
        <v>54</v>
      </c>
    </row>
    <row r="551" spans="1:13" ht="25.5" hidden="1" customHeight="1" thickBot="1">
      <c r="A551" s="997" t="s">
        <v>222</v>
      </c>
      <c r="B551" s="989" t="s">
        <v>223</v>
      </c>
      <c r="C551" s="990"/>
      <c r="D551" s="989" t="s">
        <v>594</v>
      </c>
      <c r="E551" s="991" t="s">
        <v>224</v>
      </c>
      <c r="F551" s="1008"/>
      <c r="G551" s="992"/>
      <c r="H551" s="1009" t="s">
        <v>227</v>
      </c>
      <c r="I551" s="1009" t="s">
        <v>230</v>
      </c>
      <c r="J551" s="1014" t="s">
        <v>403</v>
      </c>
      <c r="K551" s="990"/>
      <c r="L551" s="1009" t="s">
        <v>229</v>
      </c>
      <c r="M551" s="1009" t="s">
        <v>228</v>
      </c>
    </row>
    <row r="552" spans="1:13" ht="59.25" hidden="1" customHeight="1" thickBot="1">
      <c r="A552" s="998"/>
      <c r="B552" s="85" t="s">
        <v>157</v>
      </c>
      <c r="C552" s="86" t="s">
        <v>158</v>
      </c>
      <c r="D552" s="991"/>
      <c r="E552" s="999" t="s">
        <v>225</v>
      </c>
      <c r="F552" s="1000"/>
      <c r="G552" s="87" t="s">
        <v>226</v>
      </c>
      <c r="H552" s="1010"/>
      <c r="I552" s="1010"/>
      <c r="J552" s="1008"/>
      <c r="K552" s="992"/>
      <c r="L552" s="1010"/>
      <c r="M552" s="1010"/>
    </row>
    <row r="553" spans="1:13" ht="15.75" hidden="1" thickBot="1">
      <c r="A553" s="159"/>
      <c r="B553" s="263"/>
      <c r="C553" s="263"/>
      <c r="D553" s="204"/>
      <c r="E553" s="1011"/>
      <c r="F553" s="1012"/>
      <c r="G553" s="204"/>
      <c r="H553" s="204"/>
      <c r="I553" s="206">
        <f>MIN(0, H553 - G553)</f>
        <v>0</v>
      </c>
      <c r="J553" s="209"/>
      <c r="K553" s="204"/>
      <c r="L553" s="205">
        <f t="shared" ref="L553:L562" si="58">IF(J553 = "EMPLOYEE",K553 - H553, 0)</f>
        <v>0</v>
      </c>
      <c r="M553" s="206">
        <f t="shared" ref="M553:M562" si="59">IF(J553 = "EMPLOYER",K553 - H553, 0)</f>
        <v>0</v>
      </c>
    </row>
    <row r="554" spans="1:13" ht="15.75" hidden="1" thickBot="1">
      <c r="A554" s="1018"/>
      <c r="B554" s="1019"/>
      <c r="C554" s="1019"/>
      <c r="D554" s="1020"/>
      <c r="E554" s="1011"/>
      <c r="F554" s="1012"/>
      <c r="G554" s="204"/>
      <c r="H554" s="204"/>
      <c r="I554" s="206">
        <f t="shared" ref="I554:I562" si="60">MIN(0, H554 - G554)</f>
        <v>0</v>
      </c>
      <c r="J554" s="209"/>
      <c r="K554" s="204"/>
      <c r="L554" s="205">
        <f t="shared" si="58"/>
        <v>0</v>
      </c>
      <c r="M554" s="206">
        <f t="shared" si="59"/>
        <v>0</v>
      </c>
    </row>
    <row r="555" spans="1:13" ht="15.75" hidden="1" thickBot="1">
      <c r="A555" s="1021"/>
      <c r="B555" s="1022"/>
      <c r="C555" s="1022"/>
      <c r="D555" s="1023"/>
      <c r="E555" s="1011"/>
      <c r="F555" s="1012"/>
      <c r="G555" s="204"/>
      <c r="H555" s="204"/>
      <c r="I555" s="206">
        <f t="shared" si="60"/>
        <v>0</v>
      </c>
      <c r="J555" s="209"/>
      <c r="K555" s="204"/>
      <c r="L555" s="205">
        <f t="shared" si="58"/>
        <v>0</v>
      </c>
      <c r="M555" s="206">
        <f t="shared" si="59"/>
        <v>0</v>
      </c>
    </row>
    <row r="556" spans="1:13" ht="15.75" hidden="1" thickBot="1">
      <c r="A556" s="1021"/>
      <c r="B556" s="1022"/>
      <c r="C556" s="1022"/>
      <c r="D556" s="1023"/>
      <c r="E556" s="1011"/>
      <c r="F556" s="1012"/>
      <c r="G556" s="204"/>
      <c r="H556" s="204"/>
      <c r="I556" s="206">
        <f t="shared" si="60"/>
        <v>0</v>
      </c>
      <c r="J556" s="209"/>
      <c r="K556" s="204"/>
      <c r="L556" s="205">
        <f t="shared" si="58"/>
        <v>0</v>
      </c>
      <c r="M556" s="206">
        <f t="shared" si="59"/>
        <v>0</v>
      </c>
    </row>
    <row r="557" spans="1:13" ht="15.75" hidden="1" thickBot="1">
      <c r="A557" s="1021"/>
      <c r="B557" s="1022"/>
      <c r="C557" s="1022"/>
      <c r="D557" s="1023"/>
      <c r="E557" s="1011"/>
      <c r="F557" s="1012"/>
      <c r="G557" s="204"/>
      <c r="H557" s="204"/>
      <c r="I557" s="206">
        <f t="shared" si="60"/>
        <v>0</v>
      </c>
      <c r="J557" s="209"/>
      <c r="K557" s="204"/>
      <c r="L557" s="205">
        <f t="shared" si="58"/>
        <v>0</v>
      </c>
      <c r="M557" s="206">
        <f t="shared" si="59"/>
        <v>0</v>
      </c>
    </row>
    <row r="558" spans="1:13" ht="15.75" hidden="1" thickBot="1">
      <c r="A558" s="1021"/>
      <c r="B558" s="1022"/>
      <c r="C558" s="1022"/>
      <c r="D558" s="1023"/>
      <c r="E558" s="1011"/>
      <c r="F558" s="1012"/>
      <c r="G558" s="204"/>
      <c r="H558" s="204"/>
      <c r="I558" s="206">
        <f t="shared" si="60"/>
        <v>0</v>
      </c>
      <c r="J558" s="209"/>
      <c r="K558" s="204"/>
      <c r="L558" s="205">
        <f t="shared" si="58"/>
        <v>0</v>
      </c>
      <c r="M558" s="206">
        <f t="shared" si="59"/>
        <v>0</v>
      </c>
    </row>
    <row r="559" spans="1:13" ht="15.75" hidden="1" thickBot="1">
      <c r="A559" s="1021"/>
      <c r="B559" s="1022"/>
      <c r="C559" s="1022"/>
      <c r="D559" s="1023"/>
      <c r="E559" s="1011"/>
      <c r="F559" s="1012"/>
      <c r="G559" s="204"/>
      <c r="H559" s="204"/>
      <c r="I559" s="206">
        <f t="shared" si="60"/>
        <v>0</v>
      </c>
      <c r="J559" s="209"/>
      <c r="K559" s="204"/>
      <c r="L559" s="205">
        <f t="shared" si="58"/>
        <v>0</v>
      </c>
      <c r="M559" s="206">
        <f t="shared" si="59"/>
        <v>0</v>
      </c>
    </row>
    <row r="560" spans="1:13" ht="15.75" hidden="1" thickBot="1">
      <c r="A560" s="1021"/>
      <c r="B560" s="1022"/>
      <c r="C560" s="1022"/>
      <c r="D560" s="1023"/>
      <c r="E560" s="1011"/>
      <c r="F560" s="1012"/>
      <c r="G560" s="204"/>
      <c r="H560" s="204"/>
      <c r="I560" s="206">
        <f t="shared" si="60"/>
        <v>0</v>
      </c>
      <c r="J560" s="209"/>
      <c r="K560" s="204"/>
      <c r="L560" s="205">
        <f t="shared" si="58"/>
        <v>0</v>
      </c>
      <c r="M560" s="206">
        <f t="shared" si="59"/>
        <v>0</v>
      </c>
    </row>
    <row r="561" spans="1:13" ht="15.75" hidden="1" thickBot="1">
      <c r="A561" s="1021"/>
      <c r="B561" s="1022"/>
      <c r="C561" s="1022"/>
      <c r="D561" s="1023"/>
      <c r="E561" s="1011"/>
      <c r="F561" s="1012"/>
      <c r="G561" s="204"/>
      <c r="H561" s="204"/>
      <c r="I561" s="206">
        <f t="shared" si="60"/>
        <v>0</v>
      </c>
      <c r="J561" s="209"/>
      <c r="K561" s="204"/>
      <c r="L561" s="205">
        <f t="shared" si="58"/>
        <v>0</v>
      </c>
      <c r="M561" s="206">
        <f t="shared" si="59"/>
        <v>0</v>
      </c>
    </row>
    <row r="562" spans="1:13" ht="15.75" hidden="1" thickBot="1">
      <c r="A562" s="1021"/>
      <c r="B562" s="1022"/>
      <c r="C562" s="1022"/>
      <c r="D562" s="1023"/>
      <c r="E562" s="1015"/>
      <c r="F562" s="1016"/>
      <c r="G562" s="204"/>
      <c r="H562" s="204"/>
      <c r="I562" s="206">
        <f t="shared" si="60"/>
        <v>0</v>
      </c>
      <c r="J562" s="208"/>
      <c r="K562" s="204"/>
      <c r="L562" s="205">
        <f t="shared" si="58"/>
        <v>0</v>
      </c>
      <c r="M562" s="206">
        <f t="shared" si="59"/>
        <v>0</v>
      </c>
    </row>
    <row r="563" spans="1:13" ht="15.75" hidden="1" customHeight="1" thickBot="1">
      <c r="A563" s="1021"/>
      <c r="B563" s="1022"/>
      <c r="C563" s="1022"/>
      <c r="D563" s="1023"/>
      <c r="E563" s="1027" t="s">
        <v>231</v>
      </c>
      <c r="F563" s="1028"/>
      <c r="G563" s="205">
        <f>SUM(G553:G562)</f>
        <v>0</v>
      </c>
      <c r="H563" s="1029"/>
      <c r="I563" s="206">
        <f>SUM(I553:I562)</f>
        <v>0</v>
      </c>
      <c r="J563" s="586"/>
      <c r="K563" s="586"/>
      <c r="L563" s="205">
        <f>SUM(L553:L562)</f>
        <v>0</v>
      </c>
      <c r="M563" s="206">
        <f>SUM(M553:M562)</f>
        <v>0</v>
      </c>
    </row>
    <row r="564" spans="1:13" ht="26.25" hidden="1" customHeight="1" thickBot="1">
      <c r="A564" s="1021"/>
      <c r="B564" s="1022"/>
      <c r="C564" s="1022"/>
      <c r="D564" s="1023"/>
      <c r="E564" s="1031" t="s">
        <v>600</v>
      </c>
      <c r="F564" s="1032"/>
      <c r="G564" s="205">
        <f>G563-D553</f>
        <v>0</v>
      </c>
      <c r="H564" s="1030"/>
      <c r="I564" s="206"/>
      <c r="J564" s="1017"/>
      <c r="K564" s="1017"/>
      <c r="L564" s="586"/>
      <c r="M564" s="587"/>
    </row>
    <row r="565" spans="1:13" ht="15.75" hidden="1" customHeight="1" thickBot="1">
      <c r="A565" s="1024"/>
      <c r="B565" s="1025"/>
      <c r="C565" s="1025"/>
      <c r="D565" s="1026"/>
      <c r="E565" s="1033" t="s">
        <v>399</v>
      </c>
      <c r="F565" s="1033"/>
      <c r="G565" s="1033"/>
      <c r="H565" s="1034"/>
      <c r="I565" s="206">
        <f>IF(G564&gt;0,I563,I563+G564)</f>
        <v>0</v>
      </c>
      <c r="J565" s="588"/>
      <c r="K565" s="588"/>
      <c r="L565" s="588"/>
      <c r="M565" s="589"/>
    </row>
    <row r="566" spans="1:13" ht="15.75" hidden="1" thickTop="1">
      <c r="A566" s="82" t="s">
        <v>23</v>
      </c>
      <c r="B566" s="987" t="s">
        <v>24</v>
      </c>
      <c r="C566" s="988"/>
      <c r="D566" s="83" t="s">
        <v>25</v>
      </c>
      <c r="E566" s="987" t="s">
        <v>26</v>
      </c>
      <c r="F566" s="391"/>
      <c r="G566" s="988"/>
      <c r="H566" s="83" t="s">
        <v>48</v>
      </c>
      <c r="I566" s="207" t="s">
        <v>49</v>
      </c>
      <c r="J566" s="391" t="s">
        <v>52</v>
      </c>
      <c r="K566" s="988"/>
      <c r="L566" s="83" t="s">
        <v>53</v>
      </c>
      <c r="M566" s="207" t="s">
        <v>54</v>
      </c>
    </row>
    <row r="567" spans="1:13" ht="25.5" hidden="1" customHeight="1" thickBot="1">
      <c r="A567" s="997" t="s">
        <v>222</v>
      </c>
      <c r="B567" s="989" t="s">
        <v>223</v>
      </c>
      <c r="C567" s="990"/>
      <c r="D567" s="989" t="s">
        <v>594</v>
      </c>
      <c r="E567" s="991" t="s">
        <v>224</v>
      </c>
      <c r="F567" s="1008"/>
      <c r="G567" s="992"/>
      <c r="H567" s="1009" t="s">
        <v>227</v>
      </c>
      <c r="I567" s="1009" t="s">
        <v>230</v>
      </c>
      <c r="J567" s="1014" t="s">
        <v>403</v>
      </c>
      <c r="K567" s="990"/>
      <c r="L567" s="1009" t="s">
        <v>229</v>
      </c>
      <c r="M567" s="1009" t="s">
        <v>228</v>
      </c>
    </row>
    <row r="568" spans="1:13" ht="63" hidden="1" customHeight="1" thickBot="1">
      <c r="A568" s="998"/>
      <c r="B568" s="85" t="s">
        <v>157</v>
      </c>
      <c r="C568" s="86" t="s">
        <v>158</v>
      </c>
      <c r="D568" s="991"/>
      <c r="E568" s="999" t="s">
        <v>225</v>
      </c>
      <c r="F568" s="1000"/>
      <c r="G568" s="87" t="s">
        <v>226</v>
      </c>
      <c r="H568" s="1010"/>
      <c r="I568" s="1010"/>
      <c r="J568" s="1008"/>
      <c r="K568" s="992"/>
      <c r="L568" s="1010"/>
      <c r="M568" s="1010"/>
    </row>
    <row r="569" spans="1:13" ht="15.75" hidden="1" thickBot="1">
      <c r="A569" s="159"/>
      <c r="B569" s="263"/>
      <c r="C569" s="263"/>
      <c r="D569" s="204"/>
      <c r="E569" s="1011"/>
      <c r="F569" s="1012"/>
      <c r="G569" s="204"/>
      <c r="H569" s="204"/>
      <c r="I569" s="206">
        <f>MIN(0, H569 - G569)</f>
        <v>0</v>
      </c>
      <c r="J569" s="209"/>
      <c r="K569" s="204"/>
      <c r="L569" s="205">
        <f t="shared" ref="L569:L578" si="61">IF(J569 = "EMPLOYEE",K569 - H569, 0)</f>
        <v>0</v>
      </c>
      <c r="M569" s="206">
        <f t="shared" ref="M569:M578" si="62">IF(J569 = "EMPLOYER",K569 - H569, 0)</f>
        <v>0</v>
      </c>
    </row>
    <row r="570" spans="1:13" ht="15.75" hidden="1" thickBot="1">
      <c r="A570" s="1018"/>
      <c r="B570" s="1019"/>
      <c r="C570" s="1019"/>
      <c r="D570" s="1020"/>
      <c r="E570" s="1011"/>
      <c r="F570" s="1012"/>
      <c r="G570" s="204"/>
      <c r="H570" s="204"/>
      <c r="I570" s="206">
        <f t="shared" ref="I570:I578" si="63">MIN(0, H570 - G570)</f>
        <v>0</v>
      </c>
      <c r="J570" s="209"/>
      <c r="K570" s="204"/>
      <c r="L570" s="205">
        <f t="shared" si="61"/>
        <v>0</v>
      </c>
      <c r="M570" s="206">
        <f t="shared" si="62"/>
        <v>0</v>
      </c>
    </row>
    <row r="571" spans="1:13" ht="15.75" hidden="1" thickBot="1">
      <c r="A571" s="1021"/>
      <c r="B571" s="1022"/>
      <c r="C571" s="1022"/>
      <c r="D571" s="1023"/>
      <c r="E571" s="1011"/>
      <c r="F571" s="1012"/>
      <c r="G571" s="204"/>
      <c r="H571" s="204"/>
      <c r="I571" s="206">
        <f t="shared" si="63"/>
        <v>0</v>
      </c>
      <c r="J571" s="209"/>
      <c r="K571" s="204"/>
      <c r="L571" s="205">
        <f t="shared" si="61"/>
        <v>0</v>
      </c>
      <c r="M571" s="206">
        <f t="shared" si="62"/>
        <v>0</v>
      </c>
    </row>
    <row r="572" spans="1:13" ht="15.75" hidden="1" thickBot="1">
      <c r="A572" s="1021"/>
      <c r="B572" s="1022"/>
      <c r="C572" s="1022"/>
      <c r="D572" s="1023"/>
      <c r="E572" s="1011"/>
      <c r="F572" s="1012"/>
      <c r="G572" s="204"/>
      <c r="H572" s="204"/>
      <c r="I572" s="206">
        <f t="shared" si="63"/>
        <v>0</v>
      </c>
      <c r="J572" s="209"/>
      <c r="K572" s="204"/>
      <c r="L572" s="205">
        <f t="shared" si="61"/>
        <v>0</v>
      </c>
      <c r="M572" s="206">
        <f t="shared" si="62"/>
        <v>0</v>
      </c>
    </row>
    <row r="573" spans="1:13" ht="15.75" hidden="1" thickBot="1">
      <c r="A573" s="1021"/>
      <c r="B573" s="1022"/>
      <c r="C573" s="1022"/>
      <c r="D573" s="1023"/>
      <c r="E573" s="1011"/>
      <c r="F573" s="1012"/>
      <c r="G573" s="204"/>
      <c r="H573" s="204"/>
      <c r="I573" s="206">
        <f t="shared" si="63"/>
        <v>0</v>
      </c>
      <c r="J573" s="209"/>
      <c r="K573" s="204"/>
      <c r="L573" s="205">
        <f t="shared" si="61"/>
        <v>0</v>
      </c>
      <c r="M573" s="206">
        <f t="shared" si="62"/>
        <v>0</v>
      </c>
    </row>
    <row r="574" spans="1:13" ht="15.75" hidden="1" thickBot="1">
      <c r="A574" s="1021"/>
      <c r="B574" s="1022"/>
      <c r="C574" s="1022"/>
      <c r="D574" s="1023"/>
      <c r="E574" s="1011"/>
      <c r="F574" s="1012"/>
      <c r="G574" s="204"/>
      <c r="H574" s="204"/>
      <c r="I574" s="206">
        <f t="shared" si="63"/>
        <v>0</v>
      </c>
      <c r="J574" s="209"/>
      <c r="K574" s="204"/>
      <c r="L574" s="205">
        <f t="shared" si="61"/>
        <v>0</v>
      </c>
      <c r="M574" s="206">
        <f t="shared" si="62"/>
        <v>0</v>
      </c>
    </row>
    <row r="575" spans="1:13" ht="15.75" hidden="1" thickBot="1">
      <c r="A575" s="1021"/>
      <c r="B575" s="1022"/>
      <c r="C575" s="1022"/>
      <c r="D575" s="1023"/>
      <c r="E575" s="1011"/>
      <c r="F575" s="1012"/>
      <c r="G575" s="204"/>
      <c r="H575" s="204"/>
      <c r="I575" s="206">
        <f t="shared" si="63"/>
        <v>0</v>
      </c>
      <c r="J575" s="209"/>
      <c r="K575" s="204"/>
      <c r="L575" s="205">
        <f t="shared" si="61"/>
        <v>0</v>
      </c>
      <c r="M575" s="206">
        <f t="shared" si="62"/>
        <v>0</v>
      </c>
    </row>
    <row r="576" spans="1:13" ht="15.75" hidden="1" thickBot="1">
      <c r="A576" s="1021"/>
      <c r="B576" s="1022"/>
      <c r="C576" s="1022"/>
      <c r="D576" s="1023"/>
      <c r="E576" s="1011"/>
      <c r="F576" s="1012"/>
      <c r="G576" s="204"/>
      <c r="H576" s="204"/>
      <c r="I576" s="206">
        <f t="shared" si="63"/>
        <v>0</v>
      </c>
      <c r="J576" s="209"/>
      <c r="K576" s="204"/>
      <c r="L576" s="205">
        <f t="shared" si="61"/>
        <v>0</v>
      </c>
      <c r="M576" s="206">
        <f t="shared" si="62"/>
        <v>0</v>
      </c>
    </row>
    <row r="577" spans="1:13" ht="15.75" hidden="1" thickBot="1">
      <c r="A577" s="1021"/>
      <c r="B577" s="1022"/>
      <c r="C577" s="1022"/>
      <c r="D577" s="1023"/>
      <c r="E577" s="1011"/>
      <c r="F577" s="1012"/>
      <c r="G577" s="204"/>
      <c r="H577" s="204"/>
      <c r="I577" s="206">
        <f t="shared" si="63"/>
        <v>0</v>
      </c>
      <c r="J577" s="209"/>
      <c r="K577" s="204"/>
      <c r="L577" s="205">
        <f t="shared" si="61"/>
        <v>0</v>
      </c>
      <c r="M577" s="206">
        <f t="shared" si="62"/>
        <v>0</v>
      </c>
    </row>
    <row r="578" spans="1:13" ht="15.75" hidden="1" thickBot="1">
      <c r="A578" s="1021"/>
      <c r="B578" s="1022"/>
      <c r="C578" s="1022"/>
      <c r="D578" s="1023"/>
      <c r="E578" s="1015"/>
      <c r="F578" s="1016"/>
      <c r="G578" s="204"/>
      <c r="H578" s="204"/>
      <c r="I578" s="206">
        <f t="shared" si="63"/>
        <v>0</v>
      </c>
      <c r="J578" s="208"/>
      <c r="K578" s="204"/>
      <c r="L578" s="205">
        <f t="shared" si="61"/>
        <v>0</v>
      </c>
      <c r="M578" s="206">
        <f t="shared" si="62"/>
        <v>0</v>
      </c>
    </row>
    <row r="579" spans="1:13" ht="15.75" hidden="1" customHeight="1" thickBot="1">
      <c r="A579" s="1021"/>
      <c r="B579" s="1022"/>
      <c r="C579" s="1022"/>
      <c r="D579" s="1023"/>
      <c r="E579" s="1027" t="s">
        <v>231</v>
      </c>
      <c r="F579" s="1028"/>
      <c r="G579" s="205">
        <f>SUM(G569:G578)</f>
        <v>0</v>
      </c>
      <c r="H579" s="1029"/>
      <c r="I579" s="206">
        <f>SUM(I569:I578)</f>
        <v>0</v>
      </c>
      <c r="J579" s="586"/>
      <c r="K579" s="586"/>
      <c r="L579" s="205">
        <f>SUM(L569:L578)</f>
        <v>0</v>
      </c>
      <c r="M579" s="206">
        <f>SUM(M569:M578)</f>
        <v>0</v>
      </c>
    </row>
    <row r="580" spans="1:13" ht="26.25" hidden="1" customHeight="1" thickBot="1">
      <c r="A580" s="1021"/>
      <c r="B580" s="1022"/>
      <c r="C580" s="1022"/>
      <c r="D580" s="1023"/>
      <c r="E580" s="1031" t="s">
        <v>600</v>
      </c>
      <c r="F580" s="1032"/>
      <c r="G580" s="205">
        <f>G579-D569</f>
        <v>0</v>
      </c>
      <c r="H580" s="1030"/>
      <c r="I580" s="206"/>
      <c r="J580" s="1017"/>
      <c r="K580" s="1017"/>
      <c r="L580" s="586"/>
      <c r="M580" s="587"/>
    </row>
    <row r="581" spans="1:13" ht="15.75" hidden="1" customHeight="1" thickBot="1">
      <c r="A581" s="1024"/>
      <c r="B581" s="1025"/>
      <c r="C581" s="1025"/>
      <c r="D581" s="1026"/>
      <c r="E581" s="1033" t="s">
        <v>399</v>
      </c>
      <c r="F581" s="1033"/>
      <c r="G581" s="1033"/>
      <c r="H581" s="1034"/>
      <c r="I581" s="206">
        <f>IF(G580&gt;0,I579,I579+G580)</f>
        <v>0</v>
      </c>
      <c r="J581" s="588"/>
      <c r="K581" s="588"/>
      <c r="L581" s="588"/>
      <c r="M581" s="589"/>
    </row>
    <row r="582" spans="1:13" ht="15.75" hidden="1" thickTop="1">
      <c r="A582" s="82" t="s">
        <v>23</v>
      </c>
      <c r="B582" s="987" t="s">
        <v>24</v>
      </c>
      <c r="C582" s="988"/>
      <c r="D582" s="83" t="s">
        <v>25</v>
      </c>
      <c r="E582" s="987" t="s">
        <v>26</v>
      </c>
      <c r="F582" s="391"/>
      <c r="G582" s="988"/>
      <c r="H582" s="83" t="s">
        <v>48</v>
      </c>
      <c r="I582" s="207" t="s">
        <v>49</v>
      </c>
      <c r="J582" s="391" t="s">
        <v>52</v>
      </c>
      <c r="K582" s="988"/>
      <c r="L582" s="83" t="s">
        <v>53</v>
      </c>
      <c r="M582" s="207" t="s">
        <v>54</v>
      </c>
    </row>
    <row r="583" spans="1:13" ht="28.5" hidden="1" customHeight="1" thickBot="1">
      <c r="A583" s="997" t="s">
        <v>222</v>
      </c>
      <c r="B583" s="989" t="s">
        <v>223</v>
      </c>
      <c r="C583" s="990"/>
      <c r="D583" s="989" t="s">
        <v>594</v>
      </c>
      <c r="E583" s="991" t="s">
        <v>224</v>
      </c>
      <c r="F583" s="1008"/>
      <c r="G583" s="992"/>
      <c r="H583" s="1009" t="s">
        <v>227</v>
      </c>
      <c r="I583" s="1009" t="s">
        <v>230</v>
      </c>
      <c r="J583" s="1014" t="s">
        <v>403</v>
      </c>
      <c r="K583" s="990"/>
      <c r="L583" s="1009" t="s">
        <v>229</v>
      </c>
      <c r="M583" s="1009" t="s">
        <v>228</v>
      </c>
    </row>
    <row r="584" spans="1:13" ht="60" hidden="1" customHeight="1" thickBot="1">
      <c r="A584" s="998"/>
      <c r="B584" s="85" t="s">
        <v>157</v>
      </c>
      <c r="C584" s="86" t="s">
        <v>158</v>
      </c>
      <c r="D584" s="991"/>
      <c r="E584" s="999" t="s">
        <v>225</v>
      </c>
      <c r="F584" s="1000"/>
      <c r="G584" s="87" t="s">
        <v>226</v>
      </c>
      <c r="H584" s="1010"/>
      <c r="I584" s="1010"/>
      <c r="J584" s="1008"/>
      <c r="K584" s="992"/>
      <c r="L584" s="1010"/>
      <c r="M584" s="1010"/>
    </row>
    <row r="585" spans="1:13" ht="15.75" hidden="1" thickBot="1">
      <c r="A585" s="159"/>
      <c r="B585" s="263"/>
      <c r="C585" s="263"/>
      <c r="D585" s="204"/>
      <c r="E585" s="1011"/>
      <c r="F585" s="1012"/>
      <c r="G585" s="204"/>
      <c r="H585" s="204"/>
      <c r="I585" s="206">
        <f>MIN(0, H585 - G585)</f>
        <v>0</v>
      </c>
      <c r="J585" s="209"/>
      <c r="K585" s="204"/>
      <c r="L585" s="205">
        <f t="shared" ref="L585:L594" si="64">IF(J585 = "EMPLOYEE",K585 - H585, 0)</f>
        <v>0</v>
      </c>
      <c r="M585" s="206">
        <f t="shared" ref="M585:M594" si="65">IF(J585 = "EMPLOYER",K585 - H585, 0)</f>
        <v>0</v>
      </c>
    </row>
    <row r="586" spans="1:13" ht="15.75" hidden="1" thickBot="1">
      <c r="A586" s="1018"/>
      <c r="B586" s="1019"/>
      <c r="C586" s="1019"/>
      <c r="D586" s="1020"/>
      <c r="E586" s="1011"/>
      <c r="F586" s="1012"/>
      <c r="G586" s="204"/>
      <c r="H586" s="204"/>
      <c r="I586" s="206">
        <f t="shared" ref="I586:I594" si="66">MIN(0, H586 - G586)</f>
        <v>0</v>
      </c>
      <c r="J586" s="209"/>
      <c r="K586" s="204"/>
      <c r="L586" s="205">
        <f t="shared" si="64"/>
        <v>0</v>
      </c>
      <c r="M586" s="206">
        <f t="shared" si="65"/>
        <v>0</v>
      </c>
    </row>
    <row r="587" spans="1:13" ht="15.75" hidden="1" thickBot="1">
      <c r="A587" s="1021"/>
      <c r="B587" s="1022"/>
      <c r="C587" s="1022"/>
      <c r="D587" s="1023"/>
      <c r="E587" s="1011"/>
      <c r="F587" s="1012"/>
      <c r="G587" s="204"/>
      <c r="H587" s="204"/>
      <c r="I587" s="206">
        <f t="shared" si="66"/>
        <v>0</v>
      </c>
      <c r="J587" s="209"/>
      <c r="K587" s="204"/>
      <c r="L587" s="205">
        <f t="shared" si="64"/>
        <v>0</v>
      </c>
      <c r="M587" s="206">
        <f t="shared" si="65"/>
        <v>0</v>
      </c>
    </row>
    <row r="588" spans="1:13" ht="15.75" hidden="1" thickBot="1">
      <c r="A588" s="1021"/>
      <c r="B588" s="1022"/>
      <c r="C588" s="1022"/>
      <c r="D588" s="1023"/>
      <c r="E588" s="1011"/>
      <c r="F588" s="1012"/>
      <c r="G588" s="204"/>
      <c r="H588" s="204"/>
      <c r="I588" s="206">
        <f t="shared" si="66"/>
        <v>0</v>
      </c>
      <c r="J588" s="209"/>
      <c r="K588" s="204"/>
      <c r="L588" s="205">
        <f t="shared" si="64"/>
        <v>0</v>
      </c>
      <c r="M588" s="206">
        <f t="shared" si="65"/>
        <v>0</v>
      </c>
    </row>
    <row r="589" spans="1:13" ht="15.75" hidden="1" thickBot="1">
      <c r="A589" s="1021"/>
      <c r="B589" s="1022"/>
      <c r="C589" s="1022"/>
      <c r="D589" s="1023"/>
      <c r="E589" s="1011"/>
      <c r="F589" s="1012"/>
      <c r="G589" s="204"/>
      <c r="H589" s="204"/>
      <c r="I589" s="206">
        <f t="shared" si="66"/>
        <v>0</v>
      </c>
      <c r="J589" s="209"/>
      <c r="K589" s="204"/>
      <c r="L589" s="205">
        <f t="shared" si="64"/>
        <v>0</v>
      </c>
      <c r="M589" s="206">
        <f t="shared" si="65"/>
        <v>0</v>
      </c>
    </row>
    <row r="590" spans="1:13" ht="15.75" hidden="1" thickBot="1">
      <c r="A590" s="1021"/>
      <c r="B590" s="1022"/>
      <c r="C590" s="1022"/>
      <c r="D590" s="1023"/>
      <c r="E590" s="1011"/>
      <c r="F590" s="1012"/>
      <c r="G590" s="204"/>
      <c r="H590" s="204"/>
      <c r="I590" s="206">
        <f t="shared" si="66"/>
        <v>0</v>
      </c>
      <c r="J590" s="209"/>
      <c r="K590" s="204"/>
      <c r="L590" s="205">
        <f t="shared" si="64"/>
        <v>0</v>
      </c>
      <c r="M590" s="206">
        <f t="shared" si="65"/>
        <v>0</v>
      </c>
    </row>
    <row r="591" spans="1:13" ht="15.75" hidden="1" thickBot="1">
      <c r="A591" s="1021"/>
      <c r="B591" s="1022"/>
      <c r="C591" s="1022"/>
      <c r="D591" s="1023"/>
      <c r="E591" s="1011"/>
      <c r="F591" s="1012"/>
      <c r="G591" s="204"/>
      <c r="H591" s="204"/>
      <c r="I591" s="206">
        <f t="shared" si="66"/>
        <v>0</v>
      </c>
      <c r="J591" s="209"/>
      <c r="K591" s="204"/>
      <c r="L591" s="205">
        <f t="shared" si="64"/>
        <v>0</v>
      </c>
      <c r="M591" s="206">
        <f t="shared" si="65"/>
        <v>0</v>
      </c>
    </row>
    <row r="592" spans="1:13" ht="15.75" hidden="1" thickBot="1">
      <c r="A592" s="1021"/>
      <c r="B592" s="1022"/>
      <c r="C592" s="1022"/>
      <c r="D592" s="1023"/>
      <c r="E592" s="1011"/>
      <c r="F592" s="1012"/>
      <c r="G592" s="204"/>
      <c r="H592" s="204"/>
      <c r="I592" s="206">
        <f t="shared" si="66"/>
        <v>0</v>
      </c>
      <c r="J592" s="209"/>
      <c r="K592" s="204"/>
      <c r="L592" s="205">
        <f t="shared" si="64"/>
        <v>0</v>
      </c>
      <c r="M592" s="206">
        <f t="shared" si="65"/>
        <v>0</v>
      </c>
    </row>
    <row r="593" spans="1:13" ht="15.75" hidden="1" thickBot="1">
      <c r="A593" s="1021"/>
      <c r="B593" s="1022"/>
      <c r="C593" s="1022"/>
      <c r="D593" s="1023"/>
      <c r="E593" s="1011"/>
      <c r="F593" s="1012"/>
      <c r="G593" s="204"/>
      <c r="H593" s="204"/>
      <c r="I593" s="206">
        <f t="shared" si="66"/>
        <v>0</v>
      </c>
      <c r="J593" s="209"/>
      <c r="K593" s="204"/>
      <c r="L593" s="205">
        <f t="shared" si="64"/>
        <v>0</v>
      </c>
      <c r="M593" s="206">
        <f t="shared" si="65"/>
        <v>0</v>
      </c>
    </row>
    <row r="594" spans="1:13" ht="15.75" hidden="1" thickBot="1">
      <c r="A594" s="1021"/>
      <c r="B594" s="1022"/>
      <c r="C594" s="1022"/>
      <c r="D594" s="1023"/>
      <c r="E594" s="1015"/>
      <c r="F594" s="1016"/>
      <c r="G594" s="204"/>
      <c r="H594" s="204"/>
      <c r="I594" s="206">
        <f t="shared" si="66"/>
        <v>0</v>
      </c>
      <c r="J594" s="208"/>
      <c r="K594" s="204"/>
      <c r="L594" s="205">
        <f t="shared" si="64"/>
        <v>0</v>
      </c>
      <c r="M594" s="206">
        <f t="shared" si="65"/>
        <v>0</v>
      </c>
    </row>
    <row r="595" spans="1:13" ht="15.75" hidden="1" customHeight="1" thickBot="1">
      <c r="A595" s="1021"/>
      <c r="B595" s="1022"/>
      <c r="C595" s="1022"/>
      <c r="D595" s="1023"/>
      <c r="E595" s="1027" t="s">
        <v>231</v>
      </c>
      <c r="F595" s="1028"/>
      <c r="G595" s="205">
        <f>SUM(G585:G594)</f>
        <v>0</v>
      </c>
      <c r="H595" s="1029"/>
      <c r="I595" s="206">
        <f>SUM(I585:I594)</f>
        <v>0</v>
      </c>
      <c r="J595" s="586"/>
      <c r="K595" s="586"/>
      <c r="L595" s="205">
        <f>SUM(L585:L594)</f>
        <v>0</v>
      </c>
      <c r="M595" s="206">
        <f>SUM(M585:M594)</f>
        <v>0</v>
      </c>
    </row>
    <row r="596" spans="1:13" ht="26.25" hidden="1" customHeight="1" thickBot="1">
      <c r="A596" s="1021"/>
      <c r="B596" s="1022"/>
      <c r="C596" s="1022"/>
      <c r="D596" s="1023"/>
      <c r="E596" s="1031" t="s">
        <v>600</v>
      </c>
      <c r="F596" s="1032"/>
      <c r="G596" s="205">
        <f>G595-D585</f>
        <v>0</v>
      </c>
      <c r="H596" s="1030"/>
      <c r="I596" s="206"/>
      <c r="J596" s="1017"/>
      <c r="K596" s="1017"/>
      <c r="L596" s="586"/>
      <c r="M596" s="587"/>
    </row>
    <row r="597" spans="1:13" ht="15.75" hidden="1" customHeight="1" thickBot="1">
      <c r="A597" s="1024"/>
      <c r="B597" s="1025"/>
      <c r="C597" s="1025"/>
      <c r="D597" s="1026"/>
      <c r="E597" s="1033" t="s">
        <v>399</v>
      </c>
      <c r="F597" s="1033"/>
      <c r="G597" s="1033"/>
      <c r="H597" s="1034"/>
      <c r="I597" s="206">
        <f>IF(G596&gt;0,I595,I595+G596)</f>
        <v>0</v>
      </c>
      <c r="J597" s="588"/>
      <c r="K597" s="588"/>
      <c r="L597" s="588"/>
      <c r="M597" s="589"/>
    </row>
    <row r="598" spans="1:13" ht="15.75" hidden="1" thickTop="1">
      <c r="A598" s="82" t="s">
        <v>23</v>
      </c>
      <c r="B598" s="987" t="s">
        <v>24</v>
      </c>
      <c r="C598" s="988"/>
      <c r="D598" s="83" t="s">
        <v>25</v>
      </c>
      <c r="E598" s="987" t="s">
        <v>26</v>
      </c>
      <c r="F598" s="391"/>
      <c r="G598" s="988"/>
      <c r="H598" s="83" t="s">
        <v>48</v>
      </c>
      <c r="I598" s="207" t="s">
        <v>49</v>
      </c>
      <c r="J598" s="391" t="s">
        <v>52</v>
      </c>
      <c r="K598" s="988"/>
      <c r="L598" s="83" t="s">
        <v>53</v>
      </c>
      <c r="M598" s="207" t="s">
        <v>54</v>
      </c>
    </row>
    <row r="599" spans="1:13" ht="24.75" hidden="1" customHeight="1" thickBot="1">
      <c r="A599" s="997" t="s">
        <v>222</v>
      </c>
      <c r="B599" s="989" t="s">
        <v>223</v>
      </c>
      <c r="C599" s="990"/>
      <c r="D599" s="989" t="s">
        <v>594</v>
      </c>
      <c r="E599" s="991" t="s">
        <v>224</v>
      </c>
      <c r="F599" s="1008"/>
      <c r="G599" s="992"/>
      <c r="H599" s="1009" t="s">
        <v>227</v>
      </c>
      <c r="I599" s="1009" t="s">
        <v>230</v>
      </c>
      <c r="J599" s="1014" t="s">
        <v>403</v>
      </c>
      <c r="K599" s="990"/>
      <c r="L599" s="1009" t="s">
        <v>229</v>
      </c>
      <c r="M599" s="1009" t="s">
        <v>228</v>
      </c>
    </row>
    <row r="600" spans="1:13" ht="60" hidden="1" customHeight="1" thickBot="1">
      <c r="A600" s="998"/>
      <c r="B600" s="85" t="s">
        <v>157</v>
      </c>
      <c r="C600" s="86" t="s">
        <v>158</v>
      </c>
      <c r="D600" s="991"/>
      <c r="E600" s="999" t="s">
        <v>225</v>
      </c>
      <c r="F600" s="1000"/>
      <c r="G600" s="87" t="s">
        <v>226</v>
      </c>
      <c r="H600" s="1010"/>
      <c r="I600" s="1010"/>
      <c r="J600" s="1008"/>
      <c r="K600" s="992"/>
      <c r="L600" s="1010"/>
      <c r="M600" s="1010"/>
    </row>
    <row r="601" spans="1:13" ht="15.75" hidden="1" thickBot="1">
      <c r="A601" s="159"/>
      <c r="B601" s="263"/>
      <c r="C601" s="263"/>
      <c r="D601" s="204"/>
      <c r="E601" s="1011"/>
      <c r="F601" s="1012"/>
      <c r="G601" s="204"/>
      <c r="H601" s="204"/>
      <c r="I601" s="206">
        <f>MIN(0, H601 - G601)</f>
        <v>0</v>
      </c>
      <c r="J601" s="209"/>
      <c r="K601" s="204"/>
      <c r="L601" s="205">
        <f t="shared" ref="L601:L610" si="67">IF(J601 = "EMPLOYEE",K601 - H601, 0)</f>
        <v>0</v>
      </c>
      <c r="M601" s="206">
        <f t="shared" ref="M601:M610" si="68">IF(J601 = "EMPLOYER",K601 - H601, 0)</f>
        <v>0</v>
      </c>
    </row>
    <row r="602" spans="1:13" ht="15.75" hidden="1" thickBot="1">
      <c r="A602" s="1018"/>
      <c r="B602" s="1019"/>
      <c r="C602" s="1019"/>
      <c r="D602" s="1020"/>
      <c r="E602" s="1011"/>
      <c r="F602" s="1012"/>
      <c r="G602" s="204"/>
      <c r="H602" s="204"/>
      <c r="I602" s="206">
        <f t="shared" ref="I602:I610" si="69">MIN(0, H602 - G602)</f>
        <v>0</v>
      </c>
      <c r="J602" s="209"/>
      <c r="K602" s="204"/>
      <c r="L602" s="205">
        <f t="shared" si="67"/>
        <v>0</v>
      </c>
      <c r="M602" s="206">
        <f t="shared" si="68"/>
        <v>0</v>
      </c>
    </row>
    <row r="603" spans="1:13" ht="15.75" hidden="1" thickBot="1">
      <c r="A603" s="1021"/>
      <c r="B603" s="1022"/>
      <c r="C603" s="1022"/>
      <c r="D603" s="1023"/>
      <c r="E603" s="1011"/>
      <c r="F603" s="1012"/>
      <c r="G603" s="204"/>
      <c r="H603" s="204"/>
      <c r="I603" s="206">
        <f t="shared" si="69"/>
        <v>0</v>
      </c>
      <c r="J603" s="209"/>
      <c r="K603" s="204"/>
      <c r="L603" s="205">
        <f t="shared" si="67"/>
        <v>0</v>
      </c>
      <c r="M603" s="206">
        <f t="shared" si="68"/>
        <v>0</v>
      </c>
    </row>
    <row r="604" spans="1:13" ht="15.75" hidden="1" thickBot="1">
      <c r="A604" s="1021"/>
      <c r="B604" s="1022"/>
      <c r="C604" s="1022"/>
      <c r="D604" s="1023"/>
      <c r="E604" s="1011"/>
      <c r="F604" s="1012"/>
      <c r="G604" s="204"/>
      <c r="H604" s="204"/>
      <c r="I604" s="206">
        <f t="shared" si="69"/>
        <v>0</v>
      </c>
      <c r="J604" s="209"/>
      <c r="K604" s="204"/>
      <c r="L604" s="205">
        <f t="shared" si="67"/>
        <v>0</v>
      </c>
      <c r="M604" s="206">
        <f t="shared" si="68"/>
        <v>0</v>
      </c>
    </row>
    <row r="605" spans="1:13" ht="15.75" hidden="1" thickBot="1">
      <c r="A605" s="1021"/>
      <c r="B605" s="1022"/>
      <c r="C605" s="1022"/>
      <c r="D605" s="1023"/>
      <c r="E605" s="1011"/>
      <c r="F605" s="1012"/>
      <c r="G605" s="204"/>
      <c r="H605" s="204"/>
      <c r="I605" s="206">
        <f t="shared" si="69"/>
        <v>0</v>
      </c>
      <c r="J605" s="209"/>
      <c r="K605" s="204"/>
      <c r="L605" s="205">
        <f t="shared" si="67"/>
        <v>0</v>
      </c>
      <c r="M605" s="206">
        <f t="shared" si="68"/>
        <v>0</v>
      </c>
    </row>
    <row r="606" spans="1:13" ht="15.75" hidden="1" thickBot="1">
      <c r="A606" s="1021"/>
      <c r="B606" s="1022"/>
      <c r="C606" s="1022"/>
      <c r="D606" s="1023"/>
      <c r="E606" s="1011"/>
      <c r="F606" s="1012"/>
      <c r="G606" s="204"/>
      <c r="H606" s="204"/>
      <c r="I606" s="206">
        <f t="shared" si="69"/>
        <v>0</v>
      </c>
      <c r="J606" s="209"/>
      <c r="K606" s="204"/>
      <c r="L606" s="205">
        <f t="shared" si="67"/>
        <v>0</v>
      </c>
      <c r="M606" s="206">
        <f t="shared" si="68"/>
        <v>0</v>
      </c>
    </row>
    <row r="607" spans="1:13" ht="15.75" hidden="1" thickBot="1">
      <c r="A607" s="1021"/>
      <c r="B607" s="1022"/>
      <c r="C607" s="1022"/>
      <c r="D607" s="1023"/>
      <c r="E607" s="1011"/>
      <c r="F607" s="1012"/>
      <c r="G607" s="204"/>
      <c r="H607" s="204"/>
      <c r="I607" s="206">
        <f t="shared" si="69"/>
        <v>0</v>
      </c>
      <c r="J607" s="209"/>
      <c r="K607" s="204"/>
      <c r="L607" s="205">
        <f t="shared" si="67"/>
        <v>0</v>
      </c>
      <c r="M607" s="206">
        <f t="shared" si="68"/>
        <v>0</v>
      </c>
    </row>
    <row r="608" spans="1:13" ht="15.75" hidden="1" thickBot="1">
      <c r="A608" s="1021"/>
      <c r="B608" s="1022"/>
      <c r="C608" s="1022"/>
      <c r="D608" s="1023"/>
      <c r="E608" s="1011"/>
      <c r="F608" s="1012"/>
      <c r="G608" s="204"/>
      <c r="H608" s="204"/>
      <c r="I608" s="206">
        <f t="shared" si="69"/>
        <v>0</v>
      </c>
      <c r="J608" s="209"/>
      <c r="K608" s="204"/>
      <c r="L608" s="205">
        <f t="shared" si="67"/>
        <v>0</v>
      </c>
      <c r="M608" s="206">
        <f t="shared" si="68"/>
        <v>0</v>
      </c>
    </row>
    <row r="609" spans="1:13" ht="15.75" hidden="1" thickBot="1">
      <c r="A609" s="1021"/>
      <c r="B609" s="1022"/>
      <c r="C609" s="1022"/>
      <c r="D609" s="1023"/>
      <c r="E609" s="1011"/>
      <c r="F609" s="1012"/>
      <c r="G609" s="204"/>
      <c r="H609" s="204"/>
      <c r="I609" s="206">
        <f t="shared" si="69"/>
        <v>0</v>
      </c>
      <c r="J609" s="209"/>
      <c r="K609" s="204"/>
      <c r="L609" s="205">
        <f t="shared" si="67"/>
        <v>0</v>
      </c>
      <c r="M609" s="206">
        <f t="shared" si="68"/>
        <v>0</v>
      </c>
    </row>
    <row r="610" spans="1:13" ht="15.75" hidden="1" thickBot="1">
      <c r="A610" s="1021"/>
      <c r="B610" s="1022"/>
      <c r="C610" s="1022"/>
      <c r="D610" s="1023"/>
      <c r="E610" s="1015"/>
      <c r="F610" s="1016"/>
      <c r="G610" s="204"/>
      <c r="H610" s="204"/>
      <c r="I610" s="206">
        <f t="shared" si="69"/>
        <v>0</v>
      </c>
      <c r="J610" s="208"/>
      <c r="K610" s="204"/>
      <c r="L610" s="205">
        <f t="shared" si="67"/>
        <v>0</v>
      </c>
      <c r="M610" s="206">
        <f t="shared" si="68"/>
        <v>0</v>
      </c>
    </row>
    <row r="611" spans="1:13" ht="15.75" hidden="1" customHeight="1" thickBot="1">
      <c r="A611" s="1021"/>
      <c r="B611" s="1022"/>
      <c r="C611" s="1022"/>
      <c r="D611" s="1023"/>
      <c r="E611" s="1027" t="s">
        <v>231</v>
      </c>
      <c r="F611" s="1028"/>
      <c r="G611" s="205">
        <f>SUM(G601:G610)</f>
        <v>0</v>
      </c>
      <c r="H611" s="1029"/>
      <c r="I611" s="206">
        <f>SUM(I601:I610)</f>
        <v>0</v>
      </c>
      <c r="J611" s="586"/>
      <c r="K611" s="586"/>
      <c r="L611" s="205">
        <f>SUM(L601:L610)</f>
        <v>0</v>
      </c>
      <c r="M611" s="206">
        <f>SUM(M601:M610)</f>
        <v>0</v>
      </c>
    </row>
    <row r="612" spans="1:13" ht="26.25" hidden="1" customHeight="1" thickBot="1">
      <c r="A612" s="1021"/>
      <c r="B612" s="1022"/>
      <c r="C612" s="1022"/>
      <c r="D612" s="1023"/>
      <c r="E612" s="1031" t="s">
        <v>600</v>
      </c>
      <c r="F612" s="1032"/>
      <c r="G612" s="205">
        <f>G611-D601</f>
        <v>0</v>
      </c>
      <c r="H612" s="1030"/>
      <c r="I612" s="206"/>
      <c r="J612" s="1017"/>
      <c r="K612" s="1017"/>
      <c r="L612" s="586"/>
      <c r="M612" s="587"/>
    </row>
    <row r="613" spans="1:13" ht="15.75" hidden="1" customHeight="1" thickBot="1">
      <c r="A613" s="1024"/>
      <c r="B613" s="1025"/>
      <c r="C613" s="1025"/>
      <c r="D613" s="1026"/>
      <c r="E613" s="1033" t="s">
        <v>399</v>
      </c>
      <c r="F613" s="1033"/>
      <c r="G613" s="1033"/>
      <c r="H613" s="1034"/>
      <c r="I613" s="206">
        <f>IF(G612&gt;0,I611,I611+G612)</f>
        <v>0</v>
      </c>
      <c r="J613" s="588"/>
      <c r="K613" s="588"/>
      <c r="L613" s="588"/>
      <c r="M613" s="589"/>
    </row>
    <row r="614" spans="1:13" ht="17.25" hidden="1" customHeight="1" thickTop="1" thickBot="1">
      <c r="A614" s="1044" t="s">
        <v>234</v>
      </c>
      <c r="B614" s="1045"/>
      <c r="C614" s="1045"/>
      <c r="D614" s="1045"/>
      <c r="E614" s="1045"/>
      <c r="F614" s="1045"/>
      <c r="G614" s="1045"/>
      <c r="H614" s="1045"/>
      <c r="I614" s="1045"/>
      <c r="J614" s="1045"/>
      <c r="K614" s="1045"/>
      <c r="L614" s="1046"/>
      <c r="M614" s="88"/>
    </row>
    <row r="615" spans="1:13" ht="27.75" hidden="1" customHeight="1" thickTop="1" thickBot="1">
      <c r="A615" s="320" t="s">
        <v>232</v>
      </c>
      <c r="B615" s="1047" t="s">
        <v>693</v>
      </c>
      <c r="C615" s="1047"/>
      <c r="D615" s="1047"/>
      <c r="E615" s="1047"/>
      <c r="F615" s="1047"/>
      <c r="G615" s="1047"/>
      <c r="H615" s="1047"/>
      <c r="I615" s="1047"/>
      <c r="J615" s="1047"/>
      <c r="K615" s="1047"/>
      <c r="L615" s="1047"/>
    </row>
    <row r="616" spans="1:13" ht="16.5" hidden="1" thickTop="1">
      <c r="A616" s="896" t="s">
        <v>606</v>
      </c>
      <c r="B616" s="897"/>
      <c r="C616" s="897"/>
      <c r="D616" s="897"/>
      <c r="E616" s="897"/>
      <c r="F616" s="897"/>
      <c r="G616" s="897"/>
      <c r="H616" s="897"/>
      <c r="I616" s="897"/>
      <c r="J616" s="897"/>
      <c r="K616" s="662"/>
      <c r="L616" s="663"/>
    </row>
    <row r="617" spans="1:13" hidden="1">
      <c r="A617" s="825" t="s">
        <v>276</v>
      </c>
      <c r="B617" s="826"/>
      <c r="C617" s="826"/>
      <c r="D617" s="826"/>
      <c r="E617" s="826"/>
      <c r="F617" s="826"/>
      <c r="G617" s="826"/>
      <c r="H617" s="826"/>
      <c r="I617" s="826"/>
      <c r="J617" s="826"/>
      <c r="K617" s="664"/>
      <c r="L617" s="665"/>
    </row>
    <row r="618" spans="1:13" ht="16.5" hidden="1" customHeight="1">
      <c r="A618" s="825" t="s">
        <v>233</v>
      </c>
      <c r="B618" s="826"/>
      <c r="C618" s="826"/>
      <c r="D618" s="826"/>
      <c r="E618" s="826"/>
      <c r="F618" s="826"/>
      <c r="G618" s="826"/>
      <c r="H618" s="826"/>
      <c r="I618" s="826"/>
      <c r="J618" s="826"/>
      <c r="K618" s="664"/>
      <c r="L618" s="665"/>
    </row>
    <row r="619" spans="1:13" ht="60" hidden="1" customHeight="1">
      <c r="A619" s="1041" t="s">
        <v>695</v>
      </c>
      <c r="B619" s="1042"/>
      <c r="C619" s="1042"/>
      <c r="D619" s="1042"/>
      <c r="E619" s="1042"/>
      <c r="F619" s="1042"/>
      <c r="G619" s="1042"/>
      <c r="H619" s="1042"/>
      <c r="I619" s="1042"/>
      <c r="J619" s="1043"/>
      <c r="K619" s="664"/>
      <c r="L619" s="665"/>
    </row>
    <row r="620" spans="1:13" ht="75" hidden="1" customHeight="1" thickBot="1">
      <c r="A620" s="1039" t="s">
        <v>696</v>
      </c>
      <c r="B620" s="1040"/>
      <c r="C620" s="1040"/>
      <c r="D620" s="1040"/>
      <c r="E620" s="1040"/>
      <c r="F620" s="1040"/>
      <c r="G620" s="1040"/>
      <c r="H620" s="1040"/>
      <c r="I620" s="1040"/>
      <c r="J620" s="1040"/>
      <c r="K620" s="666"/>
      <c r="L620" s="667"/>
    </row>
    <row r="621" spans="1:13" ht="50.25" hidden="1" customHeight="1" thickTop="1">
      <c r="A621" s="671" t="s">
        <v>758</v>
      </c>
      <c r="B621" s="672"/>
      <c r="C621" s="672"/>
      <c r="D621" s="672"/>
      <c r="E621" s="672"/>
      <c r="F621" s="672"/>
      <c r="G621" s="672"/>
      <c r="H621" s="672"/>
      <c r="I621" s="672"/>
      <c r="J621" s="672"/>
      <c r="K621" s="662"/>
      <c r="L621" s="663"/>
    </row>
    <row r="622" spans="1:13" hidden="1">
      <c r="A622" s="825" t="s">
        <v>277</v>
      </c>
      <c r="B622" s="826"/>
      <c r="C622" s="826"/>
      <c r="D622" s="826"/>
      <c r="E622" s="826"/>
      <c r="F622" s="826"/>
      <c r="G622" s="826"/>
      <c r="H622" s="826"/>
      <c r="I622" s="826"/>
      <c r="J622" s="826"/>
      <c r="K622" s="664"/>
      <c r="L622" s="665"/>
    </row>
    <row r="623" spans="1:13" hidden="1">
      <c r="A623" s="825" t="s">
        <v>235</v>
      </c>
      <c r="B623" s="826"/>
      <c r="C623" s="826"/>
      <c r="D623" s="826"/>
      <c r="E623" s="826"/>
      <c r="F623" s="826"/>
      <c r="G623" s="826"/>
      <c r="H623" s="826"/>
      <c r="I623" s="826"/>
      <c r="J623" s="826"/>
      <c r="K623" s="664"/>
      <c r="L623" s="665"/>
    </row>
    <row r="624" spans="1:13" ht="26.25" hidden="1" customHeight="1">
      <c r="A624" s="1035" t="s">
        <v>674</v>
      </c>
      <c r="B624" s="1036"/>
      <c r="C624" s="1036"/>
      <c r="D624" s="1036"/>
      <c r="E624" s="1036"/>
      <c r="F624" s="1036"/>
      <c r="G624" s="1036"/>
      <c r="H624" s="1036"/>
      <c r="I624" s="1036"/>
      <c r="J624" s="1036"/>
      <c r="K624" s="664"/>
      <c r="L624" s="665"/>
    </row>
    <row r="625" spans="1:12" ht="60" hidden="1" customHeight="1" thickBot="1">
      <c r="A625" s="1037" t="s">
        <v>697</v>
      </c>
      <c r="B625" s="1038"/>
      <c r="C625" s="1038"/>
      <c r="D625" s="1038"/>
      <c r="E625" s="1038"/>
      <c r="F625" s="1038"/>
      <c r="G625" s="1038"/>
      <c r="H625" s="1038"/>
      <c r="I625" s="1038"/>
      <c r="J625" s="1038"/>
      <c r="K625" s="666"/>
      <c r="L625" s="667"/>
    </row>
    <row r="626" spans="1:12" ht="32.25" hidden="1" customHeight="1" thickTop="1">
      <c r="A626" s="671" t="s">
        <v>236</v>
      </c>
      <c r="B626" s="672"/>
      <c r="C626" s="672"/>
      <c r="D626" s="672"/>
      <c r="E626" s="672"/>
      <c r="F626" s="672"/>
      <c r="G626" s="672"/>
      <c r="H626" s="672"/>
      <c r="I626" s="672"/>
      <c r="J626" s="672"/>
      <c r="K626" s="662"/>
      <c r="L626" s="663"/>
    </row>
    <row r="627" spans="1:12" hidden="1">
      <c r="A627" s="825" t="s">
        <v>675</v>
      </c>
      <c r="B627" s="826"/>
      <c r="C627" s="826"/>
      <c r="D627" s="826"/>
      <c r="E627" s="826"/>
      <c r="F627" s="826"/>
      <c r="G627" s="826"/>
      <c r="H627" s="826"/>
      <c r="I627" s="826"/>
      <c r="J627" s="826"/>
      <c r="K627" s="664"/>
      <c r="L627" s="665"/>
    </row>
    <row r="628" spans="1:12" hidden="1">
      <c r="A628" s="825" t="s">
        <v>676</v>
      </c>
      <c r="B628" s="826"/>
      <c r="C628" s="826"/>
      <c r="D628" s="826"/>
      <c r="E628" s="826"/>
      <c r="F628" s="826"/>
      <c r="G628" s="826"/>
      <c r="H628" s="826"/>
      <c r="I628" s="826"/>
      <c r="J628" s="826"/>
      <c r="K628" s="664"/>
      <c r="L628" s="665"/>
    </row>
    <row r="629" spans="1:12" ht="26.25" hidden="1" customHeight="1">
      <c r="A629" s="1035" t="s">
        <v>677</v>
      </c>
      <c r="B629" s="1036"/>
      <c r="C629" s="1036"/>
      <c r="D629" s="1036"/>
      <c r="E629" s="1036"/>
      <c r="F629" s="1036"/>
      <c r="G629" s="1036"/>
      <c r="H629" s="1036"/>
      <c r="I629" s="1036"/>
      <c r="J629" s="1036"/>
      <c r="K629" s="664"/>
      <c r="L629" s="665"/>
    </row>
    <row r="630" spans="1:12" ht="60" hidden="1" customHeight="1" thickBot="1">
      <c r="A630" s="1037" t="s">
        <v>698</v>
      </c>
      <c r="B630" s="1038"/>
      <c r="C630" s="1038"/>
      <c r="D630" s="1038"/>
      <c r="E630" s="1038"/>
      <c r="F630" s="1038"/>
      <c r="G630" s="1038"/>
      <c r="H630" s="1038"/>
      <c r="I630" s="1038"/>
      <c r="J630" s="1038"/>
      <c r="K630" s="666"/>
      <c r="L630" s="667"/>
    </row>
    <row r="631" spans="1:12" ht="15.75" thickTop="1"/>
  </sheetData>
  <sheetProtection algorithmName="SHA-512" hashValue="lpKqCCgjHTbJDwhH3pxBOjm4IT2KVZ6v/4I//3YPl6L6BLqqn2FX+4TAZarCQB5scjOG5lKpa+NTHv7p4vz8eA==" saltValue="z9WP3D+DwGRZVaeplVJYIQ==" spinCount="100000" sheet="1" objects="1" scenarios="1" selectLockedCells="1"/>
  <customSheetViews>
    <customSheetView guid="{A316F603-36BB-45F0-8A3D-94F56F16B8BC}" scale="85" fitToPage="1" hiddenRows="1" hiddenColumns="1">
      <selection activeCell="D2" sqref="D2"/>
      <pageMargins left="0.5" right="0.5" top="0.75" bottom="0.75" header="0.25" footer="0.25"/>
      <printOptions horizontalCentered="1"/>
      <pageSetup scale="67" fitToHeight="21" orientation="landscape" r:id="rId1"/>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 guid="{341C6106-BE79-4CDE-A40C-FC24AA59D1EA}" scale="85" fitToPage="1" hiddenRows="1" hiddenColumns="1">
      <selection activeCell="D2" sqref="D2"/>
      <pageMargins left="0.5" right="0.5" top="0.75" bottom="0.75" header="0.25" footer="0.25"/>
      <printOptions horizontalCentered="1"/>
      <pageSetup scale="67" fitToHeight="21" orientation="landscape" r:id="rId2"/>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customSheetView>
  </customSheetViews>
  <mergeCells count="1216">
    <mergeCell ref="E243:G243"/>
    <mergeCell ref="E244:G244"/>
    <mergeCell ref="E245:G245"/>
    <mergeCell ref="E246:G246"/>
    <mergeCell ref="E247:G247"/>
    <mergeCell ref="E248:G248"/>
    <mergeCell ref="E249:G249"/>
    <mergeCell ref="E250:G250"/>
    <mergeCell ref="E251:G251"/>
    <mergeCell ref="E252:G252"/>
    <mergeCell ref="E253:G253"/>
    <mergeCell ref="E254:G254"/>
    <mergeCell ref="E255:G255"/>
    <mergeCell ref="E256:G256"/>
    <mergeCell ref="E257:G257"/>
    <mergeCell ref="E258:G258"/>
    <mergeCell ref="H247:I247"/>
    <mergeCell ref="J247:K247"/>
    <mergeCell ref="L247:M247"/>
    <mergeCell ref="A248:B248"/>
    <mergeCell ref="C248:D248"/>
    <mergeCell ref="H248:I248"/>
    <mergeCell ref="J248:K248"/>
    <mergeCell ref="L248:M248"/>
    <mergeCell ref="L52:M54"/>
    <mergeCell ref="H53:I60"/>
    <mergeCell ref="L55:M60"/>
    <mergeCell ref="S59:V59"/>
    <mergeCell ref="S60:U60"/>
    <mergeCell ref="L61:M61"/>
    <mergeCell ref="L62:M62"/>
    <mergeCell ref="L63:M63"/>
    <mergeCell ref="L64:M64"/>
    <mergeCell ref="L65:M65"/>
    <mergeCell ref="L66:M66"/>
    <mergeCell ref="L67:M67"/>
    <mergeCell ref="L68:M68"/>
    <mergeCell ref="L69:M69"/>
    <mergeCell ref="L70:M70"/>
    <mergeCell ref="L71:M71"/>
    <mergeCell ref="J49:J60"/>
    <mergeCell ref="A65:B65"/>
    <mergeCell ref="C65:D65"/>
    <mergeCell ref="A66:B66"/>
    <mergeCell ref="C66:D66"/>
    <mergeCell ref="A63:B63"/>
    <mergeCell ref="C63:D63"/>
    <mergeCell ref="A64:B64"/>
    <mergeCell ref="C64:D64"/>
    <mergeCell ref="A15:L15"/>
    <mergeCell ref="A16:L16"/>
    <mergeCell ref="A17:L17"/>
    <mergeCell ref="A18:L18"/>
    <mergeCell ref="A19:L19"/>
    <mergeCell ref="A20:L20"/>
    <mergeCell ref="A5:L5"/>
    <mergeCell ref="B6:L6"/>
    <mergeCell ref="A11:L11"/>
    <mergeCell ref="A12:L12"/>
    <mergeCell ref="A13:L13"/>
    <mergeCell ref="A14:L14"/>
    <mergeCell ref="B1:C1"/>
    <mergeCell ref="E1:H1"/>
    <mergeCell ref="B2:C2"/>
    <mergeCell ref="A3:B4"/>
    <mergeCell ref="D3:F3"/>
    <mergeCell ref="G3:J3"/>
    <mergeCell ref="D4:F4"/>
    <mergeCell ref="G4:J4"/>
    <mergeCell ref="B10:J10"/>
    <mergeCell ref="A33:L33"/>
    <mergeCell ref="A34:L34"/>
    <mergeCell ref="A35:L35"/>
    <mergeCell ref="A36:L36"/>
    <mergeCell ref="A37:L37"/>
    <mergeCell ref="A38:L38"/>
    <mergeCell ref="A27:L27"/>
    <mergeCell ref="A28:L28"/>
    <mergeCell ref="A29:L29"/>
    <mergeCell ref="A30:L30"/>
    <mergeCell ref="A31:L31"/>
    <mergeCell ref="A32:L32"/>
    <mergeCell ref="A21:L21"/>
    <mergeCell ref="A22:L22"/>
    <mergeCell ref="A23:L23"/>
    <mergeCell ref="A24:L24"/>
    <mergeCell ref="A25:L25"/>
    <mergeCell ref="A26:L26"/>
    <mergeCell ref="C68:D68"/>
    <mergeCell ref="L72:M72"/>
    <mergeCell ref="A45:L45"/>
    <mergeCell ref="A46:L46"/>
    <mergeCell ref="A47:L47"/>
    <mergeCell ref="A48:E48"/>
    <mergeCell ref="A39:L39"/>
    <mergeCell ref="A40:L40"/>
    <mergeCell ref="A41:L41"/>
    <mergeCell ref="A42:L42"/>
    <mergeCell ref="A43:L43"/>
    <mergeCell ref="A44:L44"/>
    <mergeCell ref="F48:G48"/>
    <mergeCell ref="H48:I48"/>
    <mergeCell ref="L48:M48"/>
    <mergeCell ref="G49:G60"/>
    <mergeCell ref="H49:I52"/>
    <mergeCell ref="K49:K60"/>
    <mergeCell ref="L49:M51"/>
    <mergeCell ref="C74:D74"/>
    <mergeCell ref="L73:M73"/>
    <mergeCell ref="L74:M74"/>
    <mergeCell ref="L75:M75"/>
    <mergeCell ref="L76:M76"/>
    <mergeCell ref="L77:M77"/>
    <mergeCell ref="L78:M78"/>
    <mergeCell ref="A61:B61"/>
    <mergeCell ref="C61:D61"/>
    <mergeCell ref="A62:B62"/>
    <mergeCell ref="C62:D62"/>
    <mergeCell ref="N49:N60"/>
    <mergeCell ref="O49:O60"/>
    <mergeCell ref="P49:P60"/>
    <mergeCell ref="A50:E50"/>
    <mergeCell ref="A51:E51"/>
    <mergeCell ref="A52:E52"/>
    <mergeCell ref="A53:E53"/>
    <mergeCell ref="A49:E49"/>
    <mergeCell ref="F49:F60"/>
    <mergeCell ref="A54:E60"/>
    <mergeCell ref="A71:B71"/>
    <mergeCell ref="C71:D71"/>
    <mergeCell ref="A72:B72"/>
    <mergeCell ref="C72:D72"/>
    <mergeCell ref="A69:B69"/>
    <mergeCell ref="C69:D69"/>
    <mergeCell ref="A70:B70"/>
    <mergeCell ref="C70:D70"/>
    <mergeCell ref="A67:B67"/>
    <mergeCell ref="C67:D67"/>
    <mergeCell ref="A68:B68"/>
    <mergeCell ref="A84:J84"/>
    <mergeCell ref="K84:L87"/>
    <mergeCell ref="A85:J85"/>
    <mergeCell ref="A86:J86"/>
    <mergeCell ref="A87:J87"/>
    <mergeCell ref="A81:B81"/>
    <mergeCell ref="C81:D81"/>
    <mergeCell ref="A82:O82"/>
    <mergeCell ref="A83:O83"/>
    <mergeCell ref="A7:A10"/>
    <mergeCell ref="B7:J8"/>
    <mergeCell ref="K7:L7"/>
    <mergeCell ref="K8:L10"/>
    <mergeCell ref="B9:J9"/>
    <mergeCell ref="A79:B79"/>
    <mergeCell ref="C79:D79"/>
    <mergeCell ref="A80:B80"/>
    <mergeCell ref="C80:D80"/>
    <mergeCell ref="L79:M79"/>
    <mergeCell ref="L80:M80"/>
    <mergeCell ref="L81:M81"/>
    <mergeCell ref="A77:B77"/>
    <mergeCell ref="C77:D77"/>
    <mergeCell ref="A78:B78"/>
    <mergeCell ref="C78:D78"/>
    <mergeCell ref="A75:B75"/>
    <mergeCell ref="C75:D75"/>
    <mergeCell ref="A76:B76"/>
    <mergeCell ref="C76:D76"/>
    <mergeCell ref="A73:B73"/>
    <mergeCell ref="C73:D73"/>
    <mergeCell ref="A74:B74"/>
    <mergeCell ref="A97:L97"/>
    <mergeCell ref="A98:L98"/>
    <mergeCell ref="A99:L99"/>
    <mergeCell ref="A100:L100"/>
    <mergeCell ref="A101:L101"/>
    <mergeCell ref="A102:L102"/>
    <mergeCell ref="A91:L91"/>
    <mergeCell ref="A92:L92"/>
    <mergeCell ref="A93:A96"/>
    <mergeCell ref="B93:J94"/>
    <mergeCell ref="K93:L93"/>
    <mergeCell ref="K94:L96"/>
    <mergeCell ref="B95:J95"/>
    <mergeCell ref="B96:J96"/>
    <mergeCell ref="A88:J88"/>
    <mergeCell ref="K88:L88"/>
    <mergeCell ref="A89:J89"/>
    <mergeCell ref="K89:L89"/>
    <mergeCell ref="A90:J90"/>
    <mergeCell ref="K90:L90"/>
    <mergeCell ref="A108:C108"/>
    <mergeCell ref="D108:F108"/>
    <mergeCell ref="G108:I108"/>
    <mergeCell ref="A109:C109"/>
    <mergeCell ref="D109:F109"/>
    <mergeCell ref="G109:I109"/>
    <mergeCell ref="A106:C106"/>
    <mergeCell ref="D106:F106"/>
    <mergeCell ref="G106:I106"/>
    <mergeCell ref="A107:C107"/>
    <mergeCell ref="D107:F107"/>
    <mergeCell ref="G107:I107"/>
    <mergeCell ref="A103:L103"/>
    <mergeCell ref="A104:C104"/>
    <mergeCell ref="D104:F104"/>
    <mergeCell ref="G104:I104"/>
    <mergeCell ref="A105:C105"/>
    <mergeCell ref="D105:F105"/>
    <mergeCell ref="G105:I105"/>
    <mergeCell ref="A114:C114"/>
    <mergeCell ref="D114:F114"/>
    <mergeCell ref="G114:I114"/>
    <mergeCell ref="A115:C115"/>
    <mergeCell ref="D115:F115"/>
    <mergeCell ref="G115:I115"/>
    <mergeCell ref="A112:C112"/>
    <mergeCell ref="D112:F112"/>
    <mergeCell ref="G112:I112"/>
    <mergeCell ref="A113:C113"/>
    <mergeCell ref="D113:F113"/>
    <mergeCell ref="G113:I113"/>
    <mergeCell ref="A110:C110"/>
    <mergeCell ref="D110:F110"/>
    <mergeCell ref="G110:I110"/>
    <mergeCell ref="A111:C111"/>
    <mergeCell ref="D111:F111"/>
    <mergeCell ref="G111:I111"/>
    <mergeCell ref="A120:L120"/>
    <mergeCell ref="A121:J121"/>
    <mergeCell ref="K121:L121"/>
    <mergeCell ref="A123:L123"/>
    <mergeCell ref="A124:A127"/>
    <mergeCell ref="B124:J125"/>
    <mergeCell ref="K124:L124"/>
    <mergeCell ref="K125:L127"/>
    <mergeCell ref="B126:J126"/>
    <mergeCell ref="B127:J127"/>
    <mergeCell ref="A118:C118"/>
    <mergeCell ref="D118:F118"/>
    <mergeCell ref="G118:I118"/>
    <mergeCell ref="A119:C119"/>
    <mergeCell ref="D119:F119"/>
    <mergeCell ref="G119:I119"/>
    <mergeCell ref="A116:C116"/>
    <mergeCell ref="D116:F116"/>
    <mergeCell ref="G116:I116"/>
    <mergeCell ref="A117:C117"/>
    <mergeCell ref="D117:F117"/>
    <mergeCell ref="G117:I117"/>
    <mergeCell ref="A122:J122"/>
    <mergeCell ref="K122:L122"/>
    <mergeCell ref="A135:J135"/>
    <mergeCell ref="K135:L135"/>
    <mergeCell ref="A136:J136"/>
    <mergeCell ref="K136:L136"/>
    <mergeCell ref="B137:L137"/>
    <mergeCell ref="A138:J138"/>
    <mergeCell ref="K138:L138"/>
    <mergeCell ref="A132:J132"/>
    <mergeCell ref="K132:L132"/>
    <mergeCell ref="A133:J133"/>
    <mergeCell ref="K133:L133"/>
    <mergeCell ref="A134:J134"/>
    <mergeCell ref="K134:L134"/>
    <mergeCell ref="B128:L128"/>
    <mergeCell ref="A129:J129"/>
    <mergeCell ref="K129:L129"/>
    <mergeCell ref="A130:J130"/>
    <mergeCell ref="K130:L130"/>
    <mergeCell ref="A131:J131"/>
    <mergeCell ref="K131:L131"/>
    <mergeCell ref="A147:J147"/>
    <mergeCell ref="K147:L147"/>
    <mergeCell ref="A148:L148"/>
    <mergeCell ref="A149:J149"/>
    <mergeCell ref="K149:L149"/>
    <mergeCell ref="A150:J150"/>
    <mergeCell ref="K150:L150"/>
    <mergeCell ref="A142:J142"/>
    <mergeCell ref="K142:L142"/>
    <mergeCell ref="A143:A146"/>
    <mergeCell ref="B143:J144"/>
    <mergeCell ref="K143:L143"/>
    <mergeCell ref="K144:L146"/>
    <mergeCell ref="B145:J145"/>
    <mergeCell ref="B146:J146"/>
    <mergeCell ref="A139:J139"/>
    <mergeCell ref="K139:L139"/>
    <mergeCell ref="A140:J140"/>
    <mergeCell ref="K140:L140"/>
    <mergeCell ref="A141:J141"/>
    <mergeCell ref="K141:L141"/>
    <mergeCell ref="A158:L158"/>
    <mergeCell ref="A159:J159"/>
    <mergeCell ref="K159:L161"/>
    <mergeCell ref="A160:J160"/>
    <mergeCell ref="A161:J161"/>
    <mergeCell ref="A162:L162"/>
    <mergeCell ref="A154:J154"/>
    <mergeCell ref="K154:L154"/>
    <mergeCell ref="A155:J155"/>
    <mergeCell ref="K155:L155"/>
    <mergeCell ref="A157:J157"/>
    <mergeCell ref="K157:L157"/>
    <mergeCell ref="A151:J151"/>
    <mergeCell ref="K151:L151"/>
    <mergeCell ref="A152:J152"/>
    <mergeCell ref="K152:L152"/>
    <mergeCell ref="A153:J153"/>
    <mergeCell ref="K153:L153"/>
    <mergeCell ref="A156:L156"/>
    <mergeCell ref="A169:D169"/>
    <mergeCell ref="E169:G169"/>
    <mergeCell ref="H169:L169"/>
    <mergeCell ref="A170:D170"/>
    <mergeCell ref="E170:G170"/>
    <mergeCell ref="H170:L170"/>
    <mergeCell ref="A167:D167"/>
    <mergeCell ref="E167:G167"/>
    <mergeCell ref="H167:L167"/>
    <mergeCell ref="A168:D168"/>
    <mergeCell ref="E168:G168"/>
    <mergeCell ref="H168:L168"/>
    <mergeCell ref="A163:A164"/>
    <mergeCell ref="B163:L163"/>
    <mergeCell ref="B164:L164"/>
    <mergeCell ref="A165:L165"/>
    <mergeCell ref="A166:D166"/>
    <mergeCell ref="E166:G166"/>
    <mergeCell ref="H166:L166"/>
    <mergeCell ref="A174:D174"/>
    <mergeCell ref="E174:G174"/>
    <mergeCell ref="H174:L174"/>
    <mergeCell ref="A175:A177"/>
    <mergeCell ref="B175:J175"/>
    <mergeCell ref="K175:L175"/>
    <mergeCell ref="B176:J176"/>
    <mergeCell ref="K176:L177"/>
    <mergeCell ref="B177:J177"/>
    <mergeCell ref="A171:D172"/>
    <mergeCell ref="E171:G171"/>
    <mergeCell ref="H171:L171"/>
    <mergeCell ref="E172:G172"/>
    <mergeCell ref="H172:L172"/>
    <mergeCell ref="A173:D173"/>
    <mergeCell ref="E173:G173"/>
    <mergeCell ref="H173:L173"/>
    <mergeCell ref="K183:L183"/>
    <mergeCell ref="M183:N183"/>
    <mergeCell ref="O183:P183"/>
    <mergeCell ref="Q183:R183"/>
    <mergeCell ref="A184:J184"/>
    <mergeCell ref="K184:L184"/>
    <mergeCell ref="M184:N184"/>
    <mergeCell ref="O184:P184"/>
    <mergeCell ref="Q184:R184"/>
    <mergeCell ref="A178:R178"/>
    <mergeCell ref="A179:J183"/>
    <mergeCell ref="K179:L179"/>
    <mergeCell ref="M179:N179"/>
    <mergeCell ref="O179:P179"/>
    <mergeCell ref="Q179:R179"/>
    <mergeCell ref="K182:L182"/>
    <mergeCell ref="M182:N182"/>
    <mergeCell ref="O182:P182"/>
    <mergeCell ref="Q182:R182"/>
    <mergeCell ref="A187:J187"/>
    <mergeCell ref="K187:L187"/>
    <mergeCell ref="M187:N187"/>
    <mergeCell ref="O187:P187"/>
    <mergeCell ref="Q187:R187"/>
    <mergeCell ref="A188:J188"/>
    <mergeCell ref="K188:L188"/>
    <mergeCell ref="M188:N188"/>
    <mergeCell ref="O188:P188"/>
    <mergeCell ref="Q188:R188"/>
    <mergeCell ref="A185:J185"/>
    <mergeCell ref="K185:L185"/>
    <mergeCell ref="M185:N185"/>
    <mergeCell ref="O185:P185"/>
    <mergeCell ref="Q185:R185"/>
    <mergeCell ref="A186:J186"/>
    <mergeCell ref="K186:L186"/>
    <mergeCell ref="M186:N186"/>
    <mergeCell ref="O186:P186"/>
    <mergeCell ref="Q186:R186"/>
    <mergeCell ref="A194:A196"/>
    <mergeCell ref="B194:J194"/>
    <mergeCell ref="K194:L194"/>
    <mergeCell ref="B195:J195"/>
    <mergeCell ref="K195:L196"/>
    <mergeCell ref="B196:J196"/>
    <mergeCell ref="A191:J191"/>
    <mergeCell ref="K191:L191"/>
    <mergeCell ref="M191:N191"/>
    <mergeCell ref="O191:P191"/>
    <mergeCell ref="Q191:R191"/>
    <mergeCell ref="A193:J193"/>
    <mergeCell ref="K193:L193"/>
    <mergeCell ref="A189:J189"/>
    <mergeCell ref="K189:L189"/>
    <mergeCell ref="M189:N189"/>
    <mergeCell ref="O189:P189"/>
    <mergeCell ref="Q189:R189"/>
    <mergeCell ref="A190:J190"/>
    <mergeCell ref="K190:L190"/>
    <mergeCell ref="M190:N190"/>
    <mergeCell ref="O190:P190"/>
    <mergeCell ref="Q190:R190"/>
    <mergeCell ref="A203:J203"/>
    <mergeCell ref="K203:L203"/>
    <mergeCell ref="A204:L204"/>
    <mergeCell ref="A205:A207"/>
    <mergeCell ref="B205:J205"/>
    <mergeCell ref="K205:L205"/>
    <mergeCell ref="B206:J206"/>
    <mergeCell ref="K206:L207"/>
    <mergeCell ref="B207:J207"/>
    <mergeCell ref="A200:J200"/>
    <mergeCell ref="K200:L200"/>
    <mergeCell ref="A201:J201"/>
    <mergeCell ref="K201:L201"/>
    <mergeCell ref="A202:J202"/>
    <mergeCell ref="K202:L202"/>
    <mergeCell ref="A197:J197"/>
    <mergeCell ref="K197:L197"/>
    <mergeCell ref="A198:J198"/>
    <mergeCell ref="K198:L198"/>
    <mergeCell ref="A199:J199"/>
    <mergeCell ref="K199:L199"/>
    <mergeCell ref="A220:L220"/>
    <mergeCell ref="A221:L221"/>
    <mergeCell ref="A222:L222"/>
    <mergeCell ref="A223:L223"/>
    <mergeCell ref="A224:L224"/>
    <mergeCell ref="A225:L225"/>
    <mergeCell ref="A214:L214"/>
    <mergeCell ref="A215:L215"/>
    <mergeCell ref="A216:L216"/>
    <mergeCell ref="A217:L217"/>
    <mergeCell ref="A218:L218"/>
    <mergeCell ref="A219:L219"/>
    <mergeCell ref="A208:L208"/>
    <mergeCell ref="A209:L209"/>
    <mergeCell ref="A210:L210"/>
    <mergeCell ref="A211:L211"/>
    <mergeCell ref="A212:L212"/>
    <mergeCell ref="A213:L213"/>
    <mergeCell ref="A238:B238"/>
    <mergeCell ref="C238:D238"/>
    <mergeCell ref="A226:D226"/>
    <mergeCell ref="H226:I226"/>
    <mergeCell ref="J226:K226"/>
    <mergeCell ref="L226:M226"/>
    <mergeCell ref="A227:D237"/>
    <mergeCell ref="E226:G226"/>
    <mergeCell ref="E227:G238"/>
    <mergeCell ref="H227:I238"/>
    <mergeCell ref="J227:K238"/>
    <mergeCell ref="L227:M238"/>
    <mergeCell ref="A241:B241"/>
    <mergeCell ref="C241:D241"/>
    <mergeCell ref="H241:I241"/>
    <mergeCell ref="J241:K241"/>
    <mergeCell ref="L241:M241"/>
    <mergeCell ref="A242:B242"/>
    <mergeCell ref="C242:D242"/>
    <mergeCell ref="H242:I242"/>
    <mergeCell ref="J242:K242"/>
    <mergeCell ref="L242:M242"/>
    <mergeCell ref="A239:B239"/>
    <mergeCell ref="C239:D239"/>
    <mergeCell ref="H239:I239"/>
    <mergeCell ref="J239:K239"/>
    <mergeCell ref="L239:M239"/>
    <mergeCell ref="A240:B240"/>
    <mergeCell ref="C240:D240"/>
    <mergeCell ref="H240:I240"/>
    <mergeCell ref="J240:K240"/>
    <mergeCell ref="L240:M240"/>
    <mergeCell ref="E239:G239"/>
    <mergeCell ref="E240:G240"/>
    <mergeCell ref="E241:G241"/>
    <mergeCell ref="E242:G242"/>
    <mergeCell ref="A249:B249"/>
    <mergeCell ref="C249:D249"/>
    <mergeCell ref="H249:I249"/>
    <mergeCell ref="J249:K249"/>
    <mergeCell ref="L249:M249"/>
    <mergeCell ref="A250:B250"/>
    <mergeCell ref="C250:D250"/>
    <mergeCell ref="H250:I250"/>
    <mergeCell ref="J250:K250"/>
    <mergeCell ref="L250:M250"/>
    <mergeCell ref="A243:B243"/>
    <mergeCell ref="C243:D243"/>
    <mergeCell ref="H243:I243"/>
    <mergeCell ref="J243:K243"/>
    <mergeCell ref="L243:M243"/>
    <mergeCell ref="A244:B244"/>
    <mergeCell ref="C244:D244"/>
    <mergeCell ref="H244:I244"/>
    <mergeCell ref="J244:K244"/>
    <mergeCell ref="L244:M244"/>
    <mergeCell ref="A245:B245"/>
    <mergeCell ref="C245:D245"/>
    <mergeCell ref="H245:I245"/>
    <mergeCell ref="J245:K245"/>
    <mergeCell ref="L245:M245"/>
    <mergeCell ref="A246:B246"/>
    <mergeCell ref="C246:D246"/>
    <mergeCell ref="H246:I246"/>
    <mergeCell ref="J246:K246"/>
    <mergeCell ref="L246:M246"/>
    <mergeCell ref="A247:B247"/>
    <mergeCell ref="C247:D247"/>
    <mergeCell ref="A253:B253"/>
    <mergeCell ref="C253:D253"/>
    <mergeCell ref="H253:I253"/>
    <mergeCell ref="J253:K253"/>
    <mergeCell ref="L253:M253"/>
    <mergeCell ref="A254:B254"/>
    <mergeCell ref="C254:D254"/>
    <mergeCell ref="H254:I254"/>
    <mergeCell ref="J254:K254"/>
    <mergeCell ref="L254:M254"/>
    <mergeCell ref="A251:B251"/>
    <mergeCell ref="C251:D251"/>
    <mergeCell ref="H251:I251"/>
    <mergeCell ref="J251:K251"/>
    <mergeCell ref="L251:M251"/>
    <mergeCell ref="A252:B252"/>
    <mergeCell ref="C252:D252"/>
    <mergeCell ref="H252:I252"/>
    <mergeCell ref="J252:K252"/>
    <mergeCell ref="L252:M252"/>
    <mergeCell ref="A259:J259"/>
    <mergeCell ref="K259:L259"/>
    <mergeCell ref="A260:J260"/>
    <mergeCell ref="K260:L260"/>
    <mergeCell ref="A261:L261"/>
    <mergeCell ref="B262:L262"/>
    <mergeCell ref="A257:B257"/>
    <mergeCell ref="C257:D257"/>
    <mergeCell ref="H257:I257"/>
    <mergeCell ref="J257:K257"/>
    <mergeCell ref="L257:M257"/>
    <mergeCell ref="A258:B258"/>
    <mergeCell ref="C258:D258"/>
    <mergeCell ref="H258:I258"/>
    <mergeCell ref="J258:K258"/>
    <mergeCell ref="L258:M258"/>
    <mergeCell ref="A255:B255"/>
    <mergeCell ref="C255:D255"/>
    <mergeCell ref="H255:I255"/>
    <mergeCell ref="J255:K255"/>
    <mergeCell ref="L255:M255"/>
    <mergeCell ref="A256:B256"/>
    <mergeCell ref="C256:D256"/>
    <mergeCell ref="H256:I256"/>
    <mergeCell ref="J256:K256"/>
    <mergeCell ref="L256:M256"/>
    <mergeCell ref="E269:F269"/>
    <mergeCell ref="H269:L269"/>
    <mergeCell ref="A270:J270"/>
    <mergeCell ref="K270:L270"/>
    <mergeCell ref="A271:A273"/>
    <mergeCell ref="B271:J271"/>
    <mergeCell ref="K271:L272"/>
    <mergeCell ref="B272:J272"/>
    <mergeCell ref="B273:J273"/>
    <mergeCell ref="K273:L273"/>
    <mergeCell ref="E266:F266"/>
    <mergeCell ref="H266:L266"/>
    <mergeCell ref="E267:F267"/>
    <mergeCell ref="H267:L267"/>
    <mergeCell ref="E268:F268"/>
    <mergeCell ref="H268:L268"/>
    <mergeCell ref="A263:F263"/>
    <mergeCell ref="H263:L263"/>
    <mergeCell ref="A264:F264"/>
    <mergeCell ref="G264:G265"/>
    <mergeCell ref="H264:L264"/>
    <mergeCell ref="A265:F265"/>
    <mergeCell ref="H265:L265"/>
    <mergeCell ref="A282:A284"/>
    <mergeCell ref="B282:J282"/>
    <mergeCell ref="K282:L283"/>
    <mergeCell ref="B283:J283"/>
    <mergeCell ref="B284:J284"/>
    <mergeCell ref="K284:L284"/>
    <mergeCell ref="H277:L277"/>
    <mergeCell ref="H278:L278"/>
    <mergeCell ref="H279:L279"/>
    <mergeCell ref="H280:L280"/>
    <mergeCell ref="A281:J281"/>
    <mergeCell ref="K281:L281"/>
    <mergeCell ref="A274:E274"/>
    <mergeCell ref="H274:L274"/>
    <mergeCell ref="A275:E276"/>
    <mergeCell ref="F275:F276"/>
    <mergeCell ref="G275:G276"/>
    <mergeCell ref="H275:L275"/>
    <mergeCell ref="H276:L276"/>
    <mergeCell ref="A291:H291"/>
    <mergeCell ref="K291:L291"/>
    <mergeCell ref="A292:H292"/>
    <mergeCell ref="K292:L292"/>
    <mergeCell ref="A293:J293"/>
    <mergeCell ref="K293:L293"/>
    <mergeCell ref="A288:H288"/>
    <mergeCell ref="K288:L288"/>
    <mergeCell ref="A289:H289"/>
    <mergeCell ref="K289:L289"/>
    <mergeCell ref="A290:H290"/>
    <mergeCell ref="K290:L290"/>
    <mergeCell ref="A285:H285"/>
    <mergeCell ref="K285:L285"/>
    <mergeCell ref="A286:H286"/>
    <mergeCell ref="K286:L286"/>
    <mergeCell ref="A287:H287"/>
    <mergeCell ref="K287:L287"/>
    <mergeCell ref="A305:L305"/>
    <mergeCell ref="A306:L306"/>
    <mergeCell ref="A307:L307"/>
    <mergeCell ref="A308:L308"/>
    <mergeCell ref="A309:L309"/>
    <mergeCell ref="A310:L310"/>
    <mergeCell ref="A299:L299"/>
    <mergeCell ref="A300:L300"/>
    <mergeCell ref="A301:L301"/>
    <mergeCell ref="A302:L302"/>
    <mergeCell ref="A303:L303"/>
    <mergeCell ref="A304:L304"/>
    <mergeCell ref="A294:L294"/>
    <mergeCell ref="A295:A297"/>
    <mergeCell ref="B295:L295"/>
    <mergeCell ref="B296:L296"/>
    <mergeCell ref="B297:L297"/>
    <mergeCell ref="A298:L298"/>
    <mergeCell ref="A323:L323"/>
    <mergeCell ref="A324:L324"/>
    <mergeCell ref="A325:L325"/>
    <mergeCell ref="B326:C326"/>
    <mergeCell ref="E326:G326"/>
    <mergeCell ref="J326:K326"/>
    <mergeCell ref="A317:L317"/>
    <mergeCell ref="A318:L318"/>
    <mergeCell ref="A319:L319"/>
    <mergeCell ref="A320:L320"/>
    <mergeCell ref="A321:L321"/>
    <mergeCell ref="A322:L322"/>
    <mergeCell ref="A311:L311"/>
    <mergeCell ref="A312:L312"/>
    <mergeCell ref="A313:L313"/>
    <mergeCell ref="A314:L314"/>
    <mergeCell ref="A315:L315"/>
    <mergeCell ref="A316:L316"/>
    <mergeCell ref="H339:H340"/>
    <mergeCell ref="J339:K341"/>
    <mergeCell ref="E340:F340"/>
    <mergeCell ref="L340:M341"/>
    <mergeCell ref="E341:H341"/>
    <mergeCell ref="B342:C342"/>
    <mergeCell ref="E342:G342"/>
    <mergeCell ref="J342:K342"/>
    <mergeCell ref="E334:F334"/>
    <mergeCell ref="E335:F335"/>
    <mergeCell ref="E336:F336"/>
    <mergeCell ref="E337:F337"/>
    <mergeCell ref="E338:F338"/>
    <mergeCell ref="E339:F339"/>
    <mergeCell ref="J327:K328"/>
    <mergeCell ref="L327:L328"/>
    <mergeCell ref="M327:M328"/>
    <mergeCell ref="E328:F328"/>
    <mergeCell ref="E329:F329"/>
    <mergeCell ref="A330:D341"/>
    <mergeCell ref="E330:F330"/>
    <mergeCell ref="E331:F331"/>
    <mergeCell ref="E332:F332"/>
    <mergeCell ref="E333:F333"/>
    <mergeCell ref="A327:A328"/>
    <mergeCell ref="B327:C327"/>
    <mergeCell ref="D327:D328"/>
    <mergeCell ref="E327:G327"/>
    <mergeCell ref="H327:H328"/>
    <mergeCell ref="I327:I328"/>
    <mergeCell ref="H355:H356"/>
    <mergeCell ref="J355:K357"/>
    <mergeCell ref="E356:F356"/>
    <mergeCell ref="L356:M357"/>
    <mergeCell ref="E357:H357"/>
    <mergeCell ref="B358:C358"/>
    <mergeCell ref="E358:G358"/>
    <mergeCell ref="J358:K358"/>
    <mergeCell ref="E350:F350"/>
    <mergeCell ref="E351:F351"/>
    <mergeCell ref="E352:F352"/>
    <mergeCell ref="E353:F353"/>
    <mergeCell ref="E354:F354"/>
    <mergeCell ref="E355:F355"/>
    <mergeCell ref="J343:K344"/>
    <mergeCell ref="L343:L344"/>
    <mergeCell ref="M343:M344"/>
    <mergeCell ref="E344:F344"/>
    <mergeCell ref="E345:F345"/>
    <mergeCell ref="A346:D357"/>
    <mergeCell ref="E346:F346"/>
    <mergeCell ref="E347:F347"/>
    <mergeCell ref="E348:F348"/>
    <mergeCell ref="E349:F349"/>
    <mergeCell ref="A343:A344"/>
    <mergeCell ref="B343:C343"/>
    <mergeCell ref="D343:D344"/>
    <mergeCell ref="E343:G343"/>
    <mergeCell ref="H343:H344"/>
    <mergeCell ref="I343:I344"/>
    <mergeCell ref="H371:H372"/>
    <mergeCell ref="J371:K373"/>
    <mergeCell ref="E372:F372"/>
    <mergeCell ref="L372:M373"/>
    <mergeCell ref="E373:H373"/>
    <mergeCell ref="B374:C374"/>
    <mergeCell ref="E374:G374"/>
    <mergeCell ref="J374:K374"/>
    <mergeCell ref="E366:F366"/>
    <mergeCell ref="E367:F367"/>
    <mergeCell ref="E368:F368"/>
    <mergeCell ref="E369:F369"/>
    <mergeCell ref="E370:F370"/>
    <mergeCell ref="E371:F371"/>
    <mergeCell ref="J359:K360"/>
    <mergeCell ref="L359:L360"/>
    <mergeCell ref="M359:M360"/>
    <mergeCell ref="E360:F360"/>
    <mergeCell ref="E361:F361"/>
    <mergeCell ref="A362:D373"/>
    <mergeCell ref="E362:F362"/>
    <mergeCell ref="E363:F363"/>
    <mergeCell ref="E364:F364"/>
    <mergeCell ref="E365:F365"/>
    <mergeCell ref="A359:A360"/>
    <mergeCell ref="B359:C359"/>
    <mergeCell ref="D359:D360"/>
    <mergeCell ref="E359:G359"/>
    <mergeCell ref="H359:H360"/>
    <mergeCell ref="I359:I360"/>
    <mergeCell ref="H387:H388"/>
    <mergeCell ref="J387:K389"/>
    <mergeCell ref="E388:F388"/>
    <mergeCell ref="L388:M389"/>
    <mergeCell ref="E389:H389"/>
    <mergeCell ref="B390:C390"/>
    <mergeCell ref="E390:G390"/>
    <mergeCell ref="J390:K390"/>
    <mergeCell ref="E382:F382"/>
    <mergeCell ref="E383:F383"/>
    <mergeCell ref="E384:F384"/>
    <mergeCell ref="E385:F385"/>
    <mergeCell ref="E386:F386"/>
    <mergeCell ref="E387:F387"/>
    <mergeCell ref="J375:K376"/>
    <mergeCell ref="L375:L376"/>
    <mergeCell ref="M375:M376"/>
    <mergeCell ref="E376:F376"/>
    <mergeCell ref="E377:F377"/>
    <mergeCell ref="A378:D389"/>
    <mergeCell ref="E378:F378"/>
    <mergeCell ref="E379:F379"/>
    <mergeCell ref="E380:F380"/>
    <mergeCell ref="E381:F381"/>
    <mergeCell ref="A375:A376"/>
    <mergeCell ref="B375:C375"/>
    <mergeCell ref="D375:D376"/>
    <mergeCell ref="E375:G375"/>
    <mergeCell ref="H375:H376"/>
    <mergeCell ref="I375:I376"/>
    <mergeCell ref="H403:H404"/>
    <mergeCell ref="J403:K405"/>
    <mergeCell ref="E404:F404"/>
    <mergeCell ref="L404:M405"/>
    <mergeCell ref="E405:H405"/>
    <mergeCell ref="B406:C406"/>
    <mergeCell ref="E406:G406"/>
    <mergeCell ref="J406:K406"/>
    <mergeCell ref="E398:F398"/>
    <mergeCell ref="E399:F399"/>
    <mergeCell ref="E400:F400"/>
    <mergeCell ref="E401:F401"/>
    <mergeCell ref="E402:F402"/>
    <mergeCell ref="E403:F403"/>
    <mergeCell ref="J391:K392"/>
    <mergeCell ref="L391:L392"/>
    <mergeCell ref="M391:M392"/>
    <mergeCell ref="E392:F392"/>
    <mergeCell ref="E393:F393"/>
    <mergeCell ref="A394:D405"/>
    <mergeCell ref="E394:F394"/>
    <mergeCell ref="E395:F395"/>
    <mergeCell ref="E396:F396"/>
    <mergeCell ref="E397:F397"/>
    <mergeCell ref="A391:A392"/>
    <mergeCell ref="B391:C391"/>
    <mergeCell ref="D391:D392"/>
    <mergeCell ref="E391:G391"/>
    <mergeCell ref="H391:H392"/>
    <mergeCell ref="I391:I392"/>
    <mergeCell ref="H419:H420"/>
    <mergeCell ref="J419:K421"/>
    <mergeCell ref="E420:F420"/>
    <mergeCell ref="L420:M421"/>
    <mergeCell ref="E421:H421"/>
    <mergeCell ref="B422:C422"/>
    <mergeCell ref="E422:G422"/>
    <mergeCell ref="J422:K422"/>
    <mergeCell ref="E414:F414"/>
    <mergeCell ref="E415:F415"/>
    <mergeCell ref="E416:F416"/>
    <mergeCell ref="E417:F417"/>
    <mergeCell ref="E418:F418"/>
    <mergeCell ref="E419:F419"/>
    <mergeCell ref="J407:K408"/>
    <mergeCell ref="L407:L408"/>
    <mergeCell ref="M407:M408"/>
    <mergeCell ref="E408:F408"/>
    <mergeCell ref="E409:F409"/>
    <mergeCell ref="A410:D421"/>
    <mergeCell ref="E410:F410"/>
    <mergeCell ref="E411:F411"/>
    <mergeCell ref="E412:F412"/>
    <mergeCell ref="E413:F413"/>
    <mergeCell ref="A407:A408"/>
    <mergeCell ref="B407:C407"/>
    <mergeCell ref="D407:D408"/>
    <mergeCell ref="E407:G407"/>
    <mergeCell ref="H407:H408"/>
    <mergeCell ref="I407:I408"/>
    <mergeCell ref="H435:H436"/>
    <mergeCell ref="J435:K437"/>
    <mergeCell ref="E436:F436"/>
    <mergeCell ref="L436:M437"/>
    <mergeCell ref="E437:H437"/>
    <mergeCell ref="B438:C438"/>
    <mergeCell ref="E438:G438"/>
    <mergeCell ref="J438:K438"/>
    <mergeCell ref="E430:F430"/>
    <mergeCell ref="E431:F431"/>
    <mergeCell ref="E432:F432"/>
    <mergeCell ref="E433:F433"/>
    <mergeCell ref="E434:F434"/>
    <mergeCell ref="E435:F435"/>
    <mergeCell ref="J423:K424"/>
    <mergeCell ref="L423:L424"/>
    <mergeCell ref="M423:M424"/>
    <mergeCell ref="E424:F424"/>
    <mergeCell ref="E425:F425"/>
    <mergeCell ref="A426:D437"/>
    <mergeCell ref="E426:F426"/>
    <mergeCell ref="E427:F427"/>
    <mergeCell ref="E428:F428"/>
    <mergeCell ref="E429:F429"/>
    <mergeCell ref="A423:A424"/>
    <mergeCell ref="B423:C423"/>
    <mergeCell ref="D423:D424"/>
    <mergeCell ref="E423:G423"/>
    <mergeCell ref="H423:H424"/>
    <mergeCell ref="I423:I424"/>
    <mergeCell ref="H451:H452"/>
    <mergeCell ref="J451:K453"/>
    <mergeCell ref="E452:F452"/>
    <mergeCell ref="L452:M453"/>
    <mergeCell ref="E453:H453"/>
    <mergeCell ref="B454:C454"/>
    <mergeCell ref="E454:G454"/>
    <mergeCell ref="J454:K454"/>
    <mergeCell ref="E446:F446"/>
    <mergeCell ref="E447:F447"/>
    <mergeCell ref="E448:F448"/>
    <mergeCell ref="E449:F449"/>
    <mergeCell ref="E450:F450"/>
    <mergeCell ref="E451:F451"/>
    <mergeCell ref="J439:K440"/>
    <mergeCell ref="L439:L440"/>
    <mergeCell ref="M439:M440"/>
    <mergeCell ref="E440:F440"/>
    <mergeCell ref="E441:F441"/>
    <mergeCell ref="A442:D453"/>
    <mergeCell ref="E442:F442"/>
    <mergeCell ref="E443:F443"/>
    <mergeCell ref="E444:F444"/>
    <mergeCell ref="E445:F445"/>
    <mergeCell ref="A439:A440"/>
    <mergeCell ref="B439:C439"/>
    <mergeCell ref="D439:D440"/>
    <mergeCell ref="E439:G439"/>
    <mergeCell ref="H439:H440"/>
    <mergeCell ref="I439:I440"/>
    <mergeCell ref="H467:H468"/>
    <mergeCell ref="J467:K469"/>
    <mergeCell ref="E468:F468"/>
    <mergeCell ref="L468:M469"/>
    <mergeCell ref="E469:H469"/>
    <mergeCell ref="B470:C470"/>
    <mergeCell ref="E470:G470"/>
    <mergeCell ref="J470:K470"/>
    <mergeCell ref="E462:F462"/>
    <mergeCell ref="E463:F463"/>
    <mergeCell ref="E464:F464"/>
    <mergeCell ref="E465:F465"/>
    <mergeCell ref="E466:F466"/>
    <mergeCell ref="E467:F467"/>
    <mergeCell ref="J455:K456"/>
    <mergeCell ref="L455:L456"/>
    <mergeCell ref="M455:M456"/>
    <mergeCell ref="E456:F456"/>
    <mergeCell ref="E457:F457"/>
    <mergeCell ref="A458:D469"/>
    <mergeCell ref="E458:F458"/>
    <mergeCell ref="E459:F459"/>
    <mergeCell ref="E460:F460"/>
    <mergeCell ref="E461:F461"/>
    <mergeCell ref="A455:A456"/>
    <mergeCell ref="B455:C455"/>
    <mergeCell ref="D455:D456"/>
    <mergeCell ref="E455:G455"/>
    <mergeCell ref="H455:H456"/>
    <mergeCell ref="I455:I456"/>
    <mergeCell ref="H483:H484"/>
    <mergeCell ref="J483:K485"/>
    <mergeCell ref="E484:F484"/>
    <mergeCell ref="L484:M485"/>
    <mergeCell ref="E485:H485"/>
    <mergeCell ref="B486:C486"/>
    <mergeCell ref="E486:G486"/>
    <mergeCell ref="J486:K486"/>
    <mergeCell ref="E478:F478"/>
    <mergeCell ref="E479:F479"/>
    <mergeCell ref="E480:F480"/>
    <mergeCell ref="E481:F481"/>
    <mergeCell ref="E482:F482"/>
    <mergeCell ref="E483:F483"/>
    <mergeCell ref="J471:K472"/>
    <mergeCell ref="L471:L472"/>
    <mergeCell ref="M471:M472"/>
    <mergeCell ref="E472:F472"/>
    <mergeCell ref="E473:F473"/>
    <mergeCell ref="A474:D485"/>
    <mergeCell ref="E474:F474"/>
    <mergeCell ref="E475:F475"/>
    <mergeCell ref="E476:F476"/>
    <mergeCell ref="E477:F477"/>
    <mergeCell ref="A471:A472"/>
    <mergeCell ref="B471:C471"/>
    <mergeCell ref="D471:D472"/>
    <mergeCell ref="E471:G471"/>
    <mergeCell ref="H471:H472"/>
    <mergeCell ref="I471:I472"/>
    <mergeCell ref="H499:H500"/>
    <mergeCell ref="J499:K501"/>
    <mergeCell ref="E500:F500"/>
    <mergeCell ref="L500:M501"/>
    <mergeCell ref="E501:H501"/>
    <mergeCell ref="B502:C502"/>
    <mergeCell ref="E502:G502"/>
    <mergeCell ref="J502:K502"/>
    <mergeCell ref="E494:F494"/>
    <mergeCell ref="E495:F495"/>
    <mergeCell ref="E496:F496"/>
    <mergeCell ref="E497:F497"/>
    <mergeCell ref="E498:F498"/>
    <mergeCell ref="E499:F499"/>
    <mergeCell ref="J487:K488"/>
    <mergeCell ref="L487:L488"/>
    <mergeCell ref="M487:M488"/>
    <mergeCell ref="E488:F488"/>
    <mergeCell ref="E489:F489"/>
    <mergeCell ref="A490:D501"/>
    <mergeCell ref="E490:F490"/>
    <mergeCell ref="E491:F491"/>
    <mergeCell ref="E492:F492"/>
    <mergeCell ref="E493:F493"/>
    <mergeCell ref="A487:A488"/>
    <mergeCell ref="B487:C487"/>
    <mergeCell ref="D487:D488"/>
    <mergeCell ref="E487:G487"/>
    <mergeCell ref="H487:H488"/>
    <mergeCell ref="I487:I488"/>
    <mergeCell ref="H515:H516"/>
    <mergeCell ref="J515:K517"/>
    <mergeCell ref="E516:F516"/>
    <mergeCell ref="L516:M517"/>
    <mergeCell ref="E517:H517"/>
    <mergeCell ref="B518:C518"/>
    <mergeCell ref="E518:G518"/>
    <mergeCell ref="J518:K518"/>
    <mergeCell ref="E510:F510"/>
    <mergeCell ref="E511:F511"/>
    <mergeCell ref="E512:F512"/>
    <mergeCell ref="E513:F513"/>
    <mergeCell ref="E514:F514"/>
    <mergeCell ref="E515:F515"/>
    <mergeCell ref="J503:K504"/>
    <mergeCell ref="L503:L504"/>
    <mergeCell ref="M503:M504"/>
    <mergeCell ref="E504:F504"/>
    <mergeCell ref="E505:F505"/>
    <mergeCell ref="A506:D517"/>
    <mergeCell ref="E506:F506"/>
    <mergeCell ref="E507:F507"/>
    <mergeCell ref="E508:F508"/>
    <mergeCell ref="E509:F509"/>
    <mergeCell ref="A503:A504"/>
    <mergeCell ref="B503:C503"/>
    <mergeCell ref="D503:D504"/>
    <mergeCell ref="E503:G503"/>
    <mergeCell ref="H503:H504"/>
    <mergeCell ref="I503:I504"/>
    <mergeCell ref="H531:H532"/>
    <mergeCell ref="J531:K533"/>
    <mergeCell ref="E532:F532"/>
    <mergeCell ref="L532:M533"/>
    <mergeCell ref="E533:H533"/>
    <mergeCell ref="B534:C534"/>
    <mergeCell ref="E534:G534"/>
    <mergeCell ref="J534:K534"/>
    <mergeCell ref="E526:F526"/>
    <mergeCell ref="E527:F527"/>
    <mergeCell ref="E528:F528"/>
    <mergeCell ref="E529:F529"/>
    <mergeCell ref="E530:F530"/>
    <mergeCell ref="E531:F531"/>
    <mergeCell ref="J519:K520"/>
    <mergeCell ref="L519:L520"/>
    <mergeCell ref="M519:M520"/>
    <mergeCell ref="E520:F520"/>
    <mergeCell ref="E521:F521"/>
    <mergeCell ref="A522:D533"/>
    <mergeCell ref="E522:F522"/>
    <mergeCell ref="E523:F523"/>
    <mergeCell ref="E524:F524"/>
    <mergeCell ref="E525:F525"/>
    <mergeCell ref="A519:A520"/>
    <mergeCell ref="B519:C519"/>
    <mergeCell ref="D519:D520"/>
    <mergeCell ref="E519:G519"/>
    <mergeCell ref="H519:H520"/>
    <mergeCell ref="I519:I520"/>
    <mergeCell ref="H547:H548"/>
    <mergeCell ref="J547:K549"/>
    <mergeCell ref="E548:F548"/>
    <mergeCell ref="L548:M549"/>
    <mergeCell ref="E549:H549"/>
    <mergeCell ref="B550:C550"/>
    <mergeCell ref="E550:G550"/>
    <mergeCell ref="J550:K550"/>
    <mergeCell ref="E542:F542"/>
    <mergeCell ref="E543:F543"/>
    <mergeCell ref="E544:F544"/>
    <mergeCell ref="E545:F545"/>
    <mergeCell ref="E546:F546"/>
    <mergeCell ref="E547:F547"/>
    <mergeCell ref="J535:K536"/>
    <mergeCell ref="L535:L536"/>
    <mergeCell ref="M535:M536"/>
    <mergeCell ref="E536:F536"/>
    <mergeCell ref="E537:F537"/>
    <mergeCell ref="A538:D549"/>
    <mergeCell ref="E538:F538"/>
    <mergeCell ref="E539:F539"/>
    <mergeCell ref="E540:F540"/>
    <mergeCell ref="E541:F541"/>
    <mergeCell ref="A535:A536"/>
    <mergeCell ref="B535:C535"/>
    <mergeCell ref="D535:D536"/>
    <mergeCell ref="E535:G535"/>
    <mergeCell ref="H535:H536"/>
    <mergeCell ref="I535:I536"/>
    <mergeCell ref="H563:H564"/>
    <mergeCell ref="J563:K565"/>
    <mergeCell ref="E564:F564"/>
    <mergeCell ref="L564:M565"/>
    <mergeCell ref="E565:H565"/>
    <mergeCell ref="B566:C566"/>
    <mergeCell ref="E566:G566"/>
    <mergeCell ref="J566:K566"/>
    <mergeCell ref="E558:F558"/>
    <mergeCell ref="E559:F559"/>
    <mergeCell ref="E560:F560"/>
    <mergeCell ref="E561:F561"/>
    <mergeCell ref="E562:F562"/>
    <mergeCell ref="E563:F563"/>
    <mergeCell ref="J551:K552"/>
    <mergeCell ref="L551:L552"/>
    <mergeCell ref="M551:M552"/>
    <mergeCell ref="E552:F552"/>
    <mergeCell ref="E553:F553"/>
    <mergeCell ref="A554:D565"/>
    <mergeCell ref="E554:F554"/>
    <mergeCell ref="E555:F555"/>
    <mergeCell ref="E556:F556"/>
    <mergeCell ref="E557:F557"/>
    <mergeCell ref="A551:A552"/>
    <mergeCell ref="B551:C551"/>
    <mergeCell ref="D551:D552"/>
    <mergeCell ref="E551:G551"/>
    <mergeCell ref="H551:H552"/>
    <mergeCell ref="I551:I552"/>
    <mergeCell ref="H579:H580"/>
    <mergeCell ref="J579:K581"/>
    <mergeCell ref="E580:F580"/>
    <mergeCell ref="L580:M581"/>
    <mergeCell ref="E581:H581"/>
    <mergeCell ref="B582:C582"/>
    <mergeCell ref="E582:G582"/>
    <mergeCell ref="J582:K582"/>
    <mergeCell ref="E574:F574"/>
    <mergeCell ref="E575:F575"/>
    <mergeCell ref="E576:F576"/>
    <mergeCell ref="E577:F577"/>
    <mergeCell ref="E578:F578"/>
    <mergeCell ref="E579:F579"/>
    <mergeCell ref="J567:K568"/>
    <mergeCell ref="L567:L568"/>
    <mergeCell ref="M567:M568"/>
    <mergeCell ref="E568:F568"/>
    <mergeCell ref="E569:F569"/>
    <mergeCell ref="A570:D581"/>
    <mergeCell ref="E570:F570"/>
    <mergeCell ref="E571:F571"/>
    <mergeCell ref="E572:F572"/>
    <mergeCell ref="E573:F573"/>
    <mergeCell ref="A567:A568"/>
    <mergeCell ref="B567:C567"/>
    <mergeCell ref="D567:D568"/>
    <mergeCell ref="E567:G567"/>
    <mergeCell ref="H567:H568"/>
    <mergeCell ref="I567:I568"/>
    <mergeCell ref="H595:H596"/>
    <mergeCell ref="J595:K597"/>
    <mergeCell ref="E596:F596"/>
    <mergeCell ref="L596:M597"/>
    <mergeCell ref="E597:H597"/>
    <mergeCell ref="B598:C598"/>
    <mergeCell ref="E598:G598"/>
    <mergeCell ref="J598:K598"/>
    <mergeCell ref="E590:F590"/>
    <mergeCell ref="E591:F591"/>
    <mergeCell ref="E592:F592"/>
    <mergeCell ref="E593:F593"/>
    <mergeCell ref="E594:F594"/>
    <mergeCell ref="E595:F595"/>
    <mergeCell ref="J583:K584"/>
    <mergeCell ref="L583:L584"/>
    <mergeCell ref="M583:M584"/>
    <mergeCell ref="E584:F584"/>
    <mergeCell ref="E585:F585"/>
    <mergeCell ref="A586:D597"/>
    <mergeCell ref="E586:F586"/>
    <mergeCell ref="E587:F587"/>
    <mergeCell ref="E588:F588"/>
    <mergeCell ref="E589:F589"/>
    <mergeCell ref="A583:A584"/>
    <mergeCell ref="B583:C583"/>
    <mergeCell ref="D583:D584"/>
    <mergeCell ref="E583:G583"/>
    <mergeCell ref="H583:H584"/>
    <mergeCell ref="I583:I584"/>
    <mergeCell ref="H611:H612"/>
    <mergeCell ref="J611:K613"/>
    <mergeCell ref="E612:F612"/>
    <mergeCell ref="L612:M613"/>
    <mergeCell ref="E613:H613"/>
    <mergeCell ref="A614:L614"/>
    <mergeCell ref="E606:F606"/>
    <mergeCell ref="E607:F607"/>
    <mergeCell ref="E608:F608"/>
    <mergeCell ref="E609:F609"/>
    <mergeCell ref="E610:F610"/>
    <mergeCell ref="E611:F611"/>
    <mergeCell ref="J599:K600"/>
    <mergeCell ref="L599:L600"/>
    <mergeCell ref="M599:M600"/>
    <mergeCell ref="E600:F600"/>
    <mergeCell ref="E601:F601"/>
    <mergeCell ref="A602:D613"/>
    <mergeCell ref="E602:F602"/>
    <mergeCell ref="E603:F603"/>
    <mergeCell ref="E604:F604"/>
    <mergeCell ref="E605:F605"/>
    <mergeCell ref="A599:A600"/>
    <mergeCell ref="B599:C599"/>
    <mergeCell ref="D599:D600"/>
    <mergeCell ref="E599:G599"/>
    <mergeCell ref="H599:H600"/>
    <mergeCell ref="I599:I600"/>
    <mergeCell ref="A626:J626"/>
    <mergeCell ref="K626:L630"/>
    <mergeCell ref="A627:J627"/>
    <mergeCell ref="A628:J628"/>
    <mergeCell ref="A629:J629"/>
    <mergeCell ref="A630:J630"/>
    <mergeCell ref="A621:J621"/>
    <mergeCell ref="K621:L625"/>
    <mergeCell ref="A622:J622"/>
    <mergeCell ref="A623:J623"/>
    <mergeCell ref="A624:J624"/>
    <mergeCell ref="A625:J625"/>
    <mergeCell ref="B615:L615"/>
    <mergeCell ref="A616:J616"/>
    <mergeCell ref="K616:L620"/>
    <mergeCell ref="A617:J617"/>
    <mergeCell ref="A618:J618"/>
    <mergeCell ref="A619:J619"/>
    <mergeCell ref="A620:J620"/>
  </mergeCells>
  <dataValidations count="20">
    <dataValidation type="list" allowBlank="1" showInputMessage="1" showErrorMessage="1" sqref="H62:H81">
      <formula1>"Y,NA"</formula1>
    </dataValidation>
    <dataValidation type="decimal" operator="greaterThanOrEqual" allowBlank="1" showInputMessage="1" showErrorMessage="1" sqref="D329 D345 D361 D377 D393 D409 D425 D441 D457 D473 D489 D505 D521 D537 D553 D569 D585 D601 G329:H338 K329:K338 G345:H354 K345:K354 G361:H370 K361:K370 G377:H386 K377:K386 G393:H402 K393:K402 G409:H418 K409:K418 G425:H434 K425:K434 G441:H450 K441:K450 G457:H466 K457:K466 G473:H482 K473:K482 G489:H498 K489:K498 G505:H514 K505:K514 G521:H530 K521:K530 G537:H546 K537:K546 G553:H562 K553:K562 G569:H578 K569:K578 G585:H594 K585:K594 G601:H610 K601:K610">
      <formula1>0</formula1>
    </dataValidation>
    <dataValidation type="textLength" operator="lessThanOrEqual" allowBlank="1" showInputMessage="1" showErrorMessage="1" sqref="A329 A345 A361 A377 A393 A409 A425 A441 A457 A473 A489 A505 A521 A537 A553 A569 A585 A601">
      <formula1>10</formula1>
    </dataValidation>
    <dataValidation type="date" operator="greaterThan" allowBlank="1" showInputMessage="1" showErrorMessage="1" errorTitle="Date Error" error="License expiration date must be later than begin date." sqref="K106:K119">
      <formula1>J106</formula1>
    </dataValidation>
    <dataValidation type="date" operator="greaterThanOrEqual" allowBlank="1" showInputMessage="1" showErrorMessage="1" sqref="J287:J292">
      <formula1>1</formula1>
    </dataValidation>
    <dataValidation type="textLength" operator="lessThanOrEqual" allowBlank="1" showInputMessage="1" showErrorMessage="1" sqref="E601:F610 A62:D81 A106:I119 H266:L269 H277:L280 E329:F338 E345:F354 E361:F370 E377:F386 E393:F402 E409:F418 E425:F434 E441:F450 E457:F466 E473:F482 E489:F498 E505:F514 E521:F530 E537:F546 E553:F562 E569:F578 E585:F594 A239:D258">
      <formula1>255</formula1>
    </dataValidation>
    <dataValidation type="list" allowBlank="1" showInputMessage="1" showErrorMessage="1" sqref="E62:E81">
      <formula1>"A,DR,LVN,RN,T,SE,EA"</formula1>
    </dataValidation>
    <dataValidation type="list" allowBlank="1" showInputMessage="1" showErrorMessage="1" sqref="D2">
      <formula1>"CBA,PHC,MDCP,DBMD,CLASS,HCS,TxHmL"</formula1>
    </dataValidation>
    <dataValidation type="whole" allowBlank="1" showInputMessage="1" showErrorMessage="1" sqref="A2">
      <formula1>1</formula1>
      <formula2>99</formula2>
    </dataValidation>
    <dataValidation type="textLength" operator="greaterThan" allowBlank="1" showInputMessage="1" showErrorMessage="1" sqref="D3:F4">
      <formula1>1</formula1>
    </dataValidation>
    <dataValidation type="list" allowBlank="1" showInputMessage="1" showErrorMessage="1" sqref="K284:L284 K195 K144 G266:G269 K8 K198:L199 K125 K94 K176:L176 K153:L153 F277:G280 K206:L207 K273:L273 L106:L119 K131:L133 K155:L155">
      <formula1>"Y,N"</formula1>
    </dataValidation>
    <dataValidation type="date" operator="greaterThan" allowBlank="1" showInputMessage="1" showErrorMessage="1" sqref="B585 J2 K181 K197:L197 B377 I62:J81 G4:J4 B601 K147:L147 K183:R183 C277 J106:J119 B569 B553 B537 B521 B505 B489 B473 B457 B441 B425 B409 B393 B361 B345 B329 L2 G62:G81">
      <formula1>1</formula1>
    </dataValidation>
    <dataValidation type="list" allowBlank="1" showInputMessage="1" showErrorMessage="1" sqref="J329:J338 J585:J594 J521:J530 J505:J514 J489:J498 J473:J482 J457:J466 J441:J450 J425:J434 J409:J418 J393:J402 J377:J386 J361:J370 J345:J354 J569:J578 J553:J562 J537:J546 J601:J610">
      <formula1>"NA,EMPLOYEE,EMPLOYER"</formula1>
    </dataValidation>
    <dataValidation type="date" operator="greaterThan" allowBlank="1" showInputMessage="1" showErrorMessage="1" errorTitle="Date Error" error="&quot;From&quot; date must be later than previous &quot;To&quot; date." sqref="C278:C280">
      <formula1>E277</formula1>
    </dataValidation>
    <dataValidation type="date" operator="greaterThan" allowBlank="1" showInputMessage="1" showErrorMessage="1" errorTitle="Date Error" error="&quot;To&quot; date must be later than &quot;From&quot; date." sqref="E277:E280">
      <formula1>C277</formula1>
    </dataValidation>
    <dataValidation type="date" operator="greaterThan" allowBlank="1" showInputMessage="1" showErrorMessage="1" errorTitle="Date Error" error="End date must be later than begin date." sqref="N181 P181 R181 C329 C345 C361 C377 C393 C409 C425 C441 C457 C473 C489 C505 C521 C537 C553 C569 C585 C601">
      <formula1>B181</formula1>
    </dataValidation>
    <dataValidation type="date" operator="greaterThan" allowBlank="1" showInputMessage="1" showErrorMessage="1" errorTitle="Date Error" error="Begin date must be later than previous end date." sqref="M181 O181 Q181">
      <formula1>L181</formula1>
    </dataValidation>
    <dataValidation type="date" operator="greaterThan" allowBlank="1" showInputMessage="1" showErrorMessage="1" errorTitle="DateError" error="End date must be later than begin date." sqref="L181">
      <formula1>K181</formula1>
    </dataValidation>
    <dataValidation type="list" allowBlank="1" showInputMessage="1" showErrorMessage="1" sqref="K184:R191 K159:L161 I287:I292 K614:L630 H152 N62:Q81 H140 K129:L130 K138:L141 H201 K157:L157 K294:L294 K262:L262 K287:L292 K62:L81 K134:L135 M106:M119 G136:H136 E238 K257:K258 I257:I258 K239:K240 H239:H258 J239:J258 I239:I240 L239:L258 M239:M240 M257:M258">
      <formula1>"Y,N,NA"</formula1>
    </dataValidation>
    <dataValidation operator="greaterThan" allowBlank="1" showInputMessage="1" showErrorMessage="1" sqref="E239:E258"/>
  </dataValidations>
  <printOptions horizontalCentered="1"/>
  <pageMargins left="0.5" right="0.5" top="0.75" bottom="0.75" header="0.25" footer="0.25"/>
  <pageSetup scale="67" fitToHeight="21" orientation="landscape" r:id="rId3"/>
  <headerFooter>
    <oddHeader>&amp;L&amp;"Arial,Regular"&amp;8Texas Department of Aging
and Disability Services&amp;C&amp;"Arial,Bold"&amp;12Consumer Directed Services Agency - CDSA Program
Contract Compliance Monitoring-- Individual Work Paper&amp;R&amp;"Arial,Regular"&amp;8Form TBD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F6677874B3514409BDDEAC8FE0A737A" ma:contentTypeVersion="2" ma:contentTypeDescription="Create a new document." ma:contentTypeScope="" ma:versionID="1f10fd494ab1716a1c8952288cc06e4c">
  <xsd:schema xmlns:xsd="http://www.w3.org/2001/XMLSchema" xmlns:xs="http://www.w3.org/2001/XMLSchema" xmlns:p="http://schemas.microsoft.com/office/2006/metadata/properties" xmlns:ns2="dc0c49df-aeb1-40b2-bf34-b2932f1e8c91" targetNamespace="http://schemas.microsoft.com/office/2006/metadata/properties" ma:root="true" ma:fieldsID="6cc89cae3a9a45b69ae85d425a4b0343" ns2:_="">
    <xsd:import namespace="dc0c49df-aeb1-40b2-bf34-b2932f1e8c91"/>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c0c49df-aeb1-40b2-bf34-b2932f1e8c9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p:properties xmlns:p="http://schemas.microsoft.com/office/2006/metadata/properties" xmlns:xsi="http://www.w3.org/2001/XMLSchema-instance" xmlns:pc="http://schemas.microsoft.com/office/infopath/2007/PartnerControls">
  <documentManagement>
    <_dlc_DocId xmlns="dc0c49df-aeb1-40b2-bf34-b2932f1e8c91">QU2XRS35KENR-9-1175</_dlc_DocId>
    <_dlc_DocIdUrl xmlns="dc0c49df-aeb1-40b2-bf34-b2932f1e8c91">
      <Url>https://extranet.appliedis.com/sites/Texas/DADS/MFP/_layouts/DocIdRedir.aspx?ID=QU2XRS35KENR-9-1175</Url>
      <Description>QU2XRS35KENR-9-1175</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94430C2-95D0-41F6-A1D7-DE708F91BD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c0c49df-aeb1-40b2-bf34-b2932f1e8c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592A2EB-5623-4702-9852-C991E3C0FBCF}">
  <ds:schemaRefs>
    <ds:schemaRef ds:uri="http://schemas.microsoft.com/sharepoint/events"/>
  </ds:schemaRefs>
</ds:datastoreItem>
</file>

<file path=customXml/itemProps3.xml><?xml version="1.0" encoding="utf-8"?>
<ds:datastoreItem xmlns:ds="http://schemas.openxmlformats.org/officeDocument/2006/customXml" ds:itemID="{FE0EA2D8-30FB-44C2-8846-EB000F8BBDC2}">
  <ds:schemaRefs>
    <ds:schemaRef ds:uri="http://schemas.microsoft.com/office/2006/metadata/properties"/>
    <ds:schemaRef ds:uri="http://purl.org/dc/dcmitype/"/>
    <ds:schemaRef ds:uri="http://purl.org/dc/elements/1.1/"/>
    <ds:schemaRef ds:uri="http://schemas.microsoft.com/office/2006/documentManagement/types"/>
    <ds:schemaRef ds:uri="http://schemas.openxmlformats.org/package/2006/metadata/core-properties"/>
    <ds:schemaRef ds:uri="dc0c49df-aeb1-40b2-bf34-b2932f1e8c91"/>
    <ds:schemaRef ds:uri="http://schemas.microsoft.com/office/infopath/2007/PartnerControls"/>
    <ds:schemaRef ds:uri="http://www.w3.org/XML/1998/namespace"/>
    <ds:schemaRef ds:uri="http://purl.org/dc/terms/"/>
  </ds:schemaRefs>
</ds:datastoreItem>
</file>

<file path=customXml/itemProps4.xml><?xml version="1.0" encoding="utf-8"?>
<ds:datastoreItem xmlns:ds="http://schemas.openxmlformats.org/officeDocument/2006/customXml" ds:itemID="{88E17D50-B65E-4A71-AC71-E700AEA2819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4364</vt:i4>
      </vt:variant>
    </vt:vector>
  </HeadingPairs>
  <TitlesOfParts>
    <vt:vector size="4402" baseType="lpstr">
      <vt:lpstr>Monitoring Workbook</vt:lpstr>
      <vt:lpstr>Service Backup Plan</vt:lpstr>
      <vt:lpstr>IWP01</vt:lpstr>
      <vt:lpstr>IWP02</vt:lpstr>
      <vt:lpstr>IWP03</vt:lpstr>
      <vt:lpstr>IWP04</vt:lpstr>
      <vt:lpstr>IWP05</vt:lpstr>
      <vt:lpstr>IWP06</vt:lpstr>
      <vt:lpstr>IWP07</vt:lpstr>
      <vt:lpstr>IWP08</vt:lpstr>
      <vt:lpstr>IWP09</vt:lpstr>
      <vt:lpstr>IWP10</vt:lpstr>
      <vt:lpstr>IWP11</vt:lpstr>
      <vt:lpstr>IWP12</vt:lpstr>
      <vt:lpstr>IWP13</vt:lpstr>
      <vt:lpstr>IWP14</vt:lpstr>
      <vt:lpstr>IWP15</vt:lpstr>
      <vt:lpstr>IWP16</vt:lpstr>
      <vt:lpstr>IWP17</vt:lpstr>
      <vt:lpstr>IWP18</vt:lpstr>
      <vt:lpstr>IWP19</vt:lpstr>
      <vt:lpstr>IWP20</vt:lpstr>
      <vt:lpstr>IWP21</vt:lpstr>
      <vt:lpstr>IWP22</vt:lpstr>
      <vt:lpstr>IWP23</vt:lpstr>
      <vt:lpstr>IWP24</vt:lpstr>
      <vt:lpstr>IWP25</vt:lpstr>
      <vt:lpstr>IWP26</vt:lpstr>
      <vt:lpstr>IWP27</vt:lpstr>
      <vt:lpstr>IWP28</vt:lpstr>
      <vt:lpstr>IWP29</vt:lpstr>
      <vt:lpstr>IWP30</vt:lpstr>
      <vt:lpstr>Compliance Summary (PRINT)</vt:lpstr>
      <vt:lpstr>Demand for Payment (PRINT)</vt:lpstr>
      <vt:lpstr>Amt Due Emp Employer (PRINT)</vt:lpstr>
      <vt:lpstr>Samples (PRINT)</vt:lpstr>
      <vt:lpstr>Notes (Print)</vt:lpstr>
      <vt:lpstr>Data</vt:lpstr>
      <vt:lpstr>'Demand for Payment (PRINT)'!AmtDueDads</vt:lpstr>
      <vt:lpstr>'Amt Due Emp Employer (PRINT)'!AmtDueEmployees</vt:lpstr>
      <vt:lpstr>'Amt Due Emp Employer (PRINT)'!AmtDueEmployeesDetails</vt:lpstr>
      <vt:lpstr>'Amt Due Emp Employer (PRINT)'!AmtDueEmployer</vt:lpstr>
      <vt:lpstr>'Amt Due Emp Employer (PRINT)'!AmtDueEmployerDetails</vt:lpstr>
      <vt:lpstr>'IWP01'!BackgroundChecks</vt:lpstr>
      <vt:lpstr>'IWP02'!BackgroundChecks</vt:lpstr>
      <vt:lpstr>'IWP03'!BackgroundChecks</vt:lpstr>
      <vt:lpstr>'IWP04'!BackgroundChecks</vt:lpstr>
      <vt:lpstr>'IWP05'!BackgroundChecks</vt:lpstr>
      <vt:lpstr>'IWP06'!BackgroundChecks</vt:lpstr>
      <vt:lpstr>'IWP07'!BackgroundChecks</vt:lpstr>
      <vt:lpstr>'IWP08'!BackgroundChecks</vt:lpstr>
      <vt:lpstr>'IWP09'!BackgroundChecks</vt:lpstr>
      <vt:lpstr>'IWP10'!BackgroundChecks</vt:lpstr>
      <vt:lpstr>'IWP11'!BackgroundChecks</vt:lpstr>
      <vt:lpstr>'IWP12'!BackgroundChecks</vt:lpstr>
      <vt:lpstr>'IWP13'!BackgroundChecks</vt:lpstr>
      <vt:lpstr>'IWP14'!BackgroundChecks</vt:lpstr>
      <vt:lpstr>'IWP15'!BackgroundChecks</vt:lpstr>
      <vt:lpstr>'IWP16'!BackgroundChecks</vt:lpstr>
      <vt:lpstr>'IWP17'!BackgroundChecks</vt:lpstr>
      <vt:lpstr>'IWP18'!BackgroundChecks</vt:lpstr>
      <vt:lpstr>'IWP19'!BackgroundChecks</vt:lpstr>
      <vt:lpstr>'IWP20'!BackgroundChecks</vt:lpstr>
      <vt:lpstr>'IWP21'!BackgroundChecks</vt:lpstr>
      <vt:lpstr>'IWP22'!BackgroundChecks</vt:lpstr>
      <vt:lpstr>'IWP23'!BackgroundChecks</vt:lpstr>
      <vt:lpstr>'IWP24'!BackgroundChecks</vt:lpstr>
      <vt:lpstr>'IWP25'!BackgroundChecks</vt:lpstr>
      <vt:lpstr>'IWP26'!BackgroundChecks</vt:lpstr>
      <vt:lpstr>'IWP27'!BackgroundChecks</vt:lpstr>
      <vt:lpstr>'IWP28'!BackgroundChecks</vt:lpstr>
      <vt:lpstr>'IWP29'!BackgroundChecks</vt:lpstr>
      <vt:lpstr>'IWP30'!BackgroundChecks</vt:lpstr>
      <vt:lpstr>'IWP01'!Budget1BeginDate</vt:lpstr>
      <vt:lpstr>'IWP02'!Budget1BeginDate</vt:lpstr>
      <vt:lpstr>'IWP03'!Budget1BeginDate</vt:lpstr>
      <vt:lpstr>'IWP04'!Budget1BeginDate</vt:lpstr>
      <vt:lpstr>'IWP05'!Budget1BeginDate</vt:lpstr>
      <vt:lpstr>'IWP06'!Budget1BeginDate</vt:lpstr>
      <vt:lpstr>'IWP07'!Budget1BeginDate</vt:lpstr>
      <vt:lpstr>'IWP08'!Budget1BeginDate</vt:lpstr>
      <vt:lpstr>'IWP09'!Budget1BeginDate</vt:lpstr>
      <vt:lpstr>'IWP10'!Budget1BeginDate</vt:lpstr>
      <vt:lpstr>'IWP11'!Budget1BeginDate</vt:lpstr>
      <vt:lpstr>'IWP12'!Budget1BeginDate</vt:lpstr>
      <vt:lpstr>'IWP13'!Budget1BeginDate</vt:lpstr>
      <vt:lpstr>'IWP14'!Budget1BeginDate</vt:lpstr>
      <vt:lpstr>'IWP15'!Budget1BeginDate</vt:lpstr>
      <vt:lpstr>'IWP16'!Budget1BeginDate</vt:lpstr>
      <vt:lpstr>'IWP17'!Budget1BeginDate</vt:lpstr>
      <vt:lpstr>'IWP18'!Budget1BeginDate</vt:lpstr>
      <vt:lpstr>'IWP19'!Budget1BeginDate</vt:lpstr>
      <vt:lpstr>'IWP20'!Budget1BeginDate</vt:lpstr>
      <vt:lpstr>'IWP21'!Budget1BeginDate</vt:lpstr>
      <vt:lpstr>'IWP22'!Budget1BeginDate</vt:lpstr>
      <vt:lpstr>'IWP23'!Budget1BeginDate</vt:lpstr>
      <vt:lpstr>'IWP24'!Budget1BeginDate</vt:lpstr>
      <vt:lpstr>'IWP25'!Budget1BeginDate</vt:lpstr>
      <vt:lpstr>'IWP26'!Budget1BeginDate</vt:lpstr>
      <vt:lpstr>'IWP27'!Budget1BeginDate</vt:lpstr>
      <vt:lpstr>'IWP28'!Budget1BeginDate</vt:lpstr>
      <vt:lpstr>'IWP29'!Budget1BeginDate</vt:lpstr>
      <vt:lpstr>'IWP30'!Budget1BeginDate</vt:lpstr>
      <vt:lpstr>'IWP01'!Budget1EndDate</vt:lpstr>
      <vt:lpstr>'IWP02'!Budget1EndDate</vt:lpstr>
      <vt:lpstr>'IWP03'!Budget1EndDate</vt:lpstr>
      <vt:lpstr>'IWP04'!Budget1EndDate</vt:lpstr>
      <vt:lpstr>'IWP05'!Budget1EndDate</vt:lpstr>
      <vt:lpstr>'IWP06'!Budget1EndDate</vt:lpstr>
      <vt:lpstr>'IWP07'!Budget1EndDate</vt:lpstr>
      <vt:lpstr>'IWP08'!Budget1EndDate</vt:lpstr>
      <vt:lpstr>'IWP09'!Budget1EndDate</vt:lpstr>
      <vt:lpstr>'IWP10'!Budget1EndDate</vt:lpstr>
      <vt:lpstr>'IWP11'!Budget1EndDate</vt:lpstr>
      <vt:lpstr>'IWP12'!Budget1EndDate</vt:lpstr>
      <vt:lpstr>'IWP13'!Budget1EndDate</vt:lpstr>
      <vt:lpstr>'IWP14'!Budget1EndDate</vt:lpstr>
      <vt:lpstr>'IWP15'!Budget1EndDate</vt:lpstr>
      <vt:lpstr>'IWP16'!Budget1EndDate</vt:lpstr>
      <vt:lpstr>'IWP17'!Budget1EndDate</vt:lpstr>
      <vt:lpstr>'IWP18'!Budget1EndDate</vt:lpstr>
      <vt:lpstr>'IWP19'!Budget1EndDate</vt:lpstr>
      <vt:lpstr>'IWP20'!Budget1EndDate</vt:lpstr>
      <vt:lpstr>'IWP21'!Budget1EndDate</vt:lpstr>
      <vt:lpstr>'IWP22'!Budget1EndDate</vt:lpstr>
      <vt:lpstr>'IWP23'!Budget1EndDate</vt:lpstr>
      <vt:lpstr>'IWP24'!Budget1EndDate</vt:lpstr>
      <vt:lpstr>'IWP25'!Budget1EndDate</vt:lpstr>
      <vt:lpstr>'IWP26'!Budget1EndDate</vt:lpstr>
      <vt:lpstr>'IWP27'!Budget1EndDate</vt:lpstr>
      <vt:lpstr>'IWP28'!Budget1EndDate</vt:lpstr>
      <vt:lpstr>'IWP29'!Budget1EndDate</vt:lpstr>
      <vt:lpstr>'IWP30'!Budget1EndDate</vt:lpstr>
      <vt:lpstr>'IWP01'!Budget2BeginDate</vt:lpstr>
      <vt:lpstr>'IWP02'!Budget2BeginDate</vt:lpstr>
      <vt:lpstr>'IWP03'!Budget2BeginDate</vt:lpstr>
      <vt:lpstr>'IWP04'!Budget2BeginDate</vt:lpstr>
      <vt:lpstr>'IWP05'!Budget2BeginDate</vt:lpstr>
      <vt:lpstr>'IWP06'!Budget2BeginDate</vt:lpstr>
      <vt:lpstr>'IWP07'!Budget2BeginDate</vt:lpstr>
      <vt:lpstr>'IWP08'!Budget2BeginDate</vt:lpstr>
      <vt:lpstr>'IWP09'!Budget2BeginDate</vt:lpstr>
      <vt:lpstr>'IWP10'!Budget2BeginDate</vt:lpstr>
      <vt:lpstr>'IWP11'!Budget2BeginDate</vt:lpstr>
      <vt:lpstr>'IWP12'!Budget2BeginDate</vt:lpstr>
      <vt:lpstr>'IWP13'!Budget2BeginDate</vt:lpstr>
      <vt:lpstr>'IWP14'!Budget2BeginDate</vt:lpstr>
      <vt:lpstr>'IWP15'!Budget2BeginDate</vt:lpstr>
      <vt:lpstr>'IWP16'!Budget2BeginDate</vt:lpstr>
      <vt:lpstr>'IWP17'!Budget2BeginDate</vt:lpstr>
      <vt:lpstr>'IWP18'!Budget2BeginDate</vt:lpstr>
      <vt:lpstr>'IWP19'!Budget2BeginDate</vt:lpstr>
      <vt:lpstr>'IWP20'!Budget2BeginDate</vt:lpstr>
      <vt:lpstr>'IWP21'!Budget2BeginDate</vt:lpstr>
      <vt:lpstr>'IWP22'!Budget2BeginDate</vt:lpstr>
      <vt:lpstr>'IWP23'!Budget2BeginDate</vt:lpstr>
      <vt:lpstr>'IWP24'!Budget2BeginDate</vt:lpstr>
      <vt:lpstr>'IWP25'!Budget2BeginDate</vt:lpstr>
      <vt:lpstr>'IWP26'!Budget2BeginDate</vt:lpstr>
      <vt:lpstr>'IWP27'!Budget2BeginDate</vt:lpstr>
      <vt:lpstr>'IWP28'!Budget2BeginDate</vt:lpstr>
      <vt:lpstr>'IWP29'!Budget2BeginDate</vt:lpstr>
      <vt:lpstr>'IWP30'!Budget2BeginDate</vt:lpstr>
      <vt:lpstr>'IWP01'!Budget2EndDate</vt:lpstr>
      <vt:lpstr>'IWP02'!Budget2EndDate</vt:lpstr>
      <vt:lpstr>'IWP03'!Budget2EndDate</vt:lpstr>
      <vt:lpstr>'IWP04'!Budget2EndDate</vt:lpstr>
      <vt:lpstr>'IWP05'!Budget2EndDate</vt:lpstr>
      <vt:lpstr>'IWP06'!Budget2EndDate</vt:lpstr>
      <vt:lpstr>'IWP07'!Budget2EndDate</vt:lpstr>
      <vt:lpstr>'IWP08'!Budget2EndDate</vt:lpstr>
      <vt:lpstr>'IWP09'!Budget2EndDate</vt:lpstr>
      <vt:lpstr>'IWP10'!Budget2EndDate</vt:lpstr>
      <vt:lpstr>'IWP11'!Budget2EndDate</vt:lpstr>
      <vt:lpstr>'IWP12'!Budget2EndDate</vt:lpstr>
      <vt:lpstr>'IWP13'!Budget2EndDate</vt:lpstr>
      <vt:lpstr>'IWP14'!Budget2EndDate</vt:lpstr>
      <vt:lpstr>'IWP15'!Budget2EndDate</vt:lpstr>
      <vt:lpstr>'IWP16'!Budget2EndDate</vt:lpstr>
      <vt:lpstr>'IWP17'!Budget2EndDate</vt:lpstr>
      <vt:lpstr>'IWP18'!Budget2EndDate</vt:lpstr>
      <vt:lpstr>'IWP19'!Budget2EndDate</vt:lpstr>
      <vt:lpstr>'IWP20'!Budget2EndDate</vt:lpstr>
      <vt:lpstr>'IWP21'!Budget2EndDate</vt:lpstr>
      <vt:lpstr>'IWP22'!Budget2EndDate</vt:lpstr>
      <vt:lpstr>'IWP23'!Budget2EndDate</vt:lpstr>
      <vt:lpstr>'IWP24'!Budget2EndDate</vt:lpstr>
      <vt:lpstr>'IWP25'!Budget2EndDate</vt:lpstr>
      <vt:lpstr>'IWP26'!Budget2EndDate</vt:lpstr>
      <vt:lpstr>'IWP27'!Budget2EndDate</vt:lpstr>
      <vt:lpstr>'IWP28'!Budget2EndDate</vt:lpstr>
      <vt:lpstr>'IWP29'!Budget2EndDate</vt:lpstr>
      <vt:lpstr>'IWP30'!Budget2EndDate</vt:lpstr>
      <vt:lpstr>'IWP01'!Budget3BeginDate</vt:lpstr>
      <vt:lpstr>'IWP02'!Budget3BeginDate</vt:lpstr>
      <vt:lpstr>'IWP03'!Budget3BeginDate</vt:lpstr>
      <vt:lpstr>'IWP04'!Budget3BeginDate</vt:lpstr>
      <vt:lpstr>'IWP05'!Budget3BeginDate</vt:lpstr>
      <vt:lpstr>'IWP06'!Budget3BeginDate</vt:lpstr>
      <vt:lpstr>'IWP07'!Budget3BeginDate</vt:lpstr>
      <vt:lpstr>'IWP08'!Budget3BeginDate</vt:lpstr>
      <vt:lpstr>'IWP09'!Budget3BeginDate</vt:lpstr>
      <vt:lpstr>'IWP10'!Budget3BeginDate</vt:lpstr>
      <vt:lpstr>'IWP11'!Budget3BeginDate</vt:lpstr>
      <vt:lpstr>'IWP12'!Budget3BeginDate</vt:lpstr>
      <vt:lpstr>'IWP13'!Budget3BeginDate</vt:lpstr>
      <vt:lpstr>'IWP14'!Budget3BeginDate</vt:lpstr>
      <vt:lpstr>'IWP15'!Budget3BeginDate</vt:lpstr>
      <vt:lpstr>'IWP16'!Budget3BeginDate</vt:lpstr>
      <vt:lpstr>'IWP17'!Budget3BeginDate</vt:lpstr>
      <vt:lpstr>'IWP18'!Budget3BeginDate</vt:lpstr>
      <vt:lpstr>'IWP19'!Budget3BeginDate</vt:lpstr>
      <vt:lpstr>'IWP20'!Budget3BeginDate</vt:lpstr>
      <vt:lpstr>'IWP21'!Budget3BeginDate</vt:lpstr>
      <vt:lpstr>'IWP22'!Budget3BeginDate</vt:lpstr>
      <vt:lpstr>'IWP23'!Budget3BeginDate</vt:lpstr>
      <vt:lpstr>'IWP24'!Budget3BeginDate</vt:lpstr>
      <vt:lpstr>'IWP25'!Budget3BeginDate</vt:lpstr>
      <vt:lpstr>'IWP26'!Budget3BeginDate</vt:lpstr>
      <vt:lpstr>'IWP27'!Budget3BeginDate</vt:lpstr>
      <vt:lpstr>'IWP28'!Budget3BeginDate</vt:lpstr>
      <vt:lpstr>'IWP29'!Budget3BeginDate</vt:lpstr>
      <vt:lpstr>'IWP30'!Budget3BeginDate</vt:lpstr>
      <vt:lpstr>'IWP01'!Budget3EndDate</vt:lpstr>
      <vt:lpstr>'IWP02'!Budget3EndDate</vt:lpstr>
      <vt:lpstr>'IWP03'!Budget3EndDate</vt:lpstr>
      <vt:lpstr>'IWP04'!Budget3EndDate</vt:lpstr>
      <vt:lpstr>'IWP05'!Budget3EndDate</vt:lpstr>
      <vt:lpstr>'IWP06'!Budget3EndDate</vt:lpstr>
      <vt:lpstr>'IWP07'!Budget3EndDate</vt:lpstr>
      <vt:lpstr>'IWP08'!Budget3EndDate</vt:lpstr>
      <vt:lpstr>'IWP09'!Budget3EndDate</vt:lpstr>
      <vt:lpstr>'IWP10'!Budget3EndDate</vt:lpstr>
      <vt:lpstr>'IWP11'!Budget3EndDate</vt:lpstr>
      <vt:lpstr>'IWP12'!Budget3EndDate</vt:lpstr>
      <vt:lpstr>'IWP13'!Budget3EndDate</vt:lpstr>
      <vt:lpstr>'IWP14'!Budget3EndDate</vt:lpstr>
      <vt:lpstr>'IWP15'!Budget3EndDate</vt:lpstr>
      <vt:lpstr>'IWP16'!Budget3EndDate</vt:lpstr>
      <vt:lpstr>'IWP17'!Budget3EndDate</vt:lpstr>
      <vt:lpstr>'IWP18'!Budget3EndDate</vt:lpstr>
      <vt:lpstr>'IWP19'!Budget3EndDate</vt:lpstr>
      <vt:lpstr>'IWP20'!Budget3EndDate</vt:lpstr>
      <vt:lpstr>'IWP21'!Budget3EndDate</vt:lpstr>
      <vt:lpstr>'IWP22'!Budget3EndDate</vt:lpstr>
      <vt:lpstr>'IWP23'!Budget3EndDate</vt:lpstr>
      <vt:lpstr>'IWP24'!Budget3EndDate</vt:lpstr>
      <vt:lpstr>'IWP25'!Budget3EndDate</vt:lpstr>
      <vt:lpstr>'IWP26'!Budget3EndDate</vt:lpstr>
      <vt:lpstr>'IWP27'!Budget3EndDate</vt:lpstr>
      <vt:lpstr>'IWP28'!Budget3EndDate</vt:lpstr>
      <vt:lpstr>'IWP29'!Budget3EndDate</vt:lpstr>
      <vt:lpstr>'IWP30'!Budget3EndDate</vt:lpstr>
      <vt:lpstr>'IWP01'!Budget4BeginDate</vt:lpstr>
      <vt:lpstr>'IWP02'!Budget4BeginDate</vt:lpstr>
      <vt:lpstr>'IWP03'!Budget4BeginDate</vt:lpstr>
      <vt:lpstr>'IWP04'!Budget4BeginDate</vt:lpstr>
      <vt:lpstr>'IWP05'!Budget4BeginDate</vt:lpstr>
      <vt:lpstr>'IWP06'!Budget4BeginDate</vt:lpstr>
      <vt:lpstr>'IWP07'!Budget4BeginDate</vt:lpstr>
      <vt:lpstr>'IWP08'!Budget4BeginDate</vt:lpstr>
      <vt:lpstr>'IWP09'!Budget4BeginDate</vt:lpstr>
      <vt:lpstr>'IWP10'!Budget4BeginDate</vt:lpstr>
      <vt:lpstr>'IWP11'!Budget4BeginDate</vt:lpstr>
      <vt:lpstr>'IWP12'!Budget4BeginDate</vt:lpstr>
      <vt:lpstr>'IWP13'!Budget4BeginDate</vt:lpstr>
      <vt:lpstr>'IWP14'!Budget4BeginDate</vt:lpstr>
      <vt:lpstr>'IWP15'!Budget4BeginDate</vt:lpstr>
      <vt:lpstr>'IWP16'!Budget4BeginDate</vt:lpstr>
      <vt:lpstr>'IWP17'!Budget4BeginDate</vt:lpstr>
      <vt:lpstr>'IWP18'!Budget4BeginDate</vt:lpstr>
      <vt:lpstr>'IWP19'!Budget4BeginDate</vt:lpstr>
      <vt:lpstr>'IWP20'!Budget4BeginDate</vt:lpstr>
      <vt:lpstr>'IWP21'!Budget4BeginDate</vt:lpstr>
      <vt:lpstr>'IWP22'!Budget4BeginDate</vt:lpstr>
      <vt:lpstr>'IWP23'!Budget4BeginDate</vt:lpstr>
      <vt:lpstr>'IWP24'!Budget4BeginDate</vt:lpstr>
      <vt:lpstr>'IWP25'!Budget4BeginDate</vt:lpstr>
      <vt:lpstr>'IWP26'!Budget4BeginDate</vt:lpstr>
      <vt:lpstr>'IWP27'!Budget4BeginDate</vt:lpstr>
      <vt:lpstr>'IWP28'!Budget4BeginDate</vt:lpstr>
      <vt:lpstr>'IWP29'!Budget4BeginDate</vt:lpstr>
      <vt:lpstr>'IWP30'!Budget4BeginDate</vt:lpstr>
      <vt:lpstr>'IWP01'!Budget4EndDate</vt:lpstr>
      <vt:lpstr>'IWP02'!Budget4EndDate</vt:lpstr>
      <vt:lpstr>'IWP03'!Budget4EndDate</vt:lpstr>
      <vt:lpstr>'IWP04'!Budget4EndDate</vt:lpstr>
      <vt:lpstr>'IWP05'!Budget4EndDate</vt:lpstr>
      <vt:lpstr>'IWP06'!Budget4EndDate</vt:lpstr>
      <vt:lpstr>'IWP07'!Budget4EndDate</vt:lpstr>
      <vt:lpstr>'IWP08'!Budget4EndDate</vt:lpstr>
      <vt:lpstr>'IWP09'!Budget4EndDate</vt:lpstr>
      <vt:lpstr>'IWP10'!Budget4EndDate</vt:lpstr>
      <vt:lpstr>'IWP11'!Budget4EndDate</vt:lpstr>
      <vt:lpstr>'IWP12'!Budget4EndDate</vt:lpstr>
      <vt:lpstr>'IWP13'!Budget4EndDate</vt:lpstr>
      <vt:lpstr>'IWP14'!Budget4EndDate</vt:lpstr>
      <vt:lpstr>'IWP15'!Budget4EndDate</vt:lpstr>
      <vt:lpstr>'IWP16'!Budget4EndDate</vt:lpstr>
      <vt:lpstr>'IWP17'!Budget4EndDate</vt:lpstr>
      <vt:lpstr>'IWP18'!Budget4EndDate</vt:lpstr>
      <vt:lpstr>'IWP19'!Budget4EndDate</vt:lpstr>
      <vt:lpstr>'IWP20'!Budget4EndDate</vt:lpstr>
      <vt:lpstr>'IWP21'!Budget4EndDate</vt:lpstr>
      <vt:lpstr>'IWP22'!Budget4EndDate</vt:lpstr>
      <vt:lpstr>'IWP23'!Budget4EndDate</vt:lpstr>
      <vt:lpstr>'IWP24'!Budget4EndDate</vt:lpstr>
      <vt:lpstr>'IWP25'!Budget4EndDate</vt:lpstr>
      <vt:lpstr>'IWP26'!Budget4EndDate</vt:lpstr>
      <vt:lpstr>'IWP27'!Budget4EndDate</vt:lpstr>
      <vt:lpstr>'IWP28'!Budget4EndDate</vt:lpstr>
      <vt:lpstr>'IWP29'!Budget4EndDate</vt:lpstr>
      <vt:lpstr>'IWP30'!Budget4EndDate</vt:lpstr>
      <vt:lpstr>CdsCbaAmountDue</vt:lpstr>
      <vt:lpstr>CdsCbaContractNumber</vt:lpstr>
      <vt:lpstr>CdsClassAmountDue</vt:lpstr>
      <vt:lpstr>CdsClassContractNumber</vt:lpstr>
      <vt:lpstr>CdsContractNumber</vt:lpstr>
      <vt:lpstr>CdsDbmdAmountDue</vt:lpstr>
      <vt:lpstr>CdsDbmdContractNumber</vt:lpstr>
      <vt:lpstr>CdsHcsAmountDue01</vt:lpstr>
      <vt:lpstr>CdsHcsAmountDue02</vt:lpstr>
      <vt:lpstr>CdsHcsAmountDue03</vt:lpstr>
      <vt:lpstr>CdsHcsAmountDue04</vt:lpstr>
      <vt:lpstr>CdsHcsAmountDue05</vt:lpstr>
      <vt:lpstr>CdsHcsAmountDue06</vt:lpstr>
      <vt:lpstr>CdsHcsAmountDue07</vt:lpstr>
      <vt:lpstr>CdsHcsAmountDue08</vt:lpstr>
      <vt:lpstr>CdsHcsAmountDue09</vt:lpstr>
      <vt:lpstr>CdsHcsContractNumber01</vt:lpstr>
      <vt:lpstr>CdsHcsContractNumber02</vt:lpstr>
      <vt:lpstr>CdsHcsContractNumber03</vt:lpstr>
      <vt:lpstr>CdsHcsContractNumber04</vt:lpstr>
      <vt:lpstr>CdsHcsContractNumber05</vt:lpstr>
      <vt:lpstr>CdsHcsContractNumber06</vt:lpstr>
      <vt:lpstr>CdsHcsContractNumber07</vt:lpstr>
      <vt:lpstr>CdsHcsContractNumber08</vt:lpstr>
      <vt:lpstr>CdsHcsContractNumber09</vt:lpstr>
      <vt:lpstr>CdsMdcpAmountDue</vt:lpstr>
      <vt:lpstr>CdsMdcpContractNumber</vt:lpstr>
      <vt:lpstr>CdsPhcAmountDue</vt:lpstr>
      <vt:lpstr>CdsPhcFcCasContractNumber</vt:lpstr>
      <vt:lpstr>CdsTxhmlAmountDue01</vt:lpstr>
      <vt:lpstr>CdsTxhmlAmountDue02</vt:lpstr>
      <vt:lpstr>CdsTxhmlAmountDue03</vt:lpstr>
      <vt:lpstr>CdsTxhmlAmountDue04</vt:lpstr>
      <vt:lpstr>CdsTxhmlAmountDue05</vt:lpstr>
      <vt:lpstr>CdsTxhmlAmountDue06</vt:lpstr>
      <vt:lpstr>CdsTxhmlAmountDue07</vt:lpstr>
      <vt:lpstr>CdsTxhmlAmountDue08</vt:lpstr>
      <vt:lpstr>CdsTxhmlAmountDue09</vt:lpstr>
      <vt:lpstr>CdsTxHmlContractNumber01</vt:lpstr>
      <vt:lpstr>CdsTxHmlContractNumber02</vt:lpstr>
      <vt:lpstr>CdsTxHmlContractNumber03</vt:lpstr>
      <vt:lpstr>CdsTxHmlContractNumber04</vt:lpstr>
      <vt:lpstr>CdsTxHmlContractNumber05</vt:lpstr>
      <vt:lpstr>CdsTxHmlContractNumber06</vt:lpstr>
      <vt:lpstr>CdsTxHmlContractNumber07</vt:lpstr>
      <vt:lpstr>CdsTxHmlContractNumber08</vt:lpstr>
      <vt:lpstr>CdsTxHmlContractNumber09</vt:lpstr>
      <vt:lpstr>'IWP01'!ClientFirstName</vt:lpstr>
      <vt:lpstr>'IWP02'!ClientFirstName</vt:lpstr>
      <vt:lpstr>'IWP03'!ClientFirstName</vt:lpstr>
      <vt:lpstr>'IWP04'!ClientFirstName</vt:lpstr>
      <vt:lpstr>'IWP05'!ClientFirstName</vt:lpstr>
      <vt:lpstr>'IWP06'!ClientFirstName</vt:lpstr>
      <vt:lpstr>'IWP07'!ClientFirstName</vt:lpstr>
      <vt:lpstr>'IWP08'!ClientFirstName</vt:lpstr>
      <vt:lpstr>'IWP09'!ClientFirstName</vt:lpstr>
      <vt:lpstr>'IWP10'!ClientFirstName</vt:lpstr>
      <vt:lpstr>'IWP11'!ClientFirstName</vt:lpstr>
      <vt:lpstr>'IWP12'!ClientFirstName</vt:lpstr>
      <vt:lpstr>'IWP13'!ClientFirstName</vt:lpstr>
      <vt:lpstr>'IWP14'!ClientFirstName</vt:lpstr>
      <vt:lpstr>'IWP15'!ClientFirstName</vt:lpstr>
      <vt:lpstr>'IWP16'!ClientFirstName</vt:lpstr>
      <vt:lpstr>'IWP17'!ClientFirstName</vt:lpstr>
      <vt:lpstr>'IWP18'!ClientFirstName</vt:lpstr>
      <vt:lpstr>'IWP19'!ClientFirstName</vt:lpstr>
      <vt:lpstr>'IWP20'!ClientFirstName</vt:lpstr>
      <vt:lpstr>'IWP21'!ClientFirstName</vt:lpstr>
      <vt:lpstr>'IWP22'!ClientFirstName</vt:lpstr>
      <vt:lpstr>'IWP23'!ClientFirstName</vt:lpstr>
      <vt:lpstr>'IWP24'!ClientFirstName</vt:lpstr>
      <vt:lpstr>'IWP25'!ClientFirstName</vt:lpstr>
      <vt:lpstr>'IWP26'!ClientFirstName</vt:lpstr>
      <vt:lpstr>'IWP27'!ClientFirstName</vt:lpstr>
      <vt:lpstr>'IWP28'!ClientFirstName</vt:lpstr>
      <vt:lpstr>'IWP29'!ClientFirstName</vt:lpstr>
      <vt:lpstr>'IWP30'!ClientFirstName</vt:lpstr>
      <vt:lpstr>'IWP01'!ClientID</vt:lpstr>
      <vt:lpstr>'IWP02'!ClientID</vt:lpstr>
      <vt:lpstr>'IWP03'!ClientID</vt:lpstr>
      <vt:lpstr>'IWP04'!ClientID</vt:lpstr>
      <vt:lpstr>'IWP05'!ClientID</vt:lpstr>
      <vt:lpstr>'IWP06'!ClientID</vt:lpstr>
      <vt:lpstr>'IWP07'!ClientID</vt:lpstr>
      <vt:lpstr>'IWP08'!ClientID</vt:lpstr>
      <vt:lpstr>'IWP09'!ClientID</vt:lpstr>
      <vt:lpstr>'IWP10'!ClientID</vt:lpstr>
      <vt:lpstr>'IWP11'!ClientID</vt:lpstr>
      <vt:lpstr>'IWP12'!ClientID</vt:lpstr>
      <vt:lpstr>'IWP13'!ClientID</vt:lpstr>
      <vt:lpstr>'IWP14'!ClientID</vt:lpstr>
      <vt:lpstr>'IWP15'!ClientID</vt:lpstr>
      <vt:lpstr>'IWP16'!ClientID</vt:lpstr>
      <vt:lpstr>'IWP17'!ClientID</vt:lpstr>
      <vt:lpstr>'IWP18'!ClientID</vt:lpstr>
      <vt:lpstr>'IWP19'!ClientID</vt:lpstr>
      <vt:lpstr>'IWP20'!ClientID</vt:lpstr>
      <vt:lpstr>'IWP21'!ClientID</vt:lpstr>
      <vt:lpstr>'IWP22'!ClientID</vt:lpstr>
      <vt:lpstr>'IWP23'!ClientID</vt:lpstr>
      <vt:lpstr>'IWP24'!ClientID</vt:lpstr>
      <vt:lpstr>'IWP25'!ClientID</vt:lpstr>
      <vt:lpstr>'IWP26'!ClientID</vt:lpstr>
      <vt:lpstr>'IWP27'!ClientID</vt:lpstr>
      <vt:lpstr>'IWP28'!ClientID</vt:lpstr>
      <vt:lpstr>'IWP29'!ClientID</vt:lpstr>
      <vt:lpstr>'IWP30'!ClientID</vt:lpstr>
      <vt:lpstr>'IWP01'!ClientLastName</vt:lpstr>
      <vt:lpstr>'IWP02'!ClientLastName</vt:lpstr>
      <vt:lpstr>'IWP03'!ClientLastName</vt:lpstr>
      <vt:lpstr>'IWP04'!ClientLastName</vt:lpstr>
      <vt:lpstr>'IWP05'!ClientLastName</vt:lpstr>
      <vt:lpstr>'IWP06'!ClientLastName</vt:lpstr>
      <vt:lpstr>'IWP07'!ClientLastName</vt:lpstr>
      <vt:lpstr>'IWP08'!ClientLastName</vt:lpstr>
      <vt:lpstr>'IWP09'!ClientLastName</vt:lpstr>
      <vt:lpstr>'IWP10'!ClientLastName</vt:lpstr>
      <vt:lpstr>'IWP11'!ClientLastName</vt:lpstr>
      <vt:lpstr>'IWP12'!ClientLastName</vt:lpstr>
      <vt:lpstr>'IWP13'!ClientLastName</vt:lpstr>
      <vt:lpstr>'IWP14'!ClientLastName</vt:lpstr>
      <vt:lpstr>'IWP15'!ClientLastName</vt:lpstr>
      <vt:lpstr>'IWP16'!ClientLastName</vt:lpstr>
      <vt:lpstr>'IWP17'!ClientLastName</vt:lpstr>
      <vt:lpstr>'IWP18'!ClientLastName</vt:lpstr>
      <vt:lpstr>'IWP19'!ClientLastName</vt:lpstr>
      <vt:lpstr>'IWP20'!ClientLastName</vt:lpstr>
      <vt:lpstr>'IWP21'!ClientLastName</vt:lpstr>
      <vt:lpstr>'IWP22'!ClientLastName</vt:lpstr>
      <vt:lpstr>'IWP23'!ClientLastName</vt:lpstr>
      <vt:lpstr>'IWP24'!ClientLastName</vt:lpstr>
      <vt:lpstr>'IWP25'!ClientLastName</vt:lpstr>
      <vt:lpstr>'IWP26'!ClientLastName</vt:lpstr>
      <vt:lpstr>'IWP27'!ClientLastName</vt:lpstr>
      <vt:lpstr>'IWP28'!ClientLastName</vt:lpstr>
      <vt:lpstr>'IWP29'!ClientLastName</vt:lpstr>
      <vt:lpstr>'IWP30'!ClientLastName</vt:lpstr>
      <vt:lpstr>'IWP01'!CompletedByFirstName</vt:lpstr>
      <vt:lpstr>'IWP02'!CompletedByFirstName</vt:lpstr>
      <vt:lpstr>'IWP03'!CompletedByFirstName</vt:lpstr>
      <vt:lpstr>'IWP04'!CompletedByFirstName</vt:lpstr>
      <vt:lpstr>'IWP05'!CompletedByFirstName</vt:lpstr>
      <vt:lpstr>'IWP06'!CompletedByFirstName</vt:lpstr>
      <vt:lpstr>'IWP07'!CompletedByFirstName</vt:lpstr>
      <vt:lpstr>'IWP08'!CompletedByFirstName</vt:lpstr>
      <vt:lpstr>'IWP09'!CompletedByFirstName</vt:lpstr>
      <vt:lpstr>'IWP10'!CompletedByFirstName</vt:lpstr>
      <vt:lpstr>'IWP11'!CompletedByFirstName</vt:lpstr>
      <vt:lpstr>'IWP12'!CompletedByFirstName</vt:lpstr>
      <vt:lpstr>'IWP13'!CompletedByFirstName</vt:lpstr>
      <vt:lpstr>'IWP14'!CompletedByFirstName</vt:lpstr>
      <vt:lpstr>'IWP15'!CompletedByFirstName</vt:lpstr>
      <vt:lpstr>'IWP16'!CompletedByFirstName</vt:lpstr>
      <vt:lpstr>'IWP17'!CompletedByFirstName</vt:lpstr>
      <vt:lpstr>'IWP18'!CompletedByFirstName</vt:lpstr>
      <vt:lpstr>'IWP19'!CompletedByFirstName</vt:lpstr>
      <vt:lpstr>'IWP20'!CompletedByFirstName</vt:lpstr>
      <vt:lpstr>'IWP21'!CompletedByFirstName</vt:lpstr>
      <vt:lpstr>'IWP22'!CompletedByFirstName</vt:lpstr>
      <vt:lpstr>'IWP23'!CompletedByFirstName</vt:lpstr>
      <vt:lpstr>'IWP24'!CompletedByFirstName</vt:lpstr>
      <vt:lpstr>'IWP25'!CompletedByFirstName</vt:lpstr>
      <vt:lpstr>'IWP26'!CompletedByFirstName</vt:lpstr>
      <vt:lpstr>'IWP27'!CompletedByFirstName</vt:lpstr>
      <vt:lpstr>'IWP28'!CompletedByFirstName</vt:lpstr>
      <vt:lpstr>'IWP29'!CompletedByFirstName</vt:lpstr>
      <vt:lpstr>'IWP30'!CompletedByFirstName</vt:lpstr>
      <vt:lpstr>CompletedByFirstName</vt:lpstr>
      <vt:lpstr>'IWP01'!CompletedByLastName</vt:lpstr>
      <vt:lpstr>'IWP02'!CompletedByLastName</vt:lpstr>
      <vt:lpstr>'IWP03'!CompletedByLastName</vt:lpstr>
      <vt:lpstr>'IWP04'!CompletedByLastName</vt:lpstr>
      <vt:lpstr>'IWP05'!CompletedByLastName</vt:lpstr>
      <vt:lpstr>'IWP06'!CompletedByLastName</vt:lpstr>
      <vt:lpstr>'IWP07'!CompletedByLastName</vt:lpstr>
      <vt:lpstr>'IWP08'!CompletedByLastName</vt:lpstr>
      <vt:lpstr>'IWP09'!CompletedByLastName</vt:lpstr>
      <vt:lpstr>'IWP10'!CompletedByLastName</vt:lpstr>
      <vt:lpstr>'IWP11'!CompletedByLastName</vt:lpstr>
      <vt:lpstr>'IWP12'!CompletedByLastName</vt:lpstr>
      <vt:lpstr>'IWP13'!CompletedByLastName</vt:lpstr>
      <vt:lpstr>'IWP14'!CompletedByLastName</vt:lpstr>
      <vt:lpstr>'IWP15'!CompletedByLastName</vt:lpstr>
      <vt:lpstr>'IWP16'!CompletedByLastName</vt:lpstr>
      <vt:lpstr>'IWP17'!CompletedByLastName</vt:lpstr>
      <vt:lpstr>'IWP18'!CompletedByLastName</vt:lpstr>
      <vt:lpstr>'IWP19'!CompletedByLastName</vt:lpstr>
      <vt:lpstr>'IWP20'!CompletedByLastName</vt:lpstr>
      <vt:lpstr>'IWP21'!CompletedByLastName</vt:lpstr>
      <vt:lpstr>'IWP22'!CompletedByLastName</vt:lpstr>
      <vt:lpstr>'IWP23'!CompletedByLastName</vt:lpstr>
      <vt:lpstr>'IWP24'!CompletedByLastName</vt:lpstr>
      <vt:lpstr>'IWP25'!CompletedByLastName</vt:lpstr>
      <vt:lpstr>'IWP26'!CompletedByLastName</vt:lpstr>
      <vt:lpstr>'IWP27'!CompletedByLastName</vt:lpstr>
      <vt:lpstr>'IWP28'!CompletedByLastName</vt:lpstr>
      <vt:lpstr>'IWP29'!CompletedByLastName</vt:lpstr>
      <vt:lpstr>'IWP30'!CompletedByLastName</vt:lpstr>
      <vt:lpstr>CompletedByLastName</vt:lpstr>
      <vt:lpstr>'IWP01'!ContractNumber</vt:lpstr>
      <vt:lpstr>'IWP02'!ContractNumber</vt:lpstr>
      <vt:lpstr>'IWP03'!ContractNumber</vt:lpstr>
      <vt:lpstr>'IWP04'!ContractNumber</vt:lpstr>
      <vt:lpstr>'IWP05'!ContractNumber</vt:lpstr>
      <vt:lpstr>'IWP06'!ContractNumber</vt:lpstr>
      <vt:lpstr>'IWP07'!ContractNumber</vt:lpstr>
      <vt:lpstr>'IWP08'!ContractNumber</vt:lpstr>
      <vt:lpstr>'IWP09'!ContractNumber</vt:lpstr>
      <vt:lpstr>'IWP10'!ContractNumber</vt:lpstr>
      <vt:lpstr>'IWP11'!ContractNumber</vt:lpstr>
      <vt:lpstr>'IWP12'!ContractNumber</vt:lpstr>
      <vt:lpstr>'IWP13'!ContractNumber</vt:lpstr>
      <vt:lpstr>'IWP14'!ContractNumber</vt:lpstr>
      <vt:lpstr>'IWP15'!ContractNumber</vt:lpstr>
      <vt:lpstr>'IWP16'!ContractNumber</vt:lpstr>
      <vt:lpstr>'IWP17'!ContractNumber</vt:lpstr>
      <vt:lpstr>'IWP18'!ContractNumber</vt:lpstr>
      <vt:lpstr>'IWP19'!ContractNumber</vt:lpstr>
      <vt:lpstr>'IWP20'!ContractNumber</vt:lpstr>
      <vt:lpstr>'IWP21'!ContractNumber</vt:lpstr>
      <vt:lpstr>'IWP22'!ContractNumber</vt:lpstr>
      <vt:lpstr>'IWP23'!ContractNumber</vt:lpstr>
      <vt:lpstr>'IWP24'!ContractNumber</vt:lpstr>
      <vt:lpstr>'IWP25'!ContractNumber</vt:lpstr>
      <vt:lpstr>'IWP26'!ContractNumber</vt:lpstr>
      <vt:lpstr>'IWP27'!ContractNumber</vt:lpstr>
      <vt:lpstr>'IWP28'!ContractNumber</vt:lpstr>
      <vt:lpstr>'IWP29'!ContractNumber</vt:lpstr>
      <vt:lpstr>'IWP30'!ContractNumber</vt:lpstr>
      <vt:lpstr>Data!ContractNumbers</vt:lpstr>
      <vt:lpstr>'IWP01'!ContractType</vt:lpstr>
      <vt:lpstr>'IWP02'!ContractType</vt:lpstr>
      <vt:lpstr>'IWP03'!ContractType</vt:lpstr>
      <vt:lpstr>'IWP04'!ContractType</vt:lpstr>
      <vt:lpstr>'IWP05'!ContractType</vt:lpstr>
      <vt:lpstr>'IWP06'!ContractType</vt:lpstr>
      <vt:lpstr>'IWP07'!ContractType</vt:lpstr>
      <vt:lpstr>'IWP08'!ContractType</vt:lpstr>
      <vt:lpstr>'IWP09'!ContractType</vt:lpstr>
      <vt:lpstr>'IWP10'!ContractType</vt:lpstr>
      <vt:lpstr>'IWP11'!ContractType</vt:lpstr>
      <vt:lpstr>'IWP12'!ContractType</vt:lpstr>
      <vt:lpstr>'IWP13'!ContractType</vt:lpstr>
      <vt:lpstr>'IWP14'!ContractType</vt:lpstr>
      <vt:lpstr>'IWP15'!ContractType</vt:lpstr>
      <vt:lpstr>'IWP16'!ContractType</vt:lpstr>
      <vt:lpstr>'IWP17'!ContractType</vt:lpstr>
      <vt:lpstr>'IWP18'!ContractType</vt:lpstr>
      <vt:lpstr>'IWP19'!ContractType</vt:lpstr>
      <vt:lpstr>'IWP20'!ContractType</vt:lpstr>
      <vt:lpstr>'IWP21'!ContractType</vt:lpstr>
      <vt:lpstr>'IWP22'!ContractType</vt:lpstr>
      <vt:lpstr>'IWP23'!ContractType</vt:lpstr>
      <vt:lpstr>'IWP24'!ContractType</vt:lpstr>
      <vt:lpstr>'IWP25'!ContractType</vt:lpstr>
      <vt:lpstr>'IWP26'!ContractType</vt:lpstr>
      <vt:lpstr>'IWP27'!ContractType</vt:lpstr>
      <vt:lpstr>'IWP28'!ContractType</vt:lpstr>
      <vt:lpstr>'IWP29'!ContractType</vt:lpstr>
      <vt:lpstr>'IWP30'!ContractType</vt:lpstr>
      <vt:lpstr>'IWP01'!DateCompleted</vt:lpstr>
      <vt:lpstr>'IWP02'!DateCompleted</vt:lpstr>
      <vt:lpstr>'IWP03'!DateCompleted</vt:lpstr>
      <vt:lpstr>'IWP04'!DateCompleted</vt:lpstr>
      <vt:lpstr>'IWP05'!DateCompleted</vt:lpstr>
      <vt:lpstr>'IWP06'!DateCompleted</vt:lpstr>
      <vt:lpstr>'IWP07'!DateCompleted</vt:lpstr>
      <vt:lpstr>'IWP08'!DateCompleted</vt:lpstr>
      <vt:lpstr>'IWP09'!DateCompleted</vt:lpstr>
      <vt:lpstr>'IWP10'!DateCompleted</vt:lpstr>
      <vt:lpstr>'IWP11'!DateCompleted</vt:lpstr>
      <vt:lpstr>'IWP12'!DateCompleted</vt:lpstr>
      <vt:lpstr>'IWP13'!DateCompleted</vt:lpstr>
      <vt:lpstr>'IWP14'!DateCompleted</vt:lpstr>
      <vt:lpstr>'IWP15'!DateCompleted</vt:lpstr>
      <vt:lpstr>'IWP16'!DateCompleted</vt:lpstr>
      <vt:lpstr>'IWP17'!DateCompleted</vt:lpstr>
      <vt:lpstr>'IWP18'!DateCompleted</vt:lpstr>
      <vt:lpstr>'IWP19'!DateCompleted</vt:lpstr>
      <vt:lpstr>'IWP20'!DateCompleted</vt:lpstr>
      <vt:lpstr>'IWP21'!DateCompleted</vt:lpstr>
      <vt:lpstr>'IWP22'!DateCompleted</vt:lpstr>
      <vt:lpstr>'IWP23'!DateCompleted</vt:lpstr>
      <vt:lpstr>'IWP24'!DateCompleted</vt:lpstr>
      <vt:lpstr>'IWP25'!DateCompleted</vt:lpstr>
      <vt:lpstr>'IWP26'!DateCompleted</vt:lpstr>
      <vt:lpstr>'IWP27'!DateCompleted</vt:lpstr>
      <vt:lpstr>'IWP28'!DateCompleted</vt:lpstr>
      <vt:lpstr>'IWP29'!DateCompleted</vt:lpstr>
      <vt:lpstr>'IWP30'!DateCompleted</vt:lpstr>
      <vt:lpstr>DateOfEntrance</vt:lpstr>
      <vt:lpstr>DateOfExit</vt:lpstr>
      <vt:lpstr>DateOfExitRevised</vt:lpstr>
      <vt:lpstr>'Demand for Payment (PRINT)'!DemantForPmt</vt:lpstr>
      <vt:lpstr>MonitoringPeriodBeginDate</vt:lpstr>
      <vt:lpstr>MonitoringPeriodEndDate</vt:lpstr>
      <vt:lpstr>NameOfLegalEntity</vt:lpstr>
      <vt:lpstr>'Compliance Summary (PRINT)'!Overall_Score</vt:lpstr>
      <vt:lpstr>'Compliance Summary (PRINT)'!Overall_Total</vt:lpstr>
      <vt:lpstr>'Compliance Summary (PRINT)'!Overall_Total_No</vt:lpstr>
      <vt:lpstr>'Compliance Summary (PRINT)'!Overall_Total_Yes</vt:lpstr>
      <vt:lpstr>'Amt Due Emp Employer (PRINT)'!Print_Area</vt:lpstr>
      <vt:lpstr>'Compliance Summary (PRINT)'!Print_Area</vt:lpstr>
      <vt:lpstr>'IWP01'!Print_Area</vt:lpstr>
      <vt:lpstr>'IWP02'!Print_Area</vt:lpstr>
      <vt:lpstr>'IWP03'!Print_Area</vt:lpstr>
      <vt:lpstr>'IWP04'!Print_Area</vt:lpstr>
      <vt:lpstr>'IWP05'!Print_Area</vt:lpstr>
      <vt:lpstr>'IWP06'!Print_Area</vt:lpstr>
      <vt:lpstr>'IWP07'!Print_Area</vt:lpstr>
      <vt:lpstr>'IWP08'!Print_Area</vt:lpstr>
      <vt:lpstr>'IWP09'!Print_Area</vt:lpstr>
      <vt:lpstr>'IWP10'!Print_Area</vt:lpstr>
      <vt:lpstr>'IWP11'!Print_Area</vt:lpstr>
      <vt:lpstr>'IWP12'!Print_Area</vt:lpstr>
      <vt:lpstr>'IWP13'!Print_Area</vt:lpstr>
      <vt:lpstr>'IWP14'!Print_Area</vt:lpstr>
      <vt:lpstr>'IWP15'!Print_Area</vt:lpstr>
      <vt:lpstr>'IWP16'!Print_Area</vt:lpstr>
      <vt:lpstr>'IWP17'!Print_Area</vt:lpstr>
      <vt:lpstr>'IWP18'!Print_Area</vt:lpstr>
      <vt:lpstr>'IWP19'!Print_Area</vt:lpstr>
      <vt:lpstr>'IWP20'!Print_Area</vt:lpstr>
      <vt:lpstr>'IWP21'!Print_Area</vt:lpstr>
      <vt:lpstr>'IWP22'!Print_Area</vt:lpstr>
      <vt:lpstr>'IWP23'!Print_Area</vt:lpstr>
      <vt:lpstr>'IWP24'!Print_Area</vt:lpstr>
      <vt:lpstr>'IWP25'!Print_Area</vt:lpstr>
      <vt:lpstr>'IWP26'!Print_Area</vt:lpstr>
      <vt:lpstr>'IWP27'!Print_Area</vt:lpstr>
      <vt:lpstr>'IWP28'!Print_Area</vt:lpstr>
      <vt:lpstr>'IWP29'!Print_Area</vt:lpstr>
      <vt:lpstr>'IWP30'!Print_Area</vt:lpstr>
      <vt:lpstr>'Monitoring Workbook'!Print_Area</vt:lpstr>
      <vt:lpstr>'Notes (Print)'!Print_Area</vt:lpstr>
      <vt:lpstr>'IWP01'!Print_Titles</vt:lpstr>
      <vt:lpstr>'IWP02'!Print_Titles</vt:lpstr>
      <vt:lpstr>'IWP03'!Print_Titles</vt:lpstr>
      <vt:lpstr>'IWP04'!Print_Titles</vt:lpstr>
      <vt:lpstr>'IWP05'!Print_Titles</vt:lpstr>
      <vt:lpstr>'IWP06'!Print_Titles</vt:lpstr>
      <vt:lpstr>'IWP07'!Print_Titles</vt:lpstr>
      <vt:lpstr>'IWP08'!Print_Titles</vt:lpstr>
      <vt:lpstr>'IWP09'!Print_Titles</vt:lpstr>
      <vt:lpstr>'IWP10'!Print_Titles</vt:lpstr>
      <vt:lpstr>'IWP11'!Print_Titles</vt:lpstr>
      <vt:lpstr>'IWP12'!Print_Titles</vt:lpstr>
      <vt:lpstr>'IWP13'!Print_Titles</vt:lpstr>
      <vt:lpstr>'IWP14'!Print_Titles</vt:lpstr>
      <vt:lpstr>'IWP15'!Print_Titles</vt:lpstr>
      <vt:lpstr>'IWP16'!Print_Titles</vt:lpstr>
      <vt:lpstr>'IWP17'!Print_Titles</vt:lpstr>
      <vt:lpstr>'IWP18'!Print_Titles</vt:lpstr>
      <vt:lpstr>'IWP19'!Print_Titles</vt:lpstr>
      <vt:lpstr>'IWP20'!Print_Titles</vt:lpstr>
      <vt:lpstr>'IWP21'!Print_Titles</vt:lpstr>
      <vt:lpstr>'IWP22'!Print_Titles</vt:lpstr>
      <vt:lpstr>'IWP23'!Print_Titles</vt:lpstr>
      <vt:lpstr>'IWP24'!Print_Titles</vt:lpstr>
      <vt:lpstr>'IWP25'!Print_Titles</vt:lpstr>
      <vt:lpstr>'IWP26'!Print_Titles</vt:lpstr>
      <vt:lpstr>'IWP27'!Print_Titles</vt:lpstr>
      <vt:lpstr>'IWP28'!Print_Titles</vt:lpstr>
      <vt:lpstr>'IWP29'!Print_Titles</vt:lpstr>
      <vt:lpstr>'IWP30'!Print_Titles</vt:lpstr>
      <vt:lpstr>'Monitoring Workbook'!Print_Titles</vt:lpstr>
      <vt:lpstr>ReviewLevel</vt:lpstr>
      <vt:lpstr>'IWP01'!ReviewPeriodBeginDate</vt:lpstr>
      <vt:lpstr>'IWP02'!ReviewPeriodBeginDate</vt:lpstr>
      <vt:lpstr>'IWP03'!ReviewPeriodBeginDate</vt:lpstr>
      <vt:lpstr>'IWP04'!ReviewPeriodBeginDate</vt:lpstr>
      <vt:lpstr>'IWP05'!ReviewPeriodBeginDate</vt:lpstr>
      <vt:lpstr>'IWP06'!ReviewPeriodBeginDate</vt:lpstr>
      <vt:lpstr>'IWP07'!ReviewPeriodBeginDate</vt:lpstr>
      <vt:lpstr>'IWP08'!ReviewPeriodBeginDate</vt:lpstr>
      <vt:lpstr>'IWP09'!ReviewPeriodBeginDate</vt:lpstr>
      <vt:lpstr>'IWP10'!ReviewPeriodBeginDate</vt:lpstr>
      <vt:lpstr>'IWP11'!ReviewPeriodBeginDate</vt:lpstr>
      <vt:lpstr>'IWP12'!ReviewPeriodBeginDate</vt:lpstr>
      <vt:lpstr>'IWP13'!ReviewPeriodBeginDate</vt:lpstr>
      <vt:lpstr>'IWP14'!ReviewPeriodBeginDate</vt:lpstr>
      <vt:lpstr>'IWP15'!ReviewPeriodBeginDate</vt:lpstr>
      <vt:lpstr>'IWP16'!ReviewPeriodBeginDate</vt:lpstr>
      <vt:lpstr>'IWP17'!ReviewPeriodBeginDate</vt:lpstr>
      <vt:lpstr>'IWP18'!ReviewPeriodBeginDate</vt:lpstr>
      <vt:lpstr>'IWP19'!ReviewPeriodBeginDate</vt:lpstr>
      <vt:lpstr>'IWP20'!ReviewPeriodBeginDate</vt:lpstr>
      <vt:lpstr>'IWP21'!ReviewPeriodBeginDate</vt:lpstr>
      <vt:lpstr>'IWP22'!ReviewPeriodBeginDate</vt:lpstr>
      <vt:lpstr>'IWP23'!ReviewPeriodBeginDate</vt:lpstr>
      <vt:lpstr>'IWP24'!ReviewPeriodBeginDate</vt:lpstr>
      <vt:lpstr>'IWP25'!ReviewPeriodBeginDate</vt:lpstr>
      <vt:lpstr>'IWP26'!ReviewPeriodBeginDate</vt:lpstr>
      <vt:lpstr>'IWP27'!ReviewPeriodBeginDate</vt:lpstr>
      <vt:lpstr>'IWP28'!ReviewPeriodBeginDate</vt:lpstr>
      <vt:lpstr>'IWP29'!ReviewPeriodBeginDate</vt:lpstr>
      <vt:lpstr>'IWP30'!ReviewPeriodBeginDate</vt:lpstr>
      <vt:lpstr>'IWP01'!ReviewPeriodEndDate</vt:lpstr>
      <vt:lpstr>'IWP02'!ReviewPeriodEndDate</vt:lpstr>
      <vt:lpstr>'IWP03'!ReviewPeriodEndDate</vt:lpstr>
      <vt:lpstr>'IWP04'!ReviewPeriodEndDate</vt:lpstr>
      <vt:lpstr>'IWP05'!ReviewPeriodEndDate</vt:lpstr>
      <vt:lpstr>'IWP06'!ReviewPeriodEndDate</vt:lpstr>
      <vt:lpstr>'IWP07'!ReviewPeriodEndDate</vt:lpstr>
      <vt:lpstr>'IWP08'!ReviewPeriodEndDate</vt:lpstr>
      <vt:lpstr>'IWP09'!ReviewPeriodEndDate</vt:lpstr>
      <vt:lpstr>'IWP10'!ReviewPeriodEndDate</vt:lpstr>
      <vt:lpstr>'IWP11'!ReviewPeriodEndDate</vt:lpstr>
      <vt:lpstr>'IWP12'!ReviewPeriodEndDate</vt:lpstr>
      <vt:lpstr>'IWP13'!ReviewPeriodEndDate</vt:lpstr>
      <vt:lpstr>'IWP14'!ReviewPeriodEndDate</vt:lpstr>
      <vt:lpstr>'IWP15'!ReviewPeriodEndDate</vt:lpstr>
      <vt:lpstr>'IWP16'!ReviewPeriodEndDate</vt:lpstr>
      <vt:lpstr>'IWP17'!ReviewPeriodEndDate</vt:lpstr>
      <vt:lpstr>'IWP18'!ReviewPeriodEndDate</vt:lpstr>
      <vt:lpstr>'IWP19'!ReviewPeriodEndDate</vt:lpstr>
      <vt:lpstr>'IWP20'!ReviewPeriodEndDate</vt:lpstr>
      <vt:lpstr>'IWP21'!ReviewPeriodEndDate</vt:lpstr>
      <vt:lpstr>'IWP22'!ReviewPeriodEndDate</vt:lpstr>
      <vt:lpstr>'IWP23'!ReviewPeriodEndDate</vt:lpstr>
      <vt:lpstr>'IWP24'!ReviewPeriodEndDate</vt:lpstr>
      <vt:lpstr>'IWP25'!ReviewPeriodEndDate</vt:lpstr>
      <vt:lpstr>'IWP26'!ReviewPeriodEndDate</vt:lpstr>
      <vt:lpstr>'IWP27'!ReviewPeriodEndDate</vt:lpstr>
      <vt:lpstr>'IWP28'!ReviewPeriodEndDate</vt:lpstr>
      <vt:lpstr>'IWP29'!ReviewPeriodEndDate</vt:lpstr>
      <vt:lpstr>'IWP30'!ReviewPeriodEndDate</vt:lpstr>
      <vt:lpstr>ReviewType</vt:lpstr>
      <vt:lpstr>'IWP01'!SampleNumber</vt:lpstr>
      <vt:lpstr>'IWP02'!SampleNumber</vt:lpstr>
      <vt:lpstr>'IWP03'!SampleNumber</vt:lpstr>
      <vt:lpstr>'IWP04'!SampleNumber</vt:lpstr>
      <vt:lpstr>'IWP05'!SampleNumber</vt:lpstr>
      <vt:lpstr>'IWP06'!SampleNumber</vt:lpstr>
      <vt:lpstr>'IWP07'!SampleNumber</vt:lpstr>
      <vt:lpstr>'IWP08'!SampleNumber</vt:lpstr>
      <vt:lpstr>'IWP09'!SampleNumber</vt:lpstr>
      <vt:lpstr>'IWP10'!SampleNumber</vt:lpstr>
      <vt:lpstr>'IWP11'!SampleNumber</vt:lpstr>
      <vt:lpstr>'IWP12'!SampleNumber</vt:lpstr>
      <vt:lpstr>'IWP13'!SampleNumber</vt:lpstr>
      <vt:lpstr>'IWP14'!SampleNumber</vt:lpstr>
      <vt:lpstr>'IWP15'!SampleNumber</vt:lpstr>
      <vt:lpstr>'IWP16'!SampleNumber</vt:lpstr>
      <vt:lpstr>'IWP17'!SampleNumber</vt:lpstr>
      <vt:lpstr>'IWP18'!SampleNumber</vt:lpstr>
      <vt:lpstr>'IWP19'!SampleNumber</vt:lpstr>
      <vt:lpstr>'IWP20'!SampleNumber</vt:lpstr>
      <vt:lpstr>'IWP21'!SampleNumber</vt:lpstr>
      <vt:lpstr>'IWP22'!SampleNumber</vt:lpstr>
      <vt:lpstr>'IWP23'!SampleNumber</vt:lpstr>
      <vt:lpstr>'IWP24'!SampleNumber</vt:lpstr>
      <vt:lpstr>'IWP25'!SampleNumber</vt:lpstr>
      <vt:lpstr>'IWP26'!SampleNumber</vt:lpstr>
      <vt:lpstr>'IWP27'!SampleNumber</vt:lpstr>
      <vt:lpstr>'IWP28'!SampleNumber</vt:lpstr>
      <vt:lpstr>'IWP29'!SampleNumber</vt:lpstr>
      <vt:lpstr>'IWP30'!SampleNumber</vt:lpstr>
      <vt:lpstr>Data!SpreadsheetInfo</vt:lpstr>
      <vt:lpstr>Standard_I_2</vt:lpstr>
      <vt:lpstr>Standard_I_2b</vt:lpstr>
      <vt:lpstr>Standard_I_2c</vt:lpstr>
      <vt:lpstr>Standard_I_3</vt:lpstr>
      <vt:lpstr>Standard_I_Comments</vt:lpstr>
      <vt:lpstr>'Compliance Summary (PRINT)'!Standard_I_Score</vt:lpstr>
      <vt:lpstr>Standard_I_Total_No</vt:lpstr>
      <vt:lpstr>Standard_I_Total_Yes</vt:lpstr>
      <vt:lpstr>Standard_II_2_Comments</vt:lpstr>
      <vt:lpstr>Standard_II_2_Number_No</vt:lpstr>
      <vt:lpstr>Standard_II_2_Number_Yes</vt:lpstr>
      <vt:lpstr>Standard_II_3_Comments</vt:lpstr>
      <vt:lpstr>Standard_II_3_Number_No</vt:lpstr>
      <vt:lpstr>Standard_II_3_Number_Yes</vt:lpstr>
      <vt:lpstr>Standard_II_4_Comments</vt:lpstr>
      <vt:lpstr>Standard_II_4_Number_No</vt:lpstr>
      <vt:lpstr>Standard_II_4_Number_Yes</vt:lpstr>
      <vt:lpstr>'Compliance Summary (PRINT)'!Standard_II_Score</vt:lpstr>
      <vt:lpstr>Standard_II_Total_No</vt:lpstr>
      <vt:lpstr>Standard_II_Total_Yes</vt:lpstr>
      <vt:lpstr>Standard_III_1_Comments</vt:lpstr>
      <vt:lpstr>Standard_III_2_Comments</vt:lpstr>
      <vt:lpstr>'Compliance Summary (PRINT)'!Standard_III_Score</vt:lpstr>
      <vt:lpstr>Standard_III_Total_No</vt:lpstr>
      <vt:lpstr>Standard_III_Total_Yes</vt:lpstr>
      <vt:lpstr>Standard_IV_1_Comments</vt:lpstr>
      <vt:lpstr>Standard_IV_1_Number_No</vt:lpstr>
      <vt:lpstr>Standard_IV_1_Number_Yes</vt:lpstr>
      <vt:lpstr>Standard_IV_3_Comments</vt:lpstr>
      <vt:lpstr>Standard_IV_3_Number_No</vt:lpstr>
      <vt:lpstr>Standard_IV_3_Number_Yes</vt:lpstr>
      <vt:lpstr>'Compliance Summary (PRINT)'!Standard_IV_Score</vt:lpstr>
      <vt:lpstr>Standard_IV_Total_No</vt:lpstr>
      <vt:lpstr>Standard_IV_Total_Yes</vt:lpstr>
      <vt:lpstr>Standard_IX_1_Comments</vt:lpstr>
      <vt:lpstr>Standard_IX_1_Number_No</vt:lpstr>
      <vt:lpstr>Standard_IX_1_Number_Yes</vt:lpstr>
      <vt:lpstr>Standard_VI_1_Comments</vt:lpstr>
      <vt:lpstr>Standard_VI_1_Number_No</vt:lpstr>
      <vt:lpstr>Standard_VI_1_Number_Yes</vt:lpstr>
      <vt:lpstr>Standard_VI_2_Comments</vt:lpstr>
      <vt:lpstr>Standard_VI_2_Number_No</vt:lpstr>
      <vt:lpstr>Standard_VI_2_Number_Yes</vt:lpstr>
      <vt:lpstr>'Compliance Summary (PRINT)'!Standard_VI_Score</vt:lpstr>
      <vt:lpstr>Standard_VI_Total_No</vt:lpstr>
      <vt:lpstr>Standard_VI_Total_Yes</vt:lpstr>
      <vt:lpstr>Standard_VII_1_Comments</vt:lpstr>
      <vt:lpstr>Standard_VII_1_Number_No</vt:lpstr>
      <vt:lpstr>Standard_VII_1_Number_Yes</vt:lpstr>
      <vt:lpstr>Standard_VII_2_Comments</vt:lpstr>
      <vt:lpstr>'Compliance Summary (PRINT)'!Standard_VII_Score</vt:lpstr>
      <vt:lpstr>Standard_VII_Total_No</vt:lpstr>
      <vt:lpstr>Standard_VII_Total_Yes</vt:lpstr>
      <vt:lpstr>Standard_VIII_1_Comments</vt:lpstr>
      <vt:lpstr>Standard_VIII_1_Number_No</vt:lpstr>
      <vt:lpstr>Standard_VIII_1_Number_Yes</vt:lpstr>
      <vt:lpstr>Standard_VIII_2_Comments</vt:lpstr>
      <vt:lpstr>Standard_VIII_2_Number_No</vt:lpstr>
      <vt:lpstr>Standard_VIII_2_Number_Yes</vt:lpstr>
      <vt:lpstr>Standard_VIII_3_Comments</vt:lpstr>
      <vt:lpstr>Standard_VIII_3_Number_No</vt:lpstr>
      <vt:lpstr>Standard_VIII_3_Number_Yes</vt:lpstr>
      <vt:lpstr>'Compliance Summary (PRINT)'!Standard_VIII_Score</vt:lpstr>
      <vt:lpstr>Standard_VIII_Total_No</vt:lpstr>
      <vt:lpstr>Standard_VIII_Total_Yes</vt:lpstr>
      <vt:lpstr>'IWP02'!STD_II_COL_B</vt:lpstr>
      <vt:lpstr>'IWP03'!STD_II_COL_B</vt:lpstr>
      <vt:lpstr>'IWP04'!STD_II_COL_B</vt:lpstr>
      <vt:lpstr>'IWP05'!STD_II_COL_B</vt:lpstr>
      <vt:lpstr>'IWP06'!STD_II_COL_B</vt:lpstr>
      <vt:lpstr>'IWP07'!STD_II_COL_B</vt:lpstr>
      <vt:lpstr>'IWP08'!STD_II_COL_B</vt:lpstr>
      <vt:lpstr>'IWP09'!STD_II_COL_B</vt:lpstr>
      <vt:lpstr>'IWP10'!STD_II_COL_B</vt:lpstr>
      <vt:lpstr>'IWP11'!STD_II_COL_B</vt:lpstr>
      <vt:lpstr>'IWP12'!STD_II_COL_B</vt:lpstr>
      <vt:lpstr>'IWP13'!STD_II_COL_B</vt:lpstr>
      <vt:lpstr>'IWP14'!STD_II_COL_B</vt:lpstr>
      <vt:lpstr>'IWP15'!STD_II_COL_B</vt:lpstr>
      <vt:lpstr>'IWP16'!STD_II_COL_B</vt:lpstr>
      <vt:lpstr>'IWP17'!STD_II_COL_B</vt:lpstr>
      <vt:lpstr>'IWP18'!STD_II_COL_B</vt:lpstr>
      <vt:lpstr>'IWP19'!STD_II_COL_B</vt:lpstr>
      <vt:lpstr>'IWP20'!STD_II_COL_B</vt:lpstr>
      <vt:lpstr>'IWP21'!STD_II_COL_B</vt:lpstr>
      <vt:lpstr>'IWP22'!STD_II_COL_B</vt:lpstr>
      <vt:lpstr>'IWP23'!STD_II_COL_B</vt:lpstr>
      <vt:lpstr>'IWP24'!STD_II_COL_B</vt:lpstr>
      <vt:lpstr>'IWP25'!STD_II_COL_B</vt:lpstr>
      <vt:lpstr>'IWP26'!STD_II_COL_B</vt:lpstr>
      <vt:lpstr>'IWP27'!STD_II_COL_B</vt:lpstr>
      <vt:lpstr>'IWP28'!STD_II_COL_B</vt:lpstr>
      <vt:lpstr>'IWP29'!STD_II_COL_B</vt:lpstr>
      <vt:lpstr>'IWP30'!STD_II_COL_B</vt:lpstr>
      <vt:lpstr>STD_II_COL_B</vt:lpstr>
      <vt:lpstr>'IWP01'!STD_II_COL_CE</vt:lpstr>
      <vt:lpstr>'IWP02'!STD_II_COL_CE</vt:lpstr>
      <vt:lpstr>'IWP03'!STD_II_COL_CE</vt:lpstr>
      <vt:lpstr>'IWP04'!STD_II_COL_CE</vt:lpstr>
      <vt:lpstr>'IWP05'!STD_II_COL_CE</vt:lpstr>
      <vt:lpstr>'IWP06'!STD_II_COL_CE</vt:lpstr>
      <vt:lpstr>'IWP07'!STD_II_COL_CE</vt:lpstr>
      <vt:lpstr>'IWP08'!STD_II_COL_CE</vt:lpstr>
      <vt:lpstr>'IWP09'!STD_II_COL_CE</vt:lpstr>
      <vt:lpstr>'IWP10'!STD_II_COL_CE</vt:lpstr>
      <vt:lpstr>'IWP11'!STD_II_COL_CE</vt:lpstr>
      <vt:lpstr>'IWP12'!STD_II_COL_CE</vt:lpstr>
      <vt:lpstr>'IWP13'!STD_II_COL_CE</vt:lpstr>
      <vt:lpstr>'IWP14'!STD_II_COL_CE</vt:lpstr>
      <vt:lpstr>'IWP15'!STD_II_COL_CE</vt:lpstr>
      <vt:lpstr>'IWP16'!STD_II_COL_CE</vt:lpstr>
      <vt:lpstr>'IWP17'!STD_II_COL_CE</vt:lpstr>
      <vt:lpstr>'IWP18'!STD_II_COL_CE</vt:lpstr>
      <vt:lpstr>'IWP19'!STD_II_COL_CE</vt:lpstr>
      <vt:lpstr>'IWP20'!STD_II_COL_CE</vt:lpstr>
      <vt:lpstr>'IWP21'!STD_II_COL_CE</vt:lpstr>
      <vt:lpstr>'IWP22'!STD_II_COL_CE</vt:lpstr>
      <vt:lpstr>'IWP23'!STD_II_COL_CE</vt:lpstr>
      <vt:lpstr>'IWP24'!STD_II_COL_CE</vt:lpstr>
      <vt:lpstr>'IWP25'!STD_II_COL_CE</vt:lpstr>
      <vt:lpstr>'IWP26'!STD_II_COL_CE</vt:lpstr>
      <vt:lpstr>'IWP27'!STD_II_COL_CE</vt:lpstr>
      <vt:lpstr>'IWP28'!STD_II_COL_CE</vt:lpstr>
      <vt:lpstr>'IWP29'!STD_II_COL_CE</vt:lpstr>
      <vt:lpstr>'IWP30'!STD_II_COL_CE</vt:lpstr>
      <vt:lpstr>'IWP01'!STD_II_COL_F</vt:lpstr>
      <vt:lpstr>'IWP02'!STD_II_COL_F</vt:lpstr>
      <vt:lpstr>'IWP03'!STD_II_COL_F</vt:lpstr>
      <vt:lpstr>'IWP04'!STD_II_COL_F</vt:lpstr>
      <vt:lpstr>'IWP05'!STD_II_COL_F</vt:lpstr>
      <vt:lpstr>'IWP06'!STD_II_COL_F</vt:lpstr>
      <vt:lpstr>'IWP07'!STD_II_COL_F</vt:lpstr>
      <vt:lpstr>'IWP08'!STD_II_COL_F</vt:lpstr>
      <vt:lpstr>'IWP09'!STD_II_COL_F</vt:lpstr>
      <vt:lpstr>'IWP10'!STD_II_COL_F</vt:lpstr>
      <vt:lpstr>'IWP11'!STD_II_COL_F</vt:lpstr>
      <vt:lpstr>'IWP12'!STD_II_COL_F</vt:lpstr>
      <vt:lpstr>'IWP13'!STD_II_COL_F</vt:lpstr>
      <vt:lpstr>'IWP14'!STD_II_COL_F</vt:lpstr>
      <vt:lpstr>'IWP15'!STD_II_COL_F</vt:lpstr>
      <vt:lpstr>'IWP16'!STD_II_COL_F</vt:lpstr>
      <vt:lpstr>'IWP17'!STD_II_COL_F</vt:lpstr>
      <vt:lpstr>'IWP18'!STD_II_COL_F</vt:lpstr>
      <vt:lpstr>'IWP19'!STD_II_COL_F</vt:lpstr>
      <vt:lpstr>'IWP20'!STD_II_COL_F</vt:lpstr>
      <vt:lpstr>'IWP21'!STD_II_COL_F</vt:lpstr>
      <vt:lpstr>'IWP22'!STD_II_COL_F</vt:lpstr>
      <vt:lpstr>'IWP23'!STD_II_COL_F</vt:lpstr>
      <vt:lpstr>'IWP24'!STD_II_COL_F</vt:lpstr>
      <vt:lpstr>'IWP25'!STD_II_COL_F</vt:lpstr>
      <vt:lpstr>'IWP26'!STD_II_COL_F</vt:lpstr>
      <vt:lpstr>'IWP27'!STD_II_COL_F</vt:lpstr>
      <vt:lpstr>'IWP28'!STD_II_COL_F</vt:lpstr>
      <vt:lpstr>'IWP29'!STD_II_COL_F</vt:lpstr>
      <vt:lpstr>'IWP30'!STD_II_COL_F</vt:lpstr>
      <vt:lpstr>'IWP01'!STD_II_COL_GHI</vt:lpstr>
      <vt:lpstr>'IWP02'!STD_II_COL_GHI</vt:lpstr>
      <vt:lpstr>'IWP03'!STD_II_COL_GHI</vt:lpstr>
      <vt:lpstr>'IWP04'!STD_II_COL_GHI</vt:lpstr>
      <vt:lpstr>'IWP05'!STD_II_COL_GHI</vt:lpstr>
      <vt:lpstr>'IWP06'!STD_II_COL_GHI</vt:lpstr>
      <vt:lpstr>'IWP07'!STD_II_COL_GHI</vt:lpstr>
      <vt:lpstr>'IWP08'!STD_II_COL_GHI</vt:lpstr>
      <vt:lpstr>'IWP09'!STD_II_COL_GHI</vt:lpstr>
      <vt:lpstr>'IWP10'!STD_II_COL_GHI</vt:lpstr>
      <vt:lpstr>'IWP11'!STD_II_COL_GHI</vt:lpstr>
      <vt:lpstr>'IWP12'!STD_II_COL_GHI</vt:lpstr>
      <vt:lpstr>'IWP13'!STD_II_COL_GHI</vt:lpstr>
      <vt:lpstr>'IWP14'!STD_II_COL_GHI</vt:lpstr>
      <vt:lpstr>'IWP15'!STD_II_COL_GHI</vt:lpstr>
      <vt:lpstr>'IWP16'!STD_II_COL_GHI</vt:lpstr>
      <vt:lpstr>'IWP17'!STD_II_COL_GHI</vt:lpstr>
      <vt:lpstr>'IWP18'!STD_II_COL_GHI</vt:lpstr>
      <vt:lpstr>'IWP19'!STD_II_COL_GHI</vt:lpstr>
      <vt:lpstr>'IWP20'!STD_II_COL_GHI</vt:lpstr>
      <vt:lpstr>'IWP21'!STD_II_COL_GHI</vt:lpstr>
      <vt:lpstr>'IWP22'!STD_II_COL_GHI</vt:lpstr>
      <vt:lpstr>'IWP23'!STD_II_COL_GHI</vt:lpstr>
      <vt:lpstr>'IWP24'!STD_II_COL_GHI</vt:lpstr>
      <vt:lpstr>'IWP25'!STD_II_COL_GHI</vt:lpstr>
      <vt:lpstr>'IWP26'!STD_II_COL_GHI</vt:lpstr>
      <vt:lpstr>'IWP27'!STD_II_COL_GHI</vt:lpstr>
      <vt:lpstr>'IWP28'!STD_II_COL_GHI</vt:lpstr>
      <vt:lpstr>'IWP29'!STD_II_COL_GHI</vt:lpstr>
      <vt:lpstr>'IWP30'!STD_II_COL_GHI</vt:lpstr>
      <vt:lpstr>'IWP01'!STD_II_COL_J</vt:lpstr>
      <vt:lpstr>'IWP02'!STD_II_COL_J</vt:lpstr>
      <vt:lpstr>'IWP03'!STD_II_COL_J</vt:lpstr>
      <vt:lpstr>'IWP04'!STD_II_COL_J</vt:lpstr>
      <vt:lpstr>'IWP05'!STD_II_COL_J</vt:lpstr>
      <vt:lpstr>'IWP06'!STD_II_COL_J</vt:lpstr>
      <vt:lpstr>'IWP07'!STD_II_COL_J</vt:lpstr>
      <vt:lpstr>'IWP08'!STD_II_COL_J</vt:lpstr>
      <vt:lpstr>'IWP09'!STD_II_COL_J</vt:lpstr>
      <vt:lpstr>'IWP10'!STD_II_COL_J</vt:lpstr>
      <vt:lpstr>'IWP11'!STD_II_COL_J</vt:lpstr>
      <vt:lpstr>'IWP12'!STD_II_COL_J</vt:lpstr>
      <vt:lpstr>'IWP13'!STD_II_COL_J</vt:lpstr>
      <vt:lpstr>'IWP14'!STD_II_COL_J</vt:lpstr>
      <vt:lpstr>'IWP15'!STD_II_COL_J</vt:lpstr>
      <vt:lpstr>'IWP16'!STD_II_COL_J</vt:lpstr>
      <vt:lpstr>'IWP17'!STD_II_COL_J</vt:lpstr>
      <vt:lpstr>'IWP18'!STD_II_COL_J</vt:lpstr>
      <vt:lpstr>'IWP19'!STD_II_COL_J</vt:lpstr>
      <vt:lpstr>'IWP20'!STD_II_COL_J</vt:lpstr>
      <vt:lpstr>'IWP21'!STD_II_COL_J</vt:lpstr>
      <vt:lpstr>'IWP22'!STD_II_COL_J</vt:lpstr>
      <vt:lpstr>'IWP23'!STD_II_COL_J</vt:lpstr>
      <vt:lpstr>'IWP24'!STD_II_COL_J</vt:lpstr>
      <vt:lpstr>'IWP25'!STD_II_COL_J</vt:lpstr>
      <vt:lpstr>'IWP26'!STD_II_COL_J</vt:lpstr>
      <vt:lpstr>'IWP27'!STD_II_COL_J</vt:lpstr>
      <vt:lpstr>'IWP28'!STD_II_COL_J</vt:lpstr>
      <vt:lpstr>'IWP29'!STD_II_COL_J</vt:lpstr>
      <vt:lpstr>'IWP30'!STD_II_COL_J</vt:lpstr>
      <vt:lpstr>'IWP02'!Std_II1_Qual_A</vt:lpstr>
      <vt:lpstr>'IWP03'!Std_II1_Qual_A</vt:lpstr>
      <vt:lpstr>'IWP04'!Std_II1_Qual_A</vt:lpstr>
      <vt:lpstr>'IWP05'!Std_II1_Qual_A</vt:lpstr>
      <vt:lpstr>'IWP06'!Std_II1_Qual_A</vt:lpstr>
      <vt:lpstr>'IWP07'!Std_II1_Qual_A</vt:lpstr>
      <vt:lpstr>'IWP08'!Std_II1_Qual_A</vt:lpstr>
      <vt:lpstr>'IWP09'!Std_II1_Qual_A</vt:lpstr>
      <vt:lpstr>'IWP10'!Std_II1_Qual_A</vt:lpstr>
      <vt:lpstr>'IWP11'!Std_II1_Qual_A</vt:lpstr>
      <vt:lpstr>'IWP12'!Std_II1_Qual_A</vt:lpstr>
      <vt:lpstr>'IWP13'!Std_II1_Qual_A</vt:lpstr>
      <vt:lpstr>'IWP14'!Std_II1_Qual_A</vt:lpstr>
      <vt:lpstr>'IWP15'!Std_II1_Qual_A</vt:lpstr>
      <vt:lpstr>'IWP16'!Std_II1_Qual_A</vt:lpstr>
      <vt:lpstr>'IWP17'!Std_II1_Qual_A</vt:lpstr>
      <vt:lpstr>'IWP18'!Std_II1_Qual_A</vt:lpstr>
      <vt:lpstr>'IWP19'!Std_II1_Qual_A</vt:lpstr>
      <vt:lpstr>'IWP20'!Std_II1_Qual_A</vt:lpstr>
      <vt:lpstr>'IWP21'!Std_II1_Qual_A</vt:lpstr>
      <vt:lpstr>'IWP22'!Std_II1_Qual_A</vt:lpstr>
      <vt:lpstr>'IWP23'!Std_II1_Qual_A</vt:lpstr>
      <vt:lpstr>'IWP24'!Std_II1_Qual_A</vt:lpstr>
      <vt:lpstr>'IWP25'!Std_II1_Qual_A</vt:lpstr>
      <vt:lpstr>'IWP26'!Std_II1_Qual_A</vt:lpstr>
      <vt:lpstr>'IWP27'!Std_II1_Qual_A</vt:lpstr>
      <vt:lpstr>'IWP28'!Std_II1_Qual_A</vt:lpstr>
      <vt:lpstr>'IWP29'!Std_II1_Qual_A</vt:lpstr>
      <vt:lpstr>'IWP30'!Std_II1_Qual_A</vt:lpstr>
      <vt:lpstr>Std_II1_Qual_A</vt:lpstr>
      <vt:lpstr>'IWP02'!Std_II1_Qual_B</vt:lpstr>
      <vt:lpstr>'IWP03'!Std_II1_Qual_B</vt:lpstr>
      <vt:lpstr>'IWP04'!Std_II1_Qual_B</vt:lpstr>
      <vt:lpstr>'IWP05'!Std_II1_Qual_B</vt:lpstr>
      <vt:lpstr>'IWP06'!Std_II1_Qual_B</vt:lpstr>
      <vt:lpstr>'IWP07'!Std_II1_Qual_B</vt:lpstr>
      <vt:lpstr>'IWP08'!Std_II1_Qual_B</vt:lpstr>
      <vt:lpstr>'IWP09'!Std_II1_Qual_B</vt:lpstr>
      <vt:lpstr>'IWP10'!Std_II1_Qual_B</vt:lpstr>
      <vt:lpstr>'IWP11'!Std_II1_Qual_B</vt:lpstr>
      <vt:lpstr>'IWP12'!Std_II1_Qual_B</vt:lpstr>
      <vt:lpstr>'IWP13'!Std_II1_Qual_B</vt:lpstr>
      <vt:lpstr>'IWP14'!Std_II1_Qual_B</vt:lpstr>
      <vt:lpstr>'IWP15'!Std_II1_Qual_B</vt:lpstr>
      <vt:lpstr>'IWP16'!Std_II1_Qual_B</vt:lpstr>
      <vt:lpstr>'IWP17'!Std_II1_Qual_B</vt:lpstr>
      <vt:lpstr>'IWP18'!Std_II1_Qual_B</vt:lpstr>
      <vt:lpstr>'IWP19'!Std_II1_Qual_B</vt:lpstr>
      <vt:lpstr>'IWP20'!Std_II1_Qual_B</vt:lpstr>
      <vt:lpstr>'IWP21'!Std_II1_Qual_B</vt:lpstr>
      <vt:lpstr>'IWP22'!Std_II1_Qual_B</vt:lpstr>
      <vt:lpstr>'IWP23'!Std_II1_Qual_B</vt:lpstr>
      <vt:lpstr>'IWP24'!Std_II1_Qual_B</vt:lpstr>
      <vt:lpstr>'IWP25'!Std_II1_Qual_B</vt:lpstr>
      <vt:lpstr>'IWP26'!Std_II1_Qual_B</vt:lpstr>
      <vt:lpstr>'IWP27'!Std_II1_Qual_B</vt:lpstr>
      <vt:lpstr>'IWP28'!Std_II1_Qual_B</vt:lpstr>
      <vt:lpstr>'IWP29'!Std_II1_Qual_B</vt:lpstr>
      <vt:lpstr>'IWP30'!Std_II1_Qual_B</vt:lpstr>
      <vt:lpstr>Std_II1_Qual_B</vt:lpstr>
      <vt:lpstr>'IWP02'!Std_II1_QualC</vt:lpstr>
      <vt:lpstr>'IWP03'!Std_II1_QualC</vt:lpstr>
      <vt:lpstr>'IWP04'!Std_II1_QualC</vt:lpstr>
      <vt:lpstr>'IWP05'!Std_II1_QualC</vt:lpstr>
      <vt:lpstr>'IWP06'!Std_II1_QualC</vt:lpstr>
      <vt:lpstr>'IWP07'!Std_II1_QualC</vt:lpstr>
      <vt:lpstr>'IWP08'!Std_II1_QualC</vt:lpstr>
      <vt:lpstr>'IWP09'!Std_II1_QualC</vt:lpstr>
      <vt:lpstr>'IWP10'!Std_II1_QualC</vt:lpstr>
      <vt:lpstr>'IWP11'!Std_II1_QualC</vt:lpstr>
      <vt:lpstr>'IWP12'!Std_II1_QualC</vt:lpstr>
      <vt:lpstr>'IWP13'!Std_II1_QualC</vt:lpstr>
      <vt:lpstr>'IWP14'!Std_II1_QualC</vt:lpstr>
      <vt:lpstr>'IWP15'!Std_II1_QualC</vt:lpstr>
      <vt:lpstr>'IWP16'!Std_II1_QualC</vt:lpstr>
      <vt:lpstr>'IWP17'!Std_II1_QualC</vt:lpstr>
      <vt:lpstr>'IWP18'!Std_II1_QualC</vt:lpstr>
      <vt:lpstr>'IWP19'!Std_II1_QualC</vt:lpstr>
      <vt:lpstr>'IWP20'!Std_II1_QualC</vt:lpstr>
      <vt:lpstr>'IWP21'!Std_II1_QualC</vt:lpstr>
      <vt:lpstr>'IWP22'!Std_II1_QualC</vt:lpstr>
      <vt:lpstr>'IWP23'!Std_II1_QualC</vt:lpstr>
      <vt:lpstr>'IWP24'!Std_II1_QualC</vt:lpstr>
      <vt:lpstr>'IWP25'!Std_II1_QualC</vt:lpstr>
      <vt:lpstr>'IWP26'!Std_II1_QualC</vt:lpstr>
      <vt:lpstr>'IWP27'!Std_II1_QualC</vt:lpstr>
      <vt:lpstr>'IWP28'!Std_II1_QualC</vt:lpstr>
      <vt:lpstr>'IWP29'!Std_II1_QualC</vt:lpstr>
      <vt:lpstr>'IWP30'!Std_II1_QualC</vt:lpstr>
      <vt:lpstr>Std_II1_QualC</vt:lpstr>
      <vt:lpstr>'IWP02'!STD2_COLB_AGG</vt:lpstr>
      <vt:lpstr>'IWP03'!STD2_COLB_AGG</vt:lpstr>
      <vt:lpstr>'IWP04'!STD2_COLB_AGG</vt:lpstr>
      <vt:lpstr>'IWP05'!STD2_COLB_AGG</vt:lpstr>
      <vt:lpstr>'IWP06'!STD2_COLB_AGG</vt:lpstr>
      <vt:lpstr>'IWP07'!STD2_COLB_AGG</vt:lpstr>
      <vt:lpstr>'IWP08'!STD2_COLB_AGG</vt:lpstr>
      <vt:lpstr>'IWP09'!STD2_COLB_AGG</vt:lpstr>
      <vt:lpstr>'IWP10'!STD2_COLB_AGG</vt:lpstr>
      <vt:lpstr>'IWP11'!STD2_COLB_AGG</vt:lpstr>
      <vt:lpstr>'IWP12'!STD2_COLB_AGG</vt:lpstr>
      <vt:lpstr>'IWP13'!STD2_COLB_AGG</vt:lpstr>
      <vt:lpstr>'IWP14'!STD2_COLB_AGG</vt:lpstr>
      <vt:lpstr>'IWP15'!STD2_COLB_AGG</vt:lpstr>
      <vt:lpstr>'IWP16'!STD2_COLB_AGG</vt:lpstr>
      <vt:lpstr>'IWP17'!STD2_COLB_AGG</vt:lpstr>
      <vt:lpstr>'IWP18'!STD2_COLB_AGG</vt:lpstr>
      <vt:lpstr>'IWP19'!STD2_COLB_AGG</vt:lpstr>
      <vt:lpstr>'IWP20'!STD2_COLB_AGG</vt:lpstr>
      <vt:lpstr>'IWP21'!STD2_COLB_AGG</vt:lpstr>
      <vt:lpstr>'IWP22'!STD2_COLB_AGG</vt:lpstr>
      <vt:lpstr>'IWP23'!STD2_COLB_AGG</vt:lpstr>
      <vt:lpstr>'IWP24'!STD2_COLB_AGG</vt:lpstr>
      <vt:lpstr>'IWP25'!STD2_COLB_AGG</vt:lpstr>
      <vt:lpstr>'IWP26'!STD2_COLB_AGG</vt:lpstr>
      <vt:lpstr>'IWP27'!STD2_COLB_AGG</vt:lpstr>
      <vt:lpstr>'IWP28'!STD2_COLB_AGG</vt:lpstr>
      <vt:lpstr>'IWP29'!STD2_COLB_AGG</vt:lpstr>
      <vt:lpstr>'IWP30'!STD2_COLB_AGG</vt:lpstr>
      <vt:lpstr>STD2_COLB_AGG</vt:lpstr>
      <vt:lpstr>'IWP02'!Std2ColBAllOutsideReviewPeriod</vt:lpstr>
      <vt:lpstr>'IWP03'!Std2ColBAllOutsideReviewPeriod</vt:lpstr>
      <vt:lpstr>'IWP04'!Std2ColBAllOutsideReviewPeriod</vt:lpstr>
      <vt:lpstr>'IWP05'!Std2ColBAllOutsideReviewPeriod</vt:lpstr>
      <vt:lpstr>'IWP06'!Std2ColBAllOutsideReviewPeriod</vt:lpstr>
      <vt:lpstr>'IWP07'!Std2ColBAllOutsideReviewPeriod</vt:lpstr>
      <vt:lpstr>'IWP08'!Std2ColBAllOutsideReviewPeriod</vt:lpstr>
      <vt:lpstr>'IWP09'!Std2ColBAllOutsideReviewPeriod</vt:lpstr>
      <vt:lpstr>'IWP10'!Std2ColBAllOutsideReviewPeriod</vt:lpstr>
      <vt:lpstr>'IWP11'!Std2ColBAllOutsideReviewPeriod</vt:lpstr>
      <vt:lpstr>'IWP12'!Std2ColBAllOutsideReviewPeriod</vt:lpstr>
      <vt:lpstr>'IWP13'!Std2ColBAllOutsideReviewPeriod</vt:lpstr>
      <vt:lpstr>'IWP14'!Std2ColBAllOutsideReviewPeriod</vt:lpstr>
      <vt:lpstr>'IWP15'!Std2ColBAllOutsideReviewPeriod</vt:lpstr>
      <vt:lpstr>'IWP16'!Std2ColBAllOutsideReviewPeriod</vt:lpstr>
      <vt:lpstr>'IWP17'!Std2ColBAllOutsideReviewPeriod</vt:lpstr>
      <vt:lpstr>'IWP18'!Std2ColBAllOutsideReviewPeriod</vt:lpstr>
      <vt:lpstr>'IWP19'!Std2ColBAllOutsideReviewPeriod</vt:lpstr>
      <vt:lpstr>'IWP20'!Std2ColBAllOutsideReviewPeriod</vt:lpstr>
      <vt:lpstr>'IWP21'!Std2ColBAllOutsideReviewPeriod</vt:lpstr>
      <vt:lpstr>'IWP22'!Std2ColBAllOutsideReviewPeriod</vt:lpstr>
      <vt:lpstr>'IWP23'!Std2ColBAllOutsideReviewPeriod</vt:lpstr>
      <vt:lpstr>'IWP24'!Std2ColBAllOutsideReviewPeriod</vt:lpstr>
      <vt:lpstr>'IWP25'!Std2ColBAllOutsideReviewPeriod</vt:lpstr>
      <vt:lpstr>'IWP26'!Std2ColBAllOutsideReviewPeriod</vt:lpstr>
      <vt:lpstr>'IWP27'!Std2ColBAllOutsideReviewPeriod</vt:lpstr>
      <vt:lpstr>'IWP28'!Std2ColBAllOutsideReviewPeriod</vt:lpstr>
      <vt:lpstr>'IWP29'!Std2ColBAllOutsideReviewPeriod</vt:lpstr>
      <vt:lpstr>'IWP30'!Std2ColBAllOutsideReviewPeriod</vt:lpstr>
      <vt:lpstr>Std2ColBAllOutsideReviewPeriod</vt:lpstr>
      <vt:lpstr>'IWP02'!Std2ColBAllValid</vt:lpstr>
      <vt:lpstr>'IWP03'!Std2ColBAllValid</vt:lpstr>
      <vt:lpstr>'IWP04'!Std2ColBAllValid</vt:lpstr>
      <vt:lpstr>'IWP05'!Std2ColBAllValid</vt:lpstr>
      <vt:lpstr>'IWP06'!Std2ColBAllValid</vt:lpstr>
      <vt:lpstr>'IWP07'!Std2ColBAllValid</vt:lpstr>
      <vt:lpstr>'IWP08'!Std2ColBAllValid</vt:lpstr>
      <vt:lpstr>'IWP09'!Std2ColBAllValid</vt:lpstr>
      <vt:lpstr>'IWP10'!Std2ColBAllValid</vt:lpstr>
      <vt:lpstr>'IWP11'!Std2ColBAllValid</vt:lpstr>
      <vt:lpstr>'IWP12'!Std2ColBAllValid</vt:lpstr>
      <vt:lpstr>'IWP13'!Std2ColBAllValid</vt:lpstr>
      <vt:lpstr>'IWP14'!Std2ColBAllValid</vt:lpstr>
      <vt:lpstr>'IWP15'!Std2ColBAllValid</vt:lpstr>
      <vt:lpstr>'IWP16'!Std2ColBAllValid</vt:lpstr>
      <vt:lpstr>'IWP17'!Std2ColBAllValid</vt:lpstr>
      <vt:lpstr>'IWP18'!Std2ColBAllValid</vt:lpstr>
      <vt:lpstr>'IWP19'!Std2ColBAllValid</vt:lpstr>
      <vt:lpstr>'IWP20'!Std2ColBAllValid</vt:lpstr>
      <vt:lpstr>'IWP21'!Std2ColBAllValid</vt:lpstr>
      <vt:lpstr>'IWP22'!Std2ColBAllValid</vt:lpstr>
      <vt:lpstr>'IWP23'!Std2ColBAllValid</vt:lpstr>
      <vt:lpstr>'IWP24'!Std2ColBAllValid</vt:lpstr>
      <vt:lpstr>'IWP25'!Std2ColBAllValid</vt:lpstr>
      <vt:lpstr>'IWP26'!Std2ColBAllValid</vt:lpstr>
      <vt:lpstr>'IWP27'!Std2ColBAllValid</vt:lpstr>
      <vt:lpstr>'IWP28'!Std2ColBAllValid</vt:lpstr>
      <vt:lpstr>'IWP29'!Std2ColBAllValid</vt:lpstr>
      <vt:lpstr>'IWP30'!Std2ColBAllValid</vt:lpstr>
      <vt:lpstr>Std2ColBAllValid</vt:lpstr>
      <vt:lpstr>'IWP02'!Std2ColBInsideReviewPeriodCount</vt:lpstr>
      <vt:lpstr>'IWP03'!Std2ColBInsideReviewPeriodCount</vt:lpstr>
      <vt:lpstr>'IWP04'!Std2ColBInsideReviewPeriodCount</vt:lpstr>
      <vt:lpstr>'IWP05'!Std2ColBInsideReviewPeriodCount</vt:lpstr>
      <vt:lpstr>'IWP06'!Std2ColBInsideReviewPeriodCount</vt:lpstr>
      <vt:lpstr>'IWP07'!Std2ColBInsideReviewPeriodCount</vt:lpstr>
      <vt:lpstr>'IWP08'!Std2ColBInsideReviewPeriodCount</vt:lpstr>
      <vt:lpstr>'IWP09'!Std2ColBInsideReviewPeriodCount</vt:lpstr>
      <vt:lpstr>'IWP10'!Std2ColBInsideReviewPeriodCount</vt:lpstr>
      <vt:lpstr>'IWP11'!Std2ColBInsideReviewPeriodCount</vt:lpstr>
      <vt:lpstr>'IWP12'!Std2ColBInsideReviewPeriodCount</vt:lpstr>
      <vt:lpstr>'IWP13'!Std2ColBInsideReviewPeriodCount</vt:lpstr>
      <vt:lpstr>'IWP14'!Std2ColBInsideReviewPeriodCount</vt:lpstr>
      <vt:lpstr>'IWP15'!Std2ColBInsideReviewPeriodCount</vt:lpstr>
      <vt:lpstr>'IWP16'!Std2ColBInsideReviewPeriodCount</vt:lpstr>
      <vt:lpstr>'IWP17'!Std2ColBInsideReviewPeriodCount</vt:lpstr>
      <vt:lpstr>'IWP18'!Std2ColBInsideReviewPeriodCount</vt:lpstr>
      <vt:lpstr>'IWP19'!Std2ColBInsideReviewPeriodCount</vt:lpstr>
      <vt:lpstr>'IWP20'!Std2ColBInsideReviewPeriodCount</vt:lpstr>
      <vt:lpstr>'IWP21'!Std2ColBInsideReviewPeriodCount</vt:lpstr>
      <vt:lpstr>'IWP22'!Std2ColBInsideReviewPeriodCount</vt:lpstr>
      <vt:lpstr>'IWP23'!Std2ColBInsideReviewPeriodCount</vt:lpstr>
      <vt:lpstr>'IWP24'!Std2ColBInsideReviewPeriodCount</vt:lpstr>
      <vt:lpstr>'IWP25'!Std2ColBInsideReviewPeriodCount</vt:lpstr>
      <vt:lpstr>'IWP26'!Std2ColBInsideReviewPeriodCount</vt:lpstr>
      <vt:lpstr>'IWP27'!Std2ColBInsideReviewPeriodCount</vt:lpstr>
      <vt:lpstr>'IWP28'!Std2ColBInsideReviewPeriodCount</vt:lpstr>
      <vt:lpstr>'IWP29'!Std2ColBInsideReviewPeriodCount</vt:lpstr>
      <vt:lpstr>'IWP30'!Std2ColBInsideReviewPeriodCount</vt:lpstr>
      <vt:lpstr>Std2ColBInsideReviewPeriodCount</vt:lpstr>
      <vt:lpstr>'IWP02'!Std2ColBOutsideReviewPeriod</vt:lpstr>
      <vt:lpstr>'IWP03'!Std2ColBOutsideReviewPeriod</vt:lpstr>
      <vt:lpstr>'IWP04'!Std2ColBOutsideReviewPeriod</vt:lpstr>
      <vt:lpstr>'IWP05'!Std2ColBOutsideReviewPeriod</vt:lpstr>
      <vt:lpstr>'IWP06'!Std2ColBOutsideReviewPeriod</vt:lpstr>
      <vt:lpstr>'IWP07'!Std2ColBOutsideReviewPeriod</vt:lpstr>
      <vt:lpstr>'IWP08'!Std2ColBOutsideReviewPeriod</vt:lpstr>
      <vt:lpstr>'IWP09'!Std2ColBOutsideReviewPeriod</vt:lpstr>
      <vt:lpstr>'IWP10'!Std2ColBOutsideReviewPeriod</vt:lpstr>
      <vt:lpstr>'IWP11'!Std2ColBOutsideReviewPeriod</vt:lpstr>
      <vt:lpstr>'IWP12'!Std2ColBOutsideReviewPeriod</vt:lpstr>
      <vt:lpstr>'IWP13'!Std2ColBOutsideReviewPeriod</vt:lpstr>
      <vt:lpstr>'IWP14'!Std2ColBOutsideReviewPeriod</vt:lpstr>
      <vt:lpstr>'IWP15'!Std2ColBOutsideReviewPeriod</vt:lpstr>
      <vt:lpstr>'IWP16'!Std2ColBOutsideReviewPeriod</vt:lpstr>
      <vt:lpstr>'IWP17'!Std2ColBOutsideReviewPeriod</vt:lpstr>
      <vt:lpstr>'IWP18'!Std2ColBOutsideReviewPeriod</vt:lpstr>
      <vt:lpstr>'IWP19'!Std2ColBOutsideReviewPeriod</vt:lpstr>
      <vt:lpstr>'IWP20'!Std2ColBOutsideReviewPeriod</vt:lpstr>
      <vt:lpstr>'IWP21'!Std2ColBOutsideReviewPeriod</vt:lpstr>
      <vt:lpstr>'IWP22'!Std2ColBOutsideReviewPeriod</vt:lpstr>
      <vt:lpstr>'IWP23'!Std2ColBOutsideReviewPeriod</vt:lpstr>
      <vt:lpstr>'IWP24'!Std2ColBOutsideReviewPeriod</vt:lpstr>
      <vt:lpstr>'IWP25'!Std2ColBOutsideReviewPeriod</vt:lpstr>
      <vt:lpstr>'IWP26'!Std2ColBOutsideReviewPeriod</vt:lpstr>
      <vt:lpstr>'IWP27'!Std2ColBOutsideReviewPeriod</vt:lpstr>
      <vt:lpstr>'IWP28'!Std2ColBOutsideReviewPeriod</vt:lpstr>
      <vt:lpstr>'IWP29'!Std2ColBOutsideReviewPeriod</vt:lpstr>
      <vt:lpstr>'IWP30'!Std2ColBOutsideReviewPeriod</vt:lpstr>
      <vt:lpstr>Std2ColBOutsideReviewPeriod</vt:lpstr>
      <vt:lpstr>'IWP02'!Std2ColBOutsideReviewPeriodCount</vt:lpstr>
      <vt:lpstr>'IWP03'!Std2ColBOutsideReviewPeriodCount</vt:lpstr>
      <vt:lpstr>'IWP04'!Std2ColBOutsideReviewPeriodCount</vt:lpstr>
      <vt:lpstr>'IWP05'!Std2ColBOutsideReviewPeriodCount</vt:lpstr>
      <vt:lpstr>'IWP06'!Std2ColBOutsideReviewPeriodCount</vt:lpstr>
      <vt:lpstr>'IWP07'!Std2ColBOutsideReviewPeriodCount</vt:lpstr>
      <vt:lpstr>'IWP08'!Std2ColBOutsideReviewPeriodCount</vt:lpstr>
      <vt:lpstr>'IWP09'!Std2ColBOutsideReviewPeriodCount</vt:lpstr>
      <vt:lpstr>'IWP10'!Std2ColBOutsideReviewPeriodCount</vt:lpstr>
      <vt:lpstr>'IWP11'!Std2ColBOutsideReviewPeriodCount</vt:lpstr>
      <vt:lpstr>'IWP12'!Std2ColBOutsideReviewPeriodCount</vt:lpstr>
      <vt:lpstr>'IWP13'!Std2ColBOutsideReviewPeriodCount</vt:lpstr>
      <vt:lpstr>'IWP14'!Std2ColBOutsideReviewPeriodCount</vt:lpstr>
      <vt:lpstr>'IWP15'!Std2ColBOutsideReviewPeriodCount</vt:lpstr>
      <vt:lpstr>'IWP16'!Std2ColBOutsideReviewPeriodCount</vt:lpstr>
      <vt:lpstr>'IWP17'!Std2ColBOutsideReviewPeriodCount</vt:lpstr>
      <vt:lpstr>'IWP18'!Std2ColBOutsideReviewPeriodCount</vt:lpstr>
      <vt:lpstr>'IWP19'!Std2ColBOutsideReviewPeriodCount</vt:lpstr>
      <vt:lpstr>'IWP20'!Std2ColBOutsideReviewPeriodCount</vt:lpstr>
      <vt:lpstr>'IWP21'!Std2ColBOutsideReviewPeriodCount</vt:lpstr>
      <vt:lpstr>'IWP22'!Std2ColBOutsideReviewPeriodCount</vt:lpstr>
      <vt:lpstr>'IWP23'!Std2ColBOutsideReviewPeriodCount</vt:lpstr>
      <vt:lpstr>'IWP24'!Std2ColBOutsideReviewPeriodCount</vt:lpstr>
      <vt:lpstr>'IWP25'!Std2ColBOutsideReviewPeriodCount</vt:lpstr>
      <vt:lpstr>'IWP26'!Std2ColBOutsideReviewPeriodCount</vt:lpstr>
      <vt:lpstr>'IWP27'!Std2ColBOutsideReviewPeriodCount</vt:lpstr>
      <vt:lpstr>'IWP28'!Std2ColBOutsideReviewPeriodCount</vt:lpstr>
      <vt:lpstr>'IWP29'!Std2ColBOutsideReviewPeriodCount</vt:lpstr>
      <vt:lpstr>'IWP30'!Std2ColBOutsideReviewPeriodCount</vt:lpstr>
      <vt:lpstr>Std2ColBOutsideReviewPeriodCount</vt:lpstr>
      <vt:lpstr>'IWP02'!Std2ColCEAllNo</vt:lpstr>
      <vt:lpstr>'IWP03'!Std2ColCEAllNo</vt:lpstr>
      <vt:lpstr>'IWP04'!Std2ColCEAllNo</vt:lpstr>
      <vt:lpstr>'IWP05'!Std2ColCEAllNo</vt:lpstr>
      <vt:lpstr>'IWP06'!Std2ColCEAllNo</vt:lpstr>
      <vt:lpstr>'IWP07'!Std2ColCEAllNo</vt:lpstr>
      <vt:lpstr>'IWP08'!Std2ColCEAllNo</vt:lpstr>
      <vt:lpstr>'IWP09'!Std2ColCEAllNo</vt:lpstr>
      <vt:lpstr>'IWP10'!Std2ColCEAllNo</vt:lpstr>
      <vt:lpstr>'IWP11'!Std2ColCEAllNo</vt:lpstr>
      <vt:lpstr>'IWP12'!Std2ColCEAllNo</vt:lpstr>
      <vt:lpstr>'IWP13'!Std2ColCEAllNo</vt:lpstr>
      <vt:lpstr>'IWP14'!Std2ColCEAllNo</vt:lpstr>
      <vt:lpstr>'IWP15'!Std2ColCEAllNo</vt:lpstr>
      <vt:lpstr>'IWP16'!Std2ColCEAllNo</vt:lpstr>
      <vt:lpstr>'IWP17'!Std2ColCEAllNo</vt:lpstr>
      <vt:lpstr>'IWP18'!Std2ColCEAllNo</vt:lpstr>
      <vt:lpstr>'IWP19'!Std2ColCEAllNo</vt:lpstr>
      <vt:lpstr>'IWP20'!Std2ColCEAllNo</vt:lpstr>
      <vt:lpstr>'IWP21'!Std2ColCEAllNo</vt:lpstr>
      <vt:lpstr>'IWP22'!Std2ColCEAllNo</vt:lpstr>
      <vt:lpstr>'IWP23'!Std2ColCEAllNo</vt:lpstr>
      <vt:lpstr>'IWP24'!Std2ColCEAllNo</vt:lpstr>
      <vt:lpstr>'IWP25'!Std2ColCEAllNo</vt:lpstr>
      <vt:lpstr>'IWP26'!Std2ColCEAllNo</vt:lpstr>
      <vt:lpstr>'IWP27'!Std2ColCEAllNo</vt:lpstr>
      <vt:lpstr>'IWP28'!Std2ColCEAllNo</vt:lpstr>
      <vt:lpstr>'IWP29'!Std2ColCEAllNo</vt:lpstr>
      <vt:lpstr>'IWP30'!Std2ColCEAllNo</vt:lpstr>
      <vt:lpstr>Std2ColCEAllNo</vt:lpstr>
      <vt:lpstr>'IWP02'!Std2ColCEAnyNo</vt:lpstr>
      <vt:lpstr>'IWP03'!Std2ColCEAnyNo</vt:lpstr>
      <vt:lpstr>'IWP04'!Std2ColCEAnyNo</vt:lpstr>
      <vt:lpstr>'IWP05'!Std2ColCEAnyNo</vt:lpstr>
      <vt:lpstr>'IWP06'!Std2ColCEAnyNo</vt:lpstr>
      <vt:lpstr>'IWP07'!Std2ColCEAnyNo</vt:lpstr>
      <vt:lpstr>'IWP08'!Std2ColCEAnyNo</vt:lpstr>
      <vt:lpstr>'IWP09'!Std2ColCEAnyNo</vt:lpstr>
      <vt:lpstr>'IWP10'!Std2ColCEAnyNo</vt:lpstr>
      <vt:lpstr>'IWP11'!Std2ColCEAnyNo</vt:lpstr>
      <vt:lpstr>'IWP12'!Std2ColCEAnyNo</vt:lpstr>
      <vt:lpstr>'IWP13'!Std2ColCEAnyNo</vt:lpstr>
      <vt:lpstr>'IWP14'!Std2ColCEAnyNo</vt:lpstr>
      <vt:lpstr>'IWP15'!Std2ColCEAnyNo</vt:lpstr>
      <vt:lpstr>'IWP16'!Std2ColCEAnyNo</vt:lpstr>
      <vt:lpstr>'IWP17'!Std2ColCEAnyNo</vt:lpstr>
      <vt:lpstr>'IWP18'!Std2ColCEAnyNo</vt:lpstr>
      <vt:lpstr>'IWP19'!Std2ColCEAnyNo</vt:lpstr>
      <vt:lpstr>'IWP20'!Std2ColCEAnyNo</vt:lpstr>
      <vt:lpstr>'IWP21'!Std2ColCEAnyNo</vt:lpstr>
      <vt:lpstr>'IWP22'!Std2ColCEAnyNo</vt:lpstr>
      <vt:lpstr>'IWP23'!Std2ColCEAnyNo</vt:lpstr>
      <vt:lpstr>'IWP24'!Std2ColCEAnyNo</vt:lpstr>
      <vt:lpstr>'IWP25'!Std2ColCEAnyNo</vt:lpstr>
      <vt:lpstr>'IWP26'!Std2ColCEAnyNo</vt:lpstr>
      <vt:lpstr>'IWP27'!Std2ColCEAnyNo</vt:lpstr>
      <vt:lpstr>'IWP28'!Std2ColCEAnyNo</vt:lpstr>
      <vt:lpstr>'IWP29'!Std2ColCEAnyNo</vt:lpstr>
      <vt:lpstr>'IWP30'!Std2ColCEAnyNo</vt:lpstr>
      <vt:lpstr>Std2ColCEAnyNo</vt:lpstr>
      <vt:lpstr>'IWP02'!Std2ColCEBlanks</vt:lpstr>
      <vt:lpstr>'IWP03'!Std2ColCEBlanks</vt:lpstr>
      <vt:lpstr>'IWP04'!Std2ColCEBlanks</vt:lpstr>
      <vt:lpstr>'IWP05'!Std2ColCEBlanks</vt:lpstr>
      <vt:lpstr>'IWP06'!Std2ColCEBlanks</vt:lpstr>
      <vt:lpstr>'IWP07'!Std2ColCEBlanks</vt:lpstr>
      <vt:lpstr>'IWP08'!Std2ColCEBlanks</vt:lpstr>
      <vt:lpstr>'IWP09'!Std2ColCEBlanks</vt:lpstr>
      <vt:lpstr>'IWP10'!Std2ColCEBlanks</vt:lpstr>
      <vt:lpstr>'IWP11'!Std2ColCEBlanks</vt:lpstr>
      <vt:lpstr>'IWP12'!Std2ColCEBlanks</vt:lpstr>
      <vt:lpstr>'IWP13'!Std2ColCEBlanks</vt:lpstr>
      <vt:lpstr>'IWP14'!Std2ColCEBlanks</vt:lpstr>
      <vt:lpstr>'IWP15'!Std2ColCEBlanks</vt:lpstr>
      <vt:lpstr>'IWP16'!Std2ColCEBlanks</vt:lpstr>
      <vt:lpstr>'IWP17'!Std2ColCEBlanks</vt:lpstr>
      <vt:lpstr>'IWP18'!Std2ColCEBlanks</vt:lpstr>
      <vt:lpstr>'IWP19'!Std2ColCEBlanks</vt:lpstr>
      <vt:lpstr>'IWP20'!Std2ColCEBlanks</vt:lpstr>
      <vt:lpstr>'IWP21'!Std2ColCEBlanks</vt:lpstr>
      <vt:lpstr>'IWP22'!Std2ColCEBlanks</vt:lpstr>
      <vt:lpstr>'IWP23'!Std2ColCEBlanks</vt:lpstr>
      <vt:lpstr>'IWP24'!Std2ColCEBlanks</vt:lpstr>
      <vt:lpstr>'IWP25'!Std2ColCEBlanks</vt:lpstr>
      <vt:lpstr>'IWP26'!Std2ColCEBlanks</vt:lpstr>
      <vt:lpstr>'IWP27'!Std2ColCEBlanks</vt:lpstr>
      <vt:lpstr>'IWP28'!Std2ColCEBlanks</vt:lpstr>
      <vt:lpstr>'IWP29'!Std2ColCEBlanks</vt:lpstr>
      <vt:lpstr>'IWP30'!Std2ColCEBlanks</vt:lpstr>
      <vt:lpstr>Std2ColCEBlanks</vt:lpstr>
      <vt:lpstr>'IWP02'!Std2ColCEErrorCount</vt:lpstr>
      <vt:lpstr>'IWP03'!Std2ColCEErrorCount</vt:lpstr>
      <vt:lpstr>'IWP04'!Std2ColCEErrorCount</vt:lpstr>
      <vt:lpstr>'IWP05'!Std2ColCEErrorCount</vt:lpstr>
      <vt:lpstr>'IWP06'!Std2ColCEErrorCount</vt:lpstr>
      <vt:lpstr>'IWP07'!Std2ColCEErrorCount</vt:lpstr>
      <vt:lpstr>'IWP08'!Std2ColCEErrorCount</vt:lpstr>
      <vt:lpstr>'IWP09'!Std2ColCEErrorCount</vt:lpstr>
      <vt:lpstr>'IWP10'!Std2ColCEErrorCount</vt:lpstr>
      <vt:lpstr>'IWP11'!Std2ColCEErrorCount</vt:lpstr>
      <vt:lpstr>'IWP12'!Std2ColCEErrorCount</vt:lpstr>
      <vt:lpstr>'IWP13'!Std2ColCEErrorCount</vt:lpstr>
      <vt:lpstr>'IWP14'!Std2ColCEErrorCount</vt:lpstr>
      <vt:lpstr>'IWP15'!Std2ColCEErrorCount</vt:lpstr>
      <vt:lpstr>'IWP16'!Std2ColCEErrorCount</vt:lpstr>
      <vt:lpstr>'IWP17'!Std2ColCEErrorCount</vt:lpstr>
      <vt:lpstr>'IWP18'!Std2ColCEErrorCount</vt:lpstr>
      <vt:lpstr>'IWP19'!Std2ColCEErrorCount</vt:lpstr>
      <vt:lpstr>'IWP20'!Std2ColCEErrorCount</vt:lpstr>
      <vt:lpstr>'IWP21'!Std2ColCEErrorCount</vt:lpstr>
      <vt:lpstr>'IWP22'!Std2ColCEErrorCount</vt:lpstr>
      <vt:lpstr>'IWP23'!Std2ColCEErrorCount</vt:lpstr>
      <vt:lpstr>'IWP24'!Std2ColCEErrorCount</vt:lpstr>
      <vt:lpstr>'IWP25'!Std2ColCEErrorCount</vt:lpstr>
      <vt:lpstr>'IWP26'!Std2ColCEErrorCount</vt:lpstr>
      <vt:lpstr>'IWP27'!Std2ColCEErrorCount</vt:lpstr>
      <vt:lpstr>'IWP28'!Std2ColCEErrorCount</vt:lpstr>
      <vt:lpstr>'IWP29'!Std2ColCEErrorCount</vt:lpstr>
      <vt:lpstr>'IWP30'!Std2ColCEErrorCount</vt:lpstr>
      <vt:lpstr>Std2ColCEErrorCount</vt:lpstr>
      <vt:lpstr>'IWP02'!Std2ColCENACount</vt:lpstr>
      <vt:lpstr>'IWP03'!Std2ColCENACount</vt:lpstr>
      <vt:lpstr>'IWP04'!Std2ColCENACount</vt:lpstr>
      <vt:lpstr>'IWP05'!Std2ColCENACount</vt:lpstr>
      <vt:lpstr>'IWP06'!Std2ColCENACount</vt:lpstr>
      <vt:lpstr>'IWP07'!Std2ColCENACount</vt:lpstr>
      <vt:lpstr>'IWP08'!Std2ColCENACount</vt:lpstr>
      <vt:lpstr>'IWP09'!Std2ColCENACount</vt:lpstr>
      <vt:lpstr>'IWP10'!Std2ColCENACount</vt:lpstr>
      <vt:lpstr>'IWP11'!Std2ColCENACount</vt:lpstr>
      <vt:lpstr>'IWP12'!Std2ColCENACount</vt:lpstr>
      <vt:lpstr>'IWP13'!Std2ColCENACount</vt:lpstr>
      <vt:lpstr>'IWP14'!Std2ColCENACount</vt:lpstr>
      <vt:lpstr>'IWP15'!Std2ColCENACount</vt:lpstr>
      <vt:lpstr>'IWP16'!Std2ColCENACount</vt:lpstr>
      <vt:lpstr>'IWP17'!Std2ColCENACount</vt:lpstr>
      <vt:lpstr>'IWP18'!Std2ColCENACount</vt:lpstr>
      <vt:lpstr>'IWP19'!Std2ColCENACount</vt:lpstr>
      <vt:lpstr>'IWP20'!Std2ColCENACount</vt:lpstr>
      <vt:lpstr>'IWP21'!Std2ColCENACount</vt:lpstr>
      <vt:lpstr>'IWP22'!Std2ColCENACount</vt:lpstr>
      <vt:lpstr>'IWP23'!Std2ColCENACount</vt:lpstr>
      <vt:lpstr>'IWP24'!Std2ColCENACount</vt:lpstr>
      <vt:lpstr>'IWP25'!Std2ColCENACount</vt:lpstr>
      <vt:lpstr>'IWP26'!Std2ColCENACount</vt:lpstr>
      <vt:lpstr>'IWP27'!Std2ColCENACount</vt:lpstr>
      <vt:lpstr>'IWP28'!Std2ColCENACount</vt:lpstr>
      <vt:lpstr>'IWP29'!Std2ColCENACount</vt:lpstr>
      <vt:lpstr>'IWP30'!Std2ColCENACount</vt:lpstr>
      <vt:lpstr>Std2ColCENACount</vt:lpstr>
      <vt:lpstr>'IWP02'!Std2ColCEOneYRestNA</vt:lpstr>
      <vt:lpstr>'IWP03'!Std2ColCEOneYRestNA</vt:lpstr>
      <vt:lpstr>'IWP04'!Std2ColCEOneYRestNA</vt:lpstr>
      <vt:lpstr>'IWP05'!Std2ColCEOneYRestNA</vt:lpstr>
      <vt:lpstr>'IWP06'!Std2ColCEOneYRestNA</vt:lpstr>
      <vt:lpstr>'IWP07'!Std2ColCEOneYRestNA</vt:lpstr>
      <vt:lpstr>'IWP08'!Std2ColCEOneYRestNA</vt:lpstr>
      <vt:lpstr>'IWP09'!Std2ColCEOneYRestNA</vt:lpstr>
      <vt:lpstr>'IWP10'!Std2ColCEOneYRestNA</vt:lpstr>
      <vt:lpstr>'IWP11'!Std2ColCEOneYRestNA</vt:lpstr>
      <vt:lpstr>'IWP12'!Std2ColCEOneYRestNA</vt:lpstr>
      <vt:lpstr>'IWP13'!Std2ColCEOneYRestNA</vt:lpstr>
      <vt:lpstr>'IWP14'!Std2ColCEOneYRestNA</vt:lpstr>
      <vt:lpstr>'IWP15'!Std2ColCEOneYRestNA</vt:lpstr>
      <vt:lpstr>'IWP16'!Std2ColCEOneYRestNA</vt:lpstr>
      <vt:lpstr>'IWP17'!Std2ColCEOneYRestNA</vt:lpstr>
      <vt:lpstr>'IWP18'!Std2ColCEOneYRestNA</vt:lpstr>
      <vt:lpstr>'IWP19'!Std2ColCEOneYRestNA</vt:lpstr>
      <vt:lpstr>'IWP20'!Std2ColCEOneYRestNA</vt:lpstr>
      <vt:lpstr>'IWP21'!Std2ColCEOneYRestNA</vt:lpstr>
      <vt:lpstr>'IWP22'!Std2ColCEOneYRestNA</vt:lpstr>
      <vt:lpstr>'IWP23'!Std2ColCEOneYRestNA</vt:lpstr>
      <vt:lpstr>'IWP24'!Std2ColCEOneYRestNA</vt:lpstr>
      <vt:lpstr>'IWP25'!Std2ColCEOneYRestNA</vt:lpstr>
      <vt:lpstr>'IWP26'!Std2ColCEOneYRestNA</vt:lpstr>
      <vt:lpstr>'IWP27'!Std2ColCEOneYRestNA</vt:lpstr>
      <vt:lpstr>'IWP28'!Std2ColCEOneYRestNA</vt:lpstr>
      <vt:lpstr>'IWP29'!Std2ColCEOneYRestNA</vt:lpstr>
      <vt:lpstr>'IWP30'!Std2ColCEOneYRestNA</vt:lpstr>
      <vt:lpstr>Std2ColCEOneYRestNA</vt:lpstr>
      <vt:lpstr>'IWP02'!Std2ColCEQCount</vt:lpstr>
      <vt:lpstr>'IWP03'!Std2ColCEQCount</vt:lpstr>
      <vt:lpstr>'IWP04'!Std2ColCEQCount</vt:lpstr>
      <vt:lpstr>'IWP05'!Std2ColCEQCount</vt:lpstr>
      <vt:lpstr>'IWP06'!Std2ColCEQCount</vt:lpstr>
      <vt:lpstr>'IWP07'!Std2ColCEQCount</vt:lpstr>
      <vt:lpstr>'IWP08'!Std2ColCEQCount</vt:lpstr>
      <vt:lpstr>'IWP09'!Std2ColCEQCount</vt:lpstr>
      <vt:lpstr>'IWP10'!Std2ColCEQCount</vt:lpstr>
      <vt:lpstr>'IWP11'!Std2ColCEQCount</vt:lpstr>
      <vt:lpstr>'IWP12'!Std2ColCEQCount</vt:lpstr>
      <vt:lpstr>'IWP13'!Std2ColCEQCount</vt:lpstr>
      <vt:lpstr>'IWP14'!Std2ColCEQCount</vt:lpstr>
      <vt:lpstr>'IWP15'!Std2ColCEQCount</vt:lpstr>
      <vt:lpstr>'IWP16'!Std2ColCEQCount</vt:lpstr>
      <vt:lpstr>'IWP17'!Std2ColCEQCount</vt:lpstr>
      <vt:lpstr>'IWP18'!Std2ColCEQCount</vt:lpstr>
      <vt:lpstr>'IWP19'!Std2ColCEQCount</vt:lpstr>
      <vt:lpstr>'IWP20'!Std2ColCEQCount</vt:lpstr>
      <vt:lpstr>'IWP21'!Std2ColCEQCount</vt:lpstr>
      <vt:lpstr>'IWP22'!Std2ColCEQCount</vt:lpstr>
      <vt:lpstr>'IWP23'!Std2ColCEQCount</vt:lpstr>
      <vt:lpstr>'IWP24'!Std2ColCEQCount</vt:lpstr>
      <vt:lpstr>'IWP25'!Std2ColCEQCount</vt:lpstr>
      <vt:lpstr>'IWP26'!Std2ColCEQCount</vt:lpstr>
      <vt:lpstr>'IWP27'!Std2ColCEQCount</vt:lpstr>
      <vt:lpstr>'IWP28'!Std2ColCEQCount</vt:lpstr>
      <vt:lpstr>'IWP29'!Std2ColCEQCount</vt:lpstr>
      <vt:lpstr>'IWP30'!Std2ColCEQCount</vt:lpstr>
      <vt:lpstr>Std2ColCEQCount</vt:lpstr>
      <vt:lpstr>'IWP02'!Std2ColCEYCount</vt:lpstr>
      <vt:lpstr>'IWP03'!Std2ColCEYCount</vt:lpstr>
      <vt:lpstr>'IWP04'!Std2ColCEYCount</vt:lpstr>
      <vt:lpstr>'IWP05'!Std2ColCEYCount</vt:lpstr>
      <vt:lpstr>'IWP06'!Std2ColCEYCount</vt:lpstr>
      <vt:lpstr>'IWP07'!Std2ColCEYCount</vt:lpstr>
      <vt:lpstr>'IWP08'!Std2ColCEYCount</vt:lpstr>
      <vt:lpstr>'IWP09'!Std2ColCEYCount</vt:lpstr>
      <vt:lpstr>'IWP10'!Std2ColCEYCount</vt:lpstr>
      <vt:lpstr>'IWP11'!Std2ColCEYCount</vt:lpstr>
      <vt:lpstr>'IWP12'!Std2ColCEYCount</vt:lpstr>
      <vt:lpstr>'IWP13'!Std2ColCEYCount</vt:lpstr>
      <vt:lpstr>'IWP14'!Std2ColCEYCount</vt:lpstr>
      <vt:lpstr>'IWP15'!Std2ColCEYCount</vt:lpstr>
      <vt:lpstr>'IWP16'!Std2ColCEYCount</vt:lpstr>
      <vt:lpstr>'IWP17'!Std2ColCEYCount</vt:lpstr>
      <vt:lpstr>'IWP18'!Std2ColCEYCount</vt:lpstr>
      <vt:lpstr>'IWP19'!Std2ColCEYCount</vt:lpstr>
      <vt:lpstr>'IWP20'!Std2ColCEYCount</vt:lpstr>
      <vt:lpstr>'IWP21'!Std2ColCEYCount</vt:lpstr>
      <vt:lpstr>'IWP22'!Std2ColCEYCount</vt:lpstr>
      <vt:lpstr>'IWP23'!Std2ColCEYCount</vt:lpstr>
      <vt:lpstr>'IWP24'!Std2ColCEYCount</vt:lpstr>
      <vt:lpstr>'IWP25'!Std2ColCEYCount</vt:lpstr>
      <vt:lpstr>'IWP26'!Std2ColCEYCount</vt:lpstr>
      <vt:lpstr>'IWP27'!Std2ColCEYCount</vt:lpstr>
      <vt:lpstr>'IWP28'!Std2ColCEYCount</vt:lpstr>
      <vt:lpstr>'IWP29'!Std2ColCEYCount</vt:lpstr>
      <vt:lpstr>'IWP30'!Std2ColCEYCount</vt:lpstr>
      <vt:lpstr>Std2ColCEYCount</vt:lpstr>
      <vt:lpstr>'IWP02'!Std2ColFAllYes</vt:lpstr>
      <vt:lpstr>'IWP03'!Std2ColFAllYes</vt:lpstr>
      <vt:lpstr>'IWP04'!Std2ColFAllYes</vt:lpstr>
      <vt:lpstr>'IWP05'!Std2ColFAllYes</vt:lpstr>
      <vt:lpstr>'IWP06'!Std2ColFAllYes</vt:lpstr>
      <vt:lpstr>'IWP07'!Std2ColFAllYes</vt:lpstr>
      <vt:lpstr>'IWP08'!Std2ColFAllYes</vt:lpstr>
      <vt:lpstr>'IWP09'!Std2ColFAllYes</vt:lpstr>
      <vt:lpstr>'IWP10'!Std2ColFAllYes</vt:lpstr>
      <vt:lpstr>'IWP11'!Std2ColFAllYes</vt:lpstr>
      <vt:lpstr>'IWP12'!Std2ColFAllYes</vt:lpstr>
      <vt:lpstr>'IWP13'!Std2ColFAllYes</vt:lpstr>
      <vt:lpstr>'IWP14'!Std2ColFAllYes</vt:lpstr>
      <vt:lpstr>'IWP15'!Std2ColFAllYes</vt:lpstr>
      <vt:lpstr>'IWP16'!Std2ColFAllYes</vt:lpstr>
      <vt:lpstr>'IWP17'!Std2ColFAllYes</vt:lpstr>
      <vt:lpstr>'IWP18'!Std2ColFAllYes</vt:lpstr>
      <vt:lpstr>'IWP19'!Std2ColFAllYes</vt:lpstr>
      <vt:lpstr>'IWP20'!Std2ColFAllYes</vt:lpstr>
      <vt:lpstr>'IWP21'!Std2ColFAllYes</vt:lpstr>
      <vt:lpstr>'IWP22'!Std2ColFAllYes</vt:lpstr>
      <vt:lpstr>'IWP23'!Std2ColFAllYes</vt:lpstr>
      <vt:lpstr>'IWP24'!Std2ColFAllYes</vt:lpstr>
      <vt:lpstr>'IWP25'!Std2ColFAllYes</vt:lpstr>
      <vt:lpstr>'IWP26'!Std2ColFAllYes</vt:lpstr>
      <vt:lpstr>'IWP27'!Std2ColFAllYes</vt:lpstr>
      <vt:lpstr>'IWP28'!Std2ColFAllYes</vt:lpstr>
      <vt:lpstr>'IWP29'!Std2ColFAllYes</vt:lpstr>
      <vt:lpstr>'IWP30'!Std2ColFAllYes</vt:lpstr>
      <vt:lpstr>Std2ColFAllYes</vt:lpstr>
      <vt:lpstr>'IWP02'!Std2ColFAllYesOrNA</vt:lpstr>
      <vt:lpstr>'IWP03'!Std2ColFAllYesOrNA</vt:lpstr>
      <vt:lpstr>'IWP04'!Std2ColFAllYesOrNA</vt:lpstr>
      <vt:lpstr>'IWP05'!Std2ColFAllYesOrNA</vt:lpstr>
      <vt:lpstr>'IWP06'!Std2ColFAllYesOrNA</vt:lpstr>
      <vt:lpstr>'IWP07'!Std2ColFAllYesOrNA</vt:lpstr>
      <vt:lpstr>'IWP08'!Std2ColFAllYesOrNA</vt:lpstr>
      <vt:lpstr>'IWP09'!Std2ColFAllYesOrNA</vt:lpstr>
      <vt:lpstr>'IWP10'!Std2ColFAllYesOrNA</vt:lpstr>
      <vt:lpstr>'IWP11'!Std2ColFAllYesOrNA</vt:lpstr>
      <vt:lpstr>'IWP12'!Std2ColFAllYesOrNA</vt:lpstr>
      <vt:lpstr>'IWP13'!Std2ColFAllYesOrNA</vt:lpstr>
      <vt:lpstr>'IWP14'!Std2ColFAllYesOrNA</vt:lpstr>
      <vt:lpstr>'IWP15'!Std2ColFAllYesOrNA</vt:lpstr>
      <vt:lpstr>'IWP16'!Std2ColFAllYesOrNA</vt:lpstr>
      <vt:lpstr>'IWP17'!Std2ColFAllYesOrNA</vt:lpstr>
      <vt:lpstr>'IWP18'!Std2ColFAllYesOrNA</vt:lpstr>
      <vt:lpstr>'IWP19'!Std2ColFAllYesOrNA</vt:lpstr>
      <vt:lpstr>'IWP20'!Std2ColFAllYesOrNA</vt:lpstr>
      <vt:lpstr>'IWP21'!Std2ColFAllYesOrNA</vt:lpstr>
      <vt:lpstr>'IWP22'!Std2ColFAllYesOrNA</vt:lpstr>
      <vt:lpstr>'IWP23'!Std2ColFAllYesOrNA</vt:lpstr>
      <vt:lpstr>'IWP24'!Std2ColFAllYesOrNA</vt:lpstr>
      <vt:lpstr>'IWP25'!Std2ColFAllYesOrNA</vt:lpstr>
      <vt:lpstr>'IWP26'!Std2ColFAllYesOrNA</vt:lpstr>
      <vt:lpstr>'IWP27'!Std2ColFAllYesOrNA</vt:lpstr>
      <vt:lpstr>'IWP28'!Std2ColFAllYesOrNA</vt:lpstr>
      <vt:lpstr>'IWP29'!Std2ColFAllYesOrNA</vt:lpstr>
      <vt:lpstr>'IWP30'!Std2ColFAllYesOrNA</vt:lpstr>
      <vt:lpstr>Std2ColFAllYesOrNA</vt:lpstr>
      <vt:lpstr>'IWP02'!Std2ColFAnyN</vt:lpstr>
      <vt:lpstr>'IWP03'!Std2ColFAnyN</vt:lpstr>
      <vt:lpstr>'IWP04'!Std2ColFAnyN</vt:lpstr>
      <vt:lpstr>'IWP05'!Std2ColFAnyN</vt:lpstr>
      <vt:lpstr>'IWP06'!Std2ColFAnyN</vt:lpstr>
      <vt:lpstr>'IWP07'!Std2ColFAnyN</vt:lpstr>
      <vt:lpstr>'IWP08'!Std2ColFAnyN</vt:lpstr>
      <vt:lpstr>'IWP09'!Std2ColFAnyN</vt:lpstr>
      <vt:lpstr>'IWP10'!Std2ColFAnyN</vt:lpstr>
      <vt:lpstr>'IWP11'!Std2ColFAnyN</vt:lpstr>
      <vt:lpstr>'IWP12'!Std2ColFAnyN</vt:lpstr>
      <vt:lpstr>'IWP13'!Std2ColFAnyN</vt:lpstr>
      <vt:lpstr>'IWP14'!Std2ColFAnyN</vt:lpstr>
      <vt:lpstr>'IWP15'!Std2ColFAnyN</vt:lpstr>
      <vt:lpstr>'IWP16'!Std2ColFAnyN</vt:lpstr>
      <vt:lpstr>'IWP17'!Std2ColFAnyN</vt:lpstr>
      <vt:lpstr>'IWP18'!Std2ColFAnyN</vt:lpstr>
      <vt:lpstr>'IWP19'!Std2ColFAnyN</vt:lpstr>
      <vt:lpstr>'IWP20'!Std2ColFAnyN</vt:lpstr>
      <vt:lpstr>'IWP21'!Std2ColFAnyN</vt:lpstr>
      <vt:lpstr>'IWP22'!Std2ColFAnyN</vt:lpstr>
      <vt:lpstr>'IWP23'!Std2ColFAnyN</vt:lpstr>
      <vt:lpstr>'IWP24'!Std2ColFAnyN</vt:lpstr>
      <vt:lpstr>'IWP25'!Std2ColFAnyN</vt:lpstr>
      <vt:lpstr>'IWP26'!Std2ColFAnyN</vt:lpstr>
      <vt:lpstr>'IWP27'!Std2ColFAnyN</vt:lpstr>
      <vt:lpstr>'IWP28'!Std2ColFAnyN</vt:lpstr>
      <vt:lpstr>'IWP29'!Std2ColFAnyN</vt:lpstr>
      <vt:lpstr>'IWP30'!Std2ColFAnyN</vt:lpstr>
      <vt:lpstr>Std2ColFAnyN</vt:lpstr>
      <vt:lpstr>'IWP02'!Std2ColFBlanks</vt:lpstr>
      <vt:lpstr>'IWP03'!Std2ColFBlanks</vt:lpstr>
      <vt:lpstr>'IWP04'!Std2ColFBlanks</vt:lpstr>
      <vt:lpstr>'IWP05'!Std2ColFBlanks</vt:lpstr>
      <vt:lpstr>'IWP06'!Std2ColFBlanks</vt:lpstr>
      <vt:lpstr>'IWP07'!Std2ColFBlanks</vt:lpstr>
      <vt:lpstr>'IWP08'!Std2ColFBlanks</vt:lpstr>
      <vt:lpstr>'IWP09'!Std2ColFBlanks</vt:lpstr>
      <vt:lpstr>'IWP10'!Std2ColFBlanks</vt:lpstr>
      <vt:lpstr>'IWP11'!Std2ColFBlanks</vt:lpstr>
      <vt:lpstr>'IWP12'!Std2ColFBlanks</vt:lpstr>
      <vt:lpstr>'IWP13'!Std2ColFBlanks</vt:lpstr>
      <vt:lpstr>'IWP14'!Std2ColFBlanks</vt:lpstr>
      <vt:lpstr>'IWP15'!Std2ColFBlanks</vt:lpstr>
      <vt:lpstr>'IWP16'!Std2ColFBlanks</vt:lpstr>
      <vt:lpstr>'IWP17'!Std2ColFBlanks</vt:lpstr>
      <vt:lpstr>'IWP18'!Std2ColFBlanks</vt:lpstr>
      <vt:lpstr>'IWP19'!Std2ColFBlanks</vt:lpstr>
      <vt:lpstr>'IWP20'!Std2ColFBlanks</vt:lpstr>
      <vt:lpstr>'IWP21'!Std2ColFBlanks</vt:lpstr>
      <vt:lpstr>'IWP22'!Std2ColFBlanks</vt:lpstr>
      <vt:lpstr>'IWP23'!Std2ColFBlanks</vt:lpstr>
      <vt:lpstr>'IWP24'!Std2ColFBlanks</vt:lpstr>
      <vt:lpstr>'IWP25'!Std2ColFBlanks</vt:lpstr>
      <vt:lpstr>'IWP26'!Std2ColFBlanks</vt:lpstr>
      <vt:lpstr>'IWP27'!Std2ColFBlanks</vt:lpstr>
      <vt:lpstr>'IWP28'!Std2ColFBlanks</vt:lpstr>
      <vt:lpstr>'IWP29'!Std2ColFBlanks</vt:lpstr>
      <vt:lpstr>'IWP30'!Std2ColFBlanks</vt:lpstr>
      <vt:lpstr>Std2ColFBlanks</vt:lpstr>
      <vt:lpstr>'IWP02'!Std2ColFErrorCount</vt:lpstr>
      <vt:lpstr>'IWP03'!Std2ColFErrorCount</vt:lpstr>
      <vt:lpstr>'IWP04'!Std2ColFErrorCount</vt:lpstr>
      <vt:lpstr>'IWP05'!Std2ColFErrorCount</vt:lpstr>
      <vt:lpstr>'IWP06'!Std2ColFErrorCount</vt:lpstr>
      <vt:lpstr>'IWP07'!Std2ColFErrorCount</vt:lpstr>
      <vt:lpstr>'IWP08'!Std2ColFErrorCount</vt:lpstr>
      <vt:lpstr>'IWP09'!Std2ColFErrorCount</vt:lpstr>
      <vt:lpstr>'IWP10'!Std2ColFErrorCount</vt:lpstr>
      <vt:lpstr>'IWP11'!Std2ColFErrorCount</vt:lpstr>
      <vt:lpstr>'IWP12'!Std2ColFErrorCount</vt:lpstr>
      <vt:lpstr>'IWP13'!Std2ColFErrorCount</vt:lpstr>
      <vt:lpstr>'IWP14'!Std2ColFErrorCount</vt:lpstr>
      <vt:lpstr>'IWP15'!Std2ColFErrorCount</vt:lpstr>
      <vt:lpstr>'IWP16'!Std2ColFErrorCount</vt:lpstr>
      <vt:lpstr>'IWP17'!Std2ColFErrorCount</vt:lpstr>
      <vt:lpstr>'IWP18'!Std2ColFErrorCount</vt:lpstr>
      <vt:lpstr>'IWP19'!Std2ColFErrorCount</vt:lpstr>
      <vt:lpstr>'IWP20'!Std2ColFErrorCount</vt:lpstr>
      <vt:lpstr>'IWP21'!Std2ColFErrorCount</vt:lpstr>
      <vt:lpstr>'IWP22'!Std2ColFErrorCount</vt:lpstr>
      <vt:lpstr>'IWP23'!Std2ColFErrorCount</vt:lpstr>
      <vt:lpstr>'IWP24'!Std2ColFErrorCount</vt:lpstr>
      <vt:lpstr>'IWP25'!Std2ColFErrorCount</vt:lpstr>
      <vt:lpstr>'IWP26'!Std2ColFErrorCount</vt:lpstr>
      <vt:lpstr>'IWP27'!Std2ColFErrorCount</vt:lpstr>
      <vt:lpstr>'IWP28'!Std2ColFErrorCount</vt:lpstr>
      <vt:lpstr>'IWP29'!Std2ColFErrorCount</vt:lpstr>
      <vt:lpstr>'IWP30'!Std2ColFErrorCount</vt:lpstr>
      <vt:lpstr>Std2ColFErrorCount</vt:lpstr>
      <vt:lpstr>'IWP02'!Std2ColFNoCount</vt:lpstr>
      <vt:lpstr>'IWP03'!Std2ColFNoCount</vt:lpstr>
      <vt:lpstr>'IWP04'!Std2ColFNoCount</vt:lpstr>
      <vt:lpstr>'IWP05'!Std2ColFNoCount</vt:lpstr>
      <vt:lpstr>'IWP06'!Std2ColFNoCount</vt:lpstr>
      <vt:lpstr>'IWP07'!Std2ColFNoCount</vt:lpstr>
      <vt:lpstr>'IWP08'!Std2ColFNoCount</vt:lpstr>
      <vt:lpstr>'IWP09'!Std2ColFNoCount</vt:lpstr>
      <vt:lpstr>'IWP10'!Std2ColFNoCount</vt:lpstr>
      <vt:lpstr>'IWP11'!Std2ColFNoCount</vt:lpstr>
      <vt:lpstr>'IWP12'!Std2ColFNoCount</vt:lpstr>
      <vt:lpstr>'IWP13'!Std2ColFNoCount</vt:lpstr>
      <vt:lpstr>'IWP14'!Std2ColFNoCount</vt:lpstr>
      <vt:lpstr>'IWP15'!Std2ColFNoCount</vt:lpstr>
      <vt:lpstr>'IWP16'!Std2ColFNoCount</vt:lpstr>
      <vt:lpstr>'IWP17'!Std2ColFNoCount</vt:lpstr>
      <vt:lpstr>'IWP18'!Std2ColFNoCount</vt:lpstr>
      <vt:lpstr>'IWP19'!Std2ColFNoCount</vt:lpstr>
      <vt:lpstr>'IWP20'!Std2ColFNoCount</vt:lpstr>
      <vt:lpstr>'IWP21'!Std2ColFNoCount</vt:lpstr>
      <vt:lpstr>'IWP22'!Std2ColFNoCount</vt:lpstr>
      <vt:lpstr>'IWP23'!Std2ColFNoCount</vt:lpstr>
      <vt:lpstr>'IWP24'!Std2ColFNoCount</vt:lpstr>
      <vt:lpstr>'IWP25'!Std2ColFNoCount</vt:lpstr>
      <vt:lpstr>'IWP26'!Std2ColFNoCount</vt:lpstr>
      <vt:lpstr>'IWP27'!Std2ColFNoCount</vt:lpstr>
      <vt:lpstr>'IWP28'!Std2ColFNoCount</vt:lpstr>
      <vt:lpstr>'IWP29'!Std2ColFNoCount</vt:lpstr>
      <vt:lpstr>'IWP30'!Std2ColFNoCount</vt:lpstr>
      <vt:lpstr>Std2ColFNoCount</vt:lpstr>
      <vt:lpstr>'IWP02'!Std2ColFQCount</vt:lpstr>
      <vt:lpstr>'IWP03'!Std2ColFQCount</vt:lpstr>
      <vt:lpstr>'IWP04'!Std2ColFQCount</vt:lpstr>
      <vt:lpstr>'IWP05'!Std2ColFQCount</vt:lpstr>
      <vt:lpstr>'IWP06'!Std2ColFQCount</vt:lpstr>
      <vt:lpstr>'IWP07'!Std2ColFQCount</vt:lpstr>
      <vt:lpstr>'IWP08'!Std2ColFQCount</vt:lpstr>
      <vt:lpstr>'IWP09'!Std2ColFQCount</vt:lpstr>
      <vt:lpstr>'IWP10'!Std2ColFQCount</vt:lpstr>
      <vt:lpstr>'IWP11'!Std2ColFQCount</vt:lpstr>
      <vt:lpstr>'IWP12'!Std2ColFQCount</vt:lpstr>
      <vt:lpstr>'IWP13'!Std2ColFQCount</vt:lpstr>
      <vt:lpstr>'IWP14'!Std2ColFQCount</vt:lpstr>
      <vt:lpstr>'IWP15'!Std2ColFQCount</vt:lpstr>
      <vt:lpstr>'IWP16'!Std2ColFQCount</vt:lpstr>
      <vt:lpstr>'IWP17'!Std2ColFQCount</vt:lpstr>
      <vt:lpstr>'IWP18'!Std2ColFQCount</vt:lpstr>
      <vt:lpstr>'IWP19'!Std2ColFQCount</vt:lpstr>
      <vt:lpstr>'IWP20'!Std2ColFQCount</vt:lpstr>
      <vt:lpstr>'IWP21'!Std2ColFQCount</vt:lpstr>
      <vt:lpstr>'IWP22'!Std2ColFQCount</vt:lpstr>
      <vt:lpstr>'IWP23'!Std2ColFQCount</vt:lpstr>
      <vt:lpstr>'IWP24'!Std2ColFQCount</vt:lpstr>
      <vt:lpstr>'IWP25'!Std2ColFQCount</vt:lpstr>
      <vt:lpstr>'IWP26'!Std2ColFQCount</vt:lpstr>
      <vt:lpstr>'IWP27'!Std2ColFQCount</vt:lpstr>
      <vt:lpstr>'IWP28'!Std2ColFQCount</vt:lpstr>
      <vt:lpstr>'IWP29'!Std2ColFQCount</vt:lpstr>
      <vt:lpstr>'IWP30'!Std2ColFQCount</vt:lpstr>
      <vt:lpstr>Std2ColFQCount</vt:lpstr>
      <vt:lpstr>'IWP02'!Std2ColFYesCount</vt:lpstr>
      <vt:lpstr>'IWP03'!Std2ColFYesCount</vt:lpstr>
      <vt:lpstr>'IWP04'!Std2ColFYesCount</vt:lpstr>
      <vt:lpstr>'IWP05'!Std2ColFYesCount</vt:lpstr>
      <vt:lpstr>'IWP06'!Std2ColFYesCount</vt:lpstr>
      <vt:lpstr>'IWP07'!Std2ColFYesCount</vt:lpstr>
      <vt:lpstr>'IWP08'!Std2ColFYesCount</vt:lpstr>
      <vt:lpstr>'IWP09'!Std2ColFYesCount</vt:lpstr>
      <vt:lpstr>'IWP10'!Std2ColFYesCount</vt:lpstr>
      <vt:lpstr>'IWP11'!Std2ColFYesCount</vt:lpstr>
      <vt:lpstr>'IWP12'!Std2ColFYesCount</vt:lpstr>
      <vt:lpstr>'IWP13'!Std2ColFYesCount</vt:lpstr>
      <vt:lpstr>'IWP14'!Std2ColFYesCount</vt:lpstr>
      <vt:lpstr>'IWP15'!Std2ColFYesCount</vt:lpstr>
      <vt:lpstr>'IWP16'!Std2ColFYesCount</vt:lpstr>
      <vt:lpstr>'IWP17'!Std2ColFYesCount</vt:lpstr>
      <vt:lpstr>'IWP18'!Std2ColFYesCount</vt:lpstr>
      <vt:lpstr>'IWP19'!Std2ColFYesCount</vt:lpstr>
      <vt:lpstr>'IWP20'!Std2ColFYesCount</vt:lpstr>
      <vt:lpstr>'IWP21'!Std2ColFYesCount</vt:lpstr>
      <vt:lpstr>'IWP22'!Std2ColFYesCount</vt:lpstr>
      <vt:lpstr>'IWP23'!Std2ColFYesCount</vt:lpstr>
      <vt:lpstr>'IWP24'!Std2ColFYesCount</vt:lpstr>
      <vt:lpstr>'IWP25'!Std2ColFYesCount</vt:lpstr>
      <vt:lpstr>'IWP26'!Std2ColFYesCount</vt:lpstr>
      <vt:lpstr>'IWP27'!Std2ColFYesCount</vt:lpstr>
      <vt:lpstr>'IWP28'!Std2ColFYesCount</vt:lpstr>
      <vt:lpstr>'IWP29'!Std2ColFYesCount</vt:lpstr>
      <vt:lpstr>'IWP30'!Std2ColFYesCount</vt:lpstr>
      <vt:lpstr>Std2ColFYesCount</vt:lpstr>
      <vt:lpstr>'IWP02'!Std2ColFYesNACount</vt:lpstr>
      <vt:lpstr>'IWP03'!Std2ColFYesNACount</vt:lpstr>
      <vt:lpstr>'IWP04'!Std2ColFYesNACount</vt:lpstr>
      <vt:lpstr>'IWP05'!Std2ColFYesNACount</vt:lpstr>
      <vt:lpstr>'IWP06'!Std2ColFYesNACount</vt:lpstr>
      <vt:lpstr>'IWP07'!Std2ColFYesNACount</vt:lpstr>
      <vt:lpstr>'IWP08'!Std2ColFYesNACount</vt:lpstr>
      <vt:lpstr>'IWP09'!Std2ColFYesNACount</vt:lpstr>
      <vt:lpstr>'IWP10'!Std2ColFYesNACount</vt:lpstr>
      <vt:lpstr>'IWP11'!Std2ColFYesNACount</vt:lpstr>
      <vt:lpstr>'IWP12'!Std2ColFYesNACount</vt:lpstr>
      <vt:lpstr>'IWP13'!Std2ColFYesNACount</vt:lpstr>
      <vt:lpstr>'IWP14'!Std2ColFYesNACount</vt:lpstr>
      <vt:lpstr>'IWP15'!Std2ColFYesNACount</vt:lpstr>
      <vt:lpstr>'IWP16'!Std2ColFYesNACount</vt:lpstr>
      <vt:lpstr>'IWP17'!Std2ColFYesNACount</vt:lpstr>
      <vt:lpstr>'IWP18'!Std2ColFYesNACount</vt:lpstr>
      <vt:lpstr>'IWP19'!Std2ColFYesNACount</vt:lpstr>
      <vt:lpstr>'IWP20'!Std2ColFYesNACount</vt:lpstr>
      <vt:lpstr>'IWP21'!Std2ColFYesNACount</vt:lpstr>
      <vt:lpstr>'IWP22'!Std2ColFYesNACount</vt:lpstr>
      <vt:lpstr>'IWP23'!Std2ColFYesNACount</vt:lpstr>
      <vt:lpstr>'IWP24'!Std2ColFYesNACount</vt:lpstr>
      <vt:lpstr>'IWP25'!Std2ColFYesNACount</vt:lpstr>
      <vt:lpstr>'IWP26'!Std2ColFYesNACount</vt:lpstr>
      <vt:lpstr>'IWP27'!Std2ColFYesNACount</vt:lpstr>
      <vt:lpstr>'IWP28'!Std2ColFYesNACount</vt:lpstr>
      <vt:lpstr>'IWP29'!Std2ColFYesNACount</vt:lpstr>
      <vt:lpstr>'IWP30'!Std2ColFYesNACount</vt:lpstr>
      <vt:lpstr>Std2ColFYesNACount</vt:lpstr>
      <vt:lpstr>'IWP02'!Std2ColGHIAllNA</vt:lpstr>
      <vt:lpstr>'IWP03'!Std2ColGHIAllNA</vt:lpstr>
      <vt:lpstr>'IWP04'!Std2ColGHIAllNA</vt:lpstr>
      <vt:lpstr>'IWP05'!Std2ColGHIAllNA</vt:lpstr>
      <vt:lpstr>'IWP06'!Std2ColGHIAllNA</vt:lpstr>
      <vt:lpstr>'IWP07'!Std2ColGHIAllNA</vt:lpstr>
      <vt:lpstr>'IWP08'!Std2ColGHIAllNA</vt:lpstr>
      <vt:lpstr>'IWP09'!Std2ColGHIAllNA</vt:lpstr>
      <vt:lpstr>'IWP10'!Std2ColGHIAllNA</vt:lpstr>
      <vt:lpstr>'IWP11'!Std2ColGHIAllNA</vt:lpstr>
      <vt:lpstr>'IWP12'!Std2ColGHIAllNA</vt:lpstr>
      <vt:lpstr>'IWP13'!Std2ColGHIAllNA</vt:lpstr>
      <vt:lpstr>'IWP14'!Std2ColGHIAllNA</vt:lpstr>
      <vt:lpstr>'IWP15'!Std2ColGHIAllNA</vt:lpstr>
      <vt:lpstr>'IWP16'!Std2ColGHIAllNA</vt:lpstr>
      <vt:lpstr>'IWP17'!Std2ColGHIAllNA</vt:lpstr>
      <vt:lpstr>'IWP18'!Std2ColGHIAllNA</vt:lpstr>
      <vt:lpstr>'IWP19'!Std2ColGHIAllNA</vt:lpstr>
      <vt:lpstr>'IWP20'!Std2ColGHIAllNA</vt:lpstr>
      <vt:lpstr>'IWP21'!Std2ColGHIAllNA</vt:lpstr>
      <vt:lpstr>'IWP22'!Std2ColGHIAllNA</vt:lpstr>
      <vt:lpstr>'IWP23'!Std2ColGHIAllNA</vt:lpstr>
      <vt:lpstr>'IWP24'!Std2ColGHIAllNA</vt:lpstr>
      <vt:lpstr>'IWP25'!Std2ColGHIAllNA</vt:lpstr>
      <vt:lpstr>'IWP26'!Std2ColGHIAllNA</vt:lpstr>
      <vt:lpstr>'IWP27'!Std2ColGHIAllNA</vt:lpstr>
      <vt:lpstr>'IWP28'!Std2ColGHIAllNA</vt:lpstr>
      <vt:lpstr>'IWP29'!Std2ColGHIAllNA</vt:lpstr>
      <vt:lpstr>'IWP30'!Std2ColGHIAllNA</vt:lpstr>
      <vt:lpstr>Std2ColGHIAllNA</vt:lpstr>
      <vt:lpstr>'IWP02'!Std2ColGHIAnyN</vt:lpstr>
      <vt:lpstr>'IWP03'!Std2ColGHIAnyN</vt:lpstr>
      <vt:lpstr>'IWP04'!Std2ColGHIAnyN</vt:lpstr>
      <vt:lpstr>'IWP05'!Std2ColGHIAnyN</vt:lpstr>
      <vt:lpstr>'IWP06'!Std2ColGHIAnyN</vt:lpstr>
      <vt:lpstr>'IWP07'!Std2ColGHIAnyN</vt:lpstr>
      <vt:lpstr>'IWP08'!Std2ColGHIAnyN</vt:lpstr>
      <vt:lpstr>'IWP09'!Std2ColGHIAnyN</vt:lpstr>
      <vt:lpstr>'IWP10'!Std2ColGHIAnyN</vt:lpstr>
      <vt:lpstr>'IWP11'!Std2ColGHIAnyN</vt:lpstr>
      <vt:lpstr>'IWP12'!Std2ColGHIAnyN</vt:lpstr>
      <vt:lpstr>'IWP13'!Std2ColGHIAnyN</vt:lpstr>
      <vt:lpstr>'IWP14'!Std2ColGHIAnyN</vt:lpstr>
      <vt:lpstr>'IWP15'!Std2ColGHIAnyN</vt:lpstr>
      <vt:lpstr>'IWP16'!Std2ColGHIAnyN</vt:lpstr>
      <vt:lpstr>'IWP17'!Std2ColGHIAnyN</vt:lpstr>
      <vt:lpstr>'IWP18'!Std2ColGHIAnyN</vt:lpstr>
      <vt:lpstr>'IWP19'!Std2ColGHIAnyN</vt:lpstr>
      <vt:lpstr>'IWP20'!Std2ColGHIAnyN</vt:lpstr>
      <vt:lpstr>'IWP21'!Std2ColGHIAnyN</vt:lpstr>
      <vt:lpstr>'IWP22'!Std2ColGHIAnyN</vt:lpstr>
      <vt:lpstr>'IWP23'!Std2ColGHIAnyN</vt:lpstr>
      <vt:lpstr>'IWP24'!Std2ColGHIAnyN</vt:lpstr>
      <vt:lpstr>'IWP25'!Std2ColGHIAnyN</vt:lpstr>
      <vt:lpstr>'IWP26'!Std2ColGHIAnyN</vt:lpstr>
      <vt:lpstr>'IWP27'!Std2ColGHIAnyN</vt:lpstr>
      <vt:lpstr>'IWP28'!Std2ColGHIAnyN</vt:lpstr>
      <vt:lpstr>'IWP29'!Std2ColGHIAnyN</vt:lpstr>
      <vt:lpstr>'IWP30'!Std2ColGHIAnyN</vt:lpstr>
      <vt:lpstr>Std2ColGHIAnyN</vt:lpstr>
      <vt:lpstr>'IWP02'!Std2ColGHIAtLeastOneYRestNA</vt:lpstr>
      <vt:lpstr>'IWP03'!Std2ColGHIAtLeastOneYRestNA</vt:lpstr>
      <vt:lpstr>'IWP04'!Std2ColGHIAtLeastOneYRestNA</vt:lpstr>
      <vt:lpstr>'IWP05'!Std2ColGHIAtLeastOneYRestNA</vt:lpstr>
      <vt:lpstr>'IWP06'!Std2ColGHIAtLeastOneYRestNA</vt:lpstr>
      <vt:lpstr>'IWP07'!Std2ColGHIAtLeastOneYRestNA</vt:lpstr>
      <vt:lpstr>'IWP08'!Std2ColGHIAtLeastOneYRestNA</vt:lpstr>
      <vt:lpstr>'IWP09'!Std2ColGHIAtLeastOneYRestNA</vt:lpstr>
      <vt:lpstr>'IWP10'!Std2ColGHIAtLeastOneYRestNA</vt:lpstr>
      <vt:lpstr>'IWP11'!Std2ColGHIAtLeastOneYRestNA</vt:lpstr>
      <vt:lpstr>'IWP12'!Std2ColGHIAtLeastOneYRestNA</vt:lpstr>
      <vt:lpstr>'IWP13'!Std2ColGHIAtLeastOneYRestNA</vt:lpstr>
      <vt:lpstr>'IWP14'!Std2ColGHIAtLeastOneYRestNA</vt:lpstr>
      <vt:lpstr>'IWP15'!Std2ColGHIAtLeastOneYRestNA</vt:lpstr>
      <vt:lpstr>'IWP16'!Std2ColGHIAtLeastOneYRestNA</vt:lpstr>
      <vt:lpstr>'IWP17'!Std2ColGHIAtLeastOneYRestNA</vt:lpstr>
      <vt:lpstr>'IWP18'!Std2ColGHIAtLeastOneYRestNA</vt:lpstr>
      <vt:lpstr>'IWP19'!Std2ColGHIAtLeastOneYRestNA</vt:lpstr>
      <vt:lpstr>'IWP20'!Std2ColGHIAtLeastOneYRestNA</vt:lpstr>
      <vt:lpstr>'IWP21'!Std2ColGHIAtLeastOneYRestNA</vt:lpstr>
      <vt:lpstr>'IWP22'!Std2ColGHIAtLeastOneYRestNA</vt:lpstr>
      <vt:lpstr>'IWP23'!Std2ColGHIAtLeastOneYRestNA</vt:lpstr>
      <vt:lpstr>'IWP24'!Std2ColGHIAtLeastOneYRestNA</vt:lpstr>
      <vt:lpstr>'IWP25'!Std2ColGHIAtLeastOneYRestNA</vt:lpstr>
      <vt:lpstr>'IWP26'!Std2ColGHIAtLeastOneYRestNA</vt:lpstr>
      <vt:lpstr>'IWP27'!Std2ColGHIAtLeastOneYRestNA</vt:lpstr>
      <vt:lpstr>'IWP28'!Std2ColGHIAtLeastOneYRestNA</vt:lpstr>
      <vt:lpstr>'IWP29'!Std2ColGHIAtLeastOneYRestNA</vt:lpstr>
      <vt:lpstr>'IWP30'!Std2ColGHIAtLeastOneYRestNA</vt:lpstr>
      <vt:lpstr>Std2ColGHIAtLeastOneYRestNA</vt:lpstr>
      <vt:lpstr>'IWP02'!Std2ColGHIBlanks</vt:lpstr>
      <vt:lpstr>'IWP03'!Std2ColGHIBlanks</vt:lpstr>
      <vt:lpstr>'IWP04'!Std2ColGHIBlanks</vt:lpstr>
      <vt:lpstr>'IWP05'!Std2ColGHIBlanks</vt:lpstr>
      <vt:lpstr>'IWP06'!Std2ColGHIBlanks</vt:lpstr>
      <vt:lpstr>'IWP07'!Std2ColGHIBlanks</vt:lpstr>
      <vt:lpstr>'IWP08'!Std2ColGHIBlanks</vt:lpstr>
      <vt:lpstr>'IWP09'!Std2ColGHIBlanks</vt:lpstr>
      <vt:lpstr>'IWP10'!Std2ColGHIBlanks</vt:lpstr>
      <vt:lpstr>'IWP11'!Std2ColGHIBlanks</vt:lpstr>
      <vt:lpstr>'IWP12'!Std2ColGHIBlanks</vt:lpstr>
      <vt:lpstr>'IWP13'!Std2ColGHIBlanks</vt:lpstr>
      <vt:lpstr>'IWP14'!Std2ColGHIBlanks</vt:lpstr>
      <vt:lpstr>'IWP15'!Std2ColGHIBlanks</vt:lpstr>
      <vt:lpstr>'IWP16'!Std2ColGHIBlanks</vt:lpstr>
      <vt:lpstr>'IWP17'!Std2ColGHIBlanks</vt:lpstr>
      <vt:lpstr>'IWP18'!Std2ColGHIBlanks</vt:lpstr>
      <vt:lpstr>'IWP19'!Std2ColGHIBlanks</vt:lpstr>
      <vt:lpstr>'IWP20'!Std2ColGHIBlanks</vt:lpstr>
      <vt:lpstr>'IWP21'!Std2ColGHIBlanks</vt:lpstr>
      <vt:lpstr>'IWP22'!Std2ColGHIBlanks</vt:lpstr>
      <vt:lpstr>'IWP23'!Std2ColGHIBlanks</vt:lpstr>
      <vt:lpstr>'IWP24'!Std2ColGHIBlanks</vt:lpstr>
      <vt:lpstr>'IWP25'!Std2ColGHIBlanks</vt:lpstr>
      <vt:lpstr>'IWP26'!Std2ColGHIBlanks</vt:lpstr>
      <vt:lpstr>'IWP27'!Std2ColGHIBlanks</vt:lpstr>
      <vt:lpstr>'IWP28'!Std2ColGHIBlanks</vt:lpstr>
      <vt:lpstr>'IWP29'!Std2ColGHIBlanks</vt:lpstr>
      <vt:lpstr>'IWP30'!Std2ColGHIBlanks</vt:lpstr>
      <vt:lpstr>Std2ColGHIBlanks</vt:lpstr>
      <vt:lpstr>'IWP02'!Std2ColGHIECount</vt:lpstr>
      <vt:lpstr>'IWP03'!Std2ColGHIECount</vt:lpstr>
      <vt:lpstr>'IWP04'!Std2ColGHIECount</vt:lpstr>
      <vt:lpstr>'IWP05'!Std2ColGHIECount</vt:lpstr>
      <vt:lpstr>'IWP06'!Std2ColGHIECount</vt:lpstr>
      <vt:lpstr>'IWP07'!Std2ColGHIECount</vt:lpstr>
      <vt:lpstr>'IWP08'!Std2ColGHIECount</vt:lpstr>
      <vt:lpstr>'IWP09'!Std2ColGHIECount</vt:lpstr>
      <vt:lpstr>'IWP10'!Std2ColGHIECount</vt:lpstr>
      <vt:lpstr>'IWP11'!Std2ColGHIECount</vt:lpstr>
      <vt:lpstr>'IWP12'!Std2ColGHIECount</vt:lpstr>
      <vt:lpstr>'IWP13'!Std2ColGHIECount</vt:lpstr>
      <vt:lpstr>'IWP14'!Std2ColGHIECount</vt:lpstr>
      <vt:lpstr>'IWP15'!Std2ColGHIECount</vt:lpstr>
      <vt:lpstr>'IWP16'!Std2ColGHIECount</vt:lpstr>
      <vt:lpstr>'IWP17'!Std2ColGHIECount</vt:lpstr>
      <vt:lpstr>'IWP18'!Std2ColGHIECount</vt:lpstr>
      <vt:lpstr>'IWP19'!Std2ColGHIECount</vt:lpstr>
      <vt:lpstr>'IWP20'!Std2ColGHIECount</vt:lpstr>
      <vt:lpstr>'IWP21'!Std2ColGHIECount</vt:lpstr>
      <vt:lpstr>'IWP22'!Std2ColGHIECount</vt:lpstr>
      <vt:lpstr>'IWP23'!Std2ColGHIECount</vt:lpstr>
      <vt:lpstr>'IWP24'!Std2ColGHIECount</vt:lpstr>
      <vt:lpstr>'IWP25'!Std2ColGHIECount</vt:lpstr>
      <vt:lpstr>'IWP26'!Std2ColGHIECount</vt:lpstr>
      <vt:lpstr>'IWP27'!Std2ColGHIECount</vt:lpstr>
      <vt:lpstr>'IWP28'!Std2ColGHIECount</vt:lpstr>
      <vt:lpstr>'IWP29'!Std2ColGHIECount</vt:lpstr>
      <vt:lpstr>'IWP30'!Std2ColGHIECount</vt:lpstr>
      <vt:lpstr>Std2ColGHIECount</vt:lpstr>
      <vt:lpstr>'IWP02'!Std2ColGHIQCount</vt:lpstr>
      <vt:lpstr>'IWP03'!Std2ColGHIQCount</vt:lpstr>
      <vt:lpstr>'IWP04'!Std2ColGHIQCount</vt:lpstr>
      <vt:lpstr>'IWP05'!Std2ColGHIQCount</vt:lpstr>
      <vt:lpstr>'IWP06'!Std2ColGHIQCount</vt:lpstr>
      <vt:lpstr>'IWP07'!Std2ColGHIQCount</vt:lpstr>
      <vt:lpstr>'IWP08'!Std2ColGHIQCount</vt:lpstr>
      <vt:lpstr>'IWP09'!Std2ColGHIQCount</vt:lpstr>
      <vt:lpstr>'IWP10'!Std2ColGHIQCount</vt:lpstr>
      <vt:lpstr>'IWP11'!Std2ColGHIQCount</vt:lpstr>
      <vt:lpstr>'IWP12'!Std2ColGHIQCount</vt:lpstr>
      <vt:lpstr>'IWP13'!Std2ColGHIQCount</vt:lpstr>
      <vt:lpstr>'IWP14'!Std2ColGHIQCount</vt:lpstr>
      <vt:lpstr>'IWP15'!Std2ColGHIQCount</vt:lpstr>
      <vt:lpstr>'IWP16'!Std2ColGHIQCount</vt:lpstr>
      <vt:lpstr>'IWP17'!Std2ColGHIQCount</vt:lpstr>
      <vt:lpstr>'IWP18'!Std2ColGHIQCount</vt:lpstr>
      <vt:lpstr>'IWP19'!Std2ColGHIQCount</vt:lpstr>
      <vt:lpstr>'IWP20'!Std2ColGHIQCount</vt:lpstr>
      <vt:lpstr>'IWP21'!Std2ColGHIQCount</vt:lpstr>
      <vt:lpstr>'IWP22'!Std2ColGHIQCount</vt:lpstr>
      <vt:lpstr>'IWP23'!Std2ColGHIQCount</vt:lpstr>
      <vt:lpstr>'IWP24'!Std2ColGHIQCount</vt:lpstr>
      <vt:lpstr>'IWP25'!Std2ColGHIQCount</vt:lpstr>
      <vt:lpstr>'IWP26'!Std2ColGHIQCount</vt:lpstr>
      <vt:lpstr>'IWP27'!Std2ColGHIQCount</vt:lpstr>
      <vt:lpstr>'IWP28'!Std2ColGHIQCount</vt:lpstr>
      <vt:lpstr>'IWP29'!Std2ColGHIQCount</vt:lpstr>
      <vt:lpstr>'IWP30'!Std2ColGHIQCount</vt:lpstr>
      <vt:lpstr>Std2ColGHIQCount</vt:lpstr>
      <vt:lpstr>'IWP01'!Std2dot1</vt:lpstr>
      <vt:lpstr>'IWP02'!Std2dot1</vt:lpstr>
      <vt:lpstr>'IWP03'!Std2dot1</vt:lpstr>
      <vt:lpstr>'IWP04'!Std2dot1</vt:lpstr>
      <vt:lpstr>'IWP05'!Std2dot1</vt:lpstr>
      <vt:lpstr>'IWP06'!Std2dot1</vt:lpstr>
      <vt:lpstr>'IWP07'!Std2dot1</vt:lpstr>
      <vt:lpstr>'IWP08'!Std2dot1</vt:lpstr>
      <vt:lpstr>'IWP09'!Std2dot1</vt:lpstr>
      <vt:lpstr>'IWP10'!Std2dot1</vt:lpstr>
      <vt:lpstr>'IWP11'!Std2dot1</vt:lpstr>
      <vt:lpstr>'IWP12'!Std2dot1</vt:lpstr>
      <vt:lpstr>'IWP13'!Std2dot1</vt:lpstr>
      <vt:lpstr>'IWP14'!Std2dot1</vt:lpstr>
      <vt:lpstr>'IWP15'!Std2dot1</vt:lpstr>
      <vt:lpstr>'IWP16'!Std2dot1</vt:lpstr>
      <vt:lpstr>'IWP17'!Std2dot1</vt:lpstr>
      <vt:lpstr>'IWP18'!Std2dot1</vt:lpstr>
      <vt:lpstr>'IWP19'!Std2dot1</vt:lpstr>
      <vt:lpstr>'IWP20'!Std2dot1</vt:lpstr>
      <vt:lpstr>'IWP21'!Std2dot1</vt:lpstr>
      <vt:lpstr>'IWP22'!Std2dot1</vt:lpstr>
      <vt:lpstr>'IWP23'!Std2dot1</vt:lpstr>
      <vt:lpstr>'IWP24'!Std2dot1</vt:lpstr>
      <vt:lpstr>'IWP25'!Std2dot1</vt:lpstr>
      <vt:lpstr>'IWP26'!Std2dot1</vt:lpstr>
      <vt:lpstr>'IWP27'!Std2dot1</vt:lpstr>
      <vt:lpstr>'IWP28'!Std2dot1</vt:lpstr>
      <vt:lpstr>'IWP29'!Std2dot1</vt:lpstr>
      <vt:lpstr>'IWP30'!Std2dot1</vt:lpstr>
      <vt:lpstr>'IWP01'!Std2dot2</vt:lpstr>
      <vt:lpstr>'IWP02'!Std2dot2</vt:lpstr>
      <vt:lpstr>'IWP03'!Std2dot2</vt:lpstr>
      <vt:lpstr>'IWP04'!Std2dot2</vt:lpstr>
      <vt:lpstr>'IWP05'!Std2dot2</vt:lpstr>
      <vt:lpstr>'IWP06'!Std2dot2</vt:lpstr>
      <vt:lpstr>'IWP07'!Std2dot2</vt:lpstr>
      <vt:lpstr>'IWP08'!Std2dot2</vt:lpstr>
      <vt:lpstr>'IWP09'!Std2dot2</vt:lpstr>
      <vt:lpstr>'IWP10'!Std2dot2</vt:lpstr>
      <vt:lpstr>'IWP11'!Std2dot2</vt:lpstr>
      <vt:lpstr>'IWP12'!Std2dot2</vt:lpstr>
      <vt:lpstr>'IWP13'!Std2dot2</vt:lpstr>
      <vt:lpstr>'IWP14'!Std2dot2</vt:lpstr>
      <vt:lpstr>'IWP15'!Std2dot2</vt:lpstr>
      <vt:lpstr>'IWP16'!Std2dot2</vt:lpstr>
      <vt:lpstr>'IWP17'!Std2dot2</vt:lpstr>
      <vt:lpstr>'IWP18'!Std2dot2</vt:lpstr>
      <vt:lpstr>'IWP19'!Std2dot2</vt:lpstr>
      <vt:lpstr>'IWP20'!Std2dot2</vt:lpstr>
      <vt:lpstr>'IWP21'!Std2dot2</vt:lpstr>
      <vt:lpstr>'IWP22'!Std2dot2</vt:lpstr>
      <vt:lpstr>'IWP23'!Std2dot2</vt:lpstr>
      <vt:lpstr>'IWP24'!Std2dot2</vt:lpstr>
      <vt:lpstr>'IWP25'!Std2dot2</vt:lpstr>
      <vt:lpstr>'IWP26'!Std2dot2</vt:lpstr>
      <vt:lpstr>'IWP27'!Std2dot2</vt:lpstr>
      <vt:lpstr>'IWP28'!Std2dot2</vt:lpstr>
      <vt:lpstr>'IWP29'!Std2dot2</vt:lpstr>
      <vt:lpstr>'IWP30'!Std2dot2</vt:lpstr>
      <vt:lpstr>'IWP01'!Std2dot3</vt:lpstr>
      <vt:lpstr>'IWP02'!Std2dot3</vt:lpstr>
      <vt:lpstr>'IWP03'!Std2dot3</vt:lpstr>
      <vt:lpstr>'IWP04'!Std2dot3</vt:lpstr>
      <vt:lpstr>'IWP05'!Std2dot3</vt:lpstr>
      <vt:lpstr>'IWP06'!Std2dot3</vt:lpstr>
      <vt:lpstr>'IWP07'!Std2dot3</vt:lpstr>
      <vt:lpstr>'IWP08'!Std2dot3</vt:lpstr>
      <vt:lpstr>'IWP09'!Std2dot3</vt:lpstr>
      <vt:lpstr>'IWP10'!Std2dot3</vt:lpstr>
      <vt:lpstr>'IWP11'!Std2dot3</vt:lpstr>
      <vt:lpstr>'IWP12'!Std2dot3</vt:lpstr>
      <vt:lpstr>'IWP13'!Std2dot3</vt:lpstr>
      <vt:lpstr>'IWP14'!Std2dot3</vt:lpstr>
      <vt:lpstr>'IWP15'!Std2dot3</vt:lpstr>
      <vt:lpstr>'IWP16'!Std2dot3</vt:lpstr>
      <vt:lpstr>'IWP17'!Std2dot3</vt:lpstr>
      <vt:lpstr>'IWP18'!Std2dot3</vt:lpstr>
      <vt:lpstr>'IWP19'!Std2dot3</vt:lpstr>
      <vt:lpstr>'IWP20'!Std2dot3</vt:lpstr>
      <vt:lpstr>'IWP21'!Std2dot3</vt:lpstr>
      <vt:lpstr>'IWP22'!Std2dot3</vt:lpstr>
      <vt:lpstr>'IWP23'!Std2dot3</vt:lpstr>
      <vt:lpstr>'IWP24'!Std2dot3</vt:lpstr>
      <vt:lpstr>'IWP25'!Std2dot3</vt:lpstr>
      <vt:lpstr>'IWP26'!Std2dot3</vt:lpstr>
      <vt:lpstr>'IWP27'!Std2dot3</vt:lpstr>
      <vt:lpstr>'IWP28'!Std2dot3</vt:lpstr>
      <vt:lpstr>'IWP29'!Std2dot3</vt:lpstr>
      <vt:lpstr>'IWP30'!Std2dot3</vt:lpstr>
      <vt:lpstr>'IWP01'!Std2dot4</vt:lpstr>
      <vt:lpstr>'IWP02'!Std2dot4</vt:lpstr>
      <vt:lpstr>'IWP03'!Std2dot4</vt:lpstr>
      <vt:lpstr>'IWP04'!Std2dot4</vt:lpstr>
      <vt:lpstr>'IWP05'!Std2dot4</vt:lpstr>
      <vt:lpstr>'IWP06'!Std2dot4</vt:lpstr>
      <vt:lpstr>'IWP07'!Std2dot4</vt:lpstr>
      <vt:lpstr>'IWP08'!Std2dot4</vt:lpstr>
      <vt:lpstr>'IWP09'!Std2dot4</vt:lpstr>
      <vt:lpstr>'IWP10'!Std2dot4</vt:lpstr>
      <vt:lpstr>'IWP11'!Std2dot4</vt:lpstr>
      <vt:lpstr>'IWP12'!Std2dot4</vt:lpstr>
      <vt:lpstr>'IWP13'!Std2dot4</vt:lpstr>
      <vt:lpstr>'IWP14'!Std2dot4</vt:lpstr>
      <vt:lpstr>'IWP15'!Std2dot4</vt:lpstr>
      <vt:lpstr>'IWP16'!Std2dot4</vt:lpstr>
      <vt:lpstr>'IWP17'!Std2dot4</vt:lpstr>
      <vt:lpstr>'IWP18'!Std2dot4</vt:lpstr>
      <vt:lpstr>'IWP19'!Std2dot4</vt:lpstr>
      <vt:lpstr>'IWP20'!Std2dot4</vt:lpstr>
      <vt:lpstr>'IWP21'!Std2dot4</vt:lpstr>
      <vt:lpstr>'IWP22'!Std2dot4</vt:lpstr>
      <vt:lpstr>'IWP23'!Std2dot4</vt:lpstr>
      <vt:lpstr>'IWP24'!Std2dot4</vt:lpstr>
      <vt:lpstr>'IWP25'!Std2dot4</vt:lpstr>
      <vt:lpstr>'IWP26'!Std2dot4</vt:lpstr>
      <vt:lpstr>'IWP27'!Std2dot4</vt:lpstr>
      <vt:lpstr>'IWP28'!Std2dot4</vt:lpstr>
      <vt:lpstr>'IWP29'!Std2dot4</vt:lpstr>
      <vt:lpstr>'IWP30'!Std2dot4</vt:lpstr>
      <vt:lpstr>'IWP01'!Std2NotCalc</vt:lpstr>
      <vt:lpstr>'IWP02'!Std2NotCalc</vt:lpstr>
      <vt:lpstr>'IWP03'!Std2NotCalc</vt:lpstr>
      <vt:lpstr>'IWP04'!Std2NotCalc</vt:lpstr>
      <vt:lpstr>'IWP05'!Std2NotCalc</vt:lpstr>
      <vt:lpstr>'IWP06'!Std2NotCalc</vt:lpstr>
      <vt:lpstr>'IWP07'!Std2NotCalc</vt:lpstr>
      <vt:lpstr>'IWP08'!Std2NotCalc</vt:lpstr>
      <vt:lpstr>'IWP09'!Std2NotCalc</vt:lpstr>
      <vt:lpstr>'IWP10'!Std2NotCalc</vt:lpstr>
      <vt:lpstr>'IWP11'!Std2NotCalc</vt:lpstr>
      <vt:lpstr>'IWP12'!Std2NotCalc</vt:lpstr>
      <vt:lpstr>'IWP13'!Std2NotCalc</vt:lpstr>
      <vt:lpstr>'IWP14'!Std2NotCalc</vt:lpstr>
      <vt:lpstr>'IWP15'!Std2NotCalc</vt:lpstr>
      <vt:lpstr>'IWP16'!Std2NotCalc</vt:lpstr>
      <vt:lpstr>'IWP17'!Std2NotCalc</vt:lpstr>
      <vt:lpstr>'IWP18'!Std2NotCalc</vt:lpstr>
      <vt:lpstr>'IWP19'!Std2NotCalc</vt:lpstr>
      <vt:lpstr>'IWP20'!Std2NotCalc</vt:lpstr>
      <vt:lpstr>'IWP21'!Std2NotCalc</vt:lpstr>
      <vt:lpstr>'IWP22'!Std2NotCalc</vt:lpstr>
      <vt:lpstr>'IWP23'!Std2NotCalc</vt:lpstr>
      <vt:lpstr>'IWP24'!Std2NotCalc</vt:lpstr>
      <vt:lpstr>'IWP25'!Std2NotCalc</vt:lpstr>
      <vt:lpstr>'IWP26'!Std2NotCalc</vt:lpstr>
      <vt:lpstr>'IWP27'!Std2NotCalc</vt:lpstr>
      <vt:lpstr>'IWP28'!Std2NotCalc</vt:lpstr>
      <vt:lpstr>'IWP29'!Std2NotCalc</vt:lpstr>
      <vt:lpstr>'IWP30'!Std2NotCalc</vt:lpstr>
      <vt:lpstr>'IWP01'!Std3dot1</vt:lpstr>
      <vt:lpstr>'IWP02'!Std3dot1</vt:lpstr>
      <vt:lpstr>'IWP03'!Std3dot1</vt:lpstr>
      <vt:lpstr>'IWP04'!Std3dot1</vt:lpstr>
      <vt:lpstr>'IWP05'!Std3dot1</vt:lpstr>
      <vt:lpstr>'IWP06'!Std3dot1</vt:lpstr>
      <vt:lpstr>'IWP07'!Std3dot1</vt:lpstr>
      <vt:lpstr>'IWP08'!Std3dot1</vt:lpstr>
      <vt:lpstr>'IWP09'!Std3dot1</vt:lpstr>
      <vt:lpstr>'IWP10'!Std3dot1</vt:lpstr>
      <vt:lpstr>'IWP11'!Std3dot1</vt:lpstr>
      <vt:lpstr>'IWP12'!Std3dot1</vt:lpstr>
      <vt:lpstr>'IWP13'!Std3dot1</vt:lpstr>
      <vt:lpstr>'IWP14'!Std3dot1</vt:lpstr>
      <vt:lpstr>'IWP15'!Std3dot1</vt:lpstr>
      <vt:lpstr>'IWP16'!Std3dot1</vt:lpstr>
      <vt:lpstr>'IWP17'!Std3dot1</vt:lpstr>
      <vt:lpstr>'IWP18'!Std3dot1</vt:lpstr>
      <vt:lpstr>'IWP19'!Std3dot1</vt:lpstr>
      <vt:lpstr>'IWP20'!Std3dot1</vt:lpstr>
      <vt:lpstr>'IWP21'!Std3dot1</vt:lpstr>
      <vt:lpstr>'IWP22'!Std3dot1</vt:lpstr>
      <vt:lpstr>'IWP23'!Std3dot1</vt:lpstr>
      <vt:lpstr>'IWP24'!Std3dot1</vt:lpstr>
      <vt:lpstr>'IWP25'!Std3dot1</vt:lpstr>
      <vt:lpstr>'IWP26'!Std3dot1</vt:lpstr>
      <vt:lpstr>'IWP27'!Std3dot1</vt:lpstr>
      <vt:lpstr>'IWP28'!Std3dot1</vt:lpstr>
      <vt:lpstr>'IWP29'!Std3dot1</vt:lpstr>
      <vt:lpstr>'IWP30'!Std3dot1</vt:lpstr>
      <vt:lpstr>'IWP01'!Std3dot2</vt:lpstr>
      <vt:lpstr>'IWP02'!Std3dot2</vt:lpstr>
      <vt:lpstr>'IWP03'!Std3dot2</vt:lpstr>
      <vt:lpstr>'IWP04'!Std3dot2</vt:lpstr>
      <vt:lpstr>'IWP05'!Std3dot2</vt:lpstr>
      <vt:lpstr>'IWP06'!Std3dot2</vt:lpstr>
      <vt:lpstr>'IWP07'!Std3dot2</vt:lpstr>
      <vt:lpstr>'IWP08'!Std3dot2</vt:lpstr>
      <vt:lpstr>'IWP09'!Std3dot2</vt:lpstr>
      <vt:lpstr>'IWP10'!Std3dot2</vt:lpstr>
      <vt:lpstr>'IWP11'!Std3dot2</vt:lpstr>
      <vt:lpstr>'IWP12'!Std3dot2</vt:lpstr>
      <vt:lpstr>'IWP13'!Std3dot2</vt:lpstr>
      <vt:lpstr>'IWP14'!Std3dot2</vt:lpstr>
      <vt:lpstr>'IWP15'!Std3dot2</vt:lpstr>
      <vt:lpstr>'IWP16'!Std3dot2</vt:lpstr>
      <vt:lpstr>'IWP17'!Std3dot2</vt:lpstr>
      <vt:lpstr>'IWP18'!Std3dot2</vt:lpstr>
      <vt:lpstr>'IWP19'!Std3dot2</vt:lpstr>
      <vt:lpstr>'IWP20'!Std3dot2</vt:lpstr>
      <vt:lpstr>'IWP21'!Std3dot2</vt:lpstr>
      <vt:lpstr>'IWP22'!Std3dot2</vt:lpstr>
      <vt:lpstr>'IWP23'!Std3dot2</vt:lpstr>
      <vt:lpstr>'IWP24'!Std3dot2</vt:lpstr>
      <vt:lpstr>'IWP25'!Std3dot2</vt:lpstr>
      <vt:lpstr>'IWP26'!Std3dot2</vt:lpstr>
      <vt:lpstr>'IWP27'!Std3dot2</vt:lpstr>
      <vt:lpstr>'IWP28'!Std3dot2</vt:lpstr>
      <vt:lpstr>'IWP29'!Std3dot2</vt:lpstr>
      <vt:lpstr>'IWP30'!Std3dot2</vt:lpstr>
      <vt:lpstr>'IWP01'!Std3LicenseInfo</vt:lpstr>
      <vt:lpstr>'IWP02'!Std3LicenseInfo</vt:lpstr>
      <vt:lpstr>'IWP03'!Std3LicenseInfo</vt:lpstr>
      <vt:lpstr>'IWP04'!Std3LicenseInfo</vt:lpstr>
      <vt:lpstr>'IWP05'!Std3LicenseInfo</vt:lpstr>
      <vt:lpstr>'IWP06'!Std3LicenseInfo</vt:lpstr>
      <vt:lpstr>'IWP07'!Std3LicenseInfo</vt:lpstr>
      <vt:lpstr>'IWP08'!Std3LicenseInfo</vt:lpstr>
      <vt:lpstr>'IWP09'!Std3LicenseInfo</vt:lpstr>
      <vt:lpstr>'IWP10'!Std3LicenseInfo</vt:lpstr>
      <vt:lpstr>'IWP11'!Std3LicenseInfo</vt:lpstr>
      <vt:lpstr>'IWP12'!Std3LicenseInfo</vt:lpstr>
      <vt:lpstr>'IWP13'!Std3LicenseInfo</vt:lpstr>
      <vt:lpstr>'IWP14'!Std3LicenseInfo</vt:lpstr>
      <vt:lpstr>'IWP15'!Std3LicenseInfo</vt:lpstr>
      <vt:lpstr>'IWP16'!Std3LicenseInfo</vt:lpstr>
      <vt:lpstr>'IWP17'!Std3LicenseInfo</vt:lpstr>
      <vt:lpstr>'IWP18'!Std3LicenseInfo</vt:lpstr>
      <vt:lpstr>'IWP19'!Std3LicenseInfo</vt:lpstr>
      <vt:lpstr>'IWP20'!Std3LicenseInfo</vt:lpstr>
      <vt:lpstr>'IWP21'!Std3LicenseInfo</vt:lpstr>
      <vt:lpstr>'IWP22'!Std3LicenseInfo</vt:lpstr>
      <vt:lpstr>'IWP23'!Std3LicenseInfo</vt:lpstr>
      <vt:lpstr>'IWP24'!Std3LicenseInfo</vt:lpstr>
      <vt:lpstr>'IWP25'!Std3LicenseInfo</vt:lpstr>
      <vt:lpstr>'IWP26'!Std3LicenseInfo</vt:lpstr>
      <vt:lpstr>'IWP27'!Std3LicenseInfo</vt:lpstr>
      <vt:lpstr>'IWP28'!Std3LicenseInfo</vt:lpstr>
      <vt:lpstr>'IWP29'!Std3LicenseInfo</vt:lpstr>
      <vt:lpstr>'IWP30'!Std3LicenseInfo</vt:lpstr>
      <vt:lpstr>'IWP01'!Std3NotCalc</vt:lpstr>
      <vt:lpstr>'IWP02'!Std3NotCalc</vt:lpstr>
      <vt:lpstr>'IWP03'!Std3NotCalc</vt:lpstr>
      <vt:lpstr>'IWP04'!Std3NotCalc</vt:lpstr>
      <vt:lpstr>'IWP05'!Std3NotCalc</vt:lpstr>
      <vt:lpstr>'IWP06'!Std3NotCalc</vt:lpstr>
      <vt:lpstr>'IWP07'!Std3NotCalc</vt:lpstr>
      <vt:lpstr>'IWP08'!Std3NotCalc</vt:lpstr>
      <vt:lpstr>'IWP09'!Std3NotCalc</vt:lpstr>
      <vt:lpstr>'IWP10'!Std3NotCalc</vt:lpstr>
      <vt:lpstr>'IWP11'!Std3NotCalc</vt:lpstr>
      <vt:lpstr>'IWP12'!Std3NotCalc</vt:lpstr>
      <vt:lpstr>'IWP13'!Std3NotCalc</vt:lpstr>
      <vt:lpstr>'IWP14'!Std3NotCalc</vt:lpstr>
      <vt:lpstr>'IWP15'!Std3NotCalc</vt:lpstr>
      <vt:lpstr>'IWP16'!Std3NotCalc</vt:lpstr>
      <vt:lpstr>'IWP17'!Std3NotCalc</vt:lpstr>
      <vt:lpstr>'IWP18'!Std3NotCalc</vt:lpstr>
      <vt:lpstr>'IWP19'!Std3NotCalc</vt:lpstr>
      <vt:lpstr>'IWP20'!Std3NotCalc</vt:lpstr>
      <vt:lpstr>'IWP21'!Std3NotCalc</vt:lpstr>
      <vt:lpstr>'IWP22'!Std3NotCalc</vt:lpstr>
      <vt:lpstr>'IWP23'!Std3NotCalc</vt:lpstr>
      <vt:lpstr>'IWP24'!Std3NotCalc</vt:lpstr>
      <vt:lpstr>'IWP25'!Std3NotCalc</vt:lpstr>
      <vt:lpstr>'IWP26'!Std3NotCalc</vt:lpstr>
      <vt:lpstr>'IWP27'!Std3NotCalc</vt:lpstr>
      <vt:lpstr>'IWP28'!Std3NotCalc</vt:lpstr>
      <vt:lpstr>'IWP29'!Std3NotCalc</vt:lpstr>
      <vt:lpstr>'IWP30'!Std3NotCalc</vt:lpstr>
      <vt:lpstr>'IWP01'!Std4BudgetInfo</vt:lpstr>
      <vt:lpstr>'IWP02'!Std4BudgetInfo</vt:lpstr>
      <vt:lpstr>'IWP03'!Std4BudgetInfo</vt:lpstr>
      <vt:lpstr>'IWP04'!Std4BudgetInfo</vt:lpstr>
      <vt:lpstr>'IWP05'!Std4BudgetInfo</vt:lpstr>
      <vt:lpstr>'IWP06'!Std4BudgetInfo</vt:lpstr>
      <vt:lpstr>'IWP07'!Std4BudgetInfo</vt:lpstr>
      <vt:lpstr>'IWP08'!Std4BudgetInfo</vt:lpstr>
      <vt:lpstr>'IWP09'!Std4BudgetInfo</vt:lpstr>
      <vt:lpstr>'IWP10'!Std4BudgetInfo</vt:lpstr>
      <vt:lpstr>'IWP11'!Std4BudgetInfo</vt:lpstr>
      <vt:lpstr>'IWP12'!Std4BudgetInfo</vt:lpstr>
      <vt:lpstr>'IWP13'!Std4BudgetInfo</vt:lpstr>
      <vt:lpstr>'IWP14'!Std4BudgetInfo</vt:lpstr>
      <vt:lpstr>'IWP15'!Std4BudgetInfo</vt:lpstr>
      <vt:lpstr>'IWP16'!Std4BudgetInfo</vt:lpstr>
      <vt:lpstr>'IWP17'!Std4BudgetInfo</vt:lpstr>
      <vt:lpstr>'IWP18'!Std4BudgetInfo</vt:lpstr>
      <vt:lpstr>'IWP19'!Std4BudgetInfo</vt:lpstr>
      <vt:lpstr>'IWP20'!Std4BudgetInfo</vt:lpstr>
      <vt:lpstr>'IWP21'!Std4BudgetInfo</vt:lpstr>
      <vt:lpstr>'IWP22'!Std4BudgetInfo</vt:lpstr>
      <vt:lpstr>'IWP23'!Std4BudgetInfo</vt:lpstr>
      <vt:lpstr>'IWP24'!Std4BudgetInfo</vt:lpstr>
      <vt:lpstr>'IWP25'!Std4BudgetInfo</vt:lpstr>
      <vt:lpstr>'IWP26'!Std4BudgetInfo</vt:lpstr>
      <vt:lpstr>'IWP27'!Std4BudgetInfo</vt:lpstr>
      <vt:lpstr>'IWP28'!Std4BudgetInfo</vt:lpstr>
      <vt:lpstr>'IWP29'!Std4BudgetInfo</vt:lpstr>
      <vt:lpstr>'IWP30'!Std4BudgetInfo</vt:lpstr>
      <vt:lpstr>'IWP01'!Std4dot1</vt:lpstr>
      <vt:lpstr>'IWP02'!Std4dot1</vt:lpstr>
      <vt:lpstr>'IWP03'!Std4dot1</vt:lpstr>
      <vt:lpstr>'IWP04'!Std4dot1</vt:lpstr>
      <vt:lpstr>'IWP05'!Std4dot1</vt:lpstr>
      <vt:lpstr>'IWP06'!Std4dot1</vt:lpstr>
      <vt:lpstr>'IWP07'!Std4dot1</vt:lpstr>
      <vt:lpstr>'IWP08'!Std4dot1</vt:lpstr>
      <vt:lpstr>'IWP09'!Std4dot1</vt:lpstr>
      <vt:lpstr>'IWP10'!Std4dot1</vt:lpstr>
      <vt:lpstr>'IWP11'!Std4dot1</vt:lpstr>
      <vt:lpstr>'IWP12'!Std4dot1</vt:lpstr>
      <vt:lpstr>'IWP13'!Std4dot1</vt:lpstr>
      <vt:lpstr>'IWP14'!Std4dot1</vt:lpstr>
      <vt:lpstr>'IWP15'!Std4dot1</vt:lpstr>
      <vt:lpstr>'IWP16'!Std4dot1</vt:lpstr>
      <vt:lpstr>'IWP17'!Std4dot1</vt:lpstr>
      <vt:lpstr>'IWP18'!Std4dot1</vt:lpstr>
      <vt:lpstr>'IWP19'!Std4dot1</vt:lpstr>
      <vt:lpstr>'IWP20'!Std4dot1</vt:lpstr>
      <vt:lpstr>'IWP21'!Std4dot1</vt:lpstr>
      <vt:lpstr>'IWP22'!Std4dot1</vt:lpstr>
      <vt:lpstr>'IWP23'!Std4dot1</vt:lpstr>
      <vt:lpstr>'IWP24'!Std4dot1</vt:lpstr>
      <vt:lpstr>'IWP25'!Std4dot1</vt:lpstr>
      <vt:lpstr>'IWP26'!Std4dot1</vt:lpstr>
      <vt:lpstr>'IWP27'!Std4dot1</vt:lpstr>
      <vt:lpstr>'IWP28'!Std4dot1</vt:lpstr>
      <vt:lpstr>'IWP29'!Std4dot1</vt:lpstr>
      <vt:lpstr>'IWP30'!Std4dot1</vt:lpstr>
      <vt:lpstr>'IWP01'!Std4dot1a</vt:lpstr>
      <vt:lpstr>'IWP02'!Std4dot1a</vt:lpstr>
      <vt:lpstr>'IWP03'!Std4dot1a</vt:lpstr>
      <vt:lpstr>'IWP04'!Std4dot1a</vt:lpstr>
      <vt:lpstr>'IWP05'!Std4dot1a</vt:lpstr>
      <vt:lpstr>'IWP06'!Std4dot1a</vt:lpstr>
      <vt:lpstr>'IWP07'!Std4dot1a</vt:lpstr>
      <vt:lpstr>'IWP08'!Std4dot1a</vt:lpstr>
      <vt:lpstr>'IWP09'!Std4dot1a</vt:lpstr>
      <vt:lpstr>'IWP10'!Std4dot1a</vt:lpstr>
      <vt:lpstr>'IWP11'!Std4dot1a</vt:lpstr>
      <vt:lpstr>'IWP12'!Std4dot1a</vt:lpstr>
      <vt:lpstr>'IWP13'!Std4dot1a</vt:lpstr>
      <vt:lpstr>'IWP14'!Std4dot1a</vt:lpstr>
      <vt:lpstr>'IWP15'!Std4dot1a</vt:lpstr>
      <vt:lpstr>'IWP16'!Std4dot1a</vt:lpstr>
      <vt:lpstr>'IWP17'!Std4dot1a</vt:lpstr>
      <vt:lpstr>'IWP18'!Std4dot1a</vt:lpstr>
      <vt:lpstr>'IWP19'!Std4dot1a</vt:lpstr>
      <vt:lpstr>'IWP20'!Std4dot1a</vt:lpstr>
      <vt:lpstr>'IWP21'!Std4dot1a</vt:lpstr>
      <vt:lpstr>'IWP22'!Std4dot1a</vt:lpstr>
      <vt:lpstr>'IWP23'!Std4dot1a</vt:lpstr>
      <vt:lpstr>'IWP24'!Std4dot1a</vt:lpstr>
      <vt:lpstr>'IWP25'!Std4dot1a</vt:lpstr>
      <vt:lpstr>'IWP26'!Std4dot1a</vt:lpstr>
      <vt:lpstr>'IWP27'!Std4dot1a</vt:lpstr>
      <vt:lpstr>'IWP28'!Std4dot1a</vt:lpstr>
      <vt:lpstr>'IWP29'!Std4dot1a</vt:lpstr>
      <vt:lpstr>'IWP30'!Std4dot1a</vt:lpstr>
      <vt:lpstr>'IWP01'!Std4dot1b</vt:lpstr>
      <vt:lpstr>'IWP02'!Std4dot1b</vt:lpstr>
      <vt:lpstr>'IWP03'!Std4dot1b</vt:lpstr>
      <vt:lpstr>'IWP04'!Std4dot1b</vt:lpstr>
      <vt:lpstr>'IWP05'!Std4dot1b</vt:lpstr>
      <vt:lpstr>'IWP06'!Std4dot1b</vt:lpstr>
      <vt:lpstr>'IWP07'!Std4dot1b</vt:lpstr>
      <vt:lpstr>'IWP08'!Std4dot1b</vt:lpstr>
      <vt:lpstr>'IWP09'!Std4dot1b</vt:lpstr>
      <vt:lpstr>'IWP10'!Std4dot1b</vt:lpstr>
      <vt:lpstr>'IWP11'!Std4dot1b</vt:lpstr>
      <vt:lpstr>'IWP12'!Std4dot1b</vt:lpstr>
      <vt:lpstr>'IWP13'!Std4dot1b</vt:lpstr>
      <vt:lpstr>'IWP14'!Std4dot1b</vt:lpstr>
      <vt:lpstr>'IWP15'!Std4dot1b</vt:lpstr>
      <vt:lpstr>'IWP16'!Std4dot1b</vt:lpstr>
      <vt:lpstr>'IWP17'!Std4dot1b</vt:lpstr>
      <vt:lpstr>'IWP18'!Std4dot1b</vt:lpstr>
      <vt:lpstr>'IWP19'!Std4dot1b</vt:lpstr>
      <vt:lpstr>'IWP20'!Std4dot1b</vt:lpstr>
      <vt:lpstr>'IWP21'!Std4dot1b</vt:lpstr>
      <vt:lpstr>'IWP22'!Std4dot1b</vt:lpstr>
      <vt:lpstr>'IWP23'!Std4dot1b</vt:lpstr>
      <vt:lpstr>'IWP24'!Std4dot1b</vt:lpstr>
      <vt:lpstr>'IWP25'!Std4dot1b</vt:lpstr>
      <vt:lpstr>'IWP26'!Std4dot1b</vt:lpstr>
      <vt:lpstr>'IWP27'!Std4dot1b</vt:lpstr>
      <vt:lpstr>'IWP28'!Std4dot1b</vt:lpstr>
      <vt:lpstr>'IWP29'!Std4dot1b</vt:lpstr>
      <vt:lpstr>'IWP30'!Std4dot1b</vt:lpstr>
      <vt:lpstr>'IWP01'!Std4dot1c</vt:lpstr>
      <vt:lpstr>'IWP02'!Std4dot1c</vt:lpstr>
      <vt:lpstr>'IWP03'!Std4dot1c</vt:lpstr>
      <vt:lpstr>'IWP04'!Std4dot1c</vt:lpstr>
      <vt:lpstr>'IWP05'!Std4dot1c</vt:lpstr>
      <vt:lpstr>'IWP06'!Std4dot1c</vt:lpstr>
      <vt:lpstr>'IWP07'!Std4dot1c</vt:lpstr>
      <vt:lpstr>'IWP08'!Std4dot1c</vt:lpstr>
      <vt:lpstr>'IWP09'!Std4dot1c</vt:lpstr>
      <vt:lpstr>'IWP10'!Std4dot1c</vt:lpstr>
      <vt:lpstr>'IWP11'!Std4dot1c</vt:lpstr>
      <vt:lpstr>'IWP12'!Std4dot1c</vt:lpstr>
      <vt:lpstr>'IWP13'!Std4dot1c</vt:lpstr>
      <vt:lpstr>'IWP14'!Std4dot1c</vt:lpstr>
      <vt:lpstr>'IWP15'!Std4dot1c</vt:lpstr>
      <vt:lpstr>'IWP16'!Std4dot1c</vt:lpstr>
      <vt:lpstr>'IWP17'!Std4dot1c</vt:lpstr>
      <vt:lpstr>'IWP18'!Std4dot1c</vt:lpstr>
      <vt:lpstr>'IWP19'!Std4dot1c</vt:lpstr>
      <vt:lpstr>'IWP20'!Std4dot1c</vt:lpstr>
      <vt:lpstr>'IWP21'!Std4dot1c</vt:lpstr>
      <vt:lpstr>'IWP22'!Std4dot1c</vt:lpstr>
      <vt:lpstr>'IWP23'!Std4dot1c</vt:lpstr>
      <vt:lpstr>'IWP24'!Std4dot1c</vt:lpstr>
      <vt:lpstr>'IWP25'!Std4dot1c</vt:lpstr>
      <vt:lpstr>'IWP26'!Std4dot1c</vt:lpstr>
      <vt:lpstr>'IWP27'!Std4dot1c</vt:lpstr>
      <vt:lpstr>'IWP28'!Std4dot1c</vt:lpstr>
      <vt:lpstr>'IWP29'!Std4dot1c</vt:lpstr>
      <vt:lpstr>'IWP30'!Std4dot1c</vt:lpstr>
      <vt:lpstr>'IWP01'!Std4dot1d</vt:lpstr>
      <vt:lpstr>'IWP02'!Std4dot1d</vt:lpstr>
      <vt:lpstr>'IWP03'!Std4dot1d</vt:lpstr>
      <vt:lpstr>'IWP04'!Std4dot1d</vt:lpstr>
      <vt:lpstr>'IWP05'!Std4dot1d</vt:lpstr>
      <vt:lpstr>'IWP06'!Std4dot1d</vt:lpstr>
      <vt:lpstr>'IWP07'!Std4dot1d</vt:lpstr>
      <vt:lpstr>'IWP08'!Std4dot1d</vt:lpstr>
      <vt:lpstr>'IWP09'!Std4dot1d</vt:lpstr>
      <vt:lpstr>'IWP10'!Std4dot1d</vt:lpstr>
      <vt:lpstr>'IWP11'!Std4dot1d</vt:lpstr>
      <vt:lpstr>'IWP12'!Std4dot1d</vt:lpstr>
      <vt:lpstr>'IWP13'!Std4dot1d</vt:lpstr>
      <vt:lpstr>'IWP14'!Std4dot1d</vt:lpstr>
      <vt:lpstr>'IWP15'!Std4dot1d</vt:lpstr>
      <vt:lpstr>'IWP16'!Std4dot1d</vt:lpstr>
      <vt:lpstr>'IWP17'!Std4dot1d</vt:lpstr>
      <vt:lpstr>'IWP18'!Std4dot1d</vt:lpstr>
      <vt:lpstr>'IWP19'!Std4dot1d</vt:lpstr>
      <vt:lpstr>'IWP20'!Std4dot1d</vt:lpstr>
      <vt:lpstr>'IWP21'!Std4dot1d</vt:lpstr>
      <vt:lpstr>'IWP22'!Std4dot1d</vt:lpstr>
      <vt:lpstr>'IWP23'!Std4dot1d</vt:lpstr>
      <vt:lpstr>'IWP24'!Std4dot1d</vt:lpstr>
      <vt:lpstr>'IWP25'!Std4dot1d</vt:lpstr>
      <vt:lpstr>'IWP26'!Std4dot1d</vt:lpstr>
      <vt:lpstr>'IWP27'!Std4dot1d</vt:lpstr>
      <vt:lpstr>'IWP28'!Std4dot1d</vt:lpstr>
      <vt:lpstr>'IWP29'!Std4dot1d</vt:lpstr>
      <vt:lpstr>'IWP30'!Std4dot1d</vt:lpstr>
      <vt:lpstr>'IWP01'!Std4dot1e</vt:lpstr>
      <vt:lpstr>'IWP02'!Std4dot1e</vt:lpstr>
      <vt:lpstr>'IWP03'!Std4dot1e</vt:lpstr>
      <vt:lpstr>'IWP04'!Std4dot1e</vt:lpstr>
      <vt:lpstr>'IWP05'!Std4dot1e</vt:lpstr>
      <vt:lpstr>'IWP06'!Std4dot1e</vt:lpstr>
      <vt:lpstr>'IWP07'!Std4dot1e</vt:lpstr>
      <vt:lpstr>'IWP08'!Std4dot1e</vt:lpstr>
      <vt:lpstr>'IWP09'!Std4dot1e</vt:lpstr>
      <vt:lpstr>'IWP10'!Std4dot1e</vt:lpstr>
      <vt:lpstr>'IWP11'!Std4dot1e</vt:lpstr>
      <vt:lpstr>'IWP12'!Std4dot1e</vt:lpstr>
      <vt:lpstr>'IWP13'!Std4dot1e</vt:lpstr>
      <vt:lpstr>'IWP14'!Std4dot1e</vt:lpstr>
      <vt:lpstr>'IWP15'!Std4dot1e</vt:lpstr>
      <vt:lpstr>'IWP16'!Std4dot1e</vt:lpstr>
      <vt:lpstr>'IWP17'!Std4dot1e</vt:lpstr>
      <vt:lpstr>'IWP18'!Std4dot1e</vt:lpstr>
      <vt:lpstr>'IWP19'!Std4dot1e</vt:lpstr>
      <vt:lpstr>'IWP20'!Std4dot1e</vt:lpstr>
      <vt:lpstr>'IWP21'!Std4dot1e</vt:lpstr>
      <vt:lpstr>'IWP22'!Std4dot1e</vt:lpstr>
      <vt:lpstr>'IWP23'!Std4dot1e</vt:lpstr>
      <vt:lpstr>'IWP24'!Std4dot1e</vt:lpstr>
      <vt:lpstr>'IWP25'!Std4dot1e</vt:lpstr>
      <vt:lpstr>'IWP26'!Std4dot1e</vt:lpstr>
      <vt:lpstr>'IWP27'!Std4dot1e</vt:lpstr>
      <vt:lpstr>'IWP28'!Std4dot1e</vt:lpstr>
      <vt:lpstr>'IWP29'!Std4dot1e</vt:lpstr>
      <vt:lpstr>'IWP30'!Std4dot1e</vt:lpstr>
      <vt:lpstr>'IWP01'!Std4dot1f</vt:lpstr>
      <vt:lpstr>'IWP02'!Std4dot1f</vt:lpstr>
      <vt:lpstr>'IWP03'!Std4dot1f</vt:lpstr>
      <vt:lpstr>'IWP04'!Std4dot1f</vt:lpstr>
      <vt:lpstr>'IWP05'!Std4dot1f</vt:lpstr>
      <vt:lpstr>'IWP06'!Std4dot1f</vt:lpstr>
      <vt:lpstr>'IWP07'!Std4dot1f</vt:lpstr>
      <vt:lpstr>'IWP08'!Std4dot1f</vt:lpstr>
      <vt:lpstr>'IWP09'!Std4dot1f</vt:lpstr>
      <vt:lpstr>'IWP10'!Std4dot1f</vt:lpstr>
      <vt:lpstr>'IWP11'!Std4dot1f</vt:lpstr>
      <vt:lpstr>'IWP12'!Std4dot1f</vt:lpstr>
      <vt:lpstr>'IWP13'!Std4dot1f</vt:lpstr>
      <vt:lpstr>'IWP14'!Std4dot1f</vt:lpstr>
      <vt:lpstr>'IWP15'!Std4dot1f</vt:lpstr>
      <vt:lpstr>'IWP16'!Std4dot1f</vt:lpstr>
      <vt:lpstr>'IWP17'!Std4dot1f</vt:lpstr>
      <vt:lpstr>'IWP18'!Std4dot1f</vt:lpstr>
      <vt:lpstr>'IWP19'!Std4dot1f</vt:lpstr>
      <vt:lpstr>'IWP20'!Std4dot1f</vt:lpstr>
      <vt:lpstr>'IWP21'!Std4dot1f</vt:lpstr>
      <vt:lpstr>'IWP22'!Std4dot1f</vt:lpstr>
      <vt:lpstr>'IWP23'!Std4dot1f</vt:lpstr>
      <vt:lpstr>'IWP24'!Std4dot1f</vt:lpstr>
      <vt:lpstr>'IWP25'!Std4dot1f</vt:lpstr>
      <vt:lpstr>'IWP26'!Std4dot1f</vt:lpstr>
      <vt:lpstr>'IWP27'!Std4dot1f</vt:lpstr>
      <vt:lpstr>'IWP28'!Std4dot1f</vt:lpstr>
      <vt:lpstr>'IWP29'!Std4dot1f</vt:lpstr>
      <vt:lpstr>'IWP30'!Std4dot1f</vt:lpstr>
      <vt:lpstr>'IWP01'!Std4dot2</vt:lpstr>
      <vt:lpstr>'IWP02'!Std4dot2</vt:lpstr>
      <vt:lpstr>'IWP03'!Std4dot2</vt:lpstr>
      <vt:lpstr>'IWP04'!Std4dot2</vt:lpstr>
      <vt:lpstr>'IWP05'!Std4dot2</vt:lpstr>
      <vt:lpstr>'IWP06'!Std4dot2</vt:lpstr>
      <vt:lpstr>'IWP07'!Std4dot2</vt:lpstr>
      <vt:lpstr>'IWP08'!Std4dot2</vt:lpstr>
      <vt:lpstr>'IWP09'!Std4dot2</vt:lpstr>
      <vt:lpstr>'IWP10'!Std4dot2</vt:lpstr>
      <vt:lpstr>'IWP11'!Std4dot2</vt:lpstr>
      <vt:lpstr>'IWP12'!Std4dot2</vt:lpstr>
      <vt:lpstr>'IWP13'!Std4dot2</vt:lpstr>
      <vt:lpstr>'IWP14'!Std4dot2</vt:lpstr>
      <vt:lpstr>'IWP15'!Std4dot2</vt:lpstr>
      <vt:lpstr>'IWP16'!Std4dot2</vt:lpstr>
      <vt:lpstr>'IWP17'!Std4dot2</vt:lpstr>
      <vt:lpstr>'IWP18'!Std4dot2</vt:lpstr>
      <vt:lpstr>'IWP19'!Std4dot2</vt:lpstr>
      <vt:lpstr>'IWP20'!Std4dot2</vt:lpstr>
      <vt:lpstr>'IWP21'!Std4dot2</vt:lpstr>
      <vt:lpstr>'IWP22'!Std4dot2</vt:lpstr>
      <vt:lpstr>'IWP23'!Std4dot2</vt:lpstr>
      <vt:lpstr>'IWP24'!Std4dot2</vt:lpstr>
      <vt:lpstr>'IWP25'!Std4dot2</vt:lpstr>
      <vt:lpstr>'IWP26'!Std4dot2</vt:lpstr>
      <vt:lpstr>'IWP27'!Std4dot2</vt:lpstr>
      <vt:lpstr>'IWP28'!Std4dot2</vt:lpstr>
      <vt:lpstr>'IWP29'!Std4dot2</vt:lpstr>
      <vt:lpstr>'IWP30'!Std4dot2</vt:lpstr>
      <vt:lpstr>'IWP01'!Std4dot2a</vt:lpstr>
      <vt:lpstr>'IWP02'!Std4dot2a</vt:lpstr>
      <vt:lpstr>'IWP03'!Std4dot2a</vt:lpstr>
      <vt:lpstr>'IWP04'!Std4dot2a</vt:lpstr>
      <vt:lpstr>'IWP05'!Std4dot2a</vt:lpstr>
      <vt:lpstr>'IWP06'!Std4dot2a</vt:lpstr>
      <vt:lpstr>'IWP07'!Std4dot2a</vt:lpstr>
      <vt:lpstr>'IWP08'!Std4dot2a</vt:lpstr>
      <vt:lpstr>'IWP09'!Std4dot2a</vt:lpstr>
      <vt:lpstr>'IWP10'!Std4dot2a</vt:lpstr>
      <vt:lpstr>'IWP11'!Std4dot2a</vt:lpstr>
      <vt:lpstr>'IWP12'!Std4dot2a</vt:lpstr>
      <vt:lpstr>'IWP13'!Std4dot2a</vt:lpstr>
      <vt:lpstr>'IWP14'!Std4dot2a</vt:lpstr>
      <vt:lpstr>'IWP15'!Std4dot2a</vt:lpstr>
      <vt:lpstr>'IWP16'!Std4dot2a</vt:lpstr>
      <vt:lpstr>'IWP17'!Std4dot2a</vt:lpstr>
      <vt:lpstr>'IWP18'!Std4dot2a</vt:lpstr>
      <vt:lpstr>'IWP19'!Std4dot2a</vt:lpstr>
      <vt:lpstr>'IWP20'!Std4dot2a</vt:lpstr>
      <vt:lpstr>'IWP21'!Std4dot2a</vt:lpstr>
      <vt:lpstr>'IWP22'!Std4dot2a</vt:lpstr>
      <vt:lpstr>'IWP23'!Std4dot2a</vt:lpstr>
      <vt:lpstr>'IWP24'!Std4dot2a</vt:lpstr>
      <vt:lpstr>'IWP25'!Std4dot2a</vt:lpstr>
      <vt:lpstr>'IWP26'!Std4dot2a</vt:lpstr>
      <vt:lpstr>'IWP27'!Std4dot2a</vt:lpstr>
      <vt:lpstr>'IWP28'!Std4dot2a</vt:lpstr>
      <vt:lpstr>'IWP29'!Std4dot2a</vt:lpstr>
      <vt:lpstr>'IWP30'!Std4dot2a</vt:lpstr>
      <vt:lpstr>'IWP01'!Std4dot2b</vt:lpstr>
      <vt:lpstr>'IWP02'!Std4dot2b</vt:lpstr>
      <vt:lpstr>'IWP03'!Std4dot2b</vt:lpstr>
      <vt:lpstr>'IWP04'!Std4dot2b</vt:lpstr>
      <vt:lpstr>'IWP05'!Std4dot2b</vt:lpstr>
      <vt:lpstr>'IWP06'!Std4dot2b</vt:lpstr>
      <vt:lpstr>'IWP07'!Std4dot2b</vt:lpstr>
      <vt:lpstr>'IWP08'!Std4dot2b</vt:lpstr>
      <vt:lpstr>'IWP09'!Std4dot2b</vt:lpstr>
      <vt:lpstr>'IWP10'!Std4dot2b</vt:lpstr>
      <vt:lpstr>'IWP11'!Std4dot2b</vt:lpstr>
      <vt:lpstr>'IWP12'!Std4dot2b</vt:lpstr>
      <vt:lpstr>'IWP13'!Std4dot2b</vt:lpstr>
      <vt:lpstr>'IWP14'!Std4dot2b</vt:lpstr>
      <vt:lpstr>'IWP15'!Std4dot2b</vt:lpstr>
      <vt:lpstr>'IWP16'!Std4dot2b</vt:lpstr>
      <vt:lpstr>'IWP17'!Std4dot2b</vt:lpstr>
      <vt:lpstr>'IWP18'!Std4dot2b</vt:lpstr>
      <vt:lpstr>'IWP19'!Std4dot2b</vt:lpstr>
      <vt:lpstr>'IWP20'!Std4dot2b</vt:lpstr>
      <vt:lpstr>'IWP21'!Std4dot2b</vt:lpstr>
      <vt:lpstr>'IWP22'!Std4dot2b</vt:lpstr>
      <vt:lpstr>'IWP23'!Std4dot2b</vt:lpstr>
      <vt:lpstr>'IWP24'!Std4dot2b</vt:lpstr>
      <vt:lpstr>'IWP25'!Std4dot2b</vt:lpstr>
      <vt:lpstr>'IWP26'!Std4dot2b</vt:lpstr>
      <vt:lpstr>'IWP27'!Std4dot2b</vt:lpstr>
      <vt:lpstr>'IWP28'!Std4dot2b</vt:lpstr>
      <vt:lpstr>'IWP29'!Std4dot2b</vt:lpstr>
      <vt:lpstr>'IWP30'!Std4dot2b</vt:lpstr>
      <vt:lpstr>'IWP01'!Std4dot2c</vt:lpstr>
      <vt:lpstr>'IWP02'!Std4dot2c</vt:lpstr>
      <vt:lpstr>'IWP03'!Std4dot2c</vt:lpstr>
      <vt:lpstr>'IWP04'!Std4dot2c</vt:lpstr>
      <vt:lpstr>'IWP05'!Std4dot2c</vt:lpstr>
      <vt:lpstr>'IWP06'!Std4dot2c</vt:lpstr>
      <vt:lpstr>'IWP07'!Std4dot2c</vt:lpstr>
      <vt:lpstr>'IWP08'!Std4dot2c</vt:lpstr>
      <vt:lpstr>'IWP09'!Std4dot2c</vt:lpstr>
      <vt:lpstr>'IWP10'!Std4dot2c</vt:lpstr>
      <vt:lpstr>'IWP11'!Std4dot2c</vt:lpstr>
      <vt:lpstr>'IWP12'!Std4dot2c</vt:lpstr>
      <vt:lpstr>'IWP13'!Std4dot2c</vt:lpstr>
      <vt:lpstr>'IWP14'!Std4dot2c</vt:lpstr>
      <vt:lpstr>'IWP15'!Std4dot2c</vt:lpstr>
      <vt:lpstr>'IWP16'!Std4dot2c</vt:lpstr>
      <vt:lpstr>'IWP17'!Std4dot2c</vt:lpstr>
      <vt:lpstr>'IWP18'!Std4dot2c</vt:lpstr>
      <vt:lpstr>'IWP19'!Std4dot2c</vt:lpstr>
      <vt:lpstr>'IWP20'!Std4dot2c</vt:lpstr>
      <vt:lpstr>'IWP21'!Std4dot2c</vt:lpstr>
      <vt:lpstr>'IWP22'!Std4dot2c</vt:lpstr>
      <vt:lpstr>'IWP23'!Std4dot2c</vt:lpstr>
      <vt:lpstr>'IWP24'!Std4dot2c</vt:lpstr>
      <vt:lpstr>'IWP25'!Std4dot2c</vt:lpstr>
      <vt:lpstr>'IWP26'!Std4dot2c</vt:lpstr>
      <vt:lpstr>'IWP27'!Std4dot2c</vt:lpstr>
      <vt:lpstr>'IWP28'!Std4dot2c</vt:lpstr>
      <vt:lpstr>'IWP29'!Std4dot2c</vt:lpstr>
      <vt:lpstr>'IWP30'!Std4dot2c</vt:lpstr>
      <vt:lpstr>'IWP01'!Std4dot2d</vt:lpstr>
      <vt:lpstr>'IWP02'!Std4dot2d</vt:lpstr>
      <vt:lpstr>'IWP03'!Std4dot2d</vt:lpstr>
      <vt:lpstr>'IWP04'!Std4dot2d</vt:lpstr>
      <vt:lpstr>'IWP05'!Std4dot2d</vt:lpstr>
      <vt:lpstr>'IWP06'!Std4dot2d</vt:lpstr>
      <vt:lpstr>'IWP07'!Std4dot2d</vt:lpstr>
      <vt:lpstr>'IWP08'!Std4dot2d</vt:lpstr>
      <vt:lpstr>'IWP09'!Std4dot2d</vt:lpstr>
      <vt:lpstr>'IWP10'!Std4dot2d</vt:lpstr>
      <vt:lpstr>'IWP11'!Std4dot2d</vt:lpstr>
      <vt:lpstr>'IWP12'!Std4dot2d</vt:lpstr>
      <vt:lpstr>'IWP13'!Std4dot2d</vt:lpstr>
      <vt:lpstr>'IWP14'!Std4dot2d</vt:lpstr>
      <vt:lpstr>'IWP15'!Std4dot2d</vt:lpstr>
      <vt:lpstr>'IWP16'!Std4dot2d</vt:lpstr>
      <vt:lpstr>'IWP17'!Std4dot2d</vt:lpstr>
      <vt:lpstr>'IWP18'!Std4dot2d</vt:lpstr>
      <vt:lpstr>'IWP19'!Std4dot2d</vt:lpstr>
      <vt:lpstr>'IWP20'!Std4dot2d</vt:lpstr>
      <vt:lpstr>'IWP21'!Std4dot2d</vt:lpstr>
      <vt:lpstr>'IWP22'!Std4dot2d</vt:lpstr>
      <vt:lpstr>'IWP23'!Std4dot2d</vt:lpstr>
      <vt:lpstr>'IWP24'!Std4dot2d</vt:lpstr>
      <vt:lpstr>'IWP25'!Std4dot2d</vt:lpstr>
      <vt:lpstr>'IWP26'!Std4dot2d</vt:lpstr>
      <vt:lpstr>'IWP27'!Std4dot2d</vt:lpstr>
      <vt:lpstr>'IWP28'!Std4dot2d</vt:lpstr>
      <vt:lpstr>'IWP29'!Std4dot2d</vt:lpstr>
      <vt:lpstr>'IWP30'!Std4dot2d</vt:lpstr>
      <vt:lpstr>'IWP01'!Std4dot3</vt:lpstr>
      <vt:lpstr>'IWP02'!Std4dot3</vt:lpstr>
      <vt:lpstr>'IWP03'!Std4dot3</vt:lpstr>
      <vt:lpstr>'IWP04'!Std4dot3</vt:lpstr>
      <vt:lpstr>'IWP05'!Std4dot3</vt:lpstr>
      <vt:lpstr>'IWP06'!Std4dot3</vt:lpstr>
      <vt:lpstr>'IWP07'!Std4dot3</vt:lpstr>
      <vt:lpstr>'IWP08'!Std4dot3</vt:lpstr>
      <vt:lpstr>'IWP09'!Std4dot3</vt:lpstr>
      <vt:lpstr>'IWP10'!Std4dot3</vt:lpstr>
      <vt:lpstr>'IWP11'!Std4dot3</vt:lpstr>
      <vt:lpstr>'IWP12'!Std4dot3</vt:lpstr>
      <vt:lpstr>'IWP13'!Std4dot3</vt:lpstr>
      <vt:lpstr>'IWP14'!Std4dot3</vt:lpstr>
      <vt:lpstr>'IWP15'!Std4dot3</vt:lpstr>
      <vt:lpstr>'IWP16'!Std4dot3</vt:lpstr>
      <vt:lpstr>'IWP17'!Std4dot3</vt:lpstr>
      <vt:lpstr>'IWP18'!Std4dot3</vt:lpstr>
      <vt:lpstr>'IWP19'!Std4dot3</vt:lpstr>
      <vt:lpstr>'IWP20'!Std4dot3</vt:lpstr>
      <vt:lpstr>'IWP21'!Std4dot3</vt:lpstr>
      <vt:lpstr>'IWP22'!Std4dot3</vt:lpstr>
      <vt:lpstr>'IWP23'!Std4dot3</vt:lpstr>
      <vt:lpstr>'IWP24'!Std4dot3</vt:lpstr>
      <vt:lpstr>'IWP25'!Std4dot3</vt:lpstr>
      <vt:lpstr>'IWP26'!Std4dot3</vt:lpstr>
      <vt:lpstr>'IWP27'!Std4dot3</vt:lpstr>
      <vt:lpstr>'IWP28'!Std4dot3</vt:lpstr>
      <vt:lpstr>'IWP29'!Std4dot3</vt:lpstr>
      <vt:lpstr>'IWP30'!Std4dot3</vt:lpstr>
      <vt:lpstr>'IWP01'!Std4dot3a</vt:lpstr>
      <vt:lpstr>'IWP02'!Std4dot3a</vt:lpstr>
      <vt:lpstr>'IWP03'!Std4dot3a</vt:lpstr>
      <vt:lpstr>'IWP04'!Std4dot3a</vt:lpstr>
      <vt:lpstr>'IWP05'!Std4dot3a</vt:lpstr>
      <vt:lpstr>'IWP06'!Std4dot3a</vt:lpstr>
      <vt:lpstr>'IWP07'!Std4dot3a</vt:lpstr>
      <vt:lpstr>'IWP08'!Std4dot3a</vt:lpstr>
      <vt:lpstr>'IWP09'!Std4dot3a</vt:lpstr>
      <vt:lpstr>'IWP10'!Std4dot3a</vt:lpstr>
      <vt:lpstr>'IWP11'!Std4dot3a</vt:lpstr>
      <vt:lpstr>'IWP12'!Std4dot3a</vt:lpstr>
      <vt:lpstr>'IWP13'!Std4dot3a</vt:lpstr>
      <vt:lpstr>'IWP14'!Std4dot3a</vt:lpstr>
      <vt:lpstr>'IWP15'!Std4dot3a</vt:lpstr>
      <vt:lpstr>'IWP16'!Std4dot3a</vt:lpstr>
      <vt:lpstr>'IWP17'!Std4dot3a</vt:lpstr>
      <vt:lpstr>'IWP18'!Std4dot3a</vt:lpstr>
      <vt:lpstr>'IWP19'!Std4dot3a</vt:lpstr>
      <vt:lpstr>'IWP20'!Std4dot3a</vt:lpstr>
      <vt:lpstr>'IWP21'!Std4dot3a</vt:lpstr>
      <vt:lpstr>'IWP22'!Std4dot3a</vt:lpstr>
      <vt:lpstr>'IWP23'!Std4dot3a</vt:lpstr>
      <vt:lpstr>'IWP24'!Std4dot3a</vt:lpstr>
      <vt:lpstr>'IWP25'!Std4dot3a</vt:lpstr>
      <vt:lpstr>'IWP26'!Std4dot3a</vt:lpstr>
      <vt:lpstr>'IWP27'!Std4dot3a</vt:lpstr>
      <vt:lpstr>'IWP28'!Std4dot3a</vt:lpstr>
      <vt:lpstr>'IWP29'!Std4dot3a</vt:lpstr>
      <vt:lpstr>'IWP30'!Std4dot3a</vt:lpstr>
      <vt:lpstr>'IWP01'!Std4dot3b</vt:lpstr>
      <vt:lpstr>'IWP02'!Std4dot3b</vt:lpstr>
      <vt:lpstr>'IWP03'!Std4dot3b</vt:lpstr>
      <vt:lpstr>'IWP04'!Std4dot3b</vt:lpstr>
      <vt:lpstr>'IWP05'!Std4dot3b</vt:lpstr>
      <vt:lpstr>'IWP06'!Std4dot3b</vt:lpstr>
      <vt:lpstr>'IWP07'!Std4dot3b</vt:lpstr>
      <vt:lpstr>'IWP08'!Std4dot3b</vt:lpstr>
      <vt:lpstr>'IWP09'!Std4dot3b</vt:lpstr>
      <vt:lpstr>'IWP10'!Std4dot3b</vt:lpstr>
      <vt:lpstr>'IWP11'!Std4dot3b</vt:lpstr>
      <vt:lpstr>'IWP12'!Std4dot3b</vt:lpstr>
      <vt:lpstr>'IWP13'!Std4dot3b</vt:lpstr>
      <vt:lpstr>'IWP14'!Std4dot3b</vt:lpstr>
      <vt:lpstr>'IWP15'!Std4dot3b</vt:lpstr>
      <vt:lpstr>'IWP16'!Std4dot3b</vt:lpstr>
      <vt:lpstr>'IWP17'!Std4dot3b</vt:lpstr>
      <vt:lpstr>'IWP18'!Std4dot3b</vt:lpstr>
      <vt:lpstr>'IWP19'!Std4dot3b</vt:lpstr>
      <vt:lpstr>'IWP20'!Std4dot3b</vt:lpstr>
      <vt:lpstr>'IWP21'!Std4dot3b</vt:lpstr>
      <vt:lpstr>'IWP22'!Std4dot3b</vt:lpstr>
      <vt:lpstr>'IWP23'!Std4dot3b</vt:lpstr>
      <vt:lpstr>'IWP24'!Std4dot3b</vt:lpstr>
      <vt:lpstr>'IWP25'!Std4dot3b</vt:lpstr>
      <vt:lpstr>'IWP26'!Std4dot3b</vt:lpstr>
      <vt:lpstr>'IWP27'!Std4dot3b</vt:lpstr>
      <vt:lpstr>'IWP28'!Std4dot3b</vt:lpstr>
      <vt:lpstr>'IWP29'!Std4dot3b</vt:lpstr>
      <vt:lpstr>'IWP30'!Std4dot3b</vt:lpstr>
      <vt:lpstr>'IWP01'!Std4dot3c</vt:lpstr>
      <vt:lpstr>'IWP02'!Std4dot3c</vt:lpstr>
      <vt:lpstr>'IWP03'!Std4dot3c</vt:lpstr>
      <vt:lpstr>'IWP04'!Std4dot3c</vt:lpstr>
      <vt:lpstr>'IWP05'!Std4dot3c</vt:lpstr>
      <vt:lpstr>'IWP06'!Std4dot3c</vt:lpstr>
      <vt:lpstr>'IWP07'!Std4dot3c</vt:lpstr>
      <vt:lpstr>'IWP08'!Std4dot3c</vt:lpstr>
      <vt:lpstr>'IWP09'!Std4dot3c</vt:lpstr>
      <vt:lpstr>'IWP10'!Std4dot3c</vt:lpstr>
      <vt:lpstr>'IWP11'!Std4dot3c</vt:lpstr>
      <vt:lpstr>'IWP12'!Std4dot3c</vt:lpstr>
      <vt:lpstr>'IWP13'!Std4dot3c</vt:lpstr>
      <vt:lpstr>'IWP14'!Std4dot3c</vt:lpstr>
      <vt:lpstr>'IWP15'!Std4dot3c</vt:lpstr>
      <vt:lpstr>'IWP16'!Std4dot3c</vt:lpstr>
      <vt:lpstr>'IWP17'!Std4dot3c</vt:lpstr>
      <vt:lpstr>'IWP18'!Std4dot3c</vt:lpstr>
      <vt:lpstr>'IWP19'!Std4dot3c</vt:lpstr>
      <vt:lpstr>'IWP20'!Std4dot3c</vt:lpstr>
      <vt:lpstr>'IWP21'!Std4dot3c</vt:lpstr>
      <vt:lpstr>'IWP22'!Std4dot3c</vt:lpstr>
      <vt:lpstr>'IWP23'!Std4dot3c</vt:lpstr>
      <vt:lpstr>'IWP24'!Std4dot3c</vt:lpstr>
      <vt:lpstr>'IWP25'!Std4dot3c</vt:lpstr>
      <vt:lpstr>'IWP26'!Std4dot3c</vt:lpstr>
      <vt:lpstr>'IWP27'!Std4dot3c</vt:lpstr>
      <vt:lpstr>'IWP28'!Std4dot3c</vt:lpstr>
      <vt:lpstr>'IWP29'!Std4dot3c</vt:lpstr>
      <vt:lpstr>'IWP30'!Std4dot3c</vt:lpstr>
      <vt:lpstr>'IWP01'!Std4dot3d</vt:lpstr>
      <vt:lpstr>'IWP02'!Std4dot3d</vt:lpstr>
      <vt:lpstr>'IWP03'!Std4dot3d</vt:lpstr>
      <vt:lpstr>'IWP04'!Std4dot3d</vt:lpstr>
      <vt:lpstr>'IWP05'!Std4dot3d</vt:lpstr>
      <vt:lpstr>'IWP06'!Std4dot3d</vt:lpstr>
      <vt:lpstr>'IWP07'!Std4dot3d</vt:lpstr>
      <vt:lpstr>'IWP08'!Std4dot3d</vt:lpstr>
      <vt:lpstr>'IWP09'!Std4dot3d</vt:lpstr>
      <vt:lpstr>'IWP10'!Std4dot3d</vt:lpstr>
      <vt:lpstr>'IWP11'!Std4dot3d</vt:lpstr>
      <vt:lpstr>'IWP12'!Std4dot3d</vt:lpstr>
      <vt:lpstr>'IWP13'!Std4dot3d</vt:lpstr>
      <vt:lpstr>'IWP14'!Std4dot3d</vt:lpstr>
      <vt:lpstr>'IWP15'!Std4dot3d</vt:lpstr>
      <vt:lpstr>'IWP16'!Std4dot3d</vt:lpstr>
      <vt:lpstr>'IWP17'!Std4dot3d</vt:lpstr>
      <vt:lpstr>'IWP18'!Std4dot3d</vt:lpstr>
      <vt:lpstr>'IWP19'!Std4dot3d</vt:lpstr>
      <vt:lpstr>'IWP20'!Std4dot3d</vt:lpstr>
      <vt:lpstr>'IWP21'!Std4dot3d</vt:lpstr>
      <vt:lpstr>'IWP22'!Std4dot3d</vt:lpstr>
      <vt:lpstr>'IWP23'!Std4dot3d</vt:lpstr>
      <vt:lpstr>'IWP24'!Std4dot3d</vt:lpstr>
      <vt:lpstr>'IWP25'!Std4dot3d</vt:lpstr>
      <vt:lpstr>'IWP26'!Std4dot3d</vt:lpstr>
      <vt:lpstr>'IWP27'!Std4dot3d</vt:lpstr>
      <vt:lpstr>'IWP28'!Std4dot3d</vt:lpstr>
      <vt:lpstr>'IWP29'!Std4dot3d</vt:lpstr>
      <vt:lpstr>'IWP30'!Std4dot3d</vt:lpstr>
      <vt:lpstr>'IWP01'!Std4dot3DateOfTransfer</vt:lpstr>
      <vt:lpstr>'IWP02'!Std4dot3DateOfTransfer</vt:lpstr>
      <vt:lpstr>'IWP03'!Std4dot3DateOfTransfer</vt:lpstr>
      <vt:lpstr>'IWP04'!Std4dot3DateOfTransfer</vt:lpstr>
      <vt:lpstr>'IWP05'!Std4dot3DateOfTransfer</vt:lpstr>
      <vt:lpstr>'IWP06'!Std4dot3DateOfTransfer</vt:lpstr>
      <vt:lpstr>'IWP07'!Std4dot3DateOfTransfer</vt:lpstr>
      <vt:lpstr>'IWP08'!Std4dot3DateOfTransfer</vt:lpstr>
      <vt:lpstr>'IWP09'!Std4dot3DateOfTransfer</vt:lpstr>
      <vt:lpstr>'IWP10'!Std4dot3DateOfTransfer</vt:lpstr>
      <vt:lpstr>'IWP11'!Std4dot3DateOfTransfer</vt:lpstr>
      <vt:lpstr>'IWP12'!Std4dot3DateOfTransfer</vt:lpstr>
      <vt:lpstr>'IWP13'!Std4dot3DateOfTransfer</vt:lpstr>
      <vt:lpstr>'IWP14'!Std4dot3DateOfTransfer</vt:lpstr>
      <vt:lpstr>'IWP15'!Std4dot3DateOfTransfer</vt:lpstr>
      <vt:lpstr>'IWP16'!Std4dot3DateOfTransfer</vt:lpstr>
      <vt:lpstr>'IWP17'!Std4dot3DateOfTransfer</vt:lpstr>
      <vt:lpstr>'IWP18'!Std4dot3DateOfTransfer</vt:lpstr>
      <vt:lpstr>'IWP19'!Std4dot3DateOfTransfer</vt:lpstr>
      <vt:lpstr>'IWP20'!Std4dot3DateOfTransfer</vt:lpstr>
      <vt:lpstr>'IWP21'!Std4dot3DateOfTransfer</vt:lpstr>
      <vt:lpstr>'IWP22'!Std4dot3DateOfTransfer</vt:lpstr>
      <vt:lpstr>'IWP23'!Std4dot3DateOfTransfer</vt:lpstr>
      <vt:lpstr>'IWP24'!Std4dot3DateOfTransfer</vt:lpstr>
      <vt:lpstr>'IWP25'!Std4dot3DateOfTransfer</vt:lpstr>
      <vt:lpstr>'IWP26'!Std4dot3DateOfTransfer</vt:lpstr>
      <vt:lpstr>'IWP27'!Std4dot3DateOfTransfer</vt:lpstr>
      <vt:lpstr>'IWP28'!Std4dot3DateOfTransfer</vt:lpstr>
      <vt:lpstr>'IWP29'!Std4dot3DateOfTransfer</vt:lpstr>
      <vt:lpstr>'IWP30'!Std4dot3DateOfTransfer</vt:lpstr>
      <vt:lpstr>'IWP01'!Std4dot3e</vt:lpstr>
      <vt:lpstr>'IWP02'!Std4dot3e</vt:lpstr>
      <vt:lpstr>'IWP03'!Std4dot3e</vt:lpstr>
      <vt:lpstr>'IWP04'!Std4dot3e</vt:lpstr>
      <vt:lpstr>'IWP05'!Std4dot3e</vt:lpstr>
      <vt:lpstr>'IWP06'!Std4dot3e</vt:lpstr>
      <vt:lpstr>'IWP07'!Std4dot3e</vt:lpstr>
      <vt:lpstr>'IWP08'!Std4dot3e</vt:lpstr>
      <vt:lpstr>'IWP09'!Std4dot3e</vt:lpstr>
      <vt:lpstr>'IWP10'!Std4dot3e</vt:lpstr>
      <vt:lpstr>'IWP11'!Std4dot3e</vt:lpstr>
      <vt:lpstr>'IWP12'!Std4dot3e</vt:lpstr>
      <vt:lpstr>'IWP13'!Std4dot3e</vt:lpstr>
      <vt:lpstr>'IWP14'!Std4dot3e</vt:lpstr>
      <vt:lpstr>'IWP15'!Std4dot3e</vt:lpstr>
      <vt:lpstr>'IWP16'!Std4dot3e</vt:lpstr>
      <vt:lpstr>'IWP17'!Std4dot3e</vt:lpstr>
      <vt:lpstr>'IWP18'!Std4dot3e</vt:lpstr>
      <vt:lpstr>'IWP19'!Std4dot3e</vt:lpstr>
      <vt:lpstr>'IWP20'!Std4dot3e</vt:lpstr>
      <vt:lpstr>'IWP21'!Std4dot3e</vt:lpstr>
      <vt:lpstr>'IWP22'!Std4dot3e</vt:lpstr>
      <vt:lpstr>'IWP23'!Std4dot3e</vt:lpstr>
      <vt:lpstr>'IWP24'!Std4dot3e</vt:lpstr>
      <vt:lpstr>'IWP25'!Std4dot3e</vt:lpstr>
      <vt:lpstr>'IWP26'!Std4dot3e</vt:lpstr>
      <vt:lpstr>'IWP27'!Std4dot3e</vt:lpstr>
      <vt:lpstr>'IWP28'!Std4dot3e</vt:lpstr>
      <vt:lpstr>'IWP29'!Std4dot3e</vt:lpstr>
      <vt:lpstr>'IWP30'!Std4dot3e</vt:lpstr>
      <vt:lpstr>'IWP01'!Std4dot3NotCalc</vt:lpstr>
      <vt:lpstr>'IWP02'!Std4dot3NotCalc</vt:lpstr>
      <vt:lpstr>'IWP03'!Std4dot3NotCalc</vt:lpstr>
      <vt:lpstr>'IWP04'!Std4dot3NotCalc</vt:lpstr>
      <vt:lpstr>'IWP05'!Std4dot3NotCalc</vt:lpstr>
      <vt:lpstr>'IWP06'!Std4dot3NotCalc</vt:lpstr>
      <vt:lpstr>'IWP07'!Std4dot3NotCalc</vt:lpstr>
      <vt:lpstr>'IWP08'!Std4dot3NotCalc</vt:lpstr>
      <vt:lpstr>'IWP09'!Std4dot3NotCalc</vt:lpstr>
      <vt:lpstr>'IWP10'!Std4dot3NotCalc</vt:lpstr>
      <vt:lpstr>'IWP11'!Std4dot3NotCalc</vt:lpstr>
      <vt:lpstr>'IWP12'!Std4dot3NotCalc</vt:lpstr>
      <vt:lpstr>'IWP13'!Std4dot3NotCalc</vt:lpstr>
      <vt:lpstr>'IWP14'!Std4dot3NotCalc</vt:lpstr>
      <vt:lpstr>'IWP15'!Std4dot3NotCalc</vt:lpstr>
      <vt:lpstr>'IWP16'!Std4dot3NotCalc</vt:lpstr>
      <vt:lpstr>'IWP17'!Std4dot3NotCalc</vt:lpstr>
      <vt:lpstr>'IWP18'!Std4dot3NotCalc</vt:lpstr>
      <vt:lpstr>'IWP19'!Std4dot3NotCalc</vt:lpstr>
      <vt:lpstr>'IWP20'!Std4dot3NotCalc</vt:lpstr>
      <vt:lpstr>'IWP21'!Std4dot3NotCalc</vt:lpstr>
      <vt:lpstr>'IWP22'!Std4dot3NotCalc</vt:lpstr>
      <vt:lpstr>'IWP23'!Std4dot3NotCalc</vt:lpstr>
      <vt:lpstr>'IWP24'!Std4dot3NotCalc</vt:lpstr>
      <vt:lpstr>'IWP25'!Std4dot3NotCalc</vt:lpstr>
      <vt:lpstr>'IWP26'!Std4dot3NotCalc</vt:lpstr>
      <vt:lpstr>'IWP27'!Std4dot3NotCalc</vt:lpstr>
      <vt:lpstr>'IWP28'!Std4dot3NotCalc</vt:lpstr>
      <vt:lpstr>'IWP29'!Std4dot3NotCalc</vt:lpstr>
      <vt:lpstr>'IWP30'!Std4dot3NotCalc</vt:lpstr>
      <vt:lpstr>'IWP01'!Std4NotCalc</vt:lpstr>
      <vt:lpstr>'IWP02'!Std4NotCalc</vt:lpstr>
      <vt:lpstr>'IWP03'!Std4NotCalc</vt:lpstr>
      <vt:lpstr>'IWP04'!Std4NotCalc</vt:lpstr>
      <vt:lpstr>'IWP05'!Std4NotCalc</vt:lpstr>
      <vt:lpstr>'IWP06'!Std4NotCalc</vt:lpstr>
      <vt:lpstr>'IWP07'!Std4NotCalc</vt:lpstr>
      <vt:lpstr>'IWP08'!Std4NotCalc</vt:lpstr>
      <vt:lpstr>'IWP09'!Std4NotCalc</vt:lpstr>
      <vt:lpstr>'IWP10'!Std4NotCalc</vt:lpstr>
      <vt:lpstr>'IWP11'!Std4NotCalc</vt:lpstr>
      <vt:lpstr>'IWP12'!Std4NotCalc</vt:lpstr>
      <vt:lpstr>'IWP13'!Std4NotCalc</vt:lpstr>
      <vt:lpstr>'IWP14'!Std4NotCalc</vt:lpstr>
      <vt:lpstr>'IWP15'!Std4NotCalc</vt:lpstr>
      <vt:lpstr>'IWP16'!Std4NotCalc</vt:lpstr>
      <vt:lpstr>'IWP17'!Std4NotCalc</vt:lpstr>
      <vt:lpstr>'IWP18'!Std4NotCalc</vt:lpstr>
      <vt:lpstr>'IWP19'!Std4NotCalc</vt:lpstr>
      <vt:lpstr>'IWP20'!Std4NotCalc</vt:lpstr>
      <vt:lpstr>'IWP21'!Std4NotCalc</vt:lpstr>
      <vt:lpstr>'IWP22'!Std4NotCalc</vt:lpstr>
      <vt:lpstr>'IWP23'!Std4NotCalc</vt:lpstr>
      <vt:lpstr>'IWP24'!Std4NotCalc</vt:lpstr>
      <vt:lpstr>'IWP25'!Std4NotCalc</vt:lpstr>
      <vt:lpstr>'IWP26'!Std4NotCalc</vt:lpstr>
      <vt:lpstr>'IWP27'!Std4NotCalc</vt:lpstr>
      <vt:lpstr>'IWP28'!Std4NotCalc</vt:lpstr>
      <vt:lpstr>'IWP29'!Std4NotCalc</vt:lpstr>
      <vt:lpstr>'IWP30'!Std4NotCalc</vt:lpstr>
      <vt:lpstr>'IWP01'!Std5dot1</vt:lpstr>
      <vt:lpstr>'IWP02'!Std5dot1</vt:lpstr>
      <vt:lpstr>'IWP03'!Std5dot1</vt:lpstr>
      <vt:lpstr>'IWP04'!Std5dot1</vt:lpstr>
      <vt:lpstr>'IWP05'!Std5dot1</vt:lpstr>
      <vt:lpstr>'IWP06'!Std5dot1</vt:lpstr>
      <vt:lpstr>'IWP07'!Std5dot1</vt:lpstr>
      <vt:lpstr>'IWP08'!Std5dot1</vt:lpstr>
      <vt:lpstr>'IWP09'!Std5dot1</vt:lpstr>
      <vt:lpstr>'IWP10'!Std5dot1</vt:lpstr>
      <vt:lpstr>'IWP11'!Std5dot1</vt:lpstr>
      <vt:lpstr>'IWP12'!Std5dot1</vt:lpstr>
      <vt:lpstr>'IWP13'!Std5dot1</vt:lpstr>
      <vt:lpstr>'IWP14'!Std5dot1</vt:lpstr>
      <vt:lpstr>'IWP15'!Std5dot1</vt:lpstr>
      <vt:lpstr>'IWP16'!Std5dot1</vt:lpstr>
      <vt:lpstr>'IWP17'!Std5dot1</vt:lpstr>
      <vt:lpstr>'IWP18'!Std5dot1</vt:lpstr>
      <vt:lpstr>'IWP19'!Std5dot1</vt:lpstr>
      <vt:lpstr>'IWP20'!Std5dot1</vt:lpstr>
      <vt:lpstr>'IWP21'!Std5dot1</vt:lpstr>
      <vt:lpstr>'IWP22'!Std5dot1</vt:lpstr>
      <vt:lpstr>'IWP23'!Std5dot1</vt:lpstr>
      <vt:lpstr>'IWP24'!Std5dot1</vt:lpstr>
      <vt:lpstr>'IWP25'!Std5dot1</vt:lpstr>
      <vt:lpstr>'IWP26'!Std5dot1</vt:lpstr>
      <vt:lpstr>'IWP27'!Std5dot1</vt:lpstr>
      <vt:lpstr>'IWP28'!Std5dot1</vt:lpstr>
      <vt:lpstr>'IWP29'!Std5dot1</vt:lpstr>
      <vt:lpstr>'IWP30'!Std5dot1</vt:lpstr>
      <vt:lpstr>'IWP01'!Std6dot1</vt:lpstr>
      <vt:lpstr>'IWP02'!Std6dot1</vt:lpstr>
      <vt:lpstr>'IWP03'!Std6dot1</vt:lpstr>
      <vt:lpstr>'IWP04'!Std6dot1</vt:lpstr>
      <vt:lpstr>'IWP05'!Std6dot1</vt:lpstr>
      <vt:lpstr>'IWP06'!Std6dot1</vt:lpstr>
      <vt:lpstr>'IWP07'!Std6dot1</vt:lpstr>
      <vt:lpstr>'IWP08'!Std6dot1</vt:lpstr>
      <vt:lpstr>'IWP09'!Std6dot1</vt:lpstr>
      <vt:lpstr>'IWP10'!Std6dot1</vt:lpstr>
      <vt:lpstr>'IWP11'!Std6dot1</vt:lpstr>
      <vt:lpstr>'IWP12'!Std6dot1</vt:lpstr>
      <vt:lpstr>'IWP13'!Std6dot1</vt:lpstr>
      <vt:lpstr>'IWP14'!Std6dot1</vt:lpstr>
      <vt:lpstr>'IWP15'!Std6dot1</vt:lpstr>
      <vt:lpstr>'IWP16'!Std6dot1</vt:lpstr>
      <vt:lpstr>'IWP17'!Std6dot1</vt:lpstr>
      <vt:lpstr>'IWP18'!Std6dot1</vt:lpstr>
      <vt:lpstr>'IWP19'!Std6dot1</vt:lpstr>
      <vt:lpstr>'IWP20'!Std6dot1</vt:lpstr>
      <vt:lpstr>'IWP21'!Std6dot1</vt:lpstr>
      <vt:lpstr>'IWP22'!Std6dot1</vt:lpstr>
      <vt:lpstr>'IWP23'!Std6dot1</vt:lpstr>
      <vt:lpstr>'IWP24'!Std6dot1</vt:lpstr>
      <vt:lpstr>'IWP25'!Std6dot1</vt:lpstr>
      <vt:lpstr>'IWP26'!Std6dot1</vt:lpstr>
      <vt:lpstr>'IWP27'!Std6dot1</vt:lpstr>
      <vt:lpstr>'IWP28'!Std6dot1</vt:lpstr>
      <vt:lpstr>'IWP29'!Std6dot1</vt:lpstr>
      <vt:lpstr>'IWP30'!Std6dot1</vt:lpstr>
      <vt:lpstr>'IWP01'!Std6dot1NotCalc</vt:lpstr>
      <vt:lpstr>'IWP02'!Std6dot1NotCalc</vt:lpstr>
      <vt:lpstr>'IWP03'!Std6dot1NotCalc</vt:lpstr>
      <vt:lpstr>'IWP04'!Std6dot1NotCalc</vt:lpstr>
      <vt:lpstr>'IWP05'!Std6dot1NotCalc</vt:lpstr>
      <vt:lpstr>'IWP06'!Std6dot1NotCalc</vt:lpstr>
      <vt:lpstr>'IWP07'!Std6dot1NotCalc</vt:lpstr>
      <vt:lpstr>'IWP08'!Std6dot1NotCalc</vt:lpstr>
      <vt:lpstr>'IWP09'!Std6dot1NotCalc</vt:lpstr>
      <vt:lpstr>'IWP10'!Std6dot1NotCalc</vt:lpstr>
      <vt:lpstr>'IWP11'!Std6dot1NotCalc</vt:lpstr>
      <vt:lpstr>'IWP12'!Std6dot1NotCalc</vt:lpstr>
      <vt:lpstr>'IWP13'!Std6dot1NotCalc</vt:lpstr>
      <vt:lpstr>'IWP14'!Std6dot1NotCalc</vt:lpstr>
      <vt:lpstr>'IWP15'!Std6dot1NotCalc</vt:lpstr>
      <vt:lpstr>'IWP16'!Std6dot1NotCalc</vt:lpstr>
      <vt:lpstr>'IWP17'!Std6dot1NotCalc</vt:lpstr>
      <vt:lpstr>'IWP18'!Std6dot1NotCalc</vt:lpstr>
      <vt:lpstr>'IWP19'!Std6dot1NotCalc</vt:lpstr>
      <vt:lpstr>'IWP20'!Std6dot1NotCalc</vt:lpstr>
      <vt:lpstr>'IWP21'!Std6dot1NotCalc</vt:lpstr>
      <vt:lpstr>'IWP22'!Std6dot1NotCalc</vt:lpstr>
      <vt:lpstr>'IWP23'!Std6dot1NotCalc</vt:lpstr>
      <vt:lpstr>'IWP24'!Std6dot1NotCalc</vt:lpstr>
      <vt:lpstr>'IWP25'!Std6dot1NotCalc</vt:lpstr>
      <vt:lpstr>'IWP26'!Std6dot1NotCalc</vt:lpstr>
      <vt:lpstr>'IWP27'!Std6dot1NotCalc</vt:lpstr>
      <vt:lpstr>'IWP28'!Std6dot1NotCalc</vt:lpstr>
      <vt:lpstr>'IWP29'!Std6dot1NotCalc</vt:lpstr>
      <vt:lpstr>'IWP30'!Std6dot1NotCalc</vt:lpstr>
      <vt:lpstr>'IWP01'!Std6dot2</vt:lpstr>
      <vt:lpstr>'IWP02'!Std6dot2</vt:lpstr>
      <vt:lpstr>'IWP03'!Std6dot2</vt:lpstr>
      <vt:lpstr>'IWP04'!Std6dot2</vt:lpstr>
      <vt:lpstr>'IWP05'!Std6dot2</vt:lpstr>
      <vt:lpstr>'IWP06'!Std6dot2</vt:lpstr>
      <vt:lpstr>'IWP07'!Std6dot2</vt:lpstr>
      <vt:lpstr>'IWP08'!Std6dot2</vt:lpstr>
      <vt:lpstr>'IWP09'!Std6dot2</vt:lpstr>
      <vt:lpstr>'IWP10'!Std6dot2</vt:lpstr>
      <vt:lpstr>'IWP11'!Std6dot2</vt:lpstr>
      <vt:lpstr>'IWP12'!Std6dot2</vt:lpstr>
      <vt:lpstr>'IWP13'!Std6dot2</vt:lpstr>
      <vt:lpstr>'IWP14'!Std6dot2</vt:lpstr>
      <vt:lpstr>'IWP15'!Std6dot2</vt:lpstr>
      <vt:lpstr>'IWP16'!Std6dot2</vt:lpstr>
      <vt:lpstr>'IWP17'!Std6dot2</vt:lpstr>
      <vt:lpstr>'IWP18'!Std6dot2</vt:lpstr>
      <vt:lpstr>'IWP19'!Std6dot2</vt:lpstr>
      <vt:lpstr>'IWP20'!Std6dot2</vt:lpstr>
      <vt:lpstr>'IWP21'!Std6dot2</vt:lpstr>
      <vt:lpstr>'IWP22'!Std6dot2</vt:lpstr>
      <vt:lpstr>'IWP23'!Std6dot2</vt:lpstr>
      <vt:lpstr>'IWP24'!Std6dot2</vt:lpstr>
      <vt:lpstr>'IWP25'!Std6dot2</vt:lpstr>
      <vt:lpstr>'IWP26'!Std6dot2</vt:lpstr>
      <vt:lpstr>'IWP27'!Std6dot2</vt:lpstr>
      <vt:lpstr>'IWP28'!Std6dot2</vt:lpstr>
      <vt:lpstr>'IWP29'!Std6dot2</vt:lpstr>
      <vt:lpstr>'IWP30'!Std6dot2</vt:lpstr>
      <vt:lpstr>'IWP01'!Std6dot2a</vt:lpstr>
      <vt:lpstr>'IWP02'!Std6dot2a</vt:lpstr>
      <vt:lpstr>'IWP03'!Std6dot2a</vt:lpstr>
      <vt:lpstr>'IWP04'!Std6dot2a</vt:lpstr>
      <vt:lpstr>'IWP05'!Std6dot2a</vt:lpstr>
      <vt:lpstr>'IWP06'!Std6dot2a</vt:lpstr>
      <vt:lpstr>'IWP07'!Std6dot2a</vt:lpstr>
      <vt:lpstr>'IWP08'!Std6dot2a</vt:lpstr>
      <vt:lpstr>'IWP09'!Std6dot2a</vt:lpstr>
      <vt:lpstr>'IWP10'!Std6dot2a</vt:lpstr>
      <vt:lpstr>'IWP11'!Std6dot2a</vt:lpstr>
      <vt:lpstr>'IWP12'!Std6dot2a</vt:lpstr>
      <vt:lpstr>'IWP13'!Std6dot2a</vt:lpstr>
      <vt:lpstr>'IWP14'!Std6dot2a</vt:lpstr>
      <vt:lpstr>'IWP15'!Std6dot2a</vt:lpstr>
      <vt:lpstr>'IWP16'!Std6dot2a</vt:lpstr>
      <vt:lpstr>'IWP17'!Std6dot2a</vt:lpstr>
      <vt:lpstr>'IWP18'!Std6dot2a</vt:lpstr>
      <vt:lpstr>'IWP19'!Std6dot2a</vt:lpstr>
      <vt:lpstr>'IWP20'!Std6dot2a</vt:lpstr>
      <vt:lpstr>'IWP21'!Std6dot2a</vt:lpstr>
      <vt:lpstr>'IWP22'!Std6dot2a</vt:lpstr>
      <vt:lpstr>'IWP23'!Std6dot2a</vt:lpstr>
      <vt:lpstr>'IWP24'!Std6dot2a</vt:lpstr>
      <vt:lpstr>'IWP25'!Std6dot2a</vt:lpstr>
      <vt:lpstr>'IWP26'!Std6dot2a</vt:lpstr>
      <vt:lpstr>'IWP27'!Std6dot2a</vt:lpstr>
      <vt:lpstr>'IWP28'!Std6dot2a</vt:lpstr>
      <vt:lpstr>'IWP29'!Std6dot2a</vt:lpstr>
      <vt:lpstr>'IWP30'!Std6dot2a</vt:lpstr>
      <vt:lpstr>'IWP01'!Std6dot2b</vt:lpstr>
      <vt:lpstr>'IWP02'!Std6dot2b</vt:lpstr>
      <vt:lpstr>'IWP03'!Std6dot2b</vt:lpstr>
      <vt:lpstr>'IWP04'!Std6dot2b</vt:lpstr>
      <vt:lpstr>'IWP05'!Std6dot2b</vt:lpstr>
      <vt:lpstr>'IWP06'!Std6dot2b</vt:lpstr>
      <vt:lpstr>'IWP07'!Std6dot2b</vt:lpstr>
      <vt:lpstr>'IWP08'!Std6dot2b</vt:lpstr>
      <vt:lpstr>'IWP09'!Std6dot2b</vt:lpstr>
      <vt:lpstr>'IWP10'!Std6dot2b</vt:lpstr>
      <vt:lpstr>'IWP11'!Std6dot2b</vt:lpstr>
      <vt:lpstr>'IWP12'!Std6dot2b</vt:lpstr>
      <vt:lpstr>'IWP13'!Std6dot2b</vt:lpstr>
      <vt:lpstr>'IWP14'!Std6dot2b</vt:lpstr>
      <vt:lpstr>'IWP15'!Std6dot2b</vt:lpstr>
      <vt:lpstr>'IWP16'!Std6dot2b</vt:lpstr>
      <vt:lpstr>'IWP17'!Std6dot2b</vt:lpstr>
      <vt:lpstr>'IWP18'!Std6dot2b</vt:lpstr>
      <vt:lpstr>'IWP19'!Std6dot2b</vt:lpstr>
      <vt:lpstr>'IWP20'!Std6dot2b</vt:lpstr>
      <vt:lpstr>'IWP21'!Std6dot2b</vt:lpstr>
      <vt:lpstr>'IWP22'!Std6dot2b</vt:lpstr>
      <vt:lpstr>'IWP23'!Std6dot2b</vt:lpstr>
      <vt:lpstr>'IWP24'!Std6dot2b</vt:lpstr>
      <vt:lpstr>'IWP25'!Std6dot2b</vt:lpstr>
      <vt:lpstr>'IWP26'!Std6dot2b</vt:lpstr>
      <vt:lpstr>'IWP27'!Std6dot2b</vt:lpstr>
      <vt:lpstr>'IWP28'!Std6dot2b</vt:lpstr>
      <vt:lpstr>'IWP29'!Std6dot2b</vt:lpstr>
      <vt:lpstr>'IWP30'!Std6dot2b</vt:lpstr>
      <vt:lpstr>'IWP01'!Std6dot2c</vt:lpstr>
      <vt:lpstr>'IWP02'!Std6dot2c</vt:lpstr>
      <vt:lpstr>'IWP03'!Std6dot2c</vt:lpstr>
      <vt:lpstr>'IWP04'!Std6dot2c</vt:lpstr>
      <vt:lpstr>'IWP05'!Std6dot2c</vt:lpstr>
      <vt:lpstr>'IWP06'!Std6dot2c</vt:lpstr>
      <vt:lpstr>'IWP07'!Std6dot2c</vt:lpstr>
      <vt:lpstr>'IWP08'!Std6dot2c</vt:lpstr>
      <vt:lpstr>'IWP09'!Std6dot2c</vt:lpstr>
      <vt:lpstr>'IWP10'!Std6dot2c</vt:lpstr>
      <vt:lpstr>'IWP11'!Std6dot2c</vt:lpstr>
      <vt:lpstr>'IWP12'!Std6dot2c</vt:lpstr>
      <vt:lpstr>'IWP13'!Std6dot2c</vt:lpstr>
      <vt:lpstr>'IWP14'!Std6dot2c</vt:lpstr>
      <vt:lpstr>'IWP15'!Std6dot2c</vt:lpstr>
      <vt:lpstr>'IWP16'!Std6dot2c</vt:lpstr>
      <vt:lpstr>'IWP17'!Std6dot2c</vt:lpstr>
      <vt:lpstr>'IWP18'!Std6dot2c</vt:lpstr>
      <vt:lpstr>'IWP19'!Std6dot2c</vt:lpstr>
      <vt:lpstr>'IWP20'!Std6dot2c</vt:lpstr>
      <vt:lpstr>'IWP21'!Std6dot2c</vt:lpstr>
      <vt:lpstr>'IWP22'!Std6dot2c</vt:lpstr>
      <vt:lpstr>'IWP23'!Std6dot2c</vt:lpstr>
      <vt:lpstr>'IWP24'!Std6dot2c</vt:lpstr>
      <vt:lpstr>'IWP25'!Std6dot2c</vt:lpstr>
      <vt:lpstr>'IWP26'!Std6dot2c</vt:lpstr>
      <vt:lpstr>'IWP27'!Std6dot2c</vt:lpstr>
      <vt:lpstr>'IWP28'!Std6dot2c</vt:lpstr>
      <vt:lpstr>'IWP29'!Std6dot2c</vt:lpstr>
      <vt:lpstr>'IWP30'!Std6dot2c</vt:lpstr>
      <vt:lpstr>'IWP01'!Std6dot2d</vt:lpstr>
      <vt:lpstr>'IWP02'!Std6dot2d</vt:lpstr>
      <vt:lpstr>'IWP03'!Std6dot2d</vt:lpstr>
      <vt:lpstr>'IWP04'!Std6dot2d</vt:lpstr>
      <vt:lpstr>'IWP05'!Std6dot2d</vt:lpstr>
      <vt:lpstr>'IWP06'!Std6dot2d</vt:lpstr>
      <vt:lpstr>'IWP07'!Std6dot2d</vt:lpstr>
      <vt:lpstr>'IWP08'!Std6dot2d</vt:lpstr>
      <vt:lpstr>'IWP09'!Std6dot2d</vt:lpstr>
      <vt:lpstr>'IWP10'!Std6dot2d</vt:lpstr>
      <vt:lpstr>'IWP11'!Std6dot2d</vt:lpstr>
      <vt:lpstr>'IWP12'!Std6dot2d</vt:lpstr>
      <vt:lpstr>'IWP13'!Std6dot2d</vt:lpstr>
      <vt:lpstr>'IWP14'!Std6dot2d</vt:lpstr>
      <vt:lpstr>'IWP15'!Std6dot2d</vt:lpstr>
      <vt:lpstr>'IWP16'!Std6dot2d</vt:lpstr>
      <vt:lpstr>'IWP17'!Std6dot2d</vt:lpstr>
      <vt:lpstr>'IWP18'!Std6dot2d</vt:lpstr>
      <vt:lpstr>'IWP19'!Std6dot2d</vt:lpstr>
      <vt:lpstr>'IWP20'!Std6dot2d</vt:lpstr>
      <vt:lpstr>'IWP21'!Std6dot2d</vt:lpstr>
      <vt:lpstr>'IWP22'!Std6dot2d</vt:lpstr>
      <vt:lpstr>'IWP23'!Std6dot2d</vt:lpstr>
      <vt:lpstr>'IWP24'!Std6dot2d</vt:lpstr>
      <vt:lpstr>'IWP25'!Std6dot2d</vt:lpstr>
      <vt:lpstr>'IWP26'!Std6dot2d</vt:lpstr>
      <vt:lpstr>'IWP27'!Std6dot2d</vt:lpstr>
      <vt:lpstr>'IWP28'!Std6dot2d</vt:lpstr>
      <vt:lpstr>'IWP29'!Std6dot2d</vt:lpstr>
      <vt:lpstr>'IWP30'!Std6dot2d</vt:lpstr>
      <vt:lpstr>'IWP01'!Std6dot2DateOfNoteOfXfer</vt:lpstr>
      <vt:lpstr>'IWP02'!Std6dot2DateOfNoteOfXfer</vt:lpstr>
      <vt:lpstr>'IWP03'!Std6dot2DateOfNoteOfXfer</vt:lpstr>
      <vt:lpstr>'IWP04'!Std6dot2DateOfNoteOfXfer</vt:lpstr>
      <vt:lpstr>'IWP05'!Std6dot2DateOfNoteOfXfer</vt:lpstr>
      <vt:lpstr>'IWP06'!Std6dot2DateOfNoteOfXfer</vt:lpstr>
      <vt:lpstr>'IWP07'!Std6dot2DateOfNoteOfXfer</vt:lpstr>
      <vt:lpstr>'IWP08'!Std6dot2DateOfNoteOfXfer</vt:lpstr>
      <vt:lpstr>'IWP09'!Std6dot2DateOfNoteOfXfer</vt:lpstr>
      <vt:lpstr>'IWP10'!Std6dot2DateOfNoteOfXfer</vt:lpstr>
      <vt:lpstr>'IWP11'!Std6dot2DateOfNoteOfXfer</vt:lpstr>
      <vt:lpstr>'IWP12'!Std6dot2DateOfNoteOfXfer</vt:lpstr>
      <vt:lpstr>'IWP13'!Std6dot2DateOfNoteOfXfer</vt:lpstr>
      <vt:lpstr>'IWP14'!Std6dot2DateOfNoteOfXfer</vt:lpstr>
      <vt:lpstr>'IWP15'!Std6dot2DateOfNoteOfXfer</vt:lpstr>
      <vt:lpstr>'IWP16'!Std6dot2DateOfNoteOfXfer</vt:lpstr>
      <vt:lpstr>'IWP17'!Std6dot2DateOfNoteOfXfer</vt:lpstr>
      <vt:lpstr>'IWP18'!Std6dot2DateOfNoteOfXfer</vt:lpstr>
      <vt:lpstr>'IWP19'!Std6dot2DateOfNoteOfXfer</vt:lpstr>
      <vt:lpstr>'IWP20'!Std6dot2DateOfNoteOfXfer</vt:lpstr>
      <vt:lpstr>'IWP21'!Std6dot2DateOfNoteOfXfer</vt:lpstr>
      <vt:lpstr>'IWP22'!Std6dot2DateOfNoteOfXfer</vt:lpstr>
      <vt:lpstr>'IWP23'!Std6dot2DateOfNoteOfXfer</vt:lpstr>
      <vt:lpstr>'IWP24'!Std6dot2DateOfNoteOfXfer</vt:lpstr>
      <vt:lpstr>'IWP25'!Std6dot2DateOfNoteOfXfer</vt:lpstr>
      <vt:lpstr>'IWP26'!Std6dot2DateOfNoteOfXfer</vt:lpstr>
      <vt:lpstr>'IWP27'!Std6dot2DateOfNoteOfXfer</vt:lpstr>
      <vt:lpstr>'IWP28'!Std6dot2DateOfNoteOfXfer</vt:lpstr>
      <vt:lpstr>'IWP29'!Std6dot2DateOfNoteOfXfer</vt:lpstr>
      <vt:lpstr>'IWP30'!Std6dot2DateOfNoteOfXfer</vt:lpstr>
      <vt:lpstr>'IWP01'!Std6dot2e</vt:lpstr>
      <vt:lpstr>'IWP02'!Std6dot2e</vt:lpstr>
      <vt:lpstr>'IWP03'!Std6dot2e</vt:lpstr>
      <vt:lpstr>'IWP04'!Std6dot2e</vt:lpstr>
      <vt:lpstr>'IWP05'!Std6dot2e</vt:lpstr>
      <vt:lpstr>'IWP06'!Std6dot2e</vt:lpstr>
      <vt:lpstr>'IWP07'!Std6dot2e</vt:lpstr>
      <vt:lpstr>'IWP08'!Std6dot2e</vt:lpstr>
      <vt:lpstr>'IWP09'!Std6dot2e</vt:lpstr>
      <vt:lpstr>'IWP10'!Std6dot2e</vt:lpstr>
      <vt:lpstr>'IWP11'!Std6dot2e</vt:lpstr>
      <vt:lpstr>'IWP12'!Std6dot2e</vt:lpstr>
      <vt:lpstr>'IWP13'!Std6dot2e</vt:lpstr>
      <vt:lpstr>'IWP14'!Std6dot2e</vt:lpstr>
      <vt:lpstr>'IWP15'!Std6dot2e</vt:lpstr>
      <vt:lpstr>'IWP16'!Std6dot2e</vt:lpstr>
      <vt:lpstr>'IWP17'!Std6dot2e</vt:lpstr>
      <vt:lpstr>'IWP18'!Std6dot2e</vt:lpstr>
      <vt:lpstr>'IWP19'!Std6dot2e</vt:lpstr>
      <vt:lpstr>'IWP20'!Std6dot2e</vt:lpstr>
      <vt:lpstr>'IWP21'!Std6dot2e</vt:lpstr>
      <vt:lpstr>'IWP22'!Std6dot2e</vt:lpstr>
      <vt:lpstr>'IWP23'!Std6dot2e</vt:lpstr>
      <vt:lpstr>'IWP24'!Std6dot2e</vt:lpstr>
      <vt:lpstr>'IWP25'!Std6dot2e</vt:lpstr>
      <vt:lpstr>'IWP26'!Std6dot2e</vt:lpstr>
      <vt:lpstr>'IWP27'!Std6dot2e</vt:lpstr>
      <vt:lpstr>'IWP28'!Std6dot2e</vt:lpstr>
      <vt:lpstr>'IWP29'!Std6dot2e</vt:lpstr>
      <vt:lpstr>'IWP30'!Std6dot2e</vt:lpstr>
      <vt:lpstr>'IWP01'!Std6dot2NotCalc</vt:lpstr>
      <vt:lpstr>'IWP02'!Std6dot2NotCalc</vt:lpstr>
      <vt:lpstr>'IWP03'!Std6dot2NotCalc</vt:lpstr>
      <vt:lpstr>'IWP04'!Std6dot2NotCalc</vt:lpstr>
      <vt:lpstr>'IWP05'!Std6dot2NotCalc</vt:lpstr>
      <vt:lpstr>'IWP06'!Std6dot2NotCalc</vt:lpstr>
      <vt:lpstr>'IWP07'!Std6dot2NotCalc</vt:lpstr>
      <vt:lpstr>'IWP08'!Std6dot2NotCalc</vt:lpstr>
      <vt:lpstr>'IWP09'!Std6dot2NotCalc</vt:lpstr>
      <vt:lpstr>'IWP10'!Std6dot2NotCalc</vt:lpstr>
      <vt:lpstr>'IWP11'!Std6dot2NotCalc</vt:lpstr>
      <vt:lpstr>'IWP12'!Std6dot2NotCalc</vt:lpstr>
      <vt:lpstr>'IWP13'!Std6dot2NotCalc</vt:lpstr>
      <vt:lpstr>'IWP14'!Std6dot2NotCalc</vt:lpstr>
      <vt:lpstr>'IWP15'!Std6dot2NotCalc</vt:lpstr>
      <vt:lpstr>'IWP16'!Std6dot2NotCalc</vt:lpstr>
      <vt:lpstr>'IWP17'!Std6dot2NotCalc</vt:lpstr>
      <vt:lpstr>'IWP18'!Std6dot2NotCalc</vt:lpstr>
      <vt:lpstr>'IWP19'!Std6dot2NotCalc</vt:lpstr>
      <vt:lpstr>'IWP20'!Std6dot2NotCalc</vt:lpstr>
      <vt:lpstr>'IWP21'!Std6dot2NotCalc</vt:lpstr>
      <vt:lpstr>'IWP22'!Std6dot2NotCalc</vt:lpstr>
      <vt:lpstr>'IWP23'!Std6dot2NotCalc</vt:lpstr>
      <vt:lpstr>'IWP24'!Std6dot2NotCalc</vt:lpstr>
      <vt:lpstr>'IWP25'!Std6dot2NotCalc</vt:lpstr>
      <vt:lpstr>'IWP26'!Std6dot2NotCalc</vt:lpstr>
      <vt:lpstr>'IWP27'!Std6dot2NotCalc</vt:lpstr>
      <vt:lpstr>'IWP28'!Std6dot2NotCalc</vt:lpstr>
      <vt:lpstr>'IWP29'!Std6dot2NotCalc</vt:lpstr>
      <vt:lpstr>'IWP30'!Std6dot2NotCalc</vt:lpstr>
      <vt:lpstr>'IWP01'!Std7dot1</vt:lpstr>
      <vt:lpstr>'IWP02'!Std7dot1</vt:lpstr>
      <vt:lpstr>'IWP03'!Std7dot1</vt:lpstr>
      <vt:lpstr>'IWP04'!Std7dot1</vt:lpstr>
      <vt:lpstr>'IWP05'!Std7dot1</vt:lpstr>
      <vt:lpstr>'IWP06'!Std7dot1</vt:lpstr>
      <vt:lpstr>'IWP07'!Std7dot1</vt:lpstr>
      <vt:lpstr>'IWP08'!Std7dot1</vt:lpstr>
      <vt:lpstr>'IWP09'!Std7dot1</vt:lpstr>
      <vt:lpstr>'IWP10'!Std7dot1</vt:lpstr>
      <vt:lpstr>'IWP11'!Std7dot1</vt:lpstr>
      <vt:lpstr>'IWP12'!Std7dot1</vt:lpstr>
      <vt:lpstr>'IWP13'!Std7dot1</vt:lpstr>
      <vt:lpstr>'IWP14'!Std7dot1</vt:lpstr>
      <vt:lpstr>'IWP15'!Std7dot1</vt:lpstr>
      <vt:lpstr>'IWP16'!Std7dot1</vt:lpstr>
      <vt:lpstr>'IWP17'!Std7dot1</vt:lpstr>
      <vt:lpstr>'IWP18'!Std7dot1</vt:lpstr>
      <vt:lpstr>'IWP19'!Std7dot1</vt:lpstr>
      <vt:lpstr>'IWP20'!Std7dot1</vt:lpstr>
      <vt:lpstr>'IWP21'!Std7dot1</vt:lpstr>
      <vt:lpstr>'IWP22'!Std7dot1</vt:lpstr>
      <vt:lpstr>'IWP23'!Std7dot1</vt:lpstr>
      <vt:lpstr>'IWP24'!Std7dot1</vt:lpstr>
      <vt:lpstr>'IWP25'!Std7dot1</vt:lpstr>
      <vt:lpstr>'IWP26'!Std7dot1</vt:lpstr>
      <vt:lpstr>'IWP27'!Std7dot1</vt:lpstr>
      <vt:lpstr>'IWP28'!Std7dot1</vt:lpstr>
      <vt:lpstr>'IWP29'!Std7dot1</vt:lpstr>
      <vt:lpstr>'IWP30'!Std7dot1</vt:lpstr>
      <vt:lpstr>'IWP01'!Std7dot2</vt:lpstr>
      <vt:lpstr>'IWP02'!Std7dot2</vt:lpstr>
      <vt:lpstr>'IWP03'!Std7dot2</vt:lpstr>
      <vt:lpstr>'IWP04'!Std7dot2</vt:lpstr>
      <vt:lpstr>'IWP05'!Std7dot2</vt:lpstr>
      <vt:lpstr>'IWP06'!Std7dot2</vt:lpstr>
      <vt:lpstr>'IWP07'!Std7dot2</vt:lpstr>
      <vt:lpstr>'IWP08'!Std7dot2</vt:lpstr>
      <vt:lpstr>'IWP09'!Std7dot2</vt:lpstr>
      <vt:lpstr>'IWP10'!Std7dot2</vt:lpstr>
      <vt:lpstr>'IWP11'!Std7dot2</vt:lpstr>
      <vt:lpstr>'IWP12'!Std7dot2</vt:lpstr>
      <vt:lpstr>'IWP13'!Std7dot2</vt:lpstr>
      <vt:lpstr>'IWP14'!Std7dot2</vt:lpstr>
      <vt:lpstr>'IWP15'!Std7dot2</vt:lpstr>
      <vt:lpstr>'IWP16'!Std7dot2</vt:lpstr>
      <vt:lpstr>'IWP17'!Std7dot2</vt:lpstr>
      <vt:lpstr>'IWP18'!Std7dot2</vt:lpstr>
      <vt:lpstr>'IWP19'!Std7dot2</vt:lpstr>
      <vt:lpstr>'IWP20'!Std7dot2</vt:lpstr>
      <vt:lpstr>'IWP21'!Std7dot2</vt:lpstr>
      <vt:lpstr>'IWP22'!Std7dot2</vt:lpstr>
      <vt:lpstr>'IWP23'!Std7dot2</vt:lpstr>
      <vt:lpstr>'IWP24'!Std7dot2</vt:lpstr>
      <vt:lpstr>'IWP25'!Std7dot2</vt:lpstr>
      <vt:lpstr>'IWP26'!Std7dot2</vt:lpstr>
      <vt:lpstr>'IWP27'!Std7dot2</vt:lpstr>
      <vt:lpstr>'IWP28'!Std7dot2</vt:lpstr>
      <vt:lpstr>'IWP29'!Std7dot2</vt:lpstr>
      <vt:lpstr>'IWP30'!Std7dot2</vt:lpstr>
      <vt:lpstr>'IWP01'!Std7NotCalc</vt:lpstr>
      <vt:lpstr>'IWP02'!Std7NotCalc</vt:lpstr>
      <vt:lpstr>'IWP03'!Std7NotCalc</vt:lpstr>
      <vt:lpstr>'IWP04'!Std7NotCalc</vt:lpstr>
      <vt:lpstr>'IWP05'!Std7NotCalc</vt:lpstr>
      <vt:lpstr>'IWP06'!Std7NotCalc</vt:lpstr>
      <vt:lpstr>'IWP07'!Std7NotCalc</vt:lpstr>
      <vt:lpstr>'IWP08'!Std7NotCalc</vt:lpstr>
      <vt:lpstr>'IWP09'!Std7NotCalc</vt:lpstr>
      <vt:lpstr>'IWP10'!Std7NotCalc</vt:lpstr>
      <vt:lpstr>'IWP11'!Std7NotCalc</vt:lpstr>
      <vt:lpstr>'IWP12'!Std7NotCalc</vt:lpstr>
      <vt:lpstr>'IWP13'!Std7NotCalc</vt:lpstr>
      <vt:lpstr>'IWP14'!Std7NotCalc</vt:lpstr>
      <vt:lpstr>'IWP15'!Std7NotCalc</vt:lpstr>
      <vt:lpstr>'IWP16'!Std7NotCalc</vt:lpstr>
      <vt:lpstr>'IWP17'!Std7NotCalc</vt:lpstr>
      <vt:lpstr>'IWP18'!Std7NotCalc</vt:lpstr>
      <vt:lpstr>'IWP19'!Std7NotCalc</vt:lpstr>
      <vt:lpstr>'IWP20'!Std7NotCalc</vt:lpstr>
      <vt:lpstr>'IWP21'!Std7NotCalc</vt:lpstr>
      <vt:lpstr>'IWP22'!Std7NotCalc</vt:lpstr>
      <vt:lpstr>'IWP23'!Std7NotCalc</vt:lpstr>
      <vt:lpstr>'IWP24'!Std7NotCalc</vt:lpstr>
      <vt:lpstr>'IWP25'!Std7NotCalc</vt:lpstr>
      <vt:lpstr>'IWP26'!Std7NotCalc</vt:lpstr>
      <vt:lpstr>'IWP27'!Std7NotCalc</vt:lpstr>
      <vt:lpstr>'IWP28'!Std7NotCalc</vt:lpstr>
      <vt:lpstr>'IWP29'!Std7NotCalc</vt:lpstr>
      <vt:lpstr>'IWP30'!Std7NotCalc</vt:lpstr>
      <vt:lpstr>'IWP01'!Std7PayrollEmploymentRequirements</vt:lpstr>
      <vt:lpstr>'IWP02'!Std7PayrollEmploymentRequirements</vt:lpstr>
      <vt:lpstr>'IWP03'!Std7PayrollEmploymentRequirements</vt:lpstr>
      <vt:lpstr>'IWP04'!Std7PayrollEmploymentRequirements</vt:lpstr>
      <vt:lpstr>'IWP05'!Std7PayrollEmploymentRequirements</vt:lpstr>
      <vt:lpstr>'IWP06'!Std7PayrollEmploymentRequirements</vt:lpstr>
      <vt:lpstr>'IWP07'!Std7PayrollEmploymentRequirements</vt:lpstr>
      <vt:lpstr>'IWP08'!Std7PayrollEmploymentRequirements</vt:lpstr>
      <vt:lpstr>'IWP09'!Std7PayrollEmploymentRequirements</vt:lpstr>
      <vt:lpstr>'IWP10'!Std7PayrollEmploymentRequirements</vt:lpstr>
      <vt:lpstr>'IWP11'!Std7PayrollEmploymentRequirements</vt:lpstr>
      <vt:lpstr>'IWP12'!Std7PayrollEmploymentRequirements</vt:lpstr>
      <vt:lpstr>'IWP13'!Std7PayrollEmploymentRequirements</vt:lpstr>
      <vt:lpstr>'IWP14'!Std7PayrollEmploymentRequirements</vt:lpstr>
      <vt:lpstr>'IWP15'!Std7PayrollEmploymentRequirements</vt:lpstr>
      <vt:lpstr>'IWP16'!Std7PayrollEmploymentRequirements</vt:lpstr>
      <vt:lpstr>'IWP17'!Std7PayrollEmploymentRequirements</vt:lpstr>
      <vt:lpstr>'IWP18'!Std7PayrollEmploymentRequirements</vt:lpstr>
      <vt:lpstr>'IWP19'!Std7PayrollEmploymentRequirements</vt:lpstr>
      <vt:lpstr>'IWP20'!Std7PayrollEmploymentRequirements</vt:lpstr>
      <vt:lpstr>'IWP21'!Std7PayrollEmploymentRequirements</vt:lpstr>
      <vt:lpstr>'IWP22'!Std7PayrollEmploymentRequirements</vt:lpstr>
      <vt:lpstr>'IWP23'!Std7PayrollEmploymentRequirements</vt:lpstr>
      <vt:lpstr>'IWP24'!Std7PayrollEmploymentRequirements</vt:lpstr>
      <vt:lpstr>'IWP25'!Std7PayrollEmploymentRequirements</vt:lpstr>
      <vt:lpstr>'IWP26'!Std7PayrollEmploymentRequirements</vt:lpstr>
      <vt:lpstr>'IWP27'!Std7PayrollEmploymentRequirements</vt:lpstr>
      <vt:lpstr>'IWP28'!Std7PayrollEmploymentRequirements</vt:lpstr>
      <vt:lpstr>'IWP29'!Std7PayrollEmploymentRequirements</vt:lpstr>
      <vt:lpstr>'IWP30'!Std7PayrollEmploymentRequirements</vt:lpstr>
      <vt:lpstr>'IWP01'!Std8dot1</vt:lpstr>
      <vt:lpstr>'IWP02'!Std8dot1</vt:lpstr>
      <vt:lpstr>'IWP03'!Std8dot1</vt:lpstr>
      <vt:lpstr>'IWP04'!Std8dot1</vt:lpstr>
      <vt:lpstr>'IWP05'!Std8dot1</vt:lpstr>
      <vt:lpstr>'IWP06'!Std8dot1</vt:lpstr>
      <vt:lpstr>'IWP07'!Std8dot1</vt:lpstr>
      <vt:lpstr>'IWP08'!Std8dot1</vt:lpstr>
      <vt:lpstr>'IWP09'!Std8dot1</vt:lpstr>
      <vt:lpstr>'IWP10'!Std8dot1</vt:lpstr>
      <vt:lpstr>'IWP11'!Std8dot1</vt:lpstr>
      <vt:lpstr>'IWP12'!Std8dot1</vt:lpstr>
      <vt:lpstr>'IWP13'!Std8dot1</vt:lpstr>
      <vt:lpstr>'IWP14'!Std8dot1</vt:lpstr>
      <vt:lpstr>'IWP15'!Std8dot1</vt:lpstr>
      <vt:lpstr>'IWP16'!Std8dot1</vt:lpstr>
      <vt:lpstr>'IWP17'!Std8dot1</vt:lpstr>
      <vt:lpstr>'IWP18'!Std8dot1</vt:lpstr>
      <vt:lpstr>'IWP19'!Std8dot1</vt:lpstr>
      <vt:lpstr>'IWP20'!Std8dot1</vt:lpstr>
      <vt:lpstr>'IWP21'!Std8dot1</vt:lpstr>
      <vt:lpstr>'IWP22'!Std8dot1</vt:lpstr>
      <vt:lpstr>'IWP23'!Std8dot1</vt:lpstr>
      <vt:lpstr>'IWP24'!Std8dot1</vt:lpstr>
      <vt:lpstr>'IWP25'!Std8dot1</vt:lpstr>
      <vt:lpstr>'IWP26'!Std8dot1</vt:lpstr>
      <vt:lpstr>'IWP27'!Std8dot1</vt:lpstr>
      <vt:lpstr>'IWP28'!Std8dot1</vt:lpstr>
      <vt:lpstr>'IWP29'!Std8dot1</vt:lpstr>
      <vt:lpstr>'IWP30'!Std8dot1</vt:lpstr>
      <vt:lpstr>'IWP01'!Std8dot1ReportingRequirements</vt:lpstr>
      <vt:lpstr>'IWP02'!Std8dot1ReportingRequirements</vt:lpstr>
      <vt:lpstr>'IWP03'!Std8dot1ReportingRequirements</vt:lpstr>
      <vt:lpstr>'IWP04'!Std8dot1ReportingRequirements</vt:lpstr>
      <vt:lpstr>'IWP05'!Std8dot1ReportingRequirements</vt:lpstr>
      <vt:lpstr>'IWP06'!Std8dot1ReportingRequirements</vt:lpstr>
      <vt:lpstr>'IWP07'!Std8dot1ReportingRequirements</vt:lpstr>
      <vt:lpstr>'IWP08'!Std8dot1ReportingRequirements</vt:lpstr>
      <vt:lpstr>'IWP09'!Std8dot1ReportingRequirements</vt:lpstr>
      <vt:lpstr>'IWP10'!Std8dot1ReportingRequirements</vt:lpstr>
      <vt:lpstr>'IWP11'!Std8dot1ReportingRequirements</vt:lpstr>
      <vt:lpstr>'IWP12'!Std8dot1ReportingRequirements</vt:lpstr>
      <vt:lpstr>'IWP13'!Std8dot1ReportingRequirements</vt:lpstr>
      <vt:lpstr>'IWP14'!Std8dot1ReportingRequirements</vt:lpstr>
      <vt:lpstr>'IWP15'!Std8dot1ReportingRequirements</vt:lpstr>
      <vt:lpstr>'IWP16'!Std8dot1ReportingRequirements</vt:lpstr>
      <vt:lpstr>'IWP17'!Std8dot1ReportingRequirements</vt:lpstr>
      <vt:lpstr>'IWP18'!Std8dot1ReportingRequirements</vt:lpstr>
      <vt:lpstr>'IWP19'!Std8dot1ReportingRequirements</vt:lpstr>
      <vt:lpstr>'IWP20'!Std8dot1ReportingRequirements</vt:lpstr>
      <vt:lpstr>'IWP21'!Std8dot1ReportingRequirements</vt:lpstr>
      <vt:lpstr>'IWP22'!Std8dot1ReportingRequirements</vt:lpstr>
      <vt:lpstr>'IWP23'!Std8dot1ReportingRequirements</vt:lpstr>
      <vt:lpstr>'IWP24'!Std8dot1ReportingRequirements</vt:lpstr>
      <vt:lpstr>'IWP25'!Std8dot1ReportingRequirements</vt:lpstr>
      <vt:lpstr>'IWP26'!Std8dot1ReportingRequirements</vt:lpstr>
      <vt:lpstr>'IWP27'!Std8dot1ReportingRequirements</vt:lpstr>
      <vt:lpstr>'IWP28'!Std8dot1ReportingRequirements</vt:lpstr>
      <vt:lpstr>'IWP29'!Std8dot1ReportingRequirements</vt:lpstr>
      <vt:lpstr>'IWP30'!Std8dot1ReportingRequirements</vt:lpstr>
      <vt:lpstr>'IWP01'!Std8dot2</vt:lpstr>
      <vt:lpstr>'IWP02'!Std8dot2</vt:lpstr>
      <vt:lpstr>'IWP03'!Std8dot2</vt:lpstr>
      <vt:lpstr>'IWP04'!Std8dot2</vt:lpstr>
      <vt:lpstr>'IWP05'!Std8dot2</vt:lpstr>
      <vt:lpstr>'IWP06'!Std8dot2</vt:lpstr>
      <vt:lpstr>'IWP07'!Std8dot2</vt:lpstr>
      <vt:lpstr>'IWP08'!Std8dot2</vt:lpstr>
      <vt:lpstr>'IWP09'!Std8dot2</vt:lpstr>
      <vt:lpstr>'IWP10'!Std8dot2</vt:lpstr>
      <vt:lpstr>'IWP11'!Std8dot2</vt:lpstr>
      <vt:lpstr>'IWP12'!Std8dot2</vt:lpstr>
      <vt:lpstr>'IWP13'!Std8dot2</vt:lpstr>
      <vt:lpstr>'IWP14'!Std8dot2</vt:lpstr>
      <vt:lpstr>'IWP15'!Std8dot2</vt:lpstr>
      <vt:lpstr>'IWP16'!Std8dot2</vt:lpstr>
      <vt:lpstr>'IWP17'!Std8dot2</vt:lpstr>
      <vt:lpstr>'IWP18'!Std8dot2</vt:lpstr>
      <vt:lpstr>'IWP19'!Std8dot2</vt:lpstr>
      <vt:lpstr>'IWP20'!Std8dot2</vt:lpstr>
      <vt:lpstr>'IWP21'!Std8dot2</vt:lpstr>
      <vt:lpstr>'IWP22'!Std8dot2</vt:lpstr>
      <vt:lpstr>'IWP23'!Std8dot2</vt:lpstr>
      <vt:lpstr>'IWP24'!Std8dot2</vt:lpstr>
      <vt:lpstr>'IWP25'!Std8dot2</vt:lpstr>
      <vt:lpstr>'IWP26'!Std8dot2</vt:lpstr>
      <vt:lpstr>'IWP27'!Std8dot2</vt:lpstr>
      <vt:lpstr>'IWP28'!Std8dot2</vt:lpstr>
      <vt:lpstr>'IWP29'!Std8dot2</vt:lpstr>
      <vt:lpstr>'IWP30'!Std8dot2</vt:lpstr>
      <vt:lpstr>'IWP01'!Std8dot2CDSABudgetInfo</vt:lpstr>
      <vt:lpstr>'IWP02'!Std8dot2CDSABudgetInfo</vt:lpstr>
      <vt:lpstr>'IWP03'!Std8dot2CDSABudgetInfo</vt:lpstr>
      <vt:lpstr>'IWP04'!Std8dot2CDSABudgetInfo</vt:lpstr>
      <vt:lpstr>'IWP05'!Std8dot2CDSABudgetInfo</vt:lpstr>
      <vt:lpstr>'IWP06'!Std8dot2CDSABudgetInfo</vt:lpstr>
      <vt:lpstr>'IWP07'!Std8dot2CDSABudgetInfo</vt:lpstr>
      <vt:lpstr>'IWP08'!Std8dot2CDSABudgetInfo</vt:lpstr>
      <vt:lpstr>'IWP09'!Std8dot2CDSABudgetInfo</vt:lpstr>
      <vt:lpstr>'IWP10'!Std8dot2CDSABudgetInfo</vt:lpstr>
      <vt:lpstr>'IWP11'!Std8dot2CDSABudgetInfo</vt:lpstr>
      <vt:lpstr>'IWP12'!Std8dot2CDSABudgetInfo</vt:lpstr>
      <vt:lpstr>'IWP13'!Std8dot2CDSABudgetInfo</vt:lpstr>
      <vt:lpstr>'IWP14'!Std8dot2CDSABudgetInfo</vt:lpstr>
      <vt:lpstr>'IWP15'!Std8dot2CDSABudgetInfo</vt:lpstr>
      <vt:lpstr>'IWP16'!Std8dot2CDSABudgetInfo</vt:lpstr>
      <vt:lpstr>'IWP17'!Std8dot2CDSABudgetInfo</vt:lpstr>
      <vt:lpstr>'IWP18'!Std8dot2CDSABudgetInfo</vt:lpstr>
      <vt:lpstr>'IWP19'!Std8dot2CDSABudgetInfo</vt:lpstr>
      <vt:lpstr>'IWP20'!Std8dot2CDSABudgetInfo</vt:lpstr>
      <vt:lpstr>'IWP21'!Std8dot2CDSABudgetInfo</vt:lpstr>
      <vt:lpstr>'IWP22'!Std8dot2CDSABudgetInfo</vt:lpstr>
      <vt:lpstr>'IWP23'!Std8dot2CDSABudgetInfo</vt:lpstr>
      <vt:lpstr>'IWP24'!Std8dot2CDSABudgetInfo</vt:lpstr>
      <vt:lpstr>'IWP25'!Std8dot2CDSABudgetInfo</vt:lpstr>
      <vt:lpstr>'IWP26'!Std8dot2CDSABudgetInfo</vt:lpstr>
      <vt:lpstr>'IWP27'!Std8dot2CDSABudgetInfo</vt:lpstr>
      <vt:lpstr>'IWP28'!Std8dot2CDSABudgetInfo</vt:lpstr>
      <vt:lpstr>'IWP29'!Std8dot2CDSABudgetInfo</vt:lpstr>
      <vt:lpstr>'IWP30'!Std8dot2CDSABudgetInfo</vt:lpstr>
      <vt:lpstr>'IWP01'!Std8dot2NotCalc</vt:lpstr>
      <vt:lpstr>'IWP02'!Std8dot2NotCalc</vt:lpstr>
      <vt:lpstr>'IWP03'!Std8dot2NotCalc</vt:lpstr>
      <vt:lpstr>'IWP04'!Std8dot2NotCalc</vt:lpstr>
      <vt:lpstr>'IWP05'!Std8dot2NotCalc</vt:lpstr>
      <vt:lpstr>'IWP06'!Std8dot2NotCalc</vt:lpstr>
      <vt:lpstr>'IWP07'!Std8dot2NotCalc</vt:lpstr>
      <vt:lpstr>'IWP08'!Std8dot2NotCalc</vt:lpstr>
      <vt:lpstr>'IWP09'!Std8dot2NotCalc</vt:lpstr>
      <vt:lpstr>'IWP10'!Std8dot2NotCalc</vt:lpstr>
      <vt:lpstr>'IWP11'!Std8dot2NotCalc</vt:lpstr>
      <vt:lpstr>'IWP12'!Std8dot2NotCalc</vt:lpstr>
      <vt:lpstr>'IWP13'!Std8dot2NotCalc</vt:lpstr>
      <vt:lpstr>'IWP14'!Std8dot2NotCalc</vt:lpstr>
      <vt:lpstr>'IWP15'!Std8dot2NotCalc</vt:lpstr>
      <vt:lpstr>'IWP16'!Std8dot2NotCalc</vt:lpstr>
      <vt:lpstr>'IWP17'!Std8dot2NotCalc</vt:lpstr>
      <vt:lpstr>'IWP18'!Std8dot2NotCalc</vt:lpstr>
      <vt:lpstr>'IWP19'!Std8dot2NotCalc</vt:lpstr>
      <vt:lpstr>'IWP20'!Std8dot2NotCalc</vt:lpstr>
      <vt:lpstr>'IWP21'!Std8dot2NotCalc</vt:lpstr>
      <vt:lpstr>'IWP22'!Std8dot2NotCalc</vt:lpstr>
      <vt:lpstr>'IWP23'!Std8dot2NotCalc</vt:lpstr>
      <vt:lpstr>'IWP24'!Std8dot2NotCalc</vt:lpstr>
      <vt:lpstr>'IWP25'!Std8dot2NotCalc</vt:lpstr>
      <vt:lpstr>'IWP26'!Std8dot2NotCalc</vt:lpstr>
      <vt:lpstr>'IWP27'!Std8dot2NotCalc</vt:lpstr>
      <vt:lpstr>'IWP28'!Std8dot2NotCalc</vt:lpstr>
      <vt:lpstr>'IWP29'!Std8dot2NotCalc</vt:lpstr>
      <vt:lpstr>'IWP30'!Std8dot2NotCalc</vt:lpstr>
      <vt:lpstr>'IWP01'!Std8dot3</vt:lpstr>
      <vt:lpstr>'IWP02'!Std8dot3</vt:lpstr>
      <vt:lpstr>'IWP03'!Std8dot3</vt:lpstr>
      <vt:lpstr>'IWP04'!Std8dot3</vt:lpstr>
      <vt:lpstr>'IWP05'!Std8dot3</vt:lpstr>
      <vt:lpstr>'IWP06'!Std8dot3</vt:lpstr>
      <vt:lpstr>'IWP07'!Std8dot3</vt:lpstr>
      <vt:lpstr>'IWP08'!Std8dot3</vt:lpstr>
      <vt:lpstr>'IWP09'!Std8dot3</vt:lpstr>
      <vt:lpstr>'IWP10'!Std8dot3</vt:lpstr>
      <vt:lpstr>'IWP11'!Std8dot3</vt:lpstr>
      <vt:lpstr>'IWP12'!Std8dot3</vt:lpstr>
      <vt:lpstr>'IWP13'!Std8dot3</vt:lpstr>
      <vt:lpstr>'IWP14'!Std8dot3</vt:lpstr>
      <vt:lpstr>'IWP15'!Std8dot3</vt:lpstr>
      <vt:lpstr>'IWP16'!Std8dot3</vt:lpstr>
      <vt:lpstr>'IWP17'!Std8dot3</vt:lpstr>
      <vt:lpstr>'IWP18'!Std8dot3</vt:lpstr>
      <vt:lpstr>'IWP19'!Std8dot3</vt:lpstr>
      <vt:lpstr>'IWP20'!Std8dot3</vt:lpstr>
      <vt:lpstr>'IWP21'!Std8dot3</vt:lpstr>
      <vt:lpstr>'IWP22'!Std8dot3</vt:lpstr>
      <vt:lpstr>'IWP23'!Std8dot3</vt:lpstr>
      <vt:lpstr>'IWP24'!Std8dot3</vt:lpstr>
      <vt:lpstr>'IWP25'!Std8dot3</vt:lpstr>
      <vt:lpstr>'IWP26'!Std8dot3</vt:lpstr>
      <vt:lpstr>'IWP27'!Std8dot3</vt:lpstr>
      <vt:lpstr>'IWP28'!Std8dot3</vt:lpstr>
      <vt:lpstr>'IWP29'!Std8dot3</vt:lpstr>
      <vt:lpstr>'IWP30'!Std8dot3</vt:lpstr>
      <vt:lpstr>'IWP01'!Std8dot3IssuesConcerns</vt:lpstr>
      <vt:lpstr>'IWP02'!Std8dot3IssuesConcerns</vt:lpstr>
      <vt:lpstr>'IWP03'!Std8dot3IssuesConcerns</vt:lpstr>
      <vt:lpstr>'IWP04'!Std8dot3IssuesConcerns</vt:lpstr>
      <vt:lpstr>'IWP05'!Std8dot3IssuesConcerns</vt:lpstr>
      <vt:lpstr>'IWP06'!Std8dot3IssuesConcerns</vt:lpstr>
      <vt:lpstr>'IWP07'!Std8dot3IssuesConcerns</vt:lpstr>
      <vt:lpstr>'IWP08'!Std8dot3IssuesConcerns</vt:lpstr>
      <vt:lpstr>'IWP09'!Std8dot3IssuesConcerns</vt:lpstr>
      <vt:lpstr>'IWP10'!Std8dot3IssuesConcerns</vt:lpstr>
      <vt:lpstr>'IWP11'!Std8dot3IssuesConcerns</vt:lpstr>
      <vt:lpstr>'IWP12'!Std8dot3IssuesConcerns</vt:lpstr>
      <vt:lpstr>'IWP13'!Std8dot3IssuesConcerns</vt:lpstr>
      <vt:lpstr>'IWP14'!Std8dot3IssuesConcerns</vt:lpstr>
      <vt:lpstr>'IWP15'!Std8dot3IssuesConcerns</vt:lpstr>
      <vt:lpstr>'IWP16'!Std8dot3IssuesConcerns</vt:lpstr>
      <vt:lpstr>'IWP17'!Std8dot3IssuesConcerns</vt:lpstr>
      <vt:lpstr>'IWP18'!Std8dot3IssuesConcerns</vt:lpstr>
      <vt:lpstr>'IWP19'!Std8dot3IssuesConcerns</vt:lpstr>
      <vt:lpstr>'IWP20'!Std8dot3IssuesConcerns</vt:lpstr>
      <vt:lpstr>'IWP21'!Std8dot3IssuesConcerns</vt:lpstr>
      <vt:lpstr>'IWP22'!Std8dot3IssuesConcerns</vt:lpstr>
      <vt:lpstr>'IWP23'!Std8dot3IssuesConcerns</vt:lpstr>
      <vt:lpstr>'IWP24'!Std8dot3IssuesConcerns</vt:lpstr>
      <vt:lpstr>'IWP25'!Std8dot3IssuesConcerns</vt:lpstr>
      <vt:lpstr>'IWP26'!Std8dot3IssuesConcerns</vt:lpstr>
      <vt:lpstr>'IWP27'!Std8dot3IssuesConcerns</vt:lpstr>
      <vt:lpstr>'IWP28'!Std8dot3IssuesConcerns</vt:lpstr>
      <vt:lpstr>'IWP29'!Std8dot3IssuesConcerns</vt:lpstr>
      <vt:lpstr>'IWP30'!Std8dot3IssuesConcerns</vt:lpstr>
      <vt:lpstr>'IWP01'!Std8dot3NotCalc</vt:lpstr>
      <vt:lpstr>'IWP02'!Std8dot3NotCalc</vt:lpstr>
      <vt:lpstr>'IWP03'!Std8dot3NotCalc</vt:lpstr>
      <vt:lpstr>'IWP04'!Std8dot3NotCalc</vt:lpstr>
      <vt:lpstr>'IWP05'!Std8dot3NotCalc</vt:lpstr>
      <vt:lpstr>'IWP06'!Std8dot3NotCalc</vt:lpstr>
      <vt:lpstr>'IWP07'!Std8dot3NotCalc</vt:lpstr>
      <vt:lpstr>'IWP08'!Std8dot3NotCalc</vt:lpstr>
      <vt:lpstr>'IWP09'!Std8dot3NotCalc</vt:lpstr>
      <vt:lpstr>'IWP10'!Std8dot3NotCalc</vt:lpstr>
      <vt:lpstr>'IWP11'!Std8dot3NotCalc</vt:lpstr>
      <vt:lpstr>'IWP12'!Std8dot3NotCalc</vt:lpstr>
      <vt:lpstr>'IWP13'!Std8dot3NotCalc</vt:lpstr>
      <vt:lpstr>'IWP14'!Std8dot3NotCalc</vt:lpstr>
      <vt:lpstr>'IWP15'!Std8dot3NotCalc</vt:lpstr>
      <vt:lpstr>'IWP16'!Std8dot3NotCalc</vt:lpstr>
      <vt:lpstr>'IWP17'!Std8dot3NotCalc</vt:lpstr>
      <vt:lpstr>'IWP18'!Std8dot3NotCalc</vt:lpstr>
      <vt:lpstr>'IWP19'!Std8dot3NotCalc</vt:lpstr>
      <vt:lpstr>'IWP20'!Std8dot3NotCalc</vt:lpstr>
      <vt:lpstr>'IWP21'!Std8dot3NotCalc</vt:lpstr>
      <vt:lpstr>'IWP22'!Std8dot3NotCalc</vt:lpstr>
      <vt:lpstr>'IWP23'!Std8dot3NotCalc</vt:lpstr>
      <vt:lpstr>'IWP24'!Std8dot3NotCalc</vt:lpstr>
      <vt:lpstr>'IWP25'!Std8dot3NotCalc</vt:lpstr>
      <vt:lpstr>'IWP26'!Std8dot3NotCalc</vt:lpstr>
      <vt:lpstr>'IWP27'!Std8dot3NotCalc</vt:lpstr>
      <vt:lpstr>'IWP28'!Std8dot3NotCalc</vt:lpstr>
      <vt:lpstr>'IWP29'!Std8dot3NotCalc</vt:lpstr>
      <vt:lpstr>'IWP30'!Std8dot3NotCalc</vt:lpstr>
      <vt:lpstr>'IWP01'!Std9BillingInfo01</vt:lpstr>
      <vt:lpstr>'IWP02'!Std9BillingInfo01</vt:lpstr>
      <vt:lpstr>'IWP03'!Std9BillingInfo01</vt:lpstr>
      <vt:lpstr>'IWP04'!Std9BillingInfo01</vt:lpstr>
      <vt:lpstr>'IWP05'!Std9BillingInfo01</vt:lpstr>
      <vt:lpstr>'IWP06'!Std9BillingInfo01</vt:lpstr>
      <vt:lpstr>'IWP07'!Std9BillingInfo01</vt:lpstr>
      <vt:lpstr>'IWP08'!Std9BillingInfo01</vt:lpstr>
      <vt:lpstr>'IWP09'!Std9BillingInfo01</vt:lpstr>
      <vt:lpstr>'IWP10'!Std9BillingInfo01</vt:lpstr>
      <vt:lpstr>'IWP11'!Std9BillingInfo01</vt:lpstr>
      <vt:lpstr>'IWP12'!Std9BillingInfo01</vt:lpstr>
      <vt:lpstr>'IWP13'!Std9BillingInfo01</vt:lpstr>
      <vt:lpstr>'IWP14'!Std9BillingInfo01</vt:lpstr>
      <vt:lpstr>'IWP15'!Std9BillingInfo01</vt:lpstr>
      <vt:lpstr>'IWP16'!Std9BillingInfo01</vt:lpstr>
      <vt:lpstr>'IWP17'!Std9BillingInfo01</vt:lpstr>
      <vt:lpstr>'IWP18'!Std9BillingInfo01</vt:lpstr>
      <vt:lpstr>'IWP19'!Std9BillingInfo01</vt:lpstr>
      <vt:lpstr>'IWP20'!Std9BillingInfo01</vt:lpstr>
      <vt:lpstr>'IWP21'!Std9BillingInfo01</vt:lpstr>
      <vt:lpstr>'IWP22'!Std9BillingInfo01</vt:lpstr>
      <vt:lpstr>'IWP23'!Std9BillingInfo01</vt:lpstr>
      <vt:lpstr>'IWP24'!Std9BillingInfo01</vt:lpstr>
      <vt:lpstr>'IWP25'!Std9BillingInfo01</vt:lpstr>
      <vt:lpstr>'IWP26'!Std9BillingInfo01</vt:lpstr>
      <vt:lpstr>'IWP27'!Std9BillingInfo01</vt:lpstr>
      <vt:lpstr>'IWP28'!Std9BillingInfo01</vt:lpstr>
      <vt:lpstr>'IWP29'!Std9BillingInfo01</vt:lpstr>
      <vt:lpstr>'IWP30'!Std9BillingInfo01</vt:lpstr>
      <vt:lpstr>'IWP01'!Std9BillingInfo02</vt:lpstr>
      <vt:lpstr>'IWP02'!Std9BillingInfo02</vt:lpstr>
      <vt:lpstr>'IWP03'!Std9BillingInfo02</vt:lpstr>
      <vt:lpstr>'IWP04'!Std9BillingInfo02</vt:lpstr>
      <vt:lpstr>'IWP05'!Std9BillingInfo02</vt:lpstr>
      <vt:lpstr>'IWP06'!Std9BillingInfo02</vt:lpstr>
      <vt:lpstr>'IWP07'!Std9BillingInfo02</vt:lpstr>
      <vt:lpstr>'IWP08'!Std9BillingInfo02</vt:lpstr>
      <vt:lpstr>'IWP09'!Std9BillingInfo02</vt:lpstr>
      <vt:lpstr>'IWP10'!Std9BillingInfo02</vt:lpstr>
      <vt:lpstr>'IWP11'!Std9BillingInfo02</vt:lpstr>
      <vt:lpstr>'IWP12'!Std9BillingInfo02</vt:lpstr>
      <vt:lpstr>'IWP13'!Std9BillingInfo02</vt:lpstr>
      <vt:lpstr>'IWP14'!Std9BillingInfo02</vt:lpstr>
      <vt:lpstr>'IWP15'!Std9BillingInfo02</vt:lpstr>
      <vt:lpstr>'IWP16'!Std9BillingInfo02</vt:lpstr>
      <vt:lpstr>'IWP17'!Std9BillingInfo02</vt:lpstr>
      <vt:lpstr>'IWP18'!Std9BillingInfo02</vt:lpstr>
      <vt:lpstr>'IWP19'!Std9BillingInfo02</vt:lpstr>
      <vt:lpstr>'IWP20'!Std9BillingInfo02</vt:lpstr>
      <vt:lpstr>'IWP21'!Std9BillingInfo02</vt:lpstr>
      <vt:lpstr>'IWP22'!Std9BillingInfo02</vt:lpstr>
      <vt:lpstr>'IWP23'!Std9BillingInfo02</vt:lpstr>
      <vt:lpstr>'IWP24'!Std9BillingInfo02</vt:lpstr>
      <vt:lpstr>'IWP25'!Std9BillingInfo02</vt:lpstr>
      <vt:lpstr>'IWP26'!Std9BillingInfo02</vt:lpstr>
      <vt:lpstr>'IWP27'!Std9BillingInfo02</vt:lpstr>
      <vt:lpstr>'IWP28'!Std9BillingInfo02</vt:lpstr>
      <vt:lpstr>'IWP29'!Std9BillingInfo02</vt:lpstr>
      <vt:lpstr>'IWP30'!Std9BillingInfo02</vt:lpstr>
      <vt:lpstr>'IWP01'!Std9BillingInfo03</vt:lpstr>
      <vt:lpstr>'IWP02'!Std9BillingInfo03</vt:lpstr>
      <vt:lpstr>'IWP03'!Std9BillingInfo03</vt:lpstr>
      <vt:lpstr>'IWP04'!Std9BillingInfo03</vt:lpstr>
      <vt:lpstr>'IWP05'!Std9BillingInfo03</vt:lpstr>
      <vt:lpstr>'IWP06'!Std9BillingInfo03</vt:lpstr>
      <vt:lpstr>'IWP07'!Std9BillingInfo03</vt:lpstr>
      <vt:lpstr>'IWP08'!Std9BillingInfo03</vt:lpstr>
      <vt:lpstr>'IWP09'!Std9BillingInfo03</vt:lpstr>
      <vt:lpstr>'IWP10'!Std9BillingInfo03</vt:lpstr>
      <vt:lpstr>'IWP11'!Std9BillingInfo03</vt:lpstr>
      <vt:lpstr>'IWP12'!Std9BillingInfo03</vt:lpstr>
      <vt:lpstr>'IWP13'!Std9BillingInfo03</vt:lpstr>
      <vt:lpstr>'IWP14'!Std9BillingInfo03</vt:lpstr>
      <vt:lpstr>'IWP15'!Std9BillingInfo03</vt:lpstr>
      <vt:lpstr>'IWP16'!Std9BillingInfo03</vt:lpstr>
      <vt:lpstr>'IWP17'!Std9BillingInfo03</vt:lpstr>
      <vt:lpstr>'IWP18'!Std9BillingInfo03</vt:lpstr>
      <vt:lpstr>'IWP19'!Std9BillingInfo03</vt:lpstr>
      <vt:lpstr>'IWP20'!Std9BillingInfo03</vt:lpstr>
      <vt:lpstr>'IWP21'!Std9BillingInfo03</vt:lpstr>
      <vt:lpstr>'IWP22'!Std9BillingInfo03</vt:lpstr>
      <vt:lpstr>'IWP23'!Std9BillingInfo03</vt:lpstr>
      <vt:lpstr>'IWP24'!Std9BillingInfo03</vt:lpstr>
      <vt:lpstr>'IWP25'!Std9BillingInfo03</vt:lpstr>
      <vt:lpstr>'IWP26'!Std9BillingInfo03</vt:lpstr>
      <vt:lpstr>'IWP27'!Std9BillingInfo03</vt:lpstr>
      <vt:lpstr>'IWP28'!Std9BillingInfo03</vt:lpstr>
      <vt:lpstr>'IWP29'!Std9BillingInfo03</vt:lpstr>
      <vt:lpstr>'IWP30'!Std9BillingInfo03</vt:lpstr>
      <vt:lpstr>'IWP01'!Std9BillingInfo04</vt:lpstr>
      <vt:lpstr>'IWP02'!Std9BillingInfo04</vt:lpstr>
      <vt:lpstr>'IWP03'!Std9BillingInfo04</vt:lpstr>
      <vt:lpstr>'IWP04'!Std9BillingInfo04</vt:lpstr>
      <vt:lpstr>'IWP05'!Std9BillingInfo04</vt:lpstr>
      <vt:lpstr>'IWP06'!Std9BillingInfo04</vt:lpstr>
      <vt:lpstr>'IWP07'!Std9BillingInfo04</vt:lpstr>
      <vt:lpstr>'IWP08'!Std9BillingInfo04</vt:lpstr>
      <vt:lpstr>'IWP09'!Std9BillingInfo04</vt:lpstr>
      <vt:lpstr>'IWP10'!Std9BillingInfo04</vt:lpstr>
      <vt:lpstr>'IWP11'!Std9BillingInfo04</vt:lpstr>
      <vt:lpstr>'IWP12'!Std9BillingInfo04</vt:lpstr>
      <vt:lpstr>'IWP13'!Std9BillingInfo04</vt:lpstr>
      <vt:lpstr>'IWP14'!Std9BillingInfo04</vt:lpstr>
      <vt:lpstr>'IWP15'!Std9BillingInfo04</vt:lpstr>
      <vt:lpstr>'IWP16'!Std9BillingInfo04</vt:lpstr>
      <vt:lpstr>'IWP17'!Std9BillingInfo04</vt:lpstr>
      <vt:lpstr>'IWP18'!Std9BillingInfo04</vt:lpstr>
      <vt:lpstr>'IWP19'!Std9BillingInfo04</vt:lpstr>
      <vt:lpstr>'IWP20'!Std9BillingInfo04</vt:lpstr>
      <vt:lpstr>'IWP21'!Std9BillingInfo04</vt:lpstr>
      <vt:lpstr>'IWP22'!Std9BillingInfo04</vt:lpstr>
      <vt:lpstr>'IWP23'!Std9BillingInfo04</vt:lpstr>
      <vt:lpstr>'IWP24'!Std9BillingInfo04</vt:lpstr>
      <vt:lpstr>'IWP25'!Std9BillingInfo04</vt:lpstr>
      <vt:lpstr>'IWP26'!Std9BillingInfo04</vt:lpstr>
      <vt:lpstr>'IWP27'!Std9BillingInfo04</vt:lpstr>
      <vt:lpstr>'IWP28'!Std9BillingInfo04</vt:lpstr>
      <vt:lpstr>'IWP29'!Std9BillingInfo04</vt:lpstr>
      <vt:lpstr>'IWP30'!Std9BillingInfo04</vt:lpstr>
      <vt:lpstr>'IWP01'!Std9BillingInfo05</vt:lpstr>
      <vt:lpstr>'IWP02'!Std9BillingInfo05</vt:lpstr>
      <vt:lpstr>'IWP03'!Std9BillingInfo05</vt:lpstr>
      <vt:lpstr>'IWP04'!Std9BillingInfo05</vt:lpstr>
      <vt:lpstr>'IWP05'!Std9BillingInfo05</vt:lpstr>
      <vt:lpstr>'IWP06'!Std9BillingInfo05</vt:lpstr>
      <vt:lpstr>'IWP07'!Std9BillingInfo05</vt:lpstr>
      <vt:lpstr>'IWP08'!Std9BillingInfo05</vt:lpstr>
      <vt:lpstr>'IWP09'!Std9BillingInfo05</vt:lpstr>
      <vt:lpstr>'IWP10'!Std9BillingInfo05</vt:lpstr>
      <vt:lpstr>'IWP11'!Std9BillingInfo05</vt:lpstr>
      <vt:lpstr>'IWP12'!Std9BillingInfo05</vt:lpstr>
      <vt:lpstr>'IWP13'!Std9BillingInfo05</vt:lpstr>
      <vt:lpstr>'IWP14'!Std9BillingInfo05</vt:lpstr>
      <vt:lpstr>'IWP15'!Std9BillingInfo05</vt:lpstr>
      <vt:lpstr>'IWP16'!Std9BillingInfo05</vt:lpstr>
      <vt:lpstr>'IWP17'!Std9BillingInfo05</vt:lpstr>
      <vt:lpstr>'IWP18'!Std9BillingInfo05</vt:lpstr>
      <vt:lpstr>'IWP19'!Std9BillingInfo05</vt:lpstr>
      <vt:lpstr>'IWP20'!Std9BillingInfo05</vt:lpstr>
      <vt:lpstr>'IWP21'!Std9BillingInfo05</vt:lpstr>
      <vt:lpstr>'IWP22'!Std9BillingInfo05</vt:lpstr>
      <vt:lpstr>'IWP23'!Std9BillingInfo05</vt:lpstr>
      <vt:lpstr>'IWP24'!Std9BillingInfo05</vt:lpstr>
      <vt:lpstr>'IWP25'!Std9BillingInfo05</vt:lpstr>
      <vt:lpstr>'IWP26'!Std9BillingInfo05</vt:lpstr>
      <vt:lpstr>'IWP27'!Std9BillingInfo05</vt:lpstr>
      <vt:lpstr>'IWP28'!Std9BillingInfo05</vt:lpstr>
      <vt:lpstr>'IWP29'!Std9BillingInfo05</vt:lpstr>
      <vt:lpstr>'IWP30'!Std9BillingInfo05</vt:lpstr>
      <vt:lpstr>'IWP01'!Std9BillingInfo06</vt:lpstr>
      <vt:lpstr>'IWP02'!Std9BillingInfo06</vt:lpstr>
      <vt:lpstr>'IWP03'!Std9BillingInfo06</vt:lpstr>
      <vt:lpstr>'IWP04'!Std9BillingInfo06</vt:lpstr>
      <vt:lpstr>'IWP05'!Std9BillingInfo06</vt:lpstr>
      <vt:lpstr>'IWP06'!Std9BillingInfo06</vt:lpstr>
      <vt:lpstr>'IWP07'!Std9BillingInfo06</vt:lpstr>
      <vt:lpstr>'IWP08'!Std9BillingInfo06</vt:lpstr>
      <vt:lpstr>'IWP09'!Std9BillingInfo06</vt:lpstr>
      <vt:lpstr>'IWP10'!Std9BillingInfo06</vt:lpstr>
      <vt:lpstr>'IWP11'!Std9BillingInfo06</vt:lpstr>
      <vt:lpstr>'IWP12'!Std9BillingInfo06</vt:lpstr>
      <vt:lpstr>'IWP13'!Std9BillingInfo06</vt:lpstr>
      <vt:lpstr>'IWP14'!Std9BillingInfo06</vt:lpstr>
      <vt:lpstr>'IWP15'!Std9BillingInfo06</vt:lpstr>
      <vt:lpstr>'IWP16'!Std9BillingInfo06</vt:lpstr>
      <vt:lpstr>'IWP17'!Std9BillingInfo06</vt:lpstr>
      <vt:lpstr>'IWP18'!Std9BillingInfo06</vt:lpstr>
      <vt:lpstr>'IWP19'!Std9BillingInfo06</vt:lpstr>
      <vt:lpstr>'IWP20'!Std9BillingInfo06</vt:lpstr>
      <vt:lpstr>'IWP21'!Std9BillingInfo06</vt:lpstr>
      <vt:lpstr>'IWP22'!Std9BillingInfo06</vt:lpstr>
      <vt:lpstr>'IWP23'!Std9BillingInfo06</vt:lpstr>
      <vt:lpstr>'IWP24'!Std9BillingInfo06</vt:lpstr>
      <vt:lpstr>'IWP25'!Std9BillingInfo06</vt:lpstr>
      <vt:lpstr>'IWP26'!Std9BillingInfo06</vt:lpstr>
      <vt:lpstr>'IWP27'!Std9BillingInfo06</vt:lpstr>
      <vt:lpstr>'IWP28'!Std9BillingInfo06</vt:lpstr>
      <vt:lpstr>'IWP29'!Std9BillingInfo06</vt:lpstr>
      <vt:lpstr>'IWP30'!Std9BillingInfo06</vt:lpstr>
      <vt:lpstr>'IWP01'!Std9BillingInfo07</vt:lpstr>
      <vt:lpstr>'IWP02'!Std9BillingInfo07</vt:lpstr>
      <vt:lpstr>'IWP03'!Std9BillingInfo07</vt:lpstr>
      <vt:lpstr>'IWP04'!Std9BillingInfo07</vt:lpstr>
      <vt:lpstr>'IWP05'!Std9BillingInfo07</vt:lpstr>
      <vt:lpstr>'IWP06'!Std9BillingInfo07</vt:lpstr>
      <vt:lpstr>'IWP07'!Std9BillingInfo07</vt:lpstr>
      <vt:lpstr>'IWP08'!Std9BillingInfo07</vt:lpstr>
      <vt:lpstr>'IWP09'!Std9BillingInfo07</vt:lpstr>
      <vt:lpstr>'IWP10'!Std9BillingInfo07</vt:lpstr>
      <vt:lpstr>'IWP11'!Std9BillingInfo07</vt:lpstr>
      <vt:lpstr>'IWP12'!Std9BillingInfo07</vt:lpstr>
      <vt:lpstr>'IWP13'!Std9BillingInfo07</vt:lpstr>
      <vt:lpstr>'IWP14'!Std9BillingInfo07</vt:lpstr>
      <vt:lpstr>'IWP15'!Std9BillingInfo07</vt:lpstr>
      <vt:lpstr>'IWP16'!Std9BillingInfo07</vt:lpstr>
      <vt:lpstr>'IWP17'!Std9BillingInfo07</vt:lpstr>
      <vt:lpstr>'IWP18'!Std9BillingInfo07</vt:lpstr>
      <vt:lpstr>'IWP19'!Std9BillingInfo07</vt:lpstr>
      <vt:lpstr>'IWP20'!Std9BillingInfo07</vt:lpstr>
      <vt:lpstr>'IWP21'!Std9BillingInfo07</vt:lpstr>
      <vt:lpstr>'IWP22'!Std9BillingInfo07</vt:lpstr>
      <vt:lpstr>'IWP23'!Std9BillingInfo07</vt:lpstr>
      <vt:lpstr>'IWP24'!Std9BillingInfo07</vt:lpstr>
      <vt:lpstr>'IWP25'!Std9BillingInfo07</vt:lpstr>
      <vt:lpstr>'IWP26'!Std9BillingInfo07</vt:lpstr>
      <vt:lpstr>'IWP27'!Std9BillingInfo07</vt:lpstr>
      <vt:lpstr>'IWP28'!Std9BillingInfo07</vt:lpstr>
      <vt:lpstr>'IWP29'!Std9BillingInfo07</vt:lpstr>
      <vt:lpstr>'IWP30'!Std9BillingInfo07</vt:lpstr>
      <vt:lpstr>'IWP01'!Std9BillingInfo08</vt:lpstr>
      <vt:lpstr>'IWP02'!Std9BillingInfo08</vt:lpstr>
      <vt:lpstr>'IWP03'!Std9BillingInfo08</vt:lpstr>
      <vt:lpstr>'IWP04'!Std9BillingInfo08</vt:lpstr>
      <vt:lpstr>'IWP05'!Std9BillingInfo08</vt:lpstr>
      <vt:lpstr>'IWP06'!Std9BillingInfo08</vt:lpstr>
      <vt:lpstr>'IWP07'!Std9BillingInfo08</vt:lpstr>
      <vt:lpstr>'IWP08'!Std9BillingInfo08</vt:lpstr>
      <vt:lpstr>'IWP09'!Std9BillingInfo08</vt:lpstr>
      <vt:lpstr>'IWP10'!Std9BillingInfo08</vt:lpstr>
      <vt:lpstr>'IWP11'!Std9BillingInfo08</vt:lpstr>
      <vt:lpstr>'IWP12'!Std9BillingInfo08</vt:lpstr>
      <vt:lpstr>'IWP13'!Std9BillingInfo08</vt:lpstr>
      <vt:lpstr>'IWP14'!Std9BillingInfo08</vt:lpstr>
      <vt:lpstr>'IWP15'!Std9BillingInfo08</vt:lpstr>
      <vt:lpstr>'IWP16'!Std9BillingInfo08</vt:lpstr>
      <vt:lpstr>'IWP17'!Std9BillingInfo08</vt:lpstr>
      <vt:lpstr>'IWP18'!Std9BillingInfo08</vt:lpstr>
      <vt:lpstr>'IWP19'!Std9BillingInfo08</vt:lpstr>
      <vt:lpstr>'IWP20'!Std9BillingInfo08</vt:lpstr>
      <vt:lpstr>'IWP21'!Std9BillingInfo08</vt:lpstr>
      <vt:lpstr>'IWP22'!Std9BillingInfo08</vt:lpstr>
      <vt:lpstr>'IWP23'!Std9BillingInfo08</vt:lpstr>
      <vt:lpstr>'IWP24'!Std9BillingInfo08</vt:lpstr>
      <vt:lpstr>'IWP25'!Std9BillingInfo08</vt:lpstr>
      <vt:lpstr>'IWP26'!Std9BillingInfo08</vt:lpstr>
      <vt:lpstr>'IWP27'!Std9BillingInfo08</vt:lpstr>
      <vt:lpstr>'IWP28'!Std9BillingInfo08</vt:lpstr>
      <vt:lpstr>'IWP29'!Std9BillingInfo08</vt:lpstr>
      <vt:lpstr>'IWP30'!Std9BillingInfo08</vt:lpstr>
      <vt:lpstr>'IWP01'!Std9BillingInfo09</vt:lpstr>
      <vt:lpstr>'IWP02'!Std9BillingInfo09</vt:lpstr>
      <vt:lpstr>'IWP03'!Std9BillingInfo09</vt:lpstr>
      <vt:lpstr>'IWP04'!Std9BillingInfo09</vt:lpstr>
      <vt:lpstr>'IWP05'!Std9BillingInfo09</vt:lpstr>
      <vt:lpstr>'IWP06'!Std9BillingInfo09</vt:lpstr>
      <vt:lpstr>'IWP07'!Std9BillingInfo09</vt:lpstr>
      <vt:lpstr>'IWP08'!Std9BillingInfo09</vt:lpstr>
      <vt:lpstr>'IWP09'!Std9BillingInfo09</vt:lpstr>
      <vt:lpstr>'IWP10'!Std9BillingInfo09</vt:lpstr>
      <vt:lpstr>'IWP11'!Std9BillingInfo09</vt:lpstr>
      <vt:lpstr>'IWP12'!Std9BillingInfo09</vt:lpstr>
      <vt:lpstr>'IWP13'!Std9BillingInfo09</vt:lpstr>
      <vt:lpstr>'IWP14'!Std9BillingInfo09</vt:lpstr>
      <vt:lpstr>'IWP15'!Std9BillingInfo09</vt:lpstr>
      <vt:lpstr>'IWP16'!Std9BillingInfo09</vt:lpstr>
      <vt:lpstr>'IWP17'!Std9BillingInfo09</vt:lpstr>
      <vt:lpstr>'IWP18'!Std9BillingInfo09</vt:lpstr>
      <vt:lpstr>'IWP19'!Std9BillingInfo09</vt:lpstr>
      <vt:lpstr>'IWP20'!Std9BillingInfo09</vt:lpstr>
      <vt:lpstr>'IWP21'!Std9BillingInfo09</vt:lpstr>
      <vt:lpstr>'IWP22'!Std9BillingInfo09</vt:lpstr>
      <vt:lpstr>'IWP23'!Std9BillingInfo09</vt:lpstr>
      <vt:lpstr>'IWP24'!Std9BillingInfo09</vt:lpstr>
      <vt:lpstr>'IWP25'!Std9BillingInfo09</vt:lpstr>
      <vt:lpstr>'IWP26'!Std9BillingInfo09</vt:lpstr>
      <vt:lpstr>'IWP27'!Std9BillingInfo09</vt:lpstr>
      <vt:lpstr>'IWP28'!Std9BillingInfo09</vt:lpstr>
      <vt:lpstr>'IWP29'!Std9BillingInfo09</vt:lpstr>
      <vt:lpstr>'IWP30'!Std9BillingInfo09</vt:lpstr>
      <vt:lpstr>'IWP01'!Std9BillingInfo10</vt:lpstr>
      <vt:lpstr>'IWP02'!Std9BillingInfo10</vt:lpstr>
      <vt:lpstr>'IWP03'!Std9BillingInfo10</vt:lpstr>
      <vt:lpstr>'IWP04'!Std9BillingInfo10</vt:lpstr>
      <vt:lpstr>'IWP05'!Std9BillingInfo10</vt:lpstr>
      <vt:lpstr>'IWP06'!Std9BillingInfo10</vt:lpstr>
      <vt:lpstr>'IWP07'!Std9BillingInfo10</vt:lpstr>
      <vt:lpstr>'IWP08'!Std9BillingInfo10</vt:lpstr>
      <vt:lpstr>'IWP09'!Std9BillingInfo10</vt:lpstr>
      <vt:lpstr>'IWP10'!Std9BillingInfo10</vt:lpstr>
      <vt:lpstr>'IWP11'!Std9BillingInfo10</vt:lpstr>
      <vt:lpstr>'IWP12'!Std9BillingInfo10</vt:lpstr>
      <vt:lpstr>'IWP13'!Std9BillingInfo10</vt:lpstr>
      <vt:lpstr>'IWP14'!Std9BillingInfo10</vt:lpstr>
      <vt:lpstr>'IWP15'!Std9BillingInfo10</vt:lpstr>
      <vt:lpstr>'IWP16'!Std9BillingInfo10</vt:lpstr>
      <vt:lpstr>'IWP17'!Std9BillingInfo10</vt:lpstr>
      <vt:lpstr>'IWP18'!Std9BillingInfo10</vt:lpstr>
      <vt:lpstr>'IWP19'!Std9BillingInfo10</vt:lpstr>
      <vt:lpstr>'IWP20'!Std9BillingInfo10</vt:lpstr>
      <vt:lpstr>'IWP21'!Std9BillingInfo10</vt:lpstr>
      <vt:lpstr>'IWP22'!Std9BillingInfo10</vt:lpstr>
      <vt:lpstr>'IWP23'!Std9BillingInfo10</vt:lpstr>
      <vt:lpstr>'IWP24'!Std9BillingInfo10</vt:lpstr>
      <vt:lpstr>'IWP25'!Std9BillingInfo10</vt:lpstr>
      <vt:lpstr>'IWP26'!Std9BillingInfo10</vt:lpstr>
      <vt:lpstr>'IWP27'!Std9BillingInfo10</vt:lpstr>
      <vt:lpstr>'IWP28'!Std9BillingInfo10</vt:lpstr>
      <vt:lpstr>'IWP29'!Std9BillingInfo10</vt:lpstr>
      <vt:lpstr>'IWP30'!Std9BillingInfo10</vt:lpstr>
      <vt:lpstr>'IWP01'!Std9BillingInfo11</vt:lpstr>
      <vt:lpstr>'IWP02'!Std9BillingInfo11</vt:lpstr>
      <vt:lpstr>'IWP03'!Std9BillingInfo11</vt:lpstr>
      <vt:lpstr>'IWP04'!Std9BillingInfo11</vt:lpstr>
      <vt:lpstr>'IWP05'!Std9BillingInfo11</vt:lpstr>
      <vt:lpstr>'IWP06'!Std9BillingInfo11</vt:lpstr>
      <vt:lpstr>'IWP07'!Std9BillingInfo11</vt:lpstr>
      <vt:lpstr>'IWP08'!Std9BillingInfo11</vt:lpstr>
      <vt:lpstr>'IWP09'!Std9BillingInfo11</vt:lpstr>
      <vt:lpstr>'IWP10'!Std9BillingInfo11</vt:lpstr>
      <vt:lpstr>'IWP11'!Std9BillingInfo11</vt:lpstr>
      <vt:lpstr>'IWP12'!Std9BillingInfo11</vt:lpstr>
      <vt:lpstr>'IWP13'!Std9BillingInfo11</vt:lpstr>
      <vt:lpstr>'IWP14'!Std9BillingInfo11</vt:lpstr>
      <vt:lpstr>'IWP15'!Std9BillingInfo11</vt:lpstr>
      <vt:lpstr>'IWP16'!Std9BillingInfo11</vt:lpstr>
      <vt:lpstr>'IWP17'!Std9BillingInfo11</vt:lpstr>
      <vt:lpstr>'IWP18'!Std9BillingInfo11</vt:lpstr>
      <vt:lpstr>'IWP19'!Std9BillingInfo11</vt:lpstr>
      <vt:lpstr>'IWP20'!Std9BillingInfo11</vt:lpstr>
      <vt:lpstr>'IWP21'!Std9BillingInfo11</vt:lpstr>
      <vt:lpstr>'IWP22'!Std9BillingInfo11</vt:lpstr>
      <vt:lpstr>'IWP23'!Std9BillingInfo11</vt:lpstr>
      <vt:lpstr>'IWP24'!Std9BillingInfo11</vt:lpstr>
      <vt:lpstr>'IWP25'!Std9BillingInfo11</vt:lpstr>
      <vt:lpstr>'IWP26'!Std9BillingInfo11</vt:lpstr>
      <vt:lpstr>'IWP27'!Std9BillingInfo11</vt:lpstr>
      <vt:lpstr>'IWP28'!Std9BillingInfo11</vt:lpstr>
      <vt:lpstr>'IWP29'!Std9BillingInfo11</vt:lpstr>
      <vt:lpstr>'IWP30'!Std9BillingInfo11</vt:lpstr>
      <vt:lpstr>'IWP01'!Std9BillingInfo12</vt:lpstr>
      <vt:lpstr>'IWP02'!Std9BillingInfo12</vt:lpstr>
      <vt:lpstr>'IWP03'!Std9BillingInfo12</vt:lpstr>
      <vt:lpstr>'IWP04'!Std9BillingInfo12</vt:lpstr>
      <vt:lpstr>'IWP05'!Std9BillingInfo12</vt:lpstr>
      <vt:lpstr>'IWP06'!Std9BillingInfo12</vt:lpstr>
      <vt:lpstr>'IWP07'!Std9BillingInfo12</vt:lpstr>
      <vt:lpstr>'IWP08'!Std9BillingInfo12</vt:lpstr>
      <vt:lpstr>'IWP09'!Std9BillingInfo12</vt:lpstr>
      <vt:lpstr>'IWP10'!Std9BillingInfo12</vt:lpstr>
      <vt:lpstr>'IWP11'!Std9BillingInfo12</vt:lpstr>
      <vt:lpstr>'IWP12'!Std9BillingInfo12</vt:lpstr>
      <vt:lpstr>'IWP13'!Std9BillingInfo12</vt:lpstr>
      <vt:lpstr>'IWP14'!Std9BillingInfo12</vt:lpstr>
      <vt:lpstr>'IWP15'!Std9BillingInfo12</vt:lpstr>
      <vt:lpstr>'IWP16'!Std9BillingInfo12</vt:lpstr>
      <vt:lpstr>'IWP17'!Std9BillingInfo12</vt:lpstr>
      <vt:lpstr>'IWP18'!Std9BillingInfo12</vt:lpstr>
      <vt:lpstr>'IWP19'!Std9BillingInfo12</vt:lpstr>
      <vt:lpstr>'IWP20'!Std9BillingInfo12</vt:lpstr>
      <vt:lpstr>'IWP21'!Std9BillingInfo12</vt:lpstr>
      <vt:lpstr>'IWP22'!Std9BillingInfo12</vt:lpstr>
      <vt:lpstr>'IWP23'!Std9BillingInfo12</vt:lpstr>
      <vt:lpstr>'IWP24'!Std9BillingInfo12</vt:lpstr>
      <vt:lpstr>'IWP25'!Std9BillingInfo12</vt:lpstr>
      <vt:lpstr>'IWP26'!Std9BillingInfo12</vt:lpstr>
      <vt:lpstr>'IWP27'!Std9BillingInfo12</vt:lpstr>
      <vt:lpstr>'IWP28'!Std9BillingInfo12</vt:lpstr>
      <vt:lpstr>'IWP29'!Std9BillingInfo12</vt:lpstr>
      <vt:lpstr>'IWP30'!Std9BillingInfo12</vt:lpstr>
      <vt:lpstr>'IWP01'!Std9BillingInfo13</vt:lpstr>
      <vt:lpstr>'IWP02'!Std9BillingInfo13</vt:lpstr>
      <vt:lpstr>'IWP03'!Std9BillingInfo13</vt:lpstr>
      <vt:lpstr>'IWP04'!Std9BillingInfo13</vt:lpstr>
      <vt:lpstr>'IWP05'!Std9BillingInfo13</vt:lpstr>
      <vt:lpstr>'IWP06'!Std9BillingInfo13</vt:lpstr>
      <vt:lpstr>'IWP07'!Std9BillingInfo13</vt:lpstr>
      <vt:lpstr>'IWP08'!Std9BillingInfo13</vt:lpstr>
      <vt:lpstr>'IWP09'!Std9BillingInfo13</vt:lpstr>
      <vt:lpstr>'IWP10'!Std9BillingInfo13</vt:lpstr>
      <vt:lpstr>'IWP11'!Std9BillingInfo13</vt:lpstr>
      <vt:lpstr>'IWP12'!Std9BillingInfo13</vt:lpstr>
      <vt:lpstr>'IWP13'!Std9BillingInfo13</vt:lpstr>
      <vt:lpstr>'IWP14'!Std9BillingInfo13</vt:lpstr>
      <vt:lpstr>'IWP15'!Std9BillingInfo13</vt:lpstr>
      <vt:lpstr>'IWP16'!Std9BillingInfo13</vt:lpstr>
      <vt:lpstr>'IWP17'!Std9BillingInfo13</vt:lpstr>
      <vt:lpstr>'IWP18'!Std9BillingInfo13</vt:lpstr>
      <vt:lpstr>'IWP19'!Std9BillingInfo13</vt:lpstr>
      <vt:lpstr>'IWP20'!Std9BillingInfo13</vt:lpstr>
      <vt:lpstr>'IWP21'!Std9BillingInfo13</vt:lpstr>
      <vt:lpstr>'IWP22'!Std9BillingInfo13</vt:lpstr>
      <vt:lpstr>'IWP23'!Std9BillingInfo13</vt:lpstr>
      <vt:lpstr>'IWP24'!Std9BillingInfo13</vt:lpstr>
      <vt:lpstr>'IWP25'!Std9BillingInfo13</vt:lpstr>
      <vt:lpstr>'IWP26'!Std9BillingInfo13</vt:lpstr>
      <vt:lpstr>'IWP27'!Std9BillingInfo13</vt:lpstr>
      <vt:lpstr>'IWP28'!Std9BillingInfo13</vt:lpstr>
      <vt:lpstr>'IWP29'!Std9BillingInfo13</vt:lpstr>
      <vt:lpstr>'IWP30'!Std9BillingInfo13</vt:lpstr>
      <vt:lpstr>'IWP01'!Std9BillingInfo14</vt:lpstr>
      <vt:lpstr>'IWP02'!Std9BillingInfo14</vt:lpstr>
      <vt:lpstr>'IWP03'!Std9BillingInfo14</vt:lpstr>
      <vt:lpstr>'IWP04'!Std9BillingInfo14</vt:lpstr>
      <vt:lpstr>'IWP05'!Std9BillingInfo14</vt:lpstr>
      <vt:lpstr>'IWP06'!Std9BillingInfo14</vt:lpstr>
      <vt:lpstr>'IWP07'!Std9BillingInfo14</vt:lpstr>
      <vt:lpstr>'IWP08'!Std9BillingInfo14</vt:lpstr>
      <vt:lpstr>'IWP09'!Std9BillingInfo14</vt:lpstr>
      <vt:lpstr>'IWP10'!Std9BillingInfo14</vt:lpstr>
      <vt:lpstr>'IWP11'!Std9BillingInfo14</vt:lpstr>
      <vt:lpstr>'IWP12'!Std9BillingInfo14</vt:lpstr>
      <vt:lpstr>'IWP13'!Std9BillingInfo14</vt:lpstr>
      <vt:lpstr>'IWP14'!Std9BillingInfo14</vt:lpstr>
      <vt:lpstr>'IWP15'!Std9BillingInfo14</vt:lpstr>
      <vt:lpstr>'IWP16'!Std9BillingInfo14</vt:lpstr>
      <vt:lpstr>'IWP17'!Std9BillingInfo14</vt:lpstr>
      <vt:lpstr>'IWP18'!Std9BillingInfo14</vt:lpstr>
      <vt:lpstr>'IWP19'!Std9BillingInfo14</vt:lpstr>
      <vt:lpstr>'IWP20'!Std9BillingInfo14</vt:lpstr>
      <vt:lpstr>'IWP21'!Std9BillingInfo14</vt:lpstr>
      <vt:lpstr>'IWP22'!Std9BillingInfo14</vt:lpstr>
      <vt:lpstr>'IWP23'!Std9BillingInfo14</vt:lpstr>
      <vt:lpstr>'IWP24'!Std9BillingInfo14</vt:lpstr>
      <vt:lpstr>'IWP25'!Std9BillingInfo14</vt:lpstr>
      <vt:lpstr>'IWP26'!Std9BillingInfo14</vt:lpstr>
      <vt:lpstr>'IWP27'!Std9BillingInfo14</vt:lpstr>
      <vt:lpstr>'IWP28'!Std9BillingInfo14</vt:lpstr>
      <vt:lpstr>'IWP29'!Std9BillingInfo14</vt:lpstr>
      <vt:lpstr>'IWP30'!Std9BillingInfo14</vt:lpstr>
      <vt:lpstr>'IWP01'!Std9BillingInfo15</vt:lpstr>
      <vt:lpstr>'IWP02'!Std9BillingInfo15</vt:lpstr>
      <vt:lpstr>'IWP03'!Std9BillingInfo15</vt:lpstr>
      <vt:lpstr>'IWP04'!Std9BillingInfo15</vt:lpstr>
      <vt:lpstr>'IWP05'!Std9BillingInfo15</vt:lpstr>
      <vt:lpstr>'IWP06'!Std9BillingInfo15</vt:lpstr>
      <vt:lpstr>'IWP07'!Std9BillingInfo15</vt:lpstr>
      <vt:lpstr>'IWP08'!Std9BillingInfo15</vt:lpstr>
      <vt:lpstr>'IWP09'!Std9BillingInfo15</vt:lpstr>
      <vt:lpstr>'IWP10'!Std9BillingInfo15</vt:lpstr>
      <vt:lpstr>'IWP11'!Std9BillingInfo15</vt:lpstr>
      <vt:lpstr>'IWP12'!Std9BillingInfo15</vt:lpstr>
      <vt:lpstr>'IWP13'!Std9BillingInfo15</vt:lpstr>
      <vt:lpstr>'IWP14'!Std9BillingInfo15</vt:lpstr>
      <vt:lpstr>'IWP15'!Std9BillingInfo15</vt:lpstr>
      <vt:lpstr>'IWP16'!Std9BillingInfo15</vt:lpstr>
      <vt:lpstr>'IWP17'!Std9BillingInfo15</vt:lpstr>
      <vt:lpstr>'IWP18'!Std9BillingInfo15</vt:lpstr>
      <vt:lpstr>'IWP19'!Std9BillingInfo15</vt:lpstr>
      <vt:lpstr>'IWP20'!Std9BillingInfo15</vt:lpstr>
      <vt:lpstr>'IWP21'!Std9BillingInfo15</vt:lpstr>
      <vt:lpstr>'IWP22'!Std9BillingInfo15</vt:lpstr>
      <vt:lpstr>'IWP23'!Std9BillingInfo15</vt:lpstr>
      <vt:lpstr>'IWP24'!Std9BillingInfo15</vt:lpstr>
      <vt:lpstr>'IWP25'!Std9BillingInfo15</vt:lpstr>
      <vt:lpstr>'IWP26'!Std9BillingInfo15</vt:lpstr>
      <vt:lpstr>'IWP27'!Std9BillingInfo15</vt:lpstr>
      <vt:lpstr>'IWP28'!Std9BillingInfo15</vt:lpstr>
      <vt:lpstr>'IWP29'!Std9BillingInfo15</vt:lpstr>
      <vt:lpstr>'IWP30'!Std9BillingInfo15</vt:lpstr>
      <vt:lpstr>'IWP01'!Std9BillingInfo16</vt:lpstr>
      <vt:lpstr>'IWP02'!Std9BillingInfo16</vt:lpstr>
      <vt:lpstr>'IWP03'!Std9BillingInfo16</vt:lpstr>
      <vt:lpstr>'IWP04'!Std9BillingInfo16</vt:lpstr>
      <vt:lpstr>'IWP05'!Std9BillingInfo16</vt:lpstr>
      <vt:lpstr>'IWP06'!Std9BillingInfo16</vt:lpstr>
      <vt:lpstr>'IWP07'!Std9BillingInfo16</vt:lpstr>
      <vt:lpstr>'IWP08'!Std9BillingInfo16</vt:lpstr>
      <vt:lpstr>'IWP09'!Std9BillingInfo16</vt:lpstr>
      <vt:lpstr>'IWP10'!Std9BillingInfo16</vt:lpstr>
      <vt:lpstr>'IWP11'!Std9BillingInfo16</vt:lpstr>
      <vt:lpstr>'IWP12'!Std9BillingInfo16</vt:lpstr>
      <vt:lpstr>'IWP13'!Std9BillingInfo16</vt:lpstr>
      <vt:lpstr>'IWP14'!Std9BillingInfo16</vt:lpstr>
      <vt:lpstr>'IWP15'!Std9BillingInfo16</vt:lpstr>
      <vt:lpstr>'IWP16'!Std9BillingInfo16</vt:lpstr>
      <vt:lpstr>'IWP17'!Std9BillingInfo16</vt:lpstr>
      <vt:lpstr>'IWP18'!Std9BillingInfo16</vt:lpstr>
      <vt:lpstr>'IWP19'!Std9BillingInfo16</vt:lpstr>
      <vt:lpstr>'IWP20'!Std9BillingInfo16</vt:lpstr>
      <vt:lpstr>'IWP21'!Std9BillingInfo16</vt:lpstr>
      <vt:lpstr>'IWP22'!Std9BillingInfo16</vt:lpstr>
      <vt:lpstr>'IWP23'!Std9BillingInfo16</vt:lpstr>
      <vt:lpstr>'IWP24'!Std9BillingInfo16</vt:lpstr>
      <vt:lpstr>'IWP25'!Std9BillingInfo16</vt:lpstr>
      <vt:lpstr>'IWP26'!Std9BillingInfo16</vt:lpstr>
      <vt:lpstr>'IWP27'!Std9BillingInfo16</vt:lpstr>
      <vt:lpstr>'IWP28'!Std9BillingInfo16</vt:lpstr>
      <vt:lpstr>'IWP29'!Std9BillingInfo16</vt:lpstr>
      <vt:lpstr>'IWP30'!Std9BillingInfo16</vt:lpstr>
      <vt:lpstr>'IWP01'!Std9BillingInfo17</vt:lpstr>
      <vt:lpstr>'IWP02'!Std9BillingInfo17</vt:lpstr>
      <vt:lpstr>'IWP03'!Std9BillingInfo17</vt:lpstr>
      <vt:lpstr>'IWP04'!Std9BillingInfo17</vt:lpstr>
      <vt:lpstr>'IWP05'!Std9BillingInfo17</vt:lpstr>
      <vt:lpstr>'IWP06'!Std9BillingInfo17</vt:lpstr>
      <vt:lpstr>'IWP07'!Std9BillingInfo17</vt:lpstr>
      <vt:lpstr>'IWP08'!Std9BillingInfo17</vt:lpstr>
      <vt:lpstr>'IWP09'!Std9BillingInfo17</vt:lpstr>
      <vt:lpstr>'IWP10'!Std9BillingInfo17</vt:lpstr>
      <vt:lpstr>'IWP11'!Std9BillingInfo17</vt:lpstr>
      <vt:lpstr>'IWP12'!Std9BillingInfo17</vt:lpstr>
      <vt:lpstr>'IWP13'!Std9BillingInfo17</vt:lpstr>
      <vt:lpstr>'IWP14'!Std9BillingInfo17</vt:lpstr>
      <vt:lpstr>'IWP15'!Std9BillingInfo17</vt:lpstr>
      <vt:lpstr>'IWP16'!Std9BillingInfo17</vt:lpstr>
      <vt:lpstr>'IWP17'!Std9BillingInfo17</vt:lpstr>
      <vt:lpstr>'IWP18'!Std9BillingInfo17</vt:lpstr>
      <vt:lpstr>'IWP19'!Std9BillingInfo17</vt:lpstr>
      <vt:lpstr>'IWP20'!Std9BillingInfo17</vt:lpstr>
      <vt:lpstr>'IWP21'!Std9BillingInfo17</vt:lpstr>
      <vt:lpstr>'IWP22'!Std9BillingInfo17</vt:lpstr>
      <vt:lpstr>'IWP23'!Std9BillingInfo17</vt:lpstr>
      <vt:lpstr>'IWP24'!Std9BillingInfo17</vt:lpstr>
      <vt:lpstr>'IWP25'!Std9BillingInfo17</vt:lpstr>
      <vt:lpstr>'IWP26'!Std9BillingInfo17</vt:lpstr>
      <vt:lpstr>'IWP27'!Std9BillingInfo17</vt:lpstr>
      <vt:lpstr>'IWP28'!Std9BillingInfo17</vt:lpstr>
      <vt:lpstr>'IWP29'!Std9BillingInfo17</vt:lpstr>
      <vt:lpstr>'IWP30'!Std9BillingInfo17</vt:lpstr>
      <vt:lpstr>'IWP01'!Std9BillingInfo18</vt:lpstr>
      <vt:lpstr>'IWP02'!Std9BillingInfo18</vt:lpstr>
      <vt:lpstr>'IWP03'!Std9BillingInfo18</vt:lpstr>
      <vt:lpstr>'IWP04'!Std9BillingInfo18</vt:lpstr>
      <vt:lpstr>'IWP05'!Std9BillingInfo18</vt:lpstr>
      <vt:lpstr>'IWP06'!Std9BillingInfo18</vt:lpstr>
      <vt:lpstr>'IWP07'!Std9BillingInfo18</vt:lpstr>
      <vt:lpstr>'IWP08'!Std9BillingInfo18</vt:lpstr>
      <vt:lpstr>'IWP09'!Std9BillingInfo18</vt:lpstr>
      <vt:lpstr>'IWP10'!Std9BillingInfo18</vt:lpstr>
      <vt:lpstr>'IWP11'!Std9BillingInfo18</vt:lpstr>
      <vt:lpstr>'IWP12'!Std9BillingInfo18</vt:lpstr>
      <vt:lpstr>'IWP13'!Std9BillingInfo18</vt:lpstr>
      <vt:lpstr>'IWP14'!Std9BillingInfo18</vt:lpstr>
      <vt:lpstr>'IWP15'!Std9BillingInfo18</vt:lpstr>
      <vt:lpstr>'IWP16'!Std9BillingInfo18</vt:lpstr>
      <vt:lpstr>'IWP17'!Std9BillingInfo18</vt:lpstr>
      <vt:lpstr>'IWP18'!Std9BillingInfo18</vt:lpstr>
      <vt:lpstr>'IWP19'!Std9BillingInfo18</vt:lpstr>
      <vt:lpstr>'IWP20'!Std9BillingInfo18</vt:lpstr>
      <vt:lpstr>'IWP21'!Std9BillingInfo18</vt:lpstr>
      <vt:lpstr>'IWP22'!Std9BillingInfo18</vt:lpstr>
      <vt:lpstr>'IWP23'!Std9BillingInfo18</vt:lpstr>
      <vt:lpstr>'IWP24'!Std9BillingInfo18</vt:lpstr>
      <vt:lpstr>'IWP25'!Std9BillingInfo18</vt:lpstr>
      <vt:lpstr>'IWP26'!Std9BillingInfo18</vt:lpstr>
      <vt:lpstr>'IWP27'!Std9BillingInfo18</vt:lpstr>
      <vt:lpstr>'IWP28'!Std9BillingInfo18</vt:lpstr>
      <vt:lpstr>'IWP29'!Std9BillingInfo18</vt:lpstr>
      <vt:lpstr>'IWP30'!Std9BillingInfo18</vt:lpstr>
      <vt:lpstr>'IWP01'!Std9dot1</vt:lpstr>
      <vt:lpstr>'IWP02'!Std9dot1</vt:lpstr>
      <vt:lpstr>'IWP03'!Std9dot1</vt:lpstr>
      <vt:lpstr>'IWP04'!Std9dot1</vt:lpstr>
      <vt:lpstr>'IWP05'!Std9dot1</vt:lpstr>
      <vt:lpstr>'IWP06'!Std9dot1</vt:lpstr>
      <vt:lpstr>'IWP07'!Std9dot1</vt:lpstr>
      <vt:lpstr>'IWP08'!Std9dot1</vt:lpstr>
      <vt:lpstr>'IWP09'!Std9dot1</vt:lpstr>
      <vt:lpstr>'IWP10'!Std9dot1</vt:lpstr>
      <vt:lpstr>'IWP11'!Std9dot1</vt:lpstr>
      <vt:lpstr>'IWP12'!Std9dot1</vt:lpstr>
      <vt:lpstr>'IWP13'!Std9dot1</vt:lpstr>
      <vt:lpstr>'IWP14'!Std9dot1</vt:lpstr>
      <vt:lpstr>'IWP15'!Std9dot1</vt:lpstr>
      <vt:lpstr>'IWP16'!Std9dot1</vt:lpstr>
      <vt:lpstr>'IWP17'!Std9dot1</vt:lpstr>
      <vt:lpstr>'IWP18'!Std9dot1</vt:lpstr>
      <vt:lpstr>'IWP19'!Std9dot1</vt:lpstr>
      <vt:lpstr>'IWP20'!Std9dot1</vt:lpstr>
      <vt:lpstr>'IWP21'!Std9dot1</vt:lpstr>
      <vt:lpstr>'IWP22'!Std9dot1</vt:lpstr>
      <vt:lpstr>'IWP23'!Std9dot1</vt:lpstr>
      <vt:lpstr>'IWP24'!Std9dot1</vt:lpstr>
      <vt:lpstr>'IWP25'!Std9dot1</vt:lpstr>
      <vt:lpstr>'IWP26'!Std9dot1</vt:lpstr>
      <vt:lpstr>'IWP27'!Std9dot1</vt:lpstr>
      <vt:lpstr>'IWP28'!Std9dot1</vt:lpstr>
      <vt:lpstr>'IWP29'!Std9dot1</vt:lpstr>
      <vt:lpstr>'IWP30'!Std9dot1</vt:lpstr>
      <vt:lpstr>'IWP01'!Std9dot2</vt:lpstr>
      <vt:lpstr>'IWP02'!Std9dot2</vt:lpstr>
      <vt:lpstr>'IWP03'!Std9dot2</vt:lpstr>
      <vt:lpstr>'IWP04'!Std9dot2</vt:lpstr>
      <vt:lpstr>'IWP05'!Std9dot2</vt:lpstr>
      <vt:lpstr>'IWP06'!Std9dot2</vt:lpstr>
      <vt:lpstr>'IWP07'!Std9dot2</vt:lpstr>
      <vt:lpstr>'IWP08'!Std9dot2</vt:lpstr>
      <vt:lpstr>'IWP09'!Std9dot2</vt:lpstr>
      <vt:lpstr>'IWP10'!Std9dot2</vt:lpstr>
      <vt:lpstr>'IWP11'!Std9dot2</vt:lpstr>
      <vt:lpstr>'IWP12'!Std9dot2</vt:lpstr>
      <vt:lpstr>'IWP13'!Std9dot2</vt:lpstr>
      <vt:lpstr>'IWP14'!Std9dot2</vt:lpstr>
      <vt:lpstr>'IWP15'!Std9dot2</vt:lpstr>
      <vt:lpstr>'IWP16'!Std9dot2</vt:lpstr>
      <vt:lpstr>'IWP17'!Std9dot2</vt:lpstr>
      <vt:lpstr>'IWP18'!Std9dot2</vt:lpstr>
      <vt:lpstr>'IWP19'!Std9dot2</vt:lpstr>
      <vt:lpstr>'IWP20'!Std9dot2</vt:lpstr>
      <vt:lpstr>'IWP21'!Std9dot2</vt:lpstr>
      <vt:lpstr>'IWP22'!Std9dot2</vt:lpstr>
      <vt:lpstr>'IWP23'!Std9dot2</vt:lpstr>
      <vt:lpstr>'IWP24'!Std9dot2</vt:lpstr>
      <vt:lpstr>'IWP25'!Std9dot2</vt:lpstr>
      <vt:lpstr>'IWP26'!Std9dot2</vt:lpstr>
      <vt:lpstr>'IWP27'!Std9dot2</vt:lpstr>
      <vt:lpstr>'IWP28'!Std9dot2</vt:lpstr>
      <vt:lpstr>'IWP29'!Std9dot2</vt:lpstr>
      <vt:lpstr>'IWP30'!Std9dot2</vt:lpstr>
      <vt:lpstr>'IWP01'!Std9dot3</vt:lpstr>
      <vt:lpstr>'IWP02'!Std9dot3</vt:lpstr>
      <vt:lpstr>'IWP03'!Std9dot3</vt:lpstr>
      <vt:lpstr>'IWP04'!Std9dot3</vt:lpstr>
      <vt:lpstr>'IWP05'!Std9dot3</vt:lpstr>
      <vt:lpstr>'IWP06'!Std9dot3</vt:lpstr>
      <vt:lpstr>'IWP07'!Std9dot3</vt:lpstr>
      <vt:lpstr>'IWP08'!Std9dot3</vt:lpstr>
      <vt:lpstr>'IWP09'!Std9dot3</vt:lpstr>
      <vt:lpstr>'IWP10'!Std9dot3</vt:lpstr>
      <vt:lpstr>'IWP11'!Std9dot3</vt:lpstr>
      <vt:lpstr>'IWP12'!Std9dot3</vt:lpstr>
      <vt:lpstr>'IWP13'!Std9dot3</vt:lpstr>
      <vt:lpstr>'IWP14'!Std9dot3</vt:lpstr>
      <vt:lpstr>'IWP15'!Std9dot3</vt:lpstr>
      <vt:lpstr>'IWP16'!Std9dot3</vt:lpstr>
      <vt:lpstr>'IWP17'!Std9dot3</vt:lpstr>
      <vt:lpstr>'IWP18'!Std9dot3</vt:lpstr>
      <vt:lpstr>'IWP19'!Std9dot3</vt:lpstr>
      <vt:lpstr>'IWP20'!Std9dot3</vt:lpstr>
      <vt:lpstr>'IWP21'!Std9dot3</vt:lpstr>
      <vt:lpstr>'IWP22'!Std9dot3</vt:lpstr>
      <vt:lpstr>'IWP23'!Std9dot3</vt:lpstr>
      <vt:lpstr>'IWP24'!Std9dot3</vt:lpstr>
      <vt:lpstr>'IWP25'!Std9dot3</vt:lpstr>
      <vt:lpstr>'IWP26'!Std9dot3</vt:lpstr>
      <vt:lpstr>'IWP27'!Std9dot3</vt:lpstr>
      <vt:lpstr>'IWP28'!Std9dot3</vt:lpstr>
      <vt:lpstr>'IWP29'!Std9dot3</vt:lpstr>
      <vt:lpstr>'IWP30'!Std9dot3</vt:lpstr>
      <vt:lpstr>'IWP02'!StdII1_Qual_E</vt:lpstr>
      <vt:lpstr>'IWP03'!StdII1_Qual_E</vt:lpstr>
      <vt:lpstr>'IWP04'!StdII1_Qual_E</vt:lpstr>
      <vt:lpstr>'IWP05'!StdII1_Qual_E</vt:lpstr>
      <vt:lpstr>'IWP06'!StdII1_Qual_E</vt:lpstr>
      <vt:lpstr>'IWP07'!StdII1_Qual_E</vt:lpstr>
      <vt:lpstr>'IWP08'!StdII1_Qual_E</vt:lpstr>
      <vt:lpstr>'IWP09'!StdII1_Qual_E</vt:lpstr>
      <vt:lpstr>'IWP10'!StdII1_Qual_E</vt:lpstr>
      <vt:lpstr>'IWP11'!StdII1_Qual_E</vt:lpstr>
      <vt:lpstr>'IWP12'!StdII1_Qual_E</vt:lpstr>
      <vt:lpstr>'IWP13'!StdII1_Qual_E</vt:lpstr>
      <vt:lpstr>'IWP14'!StdII1_Qual_E</vt:lpstr>
      <vt:lpstr>'IWP15'!StdII1_Qual_E</vt:lpstr>
      <vt:lpstr>'IWP16'!StdII1_Qual_E</vt:lpstr>
      <vt:lpstr>'IWP17'!StdII1_Qual_E</vt:lpstr>
      <vt:lpstr>'IWP18'!StdII1_Qual_E</vt:lpstr>
      <vt:lpstr>'IWP19'!StdII1_Qual_E</vt:lpstr>
      <vt:lpstr>'IWP20'!StdII1_Qual_E</vt:lpstr>
      <vt:lpstr>'IWP21'!StdII1_Qual_E</vt:lpstr>
      <vt:lpstr>'IWP22'!StdII1_Qual_E</vt:lpstr>
      <vt:lpstr>'IWP23'!StdII1_Qual_E</vt:lpstr>
      <vt:lpstr>'IWP24'!StdII1_Qual_E</vt:lpstr>
      <vt:lpstr>'IWP25'!StdII1_Qual_E</vt:lpstr>
      <vt:lpstr>'IWP26'!StdII1_Qual_E</vt:lpstr>
      <vt:lpstr>'IWP27'!StdII1_Qual_E</vt:lpstr>
      <vt:lpstr>'IWP28'!StdII1_Qual_E</vt:lpstr>
      <vt:lpstr>'IWP29'!StdII1_Qual_E</vt:lpstr>
      <vt:lpstr>'IWP30'!StdII1_Qual_E</vt:lpstr>
      <vt:lpstr>StdII1_Qual_E</vt:lpstr>
      <vt:lpstr>'IWP02'!StdII1_Qual_F</vt:lpstr>
      <vt:lpstr>'IWP03'!StdII1_Qual_F</vt:lpstr>
      <vt:lpstr>'IWP04'!StdII1_Qual_F</vt:lpstr>
      <vt:lpstr>'IWP05'!StdII1_Qual_F</vt:lpstr>
      <vt:lpstr>'IWP06'!StdII1_Qual_F</vt:lpstr>
      <vt:lpstr>'IWP07'!StdII1_Qual_F</vt:lpstr>
      <vt:lpstr>'IWP08'!StdII1_Qual_F</vt:lpstr>
      <vt:lpstr>'IWP09'!StdII1_Qual_F</vt:lpstr>
      <vt:lpstr>'IWP10'!StdII1_Qual_F</vt:lpstr>
      <vt:lpstr>'IWP11'!StdII1_Qual_F</vt:lpstr>
      <vt:lpstr>'IWP12'!StdII1_Qual_F</vt:lpstr>
      <vt:lpstr>'IWP13'!StdII1_Qual_F</vt:lpstr>
      <vt:lpstr>'IWP14'!StdII1_Qual_F</vt:lpstr>
      <vt:lpstr>'IWP15'!StdII1_Qual_F</vt:lpstr>
      <vt:lpstr>'IWP16'!StdII1_Qual_F</vt:lpstr>
      <vt:lpstr>'IWP17'!StdII1_Qual_F</vt:lpstr>
      <vt:lpstr>'IWP18'!StdII1_Qual_F</vt:lpstr>
      <vt:lpstr>'IWP19'!StdII1_Qual_F</vt:lpstr>
      <vt:lpstr>'IWP20'!StdII1_Qual_F</vt:lpstr>
      <vt:lpstr>'IWP21'!StdII1_Qual_F</vt:lpstr>
      <vt:lpstr>'IWP22'!StdII1_Qual_F</vt:lpstr>
      <vt:lpstr>'IWP23'!StdII1_Qual_F</vt:lpstr>
      <vt:lpstr>'IWP24'!StdII1_Qual_F</vt:lpstr>
      <vt:lpstr>'IWP25'!StdII1_Qual_F</vt:lpstr>
      <vt:lpstr>'IWP26'!StdII1_Qual_F</vt:lpstr>
      <vt:lpstr>'IWP27'!StdII1_Qual_F</vt:lpstr>
      <vt:lpstr>'IWP28'!StdII1_Qual_F</vt:lpstr>
      <vt:lpstr>'IWP29'!StdII1_Qual_F</vt:lpstr>
      <vt:lpstr>'IWP30'!StdII1_Qual_F</vt:lpstr>
      <vt:lpstr>StdII1_Qual_F</vt:lpstr>
      <vt:lpstr>'IWP02'!StdII1_Qual_G</vt:lpstr>
      <vt:lpstr>'IWP03'!StdII1_Qual_G</vt:lpstr>
      <vt:lpstr>'IWP04'!StdII1_Qual_G</vt:lpstr>
      <vt:lpstr>'IWP05'!StdII1_Qual_G</vt:lpstr>
      <vt:lpstr>'IWP06'!StdII1_Qual_G</vt:lpstr>
      <vt:lpstr>'IWP07'!StdII1_Qual_G</vt:lpstr>
      <vt:lpstr>'IWP08'!StdII1_Qual_G</vt:lpstr>
      <vt:lpstr>'IWP09'!StdII1_Qual_G</vt:lpstr>
      <vt:lpstr>'IWP10'!StdII1_Qual_G</vt:lpstr>
      <vt:lpstr>'IWP11'!StdII1_Qual_G</vt:lpstr>
      <vt:lpstr>'IWP12'!StdII1_Qual_G</vt:lpstr>
      <vt:lpstr>'IWP13'!StdII1_Qual_G</vt:lpstr>
      <vt:lpstr>'IWP14'!StdII1_Qual_G</vt:lpstr>
      <vt:lpstr>'IWP15'!StdII1_Qual_G</vt:lpstr>
      <vt:lpstr>'IWP16'!StdII1_Qual_G</vt:lpstr>
      <vt:lpstr>'IWP17'!StdII1_Qual_G</vt:lpstr>
      <vt:lpstr>'IWP18'!StdII1_Qual_G</vt:lpstr>
      <vt:lpstr>'IWP19'!StdII1_Qual_G</vt:lpstr>
      <vt:lpstr>'IWP20'!StdII1_Qual_G</vt:lpstr>
      <vt:lpstr>'IWP21'!StdII1_Qual_G</vt:lpstr>
      <vt:lpstr>'IWP22'!StdII1_Qual_G</vt:lpstr>
      <vt:lpstr>'IWP23'!StdII1_Qual_G</vt:lpstr>
      <vt:lpstr>'IWP24'!StdII1_Qual_G</vt:lpstr>
      <vt:lpstr>'IWP25'!StdII1_Qual_G</vt:lpstr>
      <vt:lpstr>'IWP26'!StdII1_Qual_G</vt:lpstr>
      <vt:lpstr>'IWP27'!StdII1_Qual_G</vt:lpstr>
      <vt:lpstr>'IWP28'!StdII1_Qual_G</vt:lpstr>
      <vt:lpstr>'IWP29'!StdII1_Qual_G</vt:lpstr>
      <vt:lpstr>'IWP30'!StdII1_Qual_G</vt:lpstr>
      <vt:lpstr>StdII1_Qual_G</vt:lpstr>
      <vt:lpstr>'IWP02'!StdII1_Qual_HI</vt:lpstr>
      <vt:lpstr>'IWP03'!StdII1_Qual_HI</vt:lpstr>
      <vt:lpstr>'IWP04'!StdII1_Qual_HI</vt:lpstr>
      <vt:lpstr>'IWP05'!StdII1_Qual_HI</vt:lpstr>
      <vt:lpstr>'IWP06'!StdII1_Qual_HI</vt:lpstr>
      <vt:lpstr>'IWP07'!StdII1_Qual_HI</vt:lpstr>
      <vt:lpstr>'IWP08'!StdII1_Qual_HI</vt:lpstr>
      <vt:lpstr>'IWP09'!StdII1_Qual_HI</vt:lpstr>
      <vt:lpstr>'IWP10'!StdII1_Qual_HI</vt:lpstr>
      <vt:lpstr>'IWP11'!StdII1_Qual_HI</vt:lpstr>
      <vt:lpstr>'IWP12'!StdII1_Qual_HI</vt:lpstr>
      <vt:lpstr>'IWP13'!StdII1_Qual_HI</vt:lpstr>
      <vt:lpstr>'IWP14'!StdII1_Qual_HI</vt:lpstr>
      <vt:lpstr>'IWP15'!StdII1_Qual_HI</vt:lpstr>
      <vt:lpstr>'IWP16'!StdII1_Qual_HI</vt:lpstr>
      <vt:lpstr>'IWP17'!StdII1_Qual_HI</vt:lpstr>
      <vt:lpstr>'IWP18'!StdII1_Qual_HI</vt:lpstr>
      <vt:lpstr>'IWP19'!StdII1_Qual_HI</vt:lpstr>
      <vt:lpstr>'IWP20'!StdII1_Qual_HI</vt:lpstr>
      <vt:lpstr>'IWP21'!StdII1_Qual_HI</vt:lpstr>
      <vt:lpstr>'IWP22'!StdII1_Qual_HI</vt:lpstr>
      <vt:lpstr>'IWP23'!StdII1_Qual_HI</vt:lpstr>
      <vt:lpstr>'IWP24'!StdII1_Qual_HI</vt:lpstr>
      <vt:lpstr>'IWP25'!StdII1_Qual_HI</vt:lpstr>
      <vt:lpstr>'IWP26'!StdII1_Qual_HI</vt:lpstr>
      <vt:lpstr>'IWP27'!StdII1_Qual_HI</vt:lpstr>
      <vt:lpstr>'IWP28'!StdII1_Qual_HI</vt:lpstr>
      <vt:lpstr>'IWP29'!StdII1_Qual_HI</vt:lpstr>
      <vt:lpstr>'IWP30'!StdII1_Qual_HI</vt:lpstr>
      <vt:lpstr>StdII1_Qual_HI</vt:lpstr>
      <vt:lpstr>'IWP02'!StdII1_Qual_HIJ</vt:lpstr>
      <vt:lpstr>'IWP03'!StdII1_Qual_HIJ</vt:lpstr>
      <vt:lpstr>'IWP04'!StdII1_Qual_HIJ</vt:lpstr>
      <vt:lpstr>'IWP05'!StdII1_Qual_HIJ</vt:lpstr>
      <vt:lpstr>'IWP06'!StdII1_Qual_HIJ</vt:lpstr>
      <vt:lpstr>'IWP07'!StdII1_Qual_HIJ</vt:lpstr>
      <vt:lpstr>'IWP08'!StdII1_Qual_HIJ</vt:lpstr>
      <vt:lpstr>'IWP09'!StdII1_Qual_HIJ</vt:lpstr>
      <vt:lpstr>'IWP10'!StdII1_Qual_HIJ</vt:lpstr>
      <vt:lpstr>'IWP11'!StdII1_Qual_HIJ</vt:lpstr>
      <vt:lpstr>'IWP12'!StdII1_Qual_HIJ</vt:lpstr>
      <vt:lpstr>'IWP13'!StdII1_Qual_HIJ</vt:lpstr>
      <vt:lpstr>'IWP14'!StdII1_Qual_HIJ</vt:lpstr>
      <vt:lpstr>'IWP15'!StdII1_Qual_HIJ</vt:lpstr>
      <vt:lpstr>'IWP16'!StdII1_Qual_HIJ</vt:lpstr>
      <vt:lpstr>'IWP17'!StdII1_Qual_HIJ</vt:lpstr>
      <vt:lpstr>'IWP18'!StdII1_Qual_HIJ</vt:lpstr>
      <vt:lpstr>'IWP19'!StdII1_Qual_HIJ</vt:lpstr>
      <vt:lpstr>'IWP20'!StdII1_Qual_HIJ</vt:lpstr>
      <vt:lpstr>'IWP21'!StdII1_Qual_HIJ</vt:lpstr>
      <vt:lpstr>'IWP22'!StdII1_Qual_HIJ</vt:lpstr>
      <vt:lpstr>'IWP23'!StdII1_Qual_HIJ</vt:lpstr>
      <vt:lpstr>'IWP24'!StdII1_Qual_HIJ</vt:lpstr>
      <vt:lpstr>'IWP25'!StdII1_Qual_HIJ</vt:lpstr>
      <vt:lpstr>'IWP26'!StdII1_Qual_HIJ</vt:lpstr>
      <vt:lpstr>'IWP27'!StdII1_Qual_HIJ</vt:lpstr>
      <vt:lpstr>'IWP28'!StdII1_Qual_HIJ</vt:lpstr>
      <vt:lpstr>'IWP29'!StdII1_Qual_HIJ</vt:lpstr>
      <vt:lpstr>'IWP30'!StdII1_Qual_HIJ</vt:lpstr>
      <vt:lpstr>StdII1_Qual_HIJ</vt:lpstr>
      <vt:lpstr>'IWP02'!StdIII1_Qual_F</vt:lpstr>
      <vt:lpstr>'IWP03'!StdIII1_Qual_F</vt:lpstr>
      <vt:lpstr>'IWP04'!StdIII1_Qual_F</vt:lpstr>
      <vt:lpstr>'IWP05'!StdIII1_Qual_F</vt:lpstr>
      <vt:lpstr>'IWP06'!StdIII1_Qual_F</vt:lpstr>
      <vt:lpstr>'IWP07'!StdIII1_Qual_F</vt:lpstr>
      <vt:lpstr>'IWP08'!StdIII1_Qual_F</vt:lpstr>
      <vt:lpstr>'IWP09'!StdIII1_Qual_F</vt:lpstr>
      <vt:lpstr>'IWP10'!StdIII1_Qual_F</vt:lpstr>
      <vt:lpstr>'IWP11'!StdIII1_Qual_F</vt:lpstr>
      <vt:lpstr>'IWP12'!StdIII1_Qual_F</vt:lpstr>
      <vt:lpstr>'IWP13'!StdIII1_Qual_F</vt:lpstr>
      <vt:lpstr>'IWP14'!StdIII1_Qual_F</vt:lpstr>
      <vt:lpstr>'IWP15'!StdIII1_Qual_F</vt:lpstr>
      <vt:lpstr>'IWP16'!StdIII1_Qual_F</vt:lpstr>
      <vt:lpstr>'IWP17'!StdIII1_Qual_F</vt:lpstr>
      <vt:lpstr>'IWP18'!StdIII1_Qual_F</vt:lpstr>
      <vt:lpstr>'IWP19'!StdIII1_Qual_F</vt:lpstr>
      <vt:lpstr>'IWP20'!StdIII1_Qual_F</vt:lpstr>
      <vt:lpstr>'IWP21'!StdIII1_Qual_F</vt:lpstr>
      <vt:lpstr>'IWP22'!StdIII1_Qual_F</vt:lpstr>
      <vt:lpstr>'IWP23'!StdIII1_Qual_F</vt:lpstr>
      <vt:lpstr>'IWP24'!StdIII1_Qual_F</vt:lpstr>
      <vt:lpstr>'IWP25'!StdIII1_Qual_F</vt:lpstr>
      <vt:lpstr>'IWP26'!StdIII1_Qual_F</vt:lpstr>
      <vt:lpstr>'IWP27'!StdIII1_Qual_F</vt:lpstr>
      <vt:lpstr>'IWP28'!StdIII1_Qual_F</vt:lpstr>
      <vt:lpstr>'IWP29'!StdIII1_Qual_F</vt:lpstr>
      <vt:lpstr>'IWP30'!StdIII1_Qual_F</vt:lpstr>
      <vt:lpstr>StdIII1_Qual_F</vt:lpstr>
      <vt:lpstr>'Demand for Payment (PRINT)'!TotalDueCdsCba</vt:lpstr>
      <vt:lpstr>'Demand for Payment (PRINT)'!TotalDueCdsClass</vt:lpstr>
      <vt:lpstr>'Demand for Payment (PRINT)'!TotalDueCdsCmpas</vt:lpstr>
      <vt:lpstr>'Demand for Payment (PRINT)'!TotalDueCdsDbmd</vt:lpstr>
      <vt:lpstr>'Demand for Payment (PRINT)'!TotalDueCdsHcs</vt:lpstr>
      <vt:lpstr>'Demand for Payment (PRINT)'!TotalDueCdsMdcp</vt:lpstr>
      <vt:lpstr>'Demand for Payment (PRINT)'!TotalDueCdsPhc</vt:lpstr>
      <vt:lpstr>'Demand for Payment (PRINT)'!TotalDueCdsTxhml</vt:lpstr>
      <vt:lpstr>'Demand for Payment (PRINT)'!TotalDueDads</vt:lpstr>
      <vt:lpstr>Data!XcdsAmtDueEmployeesDetails</vt:lpstr>
      <vt:lpstr>Data!XcdsAmtDueEmployerDetails</vt:lpstr>
      <vt:lpstr>Data!XcdsComplianceSummary</vt:lpstr>
      <vt:lpstr>Data!XcdsIwpData</vt:lpstr>
      <vt:lpstr>Data!XcdsIwpStd2BkgndChks</vt:lpstr>
      <vt:lpstr>Data!XcdsIwpStd3LicenseInfo</vt:lpstr>
      <vt:lpstr>Data!XcdsIwpStd4BudgetInfo</vt:lpstr>
      <vt:lpstr>Data!XcdsIwpStd7PyrllEmplReqs</vt:lpstr>
      <vt:lpstr>Data!XcdsIwpStd8dot1RptgReqs</vt:lpstr>
      <vt:lpstr>Data!XcdsIwpStd8dot2BudgetInfo</vt:lpstr>
      <vt:lpstr>Data!XcdsIwpStd8dot3Issues</vt:lpstr>
      <vt:lpstr>Data!XcdsIwpStd9BlngInfo</vt:lpstr>
      <vt:lpstr>Data!XcdsIwpStd9BlngInfoSmry</vt:lpstr>
      <vt:lpstr>Data!XcdsMonitoringWbk1</vt:lpstr>
      <vt:lpstr>Data!XcdsServiceBackupPlan</vt:lpstr>
      <vt:lpstr>Data!XcdsSvcBackupPlanSamples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AISDev</dc:creator>
  <cp:lastModifiedBy>Garcia,Tish (DADS)</cp:lastModifiedBy>
  <cp:lastPrinted>2012-06-15T18:35:28Z</cp:lastPrinted>
  <dcterms:created xsi:type="dcterms:W3CDTF">2006-09-16T00:00:00Z</dcterms:created>
  <dcterms:modified xsi:type="dcterms:W3CDTF">2016-02-24T17:30:53Z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7eab6bbb-4570-444a-ab60-4d08e9d4084c</vt:lpwstr>
  </property>
  <property fmtid="{D5CDD505-2E9C-101B-9397-08002B2CF9AE}" pid="3" name="ContentTypeId">
    <vt:lpwstr>0x010100BF6677874B3514409BDDEAC8FE0A737A</vt:lpwstr>
  </property>
</Properties>
</file>